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ppolzerova\Desktop\"/>
    </mc:Choice>
  </mc:AlternateContent>
  <bookViews>
    <workbookView xWindow="0" yWindow="0" windowWidth="28800" windowHeight="12300" activeTab="2"/>
  </bookViews>
  <sheets>
    <sheet name="LOW" sheetId="2" r:id="rId1"/>
    <sheet name="MID" sheetId="1" r:id="rId2"/>
    <sheet name="HIGH" sheetId="3" r:id="rId3"/>
  </sheets>
  <externalReferences>
    <externalReference r:id="rId4"/>
  </externalReferences>
  <definedNames>
    <definedName name="seller_ic_def">[1]unique_item!$X$2</definedName>
    <definedName name="seller_name_def">[1]unique_item!$X$3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U1" i="3" l="1"/>
  <c r="AM1" i="3"/>
  <c r="AE1" i="3"/>
  <c r="W1" i="3"/>
  <c r="O1" i="3"/>
  <c r="G1" i="3"/>
  <c r="AT1" i="3"/>
  <c r="AL1" i="3"/>
  <c r="AD1" i="3"/>
  <c r="V1" i="3"/>
  <c r="N1" i="3"/>
  <c r="F1" i="3"/>
  <c r="AS1" i="3"/>
  <c r="AK1" i="3"/>
  <c r="AC1" i="3"/>
  <c r="U1" i="3"/>
  <c r="M1" i="3"/>
  <c r="E1" i="3"/>
  <c r="Z1" i="3"/>
  <c r="R1" i="3"/>
  <c r="AR1" i="3"/>
  <c r="AJ1" i="3"/>
  <c r="AB1" i="3"/>
  <c r="T1" i="3"/>
  <c r="L1" i="3"/>
  <c r="D1" i="3"/>
  <c r="AH1" i="3"/>
  <c r="AQ1" i="3"/>
  <c r="AI1" i="3"/>
  <c r="AA1" i="3"/>
  <c r="S1" i="3"/>
  <c r="K1" i="3"/>
  <c r="C1" i="3"/>
  <c r="AP1" i="3"/>
  <c r="J1" i="3"/>
  <c r="AO1" i="3"/>
  <c r="AG1" i="3"/>
  <c r="Y1" i="3"/>
  <c r="Q1" i="3"/>
  <c r="I1" i="3"/>
  <c r="AN1" i="3"/>
  <c r="AF1" i="3"/>
  <c r="X1" i="3"/>
  <c r="P1" i="3"/>
  <c r="H1" i="3"/>
  <c r="AU1" i="2"/>
  <c r="AM1" i="2"/>
  <c r="AE1" i="2"/>
  <c r="W1" i="2"/>
  <c r="O1" i="2"/>
  <c r="G1" i="2"/>
  <c r="AT1" i="2"/>
  <c r="AL1" i="2"/>
  <c r="AD1" i="2"/>
  <c r="V1" i="2"/>
  <c r="N1" i="2"/>
  <c r="F1" i="2"/>
  <c r="AS1" i="2"/>
  <c r="AK1" i="2"/>
  <c r="AC1" i="2"/>
  <c r="U1" i="2"/>
  <c r="M1" i="2"/>
  <c r="E1" i="2"/>
  <c r="Z1" i="2"/>
  <c r="R1" i="2"/>
  <c r="AR1" i="2"/>
  <c r="AJ1" i="2"/>
  <c r="AB1" i="2"/>
  <c r="T1" i="2"/>
  <c r="L1" i="2"/>
  <c r="D1" i="2"/>
  <c r="AH1" i="2"/>
  <c r="AQ1" i="2"/>
  <c r="AI1" i="2"/>
  <c r="AA1" i="2"/>
  <c r="S1" i="2"/>
  <c r="K1" i="2"/>
  <c r="C1" i="2"/>
  <c r="AP1" i="2"/>
  <c r="J1" i="2"/>
  <c r="AO1" i="2"/>
  <c r="AG1" i="2"/>
  <c r="Y1" i="2"/>
  <c r="Q1" i="2"/>
  <c r="I1" i="2"/>
  <c r="AN1" i="2"/>
  <c r="AF1" i="2"/>
  <c r="X1" i="2"/>
  <c r="P1" i="2"/>
  <c r="H1" i="2"/>
  <c r="AU1074" i="3"/>
  <c r="AN1074" i="3"/>
  <c r="O1074" i="3"/>
  <c r="D1074" i="3"/>
  <c r="J1073" i="3"/>
  <c r="AU1072" i="3"/>
  <c r="H1072" i="3"/>
  <c r="Z1071" i="3"/>
  <c r="F1071" i="3"/>
  <c r="U1070" i="3"/>
  <c r="E1070" i="3"/>
  <c r="S1069" i="3"/>
  <c r="G1069" i="3"/>
  <c r="W1068" i="3"/>
  <c r="I1068" i="3"/>
  <c r="AN1067" i="3"/>
  <c r="O1067" i="3"/>
  <c r="D1067" i="3"/>
  <c r="J1066" i="3"/>
  <c r="AU1065" i="3"/>
  <c r="O1065" i="3"/>
  <c r="D1065" i="3"/>
  <c r="Q1064" i="3"/>
  <c r="F1064" i="3"/>
  <c r="U1063" i="3"/>
  <c r="H1063" i="3"/>
  <c r="Z1062" i="3"/>
  <c r="J1062" i="3"/>
  <c r="AU1061" i="3"/>
  <c r="H1061" i="3"/>
  <c r="Z1060" i="3"/>
  <c r="L1060" i="3"/>
  <c r="C1060" i="3"/>
  <c r="P1059" i="3"/>
  <c r="E1059" i="3"/>
  <c r="S1058" i="3"/>
  <c r="G1058" i="3"/>
  <c r="W1057" i="3"/>
  <c r="J1057" i="3"/>
  <c r="AU1056" i="3"/>
  <c r="O1056" i="3"/>
  <c r="D1056" i="3"/>
  <c r="Q1055" i="3"/>
  <c r="F1055" i="3"/>
  <c r="U1054" i="3"/>
  <c r="H1054" i="3"/>
  <c r="Z1053" i="3"/>
  <c r="J1053" i="3"/>
  <c r="AU1052" i="3"/>
  <c r="O1052" i="3"/>
  <c r="D1052" i="3"/>
  <c r="Q1051" i="3"/>
  <c r="F1051" i="3"/>
  <c r="U1050" i="3"/>
  <c r="H1050" i="3"/>
  <c r="Z1049" i="3"/>
  <c r="J1049" i="3"/>
  <c r="AU1048" i="3"/>
  <c r="O1048" i="3"/>
  <c r="D1048" i="3"/>
  <c r="Q1047" i="3"/>
  <c r="F1047" i="3"/>
  <c r="S1046" i="3"/>
  <c r="D1046" i="3"/>
  <c r="R1045" i="3"/>
  <c r="G1045" i="3"/>
  <c r="U1044" i="3"/>
  <c r="E1044" i="3"/>
  <c r="L1043" i="3"/>
  <c r="C1043" i="3"/>
  <c r="I1042" i="3"/>
  <c r="AN1041" i="3"/>
  <c r="H1041" i="3"/>
  <c r="Z1040" i="3"/>
  <c r="J1040" i="3"/>
  <c r="AU1039" i="3"/>
  <c r="O1039" i="3"/>
  <c r="D1039" i="3"/>
  <c r="R1038" i="3"/>
  <c r="G1038" i="3"/>
  <c r="U1037" i="3"/>
  <c r="E1037" i="3"/>
  <c r="S1036" i="3"/>
  <c r="G1036" i="3"/>
  <c r="W1035" i="3"/>
  <c r="I1035" i="3"/>
  <c r="AN1034" i="3"/>
  <c r="L1034" i="3"/>
  <c r="C1034" i="3"/>
  <c r="Q1033" i="3"/>
  <c r="D1033" i="3"/>
  <c r="Q1032" i="3"/>
  <c r="F1032" i="3"/>
  <c r="S1031" i="3"/>
  <c r="D1031" i="3"/>
  <c r="R1030" i="3"/>
  <c r="G1030" i="3"/>
  <c r="W1029" i="3"/>
  <c r="I1029" i="3"/>
  <c r="AN1028" i="3"/>
  <c r="L1028" i="3"/>
  <c r="C1028" i="3"/>
  <c r="Q1027" i="3"/>
  <c r="F1027" i="3"/>
  <c r="U1026" i="3"/>
  <c r="H1026" i="3"/>
  <c r="Z1025" i="3"/>
  <c r="J1025" i="3"/>
  <c r="AU1024" i="3"/>
  <c r="O1024" i="3"/>
  <c r="D1024" i="3"/>
  <c r="R1023" i="3"/>
  <c r="E1023" i="3"/>
  <c r="S1022" i="3"/>
  <c r="G1022" i="3"/>
  <c r="W1021" i="3"/>
  <c r="I1021" i="3"/>
  <c r="AN1020" i="3"/>
  <c r="L1020" i="3"/>
  <c r="C1020" i="3"/>
  <c r="P1019" i="3"/>
  <c r="E1019" i="3"/>
  <c r="S1018" i="3"/>
  <c r="G1018" i="3"/>
  <c r="W1017" i="3"/>
  <c r="I1017" i="3"/>
  <c r="AN1016" i="3"/>
  <c r="L1016" i="3"/>
  <c r="Z1074" i="3"/>
  <c r="L1074" i="3"/>
  <c r="C1074" i="3"/>
  <c r="I1073" i="3"/>
  <c r="AN1072" i="3"/>
  <c r="G1072" i="3"/>
  <c r="U1071" i="3"/>
  <c r="E1071" i="3"/>
  <c r="S1070" i="3"/>
  <c r="D1070" i="3"/>
  <c r="Q1069" i="3"/>
  <c r="F1069" i="3"/>
  <c r="U1068" i="3"/>
  <c r="H1068" i="3"/>
  <c r="Z1067" i="3"/>
  <c r="L1067" i="3"/>
  <c r="C1067" i="3"/>
  <c r="I1066" i="3"/>
  <c r="AN1065" i="3"/>
  <c r="L1065" i="3"/>
  <c r="C1065" i="3"/>
  <c r="P1064" i="3"/>
  <c r="E1064" i="3"/>
  <c r="S1063" i="3"/>
  <c r="G1063" i="3"/>
  <c r="W1062" i="3"/>
  <c r="I1062" i="3"/>
  <c r="AN1061" i="3"/>
  <c r="G1061" i="3"/>
  <c r="W1060" i="3"/>
  <c r="J1060" i="3"/>
  <c r="AU1059" i="3"/>
  <c r="O1059" i="3"/>
  <c r="D1059" i="3"/>
  <c r="Q1058" i="3"/>
  <c r="F1058" i="3"/>
  <c r="U1057" i="3"/>
  <c r="I1057" i="3"/>
  <c r="AN1056" i="3"/>
  <c r="L1056" i="3"/>
  <c r="C1056" i="3"/>
  <c r="P1055" i="3"/>
  <c r="E1055" i="3"/>
  <c r="S1054" i="3"/>
  <c r="G1054" i="3"/>
  <c r="W1053" i="3"/>
  <c r="I1053" i="3"/>
  <c r="AN1052" i="3"/>
  <c r="L1052" i="3"/>
  <c r="C1052" i="3"/>
  <c r="P1051" i="3"/>
  <c r="E1051" i="3"/>
  <c r="S1050" i="3"/>
  <c r="G1050" i="3"/>
  <c r="W1049" i="3"/>
  <c r="I1049" i="3"/>
  <c r="AN1048" i="3"/>
  <c r="L1048" i="3"/>
  <c r="C1048" i="3"/>
  <c r="P1047" i="3"/>
  <c r="E1047" i="3"/>
  <c r="L1046" i="3"/>
  <c r="C1046" i="3"/>
  <c r="Q1045" i="3"/>
  <c r="F1045" i="3"/>
  <c r="S1044" i="3"/>
  <c r="D1044" i="3"/>
  <c r="J1043" i="3"/>
  <c r="AU1042" i="3"/>
  <c r="H1042" i="3"/>
  <c r="Z1041" i="3"/>
  <c r="G1041" i="3"/>
  <c r="W1040" i="3"/>
  <c r="I1040" i="3"/>
  <c r="AN1039" i="3"/>
  <c r="L1039" i="3"/>
  <c r="C1039" i="3"/>
  <c r="Q1038" i="3"/>
  <c r="F1038" i="3"/>
  <c r="S1037" i="3"/>
  <c r="D1037" i="3"/>
  <c r="Q1036" i="3"/>
  <c r="F1036" i="3"/>
  <c r="U1035" i="3"/>
  <c r="H1035" i="3"/>
  <c r="Z1034" i="3"/>
  <c r="J1034" i="3"/>
  <c r="AU1033" i="3"/>
  <c r="L1033" i="3"/>
  <c r="C1033" i="3"/>
  <c r="P1032" i="3"/>
  <c r="E1032" i="3"/>
  <c r="L1031" i="3"/>
  <c r="C1031" i="3"/>
  <c r="Q1030" i="3"/>
  <c r="F1030" i="3"/>
  <c r="U1029" i="3"/>
  <c r="H1029" i="3"/>
  <c r="Z1028" i="3"/>
  <c r="J1028" i="3"/>
  <c r="AU1027" i="3"/>
  <c r="P1027" i="3"/>
  <c r="E1027" i="3"/>
  <c r="S1026" i="3"/>
  <c r="G1026" i="3"/>
  <c r="W1025" i="3"/>
  <c r="I1025" i="3"/>
  <c r="AN1024" i="3"/>
  <c r="L1024" i="3"/>
  <c r="C1024" i="3"/>
  <c r="Q1023" i="3"/>
  <c r="D1023" i="3"/>
  <c r="Q1022" i="3"/>
  <c r="W1074" i="3"/>
  <c r="J1074" i="3"/>
  <c r="AU1073" i="3"/>
  <c r="H1073" i="3"/>
  <c r="Z1072" i="3"/>
  <c r="F1072" i="3"/>
  <c r="S1071" i="3"/>
  <c r="D1071" i="3"/>
  <c r="L1070" i="3"/>
  <c r="C1070" i="3"/>
  <c r="P1069" i="3"/>
  <c r="E1069" i="3"/>
  <c r="S1068" i="3"/>
  <c r="G1068" i="3"/>
  <c r="W1067" i="3"/>
  <c r="J1067" i="3"/>
  <c r="AU1066" i="3"/>
  <c r="H1066" i="3"/>
  <c r="Z1065" i="3"/>
  <c r="J1065" i="3"/>
  <c r="AU1064" i="3"/>
  <c r="O1064" i="3"/>
  <c r="D1064" i="3"/>
  <c r="Q1063" i="3"/>
  <c r="F1063" i="3"/>
  <c r="U1062" i="3"/>
  <c r="H1062" i="3"/>
  <c r="Z1061" i="3"/>
  <c r="F1061" i="3"/>
  <c r="U1060" i="3"/>
  <c r="I1060" i="3"/>
  <c r="AN1059" i="3"/>
  <c r="L1059" i="3"/>
  <c r="C1059" i="3"/>
  <c r="P1058" i="3"/>
  <c r="E1058" i="3"/>
  <c r="S1057" i="3"/>
  <c r="H1057" i="3"/>
  <c r="Z1056" i="3"/>
  <c r="J1056" i="3"/>
  <c r="AU1055" i="3"/>
  <c r="O1055" i="3"/>
  <c r="D1055" i="3"/>
  <c r="Q1054" i="3"/>
  <c r="F1054" i="3"/>
  <c r="U1053" i="3"/>
  <c r="H1053" i="3"/>
  <c r="Z1052" i="3"/>
  <c r="J1052" i="3"/>
  <c r="AU1051" i="3"/>
  <c r="O1051" i="3"/>
  <c r="D1051" i="3"/>
  <c r="Q1050" i="3"/>
  <c r="F1050" i="3"/>
  <c r="U1049" i="3"/>
  <c r="H1049" i="3"/>
  <c r="Z1048" i="3"/>
  <c r="J1048" i="3"/>
  <c r="AU1047" i="3"/>
  <c r="O1047" i="3"/>
  <c r="D1047" i="3"/>
  <c r="J1046" i="3"/>
  <c r="AU1045" i="3"/>
  <c r="P1045" i="3"/>
  <c r="E1045" i="3"/>
  <c r="L1044" i="3"/>
  <c r="C1044" i="3"/>
  <c r="I1043" i="3"/>
  <c r="AN1042" i="3"/>
  <c r="G1042" i="3"/>
  <c r="W1041" i="3"/>
  <c r="F1041" i="3"/>
  <c r="U1040" i="3"/>
  <c r="H1040" i="3"/>
  <c r="Z1039" i="3"/>
  <c r="J1039" i="3"/>
  <c r="AU1038" i="3"/>
  <c r="P1038" i="3"/>
  <c r="E1038" i="3"/>
  <c r="L1037" i="3"/>
  <c r="C1037" i="3"/>
  <c r="P1036" i="3"/>
  <c r="E1036" i="3"/>
  <c r="S1035" i="3"/>
  <c r="G1035" i="3"/>
  <c r="W1034" i="3"/>
  <c r="I1034" i="3"/>
  <c r="AN1033" i="3"/>
  <c r="J1033" i="3"/>
  <c r="AU1032" i="3"/>
  <c r="O1032" i="3"/>
  <c r="D1032" i="3"/>
  <c r="J1031" i="3"/>
  <c r="AU1030" i="3"/>
  <c r="P1030" i="3"/>
  <c r="E1030" i="3"/>
  <c r="S1029" i="3"/>
  <c r="G1029" i="3"/>
  <c r="W1028" i="3"/>
  <c r="I1028" i="3"/>
  <c r="AN1027" i="3"/>
  <c r="O1027" i="3"/>
  <c r="D1027" i="3"/>
  <c r="Q1026" i="3"/>
  <c r="F1026" i="3"/>
  <c r="U1025" i="3"/>
  <c r="H1025" i="3"/>
  <c r="Z1024" i="3"/>
  <c r="J1024" i="3"/>
  <c r="AU1023" i="3"/>
  <c r="L1023" i="3"/>
  <c r="C1023" i="3"/>
  <c r="P1022" i="3"/>
  <c r="E1022" i="3"/>
  <c r="S1021" i="3"/>
  <c r="G1021" i="3"/>
  <c r="W1020" i="3"/>
  <c r="I1020" i="3"/>
  <c r="AN1019" i="3"/>
  <c r="L1019" i="3"/>
  <c r="C1019" i="3"/>
  <c r="P1018" i="3"/>
  <c r="E1018" i="3"/>
  <c r="S1017" i="3"/>
  <c r="G1017" i="3"/>
  <c r="W1016" i="3"/>
  <c r="I1016" i="3"/>
  <c r="U1074" i="3"/>
  <c r="I1074" i="3"/>
  <c r="AN1073" i="3"/>
  <c r="G1073" i="3"/>
  <c r="U1072" i="3"/>
  <c r="E1072" i="3"/>
  <c r="L1071" i="3"/>
  <c r="C1071" i="3"/>
  <c r="J1070" i="3"/>
  <c r="AU1069" i="3"/>
  <c r="O1069" i="3"/>
  <c r="D1069" i="3"/>
  <c r="Q1068" i="3"/>
  <c r="F1068" i="3"/>
  <c r="U1067" i="3"/>
  <c r="I1067" i="3"/>
  <c r="AN1066" i="3"/>
  <c r="G1066" i="3"/>
  <c r="W1065" i="3"/>
  <c r="I1065" i="3"/>
  <c r="AN1064" i="3"/>
  <c r="L1064" i="3"/>
  <c r="C1064" i="3"/>
  <c r="P1063" i="3"/>
  <c r="E1063" i="3"/>
  <c r="S1062" i="3"/>
  <c r="G1062" i="3"/>
  <c r="U1061" i="3"/>
  <c r="E1061" i="3"/>
  <c r="S1060" i="3"/>
  <c r="H1060" i="3"/>
  <c r="Z1059" i="3"/>
  <c r="J1059" i="3"/>
  <c r="AU1058" i="3"/>
  <c r="O1058" i="3"/>
  <c r="D1058" i="3"/>
  <c r="R1057" i="3"/>
  <c r="G1057" i="3"/>
  <c r="W1056" i="3"/>
  <c r="I1056" i="3"/>
  <c r="AN1055" i="3"/>
  <c r="L1055" i="3"/>
  <c r="C1055" i="3"/>
  <c r="P1054" i="3"/>
  <c r="E1054" i="3"/>
  <c r="S1053" i="3"/>
  <c r="G1053" i="3"/>
  <c r="W1052" i="3"/>
  <c r="I1052" i="3"/>
  <c r="AN1051" i="3"/>
  <c r="L1051" i="3"/>
  <c r="C1051" i="3"/>
  <c r="P1050" i="3"/>
  <c r="E1050" i="3"/>
  <c r="S1049" i="3"/>
  <c r="G1049" i="3"/>
  <c r="W1048" i="3"/>
  <c r="I1048" i="3"/>
  <c r="AN1047" i="3"/>
  <c r="L1047" i="3"/>
  <c r="C1047" i="3"/>
  <c r="I1046" i="3"/>
  <c r="AN1045" i="3"/>
  <c r="O1045" i="3"/>
  <c r="D1045" i="3"/>
  <c r="J1044" i="3"/>
  <c r="AU1043" i="3"/>
  <c r="H1043" i="3"/>
  <c r="Z1042" i="3"/>
  <c r="F1042" i="3"/>
  <c r="U1041" i="3"/>
  <c r="E1041" i="3"/>
  <c r="S1040" i="3"/>
  <c r="G1040" i="3"/>
  <c r="W1039" i="3"/>
  <c r="I1039" i="3"/>
  <c r="AN1038" i="3"/>
  <c r="O1038" i="3"/>
  <c r="D1038" i="3"/>
  <c r="J1037" i="3"/>
  <c r="AU1036" i="3"/>
  <c r="O1036" i="3"/>
  <c r="D1036" i="3"/>
  <c r="Q1035" i="3"/>
  <c r="F1035" i="3"/>
  <c r="U1034" i="3"/>
  <c r="H1034" i="3"/>
  <c r="Z1033" i="3"/>
  <c r="I1033" i="3"/>
  <c r="AN1032" i="3"/>
  <c r="L1032" i="3"/>
  <c r="C1032" i="3"/>
  <c r="I1031" i="3"/>
  <c r="AN1030" i="3"/>
  <c r="O1030" i="3"/>
  <c r="D1030" i="3"/>
  <c r="Q1029" i="3"/>
  <c r="F1029" i="3"/>
  <c r="U1028" i="3"/>
  <c r="H1028" i="3"/>
  <c r="Z1027" i="3"/>
  <c r="L1027" i="3"/>
  <c r="C1027" i="3"/>
  <c r="P1026" i="3"/>
  <c r="E1026" i="3"/>
  <c r="S1025" i="3"/>
  <c r="G1025" i="3"/>
  <c r="W1024" i="3"/>
  <c r="I1024" i="3"/>
  <c r="AN1023" i="3"/>
  <c r="J1023" i="3"/>
  <c r="AU1022" i="3"/>
  <c r="O1022" i="3"/>
  <c r="D1022" i="3"/>
  <c r="Q1021" i="3"/>
  <c r="F1021" i="3"/>
  <c r="U1020" i="3"/>
  <c r="H1020" i="3"/>
  <c r="Z1019" i="3"/>
  <c r="J1019" i="3"/>
  <c r="AU1018" i="3"/>
  <c r="O1018" i="3"/>
  <c r="D1018" i="3"/>
  <c r="Q1017" i="3"/>
  <c r="F1017" i="3"/>
  <c r="U1016" i="3"/>
  <c r="H1016" i="3"/>
  <c r="S1074" i="3"/>
  <c r="H1074" i="3"/>
  <c r="Z1073" i="3"/>
  <c r="F1073" i="3"/>
  <c r="S1072" i="3"/>
  <c r="D1072" i="3"/>
  <c r="J1071" i="3"/>
  <c r="AU1070" i="3"/>
  <c r="I1070" i="3"/>
  <c r="AN1069" i="3"/>
  <c r="L1069" i="3"/>
  <c r="C1069" i="3"/>
  <c r="P1068" i="3"/>
  <c r="E1068" i="3"/>
  <c r="S1067" i="3"/>
  <c r="H1067" i="3"/>
  <c r="Z1066" i="3"/>
  <c r="F1066" i="3"/>
  <c r="U1065" i="3"/>
  <c r="H1065" i="3"/>
  <c r="Z1064" i="3"/>
  <c r="J1064" i="3"/>
  <c r="AU1063" i="3"/>
  <c r="O1063" i="3"/>
  <c r="D1063" i="3"/>
  <c r="Q1062" i="3"/>
  <c r="F1062" i="3"/>
  <c r="S1061" i="3"/>
  <c r="D1061" i="3"/>
  <c r="R1060" i="3"/>
  <c r="G1060" i="3"/>
  <c r="W1059" i="3"/>
  <c r="I1059" i="3"/>
  <c r="AN1058" i="3"/>
  <c r="L1058" i="3"/>
  <c r="C1058" i="3"/>
  <c r="Q1057" i="3"/>
  <c r="F1057" i="3"/>
  <c r="U1056" i="3"/>
  <c r="H1056" i="3"/>
  <c r="Z1055" i="3"/>
  <c r="J1055" i="3"/>
  <c r="AU1054" i="3"/>
  <c r="O1054" i="3"/>
  <c r="D1054" i="3"/>
  <c r="Q1053" i="3"/>
  <c r="F1053" i="3"/>
  <c r="U1052" i="3"/>
  <c r="H1052" i="3"/>
  <c r="Z1051" i="3"/>
  <c r="J1051" i="3"/>
  <c r="AU1050" i="3"/>
  <c r="O1050" i="3"/>
  <c r="D1050" i="3"/>
  <c r="Q1049" i="3"/>
  <c r="F1049" i="3"/>
  <c r="U1048" i="3"/>
  <c r="H1048" i="3"/>
  <c r="Z1047" i="3"/>
  <c r="J1047" i="3"/>
  <c r="AU1046" i="3"/>
  <c r="H1046" i="3"/>
  <c r="Z1045" i="3"/>
  <c r="L1045" i="3"/>
  <c r="C1045" i="3"/>
  <c r="I1044" i="3"/>
  <c r="AN1043" i="3"/>
  <c r="G1043" i="3"/>
  <c r="U1042" i="3"/>
  <c r="E1042" i="3"/>
  <c r="S1041" i="3"/>
  <c r="D1041" i="3"/>
  <c r="Q1040" i="3"/>
  <c r="F1040" i="3"/>
  <c r="U1039" i="3"/>
  <c r="H1039" i="3"/>
  <c r="Z1038" i="3"/>
  <c r="L1038" i="3"/>
  <c r="C1038" i="3"/>
  <c r="I1037" i="3"/>
  <c r="AN1036" i="3"/>
  <c r="L1036" i="3"/>
  <c r="C1036" i="3"/>
  <c r="P1035" i="3"/>
  <c r="E1035" i="3"/>
  <c r="S1034" i="3"/>
  <c r="G1034" i="3"/>
  <c r="W1033" i="3"/>
  <c r="H1033" i="3"/>
  <c r="Z1032" i="3"/>
  <c r="J1032" i="3"/>
  <c r="AU1031" i="3"/>
  <c r="H1031" i="3"/>
  <c r="Z1030" i="3"/>
  <c r="L1030" i="3"/>
  <c r="C1030" i="3"/>
  <c r="P1029" i="3"/>
  <c r="E1029" i="3"/>
  <c r="S1028" i="3"/>
  <c r="G1028" i="3"/>
  <c r="W1027" i="3"/>
  <c r="J1027" i="3"/>
  <c r="AU1026" i="3"/>
  <c r="O1026" i="3"/>
  <c r="D1026" i="3"/>
  <c r="Q1025" i="3"/>
  <c r="F1025" i="3"/>
  <c r="U1024" i="3"/>
  <c r="H1024" i="3"/>
  <c r="R1074" i="3"/>
  <c r="L1073" i="3"/>
  <c r="AU1071" i="3"/>
  <c r="H1070" i="3"/>
  <c r="H1069" i="3"/>
  <c r="C1068" i="3"/>
  <c r="U1066" i="3"/>
  <c r="P1065" i="3"/>
  <c r="H1064" i="3"/>
  <c r="C1063" i="3"/>
  <c r="C1062" i="3"/>
  <c r="P1060" i="3"/>
  <c r="H1059" i="3"/>
  <c r="H1058" i="3"/>
  <c r="D1057" i="3"/>
  <c r="W1055" i="3"/>
  <c r="W1054" i="3"/>
  <c r="O1053" i="3"/>
  <c r="G1052" i="3"/>
  <c r="G1051" i="3"/>
  <c r="AU1049" i="3"/>
  <c r="S1048" i="3"/>
  <c r="S1047" i="3"/>
  <c r="F1046" i="3"/>
  <c r="AU1044" i="3"/>
  <c r="S1043" i="3"/>
  <c r="C1042" i="3"/>
  <c r="P1040" i="3"/>
  <c r="P1039" i="3"/>
  <c r="I1038" i="3"/>
  <c r="Z1036" i="3"/>
  <c r="Z1035" i="3"/>
  <c r="P1034" i="3"/>
  <c r="G1033" i="3"/>
  <c r="G1032" i="3"/>
  <c r="U1030" i="3"/>
  <c r="O1029" i="3"/>
  <c r="O1028" i="3"/>
  <c r="H1027" i="3"/>
  <c r="C1026" i="3"/>
  <c r="C1025" i="3"/>
  <c r="W1023" i="3"/>
  <c r="Z1022" i="3"/>
  <c r="C1022" i="3"/>
  <c r="J1021" i="3"/>
  <c r="Q1020" i="3"/>
  <c r="AU1019" i="3"/>
  <c r="G1019" i="3"/>
  <c r="L1018" i="3"/>
  <c r="Z1017" i="3"/>
  <c r="D1017" i="3"/>
  <c r="J1016" i="3"/>
  <c r="Z1015" i="3"/>
  <c r="F1015" i="3"/>
  <c r="U1014" i="3"/>
  <c r="H1014" i="3"/>
  <c r="Z1013" i="3"/>
  <c r="J1013" i="3"/>
  <c r="AU1012" i="3"/>
  <c r="H1012" i="3"/>
  <c r="Z1011" i="3"/>
  <c r="F1011" i="3"/>
  <c r="U1010" i="3"/>
  <c r="H1010" i="3"/>
  <c r="Z1009" i="3"/>
  <c r="J1009" i="3"/>
  <c r="AU1008" i="3"/>
  <c r="O1008" i="3"/>
  <c r="D1008" i="3"/>
  <c r="Q1007" i="3"/>
  <c r="F1007" i="3"/>
  <c r="U1006" i="3"/>
  <c r="H1006" i="3"/>
  <c r="Z1005" i="3"/>
  <c r="J1005" i="3"/>
  <c r="AU1004" i="3"/>
  <c r="O1004" i="3"/>
  <c r="D1004" i="3"/>
  <c r="Q1003" i="3"/>
  <c r="F1003" i="3"/>
  <c r="U1002" i="3"/>
  <c r="H1002" i="3"/>
  <c r="Z1001" i="3"/>
  <c r="J1001" i="3"/>
  <c r="AU1000" i="3"/>
  <c r="O1000" i="3"/>
  <c r="D1000" i="3"/>
  <c r="Q999" i="3"/>
  <c r="F999" i="3"/>
  <c r="U998" i="3"/>
  <c r="H998" i="3"/>
  <c r="Z997" i="3"/>
  <c r="J997" i="3"/>
  <c r="AU996" i="3"/>
  <c r="O996" i="3"/>
  <c r="D996" i="3"/>
  <c r="Q995" i="3"/>
  <c r="F995" i="3"/>
  <c r="U994" i="3"/>
  <c r="H994" i="3"/>
  <c r="Z993" i="3"/>
  <c r="J993" i="3"/>
  <c r="AU992" i="3"/>
  <c r="H992" i="3"/>
  <c r="Z991" i="3"/>
  <c r="F991" i="3"/>
  <c r="S990" i="3"/>
  <c r="D990" i="3"/>
  <c r="J989" i="3"/>
  <c r="AU988" i="3"/>
  <c r="I988" i="3"/>
  <c r="AN987" i="3"/>
  <c r="G987" i="3"/>
  <c r="U986" i="3"/>
  <c r="E986" i="3"/>
  <c r="L985" i="3"/>
  <c r="C985" i="3"/>
  <c r="Q984" i="3"/>
  <c r="F984" i="3"/>
  <c r="S983" i="3"/>
  <c r="D983" i="3"/>
  <c r="J982" i="3"/>
  <c r="AU981" i="3"/>
  <c r="H981" i="3"/>
  <c r="Z980" i="3"/>
  <c r="G980" i="3"/>
  <c r="W979" i="3"/>
  <c r="Q1074" i="3"/>
  <c r="E1073" i="3"/>
  <c r="AN1071" i="3"/>
  <c r="G1070" i="3"/>
  <c r="AU1068" i="3"/>
  <c r="AU1067" i="3"/>
  <c r="S1066" i="3"/>
  <c r="G1065" i="3"/>
  <c r="G1064" i="3"/>
  <c r="AU1062" i="3"/>
  <c r="L1061" i="3"/>
  <c r="O1060" i="3"/>
  <c r="G1059" i="3"/>
  <c r="AU1057" i="3"/>
  <c r="C1057" i="3"/>
  <c r="U1055" i="3"/>
  <c r="L1054" i="3"/>
  <c r="L1053" i="3"/>
  <c r="F1052" i="3"/>
  <c r="AN1050" i="3"/>
  <c r="AN1049" i="3"/>
  <c r="Q1048" i="3"/>
  <c r="I1047" i="3"/>
  <c r="E1046" i="3"/>
  <c r="AN1044" i="3"/>
  <c r="F1043" i="3"/>
  <c r="AU1041" i="3"/>
  <c r="O1040" i="3"/>
  <c r="G1039" i="3"/>
  <c r="H1038" i="3"/>
  <c r="W1036" i="3"/>
  <c r="O1035" i="3"/>
  <c r="O1034" i="3"/>
  <c r="F1033" i="3"/>
  <c r="AN1031" i="3"/>
  <c r="S1030" i="3"/>
  <c r="L1029" i="3"/>
  <c r="F1028" i="3"/>
  <c r="G1027" i="3"/>
  <c r="AU1025" i="3"/>
  <c r="S1024" i="3"/>
  <c r="U1023" i="3"/>
  <c r="W1022" i="3"/>
  <c r="AU1021" i="3"/>
  <c r="H1021" i="3"/>
  <c r="P1020" i="3"/>
  <c r="W1019" i="3"/>
  <c r="F1019" i="3"/>
  <c r="J1018" i="3"/>
  <c r="U1017" i="3"/>
  <c r="C1017" i="3"/>
  <c r="G1016" i="3"/>
  <c r="U1015" i="3"/>
  <c r="E1015" i="3"/>
  <c r="S1014" i="3"/>
  <c r="G1014" i="3"/>
  <c r="W1013" i="3"/>
  <c r="I1013" i="3"/>
  <c r="AN1012" i="3"/>
  <c r="G1012" i="3"/>
  <c r="U1011" i="3"/>
  <c r="E1011" i="3"/>
  <c r="S1010" i="3"/>
  <c r="G1010" i="3"/>
  <c r="W1009" i="3"/>
  <c r="I1009" i="3"/>
  <c r="AN1008" i="3"/>
  <c r="L1008" i="3"/>
  <c r="C1008" i="3"/>
  <c r="P1007" i="3"/>
  <c r="E1007" i="3"/>
  <c r="S1006" i="3"/>
  <c r="G1006" i="3"/>
  <c r="W1005" i="3"/>
  <c r="I1005" i="3"/>
  <c r="AN1004" i="3"/>
  <c r="L1004" i="3"/>
  <c r="C1004" i="3"/>
  <c r="P1003" i="3"/>
  <c r="E1003" i="3"/>
  <c r="S1002" i="3"/>
  <c r="G1002" i="3"/>
  <c r="W1001" i="3"/>
  <c r="I1001" i="3"/>
  <c r="AN1000" i="3"/>
  <c r="L1000" i="3"/>
  <c r="C1000" i="3"/>
  <c r="P999" i="3"/>
  <c r="E999" i="3"/>
  <c r="S998" i="3"/>
  <c r="G998" i="3"/>
  <c r="W997" i="3"/>
  <c r="I997" i="3"/>
  <c r="AN996" i="3"/>
  <c r="L996" i="3"/>
  <c r="C996" i="3"/>
  <c r="P995" i="3"/>
  <c r="E995" i="3"/>
  <c r="S994" i="3"/>
  <c r="G994" i="3"/>
  <c r="W993" i="3"/>
  <c r="I993" i="3"/>
  <c r="AN992" i="3"/>
  <c r="G992" i="3"/>
  <c r="U991" i="3"/>
  <c r="E991" i="3"/>
  <c r="L990" i="3"/>
  <c r="C990" i="3"/>
  <c r="I989" i="3"/>
  <c r="AN988" i="3"/>
  <c r="H988" i="3"/>
  <c r="Z987" i="3"/>
  <c r="F987" i="3"/>
  <c r="S986" i="3"/>
  <c r="D986" i="3"/>
  <c r="J985" i="3"/>
  <c r="AU984" i="3"/>
  <c r="P984" i="3"/>
  <c r="E984" i="3"/>
  <c r="P1074" i="3"/>
  <c r="D1073" i="3"/>
  <c r="I1071" i="3"/>
  <c r="F1070" i="3"/>
  <c r="AN1068" i="3"/>
  <c r="R1067" i="3"/>
  <c r="L1066" i="3"/>
  <c r="F1065" i="3"/>
  <c r="AN1063" i="3"/>
  <c r="AN1062" i="3"/>
  <c r="J1061" i="3"/>
  <c r="F1060" i="3"/>
  <c r="F1059" i="3"/>
  <c r="AN1057" i="3"/>
  <c r="S1056" i="3"/>
  <c r="S1055" i="3"/>
  <c r="J1054" i="3"/>
  <c r="E1053" i="3"/>
  <c r="E1052" i="3"/>
  <c r="Z1050" i="3"/>
  <c r="P1049" i="3"/>
  <c r="P1048" i="3"/>
  <c r="H1047" i="3"/>
  <c r="W1045" i="3"/>
  <c r="Z1044" i="3"/>
  <c r="E1043" i="3"/>
  <c r="L1041" i="3"/>
  <c r="L1040" i="3"/>
  <c r="F1039" i="3"/>
  <c r="AU1037" i="3"/>
  <c r="U1036" i="3"/>
  <c r="L1035" i="3"/>
  <c r="F1034" i="3"/>
  <c r="E1033" i="3"/>
  <c r="Z1031" i="3"/>
  <c r="J1030" i="3"/>
  <c r="J1029" i="3"/>
  <c r="E1028" i="3"/>
  <c r="AN1026" i="3"/>
  <c r="AN1025" i="3"/>
  <c r="Q1024" i="3"/>
  <c r="S1023" i="3"/>
  <c r="U1022" i="3"/>
  <c r="AN1021" i="3"/>
  <c r="E1021" i="3"/>
  <c r="O1020" i="3"/>
  <c r="U1019" i="3"/>
  <c r="D1019" i="3"/>
  <c r="I1018" i="3"/>
  <c r="P1017" i="3"/>
  <c r="AU1016" i="3"/>
  <c r="F1016" i="3"/>
  <c r="S1015" i="3"/>
  <c r="D1015" i="3"/>
  <c r="Q1014" i="3"/>
  <c r="F1014" i="3"/>
  <c r="U1013" i="3"/>
  <c r="H1013" i="3"/>
  <c r="Z1012" i="3"/>
  <c r="F1012" i="3"/>
  <c r="S1011" i="3"/>
  <c r="D1011" i="3"/>
  <c r="Q1010" i="3"/>
  <c r="F1010" i="3"/>
  <c r="U1009" i="3"/>
  <c r="H1009" i="3"/>
  <c r="Z1008" i="3"/>
  <c r="J1008" i="3"/>
  <c r="AU1007" i="3"/>
  <c r="O1007" i="3"/>
  <c r="D1007" i="3"/>
  <c r="Q1006" i="3"/>
  <c r="F1006" i="3"/>
  <c r="U1005" i="3"/>
  <c r="H1005" i="3"/>
  <c r="Z1004" i="3"/>
  <c r="J1004" i="3"/>
  <c r="AU1003" i="3"/>
  <c r="O1003" i="3"/>
  <c r="D1003" i="3"/>
  <c r="Q1002" i="3"/>
  <c r="F1002" i="3"/>
  <c r="U1001" i="3"/>
  <c r="H1001" i="3"/>
  <c r="Z1000" i="3"/>
  <c r="J1000" i="3"/>
  <c r="AU999" i="3"/>
  <c r="O999" i="3"/>
  <c r="D999" i="3"/>
  <c r="Q998" i="3"/>
  <c r="F998" i="3"/>
  <c r="U997" i="3"/>
  <c r="H997" i="3"/>
  <c r="Z996" i="3"/>
  <c r="J996" i="3"/>
  <c r="AU995" i="3"/>
  <c r="O995" i="3"/>
  <c r="D995" i="3"/>
  <c r="Q994" i="3"/>
  <c r="F994" i="3"/>
  <c r="U993" i="3"/>
  <c r="H993" i="3"/>
  <c r="Z992" i="3"/>
  <c r="F992" i="3"/>
  <c r="S991" i="3"/>
  <c r="D991" i="3"/>
  <c r="J990" i="3"/>
  <c r="AU989" i="3"/>
  <c r="H989" i="3"/>
  <c r="Z988" i="3"/>
  <c r="G988" i="3"/>
  <c r="U987" i="3"/>
  <c r="E987" i="3"/>
  <c r="L986" i="3"/>
  <c r="C986" i="3"/>
  <c r="I985" i="3"/>
  <c r="AN984" i="3"/>
  <c r="O984" i="3"/>
  <c r="D984" i="3"/>
  <c r="J983" i="3"/>
  <c r="G1074" i="3"/>
  <c r="C1073" i="3"/>
  <c r="H1071" i="3"/>
  <c r="Z1069" i="3"/>
  <c r="Z1068" i="3"/>
  <c r="Q1067" i="3"/>
  <c r="E1066" i="3"/>
  <c r="E1065" i="3"/>
  <c r="Z1063" i="3"/>
  <c r="P1062" i="3"/>
  <c r="I1061" i="3"/>
  <c r="E1060" i="3"/>
  <c r="Z1058" i="3"/>
  <c r="Z1057" i="3"/>
  <c r="Q1056" i="3"/>
  <c r="I1055" i="3"/>
  <c r="I1054" i="3"/>
  <c r="D1053" i="3"/>
  <c r="W1051" i="3"/>
  <c r="W1050" i="3"/>
  <c r="O1049" i="3"/>
  <c r="G1048" i="3"/>
  <c r="G1047" i="3"/>
  <c r="U1045" i="3"/>
  <c r="H1044" i="3"/>
  <c r="D1043" i="3"/>
  <c r="J1041" i="3"/>
  <c r="E1040" i="3"/>
  <c r="E1039" i="3"/>
  <c r="AN1037" i="3"/>
  <c r="J1036" i="3"/>
  <c r="J1035" i="3"/>
  <c r="E1034" i="3"/>
  <c r="W1032" i="3"/>
  <c r="U1031" i="3"/>
  <c r="I1030" i="3"/>
  <c r="D1029" i="3"/>
  <c r="D1028" i="3"/>
  <c r="Z1026" i="3"/>
  <c r="P1025" i="3"/>
  <c r="P1024" i="3"/>
  <c r="I1023" i="3"/>
  <c r="L1022" i="3"/>
  <c r="Z1021" i="3"/>
  <c r="D1021" i="3"/>
  <c r="J1020" i="3"/>
  <c r="S1019" i="3"/>
  <c r="AN1018" i="3"/>
  <c r="H1018" i="3"/>
  <c r="O1017" i="3"/>
  <c r="Z1016" i="3"/>
  <c r="E1016" i="3"/>
  <c r="L1015" i="3"/>
  <c r="C1015" i="3"/>
  <c r="P1014" i="3"/>
  <c r="E1014" i="3"/>
  <c r="S1013" i="3"/>
  <c r="G1013" i="3"/>
  <c r="U1012" i="3"/>
  <c r="E1012" i="3"/>
  <c r="L1011" i="3"/>
  <c r="C1011" i="3"/>
  <c r="P1010" i="3"/>
  <c r="E1010" i="3"/>
  <c r="S1009" i="3"/>
  <c r="G1009" i="3"/>
  <c r="W1008" i="3"/>
  <c r="I1008" i="3"/>
  <c r="AN1007" i="3"/>
  <c r="L1007" i="3"/>
  <c r="C1007" i="3"/>
  <c r="P1006" i="3"/>
  <c r="E1006" i="3"/>
  <c r="S1005" i="3"/>
  <c r="G1005" i="3"/>
  <c r="W1004" i="3"/>
  <c r="I1004" i="3"/>
  <c r="AN1003" i="3"/>
  <c r="L1003" i="3"/>
  <c r="C1003" i="3"/>
  <c r="P1002" i="3"/>
  <c r="E1002" i="3"/>
  <c r="S1001" i="3"/>
  <c r="G1001" i="3"/>
  <c r="W1000" i="3"/>
  <c r="I1000" i="3"/>
  <c r="AN999" i="3"/>
  <c r="L999" i="3"/>
  <c r="C999" i="3"/>
  <c r="P998" i="3"/>
  <c r="E998" i="3"/>
  <c r="S997" i="3"/>
  <c r="G997" i="3"/>
  <c r="W996" i="3"/>
  <c r="I996" i="3"/>
  <c r="AN995" i="3"/>
  <c r="L995" i="3"/>
  <c r="C995" i="3"/>
  <c r="P994" i="3"/>
  <c r="E994" i="3"/>
  <c r="S993" i="3"/>
  <c r="G993" i="3"/>
  <c r="U992" i="3"/>
  <c r="E992" i="3"/>
  <c r="L991" i="3"/>
  <c r="C991" i="3"/>
  <c r="I990" i="3"/>
  <c r="AN989" i="3"/>
  <c r="G989" i="3"/>
  <c r="W988" i="3"/>
  <c r="F988" i="3"/>
  <c r="S987" i="3"/>
  <c r="D987" i="3"/>
  <c r="F1074" i="3"/>
  <c r="L1072" i="3"/>
  <c r="G1071" i="3"/>
  <c r="W1069" i="3"/>
  <c r="O1068" i="3"/>
  <c r="P1067" i="3"/>
  <c r="D1066" i="3"/>
  <c r="W1064" i="3"/>
  <c r="W1063" i="3"/>
  <c r="O1062" i="3"/>
  <c r="C1061" i="3"/>
  <c r="D1060" i="3"/>
  <c r="W1058" i="3"/>
  <c r="P1057" i="3"/>
  <c r="P1056" i="3"/>
  <c r="H1055" i="3"/>
  <c r="C1054" i="3"/>
  <c r="C1053" i="3"/>
  <c r="U1051" i="3"/>
  <c r="L1050" i="3"/>
  <c r="L1049" i="3"/>
  <c r="F1048" i="3"/>
  <c r="AN1046" i="3"/>
  <c r="S1045" i="3"/>
  <c r="G1044" i="3"/>
  <c r="S1042" i="3"/>
  <c r="I1041" i="3"/>
  <c r="D1040" i="3"/>
  <c r="W1038" i="3"/>
  <c r="Z1037" i="3"/>
  <c r="I1036" i="3"/>
  <c r="D1035" i="3"/>
  <c r="D1034" i="3"/>
  <c r="U1032" i="3"/>
  <c r="G1031" i="3"/>
  <c r="H1030" i="3"/>
  <c r="C1029" i="3"/>
  <c r="U1027" i="3"/>
  <c r="W1026" i="3"/>
  <c r="O1025" i="3"/>
  <c r="G1024" i="3"/>
  <c r="H1023" i="3"/>
  <c r="J1022" i="3"/>
  <c r="U1021" i="3"/>
  <c r="C1021" i="3"/>
  <c r="G1020" i="3"/>
  <c r="Q1019" i="3"/>
  <c r="Z1018" i="3"/>
  <c r="F1018" i="3"/>
  <c r="L1017" i="3"/>
  <c r="S1016" i="3"/>
  <c r="D1016" i="3"/>
  <c r="J1015" i="3"/>
  <c r="AU1014" i="3"/>
  <c r="O1014" i="3"/>
  <c r="D1014" i="3"/>
  <c r="Q1013" i="3"/>
  <c r="F1013" i="3"/>
  <c r="S1012" i="3"/>
  <c r="D1012" i="3"/>
  <c r="J1011" i="3"/>
  <c r="AU1010" i="3"/>
  <c r="O1010" i="3"/>
  <c r="D1010" i="3"/>
  <c r="Q1009" i="3"/>
  <c r="F1009" i="3"/>
  <c r="U1008" i="3"/>
  <c r="H1008" i="3"/>
  <c r="Z1007" i="3"/>
  <c r="J1007" i="3"/>
  <c r="AU1006" i="3"/>
  <c r="O1006" i="3"/>
  <c r="D1006" i="3"/>
  <c r="Q1005" i="3"/>
  <c r="F1005" i="3"/>
  <c r="U1004" i="3"/>
  <c r="H1004" i="3"/>
  <c r="Z1003" i="3"/>
  <c r="J1003" i="3"/>
  <c r="AU1002" i="3"/>
  <c r="O1002" i="3"/>
  <c r="D1002" i="3"/>
  <c r="Q1001" i="3"/>
  <c r="F1001" i="3"/>
  <c r="U1000" i="3"/>
  <c r="H1000" i="3"/>
  <c r="Z999" i="3"/>
  <c r="J999" i="3"/>
  <c r="AU998" i="3"/>
  <c r="O998" i="3"/>
  <c r="D998" i="3"/>
  <c r="Q997" i="3"/>
  <c r="F997" i="3"/>
  <c r="U996" i="3"/>
  <c r="H996" i="3"/>
  <c r="Z995" i="3"/>
  <c r="J995" i="3"/>
  <c r="AU994" i="3"/>
  <c r="O994" i="3"/>
  <c r="D994" i="3"/>
  <c r="Q993" i="3"/>
  <c r="F993" i="3"/>
  <c r="S992" i="3"/>
  <c r="D992" i="3"/>
  <c r="J991" i="3"/>
  <c r="AU990" i="3"/>
  <c r="H990" i="3"/>
  <c r="Z989" i="3"/>
  <c r="F989" i="3"/>
  <c r="U988" i="3"/>
  <c r="E988" i="3"/>
  <c r="E1074" i="3"/>
  <c r="J1072" i="3"/>
  <c r="AN1070" i="3"/>
  <c r="U1069" i="3"/>
  <c r="L1068" i="3"/>
  <c r="G1067" i="3"/>
  <c r="C1066" i="3"/>
  <c r="U1064" i="3"/>
  <c r="L1063" i="3"/>
  <c r="L1062" i="3"/>
  <c r="AU1060" i="3"/>
  <c r="U1059" i="3"/>
  <c r="U1058" i="3"/>
  <c r="O1057" i="3"/>
  <c r="G1056" i="3"/>
  <c r="G1055" i="3"/>
  <c r="AU1053" i="3"/>
  <c r="S1052" i="3"/>
  <c r="S1051" i="3"/>
  <c r="J1050" i="3"/>
  <c r="E1049" i="3"/>
  <c r="E1048" i="3"/>
  <c r="Z1046" i="3"/>
  <c r="J1045" i="3"/>
  <c r="F1044" i="3"/>
  <c r="L1042" i="3"/>
  <c r="C1041" i="3"/>
  <c r="C1040" i="3"/>
  <c r="U1038" i="3"/>
  <c r="H1037" i="3"/>
  <c r="H1036" i="3"/>
  <c r="C1035" i="3"/>
  <c r="U1033" i="3"/>
  <c r="S1032" i="3"/>
  <c r="F1031" i="3"/>
  <c r="AU1029" i="3"/>
  <c r="AU1028" i="3"/>
  <c r="S1027" i="3"/>
  <c r="L1026" i="3"/>
  <c r="L1025" i="3"/>
  <c r="F1024" i="3"/>
  <c r="G1023" i="3"/>
  <c r="I1022" i="3"/>
  <c r="P1021" i="3"/>
  <c r="AU1020" i="3"/>
  <c r="F1020" i="3"/>
  <c r="O1019" i="3"/>
  <c r="W1018" i="3"/>
  <c r="C1018" i="3"/>
  <c r="J1017" i="3"/>
  <c r="Q1016" i="3"/>
  <c r="C1016" i="3"/>
  <c r="I1015" i="3"/>
  <c r="AN1014" i="3"/>
  <c r="L1014" i="3"/>
  <c r="C1014" i="3"/>
  <c r="P1013" i="3"/>
  <c r="E1013" i="3"/>
  <c r="L1012" i="3"/>
  <c r="C1012" i="3"/>
  <c r="I1011" i="3"/>
  <c r="AN1010" i="3"/>
  <c r="L1010" i="3"/>
  <c r="C1010" i="3"/>
  <c r="P1009" i="3"/>
  <c r="E1009" i="3"/>
  <c r="S1008" i="3"/>
  <c r="G1008" i="3"/>
  <c r="W1007" i="3"/>
  <c r="I1007" i="3"/>
  <c r="AN1006" i="3"/>
  <c r="L1006" i="3"/>
  <c r="C1006" i="3"/>
  <c r="P1005" i="3"/>
  <c r="E1005" i="3"/>
  <c r="S1004" i="3"/>
  <c r="G1004" i="3"/>
  <c r="W1003" i="3"/>
  <c r="I1003" i="3"/>
  <c r="AN1002" i="3"/>
  <c r="L1002" i="3"/>
  <c r="C1002" i="3"/>
  <c r="P1001" i="3"/>
  <c r="E1001" i="3"/>
  <c r="S1000" i="3"/>
  <c r="G1000" i="3"/>
  <c r="W999" i="3"/>
  <c r="I999" i="3"/>
  <c r="AN998" i="3"/>
  <c r="L998" i="3"/>
  <c r="C998" i="3"/>
  <c r="P997" i="3"/>
  <c r="E997" i="3"/>
  <c r="S996" i="3"/>
  <c r="G996" i="3"/>
  <c r="W995" i="3"/>
  <c r="I995" i="3"/>
  <c r="AN994" i="3"/>
  <c r="L994" i="3"/>
  <c r="C994" i="3"/>
  <c r="P993" i="3"/>
  <c r="E993" i="3"/>
  <c r="L992" i="3"/>
  <c r="C992" i="3"/>
  <c r="I991" i="3"/>
  <c r="AN990" i="3"/>
  <c r="G990" i="3"/>
  <c r="U989" i="3"/>
  <c r="E989" i="3"/>
  <c r="S988" i="3"/>
  <c r="D988" i="3"/>
  <c r="J987" i="3"/>
  <c r="AU986" i="3"/>
  <c r="H986" i="3"/>
  <c r="Z985" i="3"/>
  <c r="F985" i="3"/>
  <c r="U984" i="3"/>
  <c r="U1073" i="3"/>
  <c r="J1068" i="3"/>
  <c r="J1063" i="3"/>
  <c r="J1058" i="3"/>
  <c r="AN1053" i="3"/>
  <c r="D1049" i="3"/>
  <c r="Z1043" i="3"/>
  <c r="S1038" i="3"/>
  <c r="S1033" i="3"/>
  <c r="Q1028" i="3"/>
  <c r="E1024" i="3"/>
  <c r="Z1020" i="3"/>
  <c r="AU1017" i="3"/>
  <c r="H1015" i="3"/>
  <c r="O1013" i="3"/>
  <c r="H1011" i="3"/>
  <c r="O1009" i="3"/>
  <c r="U1007" i="3"/>
  <c r="AU1005" i="3"/>
  <c r="F1004" i="3"/>
  <c r="J1002" i="3"/>
  <c r="Q1000" i="3"/>
  <c r="Z998" i="3"/>
  <c r="D997" i="3"/>
  <c r="H995" i="3"/>
  <c r="O993" i="3"/>
  <c r="H991" i="3"/>
  <c r="D989" i="3"/>
  <c r="H987" i="3"/>
  <c r="AU985" i="3"/>
  <c r="Z984" i="3"/>
  <c r="G984" i="3"/>
  <c r="H983" i="3"/>
  <c r="U982" i="3"/>
  <c r="D982" i="3"/>
  <c r="I981" i="3"/>
  <c r="W980" i="3"/>
  <c r="E980" i="3"/>
  <c r="Q979" i="3"/>
  <c r="F979" i="3"/>
  <c r="U978" i="3"/>
  <c r="H978" i="3"/>
  <c r="Z977" i="3"/>
  <c r="L977" i="3"/>
  <c r="C977" i="3"/>
  <c r="I976" i="3"/>
  <c r="AN975" i="3"/>
  <c r="L975" i="3"/>
  <c r="C975" i="3"/>
  <c r="P974" i="3"/>
  <c r="E974" i="3"/>
  <c r="S973" i="3"/>
  <c r="G973" i="3"/>
  <c r="W972" i="3"/>
  <c r="H972" i="3"/>
  <c r="Z971" i="3"/>
  <c r="J971" i="3"/>
  <c r="AU970" i="3"/>
  <c r="H970" i="3"/>
  <c r="Z969" i="3"/>
  <c r="L969" i="3"/>
  <c r="C969" i="3"/>
  <c r="P968" i="3"/>
  <c r="E968" i="3"/>
  <c r="S967" i="3"/>
  <c r="G967" i="3"/>
  <c r="W966" i="3"/>
  <c r="J966" i="3"/>
  <c r="AU965" i="3"/>
  <c r="O965" i="3"/>
  <c r="D965" i="3"/>
  <c r="Q964" i="3"/>
  <c r="F964" i="3"/>
  <c r="U963" i="3"/>
  <c r="H963" i="3"/>
  <c r="Z962" i="3"/>
  <c r="I962" i="3"/>
  <c r="AN961" i="3"/>
  <c r="L961" i="3"/>
  <c r="C961" i="3"/>
  <c r="P960" i="3"/>
  <c r="E960" i="3"/>
  <c r="S959" i="3"/>
  <c r="G959" i="3"/>
  <c r="W958" i="3"/>
  <c r="I958" i="3"/>
  <c r="AN957" i="3"/>
  <c r="L957" i="3"/>
  <c r="C957" i="3"/>
  <c r="P956" i="3"/>
  <c r="E956" i="3"/>
  <c r="S955" i="3"/>
  <c r="G955" i="3"/>
  <c r="U954" i="3"/>
  <c r="E954" i="3"/>
  <c r="S953" i="3"/>
  <c r="H953" i="3"/>
  <c r="Z952" i="3"/>
  <c r="F952" i="3"/>
  <c r="S951" i="3"/>
  <c r="D951" i="3"/>
  <c r="J950" i="3"/>
  <c r="AU949" i="3"/>
  <c r="I949" i="3"/>
  <c r="AN948" i="3"/>
  <c r="L948" i="3"/>
  <c r="C948" i="3"/>
  <c r="P947" i="3"/>
  <c r="E947" i="3"/>
  <c r="S946" i="3"/>
  <c r="H946" i="3"/>
  <c r="Z945" i="3"/>
  <c r="F945" i="3"/>
  <c r="U944" i="3"/>
  <c r="H944" i="3"/>
  <c r="Z943" i="3"/>
  <c r="J943" i="3"/>
  <c r="AU942" i="3"/>
  <c r="O942" i="3"/>
  <c r="D942" i="3"/>
  <c r="R941" i="3"/>
  <c r="E941" i="3"/>
  <c r="S1073" i="3"/>
  <c r="D1068" i="3"/>
  <c r="I1063" i="3"/>
  <c r="I1058" i="3"/>
  <c r="P1053" i="3"/>
  <c r="C1049" i="3"/>
  <c r="U1043" i="3"/>
  <c r="J1038" i="3"/>
  <c r="R1033" i="3"/>
  <c r="P1028" i="3"/>
  <c r="Z1023" i="3"/>
  <c r="S1020" i="3"/>
  <c r="AN1017" i="3"/>
  <c r="G1015" i="3"/>
  <c r="L1013" i="3"/>
  <c r="G1011" i="3"/>
  <c r="L1009" i="3"/>
  <c r="S1007" i="3"/>
  <c r="AN1005" i="3"/>
  <c r="E1004" i="3"/>
  <c r="I1002" i="3"/>
  <c r="P1000" i="3"/>
  <c r="W998" i="3"/>
  <c r="C997" i="3"/>
  <c r="G995" i="3"/>
  <c r="L993" i="3"/>
  <c r="G991" i="3"/>
  <c r="C989" i="3"/>
  <c r="C987" i="3"/>
  <c r="AN985" i="3"/>
  <c r="W984" i="3"/>
  <c r="C984" i="3"/>
  <c r="G983" i="3"/>
  <c r="S982" i="3"/>
  <c r="C982" i="3"/>
  <c r="G981" i="3"/>
  <c r="U980" i="3"/>
  <c r="D980" i="3"/>
  <c r="P979" i="3"/>
  <c r="E979" i="3"/>
  <c r="S978" i="3"/>
  <c r="G978" i="3"/>
  <c r="W977" i="3"/>
  <c r="J977" i="3"/>
  <c r="AU976" i="3"/>
  <c r="H976" i="3"/>
  <c r="Z975" i="3"/>
  <c r="J975" i="3"/>
  <c r="AU974" i="3"/>
  <c r="O974" i="3"/>
  <c r="D974" i="3"/>
  <c r="Q973" i="3"/>
  <c r="F973" i="3"/>
  <c r="U972" i="3"/>
  <c r="G972" i="3"/>
  <c r="W971" i="3"/>
  <c r="I971" i="3"/>
  <c r="AN970" i="3"/>
  <c r="G970" i="3"/>
  <c r="W969" i="3"/>
  <c r="J969" i="3"/>
  <c r="AU968" i="3"/>
  <c r="O968" i="3"/>
  <c r="D968" i="3"/>
  <c r="Q967" i="3"/>
  <c r="F967" i="3"/>
  <c r="U966" i="3"/>
  <c r="I966" i="3"/>
  <c r="AN965" i="3"/>
  <c r="L965" i="3"/>
  <c r="C965" i="3"/>
  <c r="P964" i="3"/>
  <c r="E964" i="3"/>
  <c r="S963" i="3"/>
  <c r="G963" i="3"/>
  <c r="W962" i="3"/>
  <c r="H962" i="3"/>
  <c r="Z961" i="3"/>
  <c r="J961" i="3"/>
  <c r="AU960" i="3"/>
  <c r="O960" i="3"/>
  <c r="D960" i="3"/>
  <c r="Q959" i="3"/>
  <c r="F959" i="3"/>
  <c r="U958" i="3"/>
  <c r="H958" i="3"/>
  <c r="Z957" i="3"/>
  <c r="J957" i="3"/>
  <c r="AU956" i="3"/>
  <c r="O956" i="3"/>
  <c r="D956" i="3"/>
  <c r="Q955" i="3"/>
  <c r="F955" i="3"/>
  <c r="S954" i="3"/>
  <c r="D954" i="3"/>
  <c r="R953" i="3"/>
  <c r="G953" i="3"/>
  <c r="U952" i="3"/>
  <c r="E952" i="3"/>
  <c r="L951" i="3"/>
  <c r="C951" i="3"/>
  <c r="I950" i="3"/>
  <c r="AN949" i="3"/>
  <c r="H949" i="3"/>
  <c r="Z948" i="3"/>
  <c r="J948" i="3"/>
  <c r="AU947" i="3"/>
  <c r="O947" i="3"/>
  <c r="D947" i="3"/>
  <c r="R946" i="3"/>
  <c r="G946" i="3"/>
  <c r="U945" i="3"/>
  <c r="E945" i="3"/>
  <c r="S944" i="3"/>
  <c r="G944" i="3"/>
  <c r="W943" i="3"/>
  <c r="I943" i="3"/>
  <c r="AN942" i="3"/>
  <c r="L942" i="3"/>
  <c r="C942" i="3"/>
  <c r="Q941" i="3"/>
  <c r="D941" i="3"/>
  <c r="Q940" i="3"/>
  <c r="F940" i="3"/>
  <c r="S939" i="3"/>
  <c r="D939" i="3"/>
  <c r="R938" i="3"/>
  <c r="G938" i="3"/>
  <c r="W937" i="3"/>
  <c r="I937" i="3"/>
  <c r="AN936" i="3"/>
  <c r="L936" i="3"/>
  <c r="C936" i="3"/>
  <c r="Q935" i="3"/>
  <c r="F935" i="3"/>
  <c r="U934" i="3"/>
  <c r="I1072" i="3"/>
  <c r="F1067" i="3"/>
  <c r="E1062" i="3"/>
  <c r="L1057" i="3"/>
  <c r="Q1052" i="3"/>
  <c r="W1047" i="3"/>
  <c r="J1042" i="3"/>
  <c r="G1037" i="3"/>
  <c r="I1032" i="3"/>
  <c r="R1027" i="3"/>
  <c r="F1023" i="3"/>
  <c r="E1020" i="3"/>
  <c r="H1017" i="3"/>
  <c r="Z1014" i="3"/>
  <c r="D1013" i="3"/>
  <c r="Z1010" i="3"/>
  <c r="D1009" i="3"/>
  <c r="H1007" i="3"/>
  <c r="O1005" i="3"/>
  <c r="U1003" i="3"/>
  <c r="AU1001" i="3"/>
  <c r="F1000" i="3"/>
  <c r="J998" i="3"/>
  <c r="Q996" i="3"/>
  <c r="Z994" i="3"/>
  <c r="D993" i="3"/>
  <c r="Z990" i="3"/>
  <c r="L988" i="3"/>
  <c r="AN986" i="3"/>
  <c r="U985" i="3"/>
  <c r="S984" i="3"/>
  <c r="AU983" i="3"/>
  <c r="F983" i="3"/>
  <c r="L982" i="3"/>
  <c r="AN981" i="3"/>
  <c r="F981" i="3"/>
  <c r="S980" i="3"/>
  <c r="C980" i="3"/>
  <c r="O979" i="3"/>
  <c r="D979" i="3"/>
  <c r="Q978" i="3"/>
  <c r="F978" i="3"/>
  <c r="U977" i="3"/>
  <c r="I977" i="3"/>
  <c r="AN976" i="3"/>
  <c r="G976" i="3"/>
  <c r="W975" i="3"/>
  <c r="I975" i="3"/>
  <c r="AN974" i="3"/>
  <c r="L974" i="3"/>
  <c r="C974" i="3"/>
  <c r="P973" i="3"/>
  <c r="E973" i="3"/>
  <c r="S972" i="3"/>
  <c r="F972" i="3"/>
  <c r="U971" i="3"/>
  <c r="H971" i="3"/>
  <c r="Z970" i="3"/>
  <c r="F970" i="3"/>
  <c r="U969" i="3"/>
  <c r="I969" i="3"/>
  <c r="AN968" i="3"/>
  <c r="L968" i="3"/>
  <c r="C968" i="3"/>
  <c r="P967" i="3"/>
  <c r="E967" i="3"/>
  <c r="S966" i="3"/>
  <c r="H966" i="3"/>
  <c r="Z965" i="3"/>
  <c r="J965" i="3"/>
  <c r="AU964" i="3"/>
  <c r="O964" i="3"/>
  <c r="D964" i="3"/>
  <c r="Q963" i="3"/>
  <c r="F963" i="3"/>
  <c r="U962" i="3"/>
  <c r="G962" i="3"/>
  <c r="W961" i="3"/>
  <c r="I961" i="3"/>
  <c r="AN960" i="3"/>
  <c r="L960" i="3"/>
  <c r="C960" i="3"/>
  <c r="P959" i="3"/>
  <c r="E959" i="3"/>
  <c r="S958" i="3"/>
  <c r="G958" i="3"/>
  <c r="W957" i="3"/>
  <c r="I957" i="3"/>
  <c r="AN956" i="3"/>
  <c r="L956" i="3"/>
  <c r="C956" i="3"/>
  <c r="P955" i="3"/>
  <c r="E955" i="3"/>
  <c r="L954" i="3"/>
  <c r="C954" i="3"/>
  <c r="Q953" i="3"/>
  <c r="F953" i="3"/>
  <c r="S952" i="3"/>
  <c r="D952" i="3"/>
  <c r="J951" i="3"/>
  <c r="AU950" i="3"/>
  <c r="H950" i="3"/>
  <c r="Z949" i="3"/>
  <c r="G949" i="3"/>
  <c r="W948" i="3"/>
  <c r="I948" i="3"/>
  <c r="AN947" i="3"/>
  <c r="L947" i="3"/>
  <c r="C947" i="3"/>
  <c r="Q946" i="3"/>
  <c r="F946" i="3"/>
  <c r="S945" i="3"/>
  <c r="D945" i="3"/>
  <c r="Q944" i="3"/>
  <c r="F944" i="3"/>
  <c r="U943" i="3"/>
  <c r="H943" i="3"/>
  <c r="Z942" i="3"/>
  <c r="J942" i="3"/>
  <c r="AU941" i="3"/>
  <c r="L941" i="3"/>
  <c r="C941" i="3"/>
  <c r="P940" i="3"/>
  <c r="E940" i="3"/>
  <c r="L939" i="3"/>
  <c r="C939" i="3"/>
  <c r="Q938" i="3"/>
  <c r="C1072" i="3"/>
  <c r="E1067" i="3"/>
  <c r="D1062" i="3"/>
  <c r="E1057" i="3"/>
  <c r="P1052" i="3"/>
  <c r="U1047" i="3"/>
  <c r="D1042" i="3"/>
  <c r="F1037" i="3"/>
  <c r="H1032" i="3"/>
  <c r="I1027" i="3"/>
  <c r="AN1022" i="3"/>
  <c r="D1020" i="3"/>
  <c r="E1017" i="3"/>
  <c r="W1014" i="3"/>
  <c r="C1013" i="3"/>
  <c r="W1010" i="3"/>
  <c r="C1009" i="3"/>
  <c r="G1007" i="3"/>
  <c r="L1005" i="3"/>
  <c r="S1003" i="3"/>
  <c r="AN1001" i="3"/>
  <c r="E1000" i="3"/>
  <c r="I998" i="3"/>
  <c r="P996" i="3"/>
  <c r="W994" i="3"/>
  <c r="C993" i="3"/>
  <c r="U990" i="3"/>
  <c r="J988" i="3"/>
  <c r="Z986" i="3"/>
  <c r="S985" i="3"/>
  <c r="R984" i="3"/>
  <c r="AN983" i="3"/>
  <c r="E983" i="3"/>
  <c r="I982" i="3"/>
  <c r="Z981" i="3"/>
  <c r="E981" i="3"/>
  <c r="L980" i="3"/>
  <c r="AU979" i="3"/>
  <c r="L979" i="3"/>
  <c r="C979" i="3"/>
  <c r="P978" i="3"/>
  <c r="E978" i="3"/>
  <c r="S977" i="3"/>
  <c r="H977" i="3"/>
  <c r="Z976" i="3"/>
  <c r="F976" i="3"/>
  <c r="U975" i="3"/>
  <c r="H975" i="3"/>
  <c r="Z974" i="3"/>
  <c r="J974" i="3"/>
  <c r="AU973" i="3"/>
  <c r="O973" i="3"/>
  <c r="D973" i="3"/>
  <c r="R972" i="3"/>
  <c r="E972" i="3"/>
  <c r="S971" i="3"/>
  <c r="G971" i="3"/>
  <c r="U970" i="3"/>
  <c r="E970" i="3"/>
  <c r="S969" i="3"/>
  <c r="H969" i="3"/>
  <c r="Z968" i="3"/>
  <c r="J968" i="3"/>
  <c r="AU967" i="3"/>
  <c r="O967" i="3"/>
  <c r="D967" i="3"/>
  <c r="R966" i="3"/>
  <c r="G966" i="3"/>
  <c r="W965" i="3"/>
  <c r="I965" i="3"/>
  <c r="AN964" i="3"/>
  <c r="L964" i="3"/>
  <c r="C964" i="3"/>
  <c r="P963" i="3"/>
  <c r="E963" i="3"/>
  <c r="S962" i="3"/>
  <c r="F962" i="3"/>
  <c r="U961" i="3"/>
  <c r="H961" i="3"/>
  <c r="Z960" i="3"/>
  <c r="J960" i="3"/>
  <c r="AU959" i="3"/>
  <c r="O959" i="3"/>
  <c r="D959" i="3"/>
  <c r="Q958" i="3"/>
  <c r="F958" i="3"/>
  <c r="U957" i="3"/>
  <c r="H957" i="3"/>
  <c r="Z956" i="3"/>
  <c r="J956" i="3"/>
  <c r="AU955" i="3"/>
  <c r="O955" i="3"/>
  <c r="D955" i="3"/>
  <c r="J954" i="3"/>
  <c r="AU953" i="3"/>
  <c r="P953" i="3"/>
  <c r="E953" i="3"/>
  <c r="L952" i="3"/>
  <c r="C952" i="3"/>
  <c r="I951" i="3"/>
  <c r="AN950" i="3"/>
  <c r="G950" i="3"/>
  <c r="W949" i="3"/>
  <c r="F949" i="3"/>
  <c r="U948" i="3"/>
  <c r="H948" i="3"/>
  <c r="Z947" i="3"/>
  <c r="J947" i="3"/>
  <c r="AU946" i="3"/>
  <c r="P946" i="3"/>
  <c r="E946" i="3"/>
  <c r="L945" i="3"/>
  <c r="C945" i="3"/>
  <c r="P944" i="3"/>
  <c r="E944" i="3"/>
  <c r="S943" i="3"/>
  <c r="G943" i="3"/>
  <c r="W942" i="3"/>
  <c r="I942" i="3"/>
  <c r="Z1070" i="3"/>
  <c r="S1065" i="3"/>
  <c r="AN1060" i="3"/>
  <c r="F1056" i="3"/>
  <c r="I1051" i="3"/>
  <c r="U1046" i="3"/>
  <c r="AU1040" i="3"/>
  <c r="AU1035" i="3"/>
  <c r="E1031" i="3"/>
  <c r="J1026" i="3"/>
  <c r="H1022" i="3"/>
  <c r="I1019" i="3"/>
  <c r="P1016" i="3"/>
  <c r="J1014" i="3"/>
  <c r="J1012" i="3"/>
  <c r="J1010" i="3"/>
  <c r="Q1008" i="3"/>
  <c r="Z1006" i="3"/>
  <c r="D1005" i="3"/>
  <c r="H1003" i="3"/>
  <c r="O1001" i="3"/>
  <c r="U999" i="3"/>
  <c r="AU997" i="3"/>
  <c r="F996" i="3"/>
  <c r="J994" i="3"/>
  <c r="J992" i="3"/>
  <c r="F990" i="3"/>
  <c r="C988" i="3"/>
  <c r="J986" i="3"/>
  <c r="H985" i="3"/>
  <c r="L984" i="3"/>
  <c r="Z983" i="3"/>
  <c r="C983" i="3"/>
  <c r="H982" i="3"/>
  <c r="U981" i="3"/>
  <c r="D981" i="3"/>
  <c r="J980" i="3"/>
  <c r="AN979" i="3"/>
  <c r="J979" i="3"/>
  <c r="AU978" i="3"/>
  <c r="O978" i="3"/>
  <c r="D978" i="3"/>
  <c r="R977" i="3"/>
  <c r="G977" i="3"/>
  <c r="U976" i="3"/>
  <c r="E976" i="3"/>
  <c r="S975" i="3"/>
  <c r="G975" i="3"/>
  <c r="W974" i="3"/>
  <c r="I974" i="3"/>
  <c r="AN973" i="3"/>
  <c r="L973" i="3"/>
  <c r="C973" i="3"/>
  <c r="Q972" i="3"/>
  <c r="D972" i="3"/>
  <c r="Q971" i="3"/>
  <c r="F971" i="3"/>
  <c r="S970" i="3"/>
  <c r="D970" i="3"/>
  <c r="R969" i="3"/>
  <c r="G969" i="3"/>
  <c r="W968" i="3"/>
  <c r="I968" i="3"/>
  <c r="AN967" i="3"/>
  <c r="L967" i="3"/>
  <c r="C967" i="3"/>
  <c r="Q966" i="3"/>
  <c r="F966" i="3"/>
  <c r="U965" i="3"/>
  <c r="H965" i="3"/>
  <c r="Z964" i="3"/>
  <c r="J964" i="3"/>
  <c r="AU963" i="3"/>
  <c r="O963" i="3"/>
  <c r="D963" i="3"/>
  <c r="R962" i="3"/>
  <c r="E962" i="3"/>
  <c r="S961" i="3"/>
  <c r="G961" i="3"/>
  <c r="W960" i="3"/>
  <c r="I960" i="3"/>
  <c r="AN959" i="3"/>
  <c r="L959" i="3"/>
  <c r="C959" i="3"/>
  <c r="P958" i="3"/>
  <c r="E958" i="3"/>
  <c r="S957" i="3"/>
  <c r="G957" i="3"/>
  <c r="W956" i="3"/>
  <c r="I956" i="3"/>
  <c r="AN955" i="3"/>
  <c r="L955" i="3"/>
  <c r="C955" i="3"/>
  <c r="I954" i="3"/>
  <c r="AN953" i="3"/>
  <c r="O953" i="3"/>
  <c r="D953" i="3"/>
  <c r="J952" i="3"/>
  <c r="AU951" i="3"/>
  <c r="H951" i="3"/>
  <c r="Z950" i="3"/>
  <c r="F950" i="3"/>
  <c r="U949" i="3"/>
  <c r="E949" i="3"/>
  <c r="S948" i="3"/>
  <c r="G948" i="3"/>
  <c r="W947" i="3"/>
  <c r="I947" i="3"/>
  <c r="AN946" i="3"/>
  <c r="O946" i="3"/>
  <c r="D946" i="3"/>
  <c r="J945" i="3"/>
  <c r="W1070" i="3"/>
  <c r="Q1065" i="3"/>
  <c r="Q1060" i="3"/>
  <c r="E1056" i="3"/>
  <c r="H1051" i="3"/>
  <c r="G1046" i="3"/>
  <c r="AN1040" i="3"/>
  <c r="AN1035" i="3"/>
  <c r="W1030" i="3"/>
  <c r="I1026" i="3"/>
  <c r="F1022" i="3"/>
  <c r="H1019" i="3"/>
  <c r="O1016" i="3"/>
  <c r="I1014" i="3"/>
  <c r="I1012" i="3"/>
  <c r="I1010" i="3"/>
  <c r="P1008" i="3"/>
  <c r="W1006" i="3"/>
  <c r="C1005" i="3"/>
  <c r="G1003" i="3"/>
  <c r="L1001" i="3"/>
  <c r="S999" i="3"/>
  <c r="AN997" i="3"/>
  <c r="E996" i="3"/>
  <c r="I994" i="3"/>
  <c r="I992" i="3"/>
  <c r="E990" i="3"/>
  <c r="AU987" i="3"/>
  <c r="I986" i="3"/>
  <c r="G985" i="3"/>
  <c r="J984" i="3"/>
  <c r="U983" i="3"/>
  <c r="AU982" i="3"/>
  <c r="G982" i="3"/>
  <c r="S981" i="3"/>
  <c r="C981" i="3"/>
  <c r="I980" i="3"/>
  <c r="Z979" i="3"/>
  <c r="I979" i="3"/>
  <c r="AN978" i="3"/>
  <c r="L978" i="3"/>
  <c r="C978" i="3"/>
  <c r="Q977" i="3"/>
  <c r="F977" i="3"/>
  <c r="S976" i="3"/>
  <c r="D976" i="3"/>
  <c r="Q975" i="3"/>
  <c r="F975" i="3"/>
  <c r="U974" i="3"/>
  <c r="H974" i="3"/>
  <c r="Z973" i="3"/>
  <c r="J973" i="3"/>
  <c r="AU972" i="3"/>
  <c r="L972" i="3"/>
  <c r="C972" i="3"/>
  <c r="P971" i="3"/>
  <c r="E971" i="3"/>
  <c r="L970" i="3"/>
  <c r="C970" i="3"/>
  <c r="Q969" i="3"/>
  <c r="F969" i="3"/>
  <c r="U968" i="3"/>
  <c r="H968" i="3"/>
  <c r="Z967" i="3"/>
  <c r="J967" i="3"/>
  <c r="AU966" i="3"/>
  <c r="P966" i="3"/>
  <c r="E966" i="3"/>
  <c r="S965" i="3"/>
  <c r="G965" i="3"/>
  <c r="W964" i="3"/>
  <c r="I964" i="3"/>
  <c r="AN963" i="3"/>
  <c r="L963" i="3"/>
  <c r="C963" i="3"/>
  <c r="Q962" i="3"/>
  <c r="D962" i="3"/>
  <c r="Q961" i="3"/>
  <c r="F961" i="3"/>
  <c r="U960" i="3"/>
  <c r="H960" i="3"/>
  <c r="Z959" i="3"/>
  <c r="J959" i="3"/>
  <c r="AU958" i="3"/>
  <c r="O958" i="3"/>
  <c r="D958" i="3"/>
  <c r="Q957" i="3"/>
  <c r="F957" i="3"/>
  <c r="U956" i="3"/>
  <c r="H956" i="3"/>
  <c r="Z955" i="3"/>
  <c r="J955" i="3"/>
  <c r="AU954" i="3"/>
  <c r="H954" i="3"/>
  <c r="Z953" i="3"/>
  <c r="L953" i="3"/>
  <c r="C953" i="3"/>
  <c r="I952" i="3"/>
  <c r="AN951" i="3"/>
  <c r="G951" i="3"/>
  <c r="U950" i="3"/>
  <c r="E950" i="3"/>
  <c r="S949" i="3"/>
  <c r="D949" i="3"/>
  <c r="Q948" i="3"/>
  <c r="F948" i="3"/>
  <c r="U947" i="3"/>
  <c r="H947" i="3"/>
  <c r="Z946" i="3"/>
  <c r="L946" i="3"/>
  <c r="C946" i="3"/>
  <c r="I945" i="3"/>
  <c r="AN944" i="3"/>
  <c r="L944" i="3"/>
  <c r="C944" i="3"/>
  <c r="P943" i="3"/>
  <c r="J1069" i="3"/>
  <c r="I1050" i="3"/>
  <c r="AN1029" i="3"/>
  <c r="AU1015" i="3"/>
  <c r="F1008" i="3"/>
  <c r="D1001" i="3"/>
  <c r="AU993" i="3"/>
  <c r="G986" i="3"/>
  <c r="AN982" i="3"/>
  <c r="H980" i="3"/>
  <c r="J978" i="3"/>
  <c r="L976" i="3"/>
  <c r="S974" i="3"/>
  <c r="AN972" i="3"/>
  <c r="D971" i="3"/>
  <c r="E969" i="3"/>
  <c r="I967" i="3"/>
  <c r="Q965" i="3"/>
  <c r="Z963" i="3"/>
  <c r="C962" i="3"/>
  <c r="G960" i="3"/>
  <c r="L958" i="3"/>
  <c r="S956" i="3"/>
  <c r="AN954" i="3"/>
  <c r="AU952" i="3"/>
  <c r="S950" i="3"/>
  <c r="P948" i="3"/>
  <c r="W946" i="3"/>
  <c r="AU944" i="3"/>
  <c r="AN943" i="3"/>
  <c r="U942" i="3"/>
  <c r="AN941" i="3"/>
  <c r="G941" i="3"/>
  <c r="O940" i="3"/>
  <c r="AU939" i="3"/>
  <c r="F939" i="3"/>
  <c r="P938" i="3"/>
  <c r="D938" i="3"/>
  <c r="P937" i="3"/>
  <c r="D937" i="3"/>
  <c r="P936" i="3"/>
  <c r="D936" i="3"/>
  <c r="P935" i="3"/>
  <c r="D935" i="3"/>
  <c r="P934" i="3"/>
  <c r="E934" i="3"/>
  <c r="S933" i="3"/>
  <c r="G933" i="3"/>
  <c r="W932" i="3"/>
  <c r="I932" i="3"/>
  <c r="AN931" i="3"/>
  <c r="J931" i="3"/>
  <c r="AU930" i="3"/>
  <c r="O930" i="3"/>
  <c r="D930" i="3"/>
  <c r="Q929" i="3"/>
  <c r="F929" i="3"/>
  <c r="U928" i="3"/>
  <c r="H928" i="3"/>
  <c r="Z927" i="3"/>
  <c r="J927" i="3"/>
  <c r="AU926" i="3"/>
  <c r="O926" i="3"/>
  <c r="D926" i="3"/>
  <c r="Q925" i="3"/>
  <c r="F925" i="3"/>
  <c r="U924" i="3"/>
  <c r="H924" i="3"/>
  <c r="Z923" i="3"/>
  <c r="F923" i="3"/>
  <c r="S922" i="3"/>
  <c r="D922" i="3"/>
  <c r="J921" i="3"/>
  <c r="AU920" i="3"/>
  <c r="H920" i="3"/>
  <c r="Z919" i="3"/>
  <c r="G919" i="3"/>
  <c r="W918" i="3"/>
  <c r="I918" i="3"/>
  <c r="AN917" i="3"/>
  <c r="L917" i="3"/>
  <c r="C917" i="3"/>
  <c r="Q916" i="3"/>
  <c r="F916" i="3"/>
  <c r="S915" i="3"/>
  <c r="D915" i="3"/>
  <c r="Q914" i="3"/>
  <c r="F914" i="3"/>
  <c r="U913" i="3"/>
  <c r="H913" i="3"/>
  <c r="Z912" i="3"/>
  <c r="F912" i="3"/>
  <c r="U911" i="3"/>
  <c r="H911" i="3"/>
  <c r="Z910" i="3"/>
  <c r="J910" i="3"/>
  <c r="AU909" i="3"/>
  <c r="P909" i="3"/>
  <c r="E909" i="3"/>
  <c r="S908" i="3"/>
  <c r="G908" i="3"/>
  <c r="W907" i="3"/>
  <c r="I907" i="3"/>
  <c r="AN906" i="3"/>
  <c r="L906" i="3"/>
  <c r="C906" i="3"/>
  <c r="P905" i="3"/>
  <c r="E905" i="3"/>
  <c r="S904" i="3"/>
  <c r="G904" i="3"/>
  <c r="W903" i="3"/>
  <c r="I903" i="3"/>
  <c r="AN902" i="3"/>
  <c r="L902" i="3"/>
  <c r="C902" i="3"/>
  <c r="P901" i="3"/>
  <c r="E901" i="3"/>
  <c r="L900" i="3"/>
  <c r="C900" i="3"/>
  <c r="P899" i="3"/>
  <c r="E899" i="3"/>
  <c r="S898" i="3"/>
  <c r="G898" i="3"/>
  <c r="W897" i="3"/>
  <c r="I897" i="3"/>
  <c r="AN896" i="3"/>
  <c r="G896" i="3"/>
  <c r="U895" i="3"/>
  <c r="E895" i="3"/>
  <c r="L894" i="3"/>
  <c r="C894" i="3"/>
  <c r="I1069" i="3"/>
  <c r="C1050" i="3"/>
  <c r="Z1029" i="3"/>
  <c r="AN1015" i="3"/>
  <c r="E1008" i="3"/>
  <c r="C1001" i="3"/>
  <c r="AN993" i="3"/>
  <c r="F986" i="3"/>
  <c r="Z982" i="3"/>
  <c r="F980" i="3"/>
  <c r="I978" i="3"/>
  <c r="J976" i="3"/>
  <c r="Q974" i="3"/>
  <c r="Z972" i="3"/>
  <c r="C971" i="3"/>
  <c r="D969" i="3"/>
  <c r="H967" i="3"/>
  <c r="P965" i="3"/>
  <c r="W963" i="3"/>
  <c r="AU961" i="3"/>
  <c r="F960" i="3"/>
  <c r="J958" i="3"/>
  <c r="Q956" i="3"/>
  <c r="Z954" i="3"/>
  <c r="AN952" i="3"/>
  <c r="L950" i="3"/>
  <c r="O948" i="3"/>
  <c r="U946" i="3"/>
  <c r="Z944" i="3"/>
  <c r="Q943" i="3"/>
  <c r="S942" i="3"/>
  <c r="Z941" i="3"/>
  <c r="F941" i="3"/>
  <c r="L940" i="3"/>
  <c r="AN939" i="3"/>
  <c r="E939" i="3"/>
  <c r="O938" i="3"/>
  <c r="C938" i="3"/>
  <c r="O937" i="3"/>
  <c r="C937" i="3"/>
  <c r="O936" i="3"/>
  <c r="AU935" i="3"/>
  <c r="O935" i="3"/>
  <c r="C935" i="3"/>
  <c r="O934" i="3"/>
  <c r="D934" i="3"/>
  <c r="Q933" i="3"/>
  <c r="F933" i="3"/>
  <c r="U932" i="3"/>
  <c r="H932" i="3"/>
  <c r="Z931" i="3"/>
  <c r="I931" i="3"/>
  <c r="AN930" i="3"/>
  <c r="L930" i="3"/>
  <c r="C930" i="3"/>
  <c r="P929" i="3"/>
  <c r="E929" i="3"/>
  <c r="S928" i="3"/>
  <c r="G928" i="3"/>
  <c r="W927" i="3"/>
  <c r="I927" i="3"/>
  <c r="AN926" i="3"/>
  <c r="L926" i="3"/>
  <c r="C926" i="3"/>
  <c r="P925" i="3"/>
  <c r="E925" i="3"/>
  <c r="S924" i="3"/>
  <c r="G924" i="3"/>
  <c r="U923" i="3"/>
  <c r="E923" i="3"/>
  <c r="L922" i="3"/>
  <c r="C922" i="3"/>
  <c r="I921" i="3"/>
  <c r="AN920" i="3"/>
  <c r="G920" i="3"/>
  <c r="W919" i="3"/>
  <c r="F919" i="3"/>
  <c r="U918" i="3"/>
  <c r="H918" i="3"/>
  <c r="Z917" i="3"/>
  <c r="J917" i="3"/>
  <c r="AU916" i="3"/>
  <c r="P916" i="3"/>
  <c r="E916" i="3"/>
  <c r="L915" i="3"/>
  <c r="C915" i="3"/>
  <c r="P914" i="3"/>
  <c r="E914" i="3"/>
  <c r="S913" i="3"/>
  <c r="G913" i="3"/>
  <c r="U912" i="3"/>
  <c r="E912" i="3"/>
  <c r="S911" i="3"/>
  <c r="G911" i="3"/>
  <c r="W910" i="3"/>
  <c r="I910" i="3"/>
  <c r="AN909" i="3"/>
  <c r="O909" i="3"/>
  <c r="D909" i="3"/>
  <c r="Q908" i="3"/>
  <c r="F908" i="3"/>
  <c r="U907" i="3"/>
  <c r="H907" i="3"/>
  <c r="Z906" i="3"/>
  <c r="J906" i="3"/>
  <c r="AU905" i="3"/>
  <c r="O905" i="3"/>
  <c r="D905" i="3"/>
  <c r="Q904" i="3"/>
  <c r="F904" i="3"/>
  <c r="U903" i="3"/>
  <c r="H903" i="3"/>
  <c r="Z902" i="3"/>
  <c r="J902" i="3"/>
  <c r="AU901" i="3"/>
  <c r="O901" i="3"/>
  <c r="D901" i="3"/>
  <c r="J900" i="3"/>
  <c r="AU899" i="3"/>
  <c r="O899" i="3"/>
  <c r="D899" i="3"/>
  <c r="Q898" i="3"/>
  <c r="F898" i="3"/>
  <c r="U897" i="3"/>
  <c r="H897" i="3"/>
  <c r="Z896" i="3"/>
  <c r="F896" i="3"/>
  <c r="S895" i="3"/>
  <c r="D895" i="3"/>
  <c r="J894" i="3"/>
  <c r="AU893" i="3"/>
  <c r="I893" i="3"/>
  <c r="AN892" i="3"/>
  <c r="L892" i="3"/>
  <c r="C892" i="3"/>
  <c r="P891" i="3"/>
  <c r="E891" i="3"/>
  <c r="S890" i="3"/>
  <c r="H890" i="3"/>
  <c r="Z889" i="3"/>
  <c r="F889" i="3"/>
  <c r="S888" i="3"/>
  <c r="D888" i="3"/>
  <c r="J887" i="3"/>
  <c r="S1064" i="3"/>
  <c r="I1045" i="3"/>
  <c r="E1025" i="3"/>
  <c r="AU1013" i="3"/>
  <c r="J1006" i="3"/>
  <c r="H999" i="3"/>
  <c r="AU991" i="3"/>
  <c r="E985" i="3"/>
  <c r="F982" i="3"/>
  <c r="U979" i="3"/>
  <c r="AU977" i="3"/>
  <c r="C976" i="3"/>
  <c r="G974" i="3"/>
  <c r="J972" i="3"/>
  <c r="J970" i="3"/>
  <c r="S968" i="3"/>
  <c r="AN966" i="3"/>
  <c r="F965" i="3"/>
  <c r="J963" i="3"/>
  <c r="P961" i="3"/>
  <c r="W959" i="3"/>
  <c r="C958" i="3"/>
  <c r="G956" i="3"/>
  <c r="G954" i="3"/>
  <c r="H952" i="3"/>
  <c r="D950" i="3"/>
  <c r="E948" i="3"/>
  <c r="J946" i="3"/>
  <c r="W944" i="3"/>
  <c r="O943" i="3"/>
  <c r="Q942" i="3"/>
  <c r="W941" i="3"/>
  <c r="AU940" i="3"/>
  <c r="J940" i="3"/>
  <c r="Z939" i="3"/>
  <c r="AU938" i="3"/>
  <c r="L938" i="3"/>
  <c r="AU937" i="3"/>
  <c r="L937" i="3"/>
  <c r="AU936" i="3"/>
  <c r="J936" i="3"/>
  <c r="AN935" i="3"/>
  <c r="L935" i="3"/>
  <c r="AU934" i="3"/>
  <c r="L934" i="3"/>
  <c r="C934" i="3"/>
  <c r="P933" i="3"/>
  <c r="E933" i="3"/>
  <c r="S932" i="3"/>
  <c r="G932" i="3"/>
  <c r="W931" i="3"/>
  <c r="H931" i="3"/>
  <c r="Z930" i="3"/>
  <c r="J930" i="3"/>
  <c r="AU929" i="3"/>
  <c r="O929" i="3"/>
  <c r="D929" i="3"/>
  <c r="Q928" i="3"/>
  <c r="F928" i="3"/>
  <c r="U927" i="3"/>
  <c r="H927" i="3"/>
  <c r="Z926" i="3"/>
  <c r="J926" i="3"/>
  <c r="AU925" i="3"/>
  <c r="O925" i="3"/>
  <c r="D925" i="3"/>
  <c r="Q924" i="3"/>
  <c r="F924" i="3"/>
  <c r="S923" i="3"/>
  <c r="D923" i="3"/>
  <c r="J922" i="3"/>
  <c r="AU921" i="3"/>
  <c r="H921" i="3"/>
  <c r="Z920" i="3"/>
  <c r="F920" i="3"/>
  <c r="U919" i="3"/>
  <c r="E919" i="3"/>
  <c r="S918" i="3"/>
  <c r="G918" i="3"/>
  <c r="W917" i="3"/>
  <c r="I917" i="3"/>
  <c r="AN916" i="3"/>
  <c r="O916" i="3"/>
  <c r="D916" i="3"/>
  <c r="J915" i="3"/>
  <c r="AU914" i="3"/>
  <c r="O914" i="3"/>
  <c r="D914" i="3"/>
  <c r="Q913" i="3"/>
  <c r="F913" i="3"/>
  <c r="S912" i="3"/>
  <c r="D912" i="3"/>
  <c r="Q911" i="3"/>
  <c r="F911" i="3"/>
  <c r="U910" i="3"/>
  <c r="H910" i="3"/>
  <c r="Z909" i="3"/>
  <c r="L909" i="3"/>
  <c r="C909" i="3"/>
  <c r="P908" i="3"/>
  <c r="E908" i="3"/>
  <c r="S907" i="3"/>
  <c r="G907" i="3"/>
  <c r="W906" i="3"/>
  <c r="I906" i="3"/>
  <c r="AN905" i="3"/>
  <c r="L905" i="3"/>
  <c r="C905" i="3"/>
  <c r="P904" i="3"/>
  <c r="E904" i="3"/>
  <c r="S903" i="3"/>
  <c r="G903" i="3"/>
  <c r="W902" i="3"/>
  <c r="I902" i="3"/>
  <c r="AN901" i="3"/>
  <c r="L901" i="3"/>
  <c r="C901" i="3"/>
  <c r="I900" i="3"/>
  <c r="AN899" i="3"/>
  <c r="L899" i="3"/>
  <c r="C899" i="3"/>
  <c r="P898" i="3"/>
  <c r="E898" i="3"/>
  <c r="S897" i="3"/>
  <c r="G897" i="3"/>
  <c r="U896" i="3"/>
  <c r="I1064" i="3"/>
  <c r="H1045" i="3"/>
  <c r="D1025" i="3"/>
  <c r="AN1013" i="3"/>
  <c r="I1006" i="3"/>
  <c r="G999" i="3"/>
  <c r="AN991" i="3"/>
  <c r="D985" i="3"/>
  <c r="E982" i="3"/>
  <c r="S979" i="3"/>
  <c r="AN977" i="3"/>
  <c r="AU975" i="3"/>
  <c r="F974" i="3"/>
  <c r="I972" i="3"/>
  <c r="I970" i="3"/>
  <c r="Q968" i="3"/>
  <c r="Z966" i="3"/>
  <c r="E965" i="3"/>
  <c r="I963" i="3"/>
  <c r="O961" i="3"/>
  <c r="U959" i="3"/>
  <c r="AU957" i="3"/>
  <c r="F956" i="3"/>
  <c r="F954" i="3"/>
  <c r="G952" i="3"/>
  <c r="C950" i="3"/>
  <c r="D948" i="3"/>
  <c r="I946" i="3"/>
  <c r="O944" i="3"/>
  <c r="L943" i="3"/>
  <c r="P942" i="3"/>
  <c r="U941" i="3"/>
  <c r="AN940" i="3"/>
  <c r="I940" i="3"/>
  <c r="U939" i="3"/>
  <c r="AN938" i="3"/>
  <c r="J938" i="3"/>
  <c r="AN937" i="3"/>
  <c r="J937" i="3"/>
  <c r="Z936" i="3"/>
  <c r="I936" i="3"/>
  <c r="Z935" i="3"/>
  <c r="J935" i="3"/>
  <c r="AN934" i="3"/>
  <c r="J934" i="3"/>
  <c r="AU933" i="3"/>
  <c r="O933" i="3"/>
  <c r="D933" i="3"/>
  <c r="Q932" i="3"/>
  <c r="F932" i="3"/>
  <c r="U931" i="3"/>
  <c r="G931" i="3"/>
  <c r="W930" i="3"/>
  <c r="I930" i="3"/>
  <c r="AN929" i="3"/>
  <c r="L929" i="3"/>
  <c r="C929" i="3"/>
  <c r="P928" i="3"/>
  <c r="E928" i="3"/>
  <c r="S927" i="3"/>
  <c r="G927" i="3"/>
  <c r="W926" i="3"/>
  <c r="I926" i="3"/>
  <c r="AN925" i="3"/>
  <c r="L925" i="3"/>
  <c r="C925" i="3"/>
  <c r="P924" i="3"/>
  <c r="E924" i="3"/>
  <c r="L923" i="3"/>
  <c r="C923" i="3"/>
  <c r="I922" i="3"/>
  <c r="AN921" i="3"/>
  <c r="G921" i="3"/>
  <c r="U920" i="3"/>
  <c r="E920" i="3"/>
  <c r="S919" i="3"/>
  <c r="D919" i="3"/>
  <c r="Q918" i="3"/>
  <c r="F918" i="3"/>
  <c r="U917" i="3"/>
  <c r="H917" i="3"/>
  <c r="Z916" i="3"/>
  <c r="L916" i="3"/>
  <c r="C916" i="3"/>
  <c r="I915" i="3"/>
  <c r="AN914" i="3"/>
  <c r="L914" i="3"/>
  <c r="C914" i="3"/>
  <c r="P913" i="3"/>
  <c r="E913" i="3"/>
  <c r="L912" i="3"/>
  <c r="C912" i="3"/>
  <c r="P911" i="3"/>
  <c r="E911" i="3"/>
  <c r="S910" i="3"/>
  <c r="G910" i="3"/>
  <c r="W909" i="3"/>
  <c r="J909" i="3"/>
  <c r="AU908" i="3"/>
  <c r="O908" i="3"/>
  <c r="D908" i="3"/>
  <c r="Q907" i="3"/>
  <c r="F907" i="3"/>
  <c r="U906" i="3"/>
  <c r="H906" i="3"/>
  <c r="Z905" i="3"/>
  <c r="J905" i="3"/>
  <c r="AU904" i="3"/>
  <c r="O904" i="3"/>
  <c r="D904" i="3"/>
  <c r="Q903" i="3"/>
  <c r="F903" i="3"/>
  <c r="U902" i="3"/>
  <c r="H902" i="3"/>
  <c r="Z901" i="3"/>
  <c r="J901" i="3"/>
  <c r="AU900" i="3"/>
  <c r="H900" i="3"/>
  <c r="S1059" i="3"/>
  <c r="S1039" i="3"/>
  <c r="O1021" i="3"/>
  <c r="AU1011" i="3"/>
  <c r="Q1004" i="3"/>
  <c r="O997" i="3"/>
  <c r="S989" i="3"/>
  <c r="I984" i="3"/>
  <c r="L981" i="3"/>
  <c r="H979" i="3"/>
  <c r="P977" i="3"/>
  <c r="P975" i="3"/>
  <c r="W973" i="3"/>
  <c r="AU971" i="3"/>
  <c r="AU969" i="3"/>
  <c r="G968" i="3"/>
  <c r="O966" i="3"/>
  <c r="U964" i="3"/>
  <c r="AU962" i="3"/>
  <c r="E961" i="3"/>
  <c r="I959" i="3"/>
  <c r="P957" i="3"/>
  <c r="W955" i="3"/>
  <c r="W953" i="3"/>
  <c r="Z951" i="3"/>
  <c r="L949" i="3"/>
  <c r="S947" i="3"/>
  <c r="AU945" i="3"/>
  <c r="J944" i="3"/>
  <c r="F943" i="3"/>
  <c r="H942" i="3"/>
  <c r="S941" i="3"/>
  <c r="Z940" i="3"/>
  <c r="H940" i="3"/>
  <c r="J939" i="3"/>
  <c r="Z938" i="3"/>
  <c r="I938" i="3"/>
  <c r="Z937" i="3"/>
  <c r="H937" i="3"/>
  <c r="W936" i="3"/>
  <c r="H936" i="3"/>
  <c r="W935" i="3"/>
  <c r="I935" i="3"/>
  <c r="Z934" i="3"/>
  <c r="I934" i="3"/>
  <c r="AN933" i="3"/>
  <c r="L933" i="3"/>
  <c r="C933" i="3"/>
  <c r="P932" i="3"/>
  <c r="E932" i="3"/>
  <c r="S931" i="3"/>
  <c r="F931" i="3"/>
  <c r="U930" i="3"/>
  <c r="H930" i="3"/>
  <c r="Z929" i="3"/>
  <c r="J929" i="3"/>
  <c r="AU928" i="3"/>
  <c r="O928" i="3"/>
  <c r="D928" i="3"/>
  <c r="Q927" i="3"/>
  <c r="F927" i="3"/>
  <c r="U926" i="3"/>
  <c r="H926" i="3"/>
  <c r="Z925" i="3"/>
  <c r="J925" i="3"/>
  <c r="AU924" i="3"/>
  <c r="O924" i="3"/>
  <c r="D924" i="3"/>
  <c r="J923" i="3"/>
  <c r="AU922" i="3"/>
  <c r="H922" i="3"/>
  <c r="Z921" i="3"/>
  <c r="F921" i="3"/>
  <c r="S920" i="3"/>
  <c r="D920" i="3"/>
  <c r="L919" i="3"/>
  <c r="C919" i="3"/>
  <c r="P918" i="3"/>
  <c r="E918" i="3"/>
  <c r="S917" i="3"/>
  <c r="G917" i="3"/>
  <c r="W916" i="3"/>
  <c r="J916" i="3"/>
  <c r="AU915" i="3"/>
  <c r="H915" i="3"/>
  <c r="Z914" i="3"/>
  <c r="J914" i="3"/>
  <c r="AU913" i="3"/>
  <c r="O913" i="3"/>
  <c r="D913" i="3"/>
  <c r="J912" i="3"/>
  <c r="AU911" i="3"/>
  <c r="O911" i="3"/>
  <c r="D911" i="3"/>
  <c r="Q910" i="3"/>
  <c r="F910" i="3"/>
  <c r="U909" i="3"/>
  <c r="I909" i="3"/>
  <c r="AN908" i="3"/>
  <c r="L908" i="3"/>
  <c r="C908" i="3"/>
  <c r="P907" i="3"/>
  <c r="E907" i="3"/>
  <c r="S906" i="3"/>
  <c r="G906" i="3"/>
  <c r="W905" i="3"/>
  <c r="I905" i="3"/>
  <c r="AN904" i="3"/>
  <c r="L904" i="3"/>
  <c r="C904" i="3"/>
  <c r="P903" i="3"/>
  <c r="E903" i="3"/>
  <c r="S902" i="3"/>
  <c r="G902" i="3"/>
  <c r="W901" i="3"/>
  <c r="I901" i="3"/>
  <c r="AN900" i="3"/>
  <c r="G900" i="3"/>
  <c r="W899" i="3"/>
  <c r="I899" i="3"/>
  <c r="AN898" i="3"/>
  <c r="L898" i="3"/>
  <c r="C898" i="3"/>
  <c r="P897" i="3"/>
  <c r="E897" i="3"/>
  <c r="L896" i="3"/>
  <c r="C896" i="3"/>
  <c r="AN1054" i="3"/>
  <c r="AU1034" i="3"/>
  <c r="U1018" i="3"/>
  <c r="AU1009" i="3"/>
  <c r="Z1002" i="3"/>
  <c r="U995" i="3"/>
  <c r="L987" i="3"/>
  <c r="L983" i="3"/>
  <c r="AU980" i="3"/>
  <c r="Z978" i="3"/>
  <c r="E977" i="3"/>
  <c r="E975" i="3"/>
  <c r="I973" i="3"/>
  <c r="O971" i="3"/>
  <c r="P969" i="3"/>
  <c r="W967" i="3"/>
  <c r="D966" i="3"/>
  <c r="H964" i="3"/>
  <c r="L962" i="3"/>
  <c r="S960" i="3"/>
  <c r="AN958" i="3"/>
  <c r="E957" i="3"/>
  <c r="I955" i="3"/>
  <c r="J953" i="3"/>
  <c r="F951" i="3"/>
  <c r="C949" i="3"/>
  <c r="G947" i="3"/>
  <c r="H945" i="3"/>
  <c r="D944" i="3"/>
  <c r="D943" i="3"/>
  <c r="F942" i="3"/>
  <c r="I941" i="3"/>
  <c r="U940" i="3"/>
  <c r="D940" i="3"/>
  <c r="H939" i="3"/>
  <c r="U938" i="3"/>
  <c r="F938" i="3"/>
  <c r="S937" i="3"/>
  <c r="F937" i="3"/>
  <c r="S936" i="3"/>
  <c r="F936" i="3"/>
  <c r="S935" i="3"/>
  <c r="G935" i="3"/>
  <c r="S934" i="3"/>
  <c r="G934" i="3"/>
  <c r="W933" i="3"/>
  <c r="I933" i="3"/>
  <c r="AN932" i="3"/>
  <c r="L932" i="3"/>
  <c r="C932" i="3"/>
  <c r="Q931" i="3"/>
  <c r="D931" i="3"/>
  <c r="Q930" i="3"/>
  <c r="F930" i="3"/>
  <c r="U929" i="3"/>
  <c r="H929" i="3"/>
  <c r="Z928" i="3"/>
  <c r="J928" i="3"/>
  <c r="AU927" i="3"/>
  <c r="O927" i="3"/>
  <c r="D927" i="3"/>
  <c r="Q926" i="3"/>
  <c r="F926" i="3"/>
  <c r="U925" i="3"/>
  <c r="H925" i="3"/>
  <c r="Z924" i="3"/>
  <c r="J924" i="3"/>
  <c r="AU923" i="3"/>
  <c r="H923" i="3"/>
  <c r="Z922" i="3"/>
  <c r="F922" i="3"/>
  <c r="S921" i="3"/>
  <c r="D921" i="3"/>
  <c r="J920" i="3"/>
  <c r="AU919" i="3"/>
  <c r="I919" i="3"/>
  <c r="AN918" i="3"/>
  <c r="L918" i="3"/>
  <c r="C918" i="3"/>
  <c r="P917" i="3"/>
  <c r="E917" i="3"/>
  <c r="S916" i="3"/>
  <c r="H916" i="3"/>
  <c r="Z915" i="3"/>
  <c r="F915" i="3"/>
  <c r="U914" i="3"/>
  <c r="H914" i="3"/>
  <c r="Z913" i="3"/>
  <c r="J913" i="3"/>
  <c r="AU912" i="3"/>
  <c r="H912" i="3"/>
  <c r="Z911" i="3"/>
  <c r="J911" i="3"/>
  <c r="AU910" i="3"/>
  <c r="O910" i="3"/>
  <c r="D910" i="3"/>
  <c r="R909" i="3"/>
  <c r="G909" i="3"/>
  <c r="W908" i="3"/>
  <c r="I908" i="3"/>
  <c r="AN907" i="3"/>
  <c r="L907" i="3"/>
  <c r="C907" i="3"/>
  <c r="P906" i="3"/>
  <c r="E906" i="3"/>
  <c r="S905" i="3"/>
  <c r="G905" i="3"/>
  <c r="W904" i="3"/>
  <c r="I904" i="3"/>
  <c r="AN903" i="3"/>
  <c r="L903" i="3"/>
  <c r="C903" i="3"/>
  <c r="P902" i="3"/>
  <c r="E902" i="3"/>
  <c r="S901" i="3"/>
  <c r="G901" i="3"/>
  <c r="U900" i="3"/>
  <c r="E900" i="3"/>
  <c r="S899" i="3"/>
  <c r="G899" i="3"/>
  <c r="W898" i="3"/>
  <c r="I898" i="3"/>
  <c r="AN897" i="3"/>
  <c r="L897" i="3"/>
  <c r="Q1059" i="3"/>
  <c r="P1004" i="3"/>
  <c r="J981" i="3"/>
  <c r="U973" i="3"/>
  <c r="L966" i="3"/>
  <c r="H959" i="3"/>
  <c r="U951" i="3"/>
  <c r="I944" i="3"/>
  <c r="W940" i="3"/>
  <c r="H938" i="3"/>
  <c r="G936" i="3"/>
  <c r="H934" i="3"/>
  <c r="O932" i="3"/>
  <c r="S930" i="3"/>
  <c r="AN928" i="3"/>
  <c r="E927" i="3"/>
  <c r="I925" i="3"/>
  <c r="I923" i="3"/>
  <c r="E921" i="3"/>
  <c r="AU918" i="3"/>
  <c r="F917" i="3"/>
  <c r="G915" i="3"/>
  <c r="L913" i="3"/>
  <c r="L911" i="3"/>
  <c r="S909" i="3"/>
  <c r="AU907" i="3"/>
  <c r="F906" i="3"/>
  <c r="J904" i="3"/>
  <c r="Q902" i="3"/>
  <c r="Z900" i="3"/>
  <c r="H899" i="3"/>
  <c r="D898" i="3"/>
  <c r="C897" i="3"/>
  <c r="AU895" i="3"/>
  <c r="F895" i="3"/>
  <c r="H894" i="3"/>
  <c r="U893" i="3"/>
  <c r="D893" i="3"/>
  <c r="P892" i="3"/>
  <c r="D892" i="3"/>
  <c r="O891" i="3"/>
  <c r="C891" i="3"/>
  <c r="P890" i="3"/>
  <c r="D890" i="3"/>
  <c r="I889" i="3"/>
  <c r="Z888" i="3"/>
  <c r="E888" i="3"/>
  <c r="I887" i="3"/>
  <c r="AN886" i="3"/>
  <c r="L886" i="3"/>
  <c r="C886" i="3"/>
  <c r="P885" i="3"/>
  <c r="E885" i="3"/>
  <c r="L884" i="3"/>
  <c r="C884" i="3"/>
  <c r="P883" i="3"/>
  <c r="E883" i="3"/>
  <c r="S882" i="3"/>
  <c r="G882" i="3"/>
  <c r="W881" i="3"/>
  <c r="J881" i="3"/>
  <c r="AU880" i="3"/>
  <c r="O880" i="3"/>
  <c r="D880" i="3"/>
  <c r="Q879" i="3"/>
  <c r="F879" i="3"/>
  <c r="U878" i="3"/>
  <c r="H878" i="3"/>
  <c r="Z877" i="3"/>
  <c r="J877" i="3"/>
  <c r="AU876" i="3"/>
  <c r="O876" i="3"/>
  <c r="D876" i="3"/>
  <c r="Q875" i="3"/>
  <c r="F875" i="3"/>
  <c r="U874" i="3"/>
  <c r="H874" i="3"/>
  <c r="Z873" i="3"/>
  <c r="J873" i="3"/>
  <c r="AU872" i="3"/>
  <c r="H872" i="3"/>
  <c r="Z871" i="3"/>
  <c r="F871" i="3"/>
  <c r="S870" i="3"/>
  <c r="D870" i="3"/>
  <c r="J869" i="3"/>
  <c r="AU868" i="3"/>
  <c r="I868" i="3"/>
  <c r="AN867" i="3"/>
  <c r="L867" i="3"/>
  <c r="C867" i="3"/>
  <c r="P866" i="3"/>
  <c r="E866" i="3"/>
  <c r="L865" i="3"/>
  <c r="C865" i="3"/>
  <c r="P864" i="3"/>
  <c r="E864" i="3"/>
  <c r="S863" i="3"/>
  <c r="G863" i="3"/>
  <c r="W862" i="3"/>
  <c r="I862" i="3"/>
  <c r="AN861" i="3"/>
  <c r="L861" i="3"/>
  <c r="C861" i="3"/>
  <c r="I860" i="3"/>
  <c r="AN859" i="3"/>
  <c r="L859" i="3"/>
  <c r="C859" i="3"/>
  <c r="P858" i="3"/>
  <c r="E858" i="3"/>
  <c r="S857" i="3"/>
  <c r="G857" i="3"/>
  <c r="W856" i="3"/>
  <c r="I856" i="3"/>
  <c r="AN855" i="3"/>
  <c r="L855" i="3"/>
  <c r="C855" i="3"/>
  <c r="P854" i="3"/>
  <c r="E854" i="3"/>
  <c r="S853" i="3"/>
  <c r="G853" i="3"/>
  <c r="W852" i="3"/>
  <c r="I852" i="3"/>
  <c r="AN851" i="3"/>
  <c r="L851" i="3"/>
  <c r="C851" i="3"/>
  <c r="P850" i="3"/>
  <c r="E850" i="3"/>
  <c r="S849" i="3"/>
  <c r="G849" i="3"/>
  <c r="Z1054" i="3"/>
  <c r="W1002" i="3"/>
  <c r="AN980" i="3"/>
  <c r="H973" i="3"/>
  <c r="C966" i="3"/>
  <c r="Z958" i="3"/>
  <c r="E951" i="3"/>
  <c r="AU943" i="3"/>
  <c r="S940" i="3"/>
  <c r="E938" i="3"/>
  <c r="E936" i="3"/>
  <c r="F934" i="3"/>
  <c r="J932" i="3"/>
  <c r="P930" i="3"/>
  <c r="W928" i="3"/>
  <c r="C927" i="3"/>
  <c r="G925" i="3"/>
  <c r="G923" i="3"/>
  <c r="C921" i="3"/>
  <c r="Z918" i="3"/>
  <c r="D917" i="3"/>
  <c r="E915" i="3"/>
  <c r="I913" i="3"/>
  <c r="I911" i="3"/>
  <c r="Q909" i="3"/>
  <c r="Z907" i="3"/>
  <c r="D906" i="3"/>
  <c r="H904" i="3"/>
  <c r="O902" i="3"/>
  <c r="S900" i="3"/>
  <c r="F899" i="3"/>
  <c r="AU897" i="3"/>
  <c r="AU896" i="3"/>
  <c r="AN895" i="3"/>
  <c r="C895" i="3"/>
  <c r="G894" i="3"/>
  <c r="S893" i="3"/>
  <c r="C893" i="3"/>
  <c r="O892" i="3"/>
  <c r="AU891" i="3"/>
  <c r="L891" i="3"/>
  <c r="AU890" i="3"/>
  <c r="O890" i="3"/>
  <c r="C890" i="3"/>
  <c r="H889" i="3"/>
  <c r="U888" i="3"/>
  <c r="C888" i="3"/>
  <c r="H887" i="3"/>
  <c r="Z886" i="3"/>
  <c r="J886" i="3"/>
  <c r="AU885" i="3"/>
  <c r="O885" i="3"/>
  <c r="D885" i="3"/>
  <c r="J884" i="3"/>
  <c r="AU883" i="3"/>
  <c r="O883" i="3"/>
  <c r="D883" i="3"/>
  <c r="Q882" i="3"/>
  <c r="F882" i="3"/>
  <c r="U881" i="3"/>
  <c r="I881" i="3"/>
  <c r="AN880" i="3"/>
  <c r="L880" i="3"/>
  <c r="C880" i="3"/>
  <c r="P879" i="3"/>
  <c r="E879" i="3"/>
  <c r="S878" i="3"/>
  <c r="G878" i="3"/>
  <c r="W877" i="3"/>
  <c r="I877" i="3"/>
  <c r="AN876" i="3"/>
  <c r="L876" i="3"/>
  <c r="C876" i="3"/>
  <c r="P875" i="3"/>
  <c r="E875" i="3"/>
  <c r="S874" i="3"/>
  <c r="G874" i="3"/>
  <c r="W873" i="3"/>
  <c r="I873" i="3"/>
  <c r="AN872" i="3"/>
  <c r="G872" i="3"/>
  <c r="U871" i="3"/>
  <c r="E871" i="3"/>
  <c r="L870" i="3"/>
  <c r="C870" i="3"/>
  <c r="I869" i="3"/>
  <c r="AN868" i="3"/>
  <c r="H868" i="3"/>
  <c r="Z867" i="3"/>
  <c r="J867" i="3"/>
  <c r="AU866" i="3"/>
  <c r="O866" i="3"/>
  <c r="D866" i="3"/>
  <c r="J865" i="3"/>
  <c r="AU864" i="3"/>
  <c r="O864" i="3"/>
  <c r="D864" i="3"/>
  <c r="Q863" i="3"/>
  <c r="F863" i="3"/>
  <c r="U862" i="3"/>
  <c r="H862" i="3"/>
  <c r="Z861" i="3"/>
  <c r="J861" i="3"/>
  <c r="AU860" i="3"/>
  <c r="H860" i="3"/>
  <c r="Z859" i="3"/>
  <c r="J859" i="3"/>
  <c r="AU858" i="3"/>
  <c r="O858" i="3"/>
  <c r="D858" i="3"/>
  <c r="Q857" i="3"/>
  <c r="F857" i="3"/>
  <c r="U856" i="3"/>
  <c r="H856" i="3"/>
  <c r="Z855" i="3"/>
  <c r="J855" i="3"/>
  <c r="AU854" i="3"/>
  <c r="O854" i="3"/>
  <c r="D854" i="3"/>
  <c r="Q853" i="3"/>
  <c r="F853" i="3"/>
  <c r="U852" i="3"/>
  <c r="H852" i="3"/>
  <c r="Z851" i="3"/>
  <c r="J851" i="3"/>
  <c r="AU850" i="3"/>
  <c r="O850" i="3"/>
  <c r="D850" i="3"/>
  <c r="Q849" i="3"/>
  <c r="F849" i="3"/>
  <c r="Q1039" i="3"/>
  <c r="L997" i="3"/>
  <c r="G979" i="3"/>
  <c r="AN971" i="3"/>
  <c r="S964" i="3"/>
  <c r="O957" i="3"/>
  <c r="J949" i="3"/>
  <c r="E943" i="3"/>
  <c r="G940" i="3"/>
  <c r="U937" i="3"/>
  <c r="U935" i="3"/>
  <c r="Z933" i="3"/>
  <c r="D932" i="3"/>
  <c r="G930" i="3"/>
  <c r="L928" i="3"/>
  <c r="S926" i="3"/>
  <c r="AN924" i="3"/>
  <c r="AN922" i="3"/>
  <c r="L920" i="3"/>
  <c r="O918" i="3"/>
  <c r="U916" i="3"/>
  <c r="W914" i="3"/>
  <c r="C913" i="3"/>
  <c r="C911" i="3"/>
  <c r="H909" i="3"/>
  <c r="O907" i="3"/>
  <c r="U905" i="3"/>
  <c r="AU903" i="3"/>
  <c r="F902" i="3"/>
  <c r="F900" i="3"/>
  <c r="AU898" i="3"/>
  <c r="Z897" i="3"/>
  <c r="S896" i="3"/>
  <c r="Z895" i="3"/>
  <c r="AU894" i="3"/>
  <c r="F894" i="3"/>
  <c r="L893" i="3"/>
  <c r="AU892" i="3"/>
  <c r="J892" i="3"/>
  <c r="AN891" i="3"/>
  <c r="J891" i="3"/>
  <c r="AN890" i="3"/>
  <c r="L890" i="3"/>
  <c r="AU889" i="3"/>
  <c r="G889" i="3"/>
  <c r="L888" i="3"/>
  <c r="AU887" i="3"/>
  <c r="G887" i="3"/>
  <c r="W886" i="3"/>
  <c r="I886" i="3"/>
  <c r="AN885" i="3"/>
  <c r="L885" i="3"/>
  <c r="C885" i="3"/>
  <c r="I884" i="3"/>
  <c r="AN883" i="3"/>
  <c r="L883" i="3"/>
  <c r="C883" i="3"/>
  <c r="P882" i="3"/>
  <c r="E882" i="3"/>
  <c r="S881" i="3"/>
  <c r="H881" i="3"/>
  <c r="Z880" i="3"/>
  <c r="J880" i="3"/>
  <c r="AU879" i="3"/>
  <c r="O879" i="3"/>
  <c r="D879" i="3"/>
  <c r="Q878" i="3"/>
  <c r="F878" i="3"/>
  <c r="U877" i="3"/>
  <c r="H877" i="3"/>
  <c r="Z876" i="3"/>
  <c r="J876" i="3"/>
  <c r="AU875" i="3"/>
  <c r="O875" i="3"/>
  <c r="D875" i="3"/>
  <c r="Q874" i="3"/>
  <c r="F874" i="3"/>
  <c r="U873" i="3"/>
  <c r="H873" i="3"/>
  <c r="Z872" i="3"/>
  <c r="F872" i="3"/>
  <c r="S871" i="3"/>
  <c r="D871" i="3"/>
  <c r="J870" i="3"/>
  <c r="AU869" i="3"/>
  <c r="H869" i="3"/>
  <c r="Z868" i="3"/>
  <c r="G868" i="3"/>
  <c r="W867" i="3"/>
  <c r="I867" i="3"/>
  <c r="AN866" i="3"/>
  <c r="L866" i="3"/>
  <c r="C866" i="3"/>
  <c r="I865" i="3"/>
  <c r="AN864" i="3"/>
  <c r="L864" i="3"/>
  <c r="C864" i="3"/>
  <c r="P863" i="3"/>
  <c r="E863" i="3"/>
  <c r="S862" i="3"/>
  <c r="G862" i="3"/>
  <c r="W861" i="3"/>
  <c r="I861" i="3"/>
  <c r="AN860" i="3"/>
  <c r="G860" i="3"/>
  <c r="W859" i="3"/>
  <c r="I859" i="3"/>
  <c r="AN858" i="3"/>
  <c r="L858" i="3"/>
  <c r="C858" i="3"/>
  <c r="P857" i="3"/>
  <c r="E857" i="3"/>
  <c r="S856" i="3"/>
  <c r="G856" i="3"/>
  <c r="W855" i="3"/>
  <c r="I855" i="3"/>
  <c r="AN854" i="3"/>
  <c r="L854" i="3"/>
  <c r="C854" i="3"/>
  <c r="P853" i="3"/>
  <c r="Q1034" i="3"/>
  <c r="S995" i="3"/>
  <c r="W978" i="3"/>
  <c r="L971" i="3"/>
  <c r="G964" i="3"/>
  <c r="D957" i="3"/>
  <c r="AU948" i="3"/>
  <c r="C943" i="3"/>
  <c r="C940" i="3"/>
  <c r="Q937" i="3"/>
  <c r="R935" i="3"/>
  <c r="U933" i="3"/>
  <c r="AU931" i="3"/>
  <c r="E930" i="3"/>
  <c r="I928" i="3"/>
  <c r="P926" i="3"/>
  <c r="W924" i="3"/>
  <c r="U922" i="3"/>
  <c r="I920" i="3"/>
  <c r="J918" i="3"/>
  <c r="R916" i="3"/>
  <c r="S914" i="3"/>
  <c r="AN912" i="3"/>
  <c r="AN910" i="3"/>
  <c r="F909" i="3"/>
  <c r="J907" i="3"/>
  <c r="Q905" i="3"/>
  <c r="Z903" i="3"/>
  <c r="D902" i="3"/>
  <c r="D900" i="3"/>
  <c r="Z898" i="3"/>
  <c r="Q897" i="3"/>
  <c r="J896" i="3"/>
  <c r="L895" i="3"/>
  <c r="AN894" i="3"/>
  <c r="E894" i="3"/>
  <c r="J893" i="3"/>
  <c r="Z892" i="3"/>
  <c r="I892" i="3"/>
  <c r="Z891" i="3"/>
  <c r="I891" i="3"/>
  <c r="Z890" i="3"/>
  <c r="J890" i="3"/>
  <c r="AN889" i="3"/>
  <c r="E889" i="3"/>
  <c r="J888" i="3"/>
  <c r="AN887" i="3"/>
  <c r="F887" i="3"/>
  <c r="U886" i="3"/>
  <c r="H886" i="3"/>
  <c r="Z885" i="3"/>
  <c r="J885" i="3"/>
  <c r="AU884" i="3"/>
  <c r="H884" i="3"/>
  <c r="Z883" i="3"/>
  <c r="J883" i="3"/>
  <c r="AU882" i="3"/>
  <c r="O882" i="3"/>
  <c r="D882" i="3"/>
  <c r="R881" i="3"/>
  <c r="G881" i="3"/>
  <c r="W880" i="3"/>
  <c r="I880" i="3"/>
  <c r="AN879" i="3"/>
  <c r="L879" i="3"/>
  <c r="C879" i="3"/>
  <c r="P878" i="3"/>
  <c r="E878" i="3"/>
  <c r="S877" i="3"/>
  <c r="G877" i="3"/>
  <c r="W876" i="3"/>
  <c r="I876" i="3"/>
  <c r="AN875" i="3"/>
  <c r="L875" i="3"/>
  <c r="C875" i="3"/>
  <c r="P874" i="3"/>
  <c r="E874" i="3"/>
  <c r="S873" i="3"/>
  <c r="G873" i="3"/>
  <c r="U872" i="3"/>
  <c r="E872" i="3"/>
  <c r="L871" i="3"/>
  <c r="C871" i="3"/>
  <c r="I870" i="3"/>
  <c r="AN869" i="3"/>
  <c r="G869" i="3"/>
  <c r="W868" i="3"/>
  <c r="F868" i="3"/>
  <c r="U867" i="3"/>
  <c r="H867" i="3"/>
  <c r="Z866" i="3"/>
  <c r="J866" i="3"/>
  <c r="AU865" i="3"/>
  <c r="H865" i="3"/>
  <c r="Z864" i="3"/>
  <c r="J864" i="3"/>
  <c r="AU863" i="3"/>
  <c r="O863" i="3"/>
  <c r="D863" i="3"/>
  <c r="Q862" i="3"/>
  <c r="F862" i="3"/>
  <c r="U861" i="3"/>
  <c r="H861" i="3"/>
  <c r="Z860" i="3"/>
  <c r="F860" i="3"/>
  <c r="U859" i="3"/>
  <c r="H859" i="3"/>
  <c r="Z858" i="3"/>
  <c r="J858" i="3"/>
  <c r="AU857" i="3"/>
  <c r="O857" i="3"/>
  <c r="D857" i="3"/>
  <c r="Q856" i="3"/>
  <c r="F856" i="3"/>
  <c r="U855" i="3"/>
  <c r="H855" i="3"/>
  <c r="Z854" i="3"/>
  <c r="J854" i="3"/>
  <c r="AU853" i="3"/>
  <c r="O853" i="3"/>
  <c r="D853" i="3"/>
  <c r="Q852" i="3"/>
  <c r="F852" i="3"/>
  <c r="U851" i="3"/>
  <c r="H851" i="3"/>
  <c r="Z850" i="3"/>
  <c r="J850" i="3"/>
  <c r="L1021" i="3"/>
  <c r="L989" i="3"/>
  <c r="O977" i="3"/>
  <c r="AN969" i="3"/>
  <c r="AN962" i="3"/>
  <c r="U955" i="3"/>
  <c r="Q947" i="3"/>
  <c r="G942" i="3"/>
  <c r="I939" i="3"/>
  <c r="G937" i="3"/>
  <c r="H935" i="3"/>
  <c r="J933" i="3"/>
  <c r="R931" i="3"/>
  <c r="W929" i="3"/>
  <c r="C928" i="3"/>
  <c r="G926" i="3"/>
  <c r="L924" i="3"/>
  <c r="G922" i="3"/>
  <c r="C920" i="3"/>
  <c r="D918" i="3"/>
  <c r="I916" i="3"/>
  <c r="I914" i="3"/>
  <c r="I912" i="3"/>
  <c r="P910" i="3"/>
  <c r="Z908" i="3"/>
  <c r="D907" i="3"/>
  <c r="H905" i="3"/>
  <c r="O903" i="3"/>
  <c r="U901" i="3"/>
  <c r="Z899" i="3"/>
  <c r="U898" i="3"/>
  <c r="O897" i="3"/>
  <c r="I896" i="3"/>
  <c r="J895" i="3"/>
  <c r="Z894" i="3"/>
  <c r="D894" i="3"/>
  <c r="H893" i="3"/>
  <c r="W892" i="3"/>
  <c r="H892" i="3"/>
  <c r="W891" i="3"/>
  <c r="H891" i="3"/>
  <c r="W890" i="3"/>
  <c r="I890" i="3"/>
  <c r="U889" i="3"/>
  <c r="D889" i="3"/>
  <c r="I888" i="3"/>
  <c r="Z887" i="3"/>
  <c r="E887" i="3"/>
  <c r="S886" i="3"/>
  <c r="G886" i="3"/>
  <c r="W885" i="3"/>
  <c r="I885" i="3"/>
  <c r="AN884" i="3"/>
  <c r="G884" i="3"/>
  <c r="W883" i="3"/>
  <c r="I883" i="3"/>
  <c r="AN882" i="3"/>
  <c r="L882" i="3"/>
  <c r="C882" i="3"/>
  <c r="Q881" i="3"/>
  <c r="F881" i="3"/>
  <c r="U880" i="3"/>
  <c r="H880" i="3"/>
  <c r="Z879" i="3"/>
  <c r="J879" i="3"/>
  <c r="AU878" i="3"/>
  <c r="O878" i="3"/>
  <c r="D878" i="3"/>
  <c r="Q877" i="3"/>
  <c r="F877" i="3"/>
  <c r="U876" i="3"/>
  <c r="H876" i="3"/>
  <c r="Z875" i="3"/>
  <c r="J875" i="3"/>
  <c r="AU874" i="3"/>
  <c r="O874" i="3"/>
  <c r="D874" i="3"/>
  <c r="Q873" i="3"/>
  <c r="F873" i="3"/>
  <c r="S872" i="3"/>
  <c r="D872" i="3"/>
  <c r="J871" i="3"/>
  <c r="AU870" i="3"/>
  <c r="H870" i="3"/>
  <c r="Z869" i="3"/>
  <c r="F869" i="3"/>
  <c r="U868" i="3"/>
  <c r="E868" i="3"/>
  <c r="S867" i="3"/>
  <c r="G867" i="3"/>
  <c r="W866" i="3"/>
  <c r="I866" i="3"/>
  <c r="AN865" i="3"/>
  <c r="G865" i="3"/>
  <c r="W864" i="3"/>
  <c r="I864" i="3"/>
  <c r="AN863" i="3"/>
  <c r="L863" i="3"/>
  <c r="C863" i="3"/>
  <c r="P862" i="3"/>
  <c r="E862" i="3"/>
  <c r="S861" i="3"/>
  <c r="G861" i="3"/>
  <c r="U860" i="3"/>
  <c r="E860" i="3"/>
  <c r="S859" i="3"/>
  <c r="G859" i="3"/>
  <c r="W858" i="3"/>
  <c r="I858" i="3"/>
  <c r="AN857" i="3"/>
  <c r="L857" i="3"/>
  <c r="C857" i="3"/>
  <c r="P856" i="3"/>
  <c r="E856" i="3"/>
  <c r="S855" i="3"/>
  <c r="G855" i="3"/>
  <c r="W854" i="3"/>
  <c r="I854" i="3"/>
  <c r="AN853" i="3"/>
  <c r="L853" i="3"/>
  <c r="C853" i="3"/>
  <c r="P852" i="3"/>
  <c r="E852" i="3"/>
  <c r="S851" i="3"/>
  <c r="AN1011" i="3"/>
  <c r="H984" i="3"/>
  <c r="O975" i="3"/>
  <c r="F968" i="3"/>
  <c r="D961" i="3"/>
  <c r="U953" i="3"/>
  <c r="AN945" i="3"/>
  <c r="J941" i="3"/>
  <c r="W938" i="3"/>
  <c r="U936" i="3"/>
  <c r="W934" i="3"/>
  <c r="AU932" i="3"/>
  <c r="E931" i="3"/>
  <c r="I929" i="3"/>
  <c r="P927" i="3"/>
  <c r="W925" i="3"/>
  <c r="C924" i="3"/>
  <c r="U921" i="3"/>
  <c r="J919" i="3"/>
  <c r="Q917" i="3"/>
  <c r="AN915" i="3"/>
  <c r="AN913" i="3"/>
  <c r="AN911" i="3"/>
  <c r="E910" i="3"/>
  <c r="J908" i="3"/>
  <c r="Q906" i="3"/>
  <c r="Z904" i="3"/>
  <c r="D903" i="3"/>
  <c r="H901" i="3"/>
  <c r="Q899" i="3"/>
  <c r="J898" i="3"/>
  <c r="F897" i="3"/>
  <c r="E896" i="3"/>
  <c r="H895" i="3"/>
  <c r="S894" i="3"/>
  <c r="Z893" i="3"/>
  <c r="F893" i="3"/>
  <c r="S892" i="3"/>
  <c r="F892" i="3"/>
  <c r="S891" i="3"/>
  <c r="F891" i="3"/>
  <c r="R890" i="3"/>
  <c r="F890" i="3"/>
  <c r="L889" i="3"/>
  <c r="AU888" i="3"/>
  <c r="G888" i="3"/>
  <c r="S887" i="3"/>
  <c r="C887" i="3"/>
  <c r="P886" i="3"/>
  <c r="E886" i="3"/>
  <c r="S885" i="3"/>
  <c r="G885" i="3"/>
  <c r="U884" i="3"/>
  <c r="E884" i="3"/>
  <c r="S883" i="3"/>
  <c r="G883" i="3"/>
  <c r="W882" i="3"/>
  <c r="I882" i="3"/>
  <c r="AN881" i="3"/>
  <c r="O881" i="3"/>
  <c r="D881" i="3"/>
  <c r="Q880" i="3"/>
  <c r="F880" i="3"/>
  <c r="U879" i="3"/>
  <c r="H879" i="3"/>
  <c r="Z878" i="3"/>
  <c r="J878" i="3"/>
  <c r="AU877" i="3"/>
  <c r="O877" i="3"/>
  <c r="D877" i="3"/>
  <c r="Q876" i="3"/>
  <c r="F876" i="3"/>
  <c r="U875" i="3"/>
  <c r="H875" i="3"/>
  <c r="Z874" i="3"/>
  <c r="J874" i="3"/>
  <c r="AU873" i="3"/>
  <c r="O873" i="3"/>
  <c r="D873" i="3"/>
  <c r="J872" i="3"/>
  <c r="AU871" i="3"/>
  <c r="H871" i="3"/>
  <c r="Z870" i="3"/>
  <c r="F870" i="3"/>
  <c r="S869" i="3"/>
  <c r="D869" i="3"/>
  <c r="L868" i="3"/>
  <c r="C868" i="3"/>
  <c r="P867" i="3"/>
  <c r="E867" i="3"/>
  <c r="S866" i="3"/>
  <c r="G866" i="3"/>
  <c r="U865" i="3"/>
  <c r="E865" i="3"/>
  <c r="S864" i="3"/>
  <c r="G864" i="3"/>
  <c r="W863" i="3"/>
  <c r="I863" i="3"/>
  <c r="AN862" i="3"/>
  <c r="L862" i="3"/>
  <c r="C862" i="3"/>
  <c r="P861" i="3"/>
  <c r="E861" i="3"/>
  <c r="L860" i="3"/>
  <c r="C860" i="3"/>
  <c r="P859" i="3"/>
  <c r="E859" i="3"/>
  <c r="S858" i="3"/>
  <c r="G858" i="3"/>
  <c r="W857" i="3"/>
  <c r="I857" i="3"/>
  <c r="AN856" i="3"/>
  <c r="L856" i="3"/>
  <c r="C856" i="3"/>
  <c r="P855" i="3"/>
  <c r="E855" i="3"/>
  <c r="S854" i="3"/>
  <c r="G854" i="3"/>
  <c r="W853" i="3"/>
  <c r="I853" i="3"/>
  <c r="Q1018" i="3"/>
  <c r="J962" i="3"/>
  <c r="G939" i="3"/>
  <c r="L931" i="3"/>
  <c r="I924" i="3"/>
  <c r="G916" i="3"/>
  <c r="U908" i="3"/>
  <c r="Q901" i="3"/>
  <c r="H896" i="3"/>
  <c r="G893" i="3"/>
  <c r="G891" i="3"/>
  <c r="C889" i="3"/>
  <c r="Q886" i="3"/>
  <c r="Z884" i="3"/>
  <c r="Z882" i="3"/>
  <c r="E881" i="3"/>
  <c r="I879" i="3"/>
  <c r="P877" i="3"/>
  <c r="W875" i="3"/>
  <c r="C874" i="3"/>
  <c r="C872" i="3"/>
  <c r="U869" i="3"/>
  <c r="Q867" i="3"/>
  <c r="Z865" i="3"/>
  <c r="Z863" i="3"/>
  <c r="D862" i="3"/>
  <c r="D860" i="3"/>
  <c r="H858" i="3"/>
  <c r="O856" i="3"/>
  <c r="U854" i="3"/>
  <c r="E853" i="3"/>
  <c r="G852" i="3"/>
  <c r="I851" i="3"/>
  <c r="S850" i="3"/>
  <c r="AU849" i="3"/>
  <c r="J849" i="3"/>
  <c r="Z848" i="3"/>
  <c r="J848" i="3"/>
  <c r="AU847" i="3"/>
  <c r="H847" i="3"/>
  <c r="Z846" i="3"/>
  <c r="L846" i="3"/>
  <c r="C846" i="3"/>
  <c r="I845" i="3"/>
  <c r="AN844" i="3"/>
  <c r="G844" i="3"/>
  <c r="U843" i="3"/>
  <c r="E843" i="3"/>
  <c r="S842" i="3"/>
  <c r="D842" i="3"/>
  <c r="Q841" i="3"/>
  <c r="F841" i="3"/>
  <c r="U840" i="3"/>
  <c r="H840" i="3"/>
  <c r="Z839" i="3"/>
  <c r="F839" i="3"/>
  <c r="U838" i="3"/>
  <c r="H838" i="3"/>
  <c r="Z837" i="3"/>
  <c r="J837" i="3"/>
  <c r="AU836" i="3"/>
  <c r="O836" i="3"/>
  <c r="D836" i="3"/>
  <c r="R835" i="3"/>
  <c r="E835" i="3"/>
  <c r="S834" i="3"/>
  <c r="G834" i="3"/>
  <c r="U833" i="3"/>
  <c r="E833" i="3"/>
  <c r="S832" i="3"/>
  <c r="H832" i="3"/>
  <c r="Z831" i="3"/>
  <c r="J831" i="3"/>
  <c r="AU830" i="3"/>
  <c r="O830" i="3"/>
  <c r="D830" i="3"/>
  <c r="Q829" i="3"/>
  <c r="F829" i="3"/>
  <c r="U828" i="3"/>
  <c r="H828" i="3"/>
  <c r="Z827" i="3"/>
  <c r="J827" i="3"/>
  <c r="AU826" i="3"/>
  <c r="L826" i="3"/>
  <c r="C826" i="3"/>
  <c r="P825" i="3"/>
  <c r="E825" i="3"/>
  <c r="S824" i="3"/>
  <c r="G824" i="3"/>
  <c r="W823" i="3"/>
  <c r="I823" i="3"/>
  <c r="AN822" i="3"/>
  <c r="L822" i="3"/>
  <c r="C822" i="3"/>
  <c r="P821" i="3"/>
  <c r="E821" i="3"/>
  <c r="S820" i="3"/>
  <c r="G820" i="3"/>
  <c r="W819" i="3"/>
  <c r="I819" i="3"/>
  <c r="AN818" i="3"/>
  <c r="G818" i="3"/>
  <c r="W817" i="3"/>
  <c r="J817" i="3"/>
  <c r="AU816" i="3"/>
  <c r="H816" i="3"/>
  <c r="Z815" i="3"/>
  <c r="F815" i="3"/>
  <c r="S814" i="3"/>
  <c r="D814" i="3"/>
  <c r="L813" i="3"/>
  <c r="C813" i="3"/>
  <c r="P812" i="3"/>
  <c r="E812" i="3"/>
  <c r="S811" i="3"/>
  <c r="G811" i="3"/>
  <c r="W810" i="3"/>
  <c r="J810" i="3"/>
  <c r="AU809" i="3"/>
  <c r="H809" i="3"/>
  <c r="Z808" i="3"/>
  <c r="J808" i="3"/>
  <c r="AU807" i="3"/>
  <c r="O807" i="3"/>
  <c r="D807" i="3"/>
  <c r="Q806" i="3"/>
  <c r="F806" i="3"/>
  <c r="U805" i="3"/>
  <c r="H805" i="3"/>
  <c r="AN1009" i="3"/>
  <c r="Q960" i="3"/>
  <c r="S938" i="3"/>
  <c r="C931" i="3"/>
  <c r="AN923" i="3"/>
  <c r="U915" i="3"/>
  <c r="H908" i="3"/>
  <c r="F901" i="3"/>
  <c r="D896" i="3"/>
  <c r="E893" i="3"/>
  <c r="D891" i="3"/>
  <c r="AN888" i="3"/>
  <c r="O886" i="3"/>
  <c r="S884" i="3"/>
  <c r="U882" i="3"/>
  <c r="C881" i="3"/>
  <c r="G879" i="3"/>
  <c r="L877" i="3"/>
  <c r="S875" i="3"/>
  <c r="AN873" i="3"/>
  <c r="AN871" i="3"/>
  <c r="L869" i="3"/>
  <c r="O867" i="3"/>
  <c r="S865" i="3"/>
  <c r="U863" i="3"/>
  <c r="AU861" i="3"/>
  <c r="AU859" i="3"/>
  <c r="F858" i="3"/>
  <c r="J856" i="3"/>
  <c r="Q854" i="3"/>
  <c r="AU852" i="3"/>
  <c r="D852" i="3"/>
  <c r="G851" i="3"/>
  <c r="Q850" i="3"/>
  <c r="AN849" i="3"/>
  <c r="I849" i="3"/>
  <c r="W848" i="3"/>
  <c r="I848" i="3"/>
  <c r="AN847" i="3"/>
  <c r="G847" i="3"/>
  <c r="W846" i="3"/>
  <c r="J846" i="3"/>
  <c r="AU845" i="3"/>
  <c r="H845" i="3"/>
  <c r="Z844" i="3"/>
  <c r="F844" i="3"/>
  <c r="S843" i="3"/>
  <c r="D843" i="3"/>
  <c r="L842" i="3"/>
  <c r="C842" i="3"/>
  <c r="P841" i="3"/>
  <c r="E841" i="3"/>
  <c r="S840" i="3"/>
  <c r="G840" i="3"/>
  <c r="U839" i="3"/>
  <c r="E839" i="3"/>
  <c r="S838" i="3"/>
  <c r="G838" i="3"/>
  <c r="W837" i="3"/>
  <c r="I837" i="3"/>
  <c r="AN836" i="3"/>
  <c r="L836" i="3"/>
  <c r="C836" i="3"/>
  <c r="Q835" i="3"/>
  <c r="D835" i="3"/>
  <c r="Q834" i="3"/>
  <c r="F834" i="3"/>
  <c r="S833" i="3"/>
  <c r="D833" i="3"/>
  <c r="R832" i="3"/>
  <c r="G832" i="3"/>
  <c r="W831" i="3"/>
  <c r="I831" i="3"/>
  <c r="AN830" i="3"/>
  <c r="L830" i="3"/>
  <c r="C830" i="3"/>
  <c r="P829" i="3"/>
  <c r="E829" i="3"/>
  <c r="S828" i="3"/>
  <c r="G828" i="3"/>
  <c r="W827" i="3"/>
  <c r="I827" i="3"/>
  <c r="AN826" i="3"/>
  <c r="J826" i="3"/>
  <c r="AU825" i="3"/>
  <c r="O825" i="3"/>
  <c r="D825" i="3"/>
  <c r="Q824" i="3"/>
  <c r="F824" i="3"/>
  <c r="U823" i="3"/>
  <c r="H823" i="3"/>
  <c r="Z822" i="3"/>
  <c r="J822" i="3"/>
  <c r="AU821" i="3"/>
  <c r="O821" i="3"/>
  <c r="D821" i="3"/>
  <c r="Q820" i="3"/>
  <c r="F820" i="3"/>
  <c r="U819" i="3"/>
  <c r="H819" i="3"/>
  <c r="Z818" i="3"/>
  <c r="F818" i="3"/>
  <c r="U817" i="3"/>
  <c r="I817" i="3"/>
  <c r="AN816" i="3"/>
  <c r="G816" i="3"/>
  <c r="U815" i="3"/>
  <c r="E815" i="3"/>
  <c r="L814" i="3"/>
  <c r="C814" i="3"/>
  <c r="J813" i="3"/>
  <c r="AU812" i="3"/>
  <c r="O812" i="3"/>
  <c r="D812" i="3"/>
  <c r="Q811" i="3"/>
  <c r="F811" i="3"/>
  <c r="U810" i="3"/>
  <c r="I810" i="3"/>
  <c r="AN809" i="3"/>
  <c r="G809" i="3"/>
  <c r="W808" i="3"/>
  <c r="I808" i="3"/>
  <c r="AN807" i="3"/>
  <c r="L807" i="3"/>
  <c r="C807" i="3"/>
  <c r="P806" i="3"/>
  <c r="E806" i="3"/>
  <c r="S805" i="3"/>
  <c r="G805" i="3"/>
  <c r="U804" i="3"/>
  <c r="E804" i="3"/>
  <c r="S803" i="3"/>
  <c r="H803" i="3"/>
  <c r="Z802" i="3"/>
  <c r="J802" i="3"/>
  <c r="AU801" i="3"/>
  <c r="O801" i="3"/>
  <c r="D801" i="3"/>
  <c r="R800" i="3"/>
  <c r="I987" i="3"/>
  <c r="H955" i="3"/>
  <c r="E937" i="3"/>
  <c r="S929" i="3"/>
  <c r="E922" i="3"/>
  <c r="G914" i="3"/>
  <c r="AU906" i="3"/>
  <c r="U899" i="3"/>
  <c r="I895" i="3"/>
  <c r="U892" i="3"/>
  <c r="U890" i="3"/>
  <c r="H888" i="3"/>
  <c r="F886" i="3"/>
  <c r="F884" i="3"/>
  <c r="J882" i="3"/>
  <c r="S880" i="3"/>
  <c r="AN878" i="3"/>
  <c r="E877" i="3"/>
  <c r="I875" i="3"/>
  <c r="P873" i="3"/>
  <c r="I871" i="3"/>
  <c r="E869" i="3"/>
  <c r="F867" i="3"/>
  <c r="F865" i="3"/>
  <c r="J863" i="3"/>
  <c r="Q861" i="3"/>
  <c r="Q859" i="3"/>
  <c r="Z857" i="3"/>
  <c r="D856" i="3"/>
  <c r="H854" i="3"/>
  <c r="AN852" i="3"/>
  <c r="C852" i="3"/>
  <c r="F851" i="3"/>
  <c r="L850" i="3"/>
  <c r="Z849" i="3"/>
  <c r="H849" i="3"/>
  <c r="U848" i="3"/>
  <c r="H848" i="3"/>
  <c r="Z847" i="3"/>
  <c r="F847" i="3"/>
  <c r="U846" i="3"/>
  <c r="I846" i="3"/>
  <c r="AN845" i="3"/>
  <c r="G845" i="3"/>
  <c r="U844" i="3"/>
  <c r="E844" i="3"/>
  <c r="L843" i="3"/>
  <c r="C843" i="3"/>
  <c r="J842" i="3"/>
  <c r="AU841" i="3"/>
  <c r="O841" i="3"/>
  <c r="D841" i="3"/>
  <c r="Q840" i="3"/>
  <c r="F840" i="3"/>
  <c r="S839" i="3"/>
  <c r="D839" i="3"/>
  <c r="Q838" i="3"/>
  <c r="F838" i="3"/>
  <c r="U837" i="3"/>
  <c r="H837" i="3"/>
  <c r="Z836" i="3"/>
  <c r="J836" i="3"/>
  <c r="AU835" i="3"/>
  <c r="L835" i="3"/>
  <c r="C835" i="3"/>
  <c r="P834" i="3"/>
  <c r="E834" i="3"/>
  <c r="L833" i="3"/>
  <c r="C833" i="3"/>
  <c r="Q832" i="3"/>
  <c r="F832" i="3"/>
  <c r="U831" i="3"/>
  <c r="H831" i="3"/>
  <c r="Z830" i="3"/>
  <c r="J830" i="3"/>
  <c r="AU829" i="3"/>
  <c r="O829" i="3"/>
  <c r="D829" i="3"/>
  <c r="Q828" i="3"/>
  <c r="F828" i="3"/>
  <c r="U827" i="3"/>
  <c r="H827" i="3"/>
  <c r="Z826" i="3"/>
  <c r="I826" i="3"/>
  <c r="AN825" i="3"/>
  <c r="L825" i="3"/>
  <c r="C825" i="3"/>
  <c r="P824" i="3"/>
  <c r="E824" i="3"/>
  <c r="S823" i="3"/>
  <c r="G823" i="3"/>
  <c r="W822" i="3"/>
  <c r="I822" i="3"/>
  <c r="AN821" i="3"/>
  <c r="L821" i="3"/>
  <c r="C821" i="3"/>
  <c r="P820" i="3"/>
  <c r="E820" i="3"/>
  <c r="S819" i="3"/>
  <c r="G819" i="3"/>
  <c r="U818" i="3"/>
  <c r="E818" i="3"/>
  <c r="S817" i="3"/>
  <c r="H817" i="3"/>
  <c r="Z816" i="3"/>
  <c r="F816" i="3"/>
  <c r="S815" i="3"/>
  <c r="D815" i="3"/>
  <c r="J814" i="3"/>
  <c r="AU813" i="3"/>
  <c r="I813" i="3"/>
  <c r="AN812" i="3"/>
  <c r="L812" i="3"/>
  <c r="C812" i="3"/>
  <c r="P811" i="3"/>
  <c r="E811" i="3"/>
  <c r="S810" i="3"/>
  <c r="H810" i="3"/>
  <c r="Z809" i="3"/>
  <c r="F809" i="3"/>
  <c r="U808" i="3"/>
  <c r="H808" i="3"/>
  <c r="Z807" i="3"/>
  <c r="J807" i="3"/>
  <c r="AU806" i="3"/>
  <c r="I983" i="3"/>
  <c r="I953" i="3"/>
  <c r="Q936" i="3"/>
  <c r="G929" i="3"/>
  <c r="L921" i="3"/>
  <c r="W913" i="3"/>
  <c r="O906" i="3"/>
  <c r="J899" i="3"/>
  <c r="G895" i="3"/>
  <c r="Q892" i="3"/>
  <c r="Q890" i="3"/>
  <c r="F888" i="3"/>
  <c r="D886" i="3"/>
  <c r="D884" i="3"/>
  <c r="H882" i="3"/>
  <c r="P880" i="3"/>
  <c r="W878" i="3"/>
  <c r="C877" i="3"/>
  <c r="G875" i="3"/>
  <c r="L873" i="3"/>
  <c r="G871" i="3"/>
  <c r="C869" i="3"/>
  <c r="D867" i="3"/>
  <c r="D865" i="3"/>
  <c r="H863" i="3"/>
  <c r="O861" i="3"/>
  <c r="O859" i="3"/>
  <c r="U857" i="3"/>
  <c r="AU855" i="3"/>
  <c r="F854" i="3"/>
  <c r="Z852" i="3"/>
  <c r="AU851" i="3"/>
  <c r="E851" i="3"/>
  <c r="I850" i="3"/>
  <c r="W849" i="3"/>
  <c r="E849" i="3"/>
  <c r="S848" i="3"/>
  <c r="G848" i="3"/>
  <c r="U847" i="3"/>
  <c r="E847" i="3"/>
  <c r="S846" i="3"/>
  <c r="H846" i="3"/>
  <c r="Z845" i="3"/>
  <c r="F845" i="3"/>
  <c r="S844" i="3"/>
  <c r="D844" i="3"/>
  <c r="J843" i="3"/>
  <c r="AU842" i="3"/>
  <c r="I842" i="3"/>
  <c r="AN841" i="3"/>
  <c r="L841" i="3"/>
  <c r="C841" i="3"/>
  <c r="P840" i="3"/>
  <c r="E840" i="3"/>
  <c r="L839" i="3"/>
  <c r="C839" i="3"/>
  <c r="P838" i="3"/>
  <c r="E838" i="3"/>
  <c r="S837" i="3"/>
  <c r="G837" i="3"/>
  <c r="W836" i="3"/>
  <c r="I836" i="3"/>
  <c r="AN835" i="3"/>
  <c r="J835" i="3"/>
  <c r="AU834" i="3"/>
  <c r="O834" i="3"/>
  <c r="D834" i="3"/>
  <c r="J833" i="3"/>
  <c r="AU832" i="3"/>
  <c r="P832" i="3"/>
  <c r="E832" i="3"/>
  <c r="S831" i="3"/>
  <c r="G831" i="3"/>
  <c r="W830" i="3"/>
  <c r="I830" i="3"/>
  <c r="AN829" i="3"/>
  <c r="L829" i="3"/>
  <c r="C829" i="3"/>
  <c r="P828" i="3"/>
  <c r="E828" i="3"/>
  <c r="S827" i="3"/>
  <c r="G827" i="3"/>
  <c r="W826" i="3"/>
  <c r="H826" i="3"/>
  <c r="Z825" i="3"/>
  <c r="J825" i="3"/>
  <c r="AU824" i="3"/>
  <c r="O824" i="3"/>
  <c r="D824" i="3"/>
  <c r="Q823" i="3"/>
  <c r="F823" i="3"/>
  <c r="U822" i="3"/>
  <c r="H822" i="3"/>
  <c r="Z821" i="3"/>
  <c r="J821" i="3"/>
  <c r="AU820" i="3"/>
  <c r="O820" i="3"/>
  <c r="D820" i="3"/>
  <c r="Q819" i="3"/>
  <c r="F819" i="3"/>
  <c r="S818" i="3"/>
  <c r="D818" i="3"/>
  <c r="R817" i="3"/>
  <c r="G817" i="3"/>
  <c r="U816" i="3"/>
  <c r="E816" i="3"/>
  <c r="L815" i="3"/>
  <c r="C815" i="3"/>
  <c r="I814" i="3"/>
  <c r="AN813" i="3"/>
  <c r="H813" i="3"/>
  <c r="Z812" i="3"/>
  <c r="J812" i="3"/>
  <c r="AU811" i="3"/>
  <c r="O811" i="3"/>
  <c r="D811" i="3"/>
  <c r="R810" i="3"/>
  <c r="G810" i="3"/>
  <c r="U809" i="3"/>
  <c r="E809" i="3"/>
  <c r="S808" i="3"/>
  <c r="G808" i="3"/>
  <c r="W807" i="3"/>
  <c r="I807" i="3"/>
  <c r="AN806" i="3"/>
  <c r="L806" i="3"/>
  <c r="C806" i="3"/>
  <c r="P805" i="3"/>
  <c r="D977" i="3"/>
  <c r="F947" i="3"/>
  <c r="E935" i="3"/>
  <c r="AN927" i="3"/>
  <c r="AN919" i="3"/>
  <c r="G912" i="3"/>
  <c r="F905" i="3"/>
  <c r="O898" i="3"/>
  <c r="U894" i="3"/>
  <c r="G892" i="3"/>
  <c r="G890" i="3"/>
  <c r="U887" i="3"/>
  <c r="U885" i="3"/>
  <c r="U883" i="3"/>
  <c r="AU881" i="3"/>
  <c r="G880" i="3"/>
  <c r="L878" i="3"/>
  <c r="S876" i="3"/>
  <c r="AN874" i="3"/>
  <c r="E873" i="3"/>
  <c r="AN870" i="3"/>
  <c r="S868" i="3"/>
  <c r="U866" i="3"/>
  <c r="U864" i="3"/>
  <c r="AU862" i="3"/>
  <c r="F861" i="3"/>
  <c r="F859" i="3"/>
  <c r="J857" i="3"/>
  <c r="Q855" i="3"/>
  <c r="Z853" i="3"/>
  <c r="S852" i="3"/>
  <c r="W851" i="3"/>
  <c r="D851" i="3"/>
  <c r="H850" i="3"/>
  <c r="U849" i="3"/>
  <c r="D849" i="3"/>
  <c r="Q848" i="3"/>
  <c r="F848" i="3"/>
  <c r="S847" i="3"/>
  <c r="D847" i="3"/>
  <c r="R846" i="3"/>
  <c r="G846" i="3"/>
  <c r="U845" i="3"/>
  <c r="E845" i="3"/>
  <c r="L844" i="3"/>
  <c r="C844" i="3"/>
  <c r="I843" i="3"/>
  <c r="AN842" i="3"/>
  <c r="H842" i="3"/>
  <c r="Z841" i="3"/>
  <c r="J841" i="3"/>
  <c r="AU840" i="3"/>
  <c r="O840" i="3"/>
  <c r="D840" i="3"/>
  <c r="J839" i="3"/>
  <c r="AU838" i="3"/>
  <c r="O838" i="3"/>
  <c r="D838" i="3"/>
  <c r="Q837" i="3"/>
  <c r="F837" i="3"/>
  <c r="U836" i="3"/>
  <c r="H836" i="3"/>
  <c r="Z835" i="3"/>
  <c r="I835" i="3"/>
  <c r="AN834" i="3"/>
  <c r="L834" i="3"/>
  <c r="C834" i="3"/>
  <c r="I833" i="3"/>
  <c r="AN832" i="3"/>
  <c r="O832" i="3"/>
  <c r="D832" i="3"/>
  <c r="Q831" i="3"/>
  <c r="F831" i="3"/>
  <c r="U830" i="3"/>
  <c r="H830" i="3"/>
  <c r="Z829" i="3"/>
  <c r="J829" i="3"/>
  <c r="AU828" i="3"/>
  <c r="O828" i="3"/>
  <c r="D828" i="3"/>
  <c r="Q827" i="3"/>
  <c r="F827" i="3"/>
  <c r="U826" i="3"/>
  <c r="G826" i="3"/>
  <c r="W825" i="3"/>
  <c r="I825" i="3"/>
  <c r="AN824" i="3"/>
  <c r="L824" i="3"/>
  <c r="C824" i="3"/>
  <c r="P823" i="3"/>
  <c r="E823" i="3"/>
  <c r="S822" i="3"/>
  <c r="G822" i="3"/>
  <c r="W821" i="3"/>
  <c r="I821" i="3"/>
  <c r="AN820" i="3"/>
  <c r="L820" i="3"/>
  <c r="C820" i="3"/>
  <c r="P819" i="3"/>
  <c r="E819" i="3"/>
  <c r="L818" i="3"/>
  <c r="C818" i="3"/>
  <c r="Q817" i="3"/>
  <c r="F817" i="3"/>
  <c r="S816" i="3"/>
  <c r="D816" i="3"/>
  <c r="J815" i="3"/>
  <c r="AU814" i="3"/>
  <c r="H814" i="3"/>
  <c r="Z813" i="3"/>
  <c r="G813" i="3"/>
  <c r="W812" i="3"/>
  <c r="I812" i="3"/>
  <c r="AN811" i="3"/>
  <c r="L811" i="3"/>
  <c r="C811" i="3"/>
  <c r="Q810" i="3"/>
  <c r="F810" i="3"/>
  <c r="S809" i="3"/>
  <c r="D809" i="3"/>
  <c r="Q808" i="3"/>
  <c r="F808" i="3"/>
  <c r="U807" i="3"/>
  <c r="H807" i="3"/>
  <c r="Z806" i="3"/>
  <c r="O969" i="3"/>
  <c r="E942" i="3"/>
  <c r="H933" i="3"/>
  <c r="E926" i="3"/>
  <c r="AU917" i="3"/>
  <c r="L910" i="3"/>
  <c r="J903" i="3"/>
  <c r="J897" i="3"/>
  <c r="AN893" i="3"/>
  <c r="U891" i="3"/>
  <c r="S889" i="3"/>
  <c r="D887" i="3"/>
  <c r="H885" i="3"/>
  <c r="H883" i="3"/>
  <c r="P881" i="3"/>
  <c r="W879" i="3"/>
  <c r="C878" i="3"/>
  <c r="G876" i="3"/>
  <c r="L874" i="3"/>
  <c r="L872" i="3"/>
  <c r="G870" i="3"/>
  <c r="D868" i="3"/>
  <c r="H866" i="3"/>
  <c r="H864" i="3"/>
  <c r="O862" i="3"/>
  <c r="S860" i="3"/>
  <c r="U858" i="3"/>
  <c r="AU856" i="3"/>
  <c r="F855" i="3"/>
  <c r="J853" i="3"/>
  <c r="L852" i="3"/>
  <c r="P851" i="3"/>
  <c r="W850" i="3"/>
  <c r="F850" i="3"/>
  <c r="O849" i="3"/>
  <c r="AU848" i="3"/>
  <c r="O848" i="3"/>
  <c r="D848" i="3"/>
  <c r="J847" i="3"/>
  <c r="AU846" i="3"/>
  <c r="P846" i="3"/>
  <c r="E846" i="3"/>
  <c r="L845" i="3"/>
  <c r="C845" i="3"/>
  <c r="I844" i="3"/>
  <c r="AN843" i="3"/>
  <c r="G843" i="3"/>
  <c r="W842" i="3"/>
  <c r="F842" i="3"/>
  <c r="U841" i="3"/>
  <c r="H841" i="3"/>
  <c r="Z840" i="3"/>
  <c r="J840" i="3"/>
  <c r="AU839" i="3"/>
  <c r="H839" i="3"/>
  <c r="Z838" i="3"/>
  <c r="J838" i="3"/>
  <c r="AU837" i="3"/>
  <c r="O837" i="3"/>
  <c r="D837" i="3"/>
  <c r="Q836" i="3"/>
  <c r="F836" i="3"/>
  <c r="U835" i="3"/>
  <c r="G835" i="3"/>
  <c r="W834" i="3"/>
  <c r="I834" i="3"/>
  <c r="AN833" i="3"/>
  <c r="G833" i="3"/>
  <c r="W832" i="3"/>
  <c r="J832" i="3"/>
  <c r="AU831" i="3"/>
  <c r="O831" i="3"/>
  <c r="D831" i="3"/>
  <c r="Q830" i="3"/>
  <c r="F830" i="3"/>
  <c r="U829" i="3"/>
  <c r="H829" i="3"/>
  <c r="Z828" i="3"/>
  <c r="J828" i="3"/>
  <c r="AU827" i="3"/>
  <c r="O827" i="3"/>
  <c r="D827" i="3"/>
  <c r="R826" i="3"/>
  <c r="E826" i="3"/>
  <c r="S825" i="3"/>
  <c r="G825" i="3"/>
  <c r="W824" i="3"/>
  <c r="I824" i="3"/>
  <c r="AN823" i="3"/>
  <c r="L823" i="3"/>
  <c r="C823" i="3"/>
  <c r="P822" i="3"/>
  <c r="E822" i="3"/>
  <c r="S821" i="3"/>
  <c r="G821" i="3"/>
  <c r="W820" i="3"/>
  <c r="I820" i="3"/>
  <c r="AN819" i="3"/>
  <c r="L819" i="3"/>
  <c r="C819" i="3"/>
  <c r="I818" i="3"/>
  <c r="AN817" i="3"/>
  <c r="O817" i="3"/>
  <c r="D817" i="3"/>
  <c r="J816" i="3"/>
  <c r="AU815" i="3"/>
  <c r="H815" i="3"/>
  <c r="Z814" i="3"/>
  <c r="F814" i="3"/>
  <c r="U813" i="3"/>
  <c r="E813" i="3"/>
  <c r="S812" i="3"/>
  <c r="G812" i="3"/>
  <c r="W811" i="3"/>
  <c r="I811" i="3"/>
  <c r="AN810" i="3"/>
  <c r="O810" i="3"/>
  <c r="D810" i="3"/>
  <c r="J809" i="3"/>
  <c r="AU808" i="3"/>
  <c r="O808" i="3"/>
  <c r="D808" i="3"/>
  <c r="Q807" i="3"/>
  <c r="F807" i="3"/>
  <c r="U806" i="3"/>
  <c r="H806" i="3"/>
  <c r="Z805" i="3"/>
  <c r="D975" i="3"/>
  <c r="H919" i="3"/>
  <c r="I894" i="3"/>
  <c r="Q885" i="3"/>
  <c r="I878" i="3"/>
  <c r="U870" i="3"/>
  <c r="Z862" i="3"/>
  <c r="O855" i="3"/>
  <c r="AN850" i="3"/>
  <c r="P848" i="3"/>
  <c r="Q846" i="3"/>
  <c r="J844" i="3"/>
  <c r="G842" i="3"/>
  <c r="L840" i="3"/>
  <c r="L838" i="3"/>
  <c r="S836" i="3"/>
  <c r="Z834" i="3"/>
  <c r="Z832" i="3"/>
  <c r="E831" i="3"/>
  <c r="I829" i="3"/>
  <c r="P827" i="3"/>
  <c r="U825" i="3"/>
  <c r="AU823" i="3"/>
  <c r="F822" i="3"/>
  <c r="J820" i="3"/>
  <c r="J818" i="3"/>
  <c r="L816" i="3"/>
  <c r="G814" i="3"/>
  <c r="H812" i="3"/>
  <c r="P810" i="3"/>
  <c r="P808" i="3"/>
  <c r="W806" i="3"/>
  <c r="AN805" i="3"/>
  <c r="E805" i="3"/>
  <c r="J804" i="3"/>
  <c r="AN803" i="3"/>
  <c r="L803" i="3"/>
  <c r="AU802" i="3"/>
  <c r="L802" i="3"/>
  <c r="AN801" i="3"/>
  <c r="J801" i="3"/>
  <c r="AN800" i="3"/>
  <c r="L800" i="3"/>
  <c r="C800" i="3"/>
  <c r="P799" i="3"/>
  <c r="E799" i="3"/>
  <c r="S798" i="3"/>
  <c r="G798" i="3"/>
  <c r="W797" i="3"/>
  <c r="I797" i="3"/>
  <c r="AN796" i="3"/>
  <c r="L796" i="3"/>
  <c r="C796" i="3"/>
  <c r="P795" i="3"/>
  <c r="E795" i="3"/>
  <c r="S794" i="3"/>
  <c r="G794" i="3"/>
  <c r="W793" i="3"/>
  <c r="I793" i="3"/>
  <c r="AN792" i="3"/>
  <c r="L792" i="3"/>
  <c r="C792" i="3"/>
  <c r="P791" i="3"/>
  <c r="E791" i="3"/>
  <c r="S790" i="3"/>
  <c r="G790" i="3"/>
  <c r="U789" i="3"/>
  <c r="E789" i="3"/>
  <c r="S788" i="3"/>
  <c r="H788" i="3"/>
  <c r="Z787" i="3"/>
  <c r="F787" i="3"/>
  <c r="S786" i="3"/>
  <c r="D786" i="3"/>
  <c r="J785" i="3"/>
  <c r="AU784" i="3"/>
  <c r="I784" i="3"/>
  <c r="AN783" i="3"/>
  <c r="L783" i="3"/>
  <c r="C783" i="3"/>
  <c r="P782" i="3"/>
  <c r="E782" i="3"/>
  <c r="L781" i="3"/>
  <c r="C781" i="3"/>
  <c r="P780" i="3"/>
  <c r="E780" i="3"/>
  <c r="S779" i="3"/>
  <c r="G779" i="3"/>
  <c r="W778" i="3"/>
  <c r="I778" i="3"/>
  <c r="AN777" i="3"/>
  <c r="L777" i="3"/>
  <c r="C777" i="3"/>
  <c r="I776" i="3"/>
  <c r="AN775" i="3"/>
  <c r="O775" i="3"/>
  <c r="D775" i="3"/>
  <c r="Q774" i="3"/>
  <c r="F774" i="3"/>
  <c r="U773" i="3"/>
  <c r="H773" i="3"/>
  <c r="Z772" i="3"/>
  <c r="J772" i="3"/>
  <c r="AU771" i="3"/>
  <c r="O771" i="3"/>
  <c r="D771" i="3"/>
  <c r="Q770" i="3"/>
  <c r="F770" i="3"/>
  <c r="U769" i="3"/>
  <c r="H769" i="3"/>
  <c r="Z768" i="3"/>
  <c r="J768" i="3"/>
  <c r="AU767" i="3"/>
  <c r="O767" i="3"/>
  <c r="D767" i="3"/>
  <c r="Q766" i="3"/>
  <c r="F766" i="3"/>
  <c r="U765" i="3"/>
  <c r="H765" i="3"/>
  <c r="Z764" i="3"/>
  <c r="J764" i="3"/>
  <c r="AU763" i="3"/>
  <c r="O763" i="3"/>
  <c r="D763" i="3"/>
  <c r="J762" i="3"/>
  <c r="AU761" i="3"/>
  <c r="P761" i="3"/>
  <c r="E761" i="3"/>
  <c r="L760" i="3"/>
  <c r="C760" i="3"/>
  <c r="I759" i="3"/>
  <c r="AN758" i="3"/>
  <c r="G758" i="3"/>
  <c r="W757" i="3"/>
  <c r="U967" i="3"/>
  <c r="O917" i="3"/>
  <c r="W893" i="3"/>
  <c r="F885" i="3"/>
  <c r="AN877" i="3"/>
  <c r="E870" i="3"/>
  <c r="J862" i="3"/>
  <c r="D855" i="3"/>
  <c r="U850" i="3"/>
  <c r="L848" i="3"/>
  <c r="O846" i="3"/>
  <c r="H844" i="3"/>
  <c r="E842" i="3"/>
  <c r="I840" i="3"/>
  <c r="I838" i="3"/>
  <c r="P836" i="3"/>
  <c r="U834" i="3"/>
  <c r="U832" i="3"/>
  <c r="C831" i="3"/>
  <c r="G829" i="3"/>
  <c r="L827" i="3"/>
  <c r="Q825" i="3"/>
  <c r="Z823" i="3"/>
  <c r="D822" i="3"/>
  <c r="H820" i="3"/>
  <c r="H818" i="3"/>
  <c r="I816" i="3"/>
  <c r="E814" i="3"/>
  <c r="F812" i="3"/>
  <c r="L810" i="3"/>
  <c r="L808" i="3"/>
  <c r="S806" i="3"/>
  <c r="W805" i="3"/>
  <c r="D805" i="3"/>
  <c r="I804" i="3"/>
  <c r="Z803" i="3"/>
  <c r="J803" i="3"/>
  <c r="AN802" i="3"/>
  <c r="I802" i="3"/>
  <c r="Z801" i="3"/>
  <c r="I801" i="3"/>
  <c r="Z800" i="3"/>
  <c r="J800" i="3"/>
  <c r="AU799" i="3"/>
  <c r="O799" i="3"/>
  <c r="D799" i="3"/>
  <c r="Q798" i="3"/>
  <c r="F798" i="3"/>
  <c r="U797" i="3"/>
  <c r="H797" i="3"/>
  <c r="Z796" i="3"/>
  <c r="J796" i="3"/>
  <c r="AU795" i="3"/>
  <c r="O795" i="3"/>
  <c r="D795" i="3"/>
  <c r="Q794" i="3"/>
  <c r="F794" i="3"/>
  <c r="U793" i="3"/>
  <c r="H793" i="3"/>
  <c r="Z792" i="3"/>
  <c r="J792" i="3"/>
  <c r="AU791" i="3"/>
  <c r="O791" i="3"/>
  <c r="D791" i="3"/>
  <c r="Q790" i="3"/>
  <c r="F790" i="3"/>
  <c r="S789" i="3"/>
  <c r="D789" i="3"/>
  <c r="R788" i="3"/>
  <c r="G788" i="3"/>
  <c r="U787" i="3"/>
  <c r="E787" i="3"/>
  <c r="L786" i="3"/>
  <c r="C786" i="3"/>
  <c r="I785" i="3"/>
  <c r="AN784" i="3"/>
  <c r="H784" i="3"/>
  <c r="Z783" i="3"/>
  <c r="J783" i="3"/>
  <c r="AU782" i="3"/>
  <c r="O782" i="3"/>
  <c r="D782" i="3"/>
  <c r="J781" i="3"/>
  <c r="AU780" i="3"/>
  <c r="O780" i="3"/>
  <c r="D780" i="3"/>
  <c r="Q779" i="3"/>
  <c r="F779" i="3"/>
  <c r="U778" i="3"/>
  <c r="H778" i="3"/>
  <c r="Z777" i="3"/>
  <c r="J777" i="3"/>
  <c r="AU776" i="3"/>
  <c r="H776" i="3"/>
  <c r="Z775" i="3"/>
  <c r="L775" i="3"/>
  <c r="C775" i="3"/>
  <c r="P774" i="3"/>
  <c r="E774" i="3"/>
  <c r="S773" i="3"/>
  <c r="G773" i="3"/>
  <c r="W772" i="3"/>
  <c r="I772" i="3"/>
  <c r="AN771" i="3"/>
  <c r="L771" i="3"/>
  <c r="C771" i="3"/>
  <c r="P770" i="3"/>
  <c r="E770" i="3"/>
  <c r="S769" i="3"/>
  <c r="G769" i="3"/>
  <c r="W768" i="3"/>
  <c r="I768" i="3"/>
  <c r="AN767" i="3"/>
  <c r="L767" i="3"/>
  <c r="C767" i="3"/>
  <c r="P766" i="3"/>
  <c r="E766" i="3"/>
  <c r="S765" i="3"/>
  <c r="G765" i="3"/>
  <c r="W764" i="3"/>
  <c r="I764" i="3"/>
  <c r="AN763" i="3"/>
  <c r="L763" i="3"/>
  <c r="C763" i="3"/>
  <c r="I762" i="3"/>
  <c r="AN761" i="3"/>
  <c r="O761" i="3"/>
  <c r="D761" i="3"/>
  <c r="J760" i="3"/>
  <c r="AU759" i="3"/>
  <c r="H759" i="3"/>
  <c r="Z758" i="3"/>
  <c r="G945" i="3"/>
  <c r="W911" i="3"/>
  <c r="E892" i="3"/>
  <c r="Q883" i="3"/>
  <c r="P876" i="3"/>
  <c r="J868" i="3"/>
  <c r="D861" i="3"/>
  <c r="U853" i="3"/>
  <c r="G850" i="3"/>
  <c r="E848" i="3"/>
  <c r="F846" i="3"/>
  <c r="AU843" i="3"/>
  <c r="W841" i="3"/>
  <c r="C840" i="3"/>
  <c r="C838" i="3"/>
  <c r="G836" i="3"/>
  <c r="J834" i="3"/>
  <c r="L832" i="3"/>
  <c r="S830" i="3"/>
  <c r="AN828" i="3"/>
  <c r="E827" i="3"/>
  <c r="H825" i="3"/>
  <c r="O823" i="3"/>
  <c r="U821" i="3"/>
  <c r="AU819" i="3"/>
  <c r="AU817" i="3"/>
  <c r="C816" i="3"/>
  <c r="W813" i="3"/>
  <c r="Z811" i="3"/>
  <c r="E810" i="3"/>
  <c r="E808" i="3"/>
  <c r="O806" i="3"/>
  <c r="Q805" i="3"/>
  <c r="C805" i="3"/>
  <c r="H804" i="3"/>
  <c r="W803" i="3"/>
  <c r="I803" i="3"/>
  <c r="W802" i="3"/>
  <c r="H802" i="3"/>
  <c r="W801" i="3"/>
  <c r="H801" i="3"/>
  <c r="W800" i="3"/>
  <c r="I800" i="3"/>
  <c r="AN799" i="3"/>
  <c r="L799" i="3"/>
  <c r="C799" i="3"/>
  <c r="P798" i="3"/>
  <c r="E798" i="3"/>
  <c r="S797" i="3"/>
  <c r="G797" i="3"/>
  <c r="W796" i="3"/>
  <c r="I796" i="3"/>
  <c r="AN795" i="3"/>
  <c r="L795" i="3"/>
  <c r="C795" i="3"/>
  <c r="P794" i="3"/>
  <c r="E794" i="3"/>
  <c r="S793" i="3"/>
  <c r="G793" i="3"/>
  <c r="W792" i="3"/>
  <c r="I792" i="3"/>
  <c r="AN791" i="3"/>
  <c r="L791" i="3"/>
  <c r="C791" i="3"/>
  <c r="P790" i="3"/>
  <c r="E790" i="3"/>
  <c r="L789" i="3"/>
  <c r="C789" i="3"/>
  <c r="Q788" i="3"/>
  <c r="F788" i="3"/>
  <c r="S787" i="3"/>
  <c r="D787" i="3"/>
  <c r="J786" i="3"/>
  <c r="AU785" i="3"/>
  <c r="H785" i="3"/>
  <c r="Z784" i="3"/>
  <c r="G784" i="3"/>
  <c r="W783" i="3"/>
  <c r="I783" i="3"/>
  <c r="AN782" i="3"/>
  <c r="L782" i="3"/>
  <c r="C782" i="3"/>
  <c r="I781" i="3"/>
  <c r="AN780" i="3"/>
  <c r="L780" i="3"/>
  <c r="C780" i="3"/>
  <c r="P779" i="3"/>
  <c r="E779" i="3"/>
  <c r="S778" i="3"/>
  <c r="G778" i="3"/>
  <c r="W777" i="3"/>
  <c r="I777" i="3"/>
  <c r="AN776" i="3"/>
  <c r="G776" i="3"/>
  <c r="W775" i="3"/>
  <c r="J775" i="3"/>
  <c r="AU774" i="3"/>
  <c r="O774" i="3"/>
  <c r="D774" i="3"/>
  <c r="Q773" i="3"/>
  <c r="F773" i="3"/>
  <c r="U772" i="3"/>
  <c r="H772" i="3"/>
  <c r="Z771" i="3"/>
  <c r="J771" i="3"/>
  <c r="AU770" i="3"/>
  <c r="O770" i="3"/>
  <c r="D770" i="3"/>
  <c r="Q769" i="3"/>
  <c r="F769" i="3"/>
  <c r="U768" i="3"/>
  <c r="H768" i="3"/>
  <c r="Z767" i="3"/>
  <c r="J767" i="3"/>
  <c r="AU766" i="3"/>
  <c r="O766" i="3"/>
  <c r="D766" i="3"/>
  <c r="Q765" i="3"/>
  <c r="F765" i="3"/>
  <c r="U764" i="3"/>
  <c r="H764" i="3"/>
  <c r="Z763" i="3"/>
  <c r="J763" i="3"/>
  <c r="AU762" i="3"/>
  <c r="H762" i="3"/>
  <c r="Z761" i="3"/>
  <c r="L761" i="3"/>
  <c r="C761" i="3"/>
  <c r="H941" i="3"/>
  <c r="C910" i="3"/>
  <c r="Q891" i="3"/>
  <c r="F883" i="3"/>
  <c r="E876" i="3"/>
  <c r="AU867" i="3"/>
  <c r="J860" i="3"/>
  <c r="H853" i="3"/>
  <c r="C850" i="3"/>
  <c r="C848" i="3"/>
  <c r="D846" i="3"/>
  <c r="Z843" i="3"/>
  <c r="S841" i="3"/>
  <c r="AN839" i="3"/>
  <c r="AN837" i="3"/>
  <c r="E836" i="3"/>
  <c r="H834" i="3"/>
  <c r="I832" i="3"/>
  <c r="P830" i="3"/>
  <c r="W828" i="3"/>
  <c r="C827" i="3"/>
  <c r="F825" i="3"/>
  <c r="J823" i="3"/>
  <c r="Q821" i="3"/>
  <c r="Z819" i="3"/>
  <c r="Z817" i="3"/>
  <c r="AN815" i="3"/>
  <c r="S813" i="3"/>
  <c r="U811" i="3"/>
  <c r="C810" i="3"/>
  <c r="C808" i="3"/>
  <c r="J806" i="3"/>
  <c r="O805" i="3"/>
  <c r="AU804" i="3"/>
  <c r="G804" i="3"/>
  <c r="U803" i="3"/>
  <c r="G803" i="3"/>
  <c r="U802" i="3"/>
  <c r="G802" i="3"/>
  <c r="U801" i="3"/>
  <c r="G801" i="3"/>
  <c r="U800" i="3"/>
  <c r="H800" i="3"/>
  <c r="Z799" i="3"/>
  <c r="J799" i="3"/>
  <c r="AU798" i="3"/>
  <c r="O798" i="3"/>
  <c r="D798" i="3"/>
  <c r="Q797" i="3"/>
  <c r="F797" i="3"/>
  <c r="U796" i="3"/>
  <c r="H796" i="3"/>
  <c r="Z795" i="3"/>
  <c r="J795" i="3"/>
  <c r="AU794" i="3"/>
  <c r="O794" i="3"/>
  <c r="D794" i="3"/>
  <c r="Q793" i="3"/>
  <c r="F793" i="3"/>
  <c r="U792" i="3"/>
  <c r="H792" i="3"/>
  <c r="Z791" i="3"/>
  <c r="J791" i="3"/>
  <c r="AU790" i="3"/>
  <c r="O790" i="3"/>
  <c r="D790" i="3"/>
  <c r="J789" i="3"/>
  <c r="AU788" i="3"/>
  <c r="P788" i="3"/>
  <c r="E788" i="3"/>
  <c r="L787" i="3"/>
  <c r="C787" i="3"/>
  <c r="I786" i="3"/>
  <c r="AN785" i="3"/>
  <c r="G785" i="3"/>
  <c r="W784" i="3"/>
  <c r="F784" i="3"/>
  <c r="U783" i="3"/>
  <c r="H783" i="3"/>
  <c r="Z782" i="3"/>
  <c r="J782" i="3"/>
  <c r="AU781" i="3"/>
  <c r="H781" i="3"/>
  <c r="Z780" i="3"/>
  <c r="J780" i="3"/>
  <c r="AU779" i="3"/>
  <c r="O779" i="3"/>
  <c r="D779" i="3"/>
  <c r="Q778" i="3"/>
  <c r="F778" i="3"/>
  <c r="U777" i="3"/>
  <c r="H777" i="3"/>
  <c r="Z776" i="3"/>
  <c r="F776" i="3"/>
  <c r="U775" i="3"/>
  <c r="I775" i="3"/>
  <c r="AN774" i="3"/>
  <c r="L774" i="3"/>
  <c r="C774" i="3"/>
  <c r="P773" i="3"/>
  <c r="E773" i="3"/>
  <c r="S772" i="3"/>
  <c r="G772" i="3"/>
  <c r="W771" i="3"/>
  <c r="I771" i="3"/>
  <c r="AN770" i="3"/>
  <c r="L770" i="3"/>
  <c r="C770" i="3"/>
  <c r="P769" i="3"/>
  <c r="E769" i="3"/>
  <c r="S768" i="3"/>
  <c r="G768" i="3"/>
  <c r="W767" i="3"/>
  <c r="I767" i="3"/>
  <c r="AN766" i="3"/>
  <c r="L766" i="3"/>
  <c r="C766" i="3"/>
  <c r="P765" i="3"/>
  <c r="E765" i="3"/>
  <c r="S764" i="3"/>
  <c r="G764" i="3"/>
  <c r="W763" i="3"/>
  <c r="I763" i="3"/>
  <c r="AN762" i="3"/>
  <c r="G762" i="3"/>
  <c r="W761" i="3"/>
  <c r="Q934" i="3"/>
  <c r="U904" i="3"/>
  <c r="E890" i="3"/>
  <c r="Z881" i="3"/>
  <c r="W874" i="3"/>
  <c r="Q866" i="3"/>
  <c r="D859" i="3"/>
  <c r="O852" i="3"/>
  <c r="P849" i="3"/>
  <c r="L847" i="3"/>
  <c r="S845" i="3"/>
  <c r="H843" i="3"/>
  <c r="I841" i="3"/>
  <c r="I839" i="3"/>
  <c r="P837" i="3"/>
  <c r="W835" i="3"/>
  <c r="AU833" i="3"/>
  <c r="C832" i="3"/>
  <c r="G830" i="3"/>
  <c r="L828" i="3"/>
  <c r="S826" i="3"/>
  <c r="Z824" i="3"/>
  <c r="D823" i="3"/>
  <c r="H821" i="3"/>
  <c r="O819" i="3"/>
  <c r="P817" i="3"/>
  <c r="I815" i="3"/>
  <c r="F813" i="3"/>
  <c r="J811" i="3"/>
  <c r="L809" i="3"/>
  <c r="S807" i="3"/>
  <c r="I806" i="3"/>
  <c r="L805" i="3"/>
  <c r="AN804" i="3"/>
  <c r="F804" i="3"/>
  <c r="R803" i="3"/>
  <c r="F803" i="3"/>
  <c r="S802" i="3"/>
  <c r="F802" i="3"/>
  <c r="S801" i="3"/>
  <c r="F801" i="3"/>
  <c r="S800" i="3"/>
  <c r="G800" i="3"/>
  <c r="W799" i="3"/>
  <c r="I799" i="3"/>
  <c r="AN798" i="3"/>
  <c r="L798" i="3"/>
  <c r="C798" i="3"/>
  <c r="P797" i="3"/>
  <c r="E797" i="3"/>
  <c r="S796" i="3"/>
  <c r="G796" i="3"/>
  <c r="W795" i="3"/>
  <c r="I795" i="3"/>
  <c r="AN794" i="3"/>
  <c r="L794" i="3"/>
  <c r="C794" i="3"/>
  <c r="P793" i="3"/>
  <c r="E793" i="3"/>
  <c r="S792" i="3"/>
  <c r="G792" i="3"/>
  <c r="W791" i="3"/>
  <c r="I791" i="3"/>
  <c r="AN790" i="3"/>
  <c r="L790" i="3"/>
  <c r="C790" i="3"/>
  <c r="I789" i="3"/>
  <c r="AN788" i="3"/>
  <c r="O788" i="3"/>
  <c r="D788" i="3"/>
  <c r="J787" i="3"/>
  <c r="AU786" i="3"/>
  <c r="H786" i="3"/>
  <c r="Z785" i="3"/>
  <c r="F785" i="3"/>
  <c r="U784" i="3"/>
  <c r="E784" i="3"/>
  <c r="S783" i="3"/>
  <c r="G783" i="3"/>
  <c r="W782" i="3"/>
  <c r="I782" i="3"/>
  <c r="AN781" i="3"/>
  <c r="G781" i="3"/>
  <c r="W780" i="3"/>
  <c r="I780" i="3"/>
  <c r="AN779" i="3"/>
  <c r="L779" i="3"/>
  <c r="C779" i="3"/>
  <c r="P778" i="3"/>
  <c r="E778" i="3"/>
  <c r="S777" i="3"/>
  <c r="G777" i="3"/>
  <c r="U776" i="3"/>
  <c r="E776" i="3"/>
  <c r="S775" i="3"/>
  <c r="H775" i="3"/>
  <c r="Z774" i="3"/>
  <c r="J774" i="3"/>
  <c r="AU773" i="3"/>
  <c r="O773" i="3"/>
  <c r="D773" i="3"/>
  <c r="Q772" i="3"/>
  <c r="F772" i="3"/>
  <c r="U771" i="3"/>
  <c r="H771" i="3"/>
  <c r="Z770" i="3"/>
  <c r="J770" i="3"/>
  <c r="AU769" i="3"/>
  <c r="O769" i="3"/>
  <c r="D769" i="3"/>
  <c r="Q768" i="3"/>
  <c r="F768" i="3"/>
  <c r="U767" i="3"/>
  <c r="H767" i="3"/>
  <c r="Z766" i="3"/>
  <c r="J766" i="3"/>
  <c r="AU765" i="3"/>
  <c r="O765" i="3"/>
  <c r="D765" i="3"/>
  <c r="Q764" i="3"/>
  <c r="F764" i="3"/>
  <c r="U763" i="3"/>
  <c r="H763" i="3"/>
  <c r="Z762" i="3"/>
  <c r="F762" i="3"/>
  <c r="U761" i="3"/>
  <c r="I761" i="3"/>
  <c r="AN760" i="3"/>
  <c r="G760" i="3"/>
  <c r="Z932" i="3"/>
  <c r="AU902" i="3"/>
  <c r="J889" i="3"/>
  <c r="L881" i="3"/>
  <c r="I874" i="3"/>
  <c r="F866" i="3"/>
  <c r="Q858" i="3"/>
  <c r="J852" i="3"/>
  <c r="L849" i="3"/>
  <c r="I847" i="3"/>
  <c r="J845" i="3"/>
  <c r="F843" i="3"/>
  <c r="G841" i="3"/>
  <c r="G839" i="3"/>
  <c r="L837" i="3"/>
  <c r="S835" i="3"/>
  <c r="Z833" i="3"/>
  <c r="AN831" i="3"/>
  <c r="E830" i="3"/>
  <c r="I828" i="3"/>
  <c r="Q826" i="3"/>
  <c r="U824" i="3"/>
  <c r="AU822" i="3"/>
  <c r="F821" i="3"/>
  <c r="J819" i="3"/>
  <c r="L817" i="3"/>
  <c r="G815" i="3"/>
  <c r="D813" i="3"/>
  <c r="H811" i="3"/>
  <c r="I809" i="3"/>
  <c r="P807" i="3"/>
  <c r="G806" i="3"/>
  <c r="J805" i="3"/>
  <c r="Z804" i="3"/>
  <c r="D804" i="3"/>
  <c r="Q803" i="3"/>
  <c r="E803" i="3"/>
  <c r="Q802" i="3"/>
  <c r="E802" i="3"/>
  <c r="Q801" i="3"/>
  <c r="E801" i="3"/>
  <c r="Q800" i="3"/>
  <c r="F800" i="3"/>
  <c r="U799" i="3"/>
  <c r="H799" i="3"/>
  <c r="Z798" i="3"/>
  <c r="J798" i="3"/>
  <c r="AU797" i="3"/>
  <c r="O797" i="3"/>
  <c r="D797" i="3"/>
  <c r="Q796" i="3"/>
  <c r="F796" i="3"/>
  <c r="U795" i="3"/>
  <c r="H795" i="3"/>
  <c r="Z794" i="3"/>
  <c r="J794" i="3"/>
  <c r="AU793" i="3"/>
  <c r="O793" i="3"/>
  <c r="D793" i="3"/>
  <c r="Q792" i="3"/>
  <c r="F792" i="3"/>
  <c r="U791" i="3"/>
  <c r="H791" i="3"/>
  <c r="Z790" i="3"/>
  <c r="J790" i="3"/>
  <c r="AU789" i="3"/>
  <c r="H789" i="3"/>
  <c r="Z788" i="3"/>
  <c r="L788" i="3"/>
  <c r="C788" i="3"/>
  <c r="I787" i="3"/>
  <c r="AN786" i="3"/>
  <c r="G786" i="3"/>
  <c r="U785" i="3"/>
  <c r="E785" i="3"/>
  <c r="S784" i="3"/>
  <c r="D784" i="3"/>
  <c r="Q783" i="3"/>
  <c r="F783" i="3"/>
  <c r="U782" i="3"/>
  <c r="H782" i="3"/>
  <c r="Z781" i="3"/>
  <c r="F781" i="3"/>
  <c r="U780" i="3"/>
  <c r="H780" i="3"/>
  <c r="Z779" i="3"/>
  <c r="J779" i="3"/>
  <c r="AU778" i="3"/>
  <c r="O778" i="3"/>
  <c r="D778" i="3"/>
  <c r="Q777" i="3"/>
  <c r="F777" i="3"/>
  <c r="S776" i="3"/>
  <c r="D776" i="3"/>
  <c r="R775" i="3"/>
  <c r="G775" i="3"/>
  <c r="W774" i="3"/>
  <c r="I774" i="3"/>
  <c r="AN773" i="3"/>
  <c r="L773" i="3"/>
  <c r="C773" i="3"/>
  <c r="P772" i="3"/>
  <c r="E772" i="3"/>
  <c r="S771" i="3"/>
  <c r="G771" i="3"/>
  <c r="W770" i="3"/>
  <c r="I770" i="3"/>
  <c r="AN769" i="3"/>
  <c r="L769" i="3"/>
  <c r="C769" i="3"/>
  <c r="P768" i="3"/>
  <c r="E768" i="3"/>
  <c r="S767" i="3"/>
  <c r="G767" i="3"/>
  <c r="W766" i="3"/>
  <c r="I766" i="3"/>
  <c r="AN765" i="3"/>
  <c r="L765" i="3"/>
  <c r="C765" i="3"/>
  <c r="P764" i="3"/>
  <c r="E764" i="3"/>
  <c r="S763" i="3"/>
  <c r="G763" i="3"/>
  <c r="U762" i="3"/>
  <c r="E762" i="3"/>
  <c r="S761" i="3"/>
  <c r="H761" i="3"/>
  <c r="L927" i="3"/>
  <c r="C873" i="3"/>
  <c r="C849" i="3"/>
  <c r="AN840" i="3"/>
  <c r="H833" i="3"/>
  <c r="F826" i="3"/>
  <c r="D819" i="3"/>
  <c r="AU810" i="3"/>
  <c r="I805" i="3"/>
  <c r="D803" i="3"/>
  <c r="C801" i="3"/>
  <c r="G799" i="3"/>
  <c r="L797" i="3"/>
  <c r="S795" i="3"/>
  <c r="AN793" i="3"/>
  <c r="E792" i="3"/>
  <c r="I790" i="3"/>
  <c r="J788" i="3"/>
  <c r="F786" i="3"/>
  <c r="C784" i="3"/>
  <c r="G782" i="3"/>
  <c r="G780" i="3"/>
  <c r="L778" i="3"/>
  <c r="L776" i="3"/>
  <c r="U774" i="3"/>
  <c r="AU772" i="3"/>
  <c r="F771" i="3"/>
  <c r="J769" i="3"/>
  <c r="Q767" i="3"/>
  <c r="Z765" i="3"/>
  <c r="D764" i="3"/>
  <c r="D762" i="3"/>
  <c r="Z760" i="3"/>
  <c r="AN759" i="3"/>
  <c r="E759" i="3"/>
  <c r="I758" i="3"/>
  <c r="Z757" i="3"/>
  <c r="F757" i="3"/>
  <c r="U756" i="3"/>
  <c r="H756" i="3"/>
  <c r="Z755" i="3"/>
  <c r="J755" i="3"/>
  <c r="AU754" i="3"/>
  <c r="P754" i="3"/>
  <c r="E754" i="3"/>
  <c r="L753" i="3"/>
  <c r="C753" i="3"/>
  <c r="P752" i="3"/>
  <c r="E752" i="3"/>
  <c r="S751" i="3"/>
  <c r="G751" i="3"/>
  <c r="W750" i="3"/>
  <c r="I750" i="3"/>
  <c r="AN749" i="3"/>
  <c r="J749" i="3"/>
  <c r="AU748" i="3"/>
  <c r="O748" i="3"/>
  <c r="D748" i="3"/>
  <c r="J747" i="3"/>
  <c r="AU746" i="3"/>
  <c r="P746" i="3"/>
  <c r="E746" i="3"/>
  <c r="S745" i="3"/>
  <c r="G745" i="3"/>
  <c r="W744" i="3"/>
  <c r="I744" i="3"/>
  <c r="AN743" i="3"/>
  <c r="O743" i="3"/>
  <c r="D743" i="3"/>
  <c r="Q742" i="3"/>
  <c r="F742" i="3"/>
  <c r="U741" i="3"/>
  <c r="H741" i="3"/>
  <c r="Z740" i="3"/>
  <c r="J740" i="3"/>
  <c r="AU739" i="3"/>
  <c r="L739" i="3"/>
  <c r="C739" i="3"/>
  <c r="P738" i="3"/>
  <c r="E738" i="3"/>
  <c r="S737" i="3"/>
  <c r="G737" i="3"/>
  <c r="W736" i="3"/>
  <c r="I736" i="3"/>
  <c r="AN735" i="3"/>
  <c r="L735" i="3"/>
  <c r="C735" i="3"/>
  <c r="P734" i="3"/>
  <c r="E734" i="3"/>
  <c r="S733" i="3"/>
  <c r="G733" i="3"/>
  <c r="W732" i="3"/>
  <c r="I732" i="3"/>
  <c r="AN731" i="3"/>
  <c r="G731" i="3"/>
  <c r="U730" i="3"/>
  <c r="E730" i="3"/>
  <c r="L729" i="3"/>
  <c r="C729" i="3"/>
  <c r="I728" i="3"/>
  <c r="AN727" i="3"/>
  <c r="H727" i="3"/>
  <c r="Z726" i="3"/>
  <c r="J726" i="3"/>
  <c r="AU725" i="3"/>
  <c r="O725" i="3"/>
  <c r="D725" i="3"/>
  <c r="J724" i="3"/>
  <c r="AU723" i="3"/>
  <c r="O723" i="3"/>
  <c r="D723" i="3"/>
  <c r="Q722" i="3"/>
  <c r="F722" i="3"/>
  <c r="U721" i="3"/>
  <c r="H721" i="3"/>
  <c r="Z720" i="3"/>
  <c r="J720" i="3"/>
  <c r="AU719" i="3"/>
  <c r="H719" i="3"/>
  <c r="Z718" i="3"/>
  <c r="J718" i="3"/>
  <c r="AU717" i="3"/>
  <c r="O717" i="3"/>
  <c r="D717" i="3"/>
  <c r="Q716" i="3"/>
  <c r="F716" i="3"/>
  <c r="U715" i="3"/>
  <c r="H715" i="3"/>
  <c r="Z714" i="3"/>
  <c r="J714" i="3"/>
  <c r="AU713" i="3"/>
  <c r="O713" i="3"/>
  <c r="D713" i="3"/>
  <c r="Q712" i="3"/>
  <c r="F712" i="3"/>
  <c r="U711" i="3"/>
  <c r="H711" i="3"/>
  <c r="Z710" i="3"/>
  <c r="J710" i="3"/>
  <c r="AU709" i="3"/>
  <c r="O709" i="3"/>
  <c r="D709" i="3"/>
  <c r="Q708" i="3"/>
  <c r="F708" i="3"/>
  <c r="U707" i="3"/>
  <c r="H707" i="3"/>
  <c r="Z706" i="3"/>
  <c r="F706" i="3"/>
  <c r="U705" i="3"/>
  <c r="I705" i="3"/>
  <c r="AN704" i="3"/>
  <c r="G704" i="3"/>
  <c r="U703" i="3"/>
  <c r="E703" i="3"/>
  <c r="L702" i="3"/>
  <c r="C702" i="3"/>
  <c r="J701" i="3"/>
  <c r="AU700" i="3"/>
  <c r="O700" i="3"/>
  <c r="D700" i="3"/>
  <c r="Q699" i="3"/>
  <c r="F699" i="3"/>
  <c r="S698" i="3"/>
  <c r="D698" i="3"/>
  <c r="Q697" i="3"/>
  <c r="F697" i="3"/>
  <c r="U696" i="3"/>
  <c r="H696" i="3"/>
  <c r="Z695" i="3"/>
  <c r="J695" i="3"/>
  <c r="AU694" i="3"/>
  <c r="L694" i="3"/>
  <c r="C694" i="3"/>
  <c r="P693" i="3"/>
  <c r="E693" i="3"/>
  <c r="L692" i="3"/>
  <c r="C692" i="3"/>
  <c r="Q691" i="3"/>
  <c r="F691" i="3"/>
  <c r="U690" i="3"/>
  <c r="H690" i="3"/>
  <c r="Z689" i="3"/>
  <c r="J689" i="3"/>
  <c r="AU688" i="3"/>
  <c r="O688" i="3"/>
  <c r="D688" i="3"/>
  <c r="Q687" i="3"/>
  <c r="F687" i="3"/>
  <c r="U686" i="3"/>
  <c r="H686" i="3"/>
  <c r="Z685" i="3"/>
  <c r="I685" i="3"/>
  <c r="AN684" i="3"/>
  <c r="L684" i="3"/>
  <c r="C684" i="3"/>
  <c r="P683" i="3"/>
  <c r="E683" i="3"/>
  <c r="S682" i="3"/>
  <c r="G682" i="3"/>
  <c r="W681" i="3"/>
  <c r="I681" i="3"/>
  <c r="AN680" i="3"/>
  <c r="L680" i="3"/>
  <c r="C680" i="3"/>
  <c r="P679" i="3"/>
  <c r="E679" i="3"/>
  <c r="S678" i="3"/>
  <c r="G678" i="3"/>
  <c r="U677" i="3"/>
  <c r="E677" i="3"/>
  <c r="L676" i="3"/>
  <c r="C676" i="3"/>
  <c r="I675" i="3"/>
  <c r="AN674" i="3"/>
  <c r="G674" i="3"/>
  <c r="U673" i="3"/>
  <c r="E673" i="3"/>
  <c r="L672" i="3"/>
  <c r="C672" i="3"/>
  <c r="I671" i="3"/>
  <c r="AN670" i="3"/>
  <c r="G670" i="3"/>
  <c r="U669" i="3"/>
  <c r="E669" i="3"/>
  <c r="L668" i="3"/>
  <c r="C668" i="3"/>
  <c r="I667" i="3"/>
  <c r="AN666" i="3"/>
  <c r="G666" i="3"/>
  <c r="U665" i="3"/>
  <c r="E665" i="3"/>
  <c r="L664" i="3"/>
  <c r="C664" i="3"/>
  <c r="I663" i="3"/>
  <c r="AN662" i="3"/>
  <c r="G662" i="3"/>
  <c r="U661" i="3"/>
  <c r="E661" i="3"/>
  <c r="L660" i="3"/>
  <c r="C660" i="3"/>
  <c r="I659" i="3"/>
  <c r="AN658" i="3"/>
  <c r="G658" i="3"/>
  <c r="U657" i="3"/>
  <c r="E657" i="3"/>
  <c r="L656" i="3"/>
  <c r="C656" i="3"/>
  <c r="I655" i="3"/>
  <c r="AN654" i="3"/>
  <c r="G654" i="3"/>
  <c r="U653" i="3"/>
  <c r="E653" i="3"/>
  <c r="L652" i="3"/>
  <c r="C652" i="3"/>
  <c r="I651" i="3"/>
  <c r="S925" i="3"/>
  <c r="I872" i="3"/>
  <c r="AN848" i="3"/>
  <c r="W840" i="3"/>
  <c r="F833" i="3"/>
  <c r="D826" i="3"/>
  <c r="AU818" i="3"/>
  <c r="Z810" i="3"/>
  <c r="F805" i="3"/>
  <c r="C803" i="3"/>
  <c r="AU800" i="3"/>
  <c r="F799" i="3"/>
  <c r="J797" i="3"/>
  <c r="Q795" i="3"/>
  <c r="Z793" i="3"/>
  <c r="D792" i="3"/>
  <c r="H790" i="3"/>
  <c r="I788" i="3"/>
  <c r="E786" i="3"/>
  <c r="AU783" i="3"/>
  <c r="F782" i="3"/>
  <c r="F780" i="3"/>
  <c r="J778" i="3"/>
  <c r="J776" i="3"/>
  <c r="S774" i="3"/>
  <c r="AN772" i="3"/>
  <c r="E771" i="3"/>
  <c r="I769" i="3"/>
  <c r="P767" i="3"/>
  <c r="W765" i="3"/>
  <c r="C764" i="3"/>
  <c r="C762" i="3"/>
  <c r="U760" i="3"/>
  <c r="Z759" i="3"/>
  <c r="D759" i="3"/>
  <c r="H758" i="3"/>
  <c r="U757" i="3"/>
  <c r="E757" i="3"/>
  <c r="S756" i="3"/>
  <c r="G756" i="3"/>
  <c r="W755" i="3"/>
  <c r="I755" i="3"/>
  <c r="AN754" i="3"/>
  <c r="O754" i="3"/>
  <c r="D754" i="3"/>
  <c r="J753" i="3"/>
  <c r="AU752" i="3"/>
  <c r="O752" i="3"/>
  <c r="D752" i="3"/>
  <c r="Q751" i="3"/>
  <c r="F751" i="3"/>
  <c r="U750" i="3"/>
  <c r="H750" i="3"/>
  <c r="Z749" i="3"/>
  <c r="I749" i="3"/>
  <c r="AN748" i="3"/>
  <c r="L748" i="3"/>
  <c r="C748" i="3"/>
  <c r="I747" i="3"/>
  <c r="AN746" i="3"/>
  <c r="O746" i="3"/>
  <c r="D746" i="3"/>
  <c r="Q745" i="3"/>
  <c r="F745" i="3"/>
  <c r="U744" i="3"/>
  <c r="H744" i="3"/>
  <c r="Z743" i="3"/>
  <c r="L743" i="3"/>
  <c r="C743" i="3"/>
  <c r="P742" i="3"/>
  <c r="E742" i="3"/>
  <c r="S741" i="3"/>
  <c r="G741" i="3"/>
  <c r="W740" i="3"/>
  <c r="I740" i="3"/>
  <c r="AN739" i="3"/>
  <c r="J739" i="3"/>
  <c r="AU738" i="3"/>
  <c r="O738" i="3"/>
  <c r="D738" i="3"/>
  <c r="Q737" i="3"/>
  <c r="F737" i="3"/>
  <c r="U736" i="3"/>
  <c r="H736" i="3"/>
  <c r="Z735" i="3"/>
  <c r="J735" i="3"/>
  <c r="AU734" i="3"/>
  <c r="O734" i="3"/>
  <c r="D734" i="3"/>
  <c r="Q733" i="3"/>
  <c r="F733" i="3"/>
  <c r="U732" i="3"/>
  <c r="H732" i="3"/>
  <c r="Z731" i="3"/>
  <c r="F731" i="3"/>
  <c r="S730" i="3"/>
  <c r="D730" i="3"/>
  <c r="J729" i="3"/>
  <c r="AU728" i="3"/>
  <c r="H728" i="3"/>
  <c r="Z727" i="3"/>
  <c r="G727" i="3"/>
  <c r="W726" i="3"/>
  <c r="I726" i="3"/>
  <c r="AN725" i="3"/>
  <c r="L725" i="3"/>
  <c r="C725" i="3"/>
  <c r="I724" i="3"/>
  <c r="AN723" i="3"/>
  <c r="L723" i="3"/>
  <c r="C723" i="3"/>
  <c r="P722" i="3"/>
  <c r="E722" i="3"/>
  <c r="S721" i="3"/>
  <c r="G721" i="3"/>
  <c r="W720" i="3"/>
  <c r="I720" i="3"/>
  <c r="AN719" i="3"/>
  <c r="G719" i="3"/>
  <c r="W718" i="3"/>
  <c r="I718" i="3"/>
  <c r="AN717" i="3"/>
  <c r="L717" i="3"/>
  <c r="C717" i="3"/>
  <c r="P716" i="3"/>
  <c r="E716" i="3"/>
  <c r="S715" i="3"/>
  <c r="G715" i="3"/>
  <c r="W714" i="3"/>
  <c r="I714" i="3"/>
  <c r="AN713" i="3"/>
  <c r="L713" i="3"/>
  <c r="C713" i="3"/>
  <c r="P712" i="3"/>
  <c r="E712" i="3"/>
  <c r="S711" i="3"/>
  <c r="G711" i="3"/>
  <c r="W710" i="3"/>
  <c r="I710" i="3"/>
  <c r="AN709" i="3"/>
  <c r="L709" i="3"/>
  <c r="C709" i="3"/>
  <c r="P708" i="3"/>
  <c r="E708" i="3"/>
  <c r="S707" i="3"/>
  <c r="G707" i="3"/>
  <c r="U706" i="3"/>
  <c r="E706" i="3"/>
  <c r="S705" i="3"/>
  <c r="H705" i="3"/>
  <c r="Z704" i="3"/>
  <c r="F704" i="3"/>
  <c r="S703" i="3"/>
  <c r="D703" i="3"/>
  <c r="J702" i="3"/>
  <c r="AU701" i="3"/>
  <c r="I701" i="3"/>
  <c r="AN700" i="3"/>
  <c r="L700" i="3"/>
  <c r="C700" i="3"/>
  <c r="P699" i="3"/>
  <c r="E699" i="3"/>
  <c r="L698" i="3"/>
  <c r="C698" i="3"/>
  <c r="P697" i="3"/>
  <c r="E697" i="3"/>
  <c r="S696" i="3"/>
  <c r="G696" i="3"/>
  <c r="W695" i="3"/>
  <c r="I695" i="3"/>
  <c r="AN694" i="3"/>
  <c r="J694" i="3"/>
  <c r="AU693" i="3"/>
  <c r="O693" i="3"/>
  <c r="D693" i="3"/>
  <c r="J692" i="3"/>
  <c r="AU691" i="3"/>
  <c r="P691" i="3"/>
  <c r="E691" i="3"/>
  <c r="S690" i="3"/>
  <c r="G690" i="3"/>
  <c r="W689" i="3"/>
  <c r="I689" i="3"/>
  <c r="AN688" i="3"/>
  <c r="L688" i="3"/>
  <c r="C688" i="3"/>
  <c r="P687" i="3"/>
  <c r="E687" i="3"/>
  <c r="S686" i="3"/>
  <c r="G686" i="3"/>
  <c r="W685" i="3"/>
  <c r="H685" i="3"/>
  <c r="Z684" i="3"/>
  <c r="J684" i="3"/>
  <c r="AU683" i="3"/>
  <c r="O683" i="3"/>
  <c r="D683" i="3"/>
  <c r="Q682" i="3"/>
  <c r="F682" i="3"/>
  <c r="U681" i="3"/>
  <c r="H681" i="3"/>
  <c r="Z680" i="3"/>
  <c r="J680" i="3"/>
  <c r="AU679" i="3"/>
  <c r="O679" i="3"/>
  <c r="D679" i="3"/>
  <c r="Q678" i="3"/>
  <c r="F678" i="3"/>
  <c r="S677" i="3"/>
  <c r="D677" i="3"/>
  <c r="J676" i="3"/>
  <c r="AU675" i="3"/>
  <c r="H675" i="3"/>
  <c r="Z674" i="3"/>
  <c r="F674" i="3"/>
  <c r="S673" i="3"/>
  <c r="D673" i="3"/>
  <c r="J672" i="3"/>
  <c r="AU671" i="3"/>
  <c r="H671" i="3"/>
  <c r="Z670" i="3"/>
  <c r="F670" i="3"/>
  <c r="S669" i="3"/>
  <c r="D669" i="3"/>
  <c r="J668" i="3"/>
  <c r="AU667" i="3"/>
  <c r="H667" i="3"/>
  <c r="Z666" i="3"/>
  <c r="F666" i="3"/>
  <c r="S665" i="3"/>
  <c r="D665" i="3"/>
  <c r="J664" i="3"/>
  <c r="AU663" i="3"/>
  <c r="H663" i="3"/>
  <c r="Z662" i="3"/>
  <c r="F662" i="3"/>
  <c r="S661" i="3"/>
  <c r="D661" i="3"/>
  <c r="J660" i="3"/>
  <c r="AU659" i="3"/>
  <c r="H659" i="3"/>
  <c r="Z658" i="3"/>
  <c r="F658" i="3"/>
  <c r="S657" i="3"/>
  <c r="H898" i="3"/>
  <c r="Q864" i="3"/>
  <c r="C847" i="3"/>
  <c r="AN838" i="3"/>
  <c r="P831" i="3"/>
  <c r="J824" i="3"/>
  <c r="E817" i="3"/>
  <c r="C809" i="3"/>
  <c r="S804" i="3"/>
  <c r="P802" i="3"/>
  <c r="P800" i="3"/>
  <c r="W798" i="3"/>
  <c r="C797" i="3"/>
  <c r="G795" i="3"/>
  <c r="L793" i="3"/>
  <c r="S791" i="3"/>
  <c r="AN789" i="3"/>
  <c r="AU787" i="3"/>
  <c r="S785" i="3"/>
  <c r="P783" i="3"/>
  <c r="U781" i="3"/>
  <c r="W779" i="3"/>
  <c r="C778" i="3"/>
  <c r="C776" i="3"/>
  <c r="H774" i="3"/>
  <c r="O772" i="3"/>
  <c r="U770" i="3"/>
  <c r="AU768" i="3"/>
  <c r="F767" i="3"/>
  <c r="J765" i="3"/>
  <c r="Q763" i="3"/>
  <c r="R761" i="3"/>
  <c r="S760" i="3"/>
  <c r="U759" i="3"/>
  <c r="C759" i="3"/>
  <c r="F758" i="3"/>
  <c r="S757" i="3"/>
  <c r="D757" i="3"/>
  <c r="Q756" i="3"/>
  <c r="F756" i="3"/>
  <c r="U755" i="3"/>
  <c r="H755" i="3"/>
  <c r="Z754" i="3"/>
  <c r="L754" i="3"/>
  <c r="C754" i="3"/>
  <c r="I753" i="3"/>
  <c r="AN752" i="3"/>
  <c r="L752" i="3"/>
  <c r="C752" i="3"/>
  <c r="P751" i="3"/>
  <c r="E751" i="3"/>
  <c r="S750" i="3"/>
  <c r="G750" i="3"/>
  <c r="W749" i="3"/>
  <c r="H749" i="3"/>
  <c r="Z748" i="3"/>
  <c r="J748" i="3"/>
  <c r="AU747" i="3"/>
  <c r="H747" i="3"/>
  <c r="Z746" i="3"/>
  <c r="L746" i="3"/>
  <c r="C746" i="3"/>
  <c r="P745" i="3"/>
  <c r="E745" i="3"/>
  <c r="S744" i="3"/>
  <c r="G744" i="3"/>
  <c r="W743" i="3"/>
  <c r="J743" i="3"/>
  <c r="AU742" i="3"/>
  <c r="O742" i="3"/>
  <c r="D742" i="3"/>
  <c r="Q741" i="3"/>
  <c r="F741" i="3"/>
  <c r="U740" i="3"/>
  <c r="H740" i="3"/>
  <c r="Z739" i="3"/>
  <c r="I739" i="3"/>
  <c r="AN738" i="3"/>
  <c r="L738" i="3"/>
  <c r="C738" i="3"/>
  <c r="P737" i="3"/>
  <c r="E737" i="3"/>
  <c r="S736" i="3"/>
  <c r="G736" i="3"/>
  <c r="W735" i="3"/>
  <c r="I735" i="3"/>
  <c r="AN734" i="3"/>
  <c r="L734" i="3"/>
  <c r="C734" i="3"/>
  <c r="P733" i="3"/>
  <c r="E733" i="3"/>
  <c r="S732" i="3"/>
  <c r="G732" i="3"/>
  <c r="U731" i="3"/>
  <c r="E731" i="3"/>
  <c r="L730" i="3"/>
  <c r="C730" i="3"/>
  <c r="I729" i="3"/>
  <c r="AN728" i="3"/>
  <c r="G728" i="3"/>
  <c r="W727" i="3"/>
  <c r="F727" i="3"/>
  <c r="U726" i="3"/>
  <c r="H726" i="3"/>
  <c r="Z725" i="3"/>
  <c r="J725" i="3"/>
  <c r="AU724" i="3"/>
  <c r="H724" i="3"/>
  <c r="Z723" i="3"/>
  <c r="J723" i="3"/>
  <c r="AU722" i="3"/>
  <c r="O722" i="3"/>
  <c r="D722" i="3"/>
  <c r="Q721" i="3"/>
  <c r="F721" i="3"/>
  <c r="U720" i="3"/>
  <c r="H720" i="3"/>
  <c r="Z719" i="3"/>
  <c r="F719" i="3"/>
  <c r="U718" i="3"/>
  <c r="H718" i="3"/>
  <c r="Z717" i="3"/>
  <c r="J717" i="3"/>
  <c r="AU716" i="3"/>
  <c r="O716" i="3"/>
  <c r="D716" i="3"/>
  <c r="Q715" i="3"/>
  <c r="F715" i="3"/>
  <c r="U714" i="3"/>
  <c r="H714" i="3"/>
  <c r="Z713" i="3"/>
  <c r="J713" i="3"/>
  <c r="AU712" i="3"/>
  <c r="O712" i="3"/>
  <c r="D712" i="3"/>
  <c r="Q711" i="3"/>
  <c r="F711" i="3"/>
  <c r="U710" i="3"/>
  <c r="H710" i="3"/>
  <c r="Z709" i="3"/>
  <c r="J709" i="3"/>
  <c r="AU708" i="3"/>
  <c r="O708" i="3"/>
  <c r="D708" i="3"/>
  <c r="Q707" i="3"/>
  <c r="F707" i="3"/>
  <c r="S706" i="3"/>
  <c r="D706" i="3"/>
  <c r="R705" i="3"/>
  <c r="G705" i="3"/>
  <c r="U704" i="3"/>
  <c r="E704" i="3"/>
  <c r="L703" i="3"/>
  <c r="C703" i="3"/>
  <c r="I702" i="3"/>
  <c r="AN701" i="3"/>
  <c r="H701" i="3"/>
  <c r="Z700" i="3"/>
  <c r="J700" i="3"/>
  <c r="AU699" i="3"/>
  <c r="O699" i="3"/>
  <c r="D699" i="3"/>
  <c r="J698" i="3"/>
  <c r="AU697" i="3"/>
  <c r="O697" i="3"/>
  <c r="D697" i="3"/>
  <c r="Q696" i="3"/>
  <c r="F696" i="3"/>
  <c r="U695" i="3"/>
  <c r="H695" i="3"/>
  <c r="Z694" i="3"/>
  <c r="I694" i="3"/>
  <c r="AN693" i="3"/>
  <c r="L693" i="3"/>
  <c r="C693" i="3"/>
  <c r="I692" i="3"/>
  <c r="AN691" i="3"/>
  <c r="O691" i="3"/>
  <c r="D691" i="3"/>
  <c r="Q690" i="3"/>
  <c r="F690" i="3"/>
  <c r="U689" i="3"/>
  <c r="H689" i="3"/>
  <c r="Z688" i="3"/>
  <c r="J688" i="3"/>
  <c r="AU687" i="3"/>
  <c r="O687" i="3"/>
  <c r="D687" i="3"/>
  <c r="Q686" i="3"/>
  <c r="F686" i="3"/>
  <c r="U685" i="3"/>
  <c r="G685" i="3"/>
  <c r="W684" i="3"/>
  <c r="I684" i="3"/>
  <c r="AN683" i="3"/>
  <c r="L683" i="3"/>
  <c r="C683" i="3"/>
  <c r="P682" i="3"/>
  <c r="E682" i="3"/>
  <c r="S681" i="3"/>
  <c r="G681" i="3"/>
  <c r="W680" i="3"/>
  <c r="I680" i="3"/>
  <c r="AN679" i="3"/>
  <c r="L679" i="3"/>
  <c r="C679" i="3"/>
  <c r="P678" i="3"/>
  <c r="E678" i="3"/>
  <c r="L677" i="3"/>
  <c r="C677" i="3"/>
  <c r="I676" i="3"/>
  <c r="AN675" i="3"/>
  <c r="G675" i="3"/>
  <c r="U674" i="3"/>
  <c r="E674" i="3"/>
  <c r="L673" i="3"/>
  <c r="C673" i="3"/>
  <c r="I672" i="3"/>
  <c r="AN671" i="3"/>
  <c r="G671" i="3"/>
  <c r="U670" i="3"/>
  <c r="E670" i="3"/>
  <c r="L669" i="3"/>
  <c r="C669" i="3"/>
  <c r="I668" i="3"/>
  <c r="AN667" i="3"/>
  <c r="G667" i="3"/>
  <c r="U666" i="3"/>
  <c r="E666" i="3"/>
  <c r="L665" i="3"/>
  <c r="C665" i="3"/>
  <c r="I664" i="3"/>
  <c r="AN663" i="3"/>
  <c r="G663" i="3"/>
  <c r="U662" i="3"/>
  <c r="E662" i="3"/>
  <c r="L661" i="3"/>
  <c r="C661" i="3"/>
  <c r="I660" i="3"/>
  <c r="AN659" i="3"/>
  <c r="G659" i="3"/>
  <c r="U658" i="3"/>
  <c r="E658" i="3"/>
  <c r="L657" i="3"/>
  <c r="C657" i="3"/>
  <c r="D897" i="3"/>
  <c r="F864" i="3"/>
  <c r="AN846" i="3"/>
  <c r="W838" i="3"/>
  <c r="L831" i="3"/>
  <c r="H824" i="3"/>
  <c r="C817" i="3"/>
  <c r="AN808" i="3"/>
  <c r="L804" i="3"/>
  <c r="O802" i="3"/>
  <c r="O800" i="3"/>
  <c r="U798" i="3"/>
  <c r="AU796" i="3"/>
  <c r="F795" i="3"/>
  <c r="J793" i="3"/>
  <c r="Q791" i="3"/>
  <c r="Z789" i="3"/>
  <c r="AN787" i="3"/>
  <c r="L785" i="3"/>
  <c r="O783" i="3"/>
  <c r="S781" i="3"/>
  <c r="U779" i="3"/>
  <c r="AU777" i="3"/>
  <c r="AU775" i="3"/>
  <c r="G774" i="3"/>
  <c r="L772" i="3"/>
  <c r="S770" i="3"/>
  <c r="AN768" i="3"/>
  <c r="E767" i="3"/>
  <c r="I765" i="3"/>
  <c r="P763" i="3"/>
  <c r="Q761" i="3"/>
  <c r="I760" i="3"/>
  <c r="S759" i="3"/>
  <c r="AU758" i="3"/>
  <c r="E758" i="3"/>
  <c r="L757" i="3"/>
  <c r="C757" i="3"/>
  <c r="P756" i="3"/>
  <c r="E756" i="3"/>
  <c r="S755" i="3"/>
  <c r="G755" i="3"/>
  <c r="W754" i="3"/>
  <c r="J754" i="3"/>
  <c r="AU753" i="3"/>
  <c r="H753" i="3"/>
  <c r="Z752" i="3"/>
  <c r="J752" i="3"/>
  <c r="AU751" i="3"/>
  <c r="O751" i="3"/>
  <c r="D751" i="3"/>
  <c r="Q750" i="3"/>
  <c r="F750" i="3"/>
  <c r="U749" i="3"/>
  <c r="G749" i="3"/>
  <c r="W748" i="3"/>
  <c r="I748" i="3"/>
  <c r="AN747" i="3"/>
  <c r="G747" i="3"/>
  <c r="W746" i="3"/>
  <c r="J746" i="3"/>
  <c r="AU745" i="3"/>
  <c r="O745" i="3"/>
  <c r="D745" i="3"/>
  <c r="Q744" i="3"/>
  <c r="F744" i="3"/>
  <c r="U743" i="3"/>
  <c r="I743" i="3"/>
  <c r="AN742" i="3"/>
  <c r="L742" i="3"/>
  <c r="C742" i="3"/>
  <c r="P741" i="3"/>
  <c r="E741" i="3"/>
  <c r="S740" i="3"/>
  <c r="G740" i="3"/>
  <c r="W739" i="3"/>
  <c r="H739" i="3"/>
  <c r="Z738" i="3"/>
  <c r="J738" i="3"/>
  <c r="AU737" i="3"/>
  <c r="O737" i="3"/>
  <c r="D737" i="3"/>
  <c r="Q736" i="3"/>
  <c r="F736" i="3"/>
  <c r="U735" i="3"/>
  <c r="H735" i="3"/>
  <c r="Z734" i="3"/>
  <c r="J734" i="3"/>
  <c r="AU733" i="3"/>
  <c r="O733" i="3"/>
  <c r="D733" i="3"/>
  <c r="Q732" i="3"/>
  <c r="F732" i="3"/>
  <c r="S731" i="3"/>
  <c r="D731" i="3"/>
  <c r="J730" i="3"/>
  <c r="AU729" i="3"/>
  <c r="H729" i="3"/>
  <c r="Z728" i="3"/>
  <c r="F728" i="3"/>
  <c r="U727" i="3"/>
  <c r="E727" i="3"/>
  <c r="S726" i="3"/>
  <c r="G726" i="3"/>
  <c r="W725" i="3"/>
  <c r="I725" i="3"/>
  <c r="AN724" i="3"/>
  <c r="G724" i="3"/>
  <c r="W723" i="3"/>
  <c r="I723" i="3"/>
  <c r="AN722" i="3"/>
  <c r="L722" i="3"/>
  <c r="C722" i="3"/>
  <c r="P721" i="3"/>
  <c r="E721" i="3"/>
  <c r="S720" i="3"/>
  <c r="G720" i="3"/>
  <c r="U719" i="3"/>
  <c r="E719" i="3"/>
  <c r="S718" i="3"/>
  <c r="G718" i="3"/>
  <c r="W717" i="3"/>
  <c r="I717" i="3"/>
  <c r="AN716" i="3"/>
  <c r="L716" i="3"/>
  <c r="C716" i="3"/>
  <c r="P715" i="3"/>
  <c r="E715" i="3"/>
  <c r="S714" i="3"/>
  <c r="G714" i="3"/>
  <c r="W713" i="3"/>
  <c r="I713" i="3"/>
  <c r="AN712" i="3"/>
  <c r="L712" i="3"/>
  <c r="C712" i="3"/>
  <c r="P711" i="3"/>
  <c r="E711" i="3"/>
  <c r="S710" i="3"/>
  <c r="G710" i="3"/>
  <c r="W709" i="3"/>
  <c r="I709" i="3"/>
  <c r="AN708" i="3"/>
  <c r="L708" i="3"/>
  <c r="C708" i="3"/>
  <c r="P707" i="3"/>
  <c r="E707" i="3"/>
  <c r="L706" i="3"/>
  <c r="C706" i="3"/>
  <c r="Q705" i="3"/>
  <c r="F705" i="3"/>
  <c r="S704" i="3"/>
  <c r="D704" i="3"/>
  <c r="J703" i="3"/>
  <c r="AU702" i="3"/>
  <c r="H702" i="3"/>
  <c r="Z701" i="3"/>
  <c r="G701" i="3"/>
  <c r="W700" i="3"/>
  <c r="I700" i="3"/>
  <c r="AN699" i="3"/>
  <c r="L699" i="3"/>
  <c r="C699" i="3"/>
  <c r="I698" i="3"/>
  <c r="AN697" i="3"/>
  <c r="L697" i="3"/>
  <c r="C697" i="3"/>
  <c r="P696" i="3"/>
  <c r="E696" i="3"/>
  <c r="S695" i="3"/>
  <c r="G695" i="3"/>
  <c r="W694" i="3"/>
  <c r="H694" i="3"/>
  <c r="Z693" i="3"/>
  <c r="J693" i="3"/>
  <c r="AU692" i="3"/>
  <c r="H692" i="3"/>
  <c r="Z691" i="3"/>
  <c r="L691" i="3"/>
  <c r="C691" i="3"/>
  <c r="P690" i="3"/>
  <c r="E690" i="3"/>
  <c r="S689" i="3"/>
  <c r="G689" i="3"/>
  <c r="W688" i="3"/>
  <c r="I688" i="3"/>
  <c r="AN687" i="3"/>
  <c r="L687" i="3"/>
  <c r="C687" i="3"/>
  <c r="P686" i="3"/>
  <c r="E686" i="3"/>
  <c r="S685" i="3"/>
  <c r="F685" i="3"/>
  <c r="U684" i="3"/>
  <c r="H684" i="3"/>
  <c r="Z683" i="3"/>
  <c r="J683" i="3"/>
  <c r="AU682" i="3"/>
  <c r="O682" i="3"/>
  <c r="D682" i="3"/>
  <c r="Q681" i="3"/>
  <c r="F681" i="3"/>
  <c r="U680" i="3"/>
  <c r="H680" i="3"/>
  <c r="Z679" i="3"/>
  <c r="J679" i="3"/>
  <c r="AU678" i="3"/>
  <c r="O678" i="3"/>
  <c r="D678" i="3"/>
  <c r="J677" i="3"/>
  <c r="AU676" i="3"/>
  <c r="H676" i="3"/>
  <c r="Z675" i="3"/>
  <c r="F675" i="3"/>
  <c r="S674" i="3"/>
  <c r="D674" i="3"/>
  <c r="J673" i="3"/>
  <c r="AU672" i="3"/>
  <c r="H672" i="3"/>
  <c r="Z671" i="3"/>
  <c r="F671" i="3"/>
  <c r="S670" i="3"/>
  <c r="D670" i="3"/>
  <c r="J669" i="3"/>
  <c r="AU668" i="3"/>
  <c r="H668" i="3"/>
  <c r="Z667" i="3"/>
  <c r="F667" i="3"/>
  <c r="S666" i="3"/>
  <c r="D666" i="3"/>
  <c r="J665" i="3"/>
  <c r="AU664" i="3"/>
  <c r="H664" i="3"/>
  <c r="Z663" i="3"/>
  <c r="F663" i="3"/>
  <c r="S662" i="3"/>
  <c r="D662" i="3"/>
  <c r="J661" i="3"/>
  <c r="AU660" i="3"/>
  <c r="H660" i="3"/>
  <c r="Z659" i="3"/>
  <c r="F659" i="3"/>
  <c r="S658" i="3"/>
  <c r="D658" i="3"/>
  <c r="J657" i="3"/>
  <c r="AU656" i="3"/>
  <c r="H656" i="3"/>
  <c r="Z655" i="3"/>
  <c r="F655" i="3"/>
  <c r="S654" i="3"/>
  <c r="L887" i="3"/>
  <c r="H857" i="3"/>
  <c r="D845" i="3"/>
  <c r="E837" i="3"/>
  <c r="W829" i="3"/>
  <c r="Q822" i="3"/>
  <c r="AN814" i="3"/>
  <c r="G807" i="3"/>
  <c r="C804" i="3"/>
  <c r="D802" i="3"/>
  <c r="E800" i="3"/>
  <c r="I798" i="3"/>
  <c r="P796" i="3"/>
  <c r="W794" i="3"/>
  <c r="C793" i="3"/>
  <c r="G791" i="3"/>
  <c r="G789" i="3"/>
  <c r="H787" i="3"/>
  <c r="D785" i="3"/>
  <c r="E783" i="3"/>
  <c r="E781" i="3"/>
  <c r="I779" i="3"/>
  <c r="P777" i="3"/>
  <c r="Q775" i="3"/>
  <c r="Z773" i="3"/>
  <c r="D772" i="3"/>
  <c r="H770" i="3"/>
  <c r="O768" i="3"/>
  <c r="U766" i="3"/>
  <c r="AU764" i="3"/>
  <c r="F763" i="3"/>
  <c r="J761" i="3"/>
  <c r="H760" i="3"/>
  <c r="L759" i="3"/>
  <c r="U758" i="3"/>
  <c r="D758" i="3"/>
  <c r="J757" i="3"/>
  <c r="AU756" i="3"/>
  <c r="O756" i="3"/>
  <c r="D756" i="3"/>
  <c r="Q755" i="3"/>
  <c r="F755" i="3"/>
  <c r="U754" i="3"/>
  <c r="I754" i="3"/>
  <c r="AN753" i="3"/>
  <c r="G753" i="3"/>
  <c r="W752" i="3"/>
  <c r="I752" i="3"/>
  <c r="AN751" i="3"/>
  <c r="L751" i="3"/>
  <c r="C751" i="3"/>
  <c r="P750" i="3"/>
  <c r="E750" i="3"/>
  <c r="S749" i="3"/>
  <c r="F749" i="3"/>
  <c r="U748" i="3"/>
  <c r="H748" i="3"/>
  <c r="Z747" i="3"/>
  <c r="F747" i="3"/>
  <c r="U746" i="3"/>
  <c r="I746" i="3"/>
  <c r="AN745" i="3"/>
  <c r="L745" i="3"/>
  <c r="C745" i="3"/>
  <c r="P744" i="3"/>
  <c r="E744" i="3"/>
  <c r="S743" i="3"/>
  <c r="H743" i="3"/>
  <c r="Z742" i="3"/>
  <c r="J742" i="3"/>
  <c r="AU741" i="3"/>
  <c r="O741" i="3"/>
  <c r="D741" i="3"/>
  <c r="Q740" i="3"/>
  <c r="F740" i="3"/>
  <c r="U739" i="3"/>
  <c r="G739" i="3"/>
  <c r="W738" i="3"/>
  <c r="I738" i="3"/>
  <c r="AN737" i="3"/>
  <c r="L737" i="3"/>
  <c r="C737" i="3"/>
  <c r="P736" i="3"/>
  <c r="E736" i="3"/>
  <c r="S735" i="3"/>
  <c r="G735" i="3"/>
  <c r="W734" i="3"/>
  <c r="I734" i="3"/>
  <c r="AN733" i="3"/>
  <c r="L733" i="3"/>
  <c r="C733" i="3"/>
  <c r="P732" i="3"/>
  <c r="E732" i="3"/>
  <c r="L731" i="3"/>
  <c r="C731" i="3"/>
  <c r="I730" i="3"/>
  <c r="AN729" i="3"/>
  <c r="G729" i="3"/>
  <c r="U728" i="3"/>
  <c r="E728" i="3"/>
  <c r="S727" i="3"/>
  <c r="D727" i="3"/>
  <c r="Q726" i="3"/>
  <c r="F726" i="3"/>
  <c r="U725" i="3"/>
  <c r="H725" i="3"/>
  <c r="Z724" i="3"/>
  <c r="F724" i="3"/>
  <c r="U723" i="3"/>
  <c r="H723" i="3"/>
  <c r="Z722" i="3"/>
  <c r="J722" i="3"/>
  <c r="AU721" i="3"/>
  <c r="O721" i="3"/>
  <c r="D721" i="3"/>
  <c r="Q720" i="3"/>
  <c r="F720" i="3"/>
  <c r="S719" i="3"/>
  <c r="D719" i="3"/>
  <c r="Q718" i="3"/>
  <c r="F718" i="3"/>
  <c r="U717" i="3"/>
  <c r="H717" i="3"/>
  <c r="Z716" i="3"/>
  <c r="J716" i="3"/>
  <c r="AU715" i="3"/>
  <c r="O715" i="3"/>
  <c r="D715" i="3"/>
  <c r="Q714" i="3"/>
  <c r="F714" i="3"/>
  <c r="U713" i="3"/>
  <c r="H713" i="3"/>
  <c r="Z712" i="3"/>
  <c r="J712" i="3"/>
  <c r="AU711" i="3"/>
  <c r="O711" i="3"/>
  <c r="D711" i="3"/>
  <c r="Q710" i="3"/>
  <c r="F710" i="3"/>
  <c r="U709" i="3"/>
  <c r="H709" i="3"/>
  <c r="Z708" i="3"/>
  <c r="J708" i="3"/>
  <c r="AU707" i="3"/>
  <c r="O707" i="3"/>
  <c r="D707" i="3"/>
  <c r="J706" i="3"/>
  <c r="AU705" i="3"/>
  <c r="P705" i="3"/>
  <c r="E705" i="3"/>
  <c r="L704" i="3"/>
  <c r="C704" i="3"/>
  <c r="I703" i="3"/>
  <c r="AN702" i="3"/>
  <c r="G702" i="3"/>
  <c r="W701" i="3"/>
  <c r="F701" i="3"/>
  <c r="U700" i="3"/>
  <c r="H700" i="3"/>
  <c r="Z699" i="3"/>
  <c r="J699" i="3"/>
  <c r="AU698" i="3"/>
  <c r="H698" i="3"/>
  <c r="Z697" i="3"/>
  <c r="J697" i="3"/>
  <c r="AU696" i="3"/>
  <c r="O696" i="3"/>
  <c r="D696" i="3"/>
  <c r="Q695" i="3"/>
  <c r="F695" i="3"/>
  <c r="U694" i="3"/>
  <c r="G694" i="3"/>
  <c r="W693" i="3"/>
  <c r="I693" i="3"/>
  <c r="AN692" i="3"/>
  <c r="G692" i="3"/>
  <c r="W691" i="3"/>
  <c r="J691" i="3"/>
  <c r="AU690" i="3"/>
  <c r="O690" i="3"/>
  <c r="D690" i="3"/>
  <c r="Q689" i="3"/>
  <c r="F689" i="3"/>
  <c r="U688" i="3"/>
  <c r="H688" i="3"/>
  <c r="Z687" i="3"/>
  <c r="J687" i="3"/>
  <c r="AU686" i="3"/>
  <c r="O686" i="3"/>
  <c r="D686" i="3"/>
  <c r="R685" i="3"/>
  <c r="E685" i="3"/>
  <c r="S684" i="3"/>
  <c r="G684" i="3"/>
  <c r="W683" i="3"/>
  <c r="I683" i="3"/>
  <c r="AN682" i="3"/>
  <c r="L682" i="3"/>
  <c r="C682" i="3"/>
  <c r="P681" i="3"/>
  <c r="E681" i="3"/>
  <c r="S680" i="3"/>
  <c r="G680" i="3"/>
  <c r="W679" i="3"/>
  <c r="I679" i="3"/>
  <c r="AN678" i="3"/>
  <c r="L678" i="3"/>
  <c r="C678" i="3"/>
  <c r="I677" i="3"/>
  <c r="AN676" i="3"/>
  <c r="G676" i="3"/>
  <c r="U675" i="3"/>
  <c r="E675" i="3"/>
  <c r="L674" i="3"/>
  <c r="C674" i="3"/>
  <c r="I673" i="3"/>
  <c r="AN672" i="3"/>
  <c r="G672" i="3"/>
  <c r="U671" i="3"/>
  <c r="E671" i="3"/>
  <c r="L670" i="3"/>
  <c r="C670" i="3"/>
  <c r="I669" i="3"/>
  <c r="AN668" i="3"/>
  <c r="G668" i="3"/>
  <c r="U667" i="3"/>
  <c r="E667" i="3"/>
  <c r="L666" i="3"/>
  <c r="C666" i="3"/>
  <c r="I665" i="3"/>
  <c r="AN664" i="3"/>
  <c r="G664" i="3"/>
  <c r="U663" i="3"/>
  <c r="E663" i="3"/>
  <c r="L662" i="3"/>
  <c r="C662" i="3"/>
  <c r="I661" i="3"/>
  <c r="AN660" i="3"/>
  <c r="G660" i="3"/>
  <c r="U659" i="3"/>
  <c r="E659" i="3"/>
  <c r="AU886" i="3"/>
  <c r="Z856" i="3"/>
  <c r="AU844" i="3"/>
  <c r="C837" i="3"/>
  <c r="S829" i="3"/>
  <c r="O822" i="3"/>
  <c r="U814" i="3"/>
  <c r="E807" i="3"/>
  <c r="AU803" i="3"/>
  <c r="C802" i="3"/>
  <c r="D800" i="3"/>
  <c r="H798" i="3"/>
  <c r="O796" i="3"/>
  <c r="U794" i="3"/>
  <c r="AU792" i="3"/>
  <c r="F791" i="3"/>
  <c r="F789" i="3"/>
  <c r="G787" i="3"/>
  <c r="C785" i="3"/>
  <c r="D783" i="3"/>
  <c r="D781" i="3"/>
  <c r="H779" i="3"/>
  <c r="O777" i="3"/>
  <c r="P775" i="3"/>
  <c r="W773" i="3"/>
  <c r="C772" i="3"/>
  <c r="G770" i="3"/>
  <c r="L768" i="3"/>
  <c r="S766" i="3"/>
  <c r="AN764" i="3"/>
  <c r="E763" i="3"/>
  <c r="G761" i="3"/>
  <c r="F760" i="3"/>
  <c r="J759" i="3"/>
  <c r="S758" i="3"/>
  <c r="C758" i="3"/>
  <c r="I757" i="3"/>
  <c r="AN756" i="3"/>
  <c r="L756" i="3"/>
  <c r="C756" i="3"/>
  <c r="P755" i="3"/>
  <c r="E755" i="3"/>
  <c r="S754" i="3"/>
  <c r="H754" i="3"/>
  <c r="Z753" i="3"/>
  <c r="F753" i="3"/>
  <c r="U752" i="3"/>
  <c r="H752" i="3"/>
  <c r="Z751" i="3"/>
  <c r="J751" i="3"/>
  <c r="AU750" i="3"/>
  <c r="O750" i="3"/>
  <c r="D750" i="3"/>
  <c r="R749" i="3"/>
  <c r="E749" i="3"/>
  <c r="S748" i="3"/>
  <c r="G748" i="3"/>
  <c r="U747" i="3"/>
  <c r="E747" i="3"/>
  <c r="S746" i="3"/>
  <c r="H746" i="3"/>
  <c r="Z745" i="3"/>
  <c r="J745" i="3"/>
  <c r="AU744" i="3"/>
  <c r="O744" i="3"/>
  <c r="D744" i="3"/>
  <c r="R743" i="3"/>
  <c r="G743" i="3"/>
  <c r="W742" i="3"/>
  <c r="I742" i="3"/>
  <c r="AN741" i="3"/>
  <c r="L741" i="3"/>
  <c r="C741" i="3"/>
  <c r="P740" i="3"/>
  <c r="E740" i="3"/>
  <c r="S739" i="3"/>
  <c r="F739" i="3"/>
  <c r="U738" i="3"/>
  <c r="H738" i="3"/>
  <c r="Z737" i="3"/>
  <c r="J737" i="3"/>
  <c r="AU736" i="3"/>
  <c r="O736" i="3"/>
  <c r="D736" i="3"/>
  <c r="Q735" i="3"/>
  <c r="F735" i="3"/>
  <c r="U734" i="3"/>
  <c r="H734" i="3"/>
  <c r="Z733" i="3"/>
  <c r="J733" i="3"/>
  <c r="AU732" i="3"/>
  <c r="O732" i="3"/>
  <c r="D732" i="3"/>
  <c r="J731" i="3"/>
  <c r="AU730" i="3"/>
  <c r="H730" i="3"/>
  <c r="Z729" i="3"/>
  <c r="F729" i="3"/>
  <c r="S728" i="3"/>
  <c r="D728" i="3"/>
  <c r="L727" i="3"/>
  <c r="C727" i="3"/>
  <c r="P726" i="3"/>
  <c r="E726" i="3"/>
  <c r="S725" i="3"/>
  <c r="G725" i="3"/>
  <c r="U724" i="3"/>
  <c r="E724" i="3"/>
  <c r="S723" i="3"/>
  <c r="G723" i="3"/>
  <c r="W722" i="3"/>
  <c r="I722" i="3"/>
  <c r="AN721" i="3"/>
  <c r="L721" i="3"/>
  <c r="C721" i="3"/>
  <c r="P720" i="3"/>
  <c r="E720" i="3"/>
  <c r="L719" i="3"/>
  <c r="C719" i="3"/>
  <c r="P718" i="3"/>
  <c r="E718" i="3"/>
  <c r="S717" i="3"/>
  <c r="G717" i="3"/>
  <c r="W716" i="3"/>
  <c r="I716" i="3"/>
  <c r="AN715" i="3"/>
  <c r="L715" i="3"/>
  <c r="C715" i="3"/>
  <c r="P714" i="3"/>
  <c r="E714" i="3"/>
  <c r="S713" i="3"/>
  <c r="G713" i="3"/>
  <c r="W712" i="3"/>
  <c r="I712" i="3"/>
  <c r="AN711" i="3"/>
  <c r="L711" i="3"/>
  <c r="C711" i="3"/>
  <c r="P710" i="3"/>
  <c r="E710" i="3"/>
  <c r="S709" i="3"/>
  <c r="G709" i="3"/>
  <c r="W708" i="3"/>
  <c r="I708" i="3"/>
  <c r="AN707" i="3"/>
  <c r="L707" i="3"/>
  <c r="C707" i="3"/>
  <c r="I706" i="3"/>
  <c r="AN705" i="3"/>
  <c r="O705" i="3"/>
  <c r="D705" i="3"/>
  <c r="J704" i="3"/>
  <c r="AU703" i="3"/>
  <c r="H703" i="3"/>
  <c r="Z702" i="3"/>
  <c r="F702" i="3"/>
  <c r="U701" i="3"/>
  <c r="E701" i="3"/>
  <c r="S700" i="3"/>
  <c r="G700" i="3"/>
  <c r="W699" i="3"/>
  <c r="I699" i="3"/>
  <c r="AN698" i="3"/>
  <c r="G698" i="3"/>
  <c r="W697" i="3"/>
  <c r="I697" i="3"/>
  <c r="AN696" i="3"/>
  <c r="L696" i="3"/>
  <c r="C696" i="3"/>
  <c r="P695" i="3"/>
  <c r="E695" i="3"/>
  <c r="S694" i="3"/>
  <c r="F694" i="3"/>
  <c r="U693" i="3"/>
  <c r="H693" i="3"/>
  <c r="Z692" i="3"/>
  <c r="F692" i="3"/>
  <c r="U691" i="3"/>
  <c r="I691" i="3"/>
  <c r="AN690" i="3"/>
  <c r="L690" i="3"/>
  <c r="C690" i="3"/>
  <c r="P689" i="3"/>
  <c r="E689" i="3"/>
  <c r="S688" i="3"/>
  <c r="G688" i="3"/>
  <c r="W687" i="3"/>
  <c r="I687" i="3"/>
  <c r="AN686" i="3"/>
  <c r="L686" i="3"/>
  <c r="C686" i="3"/>
  <c r="Q685" i="3"/>
  <c r="D685" i="3"/>
  <c r="Q684" i="3"/>
  <c r="F684" i="3"/>
  <c r="U683" i="3"/>
  <c r="H683" i="3"/>
  <c r="Z682" i="3"/>
  <c r="J682" i="3"/>
  <c r="AU681" i="3"/>
  <c r="O681" i="3"/>
  <c r="D681" i="3"/>
  <c r="Q680" i="3"/>
  <c r="F680" i="3"/>
  <c r="U679" i="3"/>
  <c r="H679" i="3"/>
  <c r="Z678" i="3"/>
  <c r="J678" i="3"/>
  <c r="AU677" i="3"/>
  <c r="H677" i="3"/>
  <c r="Z676" i="3"/>
  <c r="F676" i="3"/>
  <c r="S675" i="3"/>
  <c r="D675" i="3"/>
  <c r="J674" i="3"/>
  <c r="AU673" i="3"/>
  <c r="H673" i="3"/>
  <c r="Z672" i="3"/>
  <c r="F672" i="3"/>
  <c r="S671" i="3"/>
  <c r="D671" i="3"/>
  <c r="J670" i="3"/>
  <c r="AU669" i="3"/>
  <c r="H669" i="3"/>
  <c r="Z668" i="3"/>
  <c r="F668" i="3"/>
  <c r="S667" i="3"/>
  <c r="D667" i="3"/>
  <c r="J666" i="3"/>
  <c r="AU665" i="3"/>
  <c r="H665" i="3"/>
  <c r="Z664" i="3"/>
  <c r="F664" i="3"/>
  <c r="S663" i="3"/>
  <c r="D663" i="3"/>
  <c r="J662" i="3"/>
  <c r="AU661" i="3"/>
  <c r="H661" i="3"/>
  <c r="Z660" i="3"/>
  <c r="F660" i="3"/>
  <c r="S659" i="3"/>
  <c r="D659" i="3"/>
  <c r="J658" i="3"/>
  <c r="AU657" i="3"/>
  <c r="H657" i="3"/>
  <c r="Z656" i="3"/>
  <c r="F656" i="3"/>
  <c r="E880" i="3"/>
  <c r="C828" i="3"/>
  <c r="P803" i="3"/>
  <c r="E796" i="3"/>
  <c r="W788" i="3"/>
  <c r="S780" i="3"/>
  <c r="J773" i="3"/>
  <c r="H766" i="3"/>
  <c r="E760" i="3"/>
  <c r="H757" i="3"/>
  <c r="O755" i="3"/>
  <c r="U753" i="3"/>
  <c r="W751" i="3"/>
  <c r="C750" i="3"/>
  <c r="F748" i="3"/>
  <c r="G746" i="3"/>
  <c r="L744" i="3"/>
  <c r="U742" i="3"/>
  <c r="AU740" i="3"/>
  <c r="E739" i="3"/>
  <c r="I737" i="3"/>
  <c r="P735" i="3"/>
  <c r="W733" i="3"/>
  <c r="C732" i="3"/>
  <c r="U729" i="3"/>
  <c r="J727" i="3"/>
  <c r="Q725" i="3"/>
  <c r="Q723" i="3"/>
  <c r="Z721" i="3"/>
  <c r="D720" i="3"/>
  <c r="D718" i="3"/>
  <c r="H716" i="3"/>
  <c r="O714" i="3"/>
  <c r="U712" i="3"/>
  <c r="AU710" i="3"/>
  <c r="F709" i="3"/>
  <c r="J707" i="3"/>
  <c r="L705" i="3"/>
  <c r="G703" i="3"/>
  <c r="D701" i="3"/>
  <c r="H699" i="3"/>
  <c r="H697" i="3"/>
  <c r="O695" i="3"/>
  <c r="S693" i="3"/>
  <c r="S691" i="3"/>
  <c r="AU689" i="3"/>
  <c r="F688" i="3"/>
  <c r="J686" i="3"/>
  <c r="P684" i="3"/>
  <c r="W682" i="3"/>
  <c r="C681" i="3"/>
  <c r="G679" i="3"/>
  <c r="G677" i="3"/>
  <c r="C675" i="3"/>
  <c r="U672" i="3"/>
  <c r="I670" i="3"/>
  <c r="E668" i="3"/>
  <c r="AN665" i="3"/>
  <c r="L663" i="3"/>
  <c r="G661" i="3"/>
  <c r="C659" i="3"/>
  <c r="I657" i="3"/>
  <c r="I656" i="3"/>
  <c r="L655" i="3"/>
  <c r="Z654" i="3"/>
  <c r="D654" i="3"/>
  <c r="I653" i="3"/>
  <c r="Z652" i="3"/>
  <c r="E652" i="3"/>
  <c r="J651" i="3"/>
  <c r="AN650" i="3"/>
  <c r="G650" i="3"/>
  <c r="U649" i="3"/>
  <c r="E649" i="3"/>
  <c r="L648" i="3"/>
  <c r="C648" i="3"/>
  <c r="I647" i="3"/>
  <c r="AN646" i="3"/>
  <c r="G646" i="3"/>
  <c r="U645" i="3"/>
  <c r="E645" i="3"/>
  <c r="L644" i="3"/>
  <c r="C644" i="3"/>
  <c r="I643" i="3"/>
  <c r="AN642" i="3"/>
  <c r="G642" i="3"/>
  <c r="U641" i="3"/>
  <c r="E641" i="3"/>
  <c r="L640" i="3"/>
  <c r="C640" i="3"/>
  <c r="I639" i="3"/>
  <c r="AN638" i="3"/>
  <c r="G638" i="3"/>
  <c r="U637" i="3"/>
  <c r="E637" i="3"/>
  <c r="L636" i="3"/>
  <c r="C636" i="3"/>
  <c r="I635" i="3"/>
  <c r="AN634" i="3"/>
  <c r="G634" i="3"/>
  <c r="W633" i="3"/>
  <c r="I633" i="3"/>
  <c r="AN632" i="3"/>
  <c r="L632" i="3"/>
  <c r="C632" i="3"/>
  <c r="P631" i="3"/>
  <c r="E631" i="3"/>
  <c r="S630" i="3"/>
  <c r="G630" i="3"/>
  <c r="W629" i="3"/>
  <c r="I629" i="3"/>
  <c r="AN628" i="3"/>
  <c r="L628" i="3"/>
  <c r="C628" i="3"/>
  <c r="P627" i="3"/>
  <c r="E627" i="3"/>
  <c r="S626" i="3"/>
  <c r="G626" i="3"/>
  <c r="W625" i="3"/>
  <c r="G625" i="3"/>
  <c r="W624" i="3"/>
  <c r="J624" i="3"/>
  <c r="AU623" i="3"/>
  <c r="O623" i="3"/>
  <c r="D623" i="3"/>
  <c r="Q622" i="3"/>
  <c r="F622" i="3"/>
  <c r="U621" i="3"/>
  <c r="H621" i="3"/>
  <c r="Z620" i="3"/>
  <c r="J620" i="3"/>
  <c r="AU619" i="3"/>
  <c r="O619" i="3"/>
  <c r="D619" i="3"/>
  <c r="R618" i="3"/>
  <c r="G618" i="3"/>
  <c r="W617" i="3"/>
  <c r="I617" i="3"/>
  <c r="AN616" i="3"/>
  <c r="L616" i="3"/>
  <c r="C616" i="3"/>
  <c r="P615" i="3"/>
  <c r="E615" i="3"/>
  <c r="S614" i="3"/>
  <c r="G614" i="3"/>
  <c r="W613" i="3"/>
  <c r="I613" i="3"/>
  <c r="AN612" i="3"/>
  <c r="L612" i="3"/>
  <c r="C612" i="3"/>
  <c r="P611" i="3"/>
  <c r="E611" i="3"/>
  <c r="S610" i="3"/>
  <c r="G610" i="3"/>
  <c r="W609" i="3"/>
  <c r="I609" i="3"/>
  <c r="AN608" i="3"/>
  <c r="G608" i="3"/>
  <c r="U607" i="3"/>
  <c r="E607" i="3"/>
  <c r="L606" i="3"/>
  <c r="C606" i="3"/>
  <c r="J605" i="3"/>
  <c r="AU604" i="3"/>
  <c r="H604" i="3"/>
  <c r="Z603" i="3"/>
  <c r="F603" i="3"/>
  <c r="S602" i="3"/>
  <c r="D602" i="3"/>
  <c r="Q601" i="3"/>
  <c r="F601" i="3"/>
  <c r="U600" i="3"/>
  <c r="H600" i="3"/>
  <c r="Z599" i="3"/>
  <c r="J599" i="3"/>
  <c r="AU598" i="3"/>
  <c r="O598" i="3"/>
  <c r="D598" i="3"/>
  <c r="Q597" i="3"/>
  <c r="F597" i="3"/>
  <c r="U596" i="3"/>
  <c r="H596" i="3"/>
  <c r="Z595" i="3"/>
  <c r="J595" i="3"/>
  <c r="AU594" i="3"/>
  <c r="O594" i="3"/>
  <c r="D594" i="3"/>
  <c r="Q593" i="3"/>
  <c r="F593" i="3"/>
  <c r="U592" i="3"/>
  <c r="H592" i="3"/>
  <c r="Z591" i="3"/>
  <c r="J591" i="3"/>
  <c r="AU590" i="3"/>
  <c r="O590" i="3"/>
  <c r="D590" i="3"/>
  <c r="Q589" i="3"/>
  <c r="F589" i="3"/>
  <c r="U588" i="3"/>
  <c r="H588" i="3"/>
  <c r="Z587" i="3"/>
  <c r="J587" i="3"/>
  <c r="AU586" i="3"/>
  <c r="O586" i="3"/>
  <c r="D586" i="3"/>
  <c r="Q585" i="3"/>
  <c r="F585" i="3"/>
  <c r="U584" i="3"/>
  <c r="H584" i="3"/>
  <c r="Z583" i="3"/>
  <c r="F583" i="3"/>
  <c r="S582" i="3"/>
  <c r="D582" i="3"/>
  <c r="J581" i="3"/>
  <c r="AU580" i="3"/>
  <c r="I580" i="3"/>
  <c r="AN579" i="3"/>
  <c r="G579" i="3"/>
  <c r="U578" i="3"/>
  <c r="E578" i="3"/>
  <c r="L577" i="3"/>
  <c r="C577" i="3"/>
  <c r="J576" i="3"/>
  <c r="AU575" i="3"/>
  <c r="I575" i="3"/>
  <c r="AN574" i="3"/>
  <c r="H574" i="3"/>
  <c r="Z573" i="3"/>
  <c r="G573" i="3"/>
  <c r="W572" i="3"/>
  <c r="F572" i="3"/>
  <c r="U571" i="3"/>
  <c r="E571" i="3"/>
  <c r="S570" i="3"/>
  <c r="D570" i="3"/>
  <c r="L569" i="3"/>
  <c r="C569" i="3"/>
  <c r="J568" i="3"/>
  <c r="AU567" i="3"/>
  <c r="I567" i="3"/>
  <c r="AN566" i="3"/>
  <c r="H566" i="3"/>
  <c r="Z565" i="3"/>
  <c r="G565" i="3"/>
  <c r="W564" i="3"/>
  <c r="F564" i="3"/>
  <c r="S879" i="3"/>
  <c r="AN827" i="3"/>
  <c r="O803" i="3"/>
  <c r="D796" i="3"/>
  <c r="U788" i="3"/>
  <c r="Q780" i="3"/>
  <c r="I773" i="3"/>
  <c r="G766" i="3"/>
  <c r="D760" i="3"/>
  <c r="G757" i="3"/>
  <c r="L755" i="3"/>
  <c r="S753" i="3"/>
  <c r="U751" i="3"/>
  <c r="AU749" i="3"/>
  <c r="E748" i="3"/>
  <c r="F746" i="3"/>
  <c r="J744" i="3"/>
  <c r="S742" i="3"/>
  <c r="AN740" i="3"/>
  <c r="D739" i="3"/>
  <c r="H737" i="3"/>
  <c r="O735" i="3"/>
  <c r="U733" i="3"/>
  <c r="AU731" i="3"/>
  <c r="S729" i="3"/>
  <c r="I727" i="3"/>
  <c r="P725" i="3"/>
  <c r="P723" i="3"/>
  <c r="W721" i="3"/>
  <c r="C720" i="3"/>
  <c r="C718" i="3"/>
  <c r="G716" i="3"/>
  <c r="L714" i="3"/>
  <c r="S712" i="3"/>
  <c r="AN710" i="3"/>
  <c r="E709" i="3"/>
  <c r="I707" i="3"/>
  <c r="J705" i="3"/>
  <c r="F703" i="3"/>
  <c r="C701" i="3"/>
  <c r="G699" i="3"/>
  <c r="G697" i="3"/>
  <c r="L695" i="3"/>
  <c r="Q693" i="3"/>
  <c r="R691" i="3"/>
  <c r="AN689" i="3"/>
  <c r="E688" i="3"/>
  <c r="I686" i="3"/>
  <c r="O684" i="3"/>
  <c r="U682" i="3"/>
  <c r="AU680" i="3"/>
  <c r="F679" i="3"/>
  <c r="F677" i="3"/>
  <c r="AU674" i="3"/>
  <c r="S672" i="3"/>
  <c r="H670" i="3"/>
  <c r="D668" i="3"/>
  <c r="Z665" i="3"/>
  <c r="J663" i="3"/>
  <c r="F661" i="3"/>
  <c r="AU658" i="3"/>
  <c r="G657" i="3"/>
  <c r="G656" i="3"/>
  <c r="J655" i="3"/>
  <c r="U654" i="3"/>
  <c r="C654" i="3"/>
  <c r="H653" i="3"/>
  <c r="U652" i="3"/>
  <c r="D652" i="3"/>
  <c r="H651" i="3"/>
  <c r="Z650" i="3"/>
  <c r="F650" i="3"/>
  <c r="S649" i="3"/>
  <c r="D649" i="3"/>
  <c r="J648" i="3"/>
  <c r="AU647" i="3"/>
  <c r="H647" i="3"/>
  <c r="Z646" i="3"/>
  <c r="F646" i="3"/>
  <c r="S645" i="3"/>
  <c r="D645" i="3"/>
  <c r="J644" i="3"/>
  <c r="AU643" i="3"/>
  <c r="H643" i="3"/>
  <c r="Z642" i="3"/>
  <c r="F642" i="3"/>
  <c r="S641" i="3"/>
  <c r="D641" i="3"/>
  <c r="J640" i="3"/>
  <c r="AU639" i="3"/>
  <c r="H639" i="3"/>
  <c r="Z638" i="3"/>
  <c r="F638" i="3"/>
  <c r="S637" i="3"/>
  <c r="D637" i="3"/>
  <c r="J636" i="3"/>
  <c r="AU635" i="3"/>
  <c r="H635" i="3"/>
  <c r="Z634" i="3"/>
  <c r="F634" i="3"/>
  <c r="U633" i="3"/>
  <c r="H633" i="3"/>
  <c r="Z632" i="3"/>
  <c r="J632" i="3"/>
  <c r="AU631" i="3"/>
  <c r="O631" i="3"/>
  <c r="D631" i="3"/>
  <c r="Q630" i="3"/>
  <c r="F630" i="3"/>
  <c r="U629" i="3"/>
  <c r="H629" i="3"/>
  <c r="Z628" i="3"/>
  <c r="J628" i="3"/>
  <c r="AU627" i="3"/>
  <c r="O627" i="3"/>
  <c r="D627" i="3"/>
  <c r="Q626" i="3"/>
  <c r="F626" i="3"/>
  <c r="U625" i="3"/>
  <c r="F625" i="3"/>
  <c r="U624" i="3"/>
  <c r="I624" i="3"/>
  <c r="AN623" i="3"/>
  <c r="L623" i="3"/>
  <c r="C623" i="3"/>
  <c r="P622" i="3"/>
  <c r="E622" i="3"/>
  <c r="S621" i="3"/>
  <c r="G621" i="3"/>
  <c r="W620" i="3"/>
  <c r="I620" i="3"/>
  <c r="AN619" i="3"/>
  <c r="L619" i="3"/>
  <c r="C619" i="3"/>
  <c r="Q618" i="3"/>
  <c r="F618" i="3"/>
  <c r="U617" i="3"/>
  <c r="H617" i="3"/>
  <c r="Z616" i="3"/>
  <c r="J616" i="3"/>
  <c r="AU615" i="3"/>
  <c r="O615" i="3"/>
  <c r="D615" i="3"/>
  <c r="Q614" i="3"/>
  <c r="F614" i="3"/>
  <c r="U613" i="3"/>
  <c r="H613" i="3"/>
  <c r="Z612" i="3"/>
  <c r="J612" i="3"/>
  <c r="AU611" i="3"/>
  <c r="O611" i="3"/>
  <c r="D611" i="3"/>
  <c r="Q610" i="3"/>
  <c r="F610" i="3"/>
  <c r="U609" i="3"/>
  <c r="H609" i="3"/>
  <c r="Z608" i="3"/>
  <c r="F608" i="3"/>
  <c r="S607" i="3"/>
  <c r="D607" i="3"/>
  <c r="J606" i="3"/>
  <c r="AU605" i="3"/>
  <c r="I605" i="3"/>
  <c r="AN604" i="3"/>
  <c r="G604" i="3"/>
  <c r="U603" i="3"/>
  <c r="E603" i="3"/>
  <c r="L602" i="3"/>
  <c r="C602" i="3"/>
  <c r="P601" i="3"/>
  <c r="E601" i="3"/>
  <c r="S600" i="3"/>
  <c r="G600" i="3"/>
  <c r="W599" i="3"/>
  <c r="I599" i="3"/>
  <c r="AN598" i="3"/>
  <c r="L598" i="3"/>
  <c r="C598" i="3"/>
  <c r="P597" i="3"/>
  <c r="E597" i="3"/>
  <c r="S596" i="3"/>
  <c r="G596" i="3"/>
  <c r="W595" i="3"/>
  <c r="I595" i="3"/>
  <c r="AN594" i="3"/>
  <c r="L594" i="3"/>
  <c r="C594" i="3"/>
  <c r="P593" i="3"/>
  <c r="E593" i="3"/>
  <c r="S592" i="3"/>
  <c r="G592" i="3"/>
  <c r="W591" i="3"/>
  <c r="I591" i="3"/>
  <c r="AN590" i="3"/>
  <c r="L590" i="3"/>
  <c r="C590" i="3"/>
  <c r="P589" i="3"/>
  <c r="E589" i="3"/>
  <c r="S588" i="3"/>
  <c r="G588" i="3"/>
  <c r="W587" i="3"/>
  <c r="I587" i="3"/>
  <c r="AN586" i="3"/>
  <c r="L586" i="3"/>
  <c r="C586" i="3"/>
  <c r="P585" i="3"/>
  <c r="E585" i="3"/>
  <c r="S584" i="3"/>
  <c r="G584" i="3"/>
  <c r="U583" i="3"/>
  <c r="E583" i="3"/>
  <c r="L582" i="3"/>
  <c r="C582" i="3"/>
  <c r="I581" i="3"/>
  <c r="AN580" i="3"/>
  <c r="H580" i="3"/>
  <c r="Z579" i="3"/>
  <c r="F579" i="3"/>
  <c r="S578" i="3"/>
  <c r="D578" i="3"/>
  <c r="J577" i="3"/>
  <c r="AU576" i="3"/>
  <c r="I576" i="3"/>
  <c r="AN575" i="3"/>
  <c r="H575" i="3"/>
  <c r="Z574" i="3"/>
  <c r="G574" i="3"/>
  <c r="W573" i="3"/>
  <c r="F573" i="3"/>
  <c r="U572" i="3"/>
  <c r="E572" i="3"/>
  <c r="S571" i="3"/>
  <c r="D571" i="3"/>
  <c r="L570" i="3"/>
  <c r="C570" i="3"/>
  <c r="J569" i="3"/>
  <c r="AU568" i="3"/>
  <c r="I568" i="3"/>
  <c r="AN567" i="3"/>
  <c r="H567" i="3"/>
  <c r="Z566" i="3"/>
  <c r="G566" i="3"/>
  <c r="W565" i="3"/>
  <c r="F565" i="3"/>
  <c r="U564" i="3"/>
  <c r="E564" i="3"/>
  <c r="S563" i="3"/>
  <c r="D563" i="3"/>
  <c r="L562" i="3"/>
  <c r="C562" i="3"/>
  <c r="J561" i="3"/>
  <c r="AU560" i="3"/>
  <c r="I560" i="3"/>
  <c r="AN559" i="3"/>
  <c r="H559" i="3"/>
  <c r="Q851" i="3"/>
  <c r="Z820" i="3"/>
  <c r="P801" i="3"/>
  <c r="I794" i="3"/>
  <c r="Z786" i="3"/>
  <c r="AN778" i="3"/>
  <c r="Q771" i="3"/>
  <c r="O764" i="3"/>
  <c r="G759" i="3"/>
  <c r="Z756" i="3"/>
  <c r="D755" i="3"/>
  <c r="E753" i="3"/>
  <c r="I751" i="3"/>
  <c r="Q749" i="3"/>
  <c r="S747" i="3"/>
  <c r="W745" i="3"/>
  <c r="C744" i="3"/>
  <c r="H742" i="3"/>
  <c r="O740" i="3"/>
  <c r="S738" i="3"/>
  <c r="AN736" i="3"/>
  <c r="E735" i="3"/>
  <c r="I733" i="3"/>
  <c r="I731" i="3"/>
  <c r="E729" i="3"/>
  <c r="AU726" i="3"/>
  <c r="F725" i="3"/>
  <c r="F723" i="3"/>
  <c r="J721" i="3"/>
  <c r="J719" i="3"/>
  <c r="Q717" i="3"/>
  <c r="Z715" i="3"/>
  <c r="D714" i="3"/>
  <c r="H712" i="3"/>
  <c r="O710" i="3"/>
  <c r="U708" i="3"/>
  <c r="AU706" i="3"/>
  <c r="C705" i="3"/>
  <c r="U702" i="3"/>
  <c r="Q700" i="3"/>
  <c r="Z698" i="3"/>
  <c r="Z696" i="3"/>
  <c r="D695" i="3"/>
  <c r="G693" i="3"/>
  <c r="H691" i="3"/>
  <c r="O689" i="3"/>
  <c r="U687" i="3"/>
  <c r="AU685" i="3"/>
  <c r="E684" i="3"/>
  <c r="I682" i="3"/>
  <c r="P680" i="3"/>
  <c r="W678" i="3"/>
  <c r="U676" i="3"/>
  <c r="I674" i="3"/>
  <c r="E672" i="3"/>
  <c r="AN669" i="3"/>
  <c r="L667" i="3"/>
  <c r="G665" i="3"/>
  <c r="C663" i="3"/>
  <c r="U660" i="3"/>
  <c r="L658" i="3"/>
  <c r="F657" i="3"/>
  <c r="E656" i="3"/>
  <c r="H655" i="3"/>
  <c r="L654" i="3"/>
  <c r="AU653" i="3"/>
  <c r="G653" i="3"/>
  <c r="S652" i="3"/>
  <c r="AU651" i="3"/>
  <c r="G651" i="3"/>
  <c r="U650" i="3"/>
  <c r="E650" i="3"/>
  <c r="L649" i="3"/>
  <c r="C649" i="3"/>
  <c r="I648" i="3"/>
  <c r="AN647" i="3"/>
  <c r="G647" i="3"/>
  <c r="U646" i="3"/>
  <c r="E646" i="3"/>
  <c r="L645" i="3"/>
  <c r="C645" i="3"/>
  <c r="I644" i="3"/>
  <c r="AN643" i="3"/>
  <c r="G643" i="3"/>
  <c r="U642" i="3"/>
  <c r="E642" i="3"/>
  <c r="L641" i="3"/>
  <c r="C641" i="3"/>
  <c r="I640" i="3"/>
  <c r="AN639" i="3"/>
  <c r="G639" i="3"/>
  <c r="U638" i="3"/>
  <c r="E638" i="3"/>
  <c r="L637" i="3"/>
  <c r="C637" i="3"/>
  <c r="I636" i="3"/>
  <c r="AN635" i="3"/>
  <c r="G635" i="3"/>
  <c r="U634" i="3"/>
  <c r="E634" i="3"/>
  <c r="S633" i="3"/>
  <c r="G633" i="3"/>
  <c r="W632" i="3"/>
  <c r="I632" i="3"/>
  <c r="AN631" i="3"/>
  <c r="L631" i="3"/>
  <c r="C631" i="3"/>
  <c r="P630" i="3"/>
  <c r="E630" i="3"/>
  <c r="S629" i="3"/>
  <c r="G629" i="3"/>
  <c r="W628" i="3"/>
  <c r="I628" i="3"/>
  <c r="AN627" i="3"/>
  <c r="L627" i="3"/>
  <c r="C627" i="3"/>
  <c r="P626" i="3"/>
  <c r="E626" i="3"/>
  <c r="S625" i="3"/>
  <c r="E625" i="3"/>
  <c r="S624" i="3"/>
  <c r="H624" i="3"/>
  <c r="Z623" i="3"/>
  <c r="J623" i="3"/>
  <c r="AU622" i="3"/>
  <c r="O622" i="3"/>
  <c r="D622" i="3"/>
  <c r="Q621" i="3"/>
  <c r="F621" i="3"/>
  <c r="U620" i="3"/>
  <c r="H620" i="3"/>
  <c r="Z619" i="3"/>
  <c r="J619" i="3"/>
  <c r="AU618" i="3"/>
  <c r="P618" i="3"/>
  <c r="E618" i="3"/>
  <c r="S617" i="3"/>
  <c r="G617" i="3"/>
  <c r="W616" i="3"/>
  <c r="I616" i="3"/>
  <c r="AN615" i="3"/>
  <c r="L615" i="3"/>
  <c r="C615" i="3"/>
  <c r="P614" i="3"/>
  <c r="E614" i="3"/>
  <c r="S613" i="3"/>
  <c r="G613" i="3"/>
  <c r="W612" i="3"/>
  <c r="I612" i="3"/>
  <c r="AN611" i="3"/>
  <c r="L611" i="3"/>
  <c r="C611" i="3"/>
  <c r="P610" i="3"/>
  <c r="E610" i="3"/>
  <c r="S609" i="3"/>
  <c r="G609" i="3"/>
  <c r="U608" i="3"/>
  <c r="E608" i="3"/>
  <c r="L607" i="3"/>
  <c r="C607" i="3"/>
  <c r="I606" i="3"/>
  <c r="AN605" i="3"/>
  <c r="H605" i="3"/>
  <c r="Z604" i="3"/>
  <c r="F604" i="3"/>
  <c r="S603" i="3"/>
  <c r="D603" i="3"/>
  <c r="J602" i="3"/>
  <c r="AU601" i="3"/>
  <c r="O601" i="3"/>
  <c r="D601" i="3"/>
  <c r="Q600" i="3"/>
  <c r="F600" i="3"/>
  <c r="U599" i="3"/>
  <c r="H599" i="3"/>
  <c r="Z598" i="3"/>
  <c r="J598" i="3"/>
  <c r="AU597" i="3"/>
  <c r="O597" i="3"/>
  <c r="D597" i="3"/>
  <c r="Q596" i="3"/>
  <c r="F596" i="3"/>
  <c r="U595" i="3"/>
  <c r="H595" i="3"/>
  <c r="Z594" i="3"/>
  <c r="J594" i="3"/>
  <c r="AU593" i="3"/>
  <c r="O593" i="3"/>
  <c r="D593" i="3"/>
  <c r="Q592" i="3"/>
  <c r="F592" i="3"/>
  <c r="U591" i="3"/>
  <c r="H591" i="3"/>
  <c r="Z590" i="3"/>
  <c r="J590" i="3"/>
  <c r="AU589" i="3"/>
  <c r="O589" i="3"/>
  <c r="D589" i="3"/>
  <c r="Q588" i="3"/>
  <c r="F588" i="3"/>
  <c r="U587" i="3"/>
  <c r="H587" i="3"/>
  <c r="Z586" i="3"/>
  <c r="J586" i="3"/>
  <c r="AU585" i="3"/>
  <c r="O585" i="3"/>
  <c r="D585" i="3"/>
  <c r="Q584" i="3"/>
  <c r="F584" i="3"/>
  <c r="S583" i="3"/>
  <c r="D583" i="3"/>
  <c r="J582" i="3"/>
  <c r="AU581" i="3"/>
  <c r="H581" i="3"/>
  <c r="Z580" i="3"/>
  <c r="G580" i="3"/>
  <c r="U579" i="3"/>
  <c r="E579" i="3"/>
  <c r="L578" i="3"/>
  <c r="C578" i="3"/>
  <c r="I577" i="3"/>
  <c r="AN576" i="3"/>
  <c r="H576" i="3"/>
  <c r="Z575" i="3"/>
  <c r="G575" i="3"/>
  <c r="W574" i="3"/>
  <c r="F574" i="3"/>
  <c r="U573" i="3"/>
  <c r="E573" i="3"/>
  <c r="S572" i="3"/>
  <c r="D572" i="3"/>
  <c r="L571" i="3"/>
  <c r="C571" i="3"/>
  <c r="J570" i="3"/>
  <c r="AU569" i="3"/>
  <c r="I569" i="3"/>
  <c r="AN568" i="3"/>
  <c r="H568" i="3"/>
  <c r="Z567" i="3"/>
  <c r="G567" i="3"/>
  <c r="W566" i="3"/>
  <c r="F566" i="3"/>
  <c r="U565" i="3"/>
  <c r="E565" i="3"/>
  <c r="S564" i="3"/>
  <c r="O851" i="3"/>
  <c r="U820" i="3"/>
  <c r="L801" i="3"/>
  <c r="H794" i="3"/>
  <c r="U786" i="3"/>
  <c r="Z778" i="3"/>
  <c r="P771" i="3"/>
  <c r="L764" i="3"/>
  <c r="F759" i="3"/>
  <c r="W756" i="3"/>
  <c r="C755" i="3"/>
  <c r="D753" i="3"/>
  <c r="H751" i="3"/>
  <c r="L749" i="3"/>
  <c r="L747" i="3"/>
  <c r="U745" i="3"/>
  <c r="AU743" i="3"/>
  <c r="G742" i="3"/>
  <c r="L740" i="3"/>
  <c r="Q738" i="3"/>
  <c r="Z736" i="3"/>
  <c r="D735" i="3"/>
  <c r="H733" i="3"/>
  <c r="H731" i="3"/>
  <c r="D729" i="3"/>
  <c r="AN726" i="3"/>
  <c r="E725" i="3"/>
  <c r="E723" i="3"/>
  <c r="I721" i="3"/>
  <c r="I719" i="3"/>
  <c r="P717" i="3"/>
  <c r="W715" i="3"/>
  <c r="C714" i="3"/>
  <c r="G712" i="3"/>
  <c r="L710" i="3"/>
  <c r="S708" i="3"/>
  <c r="AN706" i="3"/>
  <c r="AU704" i="3"/>
  <c r="S702" i="3"/>
  <c r="P700" i="3"/>
  <c r="U698" i="3"/>
  <c r="W696" i="3"/>
  <c r="C695" i="3"/>
  <c r="F693" i="3"/>
  <c r="G691" i="3"/>
  <c r="L689" i="3"/>
  <c r="S687" i="3"/>
  <c r="AN685" i="3"/>
  <c r="D684" i="3"/>
  <c r="H682" i="3"/>
  <c r="O680" i="3"/>
  <c r="U678" i="3"/>
  <c r="S676" i="3"/>
  <c r="H674" i="3"/>
  <c r="D672" i="3"/>
  <c r="Z669" i="3"/>
  <c r="J667" i="3"/>
  <c r="F665" i="3"/>
  <c r="AU662" i="3"/>
  <c r="S660" i="3"/>
  <c r="I658" i="3"/>
  <c r="D657" i="3"/>
  <c r="D656" i="3"/>
  <c r="G655" i="3"/>
  <c r="J654" i="3"/>
  <c r="AN653" i="3"/>
  <c r="F653" i="3"/>
  <c r="J652" i="3"/>
  <c r="AN651" i="3"/>
  <c r="F651" i="3"/>
  <c r="S650" i="3"/>
  <c r="D650" i="3"/>
  <c r="J649" i="3"/>
  <c r="AU648" i="3"/>
  <c r="H648" i="3"/>
  <c r="Z647" i="3"/>
  <c r="F647" i="3"/>
  <c r="S646" i="3"/>
  <c r="D646" i="3"/>
  <c r="J645" i="3"/>
  <c r="AU644" i="3"/>
  <c r="H644" i="3"/>
  <c r="Z643" i="3"/>
  <c r="F643" i="3"/>
  <c r="S642" i="3"/>
  <c r="D642" i="3"/>
  <c r="J641" i="3"/>
  <c r="AU640" i="3"/>
  <c r="H640" i="3"/>
  <c r="Z639" i="3"/>
  <c r="F639" i="3"/>
  <c r="S638" i="3"/>
  <c r="D638" i="3"/>
  <c r="J637" i="3"/>
  <c r="AU636" i="3"/>
  <c r="H636" i="3"/>
  <c r="Z635" i="3"/>
  <c r="F635" i="3"/>
  <c r="S634" i="3"/>
  <c r="D634" i="3"/>
  <c r="Q633" i="3"/>
  <c r="F633" i="3"/>
  <c r="U632" i="3"/>
  <c r="H632" i="3"/>
  <c r="Z631" i="3"/>
  <c r="J631" i="3"/>
  <c r="AU630" i="3"/>
  <c r="O630" i="3"/>
  <c r="D630" i="3"/>
  <c r="Q629" i="3"/>
  <c r="F629" i="3"/>
  <c r="U628" i="3"/>
  <c r="H628" i="3"/>
  <c r="Z627" i="3"/>
  <c r="J627" i="3"/>
  <c r="AU626" i="3"/>
  <c r="O626" i="3"/>
  <c r="D626" i="3"/>
  <c r="Q625" i="3"/>
  <c r="D625" i="3"/>
  <c r="R624" i="3"/>
  <c r="G624" i="3"/>
  <c r="W623" i="3"/>
  <c r="I623" i="3"/>
  <c r="AN622" i="3"/>
  <c r="L622" i="3"/>
  <c r="C622" i="3"/>
  <c r="P621" i="3"/>
  <c r="E621" i="3"/>
  <c r="S620" i="3"/>
  <c r="G620" i="3"/>
  <c r="W619" i="3"/>
  <c r="I619" i="3"/>
  <c r="AN618" i="3"/>
  <c r="O618" i="3"/>
  <c r="D618" i="3"/>
  <c r="Q617" i="3"/>
  <c r="F617" i="3"/>
  <c r="U616" i="3"/>
  <c r="H616" i="3"/>
  <c r="Z615" i="3"/>
  <c r="J615" i="3"/>
  <c r="AU614" i="3"/>
  <c r="O614" i="3"/>
  <c r="D614" i="3"/>
  <c r="Q613" i="3"/>
  <c r="F613" i="3"/>
  <c r="U612" i="3"/>
  <c r="H612" i="3"/>
  <c r="Z611" i="3"/>
  <c r="J611" i="3"/>
  <c r="AU610" i="3"/>
  <c r="O610" i="3"/>
  <c r="D610" i="3"/>
  <c r="Q609" i="3"/>
  <c r="F609" i="3"/>
  <c r="S608" i="3"/>
  <c r="D608" i="3"/>
  <c r="J607" i="3"/>
  <c r="AU606" i="3"/>
  <c r="H606" i="3"/>
  <c r="Z605" i="3"/>
  <c r="G605" i="3"/>
  <c r="U604" i="3"/>
  <c r="E604" i="3"/>
  <c r="L603" i="3"/>
  <c r="C603" i="3"/>
  <c r="I602" i="3"/>
  <c r="AN601" i="3"/>
  <c r="L601" i="3"/>
  <c r="C601" i="3"/>
  <c r="P600" i="3"/>
  <c r="E600" i="3"/>
  <c r="S599" i="3"/>
  <c r="G599" i="3"/>
  <c r="W598" i="3"/>
  <c r="I598" i="3"/>
  <c r="AN597" i="3"/>
  <c r="L597" i="3"/>
  <c r="C597" i="3"/>
  <c r="P596" i="3"/>
  <c r="E596" i="3"/>
  <c r="S595" i="3"/>
  <c r="G595" i="3"/>
  <c r="W594" i="3"/>
  <c r="I594" i="3"/>
  <c r="AN593" i="3"/>
  <c r="L593" i="3"/>
  <c r="C593" i="3"/>
  <c r="P592" i="3"/>
  <c r="E592" i="3"/>
  <c r="S591" i="3"/>
  <c r="G591" i="3"/>
  <c r="W590" i="3"/>
  <c r="I590" i="3"/>
  <c r="AN589" i="3"/>
  <c r="L589" i="3"/>
  <c r="C589" i="3"/>
  <c r="P588" i="3"/>
  <c r="E588" i="3"/>
  <c r="S587" i="3"/>
  <c r="G587" i="3"/>
  <c r="W586" i="3"/>
  <c r="I586" i="3"/>
  <c r="AN585" i="3"/>
  <c r="L585" i="3"/>
  <c r="C585" i="3"/>
  <c r="P584" i="3"/>
  <c r="E584" i="3"/>
  <c r="L583" i="3"/>
  <c r="C583" i="3"/>
  <c r="I582" i="3"/>
  <c r="AN581" i="3"/>
  <c r="G581" i="3"/>
  <c r="W580" i="3"/>
  <c r="F580" i="3"/>
  <c r="S579" i="3"/>
  <c r="D579" i="3"/>
  <c r="J578" i="3"/>
  <c r="AU577" i="3"/>
  <c r="H577" i="3"/>
  <c r="Z576" i="3"/>
  <c r="G576" i="3"/>
  <c r="W575" i="3"/>
  <c r="F575" i="3"/>
  <c r="U574" i="3"/>
  <c r="E574" i="3"/>
  <c r="S573" i="3"/>
  <c r="D573" i="3"/>
  <c r="L572" i="3"/>
  <c r="C572" i="3"/>
  <c r="J571" i="3"/>
  <c r="AU570" i="3"/>
  <c r="I570" i="3"/>
  <c r="AN569" i="3"/>
  <c r="H569" i="3"/>
  <c r="Z568" i="3"/>
  <c r="G568" i="3"/>
  <c r="W567" i="3"/>
  <c r="F567" i="3"/>
  <c r="U566" i="3"/>
  <c r="E566" i="3"/>
  <c r="S565" i="3"/>
  <c r="D565" i="3"/>
  <c r="L564" i="3"/>
  <c r="C564" i="3"/>
  <c r="J563" i="3"/>
  <c r="AU562" i="3"/>
  <c r="I562" i="3"/>
  <c r="AN561" i="3"/>
  <c r="H561" i="3"/>
  <c r="Z560" i="3"/>
  <c r="Z842" i="3"/>
  <c r="U812" i="3"/>
  <c r="S799" i="3"/>
  <c r="P792" i="3"/>
  <c r="L784" i="3"/>
  <c r="E777" i="3"/>
  <c r="Z769" i="3"/>
  <c r="S762" i="3"/>
  <c r="L758" i="3"/>
  <c r="J756" i="3"/>
  <c r="R754" i="3"/>
  <c r="S752" i="3"/>
  <c r="AN750" i="3"/>
  <c r="D749" i="3"/>
  <c r="D747" i="3"/>
  <c r="I745" i="3"/>
  <c r="Q743" i="3"/>
  <c r="Z741" i="3"/>
  <c r="D740" i="3"/>
  <c r="G738" i="3"/>
  <c r="L736" i="3"/>
  <c r="S734" i="3"/>
  <c r="AN732" i="3"/>
  <c r="AN730" i="3"/>
  <c r="L728" i="3"/>
  <c r="O726" i="3"/>
  <c r="S724" i="3"/>
  <c r="U722" i="3"/>
  <c r="AU720" i="3"/>
  <c r="AU718" i="3"/>
  <c r="F717" i="3"/>
  <c r="J715" i="3"/>
  <c r="Q713" i="3"/>
  <c r="Z711" i="3"/>
  <c r="D710" i="3"/>
  <c r="H708" i="3"/>
  <c r="H706" i="3"/>
  <c r="I704" i="3"/>
  <c r="E702" i="3"/>
  <c r="F700" i="3"/>
  <c r="F698" i="3"/>
  <c r="J696" i="3"/>
  <c r="R694" i="3"/>
  <c r="U692" i="3"/>
  <c r="Z690" i="3"/>
  <c r="D689" i="3"/>
  <c r="H687" i="3"/>
  <c r="L685" i="3"/>
  <c r="S683" i="3"/>
  <c r="AN681" i="3"/>
  <c r="E680" i="3"/>
  <c r="I678" i="3"/>
  <c r="E676" i="3"/>
  <c r="AN673" i="3"/>
  <c r="L671" i="3"/>
  <c r="G669" i="3"/>
  <c r="C667" i="3"/>
  <c r="U664" i="3"/>
  <c r="I662" i="3"/>
  <c r="E660" i="3"/>
  <c r="H658" i="3"/>
  <c r="AN656" i="3"/>
  <c r="AU655" i="3"/>
  <c r="E655" i="3"/>
  <c r="I654" i="3"/>
  <c r="Z653" i="3"/>
  <c r="D653" i="3"/>
  <c r="I652" i="3"/>
  <c r="Z651" i="3"/>
  <c r="E651" i="3"/>
  <c r="L650" i="3"/>
  <c r="C650" i="3"/>
  <c r="I649" i="3"/>
  <c r="AN648" i="3"/>
  <c r="G648" i="3"/>
  <c r="U647" i="3"/>
  <c r="E647" i="3"/>
  <c r="L646" i="3"/>
  <c r="C646" i="3"/>
  <c r="I645" i="3"/>
  <c r="AN644" i="3"/>
  <c r="G644" i="3"/>
  <c r="U643" i="3"/>
  <c r="E643" i="3"/>
  <c r="L642" i="3"/>
  <c r="C642" i="3"/>
  <c r="I641" i="3"/>
  <c r="AN640" i="3"/>
  <c r="G640" i="3"/>
  <c r="U639" i="3"/>
  <c r="E639" i="3"/>
  <c r="L638" i="3"/>
  <c r="C638" i="3"/>
  <c r="I637" i="3"/>
  <c r="AN636" i="3"/>
  <c r="G636" i="3"/>
  <c r="U635" i="3"/>
  <c r="E635" i="3"/>
  <c r="L634" i="3"/>
  <c r="C634" i="3"/>
  <c r="P633" i="3"/>
  <c r="E633" i="3"/>
  <c r="S632" i="3"/>
  <c r="G632" i="3"/>
  <c r="W631" i="3"/>
  <c r="I631" i="3"/>
  <c r="AN630" i="3"/>
  <c r="L630" i="3"/>
  <c r="C630" i="3"/>
  <c r="P629" i="3"/>
  <c r="E629" i="3"/>
  <c r="S628" i="3"/>
  <c r="G628" i="3"/>
  <c r="W627" i="3"/>
  <c r="I627" i="3"/>
  <c r="AN626" i="3"/>
  <c r="L626" i="3"/>
  <c r="C626" i="3"/>
  <c r="L625" i="3"/>
  <c r="C625" i="3"/>
  <c r="Q624" i="3"/>
  <c r="F624" i="3"/>
  <c r="U623" i="3"/>
  <c r="H623" i="3"/>
  <c r="Z622" i="3"/>
  <c r="J622" i="3"/>
  <c r="AU621" i="3"/>
  <c r="O621" i="3"/>
  <c r="D621" i="3"/>
  <c r="Q620" i="3"/>
  <c r="F620" i="3"/>
  <c r="U619" i="3"/>
  <c r="H619" i="3"/>
  <c r="Z618" i="3"/>
  <c r="L618" i="3"/>
  <c r="C618" i="3"/>
  <c r="P617" i="3"/>
  <c r="E617" i="3"/>
  <c r="S616" i="3"/>
  <c r="G616" i="3"/>
  <c r="W615" i="3"/>
  <c r="I615" i="3"/>
  <c r="AN614" i="3"/>
  <c r="L614" i="3"/>
  <c r="C614" i="3"/>
  <c r="P613" i="3"/>
  <c r="E613" i="3"/>
  <c r="S612" i="3"/>
  <c r="G612" i="3"/>
  <c r="W611" i="3"/>
  <c r="I611" i="3"/>
  <c r="AN610" i="3"/>
  <c r="L610" i="3"/>
  <c r="C610" i="3"/>
  <c r="P609" i="3"/>
  <c r="E609" i="3"/>
  <c r="L608" i="3"/>
  <c r="C608" i="3"/>
  <c r="I607" i="3"/>
  <c r="AN606" i="3"/>
  <c r="G606" i="3"/>
  <c r="W605" i="3"/>
  <c r="F605" i="3"/>
  <c r="S604" i="3"/>
  <c r="D604" i="3"/>
  <c r="J603" i="3"/>
  <c r="AU602" i="3"/>
  <c r="H602" i="3"/>
  <c r="Z601" i="3"/>
  <c r="J601" i="3"/>
  <c r="AU600" i="3"/>
  <c r="O600" i="3"/>
  <c r="D600" i="3"/>
  <c r="Q599" i="3"/>
  <c r="F599" i="3"/>
  <c r="U598" i="3"/>
  <c r="H598" i="3"/>
  <c r="Z597" i="3"/>
  <c r="J597" i="3"/>
  <c r="AU596" i="3"/>
  <c r="O596" i="3"/>
  <c r="D596" i="3"/>
  <c r="Q595" i="3"/>
  <c r="F595" i="3"/>
  <c r="U594" i="3"/>
  <c r="H594" i="3"/>
  <c r="Z593" i="3"/>
  <c r="J593" i="3"/>
  <c r="AU592" i="3"/>
  <c r="O592" i="3"/>
  <c r="D592" i="3"/>
  <c r="Q591" i="3"/>
  <c r="F591" i="3"/>
  <c r="U590" i="3"/>
  <c r="H590" i="3"/>
  <c r="Z589" i="3"/>
  <c r="J589" i="3"/>
  <c r="AU588" i="3"/>
  <c r="O588" i="3"/>
  <c r="D588" i="3"/>
  <c r="Q587" i="3"/>
  <c r="F587" i="3"/>
  <c r="U586" i="3"/>
  <c r="H586" i="3"/>
  <c r="Z585" i="3"/>
  <c r="J585" i="3"/>
  <c r="AU584" i="3"/>
  <c r="O584" i="3"/>
  <c r="D584" i="3"/>
  <c r="J583" i="3"/>
  <c r="AU582" i="3"/>
  <c r="H582" i="3"/>
  <c r="Z581" i="3"/>
  <c r="F581" i="3"/>
  <c r="U580" i="3"/>
  <c r="E580" i="3"/>
  <c r="L579" i="3"/>
  <c r="C579" i="3"/>
  <c r="I578" i="3"/>
  <c r="AN577" i="3"/>
  <c r="G577" i="3"/>
  <c r="W576" i="3"/>
  <c r="F576" i="3"/>
  <c r="U575" i="3"/>
  <c r="E575" i="3"/>
  <c r="S574" i="3"/>
  <c r="D574" i="3"/>
  <c r="L573" i="3"/>
  <c r="C573" i="3"/>
  <c r="J572" i="3"/>
  <c r="AU571" i="3"/>
  <c r="I571" i="3"/>
  <c r="AN570" i="3"/>
  <c r="H570" i="3"/>
  <c r="Z569" i="3"/>
  <c r="G569" i="3"/>
  <c r="W568" i="3"/>
  <c r="F568" i="3"/>
  <c r="U567" i="3"/>
  <c r="E567" i="3"/>
  <c r="S566" i="3"/>
  <c r="D566" i="3"/>
  <c r="L565" i="3"/>
  <c r="C565" i="3"/>
  <c r="J564" i="3"/>
  <c r="AU563" i="3"/>
  <c r="I563" i="3"/>
  <c r="AN562" i="3"/>
  <c r="H562" i="3"/>
  <c r="Z561" i="3"/>
  <c r="U842" i="3"/>
  <c r="Q812" i="3"/>
  <c r="Q799" i="3"/>
  <c r="O792" i="3"/>
  <c r="J784" i="3"/>
  <c r="D777" i="3"/>
  <c r="W769" i="3"/>
  <c r="L762" i="3"/>
  <c r="J758" i="3"/>
  <c r="I756" i="3"/>
  <c r="Q754" i="3"/>
  <c r="Q752" i="3"/>
  <c r="Z750" i="3"/>
  <c r="C749" i="3"/>
  <c r="C747" i="3"/>
  <c r="H745" i="3"/>
  <c r="P743" i="3"/>
  <c r="W741" i="3"/>
  <c r="C740" i="3"/>
  <c r="F738" i="3"/>
  <c r="J736" i="3"/>
  <c r="Q734" i="3"/>
  <c r="Z732" i="3"/>
  <c r="Z730" i="3"/>
  <c r="J728" i="3"/>
  <c r="L726" i="3"/>
  <c r="L724" i="3"/>
  <c r="S722" i="3"/>
  <c r="AN720" i="3"/>
  <c r="AN718" i="3"/>
  <c r="E717" i="3"/>
  <c r="I715" i="3"/>
  <c r="P713" i="3"/>
  <c r="W711" i="3"/>
  <c r="C710" i="3"/>
  <c r="G708" i="3"/>
  <c r="G706" i="3"/>
  <c r="H704" i="3"/>
  <c r="D702" i="3"/>
  <c r="E700" i="3"/>
  <c r="E698" i="3"/>
  <c r="I696" i="3"/>
  <c r="Q694" i="3"/>
  <c r="S692" i="3"/>
  <c r="W690" i="3"/>
  <c r="C689" i="3"/>
  <c r="G687" i="3"/>
  <c r="J685" i="3"/>
  <c r="Q683" i="3"/>
  <c r="Z681" i="3"/>
  <c r="D680" i="3"/>
  <c r="H678" i="3"/>
  <c r="D676" i="3"/>
  <c r="Z673" i="3"/>
  <c r="J671" i="3"/>
  <c r="F669" i="3"/>
  <c r="AU666" i="3"/>
  <c r="S664" i="3"/>
  <c r="H662" i="3"/>
  <c r="D660" i="3"/>
  <c r="C658" i="3"/>
  <c r="U656" i="3"/>
  <c r="AN655" i="3"/>
  <c r="D655" i="3"/>
  <c r="H654" i="3"/>
  <c r="S653" i="3"/>
  <c r="C653" i="3"/>
  <c r="H652" i="3"/>
  <c r="U651" i="3"/>
  <c r="D651" i="3"/>
  <c r="J650" i="3"/>
  <c r="AU649" i="3"/>
  <c r="H649" i="3"/>
  <c r="Z648" i="3"/>
  <c r="F648" i="3"/>
  <c r="S647" i="3"/>
  <c r="D647" i="3"/>
  <c r="J646" i="3"/>
  <c r="AU645" i="3"/>
  <c r="H645" i="3"/>
  <c r="Z644" i="3"/>
  <c r="F644" i="3"/>
  <c r="S643" i="3"/>
  <c r="D643" i="3"/>
  <c r="J642" i="3"/>
  <c r="AU641" i="3"/>
  <c r="H641" i="3"/>
  <c r="Z640" i="3"/>
  <c r="F640" i="3"/>
  <c r="S639" i="3"/>
  <c r="D639" i="3"/>
  <c r="J638" i="3"/>
  <c r="AU637" i="3"/>
  <c r="H637" i="3"/>
  <c r="Z636" i="3"/>
  <c r="F636" i="3"/>
  <c r="S635" i="3"/>
  <c r="D635" i="3"/>
  <c r="J634" i="3"/>
  <c r="AU633" i="3"/>
  <c r="O633" i="3"/>
  <c r="D633" i="3"/>
  <c r="Q632" i="3"/>
  <c r="F632" i="3"/>
  <c r="U631" i="3"/>
  <c r="H631" i="3"/>
  <c r="Z630" i="3"/>
  <c r="J630" i="3"/>
  <c r="AU629" i="3"/>
  <c r="O629" i="3"/>
  <c r="D629" i="3"/>
  <c r="Q628" i="3"/>
  <c r="F628" i="3"/>
  <c r="U627" i="3"/>
  <c r="H627" i="3"/>
  <c r="Z626" i="3"/>
  <c r="J626" i="3"/>
  <c r="AU625" i="3"/>
  <c r="J625" i="3"/>
  <c r="AU624" i="3"/>
  <c r="P624" i="3"/>
  <c r="E624" i="3"/>
  <c r="S623" i="3"/>
  <c r="G623" i="3"/>
  <c r="W622" i="3"/>
  <c r="I622" i="3"/>
  <c r="AN621" i="3"/>
  <c r="L621" i="3"/>
  <c r="C621" i="3"/>
  <c r="P620" i="3"/>
  <c r="E620" i="3"/>
  <c r="S619" i="3"/>
  <c r="G619" i="3"/>
  <c r="W618" i="3"/>
  <c r="J618" i="3"/>
  <c r="AU617" i="3"/>
  <c r="O617" i="3"/>
  <c r="D617" i="3"/>
  <c r="Q616" i="3"/>
  <c r="F616" i="3"/>
  <c r="U615" i="3"/>
  <c r="H615" i="3"/>
  <c r="Z614" i="3"/>
  <c r="J614" i="3"/>
  <c r="AU613" i="3"/>
  <c r="O613" i="3"/>
  <c r="D613" i="3"/>
  <c r="Q612" i="3"/>
  <c r="F612" i="3"/>
  <c r="U611" i="3"/>
  <c r="H611" i="3"/>
  <c r="Z610" i="3"/>
  <c r="J610" i="3"/>
  <c r="AU609" i="3"/>
  <c r="O609" i="3"/>
  <c r="D609" i="3"/>
  <c r="J608" i="3"/>
  <c r="AU607" i="3"/>
  <c r="H607" i="3"/>
  <c r="Z606" i="3"/>
  <c r="F606" i="3"/>
  <c r="U605" i="3"/>
  <c r="E605" i="3"/>
  <c r="L604" i="3"/>
  <c r="C604" i="3"/>
  <c r="I603" i="3"/>
  <c r="AN602" i="3"/>
  <c r="G602" i="3"/>
  <c r="W601" i="3"/>
  <c r="I601" i="3"/>
  <c r="AN600" i="3"/>
  <c r="L600" i="3"/>
  <c r="C600" i="3"/>
  <c r="P599" i="3"/>
  <c r="E599" i="3"/>
  <c r="S598" i="3"/>
  <c r="G598" i="3"/>
  <c r="W597" i="3"/>
  <c r="I597" i="3"/>
  <c r="AN596" i="3"/>
  <c r="L596" i="3"/>
  <c r="C596" i="3"/>
  <c r="P595" i="3"/>
  <c r="E595" i="3"/>
  <c r="S594" i="3"/>
  <c r="G594" i="3"/>
  <c r="W593" i="3"/>
  <c r="I593" i="3"/>
  <c r="AN592" i="3"/>
  <c r="L592" i="3"/>
  <c r="C592" i="3"/>
  <c r="P591" i="3"/>
  <c r="E591" i="3"/>
  <c r="S590" i="3"/>
  <c r="G590" i="3"/>
  <c r="W589" i="3"/>
  <c r="I589" i="3"/>
  <c r="AN588" i="3"/>
  <c r="L588" i="3"/>
  <c r="C588" i="3"/>
  <c r="P587" i="3"/>
  <c r="E587" i="3"/>
  <c r="S586" i="3"/>
  <c r="G586" i="3"/>
  <c r="W585" i="3"/>
  <c r="I585" i="3"/>
  <c r="AN584" i="3"/>
  <c r="L584" i="3"/>
  <c r="C584" i="3"/>
  <c r="I583" i="3"/>
  <c r="AN582" i="3"/>
  <c r="G582" i="3"/>
  <c r="U581" i="3"/>
  <c r="E581" i="3"/>
  <c r="S580" i="3"/>
  <c r="D580" i="3"/>
  <c r="J579" i="3"/>
  <c r="AU578" i="3"/>
  <c r="H578" i="3"/>
  <c r="Z577" i="3"/>
  <c r="F577" i="3"/>
  <c r="U576" i="3"/>
  <c r="E576" i="3"/>
  <c r="S575" i="3"/>
  <c r="D575" i="3"/>
  <c r="L574" i="3"/>
  <c r="C574" i="3"/>
  <c r="J573" i="3"/>
  <c r="AU572" i="3"/>
  <c r="I572" i="3"/>
  <c r="AN571" i="3"/>
  <c r="H571" i="3"/>
  <c r="Z570" i="3"/>
  <c r="G570" i="3"/>
  <c r="W569" i="3"/>
  <c r="F569" i="3"/>
  <c r="U568" i="3"/>
  <c r="E568" i="3"/>
  <c r="S567" i="3"/>
  <c r="D567" i="3"/>
  <c r="L566" i="3"/>
  <c r="C566" i="3"/>
  <c r="J565" i="3"/>
  <c r="AU564" i="3"/>
  <c r="I564" i="3"/>
  <c r="AN563" i="3"/>
  <c r="H563" i="3"/>
  <c r="Z562" i="3"/>
  <c r="G562" i="3"/>
  <c r="W561" i="3"/>
  <c r="F561" i="3"/>
  <c r="H835" i="3"/>
  <c r="S782" i="3"/>
  <c r="AU757" i="3"/>
  <c r="L750" i="3"/>
  <c r="F743" i="3"/>
  <c r="C736" i="3"/>
  <c r="C728" i="3"/>
  <c r="O720" i="3"/>
  <c r="F713" i="3"/>
  <c r="Z705" i="3"/>
  <c r="U697" i="3"/>
  <c r="J690" i="3"/>
  <c r="G683" i="3"/>
  <c r="L675" i="3"/>
  <c r="I666" i="3"/>
  <c r="AN657" i="3"/>
  <c r="F654" i="3"/>
  <c r="S651" i="3"/>
  <c r="G649" i="3"/>
  <c r="C647" i="3"/>
  <c r="U644" i="3"/>
  <c r="I642" i="3"/>
  <c r="E640" i="3"/>
  <c r="AN637" i="3"/>
  <c r="L635" i="3"/>
  <c r="L633" i="3"/>
  <c r="S631" i="3"/>
  <c r="AN629" i="3"/>
  <c r="E628" i="3"/>
  <c r="I626" i="3"/>
  <c r="O624" i="3"/>
  <c r="U622" i="3"/>
  <c r="AU620" i="3"/>
  <c r="F619" i="3"/>
  <c r="L617" i="3"/>
  <c r="S615" i="3"/>
  <c r="AN613" i="3"/>
  <c r="E612" i="3"/>
  <c r="I610" i="3"/>
  <c r="I608" i="3"/>
  <c r="E606" i="3"/>
  <c r="AU603" i="3"/>
  <c r="U601" i="3"/>
  <c r="AU599" i="3"/>
  <c r="F598" i="3"/>
  <c r="J596" i="3"/>
  <c r="Q594" i="3"/>
  <c r="Z592" i="3"/>
  <c r="D591" i="3"/>
  <c r="H589" i="3"/>
  <c r="O587" i="3"/>
  <c r="U585" i="3"/>
  <c r="AU583" i="3"/>
  <c r="S581" i="3"/>
  <c r="I579" i="3"/>
  <c r="E577" i="3"/>
  <c r="C575" i="3"/>
  <c r="AN572" i="3"/>
  <c r="W570" i="3"/>
  <c r="S568" i="3"/>
  <c r="J566" i="3"/>
  <c r="H564" i="3"/>
  <c r="F563" i="3"/>
  <c r="E562" i="3"/>
  <c r="E561" i="3"/>
  <c r="J560" i="3"/>
  <c r="Z559" i="3"/>
  <c r="F559" i="3"/>
  <c r="U558" i="3"/>
  <c r="E558" i="3"/>
  <c r="S557" i="3"/>
  <c r="D557" i="3"/>
  <c r="L556" i="3"/>
  <c r="C556" i="3"/>
  <c r="J555" i="3"/>
  <c r="AU554" i="3"/>
  <c r="I554" i="3"/>
  <c r="AN553" i="3"/>
  <c r="H553" i="3"/>
  <c r="Z552" i="3"/>
  <c r="G552" i="3"/>
  <c r="U551" i="3"/>
  <c r="E551" i="3"/>
  <c r="L550" i="3"/>
  <c r="C550" i="3"/>
  <c r="I549" i="3"/>
  <c r="AN548" i="3"/>
  <c r="H548" i="3"/>
  <c r="Z547" i="3"/>
  <c r="J547" i="3"/>
  <c r="AU546" i="3"/>
  <c r="O546" i="3"/>
  <c r="D546" i="3"/>
  <c r="J545" i="3"/>
  <c r="AU544" i="3"/>
  <c r="O544" i="3"/>
  <c r="D544" i="3"/>
  <c r="Q543" i="3"/>
  <c r="F543" i="3"/>
  <c r="U542" i="3"/>
  <c r="H542" i="3"/>
  <c r="Z541" i="3"/>
  <c r="J541" i="3"/>
  <c r="AU540" i="3"/>
  <c r="H540" i="3"/>
  <c r="Z539" i="3"/>
  <c r="J539" i="3"/>
  <c r="AU538" i="3"/>
  <c r="O538" i="3"/>
  <c r="D538" i="3"/>
  <c r="Q537" i="3"/>
  <c r="F537" i="3"/>
  <c r="U536" i="3"/>
  <c r="H536" i="3"/>
  <c r="Z535" i="3"/>
  <c r="J535" i="3"/>
  <c r="AU534" i="3"/>
  <c r="O534" i="3"/>
  <c r="D534" i="3"/>
  <c r="Q533" i="3"/>
  <c r="F533" i="3"/>
  <c r="U532" i="3"/>
  <c r="H532" i="3"/>
  <c r="Z531" i="3"/>
  <c r="J531" i="3"/>
  <c r="AU530" i="3"/>
  <c r="O530" i="3"/>
  <c r="D530" i="3"/>
  <c r="Q529" i="3"/>
  <c r="F529" i="3"/>
  <c r="U528" i="3"/>
  <c r="H528" i="3"/>
  <c r="Z527" i="3"/>
  <c r="F527" i="3"/>
  <c r="U526" i="3"/>
  <c r="I526" i="3"/>
  <c r="AN525" i="3"/>
  <c r="L525" i="3"/>
  <c r="C525" i="3"/>
  <c r="P524" i="3"/>
  <c r="E524" i="3"/>
  <c r="S523" i="3"/>
  <c r="G523" i="3"/>
  <c r="W522" i="3"/>
  <c r="I522" i="3"/>
  <c r="AN521" i="3"/>
  <c r="J521" i="3"/>
  <c r="AU520" i="3"/>
  <c r="O520" i="3"/>
  <c r="D520" i="3"/>
  <c r="R519" i="3"/>
  <c r="G519" i="3"/>
  <c r="W518" i="3"/>
  <c r="I518" i="3"/>
  <c r="AN517" i="3"/>
  <c r="L517" i="3"/>
  <c r="C517" i="3"/>
  <c r="P516" i="3"/>
  <c r="E516" i="3"/>
  <c r="S515" i="3"/>
  <c r="G515" i="3"/>
  <c r="W514" i="3"/>
  <c r="H514" i="3"/>
  <c r="Z513" i="3"/>
  <c r="J513" i="3"/>
  <c r="AU512" i="3"/>
  <c r="O512" i="3"/>
  <c r="D512" i="3"/>
  <c r="Q511" i="3"/>
  <c r="F511" i="3"/>
  <c r="U510" i="3"/>
  <c r="H510" i="3"/>
  <c r="Z509" i="3"/>
  <c r="J509" i="3"/>
  <c r="AU508" i="3"/>
  <c r="P508" i="3"/>
  <c r="E508" i="3"/>
  <c r="L507" i="3"/>
  <c r="C507" i="3"/>
  <c r="I506" i="3"/>
  <c r="AN505" i="3"/>
  <c r="G505" i="3"/>
  <c r="W504" i="3"/>
  <c r="F504" i="3"/>
  <c r="S503" i="3"/>
  <c r="D503" i="3"/>
  <c r="Q502" i="3"/>
  <c r="F502" i="3"/>
  <c r="U501" i="3"/>
  <c r="H501" i="3"/>
  <c r="Z500" i="3"/>
  <c r="F500" i="3"/>
  <c r="U499" i="3"/>
  <c r="H499" i="3"/>
  <c r="Z498" i="3"/>
  <c r="J498" i="3"/>
  <c r="AU497" i="3"/>
  <c r="O497" i="3"/>
  <c r="D497" i="3"/>
  <c r="R496" i="3"/>
  <c r="E496" i="3"/>
  <c r="S495" i="3"/>
  <c r="G495" i="3"/>
  <c r="U494" i="3"/>
  <c r="E494" i="3"/>
  <c r="S493" i="3"/>
  <c r="H493" i="3"/>
  <c r="Z492" i="3"/>
  <c r="J492" i="3"/>
  <c r="AU491" i="3"/>
  <c r="O491" i="3"/>
  <c r="D491" i="3"/>
  <c r="Q490" i="3"/>
  <c r="F490" i="3"/>
  <c r="U489" i="3"/>
  <c r="H489" i="3"/>
  <c r="Z488" i="3"/>
  <c r="J488" i="3"/>
  <c r="AU487" i="3"/>
  <c r="L487" i="3"/>
  <c r="C487" i="3"/>
  <c r="P486" i="3"/>
  <c r="E486" i="3"/>
  <c r="S485" i="3"/>
  <c r="G485" i="3"/>
  <c r="W484" i="3"/>
  <c r="I484" i="3"/>
  <c r="AN483" i="3"/>
  <c r="L483" i="3"/>
  <c r="C483" i="3"/>
  <c r="P482" i="3"/>
  <c r="E482" i="3"/>
  <c r="S481" i="3"/>
  <c r="G481" i="3"/>
  <c r="W480" i="3"/>
  <c r="I480" i="3"/>
  <c r="AN479" i="3"/>
  <c r="G479" i="3"/>
  <c r="W478" i="3"/>
  <c r="J478" i="3"/>
  <c r="AU477" i="3"/>
  <c r="H477" i="3"/>
  <c r="Z476" i="3"/>
  <c r="F476" i="3"/>
  <c r="S475" i="3"/>
  <c r="D475" i="3"/>
  <c r="L474" i="3"/>
  <c r="C474" i="3"/>
  <c r="P473" i="3"/>
  <c r="E473" i="3"/>
  <c r="S472" i="3"/>
  <c r="G472" i="3"/>
  <c r="W471" i="3"/>
  <c r="J471" i="3"/>
  <c r="F835" i="3"/>
  <c r="Q782" i="3"/>
  <c r="AN757" i="3"/>
  <c r="J750" i="3"/>
  <c r="E743" i="3"/>
  <c r="AU735" i="3"/>
  <c r="AU727" i="3"/>
  <c r="L720" i="3"/>
  <c r="E713" i="3"/>
  <c r="W705" i="3"/>
  <c r="S697" i="3"/>
  <c r="I690" i="3"/>
  <c r="F683" i="3"/>
  <c r="J675" i="3"/>
  <c r="H666" i="3"/>
  <c r="Z657" i="3"/>
  <c r="E654" i="3"/>
  <c r="L651" i="3"/>
  <c r="F649" i="3"/>
  <c r="AU646" i="3"/>
  <c r="S644" i="3"/>
  <c r="H642" i="3"/>
  <c r="D640" i="3"/>
  <c r="Z637" i="3"/>
  <c r="J635" i="3"/>
  <c r="J633" i="3"/>
  <c r="Q631" i="3"/>
  <c r="Z629" i="3"/>
  <c r="D628" i="3"/>
  <c r="H626" i="3"/>
  <c r="L624" i="3"/>
  <c r="S622" i="3"/>
  <c r="AN620" i="3"/>
  <c r="E619" i="3"/>
  <c r="J617" i="3"/>
  <c r="Q615" i="3"/>
  <c r="Z613" i="3"/>
  <c r="D612" i="3"/>
  <c r="H610" i="3"/>
  <c r="H608" i="3"/>
  <c r="D606" i="3"/>
  <c r="AN603" i="3"/>
  <c r="S601" i="3"/>
  <c r="AN599" i="3"/>
  <c r="E598" i="3"/>
  <c r="I596" i="3"/>
  <c r="P594" i="3"/>
  <c r="W592" i="3"/>
  <c r="C591" i="3"/>
  <c r="G589" i="3"/>
  <c r="L587" i="3"/>
  <c r="S585" i="3"/>
  <c r="AN583" i="3"/>
  <c r="L581" i="3"/>
  <c r="H579" i="3"/>
  <c r="D577" i="3"/>
  <c r="AU574" i="3"/>
  <c r="Z572" i="3"/>
  <c r="U570" i="3"/>
  <c r="L568" i="3"/>
  <c r="I566" i="3"/>
  <c r="G564" i="3"/>
  <c r="E563" i="3"/>
  <c r="D562" i="3"/>
  <c r="D561" i="3"/>
  <c r="H560" i="3"/>
  <c r="W559" i="3"/>
  <c r="E559" i="3"/>
  <c r="S558" i="3"/>
  <c r="D558" i="3"/>
  <c r="L557" i="3"/>
  <c r="C557" i="3"/>
  <c r="J556" i="3"/>
  <c r="AU555" i="3"/>
  <c r="I555" i="3"/>
  <c r="AN554" i="3"/>
  <c r="H554" i="3"/>
  <c r="Z553" i="3"/>
  <c r="G553" i="3"/>
  <c r="W552" i="3"/>
  <c r="F552" i="3"/>
  <c r="S551" i="3"/>
  <c r="D551" i="3"/>
  <c r="J550" i="3"/>
  <c r="AU549" i="3"/>
  <c r="H549" i="3"/>
  <c r="Z548" i="3"/>
  <c r="G548" i="3"/>
  <c r="W547" i="3"/>
  <c r="I547" i="3"/>
  <c r="AN546" i="3"/>
  <c r="L546" i="3"/>
  <c r="C546" i="3"/>
  <c r="I545" i="3"/>
  <c r="AN544" i="3"/>
  <c r="L544" i="3"/>
  <c r="C544" i="3"/>
  <c r="P543" i="3"/>
  <c r="E543" i="3"/>
  <c r="S542" i="3"/>
  <c r="G542" i="3"/>
  <c r="W541" i="3"/>
  <c r="I541" i="3"/>
  <c r="AN540" i="3"/>
  <c r="G540" i="3"/>
  <c r="W539" i="3"/>
  <c r="I539" i="3"/>
  <c r="AN538" i="3"/>
  <c r="L538" i="3"/>
  <c r="C538" i="3"/>
  <c r="P537" i="3"/>
  <c r="E537" i="3"/>
  <c r="S536" i="3"/>
  <c r="G536" i="3"/>
  <c r="W535" i="3"/>
  <c r="I535" i="3"/>
  <c r="AN534" i="3"/>
  <c r="L534" i="3"/>
  <c r="C534" i="3"/>
  <c r="P533" i="3"/>
  <c r="E533" i="3"/>
  <c r="S532" i="3"/>
  <c r="G532" i="3"/>
  <c r="W531" i="3"/>
  <c r="I531" i="3"/>
  <c r="AN530" i="3"/>
  <c r="L530" i="3"/>
  <c r="C530" i="3"/>
  <c r="P529" i="3"/>
  <c r="E529" i="3"/>
  <c r="S528" i="3"/>
  <c r="G528" i="3"/>
  <c r="U527" i="3"/>
  <c r="E527" i="3"/>
  <c r="S526" i="3"/>
  <c r="H526" i="3"/>
  <c r="Z525" i="3"/>
  <c r="J525" i="3"/>
  <c r="AU524" i="3"/>
  <c r="O524" i="3"/>
  <c r="D524" i="3"/>
  <c r="Q523" i="3"/>
  <c r="F523" i="3"/>
  <c r="U522" i="3"/>
  <c r="H522" i="3"/>
  <c r="Z521" i="3"/>
  <c r="I521" i="3"/>
  <c r="AN520" i="3"/>
  <c r="L520" i="3"/>
  <c r="D806" i="3"/>
  <c r="F775" i="3"/>
  <c r="AU755" i="3"/>
  <c r="Q748" i="3"/>
  <c r="J741" i="3"/>
  <c r="G734" i="3"/>
  <c r="D726" i="3"/>
  <c r="O718" i="3"/>
  <c r="J711" i="3"/>
  <c r="AN703" i="3"/>
  <c r="AU695" i="3"/>
  <c r="Q688" i="3"/>
  <c r="L681" i="3"/>
  <c r="G673" i="3"/>
  <c r="E664" i="3"/>
  <c r="S656" i="3"/>
  <c r="L653" i="3"/>
  <c r="C651" i="3"/>
  <c r="U648" i="3"/>
  <c r="I646" i="3"/>
  <c r="E644" i="3"/>
  <c r="AN641" i="3"/>
  <c r="L639" i="3"/>
  <c r="G637" i="3"/>
  <c r="C635" i="3"/>
  <c r="C633" i="3"/>
  <c r="G631" i="3"/>
  <c r="L629" i="3"/>
  <c r="S627" i="3"/>
  <c r="AN625" i="3"/>
  <c r="D624" i="3"/>
  <c r="H622" i="3"/>
  <c r="O620" i="3"/>
  <c r="U618" i="3"/>
  <c r="C617" i="3"/>
  <c r="G615" i="3"/>
  <c r="L613" i="3"/>
  <c r="S611" i="3"/>
  <c r="AN609" i="3"/>
  <c r="AN607" i="3"/>
  <c r="S605" i="3"/>
  <c r="H603" i="3"/>
  <c r="H601" i="3"/>
  <c r="O599" i="3"/>
  <c r="U597" i="3"/>
  <c r="AU595" i="3"/>
  <c r="F594" i="3"/>
  <c r="J592" i="3"/>
  <c r="Q590" i="3"/>
  <c r="Z588" i="3"/>
  <c r="D587" i="3"/>
  <c r="H585" i="3"/>
  <c r="H583" i="3"/>
  <c r="D581" i="3"/>
  <c r="AN578" i="3"/>
  <c r="S576" i="3"/>
  <c r="J574" i="3"/>
  <c r="H572" i="3"/>
  <c r="F570" i="3"/>
  <c r="D568" i="3"/>
  <c r="AU565" i="3"/>
  <c r="D564" i="3"/>
  <c r="C563" i="3"/>
  <c r="AU561" i="3"/>
  <c r="C561" i="3"/>
  <c r="G560" i="3"/>
  <c r="U559" i="3"/>
  <c r="D559" i="3"/>
  <c r="L558" i="3"/>
  <c r="C558" i="3"/>
  <c r="J557" i="3"/>
  <c r="AU556" i="3"/>
  <c r="I556" i="3"/>
  <c r="AN555" i="3"/>
  <c r="H555" i="3"/>
  <c r="Z554" i="3"/>
  <c r="G554" i="3"/>
  <c r="W553" i="3"/>
  <c r="F553" i="3"/>
  <c r="U552" i="3"/>
  <c r="E552" i="3"/>
  <c r="L551" i="3"/>
  <c r="C551" i="3"/>
  <c r="I550" i="3"/>
  <c r="AN549" i="3"/>
  <c r="G549" i="3"/>
  <c r="W548" i="3"/>
  <c r="F548" i="3"/>
  <c r="U547" i="3"/>
  <c r="H547" i="3"/>
  <c r="Z546" i="3"/>
  <c r="J546" i="3"/>
  <c r="AU545" i="3"/>
  <c r="H545" i="3"/>
  <c r="Z544" i="3"/>
  <c r="J544" i="3"/>
  <c r="AU543" i="3"/>
  <c r="O543" i="3"/>
  <c r="D543" i="3"/>
  <c r="Q542" i="3"/>
  <c r="F542" i="3"/>
  <c r="U541" i="3"/>
  <c r="H541" i="3"/>
  <c r="Z540" i="3"/>
  <c r="F540" i="3"/>
  <c r="U539" i="3"/>
  <c r="H539" i="3"/>
  <c r="Z538" i="3"/>
  <c r="J538" i="3"/>
  <c r="AU537" i="3"/>
  <c r="O537" i="3"/>
  <c r="D537" i="3"/>
  <c r="Q536" i="3"/>
  <c r="F536" i="3"/>
  <c r="U535" i="3"/>
  <c r="H535" i="3"/>
  <c r="Z534" i="3"/>
  <c r="J534" i="3"/>
  <c r="AU533" i="3"/>
  <c r="O533" i="3"/>
  <c r="D533" i="3"/>
  <c r="Q532" i="3"/>
  <c r="F532" i="3"/>
  <c r="U531" i="3"/>
  <c r="H531" i="3"/>
  <c r="Z530" i="3"/>
  <c r="J530" i="3"/>
  <c r="AU529" i="3"/>
  <c r="O529" i="3"/>
  <c r="D529" i="3"/>
  <c r="Q528" i="3"/>
  <c r="F528" i="3"/>
  <c r="S527" i="3"/>
  <c r="D527" i="3"/>
  <c r="R526" i="3"/>
  <c r="G526" i="3"/>
  <c r="W525" i="3"/>
  <c r="I525" i="3"/>
  <c r="AN524" i="3"/>
  <c r="L524" i="3"/>
  <c r="C524" i="3"/>
  <c r="P523" i="3"/>
  <c r="E523" i="3"/>
  <c r="S522" i="3"/>
  <c r="G522" i="3"/>
  <c r="W521" i="3"/>
  <c r="H521" i="3"/>
  <c r="Z520" i="3"/>
  <c r="J520" i="3"/>
  <c r="AU519" i="3"/>
  <c r="P519" i="3"/>
  <c r="E519" i="3"/>
  <c r="S518" i="3"/>
  <c r="G518" i="3"/>
  <c r="W517" i="3"/>
  <c r="I517" i="3"/>
  <c r="AN516" i="3"/>
  <c r="L516" i="3"/>
  <c r="C516" i="3"/>
  <c r="P515" i="3"/>
  <c r="E515" i="3"/>
  <c r="S514" i="3"/>
  <c r="F514" i="3"/>
  <c r="U513" i="3"/>
  <c r="H513" i="3"/>
  <c r="Z512" i="3"/>
  <c r="J512" i="3"/>
  <c r="AU511" i="3"/>
  <c r="O511" i="3"/>
  <c r="D511" i="3"/>
  <c r="Q510" i="3"/>
  <c r="F510" i="3"/>
  <c r="U509" i="3"/>
  <c r="H509" i="3"/>
  <c r="Z508" i="3"/>
  <c r="L508" i="3"/>
  <c r="C508" i="3"/>
  <c r="I507" i="3"/>
  <c r="AN506" i="3"/>
  <c r="G506" i="3"/>
  <c r="U505" i="3"/>
  <c r="E505" i="3"/>
  <c r="S504" i="3"/>
  <c r="D504" i="3"/>
  <c r="J503" i="3"/>
  <c r="AU502" i="3"/>
  <c r="O502" i="3"/>
  <c r="D502" i="3"/>
  <c r="Q501" i="3"/>
  <c r="F501" i="3"/>
  <c r="S500" i="3"/>
  <c r="D500" i="3"/>
  <c r="Q499" i="3"/>
  <c r="F499" i="3"/>
  <c r="U498" i="3"/>
  <c r="H498" i="3"/>
  <c r="Z497" i="3"/>
  <c r="J497" i="3"/>
  <c r="AU496" i="3"/>
  <c r="L496" i="3"/>
  <c r="C496" i="3"/>
  <c r="P495" i="3"/>
  <c r="E495" i="3"/>
  <c r="L494" i="3"/>
  <c r="C494" i="3"/>
  <c r="Q493" i="3"/>
  <c r="F493" i="3"/>
  <c r="U492" i="3"/>
  <c r="H492" i="3"/>
  <c r="Z491" i="3"/>
  <c r="J491" i="3"/>
  <c r="AU490" i="3"/>
  <c r="O490" i="3"/>
  <c r="D490" i="3"/>
  <c r="Q489" i="3"/>
  <c r="F489" i="3"/>
  <c r="U488" i="3"/>
  <c r="H488" i="3"/>
  <c r="Z487" i="3"/>
  <c r="I487" i="3"/>
  <c r="AN486" i="3"/>
  <c r="L486" i="3"/>
  <c r="C486" i="3"/>
  <c r="P485" i="3"/>
  <c r="E485" i="3"/>
  <c r="S484" i="3"/>
  <c r="G484" i="3"/>
  <c r="W483" i="3"/>
  <c r="I483" i="3"/>
  <c r="AN482" i="3"/>
  <c r="L482" i="3"/>
  <c r="C482" i="3"/>
  <c r="P481" i="3"/>
  <c r="E481" i="3"/>
  <c r="S480" i="3"/>
  <c r="G480" i="3"/>
  <c r="U479" i="3"/>
  <c r="E479" i="3"/>
  <c r="S478" i="3"/>
  <c r="H478" i="3"/>
  <c r="Z477" i="3"/>
  <c r="F477" i="3"/>
  <c r="S476" i="3"/>
  <c r="D476" i="3"/>
  <c r="J475" i="3"/>
  <c r="AU474" i="3"/>
  <c r="I474" i="3"/>
  <c r="AN473" i="3"/>
  <c r="L473" i="3"/>
  <c r="AU805" i="3"/>
  <c r="E775" i="3"/>
  <c r="AN755" i="3"/>
  <c r="P748" i="3"/>
  <c r="I741" i="3"/>
  <c r="F734" i="3"/>
  <c r="C726" i="3"/>
  <c r="L718" i="3"/>
  <c r="I711" i="3"/>
  <c r="Z703" i="3"/>
  <c r="AN695" i="3"/>
  <c r="P688" i="3"/>
  <c r="J681" i="3"/>
  <c r="F673" i="3"/>
  <c r="D664" i="3"/>
  <c r="J656" i="3"/>
  <c r="J653" i="3"/>
  <c r="AU650" i="3"/>
  <c r="S648" i="3"/>
  <c r="H646" i="3"/>
  <c r="D644" i="3"/>
  <c r="Z641" i="3"/>
  <c r="J639" i="3"/>
  <c r="F637" i="3"/>
  <c r="AU634" i="3"/>
  <c r="AU632" i="3"/>
  <c r="F631" i="3"/>
  <c r="J629" i="3"/>
  <c r="Q627" i="3"/>
  <c r="Z625" i="3"/>
  <c r="C624" i="3"/>
  <c r="G622" i="3"/>
  <c r="L620" i="3"/>
  <c r="S618" i="3"/>
  <c r="AU616" i="3"/>
  <c r="F615" i="3"/>
  <c r="J613" i="3"/>
  <c r="Q611" i="3"/>
  <c r="Z609" i="3"/>
  <c r="Z607" i="3"/>
  <c r="L605" i="3"/>
  <c r="G603" i="3"/>
  <c r="G601" i="3"/>
  <c r="L599" i="3"/>
  <c r="S597" i="3"/>
  <c r="AN595" i="3"/>
  <c r="E594" i="3"/>
  <c r="I592" i="3"/>
  <c r="P590" i="3"/>
  <c r="W588" i="3"/>
  <c r="C587" i="3"/>
  <c r="G585" i="3"/>
  <c r="G583" i="3"/>
  <c r="C581" i="3"/>
  <c r="Z578" i="3"/>
  <c r="L576" i="3"/>
  <c r="I574" i="3"/>
  <c r="G572" i="3"/>
  <c r="E570" i="3"/>
  <c r="C568" i="3"/>
  <c r="AN565" i="3"/>
  <c r="Z563" i="3"/>
  <c r="W562" i="3"/>
  <c r="U561" i="3"/>
  <c r="AN560" i="3"/>
  <c r="F560" i="3"/>
  <c r="S559" i="3"/>
  <c r="C559" i="3"/>
  <c r="J558" i="3"/>
  <c r="AU557" i="3"/>
  <c r="I557" i="3"/>
  <c r="AN556" i="3"/>
  <c r="H556" i="3"/>
  <c r="Z555" i="3"/>
  <c r="G555" i="3"/>
  <c r="W554" i="3"/>
  <c r="F554" i="3"/>
  <c r="U553" i="3"/>
  <c r="E553" i="3"/>
  <c r="S552" i="3"/>
  <c r="D552" i="3"/>
  <c r="J551" i="3"/>
  <c r="AU550" i="3"/>
  <c r="H550" i="3"/>
  <c r="Z549" i="3"/>
  <c r="F549" i="3"/>
  <c r="U548" i="3"/>
  <c r="E548" i="3"/>
  <c r="S547" i="3"/>
  <c r="G547" i="3"/>
  <c r="W546" i="3"/>
  <c r="I546" i="3"/>
  <c r="AN545" i="3"/>
  <c r="G545" i="3"/>
  <c r="W544" i="3"/>
  <c r="I544" i="3"/>
  <c r="AN543" i="3"/>
  <c r="L543" i="3"/>
  <c r="C543" i="3"/>
  <c r="P542" i="3"/>
  <c r="E542" i="3"/>
  <c r="S541" i="3"/>
  <c r="G541" i="3"/>
  <c r="U540" i="3"/>
  <c r="E540" i="3"/>
  <c r="S539" i="3"/>
  <c r="G539" i="3"/>
  <c r="W538" i="3"/>
  <c r="I538" i="3"/>
  <c r="AN537" i="3"/>
  <c r="L537" i="3"/>
  <c r="C537" i="3"/>
  <c r="P536" i="3"/>
  <c r="E536" i="3"/>
  <c r="S535" i="3"/>
  <c r="G535" i="3"/>
  <c r="W534" i="3"/>
  <c r="I534" i="3"/>
  <c r="AN533" i="3"/>
  <c r="L533" i="3"/>
  <c r="C533" i="3"/>
  <c r="P532" i="3"/>
  <c r="E532" i="3"/>
  <c r="S531" i="3"/>
  <c r="G531" i="3"/>
  <c r="W530" i="3"/>
  <c r="I530" i="3"/>
  <c r="AN529" i="3"/>
  <c r="L529" i="3"/>
  <c r="C529" i="3"/>
  <c r="P528" i="3"/>
  <c r="E528" i="3"/>
  <c r="L527" i="3"/>
  <c r="C527" i="3"/>
  <c r="Q526" i="3"/>
  <c r="F526" i="3"/>
  <c r="U525" i="3"/>
  <c r="H525" i="3"/>
  <c r="Z524" i="3"/>
  <c r="J524" i="3"/>
  <c r="AU523" i="3"/>
  <c r="O523" i="3"/>
  <c r="D523" i="3"/>
  <c r="Q522" i="3"/>
  <c r="F522" i="3"/>
  <c r="U521" i="3"/>
  <c r="G521" i="3"/>
  <c r="W520" i="3"/>
  <c r="I520" i="3"/>
  <c r="AN519" i="3"/>
  <c r="O519" i="3"/>
  <c r="D519" i="3"/>
  <c r="Q518" i="3"/>
  <c r="F518" i="3"/>
  <c r="U517" i="3"/>
  <c r="H517" i="3"/>
  <c r="Z516" i="3"/>
  <c r="J516" i="3"/>
  <c r="AU515" i="3"/>
  <c r="O515" i="3"/>
  <c r="D515" i="3"/>
  <c r="R514" i="3"/>
  <c r="E514" i="3"/>
  <c r="S513" i="3"/>
  <c r="G513" i="3"/>
  <c r="W512" i="3"/>
  <c r="I512" i="3"/>
  <c r="AN511" i="3"/>
  <c r="L511" i="3"/>
  <c r="C511" i="3"/>
  <c r="P510" i="3"/>
  <c r="E510" i="3"/>
  <c r="S509" i="3"/>
  <c r="G509" i="3"/>
  <c r="W508" i="3"/>
  <c r="J508" i="3"/>
  <c r="AU507" i="3"/>
  <c r="H507" i="3"/>
  <c r="Z506" i="3"/>
  <c r="F506" i="3"/>
  <c r="S505" i="3"/>
  <c r="D505" i="3"/>
  <c r="L504" i="3"/>
  <c r="C504" i="3"/>
  <c r="I503" i="3"/>
  <c r="AN502" i="3"/>
  <c r="L502" i="3"/>
  <c r="C502" i="3"/>
  <c r="P501" i="3"/>
  <c r="E501" i="3"/>
  <c r="L500" i="3"/>
  <c r="C500" i="3"/>
  <c r="P499" i="3"/>
  <c r="E499" i="3"/>
  <c r="S498" i="3"/>
  <c r="G498" i="3"/>
  <c r="W497" i="3"/>
  <c r="I497" i="3"/>
  <c r="AN496" i="3"/>
  <c r="J496" i="3"/>
  <c r="AU495" i="3"/>
  <c r="O495" i="3"/>
  <c r="D495" i="3"/>
  <c r="J494" i="3"/>
  <c r="AU493" i="3"/>
  <c r="P493" i="3"/>
  <c r="E493" i="3"/>
  <c r="S492" i="3"/>
  <c r="G492" i="3"/>
  <c r="W491" i="3"/>
  <c r="I491" i="3"/>
  <c r="AN490" i="3"/>
  <c r="L490" i="3"/>
  <c r="C490" i="3"/>
  <c r="P489" i="3"/>
  <c r="E489" i="3"/>
  <c r="S488" i="3"/>
  <c r="G488" i="3"/>
  <c r="W487" i="3"/>
  <c r="H487" i="3"/>
  <c r="Z486" i="3"/>
  <c r="J486" i="3"/>
  <c r="AU485" i="3"/>
  <c r="O485" i="3"/>
  <c r="D485" i="3"/>
  <c r="Q484" i="3"/>
  <c r="F484" i="3"/>
  <c r="U483" i="3"/>
  <c r="H483" i="3"/>
  <c r="Z482" i="3"/>
  <c r="J482" i="3"/>
  <c r="AU481" i="3"/>
  <c r="O481" i="3"/>
  <c r="D481" i="3"/>
  <c r="Q480" i="3"/>
  <c r="F480" i="3"/>
  <c r="S479" i="3"/>
  <c r="D479" i="3"/>
  <c r="R478" i="3"/>
  <c r="G478" i="3"/>
  <c r="U477" i="3"/>
  <c r="E477" i="3"/>
  <c r="L476" i="3"/>
  <c r="C476" i="3"/>
  <c r="I475" i="3"/>
  <c r="AN474" i="3"/>
  <c r="H474" i="3"/>
  <c r="Z473" i="3"/>
  <c r="J473" i="3"/>
  <c r="AU472" i="3"/>
  <c r="O472" i="3"/>
  <c r="D472" i="3"/>
  <c r="R471" i="3"/>
  <c r="G471" i="3"/>
  <c r="U470" i="3"/>
  <c r="AN797" i="3"/>
  <c r="D768" i="3"/>
  <c r="G754" i="3"/>
  <c r="R746" i="3"/>
  <c r="R739" i="3"/>
  <c r="L732" i="3"/>
  <c r="D724" i="3"/>
  <c r="U716" i="3"/>
  <c r="Q709" i="3"/>
  <c r="S701" i="3"/>
  <c r="E694" i="3"/>
  <c r="Z686" i="3"/>
  <c r="S679" i="3"/>
  <c r="C671" i="3"/>
  <c r="AN661" i="3"/>
  <c r="U655" i="3"/>
  <c r="AU652" i="3"/>
  <c r="I650" i="3"/>
  <c r="E648" i="3"/>
  <c r="AN645" i="3"/>
  <c r="L643" i="3"/>
  <c r="G641" i="3"/>
  <c r="C639" i="3"/>
  <c r="U636" i="3"/>
  <c r="I634" i="3"/>
  <c r="P632" i="3"/>
  <c r="W630" i="3"/>
  <c r="C629" i="3"/>
  <c r="G627" i="3"/>
  <c r="I625" i="3"/>
  <c r="Q623" i="3"/>
  <c r="Z621" i="3"/>
  <c r="D620" i="3"/>
  <c r="I618" i="3"/>
  <c r="P616" i="3"/>
  <c r="W614" i="3"/>
  <c r="C613" i="3"/>
  <c r="G611" i="3"/>
  <c r="L609" i="3"/>
  <c r="G607" i="3"/>
  <c r="D605" i="3"/>
  <c r="Z602" i="3"/>
  <c r="Z600" i="3"/>
  <c r="D599" i="3"/>
  <c r="H597" i="3"/>
  <c r="O595" i="3"/>
  <c r="U593" i="3"/>
  <c r="AU591" i="3"/>
  <c r="F590" i="3"/>
  <c r="J588" i="3"/>
  <c r="Q586" i="3"/>
  <c r="Z584" i="3"/>
  <c r="Z582" i="3"/>
  <c r="L580" i="3"/>
  <c r="G578" i="3"/>
  <c r="D576" i="3"/>
  <c r="AU573" i="3"/>
  <c r="Z571" i="3"/>
  <c r="U569" i="3"/>
  <c r="L567" i="3"/>
  <c r="I565" i="3"/>
  <c r="W563" i="3"/>
  <c r="U562" i="3"/>
  <c r="S561" i="3"/>
  <c r="W560" i="3"/>
  <c r="E560" i="3"/>
  <c r="L559" i="3"/>
  <c r="AU558" i="3"/>
  <c r="I558" i="3"/>
  <c r="AN557" i="3"/>
  <c r="H557" i="3"/>
  <c r="Z556" i="3"/>
  <c r="G556" i="3"/>
  <c r="W555" i="3"/>
  <c r="F555" i="3"/>
  <c r="U554" i="3"/>
  <c r="E554" i="3"/>
  <c r="S553" i="3"/>
  <c r="D553" i="3"/>
  <c r="L552" i="3"/>
  <c r="C552" i="3"/>
  <c r="I551" i="3"/>
  <c r="AN550" i="3"/>
  <c r="G550" i="3"/>
  <c r="U549" i="3"/>
  <c r="E549" i="3"/>
  <c r="S548" i="3"/>
  <c r="D548" i="3"/>
  <c r="Q547" i="3"/>
  <c r="F547" i="3"/>
  <c r="U546" i="3"/>
  <c r="H546" i="3"/>
  <c r="Z545" i="3"/>
  <c r="F545" i="3"/>
  <c r="U544" i="3"/>
  <c r="H544" i="3"/>
  <c r="Z543" i="3"/>
  <c r="J543" i="3"/>
  <c r="AU542" i="3"/>
  <c r="O542" i="3"/>
  <c r="D542" i="3"/>
  <c r="Q541" i="3"/>
  <c r="F541" i="3"/>
  <c r="S540" i="3"/>
  <c r="D540" i="3"/>
  <c r="Q539" i="3"/>
  <c r="F539" i="3"/>
  <c r="U538" i="3"/>
  <c r="H538" i="3"/>
  <c r="Z537" i="3"/>
  <c r="J537" i="3"/>
  <c r="AU536" i="3"/>
  <c r="O536" i="3"/>
  <c r="D536" i="3"/>
  <c r="Q535" i="3"/>
  <c r="F535" i="3"/>
  <c r="U534" i="3"/>
  <c r="H534" i="3"/>
  <c r="Z533" i="3"/>
  <c r="J533" i="3"/>
  <c r="AU532" i="3"/>
  <c r="O532" i="3"/>
  <c r="D532" i="3"/>
  <c r="Q531" i="3"/>
  <c r="F531" i="3"/>
  <c r="U530" i="3"/>
  <c r="H530" i="3"/>
  <c r="Z529" i="3"/>
  <c r="J529" i="3"/>
  <c r="AU528" i="3"/>
  <c r="O528" i="3"/>
  <c r="D528" i="3"/>
  <c r="J527" i="3"/>
  <c r="AU526" i="3"/>
  <c r="P526" i="3"/>
  <c r="E526" i="3"/>
  <c r="S525" i="3"/>
  <c r="G525" i="3"/>
  <c r="W524" i="3"/>
  <c r="I524" i="3"/>
  <c r="AN523" i="3"/>
  <c r="L523" i="3"/>
  <c r="C523" i="3"/>
  <c r="P522" i="3"/>
  <c r="E522" i="3"/>
  <c r="S521" i="3"/>
  <c r="F521" i="3"/>
  <c r="U520" i="3"/>
  <c r="H520" i="3"/>
  <c r="Z519" i="3"/>
  <c r="L519" i="3"/>
  <c r="C519" i="3"/>
  <c r="P518" i="3"/>
  <c r="E518" i="3"/>
  <c r="S517" i="3"/>
  <c r="G517" i="3"/>
  <c r="W516" i="3"/>
  <c r="I516" i="3"/>
  <c r="AN515" i="3"/>
  <c r="L515" i="3"/>
  <c r="C515" i="3"/>
  <c r="Q514" i="3"/>
  <c r="D514" i="3"/>
  <c r="Q513" i="3"/>
  <c r="F513" i="3"/>
  <c r="U512" i="3"/>
  <c r="H512" i="3"/>
  <c r="Z511" i="3"/>
  <c r="J511" i="3"/>
  <c r="AU510" i="3"/>
  <c r="O510" i="3"/>
  <c r="D510" i="3"/>
  <c r="Q509" i="3"/>
  <c r="F509" i="3"/>
  <c r="U508" i="3"/>
  <c r="I508" i="3"/>
  <c r="AN507" i="3"/>
  <c r="G507" i="3"/>
  <c r="U506" i="3"/>
  <c r="E506" i="3"/>
  <c r="L505" i="3"/>
  <c r="C505" i="3"/>
  <c r="J504" i="3"/>
  <c r="AU503" i="3"/>
  <c r="H503" i="3"/>
  <c r="Z502" i="3"/>
  <c r="J502" i="3"/>
  <c r="AU501" i="3"/>
  <c r="O501" i="3"/>
  <c r="D501" i="3"/>
  <c r="J500" i="3"/>
  <c r="AU499" i="3"/>
  <c r="O499" i="3"/>
  <c r="D499" i="3"/>
  <c r="Q498" i="3"/>
  <c r="F498" i="3"/>
  <c r="U497" i="3"/>
  <c r="Z797" i="3"/>
  <c r="C768" i="3"/>
  <c r="F754" i="3"/>
  <c r="Q746" i="3"/>
  <c r="Q739" i="3"/>
  <c r="J732" i="3"/>
  <c r="C724" i="3"/>
  <c r="S716" i="3"/>
  <c r="P709" i="3"/>
  <c r="L701" i="3"/>
  <c r="D694" i="3"/>
  <c r="W686" i="3"/>
  <c r="Q679" i="3"/>
  <c r="AU670" i="3"/>
  <c r="Z661" i="3"/>
  <c r="S655" i="3"/>
  <c r="AN652" i="3"/>
  <c r="H650" i="3"/>
  <c r="D648" i="3"/>
  <c r="Z645" i="3"/>
  <c r="J643" i="3"/>
  <c r="F641" i="3"/>
  <c r="AU638" i="3"/>
  <c r="S636" i="3"/>
  <c r="H634" i="3"/>
  <c r="O632" i="3"/>
  <c r="U630" i="3"/>
  <c r="AU628" i="3"/>
  <c r="F627" i="3"/>
  <c r="H625" i="3"/>
  <c r="P623" i="3"/>
  <c r="W621" i="3"/>
  <c r="C620" i="3"/>
  <c r="H618" i="3"/>
  <c r="O616" i="3"/>
  <c r="U614" i="3"/>
  <c r="AU612" i="3"/>
  <c r="F611" i="3"/>
  <c r="J609" i="3"/>
  <c r="F607" i="3"/>
  <c r="C605" i="3"/>
  <c r="U602" i="3"/>
  <c r="W600" i="3"/>
  <c r="C599" i="3"/>
  <c r="G597" i="3"/>
  <c r="L595" i="3"/>
  <c r="S593" i="3"/>
  <c r="AN591" i="3"/>
  <c r="E590" i="3"/>
  <c r="I588" i="3"/>
  <c r="P586" i="3"/>
  <c r="W584" i="3"/>
  <c r="U582" i="3"/>
  <c r="J580" i="3"/>
  <c r="F578" i="3"/>
  <c r="C576" i="3"/>
  <c r="AN573" i="3"/>
  <c r="W571" i="3"/>
  <c r="S569" i="3"/>
  <c r="J567" i="3"/>
  <c r="H565" i="3"/>
  <c r="U563" i="3"/>
  <c r="S562" i="3"/>
  <c r="L561" i="3"/>
  <c r="U560" i="3"/>
  <c r="D560" i="3"/>
  <c r="J559" i="3"/>
  <c r="AN558" i="3"/>
  <c r="H558" i="3"/>
  <c r="Z557" i="3"/>
  <c r="G557" i="3"/>
  <c r="W556" i="3"/>
  <c r="F556" i="3"/>
  <c r="U555" i="3"/>
  <c r="E555" i="3"/>
  <c r="S554" i="3"/>
  <c r="D554" i="3"/>
  <c r="L553" i="3"/>
  <c r="C553" i="3"/>
  <c r="J552" i="3"/>
  <c r="AU551" i="3"/>
  <c r="H551" i="3"/>
  <c r="Z550" i="3"/>
  <c r="F550" i="3"/>
  <c r="S549" i="3"/>
  <c r="D549" i="3"/>
  <c r="L548" i="3"/>
  <c r="C548" i="3"/>
  <c r="P547" i="3"/>
  <c r="E547" i="3"/>
  <c r="S546" i="3"/>
  <c r="G546" i="3"/>
  <c r="U545" i="3"/>
  <c r="E545" i="3"/>
  <c r="S544" i="3"/>
  <c r="G544" i="3"/>
  <c r="W543" i="3"/>
  <c r="I543" i="3"/>
  <c r="AN542" i="3"/>
  <c r="L542" i="3"/>
  <c r="C542" i="3"/>
  <c r="P541" i="3"/>
  <c r="E541" i="3"/>
  <c r="L540" i="3"/>
  <c r="C540" i="3"/>
  <c r="P539" i="3"/>
  <c r="E539" i="3"/>
  <c r="S538" i="3"/>
  <c r="G538" i="3"/>
  <c r="W537" i="3"/>
  <c r="I537" i="3"/>
  <c r="AN536" i="3"/>
  <c r="L536" i="3"/>
  <c r="C536" i="3"/>
  <c r="P535" i="3"/>
  <c r="E535" i="3"/>
  <c r="S534" i="3"/>
  <c r="G534" i="3"/>
  <c r="W533" i="3"/>
  <c r="I533" i="3"/>
  <c r="AN532" i="3"/>
  <c r="L532" i="3"/>
  <c r="C532" i="3"/>
  <c r="P531" i="3"/>
  <c r="E531" i="3"/>
  <c r="S530" i="3"/>
  <c r="G530" i="3"/>
  <c r="W529" i="3"/>
  <c r="I529" i="3"/>
  <c r="AN528" i="3"/>
  <c r="L528" i="3"/>
  <c r="C528" i="3"/>
  <c r="I527" i="3"/>
  <c r="AN526" i="3"/>
  <c r="O526" i="3"/>
  <c r="D526" i="3"/>
  <c r="Q525" i="3"/>
  <c r="F525" i="3"/>
  <c r="U524" i="3"/>
  <c r="H524" i="3"/>
  <c r="Z523" i="3"/>
  <c r="J523" i="3"/>
  <c r="AU522" i="3"/>
  <c r="O522" i="3"/>
  <c r="D522" i="3"/>
  <c r="R521" i="3"/>
  <c r="E521" i="3"/>
  <c r="S520" i="3"/>
  <c r="W790" i="3"/>
  <c r="W737" i="3"/>
  <c r="Z707" i="3"/>
  <c r="AN677" i="3"/>
  <c r="G652" i="3"/>
  <c r="C643" i="3"/>
  <c r="AN633" i="3"/>
  <c r="W626" i="3"/>
  <c r="Q619" i="3"/>
  <c r="P612" i="3"/>
  <c r="J604" i="3"/>
  <c r="Z596" i="3"/>
  <c r="U589" i="3"/>
  <c r="F582" i="3"/>
  <c r="I573" i="3"/>
  <c r="AN564" i="3"/>
  <c r="S560" i="3"/>
  <c r="G558" i="3"/>
  <c r="E556" i="3"/>
  <c r="C554" i="3"/>
  <c r="AN551" i="3"/>
  <c r="L549" i="3"/>
  <c r="O547" i="3"/>
  <c r="S545" i="3"/>
  <c r="U543" i="3"/>
  <c r="AU541" i="3"/>
  <c r="AU539" i="3"/>
  <c r="F538" i="3"/>
  <c r="J536" i="3"/>
  <c r="Q534" i="3"/>
  <c r="Z532" i="3"/>
  <c r="D531" i="3"/>
  <c r="H529" i="3"/>
  <c r="H527" i="3"/>
  <c r="P525" i="3"/>
  <c r="W523" i="3"/>
  <c r="C522" i="3"/>
  <c r="G520" i="3"/>
  <c r="J519" i="3"/>
  <c r="O518" i="3"/>
  <c r="Q517" i="3"/>
  <c r="U516" i="3"/>
  <c r="Z515" i="3"/>
  <c r="AU514" i="3"/>
  <c r="C514" i="3"/>
  <c r="E513" i="3"/>
  <c r="G512" i="3"/>
  <c r="I511" i="3"/>
  <c r="L510" i="3"/>
  <c r="P509" i="3"/>
  <c r="S508" i="3"/>
  <c r="Z507" i="3"/>
  <c r="S506" i="3"/>
  <c r="J505" i="3"/>
  <c r="I504" i="3"/>
  <c r="G503" i="3"/>
  <c r="I502" i="3"/>
  <c r="L501" i="3"/>
  <c r="I500" i="3"/>
  <c r="L499" i="3"/>
  <c r="P498" i="3"/>
  <c r="S497" i="3"/>
  <c r="C497" i="3"/>
  <c r="G496" i="3"/>
  <c r="L495" i="3"/>
  <c r="Z494" i="3"/>
  <c r="Z493" i="3"/>
  <c r="G493" i="3"/>
  <c r="O492" i="3"/>
  <c r="U491" i="3"/>
  <c r="E491" i="3"/>
  <c r="I490" i="3"/>
  <c r="S489" i="3"/>
  <c r="AU488" i="3"/>
  <c r="F488" i="3"/>
  <c r="Q487" i="3"/>
  <c r="U486" i="3"/>
  <c r="D486" i="3"/>
  <c r="I485" i="3"/>
  <c r="P484" i="3"/>
  <c r="AU483" i="3"/>
  <c r="F483" i="3"/>
  <c r="O482" i="3"/>
  <c r="W481" i="3"/>
  <c r="C481" i="3"/>
  <c r="J480" i="3"/>
  <c r="J479" i="3"/>
  <c r="U478" i="3"/>
  <c r="D478" i="3"/>
  <c r="D477" i="3"/>
  <c r="G476" i="3"/>
  <c r="G475" i="3"/>
  <c r="J474" i="3"/>
  <c r="S473" i="3"/>
  <c r="C473" i="3"/>
  <c r="J472" i="3"/>
  <c r="Z471" i="3"/>
  <c r="H471" i="3"/>
  <c r="S470" i="3"/>
  <c r="D470" i="3"/>
  <c r="Q469" i="3"/>
  <c r="F469" i="3"/>
  <c r="U468" i="3"/>
  <c r="H468" i="3"/>
  <c r="Z467" i="3"/>
  <c r="J467" i="3"/>
  <c r="AU466" i="3"/>
  <c r="L466" i="3"/>
  <c r="C466" i="3"/>
  <c r="P465" i="3"/>
  <c r="E465" i="3"/>
  <c r="L464" i="3"/>
  <c r="C464" i="3"/>
  <c r="Q463" i="3"/>
  <c r="F463" i="3"/>
  <c r="U462" i="3"/>
  <c r="H462" i="3"/>
  <c r="Z461" i="3"/>
  <c r="J461" i="3"/>
  <c r="AU460" i="3"/>
  <c r="P460" i="3"/>
  <c r="E460" i="3"/>
  <c r="S459" i="3"/>
  <c r="G459" i="3"/>
  <c r="W458" i="3"/>
  <c r="I458" i="3"/>
  <c r="AN457" i="3"/>
  <c r="L457" i="3"/>
  <c r="C457" i="3"/>
  <c r="Q456" i="3"/>
  <c r="D456" i="3"/>
  <c r="Q455" i="3"/>
  <c r="F455" i="3"/>
  <c r="U454" i="3"/>
  <c r="H454" i="3"/>
  <c r="Z453" i="3"/>
  <c r="J453" i="3"/>
  <c r="AU452" i="3"/>
  <c r="O452" i="3"/>
  <c r="D452" i="3"/>
  <c r="Q451" i="3"/>
  <c r="F451" i="3"/>
  <c r="U450" i="3"/>
  <c r="H450" i="3"/>
  <c r="Z449" i="3"/>
  <c r="J449" i="3"/>
  <c r="AU448" i="3"/>
  <c r="H448" i="3"/>
  <c r="Z447" i="3"/>
  <c r="F447" i="3"/>
  <c r="S446" i="3"/>
  <c r="D446" i="3"/>
  <c r="J445" i="3"/>
  <c r="AU444" i="3"/>
  <c r="I444" i="3"/>
  <c r="AN443" i="3"/>
  <c r="L443" i="3"/>
  <c r="C443" i="3"/>
  <c r="P442" i="3"/>
  <c r="E442" i="3"/>
  <c r="L441" i="3"/>
  <c r="C441" i="3"/>
  <c r="P440" i="3"/>
  <c r="E440" i="3"/>
  <c r="S439" i="3"/>
  <c r="G439" i="3"/>
  <c r="W438" i="3"/>
  <c r="I438" i="3"/>
  <c r="AN437" i="3"/>
  <c r="L437" i="3"/>
  <c r="C437" i="3"/>
  <c r="I436" i="3"/>
  <c r="AN435" i="3"/>
  <c r="L435" i="3"/>
  <c r="C435" i="3"/>
  <c r="P434" i="3"/>
  <c r="E434" i="3"/>
  <c r="S433" i="3"/>
  <c r="G433" i="3"/>
  <c r="W432" i="3"/>
  <c r="I432" i="3"/>
  <c r="AN431" i="3"/>
  <c r="L431" i="3"/>
  <c r="C431" i="3"/>
  <c r="P430" i="3"/>
  <c r="E430" i="3"/>
  <c r="S429" i="3"/>
  <c r="G429" i="3"/>
  <c r="W428" i="3"/>
  <c r="I428" i="3"/>
  <c r="AN427" i="3"/>
  <c r="L427" i="3"/>
  <c r="C427" i="3"/>
  <c r="P426" i="3"/>
  <c r="E426" i="3"/>
  <c r="S425" i="3"/>
  <c r="G425" i="3"/>
  <c r="W424" i="3"/>
  <c r="I424" i="3"/>
  <c r="AN423" i="3"/>
  <c r="G423" i="3"/>
  <c r="U422" i="3"/>
  <c r="E422" i="3"/>
  <c r="L421" i="3"/>
  <c r="C421" i="3"/>
  <c r="I420" i="3"/>
  <c r="AN419" i="3"/>
  <c r="H419" i="3"/>
  <c r="Z418" i="3"/>
  <c r="J418" i="3"/>
  <c r="AU417" i="3"/>
  <c r="O417" i="3"/>
  <c r="D417" i="3"/>
  <c r="J416" i="3"/>
  <c r="AU415" i="3"/>
  <c r="O415" i="3"/>
  <c r="D415" i="3"/>
  <c r="Q414" i="3"/>
  <c r="F414" i="3"/>
  <c r="U413" i="3"/>
  <c r="H413" i="3"/>
  <c r="Z412" i="3"/>
  <c r="J412" i="3"/>
  <c r="AU411" i="3"/>
  <c r="H411" i="3"/>
  <c r="Z410" i="3"/>
  <c r="J410" i="3"/>
  <c r="AU409" i="3"/>
  <c r="O409" i="3"/>
  <c r="D409" i="3"/>
  <c r="Q408" i="3"/>
  <c r="F408" i="3"/>
  <c r="U407" i="3"/>
  <c r="H407" i="3"/>
  <c r="Z406" i="3"/>
  <c r="J406" i="3"/>
  <c r="AU405" i="3"/>
  <c r="O405" i="3"/>
  <c r="D405" i="3"/>
  <c r="Q404" i="3"/>
  <c r="F404" i="3"/>
  <c r="U403" i="3"/>
  <c r="H403" i="3"/>
  <c r="Z402" i="3"/>
  <c r="J402" i="3"/>
  <c r="AU401" i="3"/>
  <c r="O401" i="3"/>
  <c r="U790" i="3"/>
  <c r="U737" i="3"/>
  <c r="W707" i="3"/>
  <c r="Z677" i="3"/>
  <c r="F652" i="3"/>
  <c r="AU642" i="3"/>
  <c r="Z633" i="3"/>
  <c r="U626" i="3"/>
  <c r="P619" i="3"/>
  <c r="O612" i="3"/>
  <c r="I604" i="3"/>
  <c r="W596" i="3"/>
  <c r="S589" i="3"/>
  <c r="E582" i="3"/>
  <c r="H573" i="3"/>
  <c r="Z564" i="3"/>
  <c r="L560" i="3"/>
  <c r="F558" i="3"/>
  <c r="D556" i="3"/>
  <c r="AU553" i="3"/>
  <c r="Z551" i="3"/>
  <c r="J549" i="3"/>
  <c r="L547" i="3"/>
  <c r="L545" i="3"/>
  <c r="S543" i="3"/>
  <c r="AN541" i="3"/>
  <c r="AN539" i="3"/>
  <c r="E538" i="3"/>
  <c r="I536" i="3"/>
  <c r="P534" i="3"/>
  <c r="W532" i="3"/>
  <c r="C531" i="3"/>
  <c r="G529" i="3"/>
  <c r="G527" i="3"/>
  <c r="O525" i="3"/>
  <c r="U523" i="3"/>
  <c r="AU521" i="3"/>
  <c r="F520" i="3"/>
  <c r="I519" i="3"/>
  <c r="L518" i="3"/>
  <c r="P517" i="3"/>
  <c r="S516" i="3"/>
  <c r="W515" i="3"/>
  <c r="AN514" i="3"/>
  <c r="AU513" i="3"/>
  <c r="D513" i="3"/>
  <c r="F512" i="3"/>
  <c r="H511" i="3"/>
  <c r="J510" i="3"/>
  <c r="O509" i="3"/>
  <c r="R508" i="3"/>
  <c r="U507" i="3"/>
  <c r="L506" i="3"/>
  <c r="I505" i="3"/>
  <c r="H504" i="3"/>
  <c r="F503" i="3"/>
  <c r="H502" i="3"/>
  <c r="J501" i="3"/>
  <c r="H500" i="3"/>
  <c r="J499" i="3"/>
  <c r="O498" i="3"/>
  <c r="Q497" i="3"/>
  <c r="Z496" i="3"/>
  <c r="F496" i="3"/>
  <c r="J495" i="3"/>
  <c r="S494" i="3"/>
  <c r="W493" i="3"/>
  <c r="D493" i="3"/>
  <c r="L492" i="3"/>
  <c r="S491" i="3"/>
  <c r="C491" i="3"/>
  <c r="H490" i="3"/>
  <c r="O489" i="3"/>
  <c r="AN488" i="3"/>
  <c r="E488" i="3"/>
  <c r="J487" i="3"/>
  <c r="S486" i="3"/>
  <c r="AN485" i="3"/>
  <c r="H485" i="3"/>
  <c r="O484" i="3"/>
  <c r="Z483" i="3"/>
  <c r="E483" i="3"/>
  <c r="I482" i="3"/>
  <c r="U481" i="3"/>
  <c r="AU480" i="3"/>
  <c r="H480" i="3"/>
  <c r="I479" i="3"/>
  <c r="Q478" i="3"/>
  <c r="C478" i="3"/>
  <c r="C477" i="3"/>
  <c r="E476" i="3"/>
  <c r="F475" i="3"/>
  <c r="G474" i="3"/>
  <c r="Q473" i="3"/>
  <c r="AN472" i="3"/>
  <c r="I472" i="3"/>
  <c r="U471" i="3"/>
  <c r="F471" i="3"/>
  <c r="L470" i="3"/>
  <c r="C470" i="3"/>
  <c r="P469" i="3"/>
  <c r="E469" i="3"/>
  <c r="S468" i="3"/>
  <c r="G468" i="3"/>
  <c r="W467" i="3"/>
  <c r="I467" i="3"/>
  <c r="AN466" i="3"/>
  <c r="J466" i="3"/>
  <c r="AU465" i="3"/>
  <c r="O465" i="3"/>
  <c r="D465" i="3"/>
  <c r="J464" i="3"/>
  <c r="AU463" i="3"/>
  <c r="P463" i="3"/>
  <c r="E463" i="3"/>
  <c r="S462" i="3"/>
  <c r="G462" i="3"/>
  <c r="W461" i="3"/>
  <c r="I461" i="3"/>
  <c r="AN460" i="3"/>
  <c r="O460" i="3"/>
  <c r="D460" i="3"/>
  <c r="Q459" i="3"/>
  <c r="F459" i="3"/>
  <c r="U458" i="3"/>
  <c r="H458" i="3"/>
  <c r="Z457" i="3"/>
  <c r="J457" i="3"/>
  <c r="AU456" i="3"/>
  <c r="L456" i="3"/>
  <c r="C456" i="3"/>
  <c r="P455" i="3"/>
  <c r="E455" i="3"/>
  <c r="S454" i="3"/>
  <c r="G454" i="3"/>
  <c r="W453" i="3"/>
  <c r="I453" i="3"/>
  <c r="AN452" i="3"/>
  <c r="L452" i="3"/>
  <c r="C452" i="3"/>
  <c r="P451" i="3"/>
  <c r="E451" i="3"/>
  <c r="S450" i="3"/>
  <c r="G450" i="3"/>
  <c r="W449" i="3"/>
  <c r="I449" i="3"/>
  <c r="AN448" i="3"/>
  <c r="G448" i="3"/>
  <c r="U447" i="3"/>
  <c r="E447" i="3"/>
  <c r="L446" i="3"/>
  <c r="C446" i="3"/>
  <c r="I445" i="3"/>
  <c r="AN444" i="3"/>
  <c r="H444" i="3"/>
  <c r="Z443" i="3"/>
  <c r="J443" i="3"/>
  <c r="AU442" i="3"/>
  <c r="O442" i="3"/>
  <c r="D442" i="3"/>
  <c r="J441" i="3"/>
  <c r="AU440" i="3"/>
  <c r="O440" i="3"/>
  <c r="D440" i="3"/>
  <c r="Q439" i="3"/>
  <c r="F439" i="3"/>
  <c r="U438" i="3"/>
  <c r="H438" i="3"/>
  <c r="Z437" i="3"/>
  <c r="J437" i="3"/>
  <c r="AU436" i="3"/>
  <c r="H436" i="3"/>
  <c r="Z435" i="3"/>
  <c r="J435" i="3"/>
  <c r="AU434" i="3"/>
  <c r="O434" i="3"/>
  <c r="D434" i="3"/>
  <c r="Q433" i="3"/>
  <c r="F433" i="3"/>
  <c r="U432" i="3"/>
  <c r="H432" i="3"/>
  <c r="Z431" i="3"/>
  <c r="J431" i="3"/>
  <c r="AU430" i="3"/>
  <c r="O430" i="3"/>
  <c r="D430" i="3"/>
  <c r="Q429" i="3"/>
  <c r="F429" i="3"/>
  <c r="U428" i="3"/>
  <c r="H428" i="3"/>
  <c r="Z427" i="3"/>
  <c r="J427" i="3"/>
  <c r="AU426" i="3"/>
  <c r="O426" i="3"/>
  <c r="D426" i="3"/>
  <c r="Q425" i="3"/>
  <c r="F425" i="3"/>
  <c r="U424" i="3"/>
  <c r="H424" i="3"/>
  <c r="Z423" i="3"/>
  <c r="F423" i="3"/>
  <c r="S422" i="3"/>
  <c r="D422" i="3"/>
  <c r="J421" i="3"/>
  <c r="AU420" i="3"/>
  <c r="H420" i="3"/>
  <c r="Z419" i="3"/>
  <c r="G419" i="3"/>
  <c r="W418" i="3"/>
  <c r="I418" i="3"/>
  <c r="AN417" i="3"/>
  <c r="L417" i="3"/>
  <c r="C417" i="3"/>
  <c r="I416" i="3"/>
  <c r="AN415" i="3"/>
  <c r="L415" i="3"/>
  <c r="C415" i="3"/>
  <c r="P414" i="3"/>
  <c r="E414" i="3"/>
  <c r="S413" i="3"/>
  <c r="G413" i="3"/>
  <c r="W412" i="3"/>
  <c r="I412" i="3"/>
  <c r="AN411" i="3"/>
  <c r="G411" i="3"/>
  <c r="W410" i="3"/>
  <c r="I410" i="3"/>
  <c r="AN409" i="3"/>
  <c r="L409" i="3"/>
  <c r="C409" i="3"/>
  <c r="P408" i="3"/>
  <c r="E408" i="3"/>
  <c r="S407" i="3"/>
  <c r="G407" i="3"/>
  <c r="W406" i="3"/>
  <c r="I406" i="3"/>
  <c r="AN405" i="3"/>
  <c r="L405" i="3"/>
  <c r="C405" i="3"/>
  <c r="P404" i="3"/>
  <c r="E404" i="3"/>
  <c r="S403" i="3"/>
  <c r="G403" i="3"/>
  <c r="W402" i="3"/>
  <c r="I402" i="3"/>
  <c r="AN401" i="3"/>
  <c r="L401" i="3"/>
  <c r="C401" i="3"/>
  <c r="P400" i="3"/>
  <c r="E400" i="3"/>
  <c r="F761" i="3"/>
  <c r="G730" i="3"/>
  <c r="U699" i="3"/>
  <c r="U668" i="3"/>
  <c r="AN649" i="3"/>
  <c r="U640" i="3"/>
  <c r="E632" i="3"/>
  <c r="AN624" i="3"/>
  <c r="AN617" i="3"/>
  <c r="W610" i="3"/>
  <c r="F602" i="3"/>
  <c r="D595" i="3"/>
  <c r="AU587" i="3"/>
  <c r="C580" i="3"/>
  <c r="G571" i="3"/>
  <c r="L563" i="3"/>
  <c r="C560" i="3"/>
  <c r="W557" i="3"/>
  <c r="S555" i="3"/>
  <c r="J553" i="3"/>
  <c r="G551" i="3"/>
  <c r="C549" i="3"/>
  <c r="D547" i="3"/>
  <c r="D545" i="3"/>
  <c r="H543" i="3"/>
  <c r="O541" i="3"/>
  <c r="O539" i="3"/>
  <c r="U537" i="3"/>
  <c r="AU535" i="3"/>
  <c r="F534" i="3"/>
  <c r="J532" i="3"/>
  <c r="Q530" i="3"/>
  <c r="Z528" i="3"/>
  <c r="Z526" i="3"/>
  <c r="E525" i="3"/>
  <c r="I523" i="3"/>
  <c r="Q521" i="3"/>
  <c r="E520" i="3"/>
  <c r="H519" i="3"/>
  <c r="J518" i="3"/>
  <c r="O517" i="3"/>
  <c r="Q516" i="3"/>
  <c r="U515" i="3"/>
  <c r="Z514" i="3"/>
  <c r="AN513" i="3"/>
  <c r="C513" i="3"/>
  <c r="E512" i="3"/>
  <c r="G511" i="3"/>
  <c r="I510" i="3"/>
  <c r="L509" i="3"/>
  <c r="Q508" i="3"/>
  <c r="S507" i="3"/>
  <c r="J506" i="3"/>
  <c r="H505" i="3"/>
  <c r="G504" i="3"/>
  <c r="E503" i="3"/>
  <c r="G502" i="3"/>
  <c r="I501" i="3"/>
  <c r="G500" i="3"/>
  <c r="I499" i="3"/>
  <c r="L498" i="3"/>
  <c r="P497" i="3"/>
  <c r="W496" i="3"/>
  <c r="D496" i="3"/>
  <c r="I495" i="3"/>
  <c r="I494" i="3"/>
  <c r="U493" i="3"/>
  <c r="C493" i="3"/>
  <c r="I492" i="3"/>
  <c r="Q491" i="3"/>
  <c r="Z490" i="3"/>
  <c r="G490" i="3"/>
  <c r="L489" i="3"/>
  <c r="W488" i="3"/>
  <c r="D488" i="3"/>
  <c r="G487" i="3"/>
  <c r="Q486" i="3"/>
  <c r="Z485" i="3"/>
  <c r="F485" i="3"/>
  <c r="L484" i="3"/>
  <c r="S483" i="3"/>
  <c r="D483" i="3"/>
  <c r="H482" i="3"/>
  <c r="Q481" i="3"/>
  <c r="AN480" i="3"/>
  <c r="E480" i="3"/>
  <c r="H479" i="3"/>
  <c r="P478" i="3"/>
  <c r="AN477" i="3"/>
  <c r="AU476" i="3"/>
  <c r="AU475" i="3"/>
  <c r="E475" i="3"/>
  <c r="F474" i="3"/>
  <c r="O473" i="3"/>
  <c r="Z472" i="3"/>
  <c r="H472" i="3"/>
  <c r="S471" i="3"/>
  <c r="E471" i="3"/>
  <c r="J470" i="3"/>
  <c r="AU469" i="3"/>
  <c r="O469" i="3"/>
  <c r="D469" i="3"/>
  <c r="Q468" i="3"/>
  <c r="F468" i="3"/>
  <c r="U467" i="3"/>
  <c r="H467" i="3"/>
  <c r="Z466" i="3"/>
  <c r="I466" i="3"/>
  <c r="AN465" i="3"/>
  <c r="L465" i="3"/>
  <c r="C465" i="3"/>
  <c r="I464" i="3"/>
  <c r="AN463" i="3"/>
  <c r="O463" i="3"/>
  <c r="D463" i="3"/>
  <c r="Q462" i="3"/>
  <c r="F462" i="3"/>
  <c r="U461" i="3"/>
  <c r="H461" i="3"/>
  <c r="Z460" i="3"/>
  <c r="L460" i="3"/>
  <c r="C460" i="3"/>
  <c r="P459" i="3"/>
  <c r="E459" i="3"/>
  <c r="S458" i="3"/>
  <c r="G458" i="3"/>
  <c r="W457" i="3"/>
  <c r="I457" i="3"/>
  <c r="AN456" i="3"/>
  <c r="J456" i="3"/>
  <c r="AU455" i="3"/>
  <c r="O455" i="3"/>
  <c r="D455" i="3"/>
  <c r="Q454" i="3"/>
  <c r="F454" i="3"/>
  <c r="U453" i="3"/>
  <c r="H453" i="3"/>
  <c r="Z452" i="3"/>
  <c r="J452" i="3"/>
  <c r="AU451" i="3"/>
  <c r="O451" i="3"/>
  <c r="D451" i="3"/>
  <c r="Q450" i="3"/>
  <c r="F450" i="3"/>
  <c r="U449" i="3"/>
  <c r="H449" i="3"/>
  <c r="Z448" i="3"/>
  <c r="F448" i="3"/>
  <c r="S447" i="3"/>
  <c r="D447" i="3"/>
  <c r="J446" i="3"/>
  <c r="AU445" i="3"/>
  <c r="H445" i="3"/>
  <c r="Z444" i="3"/>
  <c r="G444" i="3"/>
  <c r="W443" i="3"/>
  <c r="I443" i="3"/>
  <c r="AN442" i="3"/>
  <c r="L442" i="3"/>
  <c r="C442" i="3"/>
  <c r="I441" i="3"/>
  <c r="AN440" i="3"/>
  <c r="L440" i="3"/>
  <c r="C440" i="3"/>
  <c r="P439" i="3"/>
  <c r="E439" i="3"/>
  <c r="S438" i="3"/>
  <c r="G438" i="3"/>
  <c r="W437" i="3"/>
  <c r="I437" i="3"/>
  <c r="AN436" i="3"/>
  <c r="G436" i="3"/>
  <c r="W435" i="3"/>
  <c r="I435" i="3"/>
  <c r="AN434" i="3"/>
  <c r="L434" i="3"/>
  <c r="C434" i="3"/>
  <c r="P433" i="3"/>
  <c r="E433" i="3"/>
  <c r="S432" i="3"/>
  <c r="G432" i="3"/>
  <c r="W431" i="3"/>
  <c r="I431" i="3"/>
  <c r="AN430" i="3"/>
  <c r="L430" i="3"/>
  <c r="C430" i="3"/>
  <c r="P429" i="3"/>
  <c r="E429" i="3"/>
  <c r="S428" i="3"/>
  <c r="G428" i="3"/>
  <c r="W427" i="3"/>
  <c r="I427" i="3"/>
  <c r="AN426" i="3"/>
  <c r="L426" i="3"/>
  <c r="C426" i="3"/>
  <c r="P425" i="3"/>
  <c r="E425" i="3"/>
  <c r="S424" i="3"/>
  <c r="G424" i="3"/>
  <c r="U423" i="3"/>
  <c r="E423" i="3"/>
  <c r="L422" i="3"/>
  <c r="C422" i="3"/>
  <c r="I421" i="3"/>
  <c r="AN420" i="3"/>
  <c r="G420" i="3"/>
  <c r="W419" i="3"/>
  <c r="F419" i="3"/>
  <c r="U418" i="3"/>
  <c r="H418" i="3"/>
  <c r="Z417" i="3"/>
  <c r="J417" i="3"/>
  <c r="AU416" i="3"/>
  <c r="H416" i="3"/>
  <c r="Z415" i="3"/>
  <c r="J415" i="3"/>
  <c r="AU414" i="3"/>
  <c r="O414" i="3"/>
  <c r="D414" i="3"/>
  <c r="Q413" i="3"/>
  <c r="F413" i="3"/>
  <c r="U412" i="3"/>
  <c r="H412" i="3"/>
  <c r="Z411" i="3"/>
  <c r="F411" i="3"/>
  <c r="U410" i="3"/>
  <c r="H410" i="3"/>
  <c r="Z409" i="3"/>
  <c r="J409" i="3"/>
  <c r="AU408" i="3"/>
  <c r="O408" i="3"/>
  <c r="D408" i="3"/>
  <c r="Q407" i="3"/>
  <c r="F407" i="3"/>
  <c r="U406" i="3"/>
  <c r="H406" i="3"/>
  <c r="Z405" i="3"/>
  <c r="J405" i="3"/>
  <c r="AU404" i="3"/>
  <c r="O404" i="3"/>
  <c r="D404" i="3"/>
  <c r="Q403" i="3"/>
  <c r="F403" i="3"/>
  <c r="U402" i="3"/>
  <c r="H402" i="3"/>
  <c r="Z401" i="3"/>
  <c r="AU760" i="3"/>
  <c r="F730" i="3"/>
  <c r="S699" i="3"/>
  <c r="S668" i="3"/>
  <c r="Z649" i="3"/>
  <c r="S640" i="3"/>
  <c r="D632" i="3"/>
  <c r="Z624" i="3"/>
  <c r="Z617" i="3"/>
  <c r="U610" i="3"/>
  <c r="E602" i="3"/>
  <c r="C595" i="3"/>
  <c r="AN587" i="3"/>
  <c r="AU579" i="3"/>
  <c r="F571" i="3"/>
  <c r="G563" i="3"/>
  <c r="AU559" i="3"/>
  <c r="U557" i="3"/>
  <c r="L555" i="3"/>
  <c r="I553" i="3"/>
  <c r="F551" i="3"/>
  <c r="AU548" i="3"/>
  <c r="C547" i="3"/>
  <c r="C545" i="3"/>
  <c r="G543" i="3"/>
  <c r="L541" i="3"/>
  <c r="L539" i="3"/>
  <c r="S537" i="3"/>
  <c r="AN535" i="3"/>
  <c r="E534" i="3"/>
  <c r="I532" i="3"/>
  <c r="P530" i="3"/>
  <c r="W528" i="3"/>
  <c r="W526" i="3"/>
  <c r="D525" i="3"/>
  <c r="H523" i="3"/>
  <c r="L521" i="3"/>
  <c r="C520" i="3"/>
  <c r="F519" i="3"/>
  <c r="H518" i="3"/>
  <c r="J517" i="3"/>
  <c r="O516" i="3"/>
  <c r="Q515" i="3"/>
  <c r="U514" i="3"/>
  <c r="W513" i="3"/>
  <c r="AN512" i="3"/>
  <c r="C512" i="3"/>
  <c r="E511" i="3"/>
  <c r="G510" i="3"/>
  <c r="I509" i="3"/>
  <c r="O508" i="3"/>
  <c r="J507" i="3"/>
  <c r="H506" i="3"/>
  <c r="F505" i="3"/>
  <c r="E504" i="3"/>
  <c r="C503" i="3"/>
  <c r="E502" i="3"/>
  <c r="G501" i="3"/>
  <c r="E500" i="3"/>
  <c r="G499" i="3"/>
  <c r="I498" i="3"/>
  <c r="L497" i="3"/>
  <c r="U496" i="3"/>
  <c r="AN495" i="3"/>
  <c r="H495" i="3"/>
  <c r="H494" i="3"/>
  <c r="R493" i="3"/>
  <c r="AU492" i="3"/>
  <c r="F492" i="3"/>
  <c r="P491" i="3"/>
  <c r="W490" i="3"/>
  <c r="E490" i="3"/>
  <c r="J489" i="3"/>
  <c r="Q488" i="3"/>
  <c r="C488" i="3"/>
  <c r="F487" i="3"/>
  <c r="O486" i="3"/>
  <c r="W485" i="3"/>
  <c r="C485" i="3"/>
  <c r="J484" i="3"/>
  <c r="Q483" i="3"/>
  <c r="AU482" i="3"/>
  <c r="G482" i="3"/>
  <c r="L481" i="3"/>
  <c r="Z480" i="3"/>
  <c r="D480" i="3"/>
  <c r="F479" i="3"/>
  <c r="O478" i="3"/>
  <c r="S477" i="3"/>
  <c r="AN476" i="3"/>
  <c r="AN475" i="3"/>
  <c r="C475" i="3"/>
  <c r="E474" i="3"/>
  <c r="I473" i="3"/>
  <c r="W472" i="3"/>
  <c r="F472" i="3"/>
  <c r="Q471" i="3"/>
  <c r="D471" i="3"/>
  <c r="I470" i="3"/>
  <c r="AN469" i="3"/>
  <c r="L469" i="3"/>
  <c r="C469" i="3"/>
  <c r="P468" i="3"/>
  <c r="E468" i="3"/>
  <c r="S467" i="3"/>
  <c r="G467" i="3"/>
  <c r="W466" i="3"/>
  <c r="H466" i="3"/>
  <c r="Z465" i="3"/>
  <c r="J465" i="3"/>
  <c r="AU464" i="3"/>
  <c r="H464" i="3"/>
  <c r="Z463" i="3"/>
  <c r="L463" i="3"/>
  <c r="C463" i="3"/>
  <c r="P462" i="3"/>
  <c r="E462" i="3"/>
  <c r="S461" i="3"/>
  <c r="G461" i="3"/>
  <c r="W460" i="3"/>
  <c r="J460" i="3"/>
  <c r="AU459" i="3"/>
  <c r="O459" i="3"/>
  <c r="D459" i="3"/>
  <c r="Q458" i="3"/>
  <c r="F458" i="3"/>
  <c r="U457" i="3"/>
  <c r="H457" i="3"/>
  <c r="Z456" i="3"/>
  <c r="I456" i="3"/>
  <c r="AN455" i="3"/>
  <c r="L455" i="3"/>
  <c r="C455" i="3"/>
  <c r="P454" i="3"/>
  <c r="E454" i="3"/>
  <c r="S453" i="3"/>
  <c r="G453" i="3"/>
  <c r="W452" i="3"/>
  <c r="I452" i="3"/>
  <c r="AN451" i="3"/>
  <c r="L451" i="3"/>
  <c r="C451" i="3"/>
  <c r="P450" i="3"/>
  <c r="E450" i="3"/>
  <c r="S449" i="3"/>
  <c r="G449" i="3"/>
  <c r="U448" i="3"/>
  <c r="E448" i="3"/>
  <c r="L447" i="3"/>
  <c r="C447" i="3"/>
  <c r="I446" i="3"/>
  <c r="AN445" i="3"/>
  <c r="G445" i="3"/>
  <c r="W444" i="3"/>
  <c r="F444" i="3"/>
  <c r="U443" i="3"/>
  <c r="H443" i="3"/>
  <c r="Z442" i="3"/>
  <c r="J442" i="3"/>
  <c r="AU441" i="3"/>
  <c r="H441" i="3"/>
  <c r="Z440" i="3"/>
  <c r="J440" i="3"/>
  <c r="AU439" i="3"/>
  <c r="O439" i="3"/>
  <c r="D439" i="3"/>
  <c r="Q438" i="3"/>
  <c r="F438" i="3"/>
  <c r="U437" i="3"/>
  <c r="H437" i="3"/>
  <c r="Z436" i="3"/>
  <c r="F436" i="3"/>
  <c r="U435" i="3"/>
  <c r="H435" i="3"/>
  <c r="Z434" i="3"/>
  <c r="J434" i="3"/>
  <c r="AU433" i="3"/>
  <c r="O433" i="3"/>
  <c r="D433" i="3"/>
  <c r="Q432" i="3"/>
  <c r="F432" i="3"/>
  <c r="U431" i="3"/>
  <c r="H431" i="3"/>
  <c r="Z430" i="3"/>
  <c r="J430" i="3"/>
  <c r="AU429" i="3"/>
  <c r="O429" i="3"/>
  <c r="D429" i="3"/>
  <c r="Q428" i="3"/>
  <c r="F428" i="3"/>
  <c r="U427" i="3"/>
  <c r="H427" i="3"/>
  <c r="Z426" i="3"/>
  <c r="J426" i="3"/>
  <c r="AU425" i="3"/>
  <c r="O425" i="3"/>
  <c r="D425" i="3"/>
  <c r="Q424" i="3"/>
  <c r="F424" i="3"/>
  <c r="S423" i="3"/>
  <c r="D423" i="3"/>
  <c r="J422" i="3"/>
  <c r="AU421" i="3"/>
  <c r="H421" i="3"/>
  <c r="Z420" i="3"/>
  <c r="F420" i="3"/>
  <c r="U419" i="3"/>
  <c r="E419" i="3"/>
  <c r="S418" i="3"/>
  <c r="G418" i="3"/>
  <c r="W417" i="3"/>
  <c r="I417" i="3"/>
  <c r="AN416" i="3"/>
  <c r="G416" i="3"/>
  <c r="W415" i="3"/>
  <c r="I415" i="3"/>
  <c r="AN414" i="3"/>
  <c r="L414" i="3"/>
  <c r="C414" i="3"/>
  <c r="P413" i="3"/>
  <c r="E413" i="3"/>
  <c r="S412" i="3"/>
  <c r="G412" i="3"/>
  <c r="U411" i="3"/>
  <c r="E411" i="3"/>
  <c r="S410" i="3"/>
  <c r="G410" i="3"/>
  <c r="W409" i="3"/>
  <c r="I409" i="3"/>
  <c r="AN408" i="3"/>
  <c r="L408" i="3"/>
  <c r="C408" i="3"/>
  <c r="P407" i="3"/>
  <c r="E407" i="3"/>
  <c r="S406" i="3"/>
  <c r="G406" i="3"/>
  <c r="W405" i="3"/>
  <c r="I405" i="3"/>
  <c r="AN404" i="3"/>
  <c r="L404" i="3"/>
  <c r="C404" i="3"/>
  <c r="P403" i="3"/>
  <c r="E403" i="3"/>
  <c r="S402" i="3"/>
  <c r="G402" i="3"/>
  <c r="W401" i="3"/>
  <c r="I401" i="3"/>
  <c r="AN400" i="3"/>
  <c r="L400" i="3"/>
  <c r="C400" i="3"/>
  <c r="P399" i="3"/>
  <c r="G752" i="3"/>
  <c r="H722" i="3"/>
  <c r="E692" i="3"/>
  <c r="L659" i="3"/>
  <c r="L647" i="3"/>
  <c r="I638" i="3"/>
  <c r="I630" i="3"/>
  <c r="F623" i="3"/>
  <c r="E616" i="3"/>
  <c r="C609" i="3"/>
  <c r="J600" i="3"/>
  <c r="H593" i="3"/>
  <c r="F586" i="3"/>
  <c r="U577" i="3"/>
  <c r="E569" i="3"/>
  <c r="J562" i="3"/>
  <c r="I559" i="3"/>
  <c r="F557" i="3"/>
  <c r="D555" i="3"/>
  <c r="AU552" i="3"/>
  <c r="U550" i="3"/>
  <c r="J548" i="3"/>
  <c r="Q546" i="3"/>
  <c r="Q544" i="3"/>
  <c r="Z542" i="3"/>
  <c r="D541" i="3"/>
  <c r="D539" i="3"/>
  <c r="H537" i="3"/>
  <c r="O535" i="3"/>
  <c r="U533" i="3"/>
  <c r="AU531" i="3"/>
  <c r="F530" i="3"/>
  <c r="J528" i="3"/>
  <c r="L526" i="3"/>
  <c r="S524" i="3"/>
  <c r="AN522" i="3"/>
  <c r="D521" i="3"/>
  <c r="W519" i="3"/>
  <c r="AU518" i="3"/>
  <c r="D518" i="3"/>
  <c r="F517" i="3"/>
  <c r="H516" i="3"/>
  <c r="J515" i="3"/>
  <c r="L514" i="3"/>
  <c r="P513" i="3"/>
  <c r="S512" i="3"/>
  <c r="W511" i="3"/>
  <c r="AN510" i="3"/>
  <c r="C510" i="3"/>
  <c r="E509" i="3"/>
  <c r="H508" i="3"/>
  <c r="F507" i="3"/>
  <c r="D506" i="3"/>
  <c r="AU504" i="3"/>
  <c r="AN503" i="3"/>
  <c r="W502" i="3"/>
  <c r="AN501" i="3"/>
  <c r="C501" i="3"/>
  <c r="AN499" i="3"/>
  <c r="C499" i="3"/>
  <c r="E498" i="3"/>
  <c r="H497" i="3"/>
  <c r="S496" i="3"/>
  <c r="Z495" i="3"/>
  <c r="F495" i="3"/>
  <c r="G494" i="3"/>
  <c r="O493" i="3"/>
  <c r="AN492" i="3"/>
  <c r="E492" i="3"/>
  <c r="L491" i="3"/>
  <c r="U490" i="3"/>
  <c r="AU489" i="3"/>
  <c r="I489" i="3"/>
  <c r="P488" i="3"/>
  <c r="AN487" i="3"/>
  <c r="E487" i="3"/>
  <c r="I486" i="3"/>
  <c r="U485" i="3"/>
  <c r="AU484" i="3"/>
  <c r="H484" i="3"/>
  <c r="P483" i="3"/>
  <c r="W482" i="3"/>
  <c r="F482" i="3"/>
  <c r="J481" i="3"/>
  <c r="U480" i="3"/>
  <c r="C480" i="3"/>
  <c r="C479" i="3"/>
  <c r="L478" i="3"/>
  <c r="L477" i="3"/>
  <c r="U476" i="3"/>
  <c r="Z475" i="3"/>
  <c r="Z474" i="3"/>
  <c r="D474" i="3"/>
  <c r="H473" i="3"/>
  <c r="U472" i="3"/>
  <c r="E472" i="3"/>
  <c r="P471" i="3"/>
  <c r="C471" i="3"/>
  <c r="H470" i="3"/>
  <c r="Z469" i="3"/>
  <c r="J469" i="3"/>
  <c r="AU468" i="3"/>
  <c r="O468" i="3"/>
  <c r="D468" i="3"/>
  <c r="Q467" i="3"/>
  <c r="F467" i="3"/>
  <c r="U466" i="3"/>
  <c r="G466" i="3"/>
  <c r="W465" i="3"/>
  <c r="I465" i="3"/>
  <c r="AN464" i="3"/>
  <c r="G464" i="3"/>
  <c r="W463" i="3"/>
  <c r="J463" i="3"/>
  <c r="AU462" i="3"/>
  <c r="O462" i="3"/>
  <c r="D462" i="3"/>
  <c r="Q461" i="3"/>
  <c r="F461" i="3"/>
  <c r="U460" i="3"/>
  <c r="I460" i="3"/>
  <c r="AN459" i="3"/>
  <c r="L459" i="3"/>
  <c r="C459" i="3"/>
  <c r="P458" i="3"/>
  <c r="E458" i="3"/>
  <c r="S457" i="3"/>
  <c r="G457" i="3"/>
  <c r="W456" i="3"/>
  <c r="H456" i="3"/>
  <c r="Z455" i="3"/>
  <c r="J455" i="3"/>
  <c r="AU454" i="3"/>
  <c r="O454" i="3"/>
  <c r="D454" i="3"/>
  <c r="Q453" i="3"/>
  <c r="F453" i="3"/>
  <c r="U452" i="3"/>
  <c r="H452" i="3"/>
  <c r="Z451" i="3"/>
  <c r="J451" i="3"/>
  <c r="AU450" i="3"/>
  <c r="O450" i="3"/>
  <c r="D450" i="3"/>
  <c r="Q449" i="3"/>
  <c r="F449" i="3"/>
  <c r="S448" i="3"/>
  <c r="D448" i="3"/>
  <c r="J447" i="3"/>
  <c r="AU446" i="3"/>
  <c r="H446" i="3"/>
  <c r="Z445" i="3"/>
  <c r="F445" i="3"/>
  <c r="U444" i="3"/>
  <c r="E444" i="3"/>
  <c r="S443" i="3"/>
  <c r="G443" i="3"/>
  <c r="W442" i="3"/>
  <c r="I442" i="3"/>
  <c r="AN441" i="3"/>
  <c r="G441" i="3"/>
  <c r="W440" i="3"/>
  <c r="I440" i="3"/>
  <c r="AN439" i="3"/>
  <c r="L439" i="3"/>
  <c r="C439" i="3"/>
  <c r="P438" i="3"/>
  <c r="E438" i="3"/>
  <c r="S437" i="3"/>
  <c r="G437" i="3"/>
  <c r="U436" i="3"/>
  <c r="E436" i="3"/>
  <c r="S435" i="3"/>
  <c r="G435" i="3"/>
  <c r="W434" i="3"/>
  <c r="I434" i="3"/>
  <c r="AN433" i="3"/>
  <c r="L433" i="3"/>
  <c r="C433" i="3"/>
  <c r="P432" i="3"/>
  <c r="E432" i="3"/>
  <c r="S431" i="3"/>
  <c r="G431" i="3"/>
  <c r="W430" i="3"/>
  <c r="I430" i="3"/>
  <c r="AN429" i="3"/>
  <c r="L429" i="3"/>
  <c r="C429" i="3"/>
  <c r="P428" i="3"/>
  <c r="E428" i="3"/>
  <c r="S427" i="3"/>
  <c r="G427" i="3"/>
  <c r="W426" i="3"/>
  <c r="I426" i="3"/>
  <c r="AN425" i="3"/>
  <c r="L425" i="3"/>
  <c r="C425" i="3"/>
  <c r="P424" i="3"/>
  <c r="E424" i="3"/>
  <c r="L423" i="3"/>
  <c r="C423" i="3"/>
  <c r="I422" i="3"/>
  <c r="AN421" i="3"/>
  <c r="G421" i="3"/>
  <c r="U420" i="3"/>
  <c r="E420" i="3"/>
  <c r="S419" i="3"/>
  <c r="D419" i="3"/>
  <c r="Q418" i="3"/>
  <c r="F418" i="3"/>
  <c r="U417" i="3"/>
  <c r="H417" i="3"/>
  <c r="Z416" i="3"/>
  <c r="F416" i="3"/>
  <c r="U415" i="3"/>
  <c r="H415" i="3"/>
  <c r="Z414" i="3"/>
  <c r="J414" i="3"/>
  <c r="AU413" i="3"/>
  <c r="O413" i="3"/>
  <c r="D413" i="3"/>
  <c r="Q412" i="3"/>
  <c r="F412" i="3"/>
  <c r="S411" i="3"/>
  <c r="D411" i="3"/>
  <c r="Q410" i="3"/>
  <c r="F410" i="3"/>
  <c r="U409" i="3"/>
  <c r="H409" i="3"/>
  <c r="Z408" i="3"/>
  <c r="J408" i="3"/>
  <c r="AU407" i="3"/>
  <c r="O407" i="3"/>
  <c r="D407" i="3"/>
  <c r="Q406" i="3"/>
  <c r="F406" i="3"/>
  <c r="U405" i="3"/>
  <c r="H405" i="3"/>
  <c r="Z404" i="3"/>
  <c r="J404" i="3"/>
  <c r="AU403" i="3"/>
  <c r="O403" i="3"/>
  <c r="D403" i="3"/>
  <c r="Q402" i="3"/>
  <c r="F402" i="3"/>
  <c r="U401" i="3"/>
  <c r="H401" i="3"/>
  <c r="Z400" i="3"/>
  <c r="J400" i="3"/>
  <c r="AU399" i="3"/>
  <c r="O399" i="3"/>
  <c r="D399" i="3"/>
  <c r="J398" i="3"/>
  <c r="AU397" i="3"/>
  <c r="P397" i="3"/>
  <c r="AN744" i="3"/>
  <c r="AU714" i="3"/>
  <c r="C685" i="3"/>
  <c r="C655" i="3"/>
  <c r="G645" i="3"/>
  <c r="E636" i="3"/>
  <c r="P628" i="3"/>
  <c r="J621" i="3"/>
  <c r="I614" i="3"/>
  <c r="U606" i="3"/>
  <c r="Q598" i="3"/>
  <c r="O591" i="3"/>
  <c r="J584" i="3"/>
  <c r="L575" i="3"/>
  <c r="C567" i="3"/>
  <c r="I561" i="3"/>
  <c r="Z558" i="3"/>
  <c r="U556" i="3"/>
  <c r="L554" i="3"/>
  <c r="I552" i="3"/>
  <c r="E550" i="3"/>
  <c r="AU547" i="3"/>
  <c r="F546" i="3"/>
  <c r="F544" i="3"/>
  <c r="J542" i="3"/>
  <c r="J540" i="3"/>
  <c r="Q538" i="3"/>
  <c r="Z536" i="3"/>
  <c r="D535" i="3"/>
  <c r="H533" i="3"/>
  <c r="O531" i="3"/>
  <c r="U529" i="3"/>
  <c r="AU527" i="3"/>
  <c r="C526" i="3"/>
  <c r="G524" i="3"/>
  <c r="L522" i="3"/>
  <c r="Q520" i="3"/>
  <c r="S519" i="3"/>
  <c r="Z518" i="3"/>
  <c r="AU517" i="3"/>
  <c r="D517" i="3"/>
  <c r="F516" i="3"/>
  <c r="H515" i="3"/>
  <c r="I514" i="3"/>
  <c r="L513" i="3"/>
  <c r="P512" i="3"/>
  <c r="S511" i="3"/>
  <c r="W510" i="3"/>
  <c r="AN509" i="3"/>
  <c r="C509" i="3"/>
  <c r="F508" i="3"/>
  <c r="D507" i="3"/>
  <c r="AU505" i="3"/>
  <c r="Z504" i="3"/>
  <c r="U503" i="3"/>
  <c r="S502" i="3"/>
  <c r="W501" i="3"/>
  <c r="AN500" i="3"/>
  <c r="W499" i="3"/>
  <c r="AN498" i="3"/>
  <c r="C498" i="3"/>
  <c r="F497" i="3"/>
  <c r="I496" i="3"/>
  <c r="U495" i="3"/>
  <c r="AU494" i="3"/>
  <c r="D494" i="3"/>
  <c r="J493" i="3"/>
  <c r="Q492" i="3"/>
  <c r="C492" i="3"/>
  <c r="G491" i="3"/>
  <c r="P490" i="3"/>
  <c r="Z489" i="3"/>
  <c r="D489" i="3"/>
  <c r="L488" i="3"/>
  <c r="S487" i="3"/>
  <c r="AU486" i="3"/>
  <c r="G486" i="3"/>
  <c r="L485" i="3"/>
  <c r="Z484" i="3"/>
  <c r="D484" i="3"/>
  <c r="J483" i="3"/>
  <c r="S482" i="3"/>
  <c r="AN481" i="3"/>
  <c r="H481" i="3"/>
  <c r="O480" i="3"/>
  <c r="Z479" i="3"/>
  <c r="AN478" i="3"/>
  <c r="F478" i="3"/>
  <c r="I477" i="3"/>
  <c r="I476" i="3"/>
  <c r="L475" i="3"/>
  <c r="U474" i="3"/>
  <c r="W473" i="3"/>
  <c r="F473" i="3"/>
  <c r="P472" i="3"/>
  <c r="AU471" i="3"/>
  <c r="L471" i="3"/>
  <c r="AN470" i="3"/>
  <c r="F470" i="3"/>
  <c r="U469" i="3"/>
  <c r="H469" i="3"/>
  <c r="Z468" i="3"/>
  <c r="J468" i="3"/>
  <c r="AU467" i="3"/>
  <c r="O467" i="3"/>
  <c r="D467" i="3"/>
  <c r="R466" i="3"/>
  <c r="E466" i="3"/>
  <c r="S465" i="3"/>
  <c r="G465" i="3"/>
  <c r="U464" i="3"/>
  <c r="E464" i="3"/>
  <c r="S463" i="3"/>
  <c r="H463" i="3"/>
  <c r="Z462" i="3"/>
  <c r="J462" i="3"/>
  <c r="AU461" i="3"/>
  <c r="O461" i="3"/>
  <c r="D461" i="3"/>
  <c r="R460" i="3"/>
  <c r="G460" i="3"/>
  <c r="W459" i="3"/>
  <c r="I459" i="3"/>
  <c r="AN458" i="3"/>
  <c r="L458" i="3"/>
  <c r="C458" i="3"/>
  <c r="P457" i="3"/>
  <c r="E457" i="3"/>
  <c r="S456" i="3"/>
  <c r="F456" i="3"/>
  <c r="U455" i="3"/>
  <c r="H455" i="3"/>
  <c r="Z454" i="3"/>
  <c r="J454" i="3"/>
  <c r="AU453" i="3"/>
  <c r="O453" i="3"/>
  <c r="D453" i="3"/>
  <c r="Q452" i="3"/>
  <c r="F452" i="3"/>
  <c r="U451" i="3"/>
  <c r="H451" i="3"/>
  <c r="Z450" i="3"/>
  <c r="J450" i="3"/>
  <c r="AU449" i="3"/>
  <c r="O449" i="3"/>
  <c r="D449" i="3"/>
  <c r="J448" i="3"/>
  <c r="AU447" i="3"/>
  <c r="H447" i="3"/>
  <c r="Z446" i="3"/>
  <c r="F446" i="3"/>
  <c r="S445" i="3"/>
  <c r="D445" i="3"/>
  <c r="L444" i="3"/>
  <c r="C444" i="3"/>
  <c r="P443" i="3"/>
  <c r="E443" i="3"/>
  <c r="S442" i="3"/>
  <c r="G442" i="3"/>
  <c r="U441" i="3"/>
  <c r="E441" i="3"/>
  <c r="S440" i="3"/>
  <c r="G440" i="3"/>
  <c r="W439" i="3"/>
  <c r="I439" i="3"/>
  <c r="AN438" i="3"/>
  <c r="L438" i="3"/>
  <c r="C438" i="3"/>
  <c r="P437" i="3"/>
  <c r="E437" i="3"/>
  <c r="L436" i="3"/>
  <c r="C436" i="3"/>
  <c r="P435" i="3"/>
  <c r="E435" i="3"/>
  <c r="S434" i="3"/>
  <c r="G434" i="3"/>
  <c r="W433" i="3"/>
  <c r="I433" i="3"/>
  <c r="AN432" i="3"/>
  <c r="L432" i="3"/>
  <c r="C432" i="3"/>
  <c r="P431" i="3"/>
  <c r="E431" i="3"/>
  <c r="S430" i="3"/>
  <c r="G430" i="3"/>
  <c r="W429" i="3"/>
  <c r="I429" i="3"/>
  <c r="AN428" i="3"/>
  <c r="L428" i="3"/>
  <c r="C428" i="3"/>
  <c r="P427" i="3"/>
  <c r="E427" i="3"/>
  <c r="S426" i="3"/>
  <c r="G426" i="3"/>
  <c r="W425" i="3"/>
  <c r="I425" i="3"/>
  <c r="AN424" i="3"/>
  <c r="L424" i="3"/>
  <c r="C424" i="3"/>
  <c r="I423" i="3"/>
  <c r="AN422" i="3"/>
  <c r="G422" i="3"/>
  <c r="U421" i="3"/>
  <c r="E421" i="3"/>
  <c r="L420" i="3"/>
  <c r="C420" i="3"/>
  <c r="J419" i="3"/>
  <c r="AU418" i="3"/>
  <c r="O418" i="3"/>
  <c r="D418" i="3"/>
  <c r="Q417" i="3"/>
  <c r="F417" i="3"/>
  <c r="S416" i="3"/>
  <c r="D416" i="3"/>
  <c r="Q415" i="3"/>
  <c r="F415" i="3"/>
  <c r="U414" i="3"/>
  <c r="H414" i="3"/>
  <c r="Z413" i="3"/>
  <c r="J413" i="3"/>
  <c r="AU412" i="3"/>
  <c r="O412" i="3"/>
  <c r="D412" i="3"/>
  <c r="J411" i="3"/>
  <c r="AU410" i="3"/>
  <c r="O410" i="3"/>
  <c r="D410" i="3"/>
  <c r="Q409" i="3"/>
  <c r="F409" i="3"/>
  <c r="U408" i="3"/>
  <c r="H408" i="3"/>
  <c r="Z407" i="3"/>
  <c r="J407" i="3"/>
  <c r="AU406" i="3"/>
  <c r="O406" i="3"/>
  <c r="D406" i="3"/>
  <c r="Q405" i="3"/>
  <c r="F405" i="3"/>
  <c r="U404" i="3"/>
  <c r="H404" i="3"/>
  <c r="Z403" i="3"/>
  <c r="J403" i="3"/>
  <c r="AU402" i="3"/>
  <c r="O402" i="3"/>
  <c r="D402" i="3"/>
  <c r="Q401" i="3"/>
  <c r="F401" i="3"/>
  <c r="U400" i="3"/>
  <c r="H400" i="3"/>
  <c r="Z399" i="3"/>
  <c r="J399" i="3"/>
  <c r="AU398" i="3"/>
  <c r="F752" i="3"/>
  <c r="J647" i="3"/>
  <c r="D616" i="3"/>
  <c r="E586" i="3"/>
  <c r="G559" i="3"/>
  <c r="S550" i="3"/>
  <c r="W542" i="3"/>
  <c r="L535" i="3"/>
  <c r="I528" i="3"/>
  <c r="C521" i="3"/>
  <c r="E517" i="3"/>
  <c r="O513" i="3"/>
  <c r="AU509" i="3"/>
  <c r="C506" i="3"/>
  <c r="Z501" i="3"/>
  <c r="D498" i="3"/>
  <c r="C495" i="3"/>
  <c r="D492" i="3"/>
  <c r="G489" i="3"/>
  <c r="H486" i="3"/>
  <c r="O483" i="3"/>
  <c r="P480" i="3"/>
  <c r="J477" i="3"/>
  <c r="AU473" i="3"/>
  <c r="O471" i="3"/>
  <c r="I469" i="3"/>
  <c r="P467" i="3"/>
  <c r="U465" i="3"/>
  <c r="U463" i="3"/>
  <c r="C462" i="3"/>
  <c r="H460" i="3"/>
  <c r="O458" i="3"/>
  <c r="U456" i="3"/>
  <c r="AN454" i="3"/>
  <c r="E453" i="3"/>
  <c r="I451" i="3"/>
  <c r="P449" i="3"/>
  <c r="I447" i="3"/>
  <c r="E445" i="3"/>
  <c r="F443" i="3"/>
  <c r="F441" i="3"/>
  <c r="J439" i="3"/>
  <c r="Q437" i="3"/>
  <c r="Q435" i="3"/>
  <c r="Z433" i="3"/>
  <c r="D432" i="3"/>
  <c r="H430" i="3"/>
  <c r="O428" i="3"/>
  <c r="U426" i="3"/>
  <c r="AU424" i="3"/>
  <c r="AU422" i="3"/>
  <c r="S420" i="3"/>
  <c r="P418" i="3"/>
  <c r="U416" i="3"/>
  <c r="W414" i="3"/>
  <c r="C413" i="3"/>
  <c r="C411" i="3"/>
  <c r="G409" i="3"/>
  <c r="L407" i="3"/>
  <c r="S405" i="3"/>
  <c r="AN403" i="3"/>
  <c r="E402" i="3"/>
  <c r="AU400" i="3"/>
  <c r="D400" i="3"/>
  <c r="H399" i="3"/>
  <c r="S398" i="3"/>
  <c r="C398" i="3"/>
  <c r="O397" i="3"/>
  <c r="D397" i="3"/>
  <c r="R396" i="3"/>
  <c r="F396" i="3"/>
  <c r="U395" i="3"/>
  <c r="H395" i="3"/>
  <c r="Z394" i="3"/>
  <c r="J394" i="3"/>
  <c r="AU393" i="3"/>
  <c r="O393" i="3"/>
  <c r="D393" i="3"/>
  <c r="Q392" i="3"/>
  <c r="F392" i="3"/>
  <c r="U391" i="3"/>
  <c r="H391" i="3"/>
  <c r="Z390" i="3"/>
  <c r="I390" i="3"/>
  <c r="AN389" i="3"/>
  <c r="L389" i="3"/>
  <c r="C389" i="3"/>
  <c r="Q388" i="3"/>
  <c r="F388" i="3"/>
  <c r="U387" i="3"/>
  <c r="H387" i="3"/>
  <c r="Z386" i="3"/>
  <c r="J386" i="3"/>
  <c r="AU385" i="3"/>
  <c r="O385" i="3"/>
  <c r="D385" i="3"/>
  <c r="Q384" i="3"/>
  <c r="F384" i="3"/>
  <c r="U383" i="3"/>
  <c r="H383" i="3"/>
  <c r="Z382" i="3"/>
  <c r="J382" i="3"/>
  <c r="AU381" i="3"/>
  <c r="L381" i="3"/>
  <c r="C381" i="3"/>
  <c r="P380" i="3"/>
  <c r="E380" i="3"/>
  <c r="S379" i="3"/>
  <c r="G379" i="3"/>
  <c r="W378" i="3"/>
  <c r="I378" i="3"/>
  <c r="AN377" i="3"/>
  <c r="L377" i="3"/>
  <c r="C377" i="3"/>
  <c r="P376" i="3"/>
  <c r="E376" i="3"/>
  <c r="S375" i="3"/>
  <c r="G375" i="3"/>
  <c r="W374" i="3"/>
  <c r="I374" i="3"/>
  <c r="AN373" i="3"/>
  <c r="O373" i="3"/>
  <c r="D373" i="3"/>
  <c r="R372" i="3"/>
  <c r="F372" i="3"/>
  <c r="U371" i="3"/>
  <c r="H371" i="3"/>
  <c r="Z370" i="3"/>
  <c r="J370" i="3"/>
  <c r="AU369" i="3"/>
  <c r="O369" i="3"/>
  <c r="D369" i="3"/>
  <c r="Q368" i="3"/>
  <c r="F368" i="3"/>
  <c r="U367" i="3"/>
  <c r="H367" i="3"/>
  <c r="Z366" i="3"/>
  <c r="I366" i="3"/>
  <c r="AN365" i="3"/>
  <c r="L365" i="3"/>
  <c r="C365" i="3"/>
  <c r="Q364" i="3"/>
  <c r="F364" i="3"/>
  <c r="U363" i="3"/>
  <c r="H363" i="3"/>
  <c r="Z362" i="3"/>
  <c r="J362" i="3"/>
  <c r="AU361" i="3"/>
  <c r="O361" i="3"/>
  <c r="D361" i="3"/>
  <c r="Q360" i="3"/>
  <c r="F360" i="3"/>
  <c r="U359" i="3"/>
  <c r="H359" i="3"/>
  <c r="Z358" i="3"/>
  <c r="J358" i="3"/>
  <c r="AU357" i="3"/>
  <c r="L357" i="3"/>
  <c r="C357" i="3"/>
  <c r="P356" i="3"/>
  <c r="E356" i="3"/>
  <c r="S355" i="3"/>
  <c r="G355" i="3"/>
  <c r="W354" i="3"/>
  <c r="I354" i="3"/>
  <c r="AN353" i="3"/>
  <c r="L353" i="3"/>
  <c r="C353" i="3"/>
  <c r="P352" i="3"/>
  <c r="E352" i="3"/>
  <c r="S351" i="3"/>
  <c r="G351" i="3"/>
  <c r="W350" i="3"/>
  <c r="I350" i="3"/>
  <c r="AN349" i="3"/>
  <c r="O349" i="3"/>
  <c r="D349" i="3"/>
  <c r="R348" i="3"/>
  <c r="F348" i="3"/>
  <c r="U347" i="3"/>
  <c r="H347" i="3"/>
  <c r="Z346" i="3"/>
  <c r="J346" i="3"/>
  <c r="AU345" i="3"/>
  <c r="O345" i="3"/>
  <c r="D345" i="3"/>
  <c r="Q344" i="3"/>
  <c r="F344" i="3"/>
  <c r="U343" i="3"/>
  <c r="H343" i="3"/>
  <c r="Z342" i="3"/>
  <c r="I342" i="3"/>
  <c r="AN341" i="3"/>
  <c r="L341" i="3"/>
  <c r="C341" i="3"/>
  <c r="Q340" i="3"/>
  <c r="F340" i="3"/>
  <c r="U339" i="3"/>
  <c r="H339" i="3"/>
  <c r="Z338" i="3"/>
  <c r="J338" i="3"/>
  <c r="AU337" i="3"/>
  <c r="O337" i="3"/>
  <c r="D337" i="3"/>
  <c r="Q336" i="3"/>
  <c r="F336" i="3"/>
  <c r="U335" i="3"/>
  <c r="H335" i="3"/>
  <c r="Z334" i="3"/>
  <c r="J334" i="3"/>
  <c r="AU333" i="3"/>
  <c r="L333" i="3"/>
  <c r="C333" i="3"/>
  <c r="P332" i="3"/>
  <c r="E332" i="3"/>
  <c r="S331" i="3"/>
  <c r="G331" i="3"/>
  <c r="W330" i="3"/>
  <c r="I330" i="3"/>
  <c r="AN329" i="3"/>
  <c r="L329" i="3"/>
  <c r="C329" i="3"/>
  <c r="P328" i="3"/>
  <c r="E328" i="3"/>
  <c r="S327" i="3"/>
  <c r="G327" i="3"/>
  <c r="W326" i="3"/>
  <c r="I326" i="3"/>
  <c r="AN325" i="3"/>
  <c r="O325" i="3"/>
  <c r="D325" i="3"/>
  <c r="R324" i="3"/>
  <c r="F324" i="3"/>
  <c r="U323" i="3"/>
  <c r="H323" i="3"/>
  <c r="Z322" i="3"/>
  <c r="J322" i="3"/>
  <c r="AU321" i="3"/>
  <c r="O321" i="3"/>
  <c r="D321" i="3"/>
  <c r="Q320" i="3"/>
  <c r="F320" i="3"/>
  <c r="U319" i="3"/>
  <c r="H319" i="3"/>
  <c r="Z318" i="3"/>
  <c r="J318" i="3"/>
  <c r="AU317" i="3"/>
  <c r="P317" i="3"/>
  <c r="E317" i="3"/>
  <c r="S316" i="3"/>
  <c r="G316" i="3"/>
  <c r="W315" i="3"/>
  <c r="I315" i="3"/>
  <c r="AN314" i="3"/>
  <c r="L314" i="3"/>
  <c r="C314" i="3"/>
  <c r="P313" i="3"/>
  <c r="E313" i="3"/>
  <c r="Z744" i="3"/>
  <c r="F645" i="3"/>
  <c r="H614" i="3"/>
  <c r="I584" i="3"/>
  <c r="W558" i="3"/>
  <c r="D550" i="3"/>
  <c r="I542" i="3"/>
  <c r="C535" i="3"/>
  <c r="AN527" i="3"/>
  <c r="P520" i="3"/>
  <c r="AU516" i="3"/>
  <c r="I513" i="3"/>
  <c r="W509" i="3"/>
  <c r="Z505" i="3"/>
  <c r="S501" i="3"/>
  <c r="AN497" i="3"/>
  <c r="AN494" i="3"/>
  <c r="AN491" i="3"/>
  <c r="C489" i="3"/>
  <c r="F486" i="3"/>
  <c r="G483" i="3"/>
  <c r="L480" i="3"/>
  <c r="G477" i="3"/>
  <c r="U473" i="3"/>
  <c r="I471" i="3"/>
  <c r="G469" i="3"/>
  <c r="L467" i="3"/>
  <c r="Q465" i="3"/>
  <c r="R463" i="3"/>
  <c r="AN461" i="3"/>
  <c r="F460" i="3"/>
  <c r="J458" i="3"/>
  <c r="R456" i="3"/>
  <c r="W454" i="3"/>
  <c r="C453" i="3"/>
  <c r="G451" i="3"/>
  <c r="L449" i="3"/>
  <c r="G447" i="3"/>
  <c r="C445" i="3"/>
  <c r="D443" i="3"/>
  <c r="D441" i="3"/>
  <c r="H439" i="3"/>
  <c r="O437" i="3"/>
  <c r="O435" i="3"/>
  <c r="U433" i="3"/>
  <c r="AU431" i="3"/>
  <c r="F430" i="3"/>
  <c r="J428" i="3"/>
  <c r="Q426" i="3"/>
  <c r="Z424" i="3"/>
  <c r="Z422" i="3"/>
  <c r="J420" i="3"/>
  <c r="L418" i="3"/>
  <c r="L416" i="3"/>
  <c r="S414" i="3"/>
  <c r="AN412" i="3"/>
  <c r="AN410" i="3"/>
  <c r="E409" i="3"/>
  <c r="I407" i="3"/>
  <c r="P405" i="3"/>
  <c r="W403" i="3"/>
  <c r="C402" i="3"/>
  <c r="W400" i="3"/>
  <c r="AN399" i="3"/>
  <c r="G399" i="3"/>
  <c r="L398" i="3"/>
  <c r="AN397" i="3"/>
  <c r="L397" i="3"/>
  <c r="C397" i="3"/>
  <c r="Q396" i="3"/>
  <c r="E396" i="3"/>
  <c r="S395" i="3"/>
  <c r="G395" i="3"/>
  <c r="W394" i="3"/>
  <c r="I394" i="3"/>
  <c r="AN393" i="3"/>
  <c r="L393" i="3"/>
  <c r="C393" i="3"/>
  <c r="P392" i="3"/>
  <c r="E392" i="3"/>
  <c r="S391" i="3"/>
  <c r="G391" i="3"/>
  <c r="W390" i="3"/>
  <c r="H390" i="3"/>
  <c r="Z389" i="3"/>
  <c r="J389" i="3"/>
  <c r="AU388" i="3"/>
  <c r="P388" i="3"/>
  <c r="E388" i="3"/>
  <c r="S387" i="3"/>
  <c r="G387" i="3"/>
  <c r="W386" i="3"/>
  <c r="I386" i="3"/>
  <c r="AN385" i="3"/>
  <c r="L385" i="3"/>
  <c r="C385" i="3"/>
  <c r="P384" i="3"/>
  <c r="E384" i="3"/>
  <c r="S383" i="3"/>
  <c r="G383" i="3"/>
  <c r="W382" i="3"/>
  <c r="I382" i="3"/>
  <c r="AN381" i="3"/>
  <c r="J381" i="3"/>
  <c r="AU380" i="3"/>
  <c r="O380" i="3"/>
  <c r="D380" i="3"/>
  <c r="Q379" i="3"/>
  <c r="F379" i="3"/>
  <c r="U378" i="3"/>
  <c r="H378" i="3"/>
  <c r="Z377" i="3"/>
  <c r="J377" i="3"/>
  <c r="AU376" i="3"/>
  <c r="O376" i="3"/>
  <c r="D376" i="3"/>
  <c r="Q375" i="3"/>
  <c r="F375" i="3"/>
  <c r="U374" i="3"/>
  <c r="H374" i="3"/>
  <c r="Z373" i="3"/>
  <c r="L373" i="3"/>
  <c r="C373" i="3"/>
  <c r="Q372" i="3"/>
  <c r="E372" i="3"/>
  <c r="S371" i="3"/>
  <c r="G371" i="3"/>
  <c r="W370" i="3"/>
  <c r="I370" i="3"/>
  <c r="AN369" i="3"/>
  <c r="L369" i="3"/>
  <c r="C369" i="3"/>
  <c r="P368" i="3"/>
  <c r="E368" i="3"/>
  <c r="S367" i="3"/>
  <c r="G367" i="3"/>
  <c r="W366" i="3"/>
  <c r="H366" i="3"/>
  <c r="Z365" i="3"/>
  <c r="J365" i="3"/>
  <c r="AU364" i="3"/>
  <c r="P364" i="3"/>
  <c r="E364" i="3"/>
  <c r="S363" i="3"/>
  <c r="G363" i="3"/>
  <c r="W362" i="3"/>
  <c r="I362" i="3"/>
  <c r="AN361" i="3"/>
  <c r="L361" i="3"/>
  <c r="C361" i="3"/>
  <c r="P360" i="3"/>
  <c r="E360" i="3"/>
  <c r="S359" i="3"/>
  <c r="G359" i="3"/>
  <c r="W358" i="3"/>
  <c r="I358" i="3"/>
  <c r="AN357" i="3"/>
  <c r="J357" i="3"/>
  <c r="AU356" i="3"/>
  <c r="O356" i="3"/>
  <c r="D356" i="3"/>
  <c r="Q355" i="3"/>
  <c r="F355" i="3"/>
  <c r="U354" i="3"/>
  <c r="H354" i="3"/>
  <c r="Z353" i="3"/>
  <c r="J353" i="3"/>
  <c r="AU352" i="3"/>
  <c r="O352" i="3"/>
  <c r="D352" i="3"/>
  <c r="Q351" i="3"/>
  <c r="F351" i="3"/>
  <c r="U350" i="3"/>
  <c r="H350" i="3"/>
  <c r="Z349" i="3"/>
  <c r="L349" i="3"/>
  <c r="C349" i="3"/>
  <c r="Q348" i="3"/>
  <c r="E348" i="3"/>
  <c r="S347" i="3"/>
  <c r="G347" i="3"/>
  <c r="W346" i="3"/>
  <c r="I346" i="3"/>
  <c r="AN345" i="3"/>
  <c r="L345" i="3"/>
  <c r="C345" i="3"/>
  <c r="P344" i="3"/>
  <c r="E344" i="3"/>
  <c r="S343" i="3"/>
  <c r="G343" i="3"/>
  <c r="W342" i="3"/>
  <c r="H342" i="3"/>
  <c r="Z341" i="3"/>
  <c r="J341" i="3"/>
  <c r="AU340" i="3"/>
  <c r="P340" i="3"/>
  <c r="E340" i="3"/>
  <c r="S339" i="3"/>
  <c r="G339" i="3"/>
  <c r="W338" i="3"/>
  <c r="I338" i="3"/>
  <c r="AN337" i="3"/>
  <c r="L337" i="3"/>
  <c r="C337" i="3"/>
  <c r="P336" i="3"/>
  <c r="E336" i="3"/>
  <c r="S335" i="3"/>
  <c r="G335" i="3"/>
  <c r="W334" i="3"/>
  <c r="I334" i="3"/>
  <c r="AN333" i="3"/>
  <c r="J333" i="3"/>
  <c r="AU332" i="3"/>
  <c r="O332" i="3"/>
  <c r="D332" i="3"/>
  <c r="Q331" i="3"/>
  <c r="F331" i="3"/>
  <c r="U330" i="3"/>
  <c r="H330" i="3"/>
  <c r="Z329" i="3"/>
  <c r="J329" i="3"/>
  <c r="AU328" i="3"/>
  <c r="O328" i="3"/>
  <c r="D328" i="3"/>
  <c r="Q327" i="3"/>
  <c r="F327" i="3"/>
  <c r="U326" i="3"/>
  <c r="H326" i="3"/>
  <c r="Z325" i="3"/>
  <c r="L325" i="3"/>
  <c r="C325" i="3"/>
  <c r="Q324" i="3"/>
  <c r="E324" i="3"/>
  <c r="S323" i="3"/>
  <c r="G323" i="3"/>
  <c r="W322" i="3"/>
  <c r="I322" i="3"/>
  <c r="AN321" i="3"/>
  <c r="L321" i="3"/>
  <c r="C321" i="3"/>
  <c r="P320" i="3"/>
  <c r="E320" i="3"/>
  <c r="S319" i="3"/>
  <c r="G319" i="3"/>
  <c r="W318" i="3"/>
  <c r="I318" i="3"/>
  <c r="AN317" i="3"/>
  <c r="O317" i="3"/>
  <c r="D317" i="3"/>
  <c r="R316" i="3"/>
  <c r="F316" i="3"/>
  <c r="U315" i="3"/>
  <c r="H315" i="3"/>
  <c r="Z314" i="3"/>
  <c r="J314" i="3"/>
  <c r="AU313" i="3"/>
  <c r="O313" i="3"/>
  <c r="G722" i="3"/>
  <c r="H638" i="3"/>
  <c r="AU608" i="3"/>
  <c r="S577" i="3"/>
  <c r="E557" i="3"/>
  <c r="I548" i="3"/>
  <c r="C541" i="3"/>
  <c r="S533" i="3"/>
  <c r="J526" i="3"/>
  <c r="U519" i="3"/>
  <c r="G516" i="3"/>
  <c r="Q512" i="3"/>
  <c r="D509" i="3"/>
  <c r="AN504" i="3"/>
  <c r="AU500" i="3"/>
  <c r="G497" i="3"/>
  <c r="F494" i="3"/>
  <c r="H491" i="3"/>
  <c r="O488" i="3"/>
  <c r="Q485" i="3"/>
  <c r="U482" i="3"/>
  <c r="AU479" i="3"/>
  <c r="J476" i="3"/>
  <c r="G473" i="3"/>
  <c r="AU470" i="3"/>
  <c r="AN468" i="3"/>
  <c r="E467" i="3"/>
  <c r="H465" i="3"/>
  <c r="I463" i="3"/>
  <c r="P461" i="3"/>
  <c r="Z459" i="3"/>
  <c r="D458" i="3"/>
  <c r="G456" i="3"/>
  <c r="L454" i="3"/>
  <c r="S452" i="3"/>
  <c r="AN450" i="3"/>
  <c r="E449" i="3"/>
  <c r="AN446" i="3"/>
  <c r="S444" i="3"/>
  <c r="U442" i="3"/>
  <c r="U440" i="3"/>
  <c r="AU438" i="3"/>
  <c r="F437" i="3"/>
  <c r="F435" i="3"/>
  <c r="J433" i="3"/>
  <c r="Q431" i="3"/>
  <c r="Z429" i="3"/>
  <c r="D428" i="3"/>
  <c r="H426" i="3"/>
  <c r="O424" i="3"/>
  <c r="H422" i="3"/>
  <c r="D420" i="3"/>
  <c r="E418" i="3"/>
  <c r="E416" i="3"/>
  <c r="I414" i="3"/>
  <c r="P412" i="3"/>
  <c r="P410" i="3"/>
  <c r="W408" i="3"/>
  <c r="C407" i="3"/>
  <c r="G405" i="3"/>
  <c r="L403" i="3"/>
  <c r="S401" i="3"/>
  <c r="S400" i="3"/>
  <c r="W399" i="3"/>
  <c r="F399" i="3"/>
  <c r="I398" i="3"/>
  <c r="Z397" i="3"/>
  <c r="J397" i="3"/>
  <c r="AU396" i="3"/>
  <c r="N396" i="3"/>
  <c r="D396" i="3"/>
  <c r="Q395" i="3"/>
  <c r="F395" i="3"/>
  <c r="U394" i="3"/>
  <c r="H394" i="3"/>
  <c r="Z393" i="3"/>
  <c r="J393" i="3"/>
  <c r="AU392" i="3"/>
  <c r="O392" i="3"/>
  <c r="D392" i="3"/>
  <c r="Q391" i="3"/>
  <c r="F391" i="3"/>
  <c r="U390" i="3"/>
  <c r="G390" i="3"/>
  <c r="W389" i="3"/>
  <c r="I389" i="3"/>
  <c r="AN388" i="3"/>
  <c r="O388" i="3"/>
  <c r="D388" i="3"/>
  <c r="R387" i="3"/>
  <c r="F387" i="3"/>
  <c r="U386" i="3"/>
  <c r="H386" i="3"/>
  <c r="Z385" i="3"/>
  <c r="J385" i="3"/>
  <c r="AU384" i="3"/>
  <c r="O384" i="3"/>
  <c r="D384" i="3"/>
  <c r="Q383" i="3"/>
  <c r="F383" i="3"/>
  <c r="U382" i="3"/>
  <c r="H382" i="3"/>
  <c r="Z381" i="3"/>
  <c r="I381" i="3"/>
  <c r="AN380" i="3"/>
  <c r="L380" i="3"/>
  <c r="C380" i="3"/>
  <c r="P379" i="3"/>
  <c r="E379" i="3"/>
  <c r="S378" i="3"/>
  <c r="G378" i="3"/>
  <c r="W377" i="3"/>
  <c r="I377" i="3"/>
  <c r="AN376" i="3"/>
  <c r="L376" i="3"/>
  <c r="C376" i="3"/>
  <c r="P375" i="3"/>
  <c r="E375" i="3"/>
  <c r="S374" i="3"/>
  <c r="G374" i="3"/>
  <c r="W373" i="3"/>
  <c r="J373" i="3"/>
  <c r="AU372" i="3"/>
  <c r="N372" i="3"/>
  <c r="D372" i="3"/>
  <c r="Q371" i="3"/>
  <c r="F371" i="3"/>
  <c r="U370" i="3"/>
  <c r="H370" i="3"/>
  <c r="Z369" i="3"/>
  <c r="J369" i="3"/>
  <c r="AU368" i="3"/>
  <c r="O368" i="3"/>
  <c r="D368" i="3"/>
  <c r="Q367" i="3"/>
  <c r="F367" i="3"/>
  <c r="U366" i="3"/>
  <c r="G366" i="3"/>
  <c r="W365" i="3"/>
  <c r="I365" i="3"/>
  <c r="AN364" i="3"/>
  <c r="O364" i="3"/>
  <c r="D364" i="3"/>
  <c r="R363" i="3"/>
  <c r="F363" i="3"/>
  <c r="U362" i="3"/>
  <c r="H362" i="3"/>
  <c r="Z361" i="3"/>
  <c r="J361" i="3"/>
  <c r="AU360" i="3"/>
  <c r="O360" i="3"/>
  <c r="D360" i="3"/>
  <c r="Q359" i="3"/>
  <c r="F359" i="3"/>
  <c r="U358" i="3"/>
  <c r="H358" i="3"/>
  <c r="Z357" i="3"/>
  <c r="I357" i="3"/>
  <c r="AN356" i="3"/>
  <c r="L356" i="3"/>
  <c r="C356" i="3"/>
  <c r="P355" i="3"/>
  <c r="E355" i="3"/>
  <c r="S354" i="3"/>
  <c r="G354" i="3"/>
  <c r="W353" i="3"/>
  <c r="I353" i="3"/>
  <c r="AN352" i="3"/>
  <c r="L352" i="3"/>
  <c r="C352" i="3"/>
  <c r="P351" i="3"/>
  <c r="E351" i="3"/>
  <c r="S350" i="3"/>
  <c r="G350" i="3"/>
  <c r="W349" i="3"/>
  <c r="J349" i="3"/>
  <c r="AU348" i="3"/>
  <c r="N348" i="3"/>
  <c r="D348" i="3"/>
  <c r="Q347" i="3"/>
  <c r="F347" i="3"/>
  <c r="U346" i="3"/>
  <c r="H346" i="3"/>
  <c r="Z345" i="3"/>
  <c r="J345" i="3"/>
  <c r="AU344" i="3"/>
  <c r="O344" i="3"/>
  <c r="D344" i="3"/>
  <c r="Q343" i="3"/>
  <c r="F343" i="3"/>
  <c r="U342" i="3"/>
  <c r="G342" i="3"/>
  <c r="W341" i="3"/>
  <c r="I341" i="3"/>
  <c r="AN340" i="3"/>
  <c r="O340" i="3"/>
  <c r="D340" i="3"/>
  <c r="R339" i="3"/>
  <c r="F339" i="3"/>
  <c r="U338" i="3"/>
  <c r="H338" i="3"/>
  <c r="Z337" i="3"/>
  <c r="J337" i="3"/>
  <c r="AU336" i="3"/>
  <c r="O336" i="3"/>
  <c r="D336" i="3"/>
  <c r="Q335" i="3"/>
  <c r="F335" i="3"/>
  <c r="U334" i="3"/>
  <c r="H334" i="3"/>
  <c r="Z333" i="3"/>
  <c r="I333" i="3"/>
  <c r="AN332" i="3"/>
  <c r="L332" i="3"/>
  <c r="C332" i="3"/>
  <c r="P331" i="3"/>
  <c r="E331" i="3"/>
  <c r="S330" i="3"/>
  <c r="G330" i="3"/>
  <c r="W329" i="3"/>
  <c r="I329" i="3"/>
  <c r="AN328" i="3"/>
  <c r="L328" i="3"/>
  <c r="C328" i="3"/>
  <c r="P327" i="3"/>
  <c r="E327" i="3"/>
  <c r="S326" i="3"/>
  <c r="G326" i="3"/>
  <c r="W325" i="3"/>
  <c r="J325" i="3"/>
  <c r="AU324" i="3"/>
  <c r="N324" i="3"/>
  <c r="D324" i="3"/>
  <c r="Q323" i="3"/>
  <c r="F323" i="3"/>
  <c r="U322" i="3"/>
  <c r="H322" i="3"/>
  <c r="Z321" i="3"/>
  <c r="J321" i="3"/>
  <c r="AU320" i="3"/>
  <c r="O320" i="3"/>
  <c r="D320" i="3"/>
  <c r="Q319" i="3"/>
  <c r="F319" i="3"/>
  <c r="U318" i="3"/>
  <c r="H318" i="3"/>
  <c r="Z317" i="3"/>
  <c r="L317" i="3"/>
  <c r="C317" i="3"/>
  <c r="Q316" i="3"/>
  <c r="E316" i="3"/>
  <c r="S315" i="3"/>
  <c r="G315" i="3"/>
  <c r="W314" i="3"/>
  <c r="AN714" i="3"/>
  <c r="D636" i="3"/>
  <c r="S606" i="3"/>
  <c r="J575" i="3"/>
  <c r="S556" i="3"/>
  <c r="AN547" i="3"/>
  <c r="I540" i="3"/>
  <c r="G533" i="3"/>
  <c r="AU525" i="3"/>
  <c r="Q519" i="3"/>
  <c r="D516" i="3"/>
  <c r="L512" i="3"/>
  <c r="AN508" i="3"/>
  <c r="U504" i="3"/>
  <c r="U500" i="3"/>
  <c r="E497" i="3"/>
  <c r="AN493" i="3"/>
  <c r="F491" i="3"/>
  <c r="I488" i="3"/>
  <c r="J485" i="3"/>
  <c r="Q482" i="3"/>
  <c r="L479" i="3"/>
  <c r="H476" i="3"/>
  <c r="D473" i="3"/>
  <c r="Z470" i="3"/>
  <c r="W468" i="3"/>
  <c r="C467" i="3"/>
  <c r="F465" i="3"/>
  <c r="G463" i="3"/>
  <c r="L461" i="3"/>
  <c r="U459" i="3"/>
  <c r="AU457" i="3"/>
  <c r="E456" i="3"/>
  <c r="I454" i="3"/>
  <c r="P452" i="3"/>
  <c r="W450" i="3"/>
  <c r="C449" i="3"/>
  <c r="U446" i="3"/>
  <c r="J444" i="3"/>
  <c r="Q442" i="3"/>
  <c r="Q440" i="3"/>
  <c r="Z438" i="3"/>
  <c r="D437" i="3"/>
  <c r="D435" i="3"/>
  <c r="H433" i="3"/>
  <c r="O431" i="3"/>
  <c r="U429" i="3"/>
  <c r="AU427" i="3"/>
  <c r="F426" i="3"/>
  <c r="J424" i="3"/>
  <c r="F422" i="3"/>
  <c r="AU419" i="3"/>
  <c r="C418" i="3"/>
  <c r="C416" i="3"/>
  <c r="G414" i="3"/>
  <c r="L412" i="3"/>
  <c r="L410" i="3"/>
  <c r="S408" i="3"/>
  <c r="AN406" i="3"/>
  <c r="E405" i="3"/>
  <c r="I403" i="3"/>
  <c r="P401" i="3"/>
  <c r="Q400" i="3"/>
  <c r="U399" i="3"/>
  <c r="E399" i="3"/>
  <c r="H398" i="3"/>
  <c r="W397" i="3"/>
  <c r="I397" i="3"/>
  <c r="AN396" i="3"/>
  <c r="L396" i="3"/>
  <c r="C396" i="3"/>
  <c r="P395" i="3"/>
  <c r="E395" i="3"/>
  <c r="S394" i="3"/>
  <c r="G394" i="3"/>
  <c r="W393" i="3"/>
  <c r="I393" i="3"/>
  <c r="AN392" i="3"/>
  <c r="L392" i="3"/>
  <c r="C392" i="3"/>
  <c r="P391" i="3"/>
  <c r="E391" i="3"/>
  <c r="S390" i="3"/>
  <c r="F390" i="3"/>
  <c r="U389" i="3"/>
  <c r="H389" i="3"/>
  <c r="Z388" i="3"/>
  <c r="L388" i="3"/>
  <c r="C388" i="3"/>
  <c r="Q387" i="3"/>
  <c r="E387" i="3"/>
  <c r="S386" i="3"/>
  <c r="G386" i="3"/>
  <c r="W385" i="3"/>
  <c r="I385" i="3"/>
  <c r="AN384" i="3"/>
  <c r="L384" i="3"/>
  <c r="C384" i="3"/>
  <c r="P383" i="3"/>
  <c r="E383" i="3"/>
  <c r="S382" i="3"/>
  <c r="G382" i="3"/>
  <c r="W381" i="3"/>
  <c r="H381" i="3"/>
  <c r="Z380" i="3"/>
  <c r="J380" i="3"/>
  <c r="AU379" i="3"/>
  <c r="O379" i="3"/>
  <c r="D379" i="3"/>
  <c r="Q378" i="3"/>
  <c r="F378" i="3"/>
  <c r="U377" i="3"/>
  <c r="H377" i="3"/>
  <c r="Z376" i="3"/>
  <c r="J376" i="3"/>
  <c r="AU375" i="3"/>
  <c r="O375" i="3"/>
  <c r="D375" i="3"/>
  <c r="Q374" i="3"/>
  <c r="F374" i="3"/>
  <c r="U373" i="3"/>
  <c r="I373" i="3"/>
  <c r="AN372" i="3"/>
  <c r="L372" i="3"/>
  <c r="C372" i="3"/>
  <c r="P371" i="3"/>
  <c r="E371" i="3"/>
  <c r="S370" i="3"/>
  <c r="G370" i="3"/>
  <c r="W369" i="3"/>
  <c r="I369" i="3"/>
  <c r="AN368" i="3"/>
  <c r="L368" i="3"/>
  <c r="C368" i="3"/>
  <c r="P367" i="3"/>
  <c r="E367" i="3"/>
  <c r="S366" i="3"/>
  <c r="F366" i="3"/>
  <c r="U365" i="3"/>
  <c r="H365" i="3"/>
  <c r="Z364" i="3"/>
  <c r="L364" i="3"/>
  <c r="C364" i="3"/>
  <c r="Q363" i="3"/>
  <c r="E363" i="3"/>
  <c r="S362" i="3"/>
  <c r="G362" i="3"/>
  <c r="W361" i="3"/>
  <c r="I361" i="3"/>
  <c r="AN360" i="3"/>
  <c r="L360" i="3"/>
  <c r="C360" i="3"/>
  <c r="P359" i="3"/>
  <c r="E359" i="3"/>
  <c r="S358" i="3"/>
  <c r="G358" i="3"/>
  <c r="W357" i="3"/>
  <c r="H357" i="3"/>
  <c r="Z356" i="3"/>
  <c r="J356" i="3"/>
  <c r="AU355" i="3"/>
  <c r="O355" i="3"/>
  <c r="D355" i="3"/>
  <c r="Q354" i="3"/>
  <c r="F354" i="3"/>
  <c r="U353" i="3"/>
  <c r="H353" i="3"/>
  <c r="Z352" i="3"/>
  <c r="J352" i="3"/>
  <c r="AU351" i="3"/>
  <c r="O351" i="3"/>
  <c r="D351" i="3"/>
  <c r="Q350" i="3"/>
  <c r="F350" i="3"/>
  <c r="U349" i="3"/>
  <c r="I349" i="3"/>
  <c r="AN348" i="3"/>
  <c r="L348" i="3"/>
  <c r="C348" i="3"/>
  <c r="P347" i="3"/>
  <c r="E347" i="3"/>
  <c r="S346" i="3"/>
  <c r="G346" i="3"/>
  <c r="W345" i="3"/>
  <c r="I345" i="3"/>
  <c r="AN344" i="3"/>
  <c r="L344" i="3"/>
  <c r="C344" i="3"/>
  <c r="P343" i="3"/>
  <c r="E343" i="3"/>
  <c r="S342" i="3"/>
  <c r="F342" i="3"/>
  <c r="U341" i="3"/>
  <c r="H341" i="3"/>
  <c r="Z340" i="3"/>
  <c r="L340" i="3"/>
  <c r="C340" i="3"/>
  <c r="Q339" i="3"/>
  <c r="E339" i="3"/>
  <c r="S338" i="3"/>
  <c r="G338" i="3"/>
  <c r="W337" i="3"/>
  <c r="I337" i="3"/>
  <c r="AN336" i="3"/>
  <c r="L336" i="3"/>
  <c r="C336" i="3"/>
  <c r="P335" i="3"/>
  <c r="E335" i="3"/>
  <c r="S334" i="3"/>
  <c r="G334" i="3"/>
  <c r="W333" i="3"/>
  <c r="H333" i="3"/>
  <c r="Z332" i="3"/>
  <c r="J332" i="3"/>
  <c r="AU331" i="3"/>
  <c r="O331" i="3"/>
  <c r="D331" i="3"/>
  <c r="Q330" i="3"/>
  <c r="F330" i="3"/>
  <c r="U329" i="3"/>
  <c r="H329" i="3"/>
  <c r="Z328" i="3"/>
  <c r="J328" i="3"/>
  <c r="AU327" i="3"/>
  <c r="O327" i="3"/>
  <c r="D327" i="3"/>
  <c r="Q326" i="3"/>
  <c r="F326" i="3"/>
  <c r="U325" i="3"/>
  <c r="I325" i="3"/>
  <c r="AN324" i="3"/>
  <c r="L324" i="3"/>
  <c r="C324" i="3"/>
  <c r="P323" i="3"/>
  <c r="E323" i="3"/>
  <c r="S322" i="3"/>
  <c r="G322" i="3"/>
  <c r="W321" i="3"/>
  <c r="I321" i="3"/>
  <c r="AN320" i="3"/>
  <c r="L320" i="3"/>
  <c r="C320" i="3"/>
  <c r="P319" i="3"/>
  <c r="E319" i="3"/>
  <c r="S318" i="3"/>
  <c r="G318" i="3"/>
  <c r="W317" i="3"/>
  <c r="J317" i="3"/>
  <c r="AU316" i="3"/>
  <c r="N316" i="3"/>
  <c r="D316" i="3"/>
  <c r="Q315" i="3"/>
  <c r="F315" i="3"/>
  <c r="U314" i="3"/>
  <c r="H314" i="3"/>
  <c r="Z313" i="3"/>
  <c r="D692" i="3"/>
  <c r="H630" i="3"/>
  <c r="I600" i="3"/>
  <c r="D569" i="3"/>
  <c r="C555" i="3"/>
  <c r="P546" i="3"/>
  <c r="C539" i="3"/>
  <c r="AN531" i="3"/>
  <c r="Q524" i="3"/>
  <c r="AN518" i="3"/>
  <c r="I515" i="3"/>
  <c r="U511" i="3"/>
  <c r="G508" i="3"/>
  <c r="Z503" i="3"/>
  <c r="Z499" i="3"/>
  <c r="Q496" i="3"/>
  <c r="L493" i="3"/>
  <c r="S490" i="3"/>
  <c r="U487" i="3"/>
  <c r="AN484" i="3"/>
  <c r="D482" i="3"/>
  <c r="AU478" i="3"/>
  <c r="U475" i="3"/>
  <c r="Q472" i="3"/>
  <c r="G470" i="3"/>
  <c r="L468" i="3"/>
  <c r="S466" i="3"/>
  <c r="Z464" i="3"/>
  <c r="AN462" i="3"/>
  <c r="E461" i="3"/>
  <c r="J459" i="3"/>
  <c r="Q457" i="3"/>
  <c r="W455" i="3"/>
  <c r="C454" i="3"/>
  <c r="G452" i="3"/>
  <c r="L450" i="3"/>
  <c r="L448" i="3"/>
  <c r="G446" i="3"/>
  <c r="D444" i="3"/>
  <c r="H442" i="3"/>
  <c r="H440" i="3"/>
  <c r="O438" i="3"/>
  <c r="S436" i="3"/>
  <c r="U434" i="3"/>
  <c r="AU432" i="3"/>
  <c r="F431" i="3"/>
  <c r="J429" i="3"/>
  <c r="Q427" i="3"/>
  <c r="Z425" i="3"/>
  <c r="D424" i="3"/>
  <c r="Z421" i="3"/>
  <c r="L419" i="3"/>
  <c r="S417" i="3"/>
  <c r="S415" i="3"/>
  <c r="AN413" i="3"/>
  <c r="E412" i="3"/>
  <c r="E410" i="3"/>
  <c r="I408" i="3"/>
  <c r="P406" i="3"/>
  <c r="W404" i="3"/>
  <c r="C403" i="3"/>
  <c r="J401" i="3"/>
  <c r="O400" i="3"/>
  <c r="S399" i="3"/>
  <c r="C399" i="3"/>
  <c r="G398" i="3"/>
  <c r="U397" i="3"/>
  <c r="H397" i="3"/>
  <c r="Z396" i="3"/>
  <c r="J396" i="3"/>
  <c r="AU395" i="3"/>
  <c r="O395" i="3"/>
  <c r="D395" i="3"/>
  <c r="Q394" i="3"/>
  <c r="F394" i="3"/>
  <c r="U393" i="3"/>
  <c r="H393" i="3"/>
  <c r="Z392" i="3"/>
  <c r="J392" i="3"/>
  <c r="AU391" i="3"/>
  <c r="O391" i="3"/>
  <c r="D391" i="3"/>
  <c r="R390" i="3"/>
  <c r="E390" i="3"/>
  <c r="S389" i="3"/>
  <c r="G389" i="3"/>
  <c r="W388" i="3"/>
  <c r="J388" i="3"/>
  <c r="AU387" i="3"/>
  <c r="N387" i="3"/>
  <c r="D387" i="3"/>
  <c r="Q386" i="3"/>
  <c r="F386" i="3"/>
  <c r="U385" i="3"/>
  <c r="H385" i="3"/>
  <c r="Z384" i="3"/>
  <c r="J384" i="3"/>
  <c r="AU383" i="3"/>
  <c r="O383" i="3"/>
  <c r="D383" i="3"/>
  <c r="Q382" i="3"/>
  <c r="F382" i="3"/>
  <c r="U381" i="3"/>
  <c r="G381" i="3"/>
  <c r="W380" i="3"/>
  <c r="I380" i="3"/>
  <c r="AN379" i="3"/>
  <c r="L379" i="3"/>
  <c r="C379" i="3"/>
  <c r="P378" i="3"/>
  <c r="E378" i="3"/>
  <c r="S377" i="3"/>
  <c r="G377" i="3"/>
  <c r="W376" i="3"/>
  <c r="I376" i="3"/>
  <c r="AN375" i="3"/>
  <c r="L375" i="3"/>
  <c r="C375" i="3"/>
  <c r="P374" i="3"/>
  <c r="E374" i="3"/>
  <c r="S373" i="3"/>
  <c r="H373" i="3"/>
  <c r="Z372" i="3"/>
  <c r="J372" i="3"/>
  <c r="AU371" i="3"/>
  <c r="O371" i="3"/>
  <c r="D371" i="3"/>
  <c r="Q370" i="3"/>
  <c r="F370" i="3"/>
  <c r="U369" i="3"/>
  <c r="H369" i="3"/>
  <c r="Z368" i="3"/>
  <c r="J368" i="3"/>
  <c r="AU367" i="3"/>
  <c r="O367" i="3"/>
  <c r="D367" i="3"/>
  <c r="R366" i="3"/>
  <c r="E366" i="3"/>
  <c r="S365" i="3"/>
  <c r="G365" i="3"/>
  <c r="W364" i="3"/>
  <c r="J364" i="3"/>
  <c r="AU363" i="3"/>
  <c r="N363" i="3"/>
  <c r="D363" i="3"/>
  <c r="Q362" i="3"/>
  <c r="F362" i="3"/>
  <c r="U361" i="3"/>
  <c r="H361" i="3"/>
  <c r="Z360" i="3"/>
  <c r="J360" i="3"/>
  <c r="AU359" i="3"/>
  <c r="O359" i="3"/>
  <c r="D359" i="3"/>
  <c r="Q358" i="3"/>
  <c r="F358" i="3"/>
  <c r="U357" i="3"/>
  <c r="G357" i="3"/>
  <c r="W356" i="3"/>
  <c r="I356" i="3"/>
  <c r="AN355" i="3"/>
  <c r="L355" i="3"/>
  <c r="C355" i="3"/>
  <c r="P354" i="3"/>
  <c r="E354" i="3"/>
  <c r="S353" i="3"/>
  <c r="G353" i="3"/>
  <c r="W352" i="3"/>
  <c r="I352" i="3"/>
  <c r="AN351" i="3"/>
  <c r="L351" i="3"/>
  <c r="C351" i="3"/>
  <c r="P350" i="3"/>
  <c r="E350" i="3"/>
  <c r="S349" i="3"/>
  <c r="H349" i="3"/>
  <c r="Z348" i="3"/>
  <c r="J348" i="3"/>
  <c r="AU347" i="3"/>
  <c r="O347" i="3"/>
  <c r="D347" i="3"/>
  <c r="Q346" i="3"/>
  <c r="F346" i="3"/>
  <c r="U345" i="3"/>
  <c r="H345" i="3"/>
  <c r="Z344" i="3"/>
  <c r="J344" i="3"/>
  <c r="AU343" i="3"/>
  <c r="O343" i="3"/>
  <c r="D343" i="3"/>
  <c r="R342" i="3"/>
  <c r="E342" i="3"/>
  <c r="S341" i="3"/>
  <c r="G341" i="3"/>
  <c r="W340" i="3"/>
  <c r="J340" i="3"/>
  <c r="AU339" i="3"/>
  <c r="N339" i="3"/>
  <c r="D339" i="3"/>
  <c r="Q338" i="3"/>
  <c r="F338" i="3"/>
  <c r="U337" i="3"/>
  <c r="H337" i="3"/>
  <c r="Z336" i="3"/>
  <c r="J336" i="3"/>
  <c r="AU335" i="3"/>
  <c r="O335" i="3"/>
  <c r="D335" i="3"/>
  <c r="Q334" i="3"/>
  <c r="F334" i="3"/>
  <c r="U333" i="3"/>
  <c r="G333" i="3"/>
  <c r="W332" i="3"/>
  <c r="I332" i="3"/>
  <c r="AN331" i="3"/>
  <c r="L331" i="3"/>
  <c r="C331" i="3"/>
  <c r="P330" i="3"/>
  <c r="E330" i="3"/>
  <c r="S329" i="3"/>
  <c r="G329" i="3"/>
  <c r="W328" i="3"/>
  <c r="I328" i="3"/>
  <c r="AN327" i="3"/>
  <c r="L327" i="3"/>
  <c r="C327" i="3"/>
  <c r="P326" i="3"/>
  <c r="E326" i="3"/>
  <c r="S325" i="3"/>
  <c r="H325" i="3"/>
  <c r="Z324" i="3"/>
  <c r="J324" i="3"/>
  <c r="AU323" i="3"/>
  <c r="O323" i="3"/>
  <c r="D323" i="3"/>
  <c r="Q322" i="3"/>
  <c r="F322" i="3"/>
  <c r="U321" i="3"/>
  <c r="H321" i="3"/>
  <c r="Z320" i="3"/>
  <c r="J320" i="3"/>
  <c r="AU319" i="3"/>
  <c r="O319" i="3"/>
  <c r="D319" i="3"/>
  <c r="Q318" i="3"/>
  <c r="F318" i="3"/>
  <c r="U317" i="3"/>
  <c r="I317" i="3"/>
  <c r="AN316" i="3"/>
  <c r="L316" i="3"/>
  <c r="C316" i="3"/>
  <c r="P315" i="3"/>
  <c r="E315" i="3"/>
  <c r="S314" i="3"/>
  <c r="G314" i="3"/>
  <c r="W313" i="3"/>
  <c r="I313" i="3"/>
  <c r="AU684" i="3"/>
  <c r="O628" i="3"/>
  <c r="P598" i="3"/>
  <c r="AU566" i="3"/>
  <c r="J554" i="3"/>
  <c r="E546" i="3"/>
  <c r="P538" i="3"/>
  <c r="L531" i="3"/>
  <c r="F524" i="3"/>
  <c r="U518" i="3"/>
  <c r="F515" i="3"/>
  <c r="P511" i="3"/>
  <c r="D508" i="3"/>
  <c r="L503" i="3"/>
  <c r="S499" i="3"/>
  <c r="H496" i="3"/>
  <c r="I493" i="3"/>
  <c r="J490" i="3"/>
  <c r="R487" i="3"/>
  <c r="U484" i="3"/>
  <c r="Z481" i="3"/>
  <c r="Z478" i="3"/>
  <c r="H475" i="3"/>
  <c r="L472" i="3"/>
  <c r="E470" i="3"/>
  <c r="I468" i="3"/>
  <c r="Q466" i="3"/>
  <c r="S464" i="3"/>
  <c r="W462" i="3"/>
  <c r="C461" i="3"/>
  <c r="H459" i="3"/>
  <c r="O457" i="3"/>
  <c r="S455" i="3"/>
  <c r="AN453" i="3"/>
  <c r="E452" i="3"/>
  <c r="I450" i="3"/>
  <c r="I448" i="3"/>
  <c r="E446" i="3"/>
  <c r="AU443" i="3"/>
  <c r="F442" i="3"/>
  <c r="F440" i="3"/>
  <c r="J438" i="3"/>
  <c r="J436" i="3"/>
  <c r="Q434" i="3"/>
  <c r="Z432" i="3"/>
  <c r="D431" i="3"/>
  <c r="H429" i="3"/>
  <c r="O427" i="3"/>
  <c r="U425" i="3"/>
  <c r="AU423" i="3"/>
  <c r="S421" i="3"/>
  <c r="I419" i="3"/>
  <c r="P417" i="3"/>
  <c r="P415" i="3"/>
  <c r="W413" i="3"/>
  <c r="C412" i="3"/>
  <c r="C410" i="3"/>
  <c r="G408" i="3"/>
  <c r="L406" i="3"/>
  <c r="S404" i="3"/>
  <c r="AN402" i="3"/>
  <c r="G401" i="3"/>
  <c r="I400" i="3"/>
  <c r="Q399" i="3"/>
  <c r="AN398" i="3"/>
  <c r="F398" i="3"/>
  <c r="S397" i="3"/>
  <c r="G397" i="3"/>
  <c r="W396" i="3"/>
  <c r="I396" i="3"/>
  <c r="AN395" i="3"/>
  <c r="L395" i="3"/>
  <c r="C395" i="3"/>
  <c r="P394" i="3"/>
  <c r="E394" i="3"/>
  <c r="S393" i="3"/>
  <c r="G393" i="3"/>
  <c r="W392" i="3"/>
  <c r="I392" i="3"/>
  <c r="AN391" i="3"/>
  <c r="L391" i="3"/>
  <c r="C391" i="3"/>
  <c r="Q390" i="3"/>
  <c r="D390" i="3"/>
  <c r="Q389" i="3"/>
  <c r="F389" i="3"/>
  <c r="U388" i="3"/>
  <c r="I388" i="3"/>
  <c r="AN387" i="3"/>
  <c r="L387" i="3"/>
  <c r="C387" i="3"/>
  <c r="P386" i="3"/>
  <c r="E386" i="3"/>
  <c r="S385" i="3"/>
  <c r="G385" i="3"/>
  <c r="W384" i="3"/>
  <c r="I384" i="3"/>
  <c r="AN383" i="3"/>
  <c r="L383" i="3"/>
  <c r="C383" i="3"/>
  <c r="P382" i="3"/>
  <c r="E382" i="3"/>
  <c r="S381" i="3"/>
  <c r="F381" i="3"/>
  <c r="U380" i="3"/>
  <c r="H380" i="3"/>
  <c r="Z379" i="3"/>
  <c r="J379" i="3"/>
  <c r="AU378" i="3"/>
  <c r="O378" i="3"/>
  <c r="D378" i="3"/>
  <c r="Q377" i="3"/>
  <c r="F377" i="3"/>
  <c r="U376" i="3"/>
  <c r="H376" i="3"/>
  <c r="Z375" i="3"/>
  <c r="J375" i="3"/>
  <c r="AU374" i="3"/>
  <c r="O374" i="3"/>
  <c r="D374" i="3"/>
  <c r="R373" i="3"/>
  <c r="G373" i="3"/>
  <c r="W372" i="3"/>
  <c r="I372" i="3"/>
  <c r="AN371" i="3"/>
  <c r="L371" i="3"/>
  <c r="C371" i="3"/>
  <c r="P370" i="3"/>
  <c r="E370" i="3"/>
  <c r="S369" i="3"/>
  <c r="G369" i="3"/>
  <c r="W368" i="3"/>
  <c r="I368" i="3"/>
  <c r="AN367" i="3"/>
  <c r="L367" i="3"/>
  <c r="C367" i="3"/>
  <c r="Q366" i="3"/>
  <c r="D366" i="3"/>
  <c r="Q365" i="3"/>
  <c r="F365" i="3"/>
  <c r="U364" i="3"/>
  <c r="I364" i="3"/>
  <c r="AN363" i="3"/>
  <c r="L363" i="3"/>
  <c r="C363" i="3"/>
  <c r="P362" i="3"/>
  <c r="E362" i="3"/>
  <c r="S361" i="3"/>
  <c r="G361" i="3"/>
  <c r="W360" i="3"/>
  <c r="I360" i="3"/>
  <c r="AN359" i="3"/>
  <c r="L359" i="3"/>
  <c r="C359" i="3"/>
  <c r="P358" i="3"/>
  <c r="E358" i="3"/>
  <c r="S357" i="3"/>
  <c r="F357" i="3"/>
  <c r="U356" i="3"/>
  <c r="H356" i="3"/>
  <c r="Z355" i="3"/>
  <c r="J355" i="3"/>
  <c r="AU354" i="3"/>
  <c r="O354" i="3"/>
  <c r="D354" i="3"/>
  <c r="Q353" i="3"/>
  <c r="F353" i="3"/>
  <c r="U352" i="3"/>
  <c r="H352" i="3"/>
  <c r="Z351" i="3"/>
  <c r="J351" i="3"/>
  <c r="AU350" i="3"/>
  <c r="O350" i="3"/>
  <c r="D350" i="3"/>
  <c r="R349" i="3"/>
  <c r="G349" i="3"/>
  <c r="W348" i="3"/>
  <c r="I348" i="3"/>
  <c r="AN347" i="3"/>
  <c r="L347" i="3"/>
  <c r="C347" i="3"/>
  <c r="P346" i="3"/>
  <c r="E346" i="3"/>
  <c r="S345" i="3"/>
  <c r="G345" i="3"/>
  <c r="W344" i="3"/>
  <c r="I344" i="3"/>
  <c r="AN343" i="3"/>
  <c r="L343" i="3"/>
  <c r="C343" i="3"/>
  <c r="Q342" i="3"/>
  <c r="D342" i="3"/>
  <c r="Q341" i="3"/>
  <c r="F341" i="3"/>
  <c r="U340" i="3"/>
  <c r="I340" i="3"/>
  <c r="AN339" i="3"/>
  <c r="L339" i="3"/>
  <c r="C339" i="3"/>
  <c r="P338" i="3"/>
  <c r="E338" i="3"/>
  <c r="S337" i="3"/>
  <c r="G337" i="3"/>
  <c r="W336" i="3"/>
  <c r="I336" i="3"/>
  <c r="AN335" i="3"/>
  <c r="L335" i="3"/>
  <c r="C335" i="3"/>
  <c r="P334" i="3"/>
  <c r="E334" i="3"/>
  <c r="S333" i="3"/>
  <c r="F333" i="3"/>
  <c r="U332" i="3"/>
  <c r="H332" i="3"/>
  <c r="Z331" i="3"/>
  <c r="J331" i="3"/>
  <c r="AU330" i="3"/>
  <c r="O330" i="3"/>
  <c r="D330" i="3"/>
  <c r="Q329" i="3"/>
  <c r="F329" i="3"/>
  <c r="U328" i="3"/>
  <c r="H328" i="3"/>
  <c r="Z327" i="3"/>
  <c r="J327" i="3"/>
  <c r="AU326" i="3"/>
  <c r="O326" i="3"/>
  <c r="D326" i="3"/>
  <c r="R325" i="3"/>
  <c r="G325" i="3"/>
  <c r="W324" i="3"/>
  <c r="I324" i="3"/>
  <c r="AN323" i="3"/>
  <c r="L323" i="3"/>
  <c r="C323" i="3"/>
  <c r="P322" i="3"/>
  <c r="E322" i="3"/>
  <c r="S321" i="3"/>
  <c r="G321" i="3"/>
  <c r="W320" i="3"/>
  <c r="I320" i="3"/>
  <c r="AN319" i="3"/>
  <c r="L319" i="3"/>
  <c r="C319" i="3"/>
  <c r="P318" i="3"/>
  <c r="E318" i="3"/>
  <c r="S317" i="3"/>
  <c r="H317" i="3"/>
  <c r="Z316" i="3"/>
  <c r="J316" i="3"/>
  <c r="AU315" i="3"/>
  <c r="O315" i="3"/>
  <c r="D315" i="3"/>
  <c r="Q314" i="3"/>
  <c r="F314" i="3"/>
  <c r="J659" i="3"/>
  <c r="E623" i="3"/>
  <c r="G593" i="3"/>
  <c r="F562" i="3"/>
  <c r="AN552" i="3"/>
  <c r="P544" i="3"/>
  <c r="G537" i="3"/>
  <c r="E530" i="3"/>
  <c r="Z522" i="3"/>
  <c r="C518" i="3"/>
  <c r="J514" i="3"/>
  <c r="Z510" i="3"/>
  <c r="E507" i="3"/>
  <c r="U502" i="3"/>
  <c r="AU498" i="3"/>
  <c r="W495" i="3"/>
  <c r="W492" i="3"/>
  <c r="AN489" i="3"/>
  <c r="D487" i="3"/>
  <c r="E484" i="3"/>
  <c r="I481" i="3"/>
  <c r="I478" i="3"/>
  <c r="W474" i="3"/>
  <c r="C472" i="3"/>
  <c r="W469" i="3"/>
  <c r="C468" i="3"/>
  <c r="F466" i="3"/>
  <c r="F464" i="3"/>
  <c r="L462" i="3"/>
  <c r="S460" i="3"/>
  <c r="AU458" i="3"/>
  <c r="F457" i="3"/>
  <c r="I455" i="3"/>
  <c r="P453" i="3"/>
  <c r="W451" i="3"/>
  <c r="C450" i="3"/>
  <c r="C448" i="3"/>
  <c r="U445" i="3"/>
  <c r="Q443" i="3"/>
  <c r="Z441" i="3"/>
  <c r="Z439" i="3"/>
  <c r="D438" i="3"/>
  <c r="D436" i="3"/>
  <c r="H434" i="3"/>
  <c r="O432" i="3"/>
  <c r="U430" i="3"/>
  <c r="AU428" i="3"/>
  <c r="F427" i="3"/>
  <c r="J425" i="3"/>
  <c r="J423" i="3"/>
  <c r="F421" i="3"/>
  <c r="C419" i="3"/>
  <c r="G417" i="3"/>
  <c r="G415" i="3"/>
  <c r="L413" i="3"/>
  <c r="L411" i="3"/>
  <c r="S409" i="3"/>
  <c r="AN407" i="3"/>
  <c r="E406" i="3"/>
  <c r="I404" i="3"/>
  <c r="P402" i="3"/>
  <c r="E401" i="3"/>
  <c r="G400" i="3"/>
  <c r="L399" i="3"/>
  <c r="Z398" i="3"/>
  <c r="E398" i="3"/>
  <c r="R397" i="3"/>
  <c r="F397" i="3"/>
  <c r="U396" i="3"/>
  <c r="H396" i="3"/>
  <c r="Z395" i="3"/>
  <c r="J395" i="3"/>
  <c r="AU394" i="3"/>
  <c r="O394" i="3"/>
  <c r="D394" i="3"/>
  <c r="Q393" i="3"/>
  <c r="F393" i="3"/>
  <c r="U392" i="3"/>
  <c r="H392" i="3"/>
  <c r="Z391" i="3"/>
  <c r="J391" i="3"/>
  <c r="AU390" i="3"/>
  <c r="L390" i="3"/>
  <c r="C390" i="3"/>
  <c r="P389" i="3"/>
  <c r="E389" i="3"/>
  <c r="S388" i="3"/>
  <c r="H388" i="3"/>
  <c r="Z387" i="3"/>
  <c r="J387" i="3"/>
  <c r="AU386" i="3"/>
  <c r="O386" i="3"/>
  <c r="D386" i="3"/>
  <c r="Q385" i="3"/>
  <c r="F385" i="3"/>
  <c r="U384" i="3"/>
  <c r="H384" i="3"/>
  <c r="Z383" i="3"/>
  <c r="J383" i="3"/>
  <c r="AU382" i="3"/>
  <c r="O382" i="3"/>
  <c r="D382" i="3"/>
  <c r="R381" i="3"/>
  <c r="E381" i="3"/>
  <c r="S380" i="3"/>
  <c r="G380" i="3"/>
  <c r="W379" i="3"/>
  <c r="I379" i="3"/>
  <c r="AN378" i="3"/>
  <c r="L378" i="3"/>
  <c r="C378" i="3"/>
  <c r="P377" i="3"/>
  <c r="E377" i="3"/>
  <c r="S376" i="3"/>
  <c r="G376" i="3"/>
  <c r="W375" i="3"/>
  <c r="I375" i="3"/>
  <c r="AN374" i="3"/>
  <c r="L374" i="3"/>
  <c r="C374" i="3"/>
  <c r="Q373" i="3"/>
  <c r="F373" i="3"/>
  <c r="U372" i="3"/>
  <c r="H372" i="3"/>
  <c r="Z371" i="3"/>
  <c r="J371" i="3"/>
  <c r="AU370" i="3"/>
  <c r="O370" i="3"/>
  <c r="D370" i="3"/>
  <c r="Q369" i="3"/>
  <c r="F369" i="3"/>
  <c r="U368" i="3"/>
  <c r="H368" i="3"/>
  <c r="Z367" i="3"/>
  <c r="J367" i="3"/>
  <c r="AU366" i="3"/>
  <c r="L366" i="3"/>
  <c r="C366" i="3"/>
  <c r="P365" i="3"/>
  <c r="E365" i="3"/>
  <c r="S364" i="3"/>
  <c r="H364" i="3"/>
  <c r="Z363" i="3"/>
  <c r="J363" i="3"/>
  <c r="AU362" i="3"/>
  <c r="O362" i="3"/>
  <c r="D362" i="3"/>
  <c r="Q361" i="3"/>
  <c r="F361" i="3"/>
  <c r="U360" i="3"/>
  <c r="H360" i="3"/>
  <c r="Z359" i="3"/>
  <c r="J359" i="3"/>
  <c r="AU358" i="3"/>
  <c r="O358" i="3"/>
  <c r="D358" i="3"/>
  <c r="R357" i="3"/>
  <c r="E357" i="3"/>
  <c r="S356" i="3"/>
  <c r="G356" i="3"/>
  <c r="W355" i="3"/>
  <c r="I355" i="3"/>
  <c r="AN354" i="3"/>
  <c r="L354" i="3"/>
  <c r="C354" i="3"/>
  <c r="P353" i="3"/>
  <c r="E353" i="3"/>
  <c r="S352" i="3"/>
  <c r="G352" i="3"/>
  <c r="W351" i="3"/>
  <c r="I351" i="3"/>
  <c r="AN350" i="3"/>
  <c r="L350" i="3"/>
  <c r="C350" i="3"/>
  <c r="Q349" i="3"/>
  <c r="F349" i="3"/>
  <c r="U348" i="3"/>
  <c r="H348" i="3"/>
  <c r="Z347" i="3"/>
  <c r="J347" i="3"/>
  <c r="AU346" i="3"/>
  <c r="O346" i="3"/>
  <c r="D346" i="3"/>
  <c r="Q345" i="3"/>
  <c r="F345" i="3"/>
  <c r="U344" i="3"/>
  <c r="H344" i="3"/>
  <c r="Z343" i="3"/>
  <c r="J343" i="3"/>
  <c r="AU342" i="3"/>
  <c r="L342" i="3"/>
  <c r="C342" i="3"/>
  <c r="P341" i="3"/>
  <c r="E341" i="3"/>
  <c r="S340" i="3"/>
  <c r="H340" i="3"/>
  <c r="Z339" i="3"/>
  <c r="J339" i="3"/>
  <c r="AU338" i="3"/>
  <c r="O338" i="3"/>
  <c r="D338" i="3"/>
  <c r="Q337" i="3"/>
  <c r="F337" i="3"/>
  <c r="U336" i="3"/>
  <c r="H336" i="3"/>
  <c r="Z335" i="3"/>
  <c r="J335" i="3"/>
  <c r="AU334" i="3"/>
  <c r="O334" i="3"/>
  <c r="D334" i="3"/>
  <c r="R333" i="3"/>
  <c r="E333" i="3"/>
  <c r="S332" i="3"/>
  <c r="G332" i="3"/>
  <c r="W331" i="3"/>
  <c r="I331" i="3"/>
  <c r="AN330" i="3"/>
  <c r="L330" i="3"/>
  <c r="C330" i="3"/>
  <c r="P329" i="3"/>
  <c r="E329" i="3"/>
  <c r="S328" i="3"/>
  <c r="G328" i="3"/>
  <c r="W327" i="3"/>
  <c r="I327" i="3"/>
  <c r="AN326" i="3"/>
  <c r="L326" i="3"/>
  <c r="C326" i="3"/>
  <c r="Q325" i="3"/>
  <c r="F325" i="3"/>
  <c r="U324" i="3"/>
  <c r="H324" i="3"/>
  <c r="Z323" i="3"/>
  <c r="J323" i="3"/>
  <c r="AU322" i="3"/>
  <c r="O322" i="3"/>
  <c r="D322" i="3"/>
  <c r="Q321" i="3"/>
  <c r="F321" i="3"/>
  <c r="U320" i="3"/>
  <c r="H320" i="3"/>
  <c r="Z319" i="3"/>
  <c r="J319" i="3"/>
  <c r="AU318" i="3"/>
  <c r="O318" i="3"/>
  <c r="D318" i="3"/>
  <c r="R317" i="3"/>
  <c r="G317" i="3"/>
  <c r="W316" i="3"/>
  <c r="I316" i="3"/>
  <c r="AN315" i="3"/>
  <c r="L315" i="3"/>
  <c r="C315" i="3"/>
  <c r="P314" i="3"/>
  <c r="AU654" i="3"/>
  <c r="J522" i="3"/>
  <c r="P492" i="3"/>
  <c r="S469" i="3"/>
  <c r="G455" i="3"/>
  <c r="U439" i="3"/>
  <c r="H425" i="3"/>
  <c r="P409" i="3"/>
  <c r="U398" i="3"/>
  <c r="AN394" i="3"/>
  <c r="I391" i="3"/>
  <c r="W387" i="3"/>
  <c r="G384" i="3"/>
  <c r="Q380" i="3"/>
  <c r="D377" i="3"/>
  <c r="P373" i="3"/>
  <c r="C370" i="3"/>
  <c r="J366" i="3"/>
  <c r="AN362" i="3"/>
  <c r="I359" i="3"/>
  <c r="U355" i="3"/>
  <c r="F352" i="3"/>
  <c r="S348" i="3"/>
  <c r="E345" i="3"/>
  <c r="O341" i="3"/>
  <c r="C338" i="3"/>
  <c r="L334" i="3"/>
  <c r="Z330" i="3"/>
  <c r="H327" i="3"/>
  <c r="W323" i="3"/>
  <c r="G320" i="3"/>
  <c r="U316" i="3"/>
  <c r="D314" i="3"/>
  <c r="G313" i="3"/>
  <c r="U312" i="3"/>
  <c r="H312" i="3"/>
  <c r="Z311" i="3"/>
  <c r="J311" i="3"/>
  <c r="AU310" i="3"/>
  <c r="O310" i="3"/>
  <c r="D310" i="3"/>
  <c r="Q309" i="3"/>
  <c r="F309" i="3"/>
  <c r="U308" i="3"/>
  <c r="H308" i="3"/>
  <c r="Z307" i="3"/>
  <c r="J307" i="3"/>
  <c r="AU306" i="3"/>
  <c r="O306" i="3"/>
  <c r="D306" i="3"/>
  <c r="Q305" i="3"/>
  <c r="F305" i="3"/>
  <c r="U304" i="3"/>
  <c r="H304" i="3"/>
  <c r="Z303" i="3"/>
  <c r="E303" i="3"/>
  <c r="S302" i="3"/>
  <c r="H302" i="3"/>
  <c r="Z301" i="3"/>
  <c r="G301" i="3"/>
  <c r="U300" i="3"/>
  <c r="F300" i="3"/>
  <c r="S299" i="3"/>
  <c r="D299" i="3"/>
  <c r="L298" i="3"/>
  <c r="AU297" i="3"/>
  <c r="N297" i="3"/>
  <c r="D297" i="3"/>
  <c r="J296" i="3"/>
  <c r="AU295" i="3"/>
  <c r="O295" i="3"/>
  <c r="D295" i="3"/>
  <c r="Q294" i="3"/>
  <c r="F294" i="3"/>
  <c r="U293" i="3"/>
  <c r="H293" i="3"/>
  <c r="Z292" i="3"/>
  <c r="J292" i="3"/>
  <c r="AU291" i="3"/>
  <c r="O291" i="3"/>
  <c r="D291" i="3"/>
  <c r="R290" i="3"/>
  <c r="E290" i="3"/>
  <c r="L289" i="3"/>
  <c r="C289" i="3"/>
  <c r="P288" i="3"/>
  <c r="E288" i="3"/>
  <c r="S287" i="3"/>
  <c r="H287" i="3"/>
  <c r="Z286" i="3"/>
  <c r="J286" i="3"/>
  <c r="AU285" i="3"/>
  <c r="O285" i="3"/>
  <c r="D285" i="3"/>
  <c r="Q284" i="3"/>
  <c r="F284" i="3"/>
  <c r="U283" i="3"/>
  <c r="H283" i="3"/>
  <c r="Z282" i="3"/>
  <c r="J282" i="3"/>
  <c r="AU281" i="3"/>
  <c r="O281" i="3"/>
  <c r="D281" i="3"/>
  <c r="R280" i="3"/>
  <c r="E280" i="3"/>
  <c r="S279" i="3"/>
  <c r="G279" i="3"/>
  <c r="W278" i="3"/>
  <c r="I278" i="3"/>
  <c r="AN277" i="3"/>
  <c r="L277" i="3"/>
  <c r="C277" i="3"/>
  <c r="P276" i="3"/>
  <c r="E276" i="3"/>
  <c r="S275" i="3"/>
  <c r="G275" i="3"/>
  <c r="W274" i="3"/>
  <c r="I274" i="3"/>
  <c r="AN273" i="3"/>
  <c r="L273" i="3"/>
  <c r="C273" i="3"/>
  <c r="Q272" i="3"/>
  <c r="F272" i="3"/>
  <c r="U271" i="3"/>
  <c r="H271" i="3"/>
  <c r="Z270" i="3"/>
  <c r="J270" i="3"/>
  <c r="AU269" i="3"/>
  <c r="O269" i="3"/>
  <c r="D269" i="3"/>
  <c r="Q268" i="3"/>
  <c r="F268" i="3"/>
  <c r="U267" i="3"/>
  <c r="H267" i="3"/>
  <c r="Z266" i="3"/>
  <c r="J266" i="3"/>
  <c r="AU265" i="3"/>
  <c r="L265" i="3"/>
  <c r="C265" i="3"/>
  <c r="P264" i="3"/>
  <c r="E264" i="3"/>
  <c r="S263" i="3"/>
  <c r="H263" i="3"/>
  <c r="Z262" i="3"/>
  <c r="J262" i="3"/>
  <c r="AU261" i="3"/>
  <c r="O261" i="3"/>
  <c r="D261" i="3"/>
  <c r="Q260" i="3"/>
  <c r="F260" i="3"/>
  <c r="U259" i="3"/>
  <c r="H259" i="3"/>
  <c r="Z258" i="3"/>
  <c r="J258" i="3"/>
  <c r="AU257" i="3"/>
  <c r="O257" i="3"/>
  <c r="D257" i="3"/>
  <c r="R256" i="3"/>
  <c r="E256" i="3"/>
  <c r="S255" i="3"/>
  <c r="G255" i="3"/>
  <c r="W254" i="3"/>
  <c r="I254" i="3"/>
  <c r="AN253" i="3"/>
  <c r="L253" i="3"/>
  <c r="C253" i="3"/>
  <c r="P252" i="3"/>
  <c r="E252" i="3"/>
  <c r="S251" i="3"/>
  <c r="G251" i="3"/>
  <c r="W250" i="3"/>
  <c r="I250" i="3"/>
  <c r="AN249" i="3"/>
  <c r="L249" i="3"/>
  <c r="C249" i="3"/>
  <c r="Q248" i="3"/>
  <c r="F248" i="3"/>
  <c r="S247" i="3"/>
  <c r="D247" i="3"/>
  <c r="J246" i="3"/>
  <c r="AU245" i="3"/>
  <c r="H245" i="3"/>
  <c r="Z244" i="3"/>
  <c r="G244" i="3"/>
  <c r="W243" i="3"/>
  <c r="I243" i="3"/>
  <c r="AN242" i="3"/>
  <c r="L242" i="3"/>
  <c r="C242" i="3"/>
  <c r="Q241" i="3"/>
  <c r="F241" i="3"/>
  <c r="S240" i="3"/>
  <c r="D240" i="3"/>
  <c r="Q239" i="3"/>
  <c r="F239" i="3"/>
  <c r="U238" i="3"/>
  <c r="H238" i="3"/>
  <c r="Z237" i="3"/>
  <c r="J237" i="3"/>
  <c r="AU236" i="3"/>
  <c r="L236" i="3"/>
  <c r="C236" i="3"/>
  <c r="P235" i="3"/>
  <c r="E235" i="3"/>
  <c r="L234" i="3"/>
  <c r="C234" i="3"/>
  <c r="Q233" i="3"/>
  <c r="F233" i="3"/>
  <c r="U232" i="3"/>
  <c r="H232" i="3"/>
  <c r="Z231" i="3"/>
  <c r="J231" i="3"/>
  <c r="AU230" i="3"/>
  <c r="P230" i="3"/>
  <c r="E230" i="3"/>
  <c r="S229" i="3"/>
  <c r="G229" i="3"/>
  <c r="W228" i="3"/>
  <c r="I228" i="3"/>
  <c r="AN227" i="3"/>
  <c r="L227" i="3"/>
  <c r="C227" i="3"/>
  <c r="Q226" i="3"/>
  <c r="D226" i="3"/>
  <c r="Q225" i="3"/>
  <c r="F225" i="3"/>
  <c r="U224" i="3"/>
  <c r="H224" i="3"/>
  <c r="Z223" i="3"/>
  <c r="J223" i="3"/>
  <c r="AU222" i="3"/>
  <c r="O222" i="3"/>
  <c r="D222" i="3"/>
  <c r="Q221" i="3"/>
  <c r="F221" i="3"/>
  <c r="U220" i="3"/>
  <c r="H220" i="3"/>
  <c r="Z219" i="3"/>
  <c r="J219" i="3"/>
  <c r="AU218" i="3"/>
  <c r="H218" i="3"/>
  <c r="Z217" i="3"/>
  <c r="J217" i="3"/>
  <c r="AU216" i="3"/>
  <c r="O216" i="3"/>
  <c r="D216" i="3"/>
  <c r="Q215" i="3"/>
  <c r="F215" i="3"/>
  <c r="U214" i="3"/>
  <c r="H214" i="3"/>
  <c r="Z213" i="3"/>
  <c r="J213" i="3"/>
  <c r="AU212" i="3"/>
  <c r="O212" i="3"/>
  <c r="D212" i="3"/>
  <c r="I621" i="3"/>
  <c r="Z517" i="3"/>
  <c r="W489" i="3"/>
  <c r="AN467" i="3"/>
  <c r="L453" i="3"/>
  <c r="AU437" i="3"/>
  <c r="H423" i="3"/>
  <c r="W407" i="3"/>
  <c r="D398" i="3"/>
  <c r="L394" i="3"/>
  <c r="AN390" i="3"/>
  <c r="I387" i="3"/>
  <c r="W383" i="3"/>
  <c r="F380" i="3"/>
  <c r="Q376" i="3"/>
  <c r="E373" i="3"/>
  <c r="P369" i="3"/>
  <c r="AU365" i="3"/>
  <c r="L362" i="3"/>
  <c r="AN358" i="3"/>
  <c r="H355" i="3"/>
  <c r="U351" i="3"/>
  <c r="G348" i="3"/>
  <c r="S344" i="3"/>
  <c r="D341" i="3"/>
  <c r="P337" i="3"/>
  <c r="C334" i="3"/>
  <c r="J330" i="3"/>
  <c r="Z326" i="3"/>
  <c r="I323" i="3"/>
  <c r="W319" i="3"/>
  <c r="H316" i="3"/>
  <c r="AN313" i="3"/>
  <c r="F313" i="3"/>
  <c r="S312" i="3"/>
  <c r="G312" i="3"/>
  <c r="W311" i="3"/>
  <c r="I311" i="3"/>
  <c r="AN310" i="3"/>
  <c r="L310" i="3"/>
  <c r="C310" i="3"/>
  <c r="P309" i="3"/>
  <c r="E309" i="3"/>
  <c r="S308" i="3"/>
  <c r="G308" i="3"/>
  <c r="W307" i="3"/>
  <c r="I307" i="3"/>
  <c r="AN306" i="3"/>
  <c r="L306" i="3"/>
  <c r="C306" i="3"/>
  <c r="P305" i="3"/>
  <c r="E305" i="3"/>
  <c r="S304" i="3"/>
  <c r="G304" i="3"/>
  <c r="U303" i="3"/>
  <c r="D303" i="3"/>
  <c r="R302" i="3"/>
  <c r="G302" i="3"/>
  <c r="U301" i="3"/>
  <c r="F301" i="3"/>
  <c r="S300" i="3"/>
  <c r="E300" i="3"/>
  <c r="L299" i="3"/>
  <c r="C299" i="3"/>
  <c r="I298" i="3"/>
  <c r="AN297" i="3"/>
  <c r="L297" i="3"/>
  <c r="C297" i="3"/>
  <c r="I296" i="3"/>
  <c r="AN295" i="3"/>
  <c r="L295" i="3"/>
  <c r="C295" i="3"/>
  <c r="P294" i="3"/>
  <c r="E294" i="3"/>
  <c r="S293" i="3"/>
  <c r="G293" i="3"/>
  <c r="W292" i="3"/>
  <c r="I292" i="3"/>
  <c r="AN291" i="3"/>
  <c r="L291" i="3"/>
  <c r="C291" i="3"/>
  <c r="Q290" i="3"/>
  <c r="D290" i="3"/>
  <c r="J289" i="3"/>
  <c r="AU288" i="3"/>
  <c r="O288" i="3"/>
  <c r="D288" i="3"/>
  <c r="R287" i="3"/>
  <c r="G287" i="3"/>
  <c r="W286" i="3"/>
  <c r="I286" i="3"/>
  <c r="AN285" i="3"/>
  <c r="L285" i="3"/>
  <c r="C285" i="3"/>
  <c r="P284" i="3"/>
  <c r="E284" i="3"/>
  <c r="S283" i="3"/>
  <c r="G283" i="3"/>
  <c r="W282" i="3"/>
  <c r="I282" i="3"/>
  <c r="AN281" i="3"/>
  <c r="L281" i="3"/>
  <c r="C281" i="3"/>
  <c r="Q280" i="3"/>
  <c r="D280" i="3"/>
  <c r="Q279" i="3"/>
  <c r="F279" i="3"/>
  <c r="U278" i="3"/>
  <c r="H278" i="3"/>
  <c r="Z277" i="3"/>
  <c r="J277" i="3"/>
  <c r="AU276" i="3"/>
  <c r="O276" i="3"/>
  <c r="D276" i="3"/>
  <c r="Q275" i="3"/>
  <c r="F275" i="3"/>
  <c r="U274" i="3"/>
  <c r="H274" i="3"/>
  <c r="Z273" i="3"/>
  <c r="J273" i="3"/>
  <c r="AU272" i="3"/>
  <c r="P272" i="3"/>
  <c r="E272" i="3"/>
  <c r="S271" i="3"/>
  <c r="G271" i="3"/>
  <c r="W270" i="3"/>
  <c r="I270" i="3"/>
  <c r="AN269" i="3"/>
  <c r="L269" i="3"/>
  <c r="C269" i="3"/>
  <c r="P268" i="3"/>
  <c r="E268" i="3"/>
  <c r="S267" i="3"/>
  <c r="G267" i="3"/>
  <c r="W266" i="3"/>
  <c r="I266" i="3"/>
  <c r="AN265" i="3"/>
  <c r="J265" i="3"/>
  <c r="AU264" i="3"/>
  <c r="O264" i="3"/>
  <c r="D264" i="3"/>
  <c r="R263" i="3"/>
  <c r="G263" i="3"/>
  <c r="W262" i="3"/>
  <c r="I262" i="3"/>
  <c r="AN261" i="3"/>
  <c r="L261" i="3"/>
  <c r="C261" i="3"/>
  <c r="P260" i="3"/>
  <c r="E260" i="3"/>
  <c r="S259" i="3"/>
  <c r="G259" i="3"/>
  <c r="W258" i="3"/>
  <c r="I258" i="3"/>
  <c r="AN257" i="3"/>
  <c r="L257" i="3"/>
  <c r="C257" i="3"/>
  <c r="Q256" i="3"/>
  <c r="D256" i="3"/>
  <c r="Q255" i="3"/>
  <c r="F255" i="3"/>
  <c r="U254" i="3"/>
  <c r="H254" i="3"/>
  <c r="Z253" i="3"/>
  <c r="J253" i="3"/>
  <c r="AU252" i="3"/>
  <c r="O252" i="3"/>
  <c r="D252" i="3"/>
  <c r="Q251" i="3"/>
  <c r="F251" i="3"/>
  <c r="U250" i="3"/>
  <c r="H250" i="3"/>
  <c r="Z249" i="3"/>
  <c r="J249" i="3"/>
  <c r="AU248" i="3"/>
  <c r="P248" i="3"/>
  <c r="E248" i="3"/>
  <c r="L247" i="3"/>
  <c r="C247" i="3"/>
  <c r="I246" i="3"/>
  <c r="AN245" i="3"/>
  <c r="G245" i="3"/>
  <c r="W244" i="3"/>
  <c r="F244" i="3"/>
  <c r="U243" i="3"/>
  <c r="H243" i="3"/>
  <c r="Z242" i="3"/>
  <c r="J242" i="3"/>
  <c r="AU241" i="3"/>
  <c r="P241" i="3"/>
  <c r="E241" i="3"/>
  <c r="L240" i="3"/>
  <c r="C240" i="3"/>
  <c r="P239" i="3"/>
  <c r="E239" i="3"/>
  <c r="S238" i="3"/>
  <c r="G238" i="3"/>
  <c r="W237" i="3"/>
  <c r="I237" i="3"/>
  <c r="AN236" i="3"/>
  <c r="J236" i="3"/>
  <c r="AU235" i="3"/>
  <c r="O235" i="3"/>
  <c r="D235" i="3"/>
  <c r="J234" i="3"/>
  <c r="AU233" i="3"/>
  <c r="P233" i="3"/>
  <c r="E233" i="3"/>
  <c r="S232" i="3"/>
  <c r="G232" i="3"/>
  <c r="W231" i="3"/>
  <c r="I231" i="3"/>
  <c r="AN230" i="3"/>
  <c r="O230" i="3"/>
  <c r="D230" i="3"/>
  <c r="Q229" i="3"/>
  <c r="F229" i="3"/>
  <c r="U228" i="3"/>
  <c r="H228" i="3"/>
  <c r="Z227" i="3"/>
  <c r="J227" i="3"/>
  <c r="AU226" i="3"/>
  <c r="L226" i="3"/>
  <c r="C226" i="3"/>
  <c r="P225" i="3"/>
  <c r="E225" i="3"/>
  <c r="S224" i="3"/>
  <c r="G224" i="3"/>
  <c r="W223" i="3"/>
  <c r="I223" i="3"/>
  <c r="AN222" i="3"/>
  <c r="L222" i="3"/>
  <c r="C222" i="3"/>
  <c r="P221" i="3"/>
  <c r="E221" i="3"/>
  <c r="S220" i="3"/>
  <c r="G220" i="3"/>
  <c r="W219" i="3"/>
  <c r="I219" i="3"/>
  <c r="AN218" i="3"/>
  <c r="G218" i="3"/>
  <c r="W217" i="3"/>
  <c r="I217" i="3"/>
  <c r="AN216" i="3"/>
  <c r="L216" i="3"/>
  <c r="C216" i="3"/>
  <c r="P215" i="3"/>
  <c r="E215" i="3"/>
  <c r="S214" i="3"/>
  <c r="G214" i="3"/>
  <c r="W213" i="3"/>
  <c r="I213" i="3"/>
  <c r="AN212" i="3"/>
  <c r="L212" i="3"/>
  <c r="C212" i="3"/>
  <c r="P211" i="3"/>
  <c r="L591" i="3"/>
  <c r="G514" i="3"/>
  <c r="W486" i="3"/>
  <c r="D466" i="3"/>
  <c r="S451" i="3"/>
  <c r="AU435" i="3"/>
  <c r="D421" i="3"/>
  <c r="C406" i="3"/>
  <c r="Q397" i="3"/>
  <c r="C394" i="3"/>
  <c r="J390" i="3"/>
  <c r="AN386" i="3"/>
  <c r="I383" i="3"/>
  <c r="U379" i="3"/>
  <c r="F376" i="3"/>
  <c r="S372" i="3"/>
  <c r="E369" i="3"/>
  <c r="O365" i="3"/>
  <c r="C362" i="3"/>
  <c r="L358" i="3"/>
  <c r="Z354" i="3"/>
  <c r="H351" i="3"/>
  <c r="W347" i="3"/>
  <c r="G344" i="3"/>
  <c r="R340" i="3"/>
  <c r="E337" i="3"/>
  <c r="Q333" i="3"/>
  <c r="AU329" i="3"/>
  <c r="J326" i="3"/>
  <c r="AN322" i="3"/>
  <c r="I319" i="3"/>
  <c r="Z315" i="3"/>
  <c r="U313" i="3"/>
  <c r="D313" i="3"/>
  <c r="Q312" i="3"/>
  <c r="F312" i="3"/>
  <c r="U311" i="3"/>
  <c r="H311" i="3"/>
  <c r="Z310" i="3"/>
  <c r="J310" i="3"/>
  <c r="AU309" i="3"/>
  <c r="O309" i="3"/>
  <c r="D309" i="3"/>
  <c r="Q308" i="3"/>
  <c r="F308" i="3"/>
  <c r="U307" i="3"/>
  <c r="H307" i="3"/>
  <c r="Z306" i="3"/>
  <c r="J306" i="3"/>
  <c r="AU305" i="3"/>
  <c r="O305" i="3"/>
  <c r="D305" i="3"/>
  <c r="Q304" i="3"/>
  <c r="F304" i="3"/>
  <c r="S303" i="3"/>
  <c r="C303" i="3"/>
  <c r="Q302" i="3"/>
  <c r="F302" i="3"/>
  <c r="S301" i="3"/>
  <c r="E301" i="3"/>
  <c r="R300" i="3"/>
  <c r="D300" i="3"/>
  <c r="J299" i="3"/>
  <c r="AU298" i="3"/>
  <c r="H298" i="3"/>
  <c r="Z297" i="3"/>
  <c r="J297" i="3"/>
  <c r="AU296" i="3"/>
  <c r="H296" i="3"/>
  <c r="Z295" i="3"/>
  <c r="J295" i="3"/>
  <c r="AU294" i="3"/>
  <c r="O294" i="3"/>
  <c r="D294" i="3"/>
  <c r="Q293" i="3"/>
  <c r="F293" i="3"/>
  <c r="U292" i="3"/>
  <c r="H292" i="3"/>
  <c r="Z291" i="3"/>
  <c r="J291" i="3"/>
  <c r="AU290" i="3"/>
  <c r="L290" i="3"/>
  <c r="C290" i="3"/>
  <c r="I289" i="3"/>
  <c r="AN288" i="3"/>
  <c r="L288" i="3"/>
  <c r="C288" i="3"/>
  <c r="Q287" i="3"/>
  <c r="F287" i="3"/>
  <c r="U286" i="3"/>
  <c r="H286" i="3"/>
  <c r="Z285" i="3"/>
  <c r="J285" i="3"/>
  <c r="AU284" i="3"/>
  <c r="O284" i="3"/>
  <c r="D284" i="3"/>
  <c r="Q283" i="3"/>
  <c r="F283" i="3"/>
  <c r="U282" i="3"/>
  <c r="H282" i="3"/>
  <c r="Z281" i="3"/>
  <c r="J281" i="3"/>
  <c r="AU280" i="3"/>
  <c r="L280" i="3"/>
  <c r="C280" i="3"/>
  <c r="P279" i="3"/>
  <c r="E279" i="3"/>
  <c r="S278" i="3"/>
  <c r="G278" i="3"/>
  <c r="W277" i="3"/>
  <c r="I277" i="3"/>
  <c r="AN276" i="3"/>
  <c r="L276" i="3"/>
  <c r="C276" i="3"/>
  <c r="P275" i="3"/>
  <c r="E275" i="3"/>
  <c r="S274" i="3"/>
  <c r="G274" i="3"/>
  <c r="W273" i="3"/>
  <c r="I273" i="3"/>
  <c r="AN272" i="3"/>
  <c r="O272" i="3"/>
  <c r="D272" i="3"/>
  <c r="R271" i="3"/>
  <c r="F271" i="3"/>
  <c r="U270" i="3"/>
  <c r="H270" i="3"/>
  <c r="Z269" i="3"/>
  <c r="J269" i="3"/>
  <c r="AU268" i="3"/>
  <c r="O268" i="3"/>
  <c r="D268" i="3"/>
  <c r="Q267" i="3"/>
  <c r="F267" i="3"/>
  <c r="U266" i="3"/>
  <c r="H266" i="3"/>
  <c r="Z265" i="3"/>
  <c r="I265" i="3"/>
  <c r="AN264" i="3"/>
  <c r="L264" i="3"/>
  <c r="C264" i="3"/>
  <c r="Q263" i="3"/>
  <c r="F263" i="3"/>
  <c r="U262" i="3"/>
  <c r="H262" i="3"/>
  <c r="Z261" i="3"/>
  <c r="J261" i="3"/>
  <c r="AU260" i="3"/>
  <c r="O260" i="3"/>
  <c r="D260" i="3"/>
  <c r="Q259" i="3"/>
  <c r="F259" i="3"/>
  <c r="U258" i="3"/>
  <c r="H258" i="3"/>
  <c r="Z257" i="3"/>
  <c r="J257" i="3"/>
  <c r="AU256" i="3"/>
  <c r="L256" i="3"/>
  <c r="C256" i="3"/>
  <c r="P255" i="3"/>
  <c r="E255" i="3"/>
  <c r="S254" i="3"/>
  <c r="G254" i="3"/>
  <c r="W253" i="3"/>
  <c r="I253" i="3"/>
  <c r="AN252" i="3"/>
  <c r="L252" i="3"/>
  <c r="C252" i="3"/>
  <c r="P251" i="3"/>
  <c r="E251" i="3"/>
  <c r="S250" i="3"/>
  <c r="G250" i="3"/>
  <c r="W249" i="3"/>
  <c r="I249" i="3"/>
  <c r="AN248" i="3"/>
  <c r="O248" i="3"/>
  <c r="D248" i="3"/>
  <c r="J247" i="3"/>
  <c r="AU246" i="3"/>
  <c r="H246" i="3"/>
  <c r="Z245" i="3"/>
  <c r="F245" i="3"/>
  <c r="U244" i="3"/>
  <c r="E244" i="3"/>
  <c r="S243" i="3"/>
  <c r="G243" i="3"/>
  <c r="W242" i="3"/>
  <c r="I242" i="3"/>
  <c r="AN241" i="3"/>
  <c r="O241" i="3"/>
  <c r="D241" i="3"/>
  <c r="J240" i="3"/>
  <c r="AU239" i="3"/>
  <c r="O239" i="3"/>
  <c r="D239" i="3"/>
  <c r="Q238" i="3"/>
  <c r="F238" i="3"/>
  <c r="U237" i="3"/>
  <c r="H237" i="3"/>
  <c r="Z236" i="3"/>
  <c r="I236" i="3"/>
  <c r="AN235" i="3"/>
  <c r="L235" i="3"/>
  <c r="C235" i="3"/>
  <c r="I234" i="3"/>
  <c r="AN233" i="3"/>
  <c r="O233" i="3"/>
  <c r="D233" i="3"/>
  <c r="Q232" i="3"/>
  <c r="F232" i="3"/>
  <c r="U231" i="3"/>
  <c r="H231" i="3"/>
  <c r="Z230" i="3"/>
  <c r="L230" i="3"/>
  <c r="C230" i="3"/>
  <c r="P229" i="3"/>
  <c r="E229" i="3"/>
  <c r="S228" i="3"/>
  <c r="G228" i="3"/>
  <c r="W227" i="3"/>
  <c r="I227" i="3"/>
  <c r="AN226" i="3"/>
  <c r="J226" i="3"/>
  <c r="AU225" i="3"/>
  <c r="O225" i="3"/>
  <c r="D225" i="3"/>
  <c r="Q224" i="3"/>
  <c r="F224" i="3"/>
  <c r="U223" i="3"/>
  <c r="H223" i="3"/>
  <c r="Z222" i="3"/>
  <c r="J222" i="3"/>
  <c r="AU221" i="3"/>
  <c r="O221" i="3"/>
  <c r="D221" i="3"/>
  <c r="Q220" i="3"/>
  <c r="F220" i="3"/>
  <c r="U219" i="3"/>
  <c r="H219" i="3"/>
  <c r="Z218" i="3"/>
  <c r="F218" i="3"/>
  <c r="U217" i="3"/>
  <c r="H217" i="3"/>
  <c r="Z216" i="3"/>
  <c r="J216" i="3"/>
  <c r="AU215" i="3"/>
  <c r="O215" i="3"/>
  <c r="D215" i="3"/>
  <c r="Q214" i="3"/>
  <c r="F214" i="3"/>
  <c r="U213" i="3"/>
  <c r="H213" i="3"/>
  <c r="Z212" i="3"/>
  <c r="J212" i="3"/>
  <c r="AU211" i="3"/>
  <c r="G561" i="3"/>
  <c r="S510" i="3"/>
  <c r="C484" i="3"/>
  <c r="D464" i="3"/>
  <c r="AN449" i="3"/>
  <c r="F434" i="3"/>
  <c r="AN418" i="3"/>
  <c r="G404" i="3"/>
  <c r="E397" i="3"/>
  <c r="P393" i="3"/>
  <c r="AU389" i="3"/>
  <c r="L386" i="3"/>
  <c r="AN382" i="3"/>
  <c r="H379" i="3"/>
  <c r="U375" i="3"/>
  <c r="G372" i="3"/>
  <c r="S368" i="3"/>
  <c r="D365" i="3"/>
  <c r="P361" i="3"/>
  <c r="C358" i="3"/>
  <c r="J354" i="3"/>
  <c r="Z350" i="3"/>
  <c r="I347" i="3"/>
  <c r="W343" i="3"/>
  <c r="G340" i="3"/>
  <c r="S336" i="3"/>
  <c r="D333" i="3"/>
  <c r="O329" i="3"/>
  <c r="AU325" i="3"/>
  <c r="L322" i="3"/>
  <c r="AN318" i="3"/>
  <c r="J315" i="3"/>
  <c r="S313" i="3"/>
  <c r="C313" i="3"/>
  <c r="P312" i="3"/>
  <c r="E312" i="3"/>
  <c r="S311" i="3"/>
  <c r="G311" i="3"/>
  <c r="W310" i="3"/>
  <c r="I310" i="3"/>
  <c r="AN309" i="3"/>
  <c r="L309" i="3"/>
  <c r="C309" i="3"/>
  <c r="P308" i="3"/>
  <c r="E308" i="3"/>
  <c r="S307" i="3"/>
  <c r="G307" i="3"/>
  <c r="W306" i="3"/>
  <c r="I306" i="3"/>
  <c r="AN305" i="3"/>
  <c r="L305" i="3"/>
  <c r="C305" i="3"/>
  <c r="P304" i="3"/>
  <c r="E304" i="3"/>
  <c r="L303" i="3"/>
  <c r="AU302" i="3"/>
  <c r="P302" i="3"/>
  <c r="E302" i="3"/>
  <c r="R301" i="3"/>
  <c r="D301" i="3"/>
  <c r="L300" i="3"/>
  <c r="C300" i="3"/>
  <c r="I299" i="3"/>
  <c r="AN298" i="3"/>
  <c r="G298" i="3"/>
  <c r="W297" i="3"/>
  <c r="I297" i="3"/>
  <c r="AN296" i="3"/>
  <c r="G296" i="3"/>
  <c r="W295" i="3"/>
  <c r="I295" i="3"/>
  <c r="AN294" i="3"/>
  <c r="L294" i="3"/>
  <c r="C294" i="3"/>
  <c r="P293" i="3"/>
  <c r="E293" i="3"/>
  <c r="S292" i="3"/>
  <c r="G292" i="3"/>
  <c r="W291" i="3"/>
  <c r="I291" i="3"/>
  <c r="AN290" i="3"/>
  <c r="J290" i="3"/>
  <c r="AU289" i="3"/>
  <c r="H289" i="3"/>
  <c r="Z288" i="3"/>
  <c r="J288" i="3"/>
  <c r="AU287" i="3"/>
  <c r="P287" i="3"/>
  <c r="E287" i="3"/>
  <c r="S286" i="3"/>
  <c r="G286" i="3"/>
  <c r="W285" i="3"/>
  <c r="I285" i="3"/>
  <c r="AN284" i="3"/>
  <c r="L284" i="3"/>
  <c r="C284" i="3"/>
  <c r="P283" i="3"/>
  <c r="E283" i="3"/>
  <c r="S282" i="3"/>
  <c r="G282" i="3"/>
  <c r="W281" i="3"/>
  <c r="I281" i="3"/>
  <c r="AN280" i="3"/>
  <c r="J280" i="3"/>
  <c r="AU279" i="3"/>
  <c r="O279" i="3"/>
  <c r="D279" i="3"/>
  <c r="Q278" i="3"/>
  <c r="F278" i="3"/>
  <c r="U277" i="3"/>
  <c r="H277" i="3"/>
  <c r="Z276" i="3"/>
  <c r="J276" i="3"/>
  <c r="AU275" i="3"/>
  <c r="O275" i="3"/>
  <c r="D275" i="3"/>
  <c r="Q274" i="3"/>
  <c r="F274" i="3"/>
  <c r="U273" i="3"/>
  <c r="H273" i="3"/>
  <c r="Z272" i="3"/>
  <c r="L272" i="3"/>
  <c r="C272" i="3"/>
  <c r="Q271" i="3"/>
  <c r="E271" i="3"/>
  <c r="S270" i="3"/>
  <c r="G270" i="3"/>
  <c r="W269" i="3"/>
  <c r="I269" i="3"/>
  <c r="AN268" i="3"/>
  <c r="L268" i="3"/>
  <c r="C268" i="3"/>
  <c r="P267" i="3"/>
  <c r="E267" i="3"/>
  <c r="S266" i="3"/>
  <c r="G266" i="3"/>
  <c r="W265" i="3"/>
  <c r="H265" i="3"/>
  <c r="Z264" i="3"/>
  <c r="J264" i="3"/>
  <c r="AU263" i="3"/>
  <c r="P263" i="3"/>
  <c r="E263" i="3"/>
  <c r="S262" i="3"/>
  <c r="G262" i="3"/>
  <c r="W261" i="3"/>
  <c r="I261" i="3"/>
  <c r="AN260" i="3"/>
  <c r="L260" i="3"/>
  <c r="C260" i="3"/>
  <c r="P259" i="3"/>
  <c r="E259" i="3"/>
  <c r="S258" i="3"/>
  <c r="G258" i="3"/>
  <c r="W257" i="3"/>
  <c r="I257" i="3"/>
  <c r="AN256" i="3"/>
  <c r="J256" i="3"/>
  <c r="AU255" i="3"/>
  <c r="O255" i="3"/>
  <c r="D255" i="3"/>
  <c r="Q254" i="3"/>
  <c r="F254" i="3"/>
  <c r="U253" i="3"/>
  <c r="H253" i="3"/>
  <c r="Z252" i="3"/>
  <c r="J252" i="3"/>
  <c r="AU251" i="3"/>
  <c r="O251" i="3"/>
  <c r="D251" i="3"/>
  <c r="Q250" i="3"/>
  <c r="F250" i="3"/>
  <c r="U249" i="3"/>
  <c r="H249" i="3"/>
  <c r="Z248" i="3"/>
  <c r="L248" i="3"/>
  <c r="C248" i="3"/>
  <c r="I247" i="3"/>
  <c r="AN246" i="3"/>
  <c r="G246" i="3"/>
  <c r="U245" i="3"/>
  <c r="E245" i="3"/>
  <c r="S244" i="3"/>
  <c r="D244" i="3"/>
  <c r="Q243" i="3"/>
  <c r="F243" i="3"/>
  <c r="U242" i="3"/>
  <c r="H242" i="3"/>
  <c r="Z241" i="3"/>
  <c r="L241" i="3"/>
  <c r="C241" i="3"/>
  <c r="I240" i="3"/>
  <c r="AN239" i="3"/>
  <c r="L239" i="3"/>
  <c r="C239" i="3"/>
  <c r="P238" i="3"/>
  <c r="E238" i="3"/>
  <c r="S237" i="3"/>
  <c r="G237" i="3"/>
  <c r="W236" i="3"/>
  <c r="H236" i="3"/>
  <c r="Z235" i="3"/>
  <c r="J235" i="3"/>
  <c r="AU234" i="3"/>
  <c r="H234" i="3"/>
  <c r="Z233" i="3"/>
  <c r="L233" i="3"/>
  <c r="C233" i="3"/>
  <c r="P232" i="3"/>
  <c r="E232" i="3"/>
  <c r="S231" i="3"/>
  <c r="G231" i="3"/>
  <c r="W230" i="3"/>
  <c r="J230" i="3"/>
  <c r="AU229" i="3"/>
  <c r="O229" i="3"/>
  <c r="D229" i="3"/>
  <c r="Q228" i="3"/>
  <c r="F228" i="3"/>
  <c r="U227" i="3"/>
  <c r="H227" i="3"/>
  <c r="Z226" i="3"/>
  <c r="I226" i="3"/>
  <c r="AN225" i="3"/>
  <c r="L225" i="3"/>
  <c r="C225" i="3"/>
  <c r="P224" i="3"/>
  <c r="E224" i="3"/>
  <c r="S223" i="3"/>
  <c r="G223" i="3"/>
  <c r="W222" i="3"/>
  <c r="I222" i="3"/>
  <c r="AN221" i="3"/>
  <c r="L221" i="3"/>
  <c r="C221" i="3"/>
  <c r="P220" i="3"/>
  <c r="E220" i="3"/>
  <c r="S219" i="3"/>
  <c r="G219" i="3"/>
  <c r="U218" i="3"/>
  <c r="E218" i="3"/>
  <c r="S217" i="3"/>
  <c r="G217" i="3"/>
  <c r="W216" i="3"/>
  <c r="I216" i="3"/>
  <c r="AN215" i="3"/>
  <c r="L215" i="3"/>
  <c r="C215" i="3"/>
  <c r="P214" i="3"/>
  <c r="E214" i="3"/>
  <c r="S213" i="3"/>
  <c r="G213" i="3"/>
  <c r="W212" i="3"/>
  <c r="I212" i="3"/>
  <c r="AN211" i="3"/>
  <c r="L211" i="3"/>
  <c r="H552" i="3"/>
  <c r="AU506" i="3"/>
  <c r="F481" i="3"/>
  <c r="I462" i="3"/>
  <c r="AN447" i="3"/>
  <c r="J432" i="3"/>
  <c r="E417" i="3"/>
  <c r="L402" i="3"/>
  <c r="S396" i="3"/>
  <c r="E393" i="3"/>
  <c r="O389" i="3"/>
  <c r="C386" i="3"/>
  <c r="L382" i="3"/>
  <c r="Z378" i="3"/>
  <c r="H375" i="3"/>
  <c r="W371" i="3"/>
  <c r="G368" i="3"/>
  <c r="R364" i="3"/>
  <c r="E361" i="3"/>
  <c r="Q357" i="3"/>
  <c r="AU353" i="3"/>
  <c r="J350" i="3"/>
  <c r="AN346" i="3"/>
  <c r="I343" i="3"/>
  <c r="W339" i="3"/>
  <c r="G336" i="3"/>
  <c r="Q332" i="3"/>
  <c r="D329" i="3"/>
  <c r="P325" i="3"/>
  <c r="C322" i="3"/>
  <c r="L318" i="3"/>
  <c r="AU314" i="3"/>
  <c r="Q313" i="3"/>
  <c r="AU312" i="3"/>
  <c r="O312" i="3"/>
  <c r="D312" i="3"/>
  <c r="Q311" i="3"/>
  <c r="F311" i="3"/>
  <c r="U310" i="3"/>
  <c r="H310" i="3"/>
  <c r="Z309" i="3"/>
  <c r="J309" i="3"/>
  <c r="AU308" i="3"/>
  <c r="O308" i="3"/>
  <c r="D308" i="3"/>
  <c r="Q307" i="3"/>
  <c r="F307" i="3"/>
  <c r="U306" i="3"/>
  <c r="H306" i="3"/>
  <c r="Z305" i="3"/>
  <c r="J305" i="3"/>
  <c r="AU304" i="3"/>
  <c r="O304" i="3"/>
  <c r="D304" i="3"/>
  <c r="I303" i="3"/>
  <c r="AN302" i="3"/>
  <c r="O302" i="3"/>
  <c r="D302" i="3"/>
  <c r="L301" i="3"/>
  <c r="C301" i="3"/>
  <c r="J300" i="3"/>
  <c r="AU299" i="3"/>
  <c r="H299" i="3"/>
  <c r="Z298" i="3"/>
  <c r="F298" i="3"/>
  <c r="U297" i="3"/>
  <c r="H297" i="3"/>
  <c r="Z296" i="3"/>
  <c r="F296" i="3"/>
  <c r="U295" i="3"/>
  <c r="H295" i="3"/>
  <c r="Z294" i="3"/>
  <c r="J294" i="3"/>
  <c r="AU293" i="3"/>
  <c r="O293" i="3"/>
  <c r="D293" i="3"/>
  <c r="Q292" i="3"/>
  <c r="F292" i="3"/>
  <c r="U291" i="3"/>
  <c r="H291" i="3"/>
  <c r="Z290" i="3"/>
  <c r="I290" i="3"/>
  <c r="AN289" i="3"/>
  <c r="G289" i="3"/>
  <c r="W288" i="3"/>
  <c r="I288" i="3"/>
  <c r="AN287" i="3"/>
  <c r="O287" i="3"/>
  <c r="D287" i="3"/>
  <c r="R286" i="3"/>
  <c r="F286" i="3"/>
  <c r="U285" i="3"/>
  <c r="H285" i="3"/>
  <c r="Z284" i="3"/>
  <c r="J284" i="3"/>
  <c r="AU283" i="3"/>
  <c r="O283" i="3"/>
  <c r="D283" i="3"/>
  <c r="Q282" i="3"/>
  <c r="F282" i="3"/>
  <c r="U281" i="3"/>
  <c r="H281" i="3"/>
  <c r="Z280" i="3"/>
  <c r="I280" i="3"/>
  <c r="AN279" i="3"/>
  <c r="L279" i="3"/>
  <c r="C279" i="3"/>
  <c r="P278" i="3"/>
  <c r="E278" i="3"/>
  <c r="S277" i="3"/>
  <c r="G277" i="3"/>
  <c r="W276" i="3"/>
  <c r="I276" i="3"/>
  <c r="AN275" i="3"/>
  <c r="L275" i="3"/>
  <c r="C275" i="3"/>
  <c r="P274" i="3"/>
  <c r="E274" i="3"/>
  <c r="S273" i="3"/>
  <c r="G273" i="3"/>
  <c r="W272" i="3"/>
  <c r="J272" i="3"/>
  <c r="AU271" i="3"/>
  <c r="N271" i="3"/>
  <c r="D271" i="3"/>
  <c r="Q270" i="3"/>
  <c r="F270" i="3"/>
  <c r="U269" i="3"/>
  <c r="H269" i="3"/>
  <c r="Z268" i="3"/>
  <c r="J268" i="3"/>
  <c r="AU267" i="3"/>
  <c r="O267" i="3"/>
  <c r="D267" i="3"/>
  <c r="Q266" i="3"/>
  <c r="F266" i="3"/>
  <c r="U265" i="3"/>
  <c r="G265" i="3"/>
  <c r="W264" i="3"/>
  <c r="I264" i="3"/>
  <c r="AN263" i="3"/>
  <c r="O263" i="3"/>
  <c r="D263" i="3"/>
  <c r="R262" i="3"/>
  <c r="F262" i="3"/>
  <c r="U261" i="3"/>
  <c r="H261" i="3"/>
  <c r="Z260" i="3"/>
  <c r="J260" i="3"/>
  <c r="AU259" i="3"/>
  <c r="O259" i="3"/>
  <c r="D259" i="3"/>
  <c r="Q258" i="3"/>
  <c r="F258" i="3"/>
  <c r="U257" i="3"/>
  <c r="H257" i="3"/>
  <c r="Z256" i="3"/>
  <c r="I256" i="3"/>
  <c r="AN255" i="3"/>
  <c r="L255" i="3"/>
  <c r="C255" i="3"/>
  <c r="P254" i="3"/>
  <c r="E254" i="3"/>
  <c r="S253" i="3"/>
  <c r="G253" i="3"/>
  <c r="W252" i="3"/>
  <c r="I252" i="3"/>
  <c r="AN251" i="3"/>
  <c r="L251" i="3"/>
  <c r="C251" i="3"/>
  <c r="P250" i="3"/>
  <c r="E250" i="3"/>
  <c r="S249" i="3"/>
  <c r="G249" i="3"/>
  <c r="W248" i="3"/>
  <c r="J248" i="3"/>
  <c r="AU247" i="3"/>
  <c r="H247" i="3"/>
  <c r="Z246" i="3"/>
  <c r="F246" i="3"/>
  <c r="S245" i="3"/>
  <c r="D245" i="3"/>
  <c r="L244" i="3"/>
  <c r="C244" i="3"/>
  <c r="P243" i="3"/>
  <c r="E243" i="3"/>
  <c r="S242" i="3"/>
  <c r="G242" i="3"/>
  <c r="W241" i="3"/>
  <c r="J241" i="3"/>
  <c r="AU240" i="3"/>
  <c r="H240" i="3"/>
  <c r="Z239" i="3"/>
  <c r="J239" i="3"/>
  <c r="AU238" i="3"/>
  <c r="O238" i="3"/>
  <c r="D238" i="3"/>
  <c r="Q237" i="3"/>
  <c r="F237" i="3"/>
  <c r="U236" i="3"/>
  <c r="G236" i="3"/>
  <c r="W235" i="3"/>
  <c r="I235" i="3"/>
  <c r="AN234" i="3"/>
  <c r="G234" i="3"/>
  <c r="W233" i="3"/>
  <c r="J233" i="3"/>
  <c r="AU232" i="3"/>
  <c r="O232" i="3"/>
  <c r="D232" i="3"/>
  <c r="Q231" i="3"/>
  <c r="F231" i="3"/>
  <c r="U230" i="3"/>
  <c r="I230" i="3"/>
  <c r="AN229" i="3"/>
  <c r="L229" i="3"/>
  <c r="C229" i="3"/>
  <c r="P228" i="3"/>
  <c r="E228" i="3"/>
  <c r="S227" i="3"/>
  <c r="G227" i="3"/>
  <c r="W226" i="3"/>
  <c r="H226" i="3"/>
  <c r="Z225" i="3"/>
  <c r="J225" i="3"/>
  <c r="AU224" i="3"/>
  <c r="O224" i="3"/>
  <c r="D224" i="3"/>
  <c r="Q223" i="3"/>
  <c r="F223" i="3"/>
  <c r="U222" i="3"/>
  <c r="H222" i="3"/>
  <c r="Z221" i="3"/>
  <c r="J221" i="3"/>
  <c r="AU220" i="3"/>
  <c r="O220" i="3"/>
  <c r="D220" i="3"/>
  <c r="Q219" i="3"/>
  <c r="F219" i="3"/>
  <c r="S218" i="3"/>
  <c r="D218" i="3"/>
  <c r="Q217" i="3"/>
  <c r="F217" i="3"/>
  <c r="U216" i="3"/>
  <c r="H216" i="3"/>
  <c r="Z215" i="3"/>
  <c r="J215" i="3"/>
  <c r="AU214" i="3"/>
  <c r="O214" i="3"/>
  <c r="D214" i="3"/>
  <c r="Q213" i="3"/>
  <c r="F213" i="3"/>
  <c r="E544" i="3"/>
  <c r="P502" i="3"/>
  <c r="E478" i="3"/>
  <c r="Q460" i="3"/>
  <c r="L445" i="3"/>
  <c r="Q430" i="3"/>
  <c r="E415" i="3"/>
  <c r="D401" i="3"/>
  <c r="G396" i="3"/>
  <c r="S392" i="3"/>
  <c r="D389" i="3"/>
  <c r="P385" i="3"/>
  <c r="C382" i="3"/>
  <c r="J378" i="3"/>
  <c r="Z374" i="3"/>
  <c r="I371" i="3"/>
  <c r="W367" i="3"/>
  <c r="G364" i="3"/>
  <c r="S360" i="3"/>
  <c r="D357" i="3"/>
  <c r="O353" i="3"/>
  <c r="AU349" i="3"/>
  <c r="L346" i="3"/>
  <c r="AN342" i="3"/>
  <c r="I339" i="3"/>
  <c r="W335" i="3"/>
  <c r="F332" i="3"/>
  <c r="Q328" i="3"/>
  <c r="E325" i="3"/>
  <c r="P321" i="3"/>
  <c r="C318" i="3"/>
  <c r="O314" i="3"/>
  <c r="L313" i="3"/>
  <c r="AN312" i="3"/>
  <c r="L312" i="3"/>
  <c r="C312" i="3"/>
  <c r="P311" i="3"/>
  <c r="E311" i="3"/>
  <c r="S310" i="3"/>
  <c r="G310" i="3"/>
  <c r="W309" i="3"/>
  <c r="I309" i="3"/>
  <c r="AN308" i="3"/>
  <c r="L308" i="3"/>
  <c r="C308" i="3"/>
  <c r="P307" i="3"/>
  <c r="E307" i="3"/>
  <c r="S306" i="3"/>
  <c r="G306" i="3"/>
  <c r="W305" i="3"/>
  <c r="I305" i="3"/>
  <c r="AN304" i="3"/>
  <c r="L304" i="3"/>
  <c r="C304" i="3"/>
  <c r="H303" i="3"/>
  <c r="Z302" i="3"/>
  <c r="L302" i="3"/>
  <c r="C302" i="3"/>
  <c r="J301" i="3"/>
  <c r="AU300" i="3"/>
  <c r="I300" i="3"/>
  <c r="AN299" i="3"/>
  <c r="G299" i="3"/>
  <c r="U298" i="3"/>
  <c r="E298" i="3"/>
  <c r="S297" i="3"/>
  <c r="G297" i="3"/>
  <c r="U296" i="3"/>
  <c r="E296" i="3"/>
  <c r="S295" i="3"/>
  <c r="G295" i="3"/>
  <c r="W294" i="3"/>
  <c r="I294" i="3"/>
  <c r="AN293" i="3"/>
  <c r="L293" i="3"/>
  <c r="C293" i="3"/>
  <c r="P292" i="3"/>
  <c r="E292" i="3"/>
  <c r="S291" i="3"/>
  <c r="G291" i="3"/>
  <c r="W290" i="3"/>
  <c r="H290" i="3"/>
  <c r="Z289" i="3"/>
  <c r="F289" i="3"/>
  <c r="U288" i="3"/>
  <c r="H288" i="3"/>
  <c r="Z287" i="3"/>
  <c r="L287" i="3"/>
  <c r="C287" i="3"/>
  <c r="Q286" i="3"/>
  <c r="E286" i="3"/>
  <c r="S285" i="3"/>
  <c r="G285" i="3"/>
  <c r="W284" i="3"/>
  <c r="I284" i="3"/>
  <c r="AN283" i="3"/>
  <c r="L283" i="3"/>
  <c r="C283" i="3"/>
  <c r="P282" i="3"/>
  <c r="E282" i="3"/>
  <c r="S281" i="3"/>
  <c r="G281" i="3"/>
  <c r="W280" i="3"/>
  <c r="H280" i="3"/>
  <c r="Z279" i="3"/>
  <c r="J279" i="3"/>
  <c r="AU278" i="3"/>
  <c r="O278" i="3"/>
  <c r="D278" i="3"/>
  <c r="Q277" i="3"/>
  <c r="F277" i="3"/>
  <c r="U276" i="3"/>
  <c r="H276" i="3"/>
  <c r="Z275" i="3"/>
  <c r="J275" i="3"/>
  <c r="AU274" i="3"/>
  <c r="O274" i="3"/>
  <c r="D274" i="3"/>
  <c r="Q273" i="3"/>
  <c r="F273" i="3"/>
  <c r="U272" i="3"/>
  <c r="I272" i="3"/>
  <c r="AN271" i="3"/>
  <c r="L271" i="3"/>
  <c r="C271" i="3"/>
  <c r="P270" i="3"/>
  <c r="E270" i="3"/>
  <c r="S269" i="3"/>
  <c r="G269" i="3"/>
  <c r="W268" i="3"/>
  <c r="I268" i="3"/>
  <c r="AN267" i="3"/>
  <c r="L267" i="3"/>
  <c r="C267" i="3"/>
  <c r="P266" i="3"/>
  <c r="E266" i="3"/>
  <c r="S265" i="3"/>
  <c r="F265" i="3"/>
  <c r="U264" i="3"/>
  <c r="H264" i="3"/>
  <c r="Z263" i="3"/>
  <c r="L263" i="3"/>
  <c r="C263" i="3"/>
  <c r="Q262" i="3"/>
  <c r="E262" i="3"/>
  <c r="S261" i="3"/>
  <c r="G261" i="3"/>
  <c r="W260" i="3"/>
  <c r="I260" i="3"/>
  <c r="AN259" i="3"/>
  <c r="L259" i="3"/>
  <c r="C259" i="3"/>
  <c r="P258" i="3"/>
  <c r="E258" i="3"/>
  <c r="S257" i="3"/>
  <c r="G257" i="3"/>
  <c r="W256" i="3"/>
  <c r="H256" i="3"/>
  <c r="Z255" i="3"/>
  <c r="J255" i="3"/>
  <c r="AU254" i="3"/>
  <c r="O254" i="3"/>
  <c r="D254" i="3"/>
  <c r="Q253" i="3"/>
  <c r="F253" i="3"/>
  <c r="U252" i="3"/>
  <c r="H252" i="3"/>
  <c r="Z251" i="3"/>
  <c r="J251" i="3"/>
  <c r="AU250" i="3"/>
  <c r="O250" i="3"/>
  <c r="D250" i="3"/>
  <c r="Q249" i="3"/>
  <c r="F249" i="3"/>
  <c r="U248" i="3"/>
  <c r="I248" i="3"/>
  <c r="AN247" i="3"/>
  <c r="G247" i="3"/>
  <c r="U246" i="3"/>
  <c r="E246" i="3"/>
  <c r="L245" i="3"/>
  <c r="C245" i="3"/>
  <c r="J244" i="3"/>
  <c r="AU243" i="3"/>
  <c r="O243" i="3"/>
  <c r="D243" i="3"/>
  <c r="Q242" i="3"/>
  <c r="F242" i="3"/>
  <c r="U241" i="3"/>
  <c r="I241" i="3"/>
  <c r="AN240" i="3"/>
  <c r="G240" i="3"/>
  <c r="W239" i="3"/>
  <c r="I239" i="3"/>
  <c r="AN238" i="3"/>
  <c r="L238" i="3"/>
  <c r="C238" i="3"/>
  <c r="P237" i="3"/>
  <c r="E237" i="3"/>
  <c r="S236" i="3"/>
  <c r="F236" i="3"/>
  <c r="U235" i="3"/>
  <c r="H235" i="3"/>
  <c r="Z234" i="3"/>
  <c r="F234" i="3"/>
  <c r="U233" i="3"/>
  <c r="I233" i="3"/>
  <c r="AN232" i="3"/>
  <c r="L232" i="3"/>
  <c r="C232" i="3"/>
  <c r="P231" i="3"/>
  <c r="E231" i="3"/>
  <c r="S230" i="3"/>
  <c r="H230" i="3"/>
  <c r="Z229" i="3"/>
  <c r="J229" i="3"/>
  <c r="AU228" i="3"/>
  <c r="O228" i="3"/>
  <c r="D228" i="3"/>
  <c r="Q227" i="3"/>
  <c r="F227" i="3"/>
  <c r="U226" i="3"/>
  <c r="G226" i="3"/>
  <c r="W225" i="3"/>
  <c r="I225" i="3"/>
  <c r="AN224" i="3"/>
  <c r="L224" i="3"/>
  <c r="C224" i="3"/>
  <c r="P223" i="3"/>
  <c r="E223" i="3"/>
  <c r="S222" i="3"/>
  <c r="G222" i="3"/>
  <c r="W221" i="3"/>
  <c r="I221" i="3"/>
  <c r="AN220" i="3"/>
  <c r="L220" i="3"/>
  <c r="C220" i="3"/>
  <c r="P219" i="3"/>
  <c r="E219" i="3"/>
  <c r="L218" i="3"/>
  <c r="C218" i="3"/>
  <c r="P217" i="3"/>
  <c r="E217" i="3"/>
  <c r="S216" i="3"/>
  <c r="G216" i="3"/>
  <c r="W215" i="3"/>
  <c r="I215" i="3"/>
  <c r="AN214" i="3"/>
  <c r="L214" i="3"/>
  <c r="C214" i="3"/>
  <c r="P213" i="3"/>
  <c r="E213" i="3"/>
  <c r="S212" i="3"/>
  <c r="G212" i="3"/>
  <c r="W211" i="3"/>
  <c r="W536" i="3"/>
  <c r="W498" i="3"/>
  <c r="S474" i="3"/>
  <c r="Z458" i="3"/>
  <c r="O443" i="3"/>
  <c r="Z428" i="3"/>
  <c r="I413" i="3"/>
  <c r="F400" i="3"/>
  <c r="W395" i="3"/>
  <c r="G392" i="3"/>
  <c r="R388" i="3"/>
  <c r="E385" i="3"/>
  <c r="Q381" i="3"/>
  <c r="AU377" i="3"/>
  <c r="J374" i="3"/>
  <c r="AN370" i="3"/>
  <c r="I367" i="3"/>
  <c r="W363" i="3"/>
  <c r="G360" i="3"/>
  <c r="Q356" i="3"/>
  <c r="D353" i="3"/>
  <c r="P349" i="3"/>
  <c r="C346" i="3"/>
  <c r="J342" i="3"/>
  <c r="AN338" i="3"/>
  <c r="I335" i="3"/>
  <c r="U331" i="3"/>
  <c r="F328" i="3"/>
  <c r="S324" i="3"/>
  <c r="E321" i="3"/>
  <c r="Q317" i="3"/>
  <c r="I314" i="3"/>
  <c r="J313" i="3"/>
  <c r="Z312" i="3"/>
  <c r="J312" i="3"/>
  <c r="AU311" i="3"/>
  <c r="O311" i="3"/>
  <c r="D311" i="3"/>
  <c r="Q310" i="3"/>
  <c r="F310" i="3"/>
  <c r="U309" i="3"/>
  <c r="H309" i="3"/>
  <c r="Z308" i="3"/>
  <c r="J308" i="3"/>
  <c r="AU307" i="3"/>
  <c r="O307" i="3"/>
  <c r="D307" i="3"/>
  <c r="Q306" i="3"/>
  <c r="F306" i="3"/>
  <c r="U305" i="3"/>
  <c r="H305" i="3"/>
  <c r="Z304" i="3"/>
  <c r="J304" i="3"/>
  <c r="AU303" i="3"/>
  <c r="G303" i="3"/>
  <c r="W302" i="3"/>
  <c r="J302" i="3"/>
  <c r="AU301" i="3"/>
  <c r="I301" i="3"/>
  <c r="AN300" i="3"/>
  <c r="H300" i="3"/>
  <c r="Z299" i="3"/>
  <c r="F299" i="3"/>
  <c r="S298" i="3"/>
  <c r="D298" i="3"/>
  <c r="R297" i="3"/>
  <c r="F297" i="3"/>
  <c r="S296" i="3"/>
  <c r="D296" i="3"/>
  <c r="Q295" i="3"/>
  <c r="F295" i="3"/>
  <c r="U294" i="3"/>
  <c r="H294" i="3"/>
  <c r="Z293" i="3"/>
  <c r="J293" i="3"/>
  <c r="AU292" i="3"/>
  <c r="O292" i="3"/>
  <c r="D292" i="3"/>
  <c r="Q291" i="3"/>
  <c r="F291" i="3"/>
  <c r="U290" i="3"/>
  <c r="G290" i="3"/>
  <c r="U289" i="3"/>
  <c r="E289" i="3"/>
  <c r="S288" i="3"/>
  <c r="G288" i="3"/>
  <c r="W287" i="3"/>
  <c r="J287" i="3"/>
  <c r="AU286" i="3"/>
  <c r="N286" i="3"/>
  <c r="D286" i="3"/>
  <c r="Q285" i="3"/>
  <c r="F285" i="3"/>
  <c r="U284" i="3"/>
  <c r="H284" i="3"/>
  <c r="Z283" i="3"/>
  <c r="J283" i="3"/>
  <c r="AU282" i="3"/>
  <c r="O282" i="3"/>
  <c r="D282" i="3"/>
  <c r="Q281" i="3"/>
  <c r="F281" i="3"/>
  <c r="U280" i="3"/>
  <c r="G280" i="3"/>
  <c r="W279" i="3"/>
  <c r="I279" i="3"/>
  <c r="AN278" i="3"/>
  <c r="L278" i="3"/>
  <c r="C278" i="3"/>
  <c r="P277" i="3"/>
  <c r="E277" i="3"/>
  <c r="S276" i="3"/>
  <c r="G276" i="3"/>
  <c r="W275" i="3"/>
  <c r="I275" i="3"/>
  <c r="AN274" i="3"/>
  <c r="L274" i="3"/>
  <c r="C274" i="3"/>
  <c r="P273" i="3"/>
  <c r="E273" i="3"/>
  <c r="S272" i="3"/>
  <c r="H272" i="3"/>
  <c r="Z271" i="3"/>
  <c r="J271" i="3"/>
  <c r="AU270" i="3"/>
  <c r="O270" i="3"/>
  <c r="D270" i="3"/>
  <c r="Q269" i="3"/>
  <c r="F269" i="3"/>
  <c r="U268" i="3"/>
  <c r="H268" i="3"/>
  <c r="Z267" i="3"/>
  <c r="J267" i="3"/>
  <c r="AU266" i="3"/>
  <c r="O266" i="3"/>
  <c r="D266" i="3"/>
  <c r="R265" i="3"/>
  <c r="E265" i="3"/>
  <c r="S264" i="3"/>
  <c r="G264" i="3"/>
  <c r="W263" i="3"/>
  <c r="J263" i="3"/>
  <c r="AU262" i="3"/>
  <c r="N262" i="3"/>
  <c r="D262" i="3"/>
  <c r="Q261" i="3"/>
  <c r="F261" i="3"/>
  <c r="U260" i="3"/>
  <c r="H260" i="3"/>
  <c r="Z259" i="3"/>
  <c r="J259" i="3"/>
  <c r="AU258" i="3"/>
  <c r="O258" i="3"/>
  <c r="D258" i="3"/>
  <c r="Q257" i="3"/>
  <c r="F257" i="3"/>
  <c r="U256" i="3"/>
  <c r="G256" i="3"/>
  <c r="W255" i="3"/>
  <c r="I255" i="3"/>
  <c r="AN254" i="3"/>
  <c r="L254" i="3"/>
  <c r="C254" i="3"/>
  <c r="P253" i="3"/>
  <c r="E253" i="3"/>
  <c r="S252" i="3"/>
  <c r="G252" i="3"/>
  <c r="W251" i="3"/>
  <c r="I251" i="3"/>
  <c r="AN250" i="3"/>
  <c r="L250" i="3"/>
  <c r="C250" i="3"/>
  <c r="P249" i="3"/>
  <c r="E249" i="3"/>
  <c r="S248" i="3"/>
  <c r="H248" i="3"/>
  <c r="Z247" i="3"/>
  <c r="F247" i="3"/>
  <c r="S246" i="3"/>
  <c r="D246" i="3"/>
  <c r="J245" i="3"/>
  <c r="AU244" i="3"/>
  <c r="I244" i="3"/>
  <c r="AN243" i="3"/>
  <c r="L243" i="3"/>
  <c r="C243" i="3"/>
  <c r="P242" i="3"/>
  <c r="E242" i="3"/>
  <c r="S241" i="3"/>
  <c r="H241" i="3"/>
  <c r="Z240" i="3"/>
  <c r="F240" i="3"/>
  <c r="U239" i="3"/>
  <c r="H239" i="3"/>
  <c r="Z238" i="3"/>
  <c r="J238" i="3"/>
  <c r="AU237" i="3"/>
  <c r="O237" i="3"/>
  <c r="D237" i="3"/>
  <c r="R236" i="3"/>
  <c r="E236" i="3"/>
  <c r="S235" i="3"/>
  <c r="G235" i="3"/>
  <c r="U234" i="3"/>
  <c r="E234" i="3"/>
  <c r="S233" i="3"/>
  <c r="H233" i="3"/>
  <c r="Z232" i="3"/>
  <c r="J232" i="3"/>
  <c r="AU231" i="3"/>
  <c r="O231" i="3"/>
  <c r="D231" i="3"/>
  <c r="R230" i="3"/>
  <c r="G230" i="3"/>
  <c r="W229" i="3"/>
  <c r="I229" i="3"/>
  <c r="AN228" i="3"/>
  <c r="L228" i="3"/>
  <c r="C228" i="3"/>
  <c r="P227" i="3"/>
  <c r="E227" i="3"/>
  <c r="S226" i="3"/>
  <c r="F226" i="3"/>
  <c r="U225" i="3"/>
  <c r="H225" i="3"/>
  <c r="Z224" i="3"/>
  <c r="J224" i="3"/>
  <c r="AU223" i="3"/>
  <c r="O223" i="3"/>
  <c r="D223" i="3"/>
  <c r="Q222" i="3"/>
  <c r="F222" i="3"/>
  <c r="U221" i="3"/>
  <c r="H221" i="3"/>
  <c r="Z220" i="3"/>
  <c r="J220" i="3"/>
  <c r="AU219" i="3"/>
  <c r="O219" i="3"/>
  <c r="D219" i="3"/>
  <c r="J218" i="3"/>
  <c r="AU217" i="3"/>
  <c r="O217" i="3"/>
  <c r="D217" i="3"/>
  <c r="Q216" i="3"/>
  <c r="F216" i="3"/>
  <c r="U215" i="3"/>
  <c r="H215" i="3"/>
  <c r="Z214" i="3"/>
  <c r="J214" i="3"/>
  <c r="AU213" i="3"/>
  <c r="O213" i="3"/>
  <c r="D213" i="3"/>
  <c r="Q212" i="3"/>
  <c r="F212" i="3"/>
  <c r="U211" i="3"/>
  <c r="S529" i="3"/>
  <c r="I395" i="3"/>
  <c r="AN366" i="3"/>
  <c r="L338" i="3"/>
  <c r="H313" i="3"/>
  <c r="S309" i="3"/>
  <c r="E306" i="3"/>
  <c r="I302" i="3"/>
  <c r="C298" i="3"/>
  <c r="G294" i="3"/>
  <c r="S290" i="3"/>
  <c r="AN286" i="3"/>
  <c r="I283" i="3"/>
  <c r="U279" i="3"/>
  <c r="F276" i="3"/>
  <c r="R272" i="3"/>
  <c r="E269" i="3"/>
  <c r="Q265" i="3"/>
  <c r="C262" i="3"/>
  <c r="L258" i="3"/>
  <c r="Z254" i="3"/>
  <c r="H251" i="3"/>
  <c r="U247" i="3"/>
  <c r="J243" i="3"/>
  <c r="S239" i="3"/>
  <c r="D236" i="3"/>
  <c r="I232" i="3"/>
  <c r="Z228" i="3"/>
  <c r="G225" i="3"/>
  <c r="S221" i="3"/>
  <c r="AN217" i="3"/>
  <c r="I214" i="3"/>
  <c r="Z211" i="3"/>
  <c r="F211" i="3"/>
  <c r="U210" i="3"/>
  <c r="H210" i="3"/>
  <c r="Z209" i="3"/>
  <c r="L209" i="3"/>
  <c r="C209" i="3"/>
  <c r="Q208" i="3"/>
  <c r="E208" i="3"/>
  <c r="S207" i="3"/>
  <c r="G207" i="3"/>
  <c r="W206" i="3"/>
  <c r="I206" i="3"/>
  <c r="AN205" i="3"/>
  <c r="L205" i="3"/>
  <c r="C205" i="3"/>
  <c r="P204" i="3"/>
  <c r="E204" i="3"/>
  <c r="S203" i="3"/>
  <c r="G203" i="3"/>
  <c r="W202" i="3"/>
  <c r="H202" i="3"/>
  <c r="Z201" i="3"/>
  <c r="J201" i="3"/>
  <c r="AU200" i="3"/>
  <c r="P200" i="3"/>
  <c r="E200" i="3"/>
  <c r="S199" i="3"/>
  <c r="G199" i="3"/>
  <c r="W198" i="3"/>
  <c r="I198" i="3"/>
  <c r="AN197" i="3"/>
  <c r="L197" i="3"/>
  <c r="C197" i="3"/>
  <c r="P196" i="3"/>
  <c r="E196" i="3"/>
  <c r="S195" i="3"/>
  <c r="G195" i="3"/>
  <c r="W194" i="3"/>
  <c r="I194" i="3"/>
  <c r="AN193" i="3"/>
  <c r="J193" i="3"/>
  <c r="AU192" i="3"/>
  <c r="O192" i="3"/>
  <c r="D192" i="3"/>
  <c r="Q191" i="3"/>
  <c r="F191" i="3"/>
  <c r="U190" i="3"/>
  <c r="H190" i="3"/>
  <c r="Z189" i="3"/>
  <c r="J189" i="3"/>
  <c r="AU188" i="3"/>
  <c r="O188" i="3"/>
  <c r="D188" i="3"/>
  <c r="Q187" i="3"/>
  <c r="F187" i="3"/>
  <c r="U186" i="3"/>
  <c r="H186" i="3"/>
  <c r="Z185" i="3"/>
  <c r="F185" i="3"/>
  <c r="S184" i="3"/>
  <c r="D184" i="3"/>
  <c r="J183" i="3"/>
  <c r="AU182" i="3"/>
  <c r="I182" i="3"/>
  <c r="AN181" i="3"/>
  <c r="L181" i="3"/>
  <c r="C181" i="3"/>
  <c r="I180" i="3"/>
  <c r="AN179" i="3"/>
  <c r="G179" i="3"/>
  <c r="W178" i="3"/>
  <c r="I178" i="3"/>
  <c r="AN177" i="3"/>
  <c r="G177" i="3"/>
  <c r="U176" i="3"/>
  <c r="E176" i="3"/>
  <c r="L175" i="3"/>
  <c r="C175" i="3"/>
  <c r="I174" i="3"/>
  <c r="AN173" i="3"/>
  <c r="H173" i="3"/>
  <c r="Z172" i="3"/>
  <c r="J172" i="3"/>
  <c r="AU171" i="3"/>
  <c r="O171" i="3"/>
  <c r="D171" i="3"/>
  <c r="J170" i="3"/>
  <c r="AU169" i="3"/>
  <c r="O169" i="3"/>
  <c r="D169" i="3"/>
  <c r="Q168" i="3"/>
  <c r="F168" i="3"/>
  <c r="U167" i="3"/>
  <c r="H167" i="3"/>
  <c r="Z166" i="3"/>
  <c r="J166" i="3"/>
  <c r="AU165" i="3"/>
  <c r="H165" i="3"/>
  <c r="Z164" i="3"/>
  <c r="J164" i="3"/>
  <c r="AU163" i="3"/>
  <c r="O163" i="3"/>
  <c r="D163" i="3"/>
  <c r="Q162" i="3"/>
  <c r="F162" i="3"/>
  <c r="U161" i="3"/>
  <c r="H161" i="3"/>
  <c r="Z160" i="3"/>
  <c r="J160" i="3"/>
  <c r="AU159" i="3"/>
  <c r="O159" i="3"/>
  <c r="D159" i="3"/>
  <c r="Q158" i="3"/>
  <c r="F158" i="3"/>
  <c r="U157" i="3"/>
  <c r="H157" i="3"/>
  <c r="Z156" i="3"/>
  <c r="J156" i="3"/>
  <c r="AU155" i="3"/>
  <c r="O155" i="3"/>
  <c r="D155" i="3"/>
  <c r="Q154" i="3"/>
  <c r="F154" i="3"/>
  <c r="U153" i="3"/>
  <c r="H153" i="3"/>
  <c r="Z152" i="3"/>
  <c r="F152" i="3"/>
  <c r="U151" i="3"/>
  <c r="I151" i="3"/>
  <c r="AN150" i="3"/>
  <c r="G150" i="3"/>
  <c r="U149" i="3"/>
  <c r="E149" i="3"/>
  <c r="L148" i="3"/>
  <c r="C148" i="3"/>
  <c r="J147" i="3"/>
  <c r="AU146" i="3"/>
  <c r="O146" i="3"/>
  <c r="D146" i="3"/>
  <c r="Q145" i="3"/>
  <c r="F145" i="3"/>
  <c r="U144" i="3"/>
  <c r="I144" i="3"/>
  <c r="AN143" i="3"/>
  <c r="G143" i="3"/>
  <c r="W142" i="3"/>
  <c r="I142" i="3"/>
  <c r="AN141" i="3"/>
  <c r="L141" i="3"/>
  <c r="C141" i="3"/>
  <c r="P140" i="3"/>
  <c r="E140" i="3"/>
  <c r="S139" i="3"/>
  <c r="G139" i="3"/>
  <c r="U138" i="3"/>
  <c r="E138" i="3"/>
  <c r="S137" i="3"/>
  <c r="H137" i="3"/>
  <c r="Z136" i="3"/>
  <c r="J136" i="3"/>
  <c r="AU135" i="3"/>
  <c r="O135" i="3"/>
  <c r="D135" i="3"/>
  <c r="R134" i="3"/>
  <c r="G134" i="3"/>
  <c r="W133" i="3"/>
  <c r="I133" i="3"/>
  <c r="AN132" i="3"/>
  <c r="L132" i="3"/>
  <c r="C132" i="3"/>
  <c r="P131" i="3"/>
  <c r="E131" i="3"/>
  <c r="S130" i="3"/>
  <c r="G130" i="3"/>
  <c r="W129" i="3"/>
  <c r="I129" i="3"/>
  <c r="AN128" i="3"/>
  <c r="L128" i="3"/>
  <c r="C128" i="3"/>
  <c r="P127" i="3"/>
  <c r="E127" i="3"/>
  <c r="S126" i="3"/>
  <c r="G126" i="3"/>
  <c r="W125" i="3"/>
  <c r="I125" i="3"/>
  <c r="AN124" i="3"/>
  <c r="L124" i="3"/>
  <c r="C124" i="3"/>
  <c r="I123" i="3"/>
  <c r="AN122" i="3"/>
  <c r="O122" i="3"/>
  <c r="D122" i="3"/>
  <c r="J121" i="3"/>
  <c r="AU120" i="3"/>
  <c r="H120" i="3"/>
  <c r="Z119" i="3"/>
  <c r="F119" i="3"/>
  <c r="U118" i="3"/>
  <c r="E118" i="3"/>
  <c r="S117" i="3"/>
  <c r="G117" i="3"/>
  <c r="W116" i="3"/>
  <c r="I116" i="3"/>
  <c r="AN115" i="3"/>
  <c r="O115" i="3"/>
  <c r="D115" i="3"/>
  <c r="J114" i="3"/>
  <c r="AU113" i="3"/>
  <c r="O113" i="3"/>
  <c r="D113" i="3"/>
  <c r="Q112" i="3"/>
  <c r="F112" i="3"/>
  <c r="U111" i="3"/>
  <c r="H111" i="3"/>
  <c r="Z110" i="3"/>
  <c r="I110" i="3"/>
  <c r="AN109" i="3"/>
  <c r="L109" i="3"/>
  <c r="C109" i="3"/>
  <c r="I108" i="3"/>
  <c r="AN107" i="3"/>
  <c r="O107" i="3"/>
  <c r="D107" i="3"/>
  <c r="Q106" i="3"/>
  <c r="F106" i="3"/>
  <c r="U105" i="3"/>
  <c r="H105" i="3"/>
  <c r="Z104" i="3"/>
  <c r="L104" i="3"/>
  <c r="C104" i="3"/>
  <c r="P103" i="3"/>
  <c r="E103" i="3"/>
  <c r="S102" i="3"/>
  <c r="G102" i="3"/>
  <c r="W101" i="3"/>
  <c r="I101" i="3"/>
  <c r="AN100" i="3"/>
  <c r="J100" i="3"/>
  <c r="AU99" i="3"/>
  <c r="O99" i="3"/>
  <c r="D99" i="3"/>
  <c r="Q98" i="3"/>
  <c r="F98" i="3"/>
  <c r="U97" i="3"/>
  <c r="H97" i="3"/>
  <c r="Z96" i="3"/>
  <c r="J96" i="3"/>
  <c r="AU95" i="3"/>
  <c r="O95" i="3"/>
  <c r="D95" i="3"/>
  <c r="Q94" i="3"/>
  <c r="F94" i="3"/>
  <c r="U93" i="3"/>
  <c r="H93" i="3"/>
  <c r="Z92" i="3"/>
  <c r="F92" i="3"/>
  <c r="U91" i="3"/>
  <c r="I91" i="3"/>
  <c r="AN90" i="3"/>
  <c r="G90" i="3"/>
  <c r="U89" i="3"/>
  <c r="E89" i="3"/>
  <c r="L88" i="3"/>
  <c r="C88" i="3"/>
  <c r="J87" i="3"/>
  <c r="AU86" i="3"/>
  <c r="O86" i="3"/>
  <c r="D86" i="3"/>
  <c r="Q85" i="3"/>
  <c r="F85" i="3"/>
  <c r="U84" i="3"/>
  <c r="I84" i="3"/>
  <c r="AN83" i="3"/>
  <c r="G83" i="3"/>
  <c r="W82" i="3"/>
  <c r="I82" i="3"/>
  <c r="AN81" i="3"/>
  <c r="L81" i="3"/>
  <c r="C81" i="3"/>
  <c r="P80" i="3"/>
  <c r="E80" i="3"/>
  <c r="S79" i="3"/>
  <c r="G79" i="3"/>
  <c r="U78" i="3"/>
  <c r="E78" i="3"/>
  <c r="S77" i="3"/>
  <c r="H77" i="3"/>
  <c r="Z76" i="3"/>
  <c r="J76" i="3"/>
  <c r="AU75" i="3"/>
  <c r="O75" i="3"/>
  <c r="D75" i="3"/>
  <c r="R74" i="3"/>
  <c r="G74" i="3"/>
  <c r="W73" i="3"/>
  <c r="I73" i="3"/>
  <c r="AN72" i="3"/>
  <c r="L72" i="3"/>
  <c r="C72" i="3"/>
  <c r="P71" i="3"/>
  <c r="E71" i="3"/>
  <c r="S70" i="3"/>
  <c r="G70" i="3"/>
  <c r="W69" i="3"/>
  <c r="I69" i="3"/>
  <c r="AN68" i="3"/>
  <c r="L68" i="3"/>
  <c r="C68" i="3"/>
  <c r="P67" i="3"/>
  <c r="E67" i="3"/>
  <c r="S66" i="3"/>
  <c r="G66" i="3"/>
  <c r="W65" i="3"/>
  <c r="I65" i="3"/>
  <c r="AN64" i="3"/>
  <c r="L64" i="3"/>
  <c r="C64" i="3"/>
  <c r="I63" i="3"/>
  <c r="AN62" i="3"/>
  <c r="H62" i="3"/>
  <c r="Z61" i="3"/>
  <c r="G61" i="3"/>
  <c r="W60" i="3"/>
  <c r="F60" i="3"/>
  <c r="U59" i="3"/>
  <c r="E59" i="3"/>
  <c r="S58" i="3"/>
  <c r="D58" i="3"/>
  <c r="L57" i="3"/>
  <c r="C57" i="3"/>
  <c r="J56" i="3"/>
  <c r="AU55" i="3"/>
  <c r="P55" i="3"/>
  <c r="E55" i="3"/>
  <c r="L54" i="3"/>
  <c r="C54" i="3"/>
  <c r="I53" i="3"/>
  <c r="AN52" i="3"/>
  <c r="G52" i="3"/>
  <c r="W51" i="3"/>
  <c r="F51" i="3"/>
  <c r="U50" i="3"/>
  <c r="H50" i="3"/>
  <c r="Z49" i="3"/>
  <c r="J49" i="3"/>
  <c r="AU48" i="3"/>
  <c r="P48" i="3"/>
  <c r="E48" i="3"/>
  <c r="L47" i="3"/>
  <c r="C47" i="3"/>
  <c r="P46" i="3"/>
  <c r="E46" i="3"/>
  <c r="S45" i="3"/>
  <c r="G45" i="3"/>
  <c r="W44" i="3"/>
  <c r="I44" i="3"/>
  <c r="AN43" i="3"/>
  <c r="L43" i="3"/>
  <c r="C43" i="3"/>
  <c r="I42" i="3"/>
  <c r="AN41" i="3"/>
  <c r="O41" i="3"/>
  <c r="D41" i="3"/>
  <c r="Q40" i="3"/>
  <c r="F40" i="3"/>
  <c r="U39" i="3"/>
  <c r="H39" i="3"/>
  <c r="Z38" i="3"/>
  <c r="L38" i="3"/>
  <c r="C38" i="3"/>
  <c r="P37" i="3"/>
  <c r="E37" i="3"/>
  <c r="S36" i="3"/>
  <c r="G36" i="3"/>
  <c r="W35" i="3"/>
  <c r="I35" i="3"/>
  <c r="AN34" i="3"/>
  <c r="L34" i="3"/>
  <c r="C34" i="3"/>
  <c r="P33" i="3"/>
  <c r="E33" i="3"/>
  <c r="S32" i="3"/>
  <c r="G32" i="3"/>
  <c r="W31" i="3"/>
  <c r="I31" i="3"/>
  <c r="AN30" i="3"/>
  <c r="L30" i="3"/>
  <c r="C30" i="3"/>
  <c r="P29" i="3"/>
  <c r="E29" i="3"/>
  <c r="S28" i="3"/>
  <c r="G28" i="3"/>
  <c r="U27" i="3"/>
  <c r="E27" i="3"/>
  <c r="L26" i="3"/>
  <c r="C26" i="3"/>
  <c r="I25" i="3"/>
  <c r="AN24" i="3"/>
  <c r="G24" i="3"/>
  <c r="W23" i="3"/>
  <c r="F23" i="3"/>
  <c r="U22" i="3"/>
  <c r="H22" i="3"/>
  <c r="Z21" i="3"/>
  <c r="J21" i="3"/>
  <c r="AU20" i="3"/>
  <c r="H20" i="3"/>
  <c r="Z19" i="3"/>
  <c r="J19" i="3"/>
  <c r="AU18" i="3"/>
  <c r="O18" i="3"/>
  <c r="D18" i="3"/>
  <c r="Q17" i="3"/>
  <c r="F17" i="3"/>
  <c r="U16" i="3"/>
  <c r="H16" i="3"/>
  <c r="Z15" i="3"/>
  <c r="F15" i="3"/>
  <c r="U14" i="3"/>
  <c r="H14" i="3"/>
  <c r="Z13" i="3"/>
  <c r="J13" i="3"/>
  <c r="AU12" i="3"/>
  <c r="O12" i="3"/>
  <c r="D12" i="3"/>
  <c r="Q11" i="3"/>
  <c r="F11" i="3"/>
  <c r="U10" i="3"/>
  <c r="H10" i="3"/>
  <c r="Z9" i="3"/>
  <c r="J9" i="3"/>
  <c r="AU8" i="3"/>
  <c r="O8" i="3"/>
  <c r="D8" i="3"/>
  <c r="Q7" i="3"/>
  <c r="F7" i="3"/>
  <c r="U6" i="3"/>
  <c r="H6" i="3"/>
  <c r="Z5" i="3"/>
  <c r="J5" i="3"/>
  <c r="AU4" i="3"/>
  <c r="O4" i="3"/>
  <c r="D4" i="3"/>
  <c r="Q3" i="3"/>
  <c r="F3" i="3"/>
  <c r="S2" i="3"/>
  <c r="D2" i="3"/>
  <c r="Q495" i="3"/>
  <c r="W391" i="3"/>
  <c r="I363" i="3"/>
  <c r="AN334" i="3"/>
  <c r="W312" i="3"/>
  <c r="G309" i="3"/>
  <c r="S305" i="3"/>
  <c r="AN301" i="3"/>
  <c r="Q297" i="3"/>
  <c r="W293" i="3"/>
  <c r="F290" i="3"/>
  <c r="L286" i="3"/>
  <c r="AN282" i="3"/>
  <c r="H279" i="3"/>
  <c r="U275" i="3"/>
  <c r="G272" i="3"/>
  <c r="S268" i="3"/>
  <c r="D265" i="3"/>
  <c r="P261" i="3"/>
  <c r="C258" i="3"/>
  <c r="J254" i="3"/>
  <c r="Z250" i="3"/>
  <c r="E247" i="3"/>
  <c r="AU242" i="3"/>
  <c r="G239" i="3"/>
  <c r="Q235" i="3"/>
  <c r="AN231" i="3"/>
  <c r="J228" i="3"/>
  <c r="W224" i="3"/>
  <c r="G221" i="3"/>
  <c r="L217" i="3"/>
  <c r="AN213" i="3"/>
  <c r="S211" i="3"/>
  <c r="E211" i="3"/>
  <c r="S210" i="3"/>
  <c r="G210" i="3"/>
  <c r="W209" i="3"/>
  <c r="J209" i="3"/>
  <c r="AU208" i="3"/>
  <c r="N208" i="3"/>
  <c r="D208" i="3"/>
  <c r="Q207" i="3"/>
  <c r="F207" i="3"/>
  <c r="U206" i="3"/>
  <c r="H206" i="3"/>
  <c r="Z205" i="3"/>
  <c r="J205" i="3"/>
  <c r="AU204" i="3"/>
  <c r="O204" i="3"/>
  <c r="D204" i="3"/>
  <c r="Q203" i="3"/>
  <c r="F203" i="3"/>
  <c r="U202" i="3"/>
  <c r="G202" i="3"/>
  <c r="W201" i="3"/>
  <c r="I201" i="3"/>
  <c r="AN200" i="3"/>
  <c r="O200" i="3"/>
  <c r="D200" i="3"/>
  <c r="R199" i="3"/>
  <c r="F199" i="3"/>
  <c r="U198" i="3"/>
  <c r="H198" i="3"/>
  <c r="Z197" i="3"/>
  <c r="J197" i="3"/>
  <c r="AU196" i="3"/>
  <c r="O196" i="3"/>
  <c r="D196" i="3"/>
  <c r="Q195" i="3"/>
  <c r="F195" i="3"/>
  <c r="U194" i="3"/>
  <c r="H194" i="3"/>
  <c r="Z193" i="3"/>
  <c r="I193" i="3"/>
  <c r="AN192" i="3"/>
  <c r="L192" i="3"/>
  <c r="C192" i="3"/>
  <c r="P191" i="3"/>
  <c r="E191" i="3"/>
  <c r="S190" i="3"/>
  <c r="G190" i="3"/>
  <c r="W189" i="3"/>
  <c r="I189" i="3"/>
  <c r="AN188" i="3"/>
  <c r="L188" i="3"/>
  <c r="C188" i="3"/>
  <c r="P187" i="3"/>
  <c r="E187" i="3"/>
  <c r="S186" i="3"/>
  <c r="G186" i="3"/>
  <c r="U185" i="3"/>
  <c r="E185" i="3"/>
  <c r="L184" i="3"/>
  <c r="C184" i="3"/>
  <c r="I183" i="3"/>
  <c r="AN182" i="3"/>
  <c r="H182" i="3"/>
  <c r="Z181" i="3"/>
  <c r="J181" i="3"/>
  <c r="AU180" i="3"/>
  <c r="H180" i="3"/>
  <c r="Z179" i="3"/>
  <c r="F179" i="3"/>
  <c r="U178" i="3"/>
  <c r="H178" i="3"/>
  <c r="Z177" i="3"/>
  <c r="F177" i="3"/>
  <c r="S176" i="3"/>
  <c r="D176" i="3"/>
  <c r="J175" i="3"/>
  <c r="AU174" i="3"/>
  <c r="H174" i="3"/>
  <c r="Z173" i="3"/>
  <c r="G173" i="3"/>
  <c r="W172" i="3"/>
  <c r="I172" i="3"/>
  <c r="AN171" i="3"/>
  <c r="L171" i="3"/>
  <c r="C171" i="3"/>
  <c r="I170" i="3"/>
  <c r="AN169" i="3"/>
  <c r="L169" i="3"/>
  <c r="C169" i="3"/>
  <c r="P168" i="3"/>
  <c r="E168" i="3"/>
  <c r="S167" i="3"/>
  <c r="G167" i="3"/>
  <c r="W166" i="3"/>
  <c r="I166" i="3"/>
  <c r="AN165" i="3"/>
  <c r="G165" i="3"/>
  <c r="W164" i="3"/>
  <c r="I164" i="3"/>
  <c r="AN163" i="3"/>
  <c r="L163" i="3"/>
  <c r="C163" i="3"/>
  <c r="P162" i="3"/>
  <c r="E162" i="3"/>
  <c r="S161" i="3"/>
  <c r="G161" i="3"/>
  <c r="W160" i="3"/>
  <c r="I160" i="3"/>
  <c r="AN159" i="3"/>
  <c r="L159" i="3"/>
  <c r="C159" i="3"/>
  <c r="P158" i="3"/>
  <c r="E158" i="3"/>
  <c r="S157" i="3"/>
  <c r="G157" i="3"/>
  <c r="W156" i="3"/>
  <c r="I156" i="3"/>
  <c r="AN155" i="3"/>
  <c r="L155" i="3"/>
  <c r="C155" i="3"/>
  <c r="P154" i="3"/>
  <c r="E154" i="3"/>
  <c r="S153" i="3"/>
  <c r="G153" i="3"/>
  <c r="U152" i="3"/>
  <c r="E152" i="3"/>
  <c r="S151" i="3"/>
  <c r="H151" i="3"/>
  <c r="Z150" i="3"/>
  <c r="F150" i="3"/>
  <c r="S149" i="3"/>
  <c r="D149" i="3"/>
  <c r="J148" i="3"/>
  <c r="AU147" i="3"/>
  <c r="I147" i="3"/>
  <c r="AN146" i="3"/>
  <c r="L146" i="3"/>
  <c r="C146" i="3"/>
  <c r="P145" i="3"/>
  <c r="E145" i="3"/>
  <c r="S144" i="3"/>
  <c r="H144" i="3"/>
  <c r="Z143" i="3"/>
  <c r="F143" i="3"/>
  <c r="U142" i="3"/>
  <c r="H142" i="3"/>
  <c r="Z141" i="3"/>
  <c r="J141" i="3"/>
  <c r="AU140" i="3"/>
  <c r="O140" i="3"/>
  <c r="D140" i="3"/>
  <c r="Q139" i="3"/>
  <c r="F139" i="3"/>
  <c r="S138" i="3"/>
  <c r="D138" i="3"/>
  <c r="R137" i="3"/>
  <c r="G137" i="3"/>
  <c r="W136" i="3"/>
  <c r="I136" i="3"/>
  <c r="AN135" i="3"/>
  <c r="L135" i="3"/>
  <c r="C135" i="3"/>
  <c r="Q134" i="3"/>
  <c r="F134" i="3"/>
  <c r="U133" i="3"/>
  <c r="H133" i="3"/>
  <c r="Z132" i="3"/>
  <c r="J132" i="3"/>
  <c r="AU131" i="3"/>
  <c r="O131" i="3"/>
  <c r="D131" i="3"/>
  <c r="Q130" i="3"/>
  <c r="F130" i="3"/>
  <c r="U129" i="3"/>
  <c r="H129" i="3"/>
  <c r="Z128" i="3"/>
  <c r="J128" i="3"/>
  <c r="AU127" i="3"/>
  <c r="O127" i="3"/>
  <c r="D127" i="3"/>
  <c r="Q126" i="3"/>
  <c r="F126" i="3"/>
  <c r="U125" i="3"/>
  <c r="H125" i="3"/>
  <c r="Z124" i="3"/>
  <c r="J124" i="3"/>
  <c r="AU123" i="3"/>
  <c r="H123" i="3"/>
  <c r="Z122" i="3"/>
  <c r="L122" i="3"/>
  <c r="C122" i="3"/>
  <c r="I121" i="3"/>
  <c r="AN120" i="3"/>
  <c r="G120" i="3"/>
  <c r="U119" i="3"/>
  <c r="E119" i="3"/>
  <c r="S118" i="3"/>
  <c r="D118" i="3"/>
  <c r="Q117" i="3"/>
  <c r="F117" i="3"/>
  <c r="U116" i="3"/>
  <c r="H116" i="3"/>
  <c r="Z115" i="3"/>
  <c r="L115" i="3"/>
  <c r="C115" i="3"/>
  <c r="I114" i="3"/>
  <c r="AN113" i="3"/>
  <c r="L113" i="3"/>
  <c r="C113" i="3"/>
  <c r="P112" i="3"/>
  <c r="E112" i="3"/>
  <c r="S111" i="3"/>
  <c r="G111" i="3"/>
  <c r="W110" i="3"/>
  <c r="H110" i="3"/>
  <c r="Z109" i="3"/>
  <c r="J109" i="3"/>
  <c r="AU108" i="3"/>
  <c r="H108" i="3"/>
  <c r="Z107" i="3"/>
  <c r="L107" i="3"/>
  <c r="C107" i="3"/>
  <c r="P106" i="3"/>
  <c r="E106" i="3"/>
  <c r="S105" i="3"/>
  <c r="G105" i="3"/>
  <c r="W104" i="3"/>
  <c r="J104" i="3"/>
  <c r="AU103" i="3"/>
  <c r="O103" i="3"/>
  <c r="D103" i="3"/>
  <c r="Q102" i="3"/>
  <c r="F102" i="3"/>
  <c r="U101" i="3"/>
  <c r="H101" i="3"/>
  <c r="Z100" i="3"/>
  <c r="I100" i="3"/>
  <c r="AN99" i="3"/>
  <c r="L99" i="3"/>
  <c r="C99" i="3"/>
  <c r="P98" i="3"/>
  <c r="E98" i="3"/>
  <c r="S97" i="3"/>
  <c r="G97" i="3"/>
  <c r="W96" i="3"/>
  <c r="I96" i="3"/>
  <c r="AN95" i="3"/>
  <c r="L95" i="3"/>
  <c r="C95" i="3"/>
  <c r="P94" i="3"/>
  <c r="E94" i="3"/>
  <c r="S93" i="3"/>
  <c r="G93" i="3"/>
  <c r="U92" i="3"/>
  <c r="E92" i="3"/>
  <c r="S91" i="3"/>
  <c r="H91" i="3"/>
  <c r="Z90" i="3"/>
  <c r="F90" i="3"/>
  <c r="S89" i="3"/>
  <c r="D89" i="3"/>
  <c r="J88" i="3"/>
  <c r="AU87" i="3"/>
  <c r="I87" i="3"/>
  <c r="AN86" i="3"/>
  <c r="L86" i="3"/>
  <c r="C86" i="3"/>
  <c r="P85" i="3"/>
  <c r="E85" i="3"/>
  <c r="S84" i="3"/>
  <c r="H84" i="3"/>
  <c r="Z83" i="3"/>
  <c r="F83" i="3"/>
  <c r="U82" i="3"/>
  <c r="H82" i="3"/>
  <c r="Z81" i="3"/>
  <c r="J81" i="3"/>
  <c r="AU80" i="3"/>
  <c r="O80" i="3"/>
  <c r="D80" i="3"/>
  <c r="Q79" i="3"/>
  <c r="F79" i="3"/>
  <c r="S78" i="3"/>
  <c r="D78" i="3"/>
  <c r="R77" i="3"/>
  <c r="G77" i="3"/>
  <c r="W76" i="3"/>
  <c r="I76" i="3"/>
  <c r="AN75" i="3"/>
  <c r="L75" i="3"/>
  <c r="C75" i="3"/>
  <c r="Q74" i="3"/>
  <c r="F74" i="3"/>
  <c r="U73" i="3"/>
  <c r="H73" i="3"/>
  <c r="Z72" i="3"/>
  <c r="J72" i="3"/>
  <c r="AU71" i="3"/>
  <c r="O71" i="3"/>
  <c r="D71" i="3"/>
  <c r="Q70" i="3"/>
  <c r="F70" i="3"/>
  <c r="U69" i="3"/>
  <c r="H69" i="3"/>
  <c r="Z68" i="3"/>
  <c r="J68" i="3"/>
  <c r="AU67" i="3"/>
  <c r="O67" i="3"/>
  <c r="D67" i="3"/>
  <c r="Q66" i="3"/>
  <c r="F66" i="3"/>
  <c r="U65" i="3"/>
  <c r="H65" i="3"/>
  <c r="Z64" i="3"/>
  <c r="J64" i="3"/>
  <c r="AU63" i="3"/>
  <c r="H63" i="3"/>
  <c r="Z62" i="3"/>
  <c r="G62" i="3"/>
  <c r="W61" i="3"/>
  <c r="F61" i="3"/>
  <c r="U60" i="3"/>
  <c r="E60" i="3"/>
  <c r="S59" i="3"/>
  <c r="D59" i="3"/>
  <c r="L58" i="3"/>
  <c r="C58" i="3"/>
  <c r="J57" i="3"/>
  <c r="AU56" i="3"/>
  <c r="I56" i="3"/>
  <c r="AN55" i="3"/>
  <c r="O55" i="3"/>
  <c r="D55" i="3"/>
  <c r="J54" i="3"/>
  <c r="AU53" i="3"/>
  <c r="H53" i="3"/>
  <c r="Z52" i="3"/>
  <c r="F52" i="3"/>
  <c r="U51" i="3"/>
  <c r="E51" i="3"/>
  <c r="S50" i="3"/>
  <c r="G50" i="3"/>
  <c r="W49" i="3"/>
  <c r="I49" i="3"/>
  <c r="AN48" i="3"/>
  <c r="O48" i="3"/>
  <c r="D48" i="3"/>
  <c r="J47" i="3"/>
  <c r="AU46" i="3"/>
  <c r="O46" i="3"/>
  <c r="D46" i="3"/>
  <c r="Q45" i="3"/>
  <c r="F45" i="3"/>
  <c r="U44" i="3"/>
  <c r="H44" i="3"/>
  <c r="Z43" i="3"/>
  <c r="J43" i="3"/>
  <c r="AU42" i="3"/>
  <c r="H42" i="3"/>
  <c r="Z41" i="3"/>
  <c r="L41" i="3"/>
  <c r="C41" i="3"/>
  <c r="P40" i="3"/>
  <c r="E40" i="3"/>
  <c r="S39" i="3"/>
  <c r="G39" i="3"/>
  <c r="W38" i="3"/>
  <c r="J38" i="3"/>
  <c r="AU37" i="3"/>
  <c r="O37" i="3"/>
  <c r="D37" i="3"/>
  <c r="Q36" i="3"/>
  <c r="F36" i="3"/>
  <c r="U35" i="3"/>
  <c r="H35" i="3"/>
  <c r="Z34" i="3"/>
  <c r="J34" i="3"/>
  <c r="AU33" i="3"/>
  <c r="O33" i="3"/>
  <c r="D33" i="3"/>
  <c r="Q32" i="3"/>
  <c r="F32" i="3"/>
  <c r="U31" i="3"/>
  <c r="H31" i="3"/>
  <c r="Z30" i="3"/>
  <c r="J30" i="3"/>
  <c r="AU29" i="3"/>
  <c r="O29" i="3"/>
  <c r="D29" i="3"/>
  <c r="Q28" i="3"/>
  <c r="F28" i="3"/>
  <c r="S27" i="3"/>
  <c r="D27" i="3"/>
  <c r="J26" i="3"/>
  <c r="AU25" i="3"/>
  <c r="H25" i="3"/>
  <c r="Z24" i="3"/>
  <c r="F24" i="3"/>
  <c r="U23" i="3"/>
  <c r="E23" i="3"/>
  <c r="S22" i="3"/>
  <c r="G22" i="3"/>
  <c r="W21" i="3"/>
  <c r="I21" i="3"/>
  <c r="AN20" i="3"/>
  <c r="G20" i="3"/>
  <c r="W19" i="3"/>
  <c r="I19" i="3"/>
  <c r="AN18" i="3"/>
  <c r="L18" i="3"/>
  <c r="C18" i="3"/>
  <c r="P17" i="3"/>
  <c r="E17" i="3"/>
  <c r="S16" i="3"/>
  <c r="G16" i="3"/>
  <c r="U15" i="3"/>
  <c r="E15" i="3"/>
  <c r="S14" i="3"/>
  <c r="G14" i="3"/>
  <c r="W13" i="3"/>
  <c r="I13" i="3"/>
  <c r="AN12" i="3"/>
  <c r="L12" i="3"/>
  <c r="C12" i="3"/>
  <c r="P11" i="3"/>
  <c r="E11" i="3"/>
  <c r="S10" i="3"/>
  <c r="G10" i="3"/>
  <c r="W9" i="3"/>
  <c r="I9" i="3"/>
  <c r="AN8" i="3"/>
  <c r="L8" i="3"/>
  <c r="C8" i="3"/>
  <c r="P7" i="3"/>
  <c r="E7" i="3"/>
  <c r="S6" i="3"/>
  <c r="G6" i="3"/>
  <c r="W5" i="3"/>
  <c r="I5" i="3"/>
  <c r="AN4" i="3"/>
  <c r="L4" i="3"/>
  <c r="C4" i="3"/>
  <c r="P3" i="3"/>
  <c r="E3" i="3"/>
  <c r="L2" i="3"/>
  <c r="C2" i="3"/>
  <c r="AN471" i="3"/>
  <c r="G388" i="3"/>
  <c r="W359" i="3"/>
  <c r="H331" i="3"/>
  <c r="I312" i="3"/>
  <c r="W308" i="3"/>
  <c r="G305" i="3"/>
  <c r="H301" i="3"/>
  <c r="E297" i="3"/>
  <c r="I293" i="3"/>
  <c r="S289" i="3"/>
  <c r="C286" i="3"/>
  <c r="L282" i="3"/>
  <c r="Z278" i="3"/>
  <c r="H275" i="3"/>
  <c r="W271" i="3"/>
  <c r="G268" i="3"/>
  <c r="Q264" i="3"/>
  <c r="E261" i="3"/>
  <c r="P257" i="3"/>
  <c r="AU253" i="3"/>
  <c r="J250" i="3"/>
  <c r="L246" i="3"/>
  <c r="O242" i="3"/>
  <c r="W238" i="3"/>
  <c r="F235" i="3"/>
  <c r="L231" i="3"/>
  <c r="AU227" i="3"/>
  <c r="I224" i="3"/>
  <c r="W220" i="3"/>
  <c r="C217" i="3"/>
  <c r="L213" i="3"/>
  <c r="Q211" i="3"/>
  <c r="D211" i="3"/>
  <c r="Q210" i="3"/>
  <c r="F210" i="3"/>
  <c r="U209" i="3"/>
  <c r="I209" i="3"/>
  <c r="AN208" i="3"/>
  <c r="L208" i="3"/>
  <c r="C208" i="3"/>
  <c r="P207" i="3"/>
  <c r="E207" i="3"/>
  <c r="S206" i="3"/>
  <c r="G206" i="3"/>
  <c r="W205" i="3"/>
  <c r="I205" i="3"/>
  <c r="AN204" i="3"/>
  <c r="L204" i="3"/>
  <c r="C204" i="3"/>
  <c r="P203" i="3"/>
  <c r="E203" i="3"/>
  <c r="S202" i="3"/>
  <c r="F202" i="3"/>
  <c r="U201" i="3"/>
  <c r="H201" i="3"/>
  <c r="Z200" i="3"/>
  <c r="L200" i="3"/>
  <c r="C200" i="3"/>
  <c r="Q199" i="3"/>
  <c r="E199" i="3"/>
  <c r="S198" i="3"/>
  <c r="G198" i="3"/>
  <c r="W197" i="3"/>
  <c r="I197" i="3"/>
  <c r="AN196" i="3"/>
  <c r="L196" i="3"/>
  <c r="C196" i="3"/>
  <c r="P195" i="3"/>
  <c r="E195" i="3"/>
  <c r="S194" i="3"/>
  <c r="G194" i="3"/>
  <c r="W193" i="3"/>
  <c r="H193" i="3"/>
  <c r="Z192" i="3"/>
  <c r="J192" i="3"/>
  <c r="AU191" i="3"/>
  <c r="O191" i="3"/>
  <c r="D191" i="3"/>
  <c r="Q190" i="3"/>
  <c r="F190" i="3"/>
  <c r="U189" i="3"/>
  <c r="H189" i="3"/>
  <c r="Z188" i="3"/>
  <c r="J188" i="3"/>
  <c r="AU187" i="3"/>
  <c r="O187" i="3"/>
  <c r="D187" i="3"/>
  <c r="Q186" i="3"/>
  <c r="F186" i="3"/>
  <c r="S185" i="3"/>
  <c r="D185" i="3"/>
  <c r="J184" i="3"/>
  <c r="AU183" i="3"/>
  <c r="H183" i="3"/>
  <c r="Z182" i="3"/>
  <c r="G182" i="3"/>
  <c r="W181" i="3"/>
  <c r="I181" i="3"/>
  <c r="AN180" i="3"/>
  <c r="G180" i="3"/>
  <c r="U179" i="3"/>
  <c r="E179" i="3"/>
  <c r="S178" i="3"/>
  <c r="G178" i="3"/>
  <c r="U177" i="3"/>
  <c r="E177" i="3"/>
  <c r="L176" i="3"/>
  <c r="C176" i="3"/>
  <c r="I175" i="3"/>
  <c r="AN174" i="3"/>
  <c r="G174" i="3"/>
  <c r="W173" i="3"/>
  <c r="F173" i="3"/>
  <c r="U172" i="3"/>
  <c r="H172" i="3"/>
  <c r="Z171" i="3"/>
  <c r="J171" i="3"/>
  <c r="AU170" i="3"/>
  <c r="H170" i="3"/>
  <c r="Z169" i="3"/>
  <c r="J169" i="3"/>
  <c r="AU168" i="3"/>
  <c r="O168" i="3"/>
  <c r="D168" i="3"/>
  <c r="Q167" i="3"/>
  <c r="F167" i="3"/>
  <c r="U166" i="3"/>
  <c r="H166" i="3"/>
  <c r="Z165" i="3"/>
  <c r="F165" i="3"/>
  <c r="U164" i="3"/>
  <c r="H164" i="3"/>
  <c r="Z163" i="3"/>
  <c r="J163" i="3"/>
  <c r="AU162" i="3"/>
  <c r="O162" i="3"/>
  <c r="D162" i="3"/>
  <c r="Q161" i="3"/>
  <c r="F161" i="3"/>
  <c r="U160" i="3"/>
  <c r="H160" i="3"/>
  <c r="Z159" i="3"/>
  <c r="J159" i="3"/>
  <c r="AU158" i="3"/>
  <c r="O158" i="3"/>
  <c r="D158" i="3"/>
  <c r="Q157" i="3"/>
  <c r="F157" i="3"/>
  <c r="U156" i="3"/>
  <c r="H156" i="3"/>
  <c r="Z155" i="3"/>
  <c r="J155" i="3"/>
  <c r="AU154" i="3"/>
  <c r="O154" i="3"/>
  <c r="D154" i="3"/>
  <c r="Q153" i="3"/>
  <c r="F153" i="3"/>
  <c r="S152" i="3"/>
  <c r="D152" i="3"/>
  <c r="R151" i="3"/>
  <c r="G151" i="3"/>
  <c r="U150" i="3"/>
  <c r="E150" i="3"/>
  <c r="L149" i="3"/>
  <c r="C149" i="3"/>
  <c r="I148" i="3"/>
  <c r="AN147" i="3"/>
  <c r="H147" i="3"/>
  <c r="Z146" i="3"/>
  <c r="J146" i="3"/>
  <c r="AU145" i="3"/>
  <c r="O145" i="3"/>
  <c r="D145" i="3"/>
  <c r="R144" i="3"/>
  <c r="G144" i="3"/>
  <c r="U143" i="3"/>
  <c r="E143" i="3"/>
  <c r="S142" i="3"/>
  <c r="G142" i="3"/>
  <c r="W141" i="3"/>
  <c r="I141" i="3"/>
  <c r="AN140" i="3"/>
  <c r="L140" i="3"/>
  <c r="C140" i="3"/>
  <c r="P139" i="3"/>
  <c r="E139" i="3"/>
  <c r="L138" i="3"/>
  <c r="C138" i="3"/>
  <c r="Q137" i="3"/>
  <c r="F137" i="3"/>
  <c r="U136" i="3"/>
  <c r="H136" i="3"/>
  <c r="Z135" i="3"/>
  <c r="J135" i="3"/>
  <c r="AU134" i="3"/>
  <c r="P134" i="3"/>
  <c r="E134" i="3"/>
  <c r="S133" i="3"/>
  <c r="G133" i="3"/>
  <c r="W132" i="3"/>
  <c r="I132" i="3"/>
  <c r="AN131" i="3"/>
  <c r="L131" i="3"/>
  <c r="C131" i="3"/>
  <c r="P130" i="3"/>
  <c r="E130" i="3"/>
  <c r="S129" i="3"/>
  <c r="G129" i="3"/>
  <c r="W128" i="3"/>
  <c r="I128" i="3"/>
  <c r="AN127" i="3"/>
  <c r="L127" i="3"/>
  <c r="C127" i="3"/>
  <c r="P126" i="3"/>
  <c r="E126" i="3"/>
  <c r="S125" i="3"/>
  <c r="G125" i="3"/>
  <c r="W124" i="3"/>
  <c r="I124" i="3"/>
  <c r="AN123" i="3"/>
  <c r="G123" i="3"/>
  <c r="W122" i="3"/>
  <c r="J122" i="3"/>
  <c r="AU121" i="3"/>
  <c r="H121" i="3"/>
  <c r="Z120" i="3"/>
  <c r="F120" i="3"/>
  <c r="S119" i="3"/>
  <c r="D119" i="3"/>
  <c r="L118" i="3"/>
  <c r="C118" i="3"/>
  <c r="P117" i="3"/>
  <c r="E117" i="3"/>
  <c r="S116" i="3"/>
  <c r="G116" i="3"/>
  <c r="W115" i="3"/>
  <c r="J115" i="3"/>
  <c r="AU114" i="3"/>
  <c r="H114" i="3"/>
  <c r="Z113" i="3"/>
  <c r="J113" i="3"/>
  <c r="AU112" i="3"/>
  <c r="O112" i="3"/>
  <c r="D112" i="3"/>
  <c r="Q111" i="3"/>
  <c r="F111" i="3"/>
  <c r="U110" i="3"/>
  <c r="G110" i="3"/>
  <c r="W109" i="3"/>
  <c r="I109" i="3"/>
  <c r="AN108" i="3"/>
  <c r="G108" i="3"/>
  <c r="W107" i="3"/>
  <c r="J107" i="3"/>
  <c r="AU106" i="3"/>
  <c r="O106" i="3"/>
  <c r="D106" i="3"/>
  <c r="Q105" i="3"/>
  <c r="F105" i="3"/>
  <c r="U104" i="3"/>
  <c r="I104" i="3"/>
  <c r="AN103" i="3"/>
  <c r="L103" i="3"/>
  <c r="C103" i="3"/>
  <c r="P102" i="3"/>
  <c r="E102" i="3"/>
  <c r="S101" i="3"/>
  <c r="G101" i="3"/>
  <c r="W100" i="3"/>
  <c r="H100" i="3"/>
  <c r="Z99" i="3"/>
  <c r="J99" i="3"/>
  <c r="AU98" i="3"/>
  <c r="O98" i="3"/>
  <c r="D98" i="3"/>
  <c r="Q97" i="3"/>
  <c r="F97" i="3"/>
  <c r="U96" i="3"/>
  <c r="H96" i="3"/>
  <c r="Z95" i="3"/>
  <c r="J95" i="3"/>
  <c r="AU94" i="3"/>
  <c r="O94" i="3"/>
  <c r="D94" i="3"/>
  <c r="Q93" i="3"/>
  <c r="F93" i="3"/>
  <c r="S92" i="3"/>
  <c r="D92" i="3"/>
  <c r="R91" i="3"/>
  <c r="G91" i="3"/>
  <c r="U90" i="3"/>
  <c r="E90" i="3"/>
  <c r="L89" i="3"/>
  <c r="C89" i="3"/>
  <c r="I88" i="3"/>
  <c r="AN87" i="3"/>
  <c r="H87" i="3"/>
  <c r="Z86" i="3"/>
  <c r="J86" i="3"/>
  <c r="AU85" i="3"/>
  <c r="O85" i="3"/>
  <c r="D85" i="3"/>
  <c r="R84" i="3"/>
  <c r="G84" i="3"/>
  <c r="U83" i="3"/>
  <c r="E83" i="3"/>
  <c r="S82" i="3"/>
  <c r="G82" i="3"/>
  <c r="W81" i="3"/>
  <c r="I81" i="3"/>
  <c r="AN80" i="3"/>
  <c r="L80" i="3"/>
  <c r="C80" i="3"/>
  <c r="P79" i="3"/>
  <c r="E79" i="3"/>
  <c r="L78" i="3"/>
  <c r="C78" i="3"/>
  <c r="Q77" i="3"/>
  <c r="F77" i="3"/>
  <c r="U76" i="3"/>
  <c r="H76" i="3"/>
  <c r="Z75" i="3"/>
  <c r="J75" i="3"/>
  <c r="AU74" i="3"/>
  <c r="P74" i="3"/>
  <c r="E74" i="3"/>
  <c r="S73" i="3"/>
  <c r="G73" i="3"/>
  <c r="W72" i="3"/>
  <c r="I72" i="3"/>
  <c r="AN71" i="3"/>
  <c r="L71" i="3"/>
  <c r="C71" i="3"/>
  <c r="P70" i="3"/>
  <c r="E70" i="3"/>
  <c r="S69" i="3"/>
  <c r="G69" i="3"/>
  <c r="W68" i="3"/>
  <c r="I68" i="3"/>
  <c r="AN67" i="3"/>
  <c r="L67" i="3"/>
  <c r="C67" i="3"/>
  <c r="P66" i="3"/>
  <c r="E66" i="3"/>
  <c r="S65" i="3"/>
  <c r="G65" i="3"/>
  <c r="W64" i="3"/>
  <c r="I64" i="3"/>
  <c r="AN63" i="3"/>
  <c r="G63" i="3"/>
  <c r="W62" i="3"/>
  <c r="F62" i="3"/>
  <c r="U61" i="3"/>
  <c r="E61" i="3"/>
  <c r="S60" i="3"/>
  <c r="D60" i="3"/>
  <c r="L59" i="3"/>
  <c r="C59" i="3"/>
  <c r="J58" i="3"/>
  <c r="AU57" i="3"/>
  <c r="I57" i="3"/>
  <c r="AN56" i="3"/>
  <c r="H56" i="3"/>
  <c r="Z55" i="3"/>
  <c r="L55" i="3"/>
  <c r="C55" i="3"/>
  <c r="I54" i="3"/>
  <c r="AN53" i="3"/>
  <c r="G53" i="3"/>
  <c r="U52" i="3"/>
  <c r="E52" i="3"/>
  <c r="S51" i="3"/>
  <c r="D51" i="3"/>
  <c r="Q50" i="3"/>
  <c r="F50" i="3"/>
  <c r="U49" i="3"/>
  <c r="H49" i="3"/>
  <c r="Z48" i="3"/>
  <c r="L48" i="3"/>
  <c r="C48" i="3"/>
  <c r="I47" i="3"/>
  <c r="AN46" i="3"/>
  <c r="L46" i="3"/>
  <c r="C46" i="3"/>
  <c r="P45" i="3"/>
  <c r="E45" i="3"/>
  <c r="S44" i="3"/>
  <c r="G44" i="3"/>
  <c r="W43" i="3"/>
  <c r="I43" i="3"/>
  <c r="AN42" i="3"/>
  <c r="G42" i="3"/>
  <c r="W41" i="3"/>
  <c r="J41" i="3"/>
  <c r="AU40" i="3"/>
  <c r="O40" i="3"/>
  <c r="D40" i="3"/>
  <c r="Q39" i="3"/>
  <c r="F39" i="3"/>
  <c r="U38" i="3"/>
  <c r="I38" i="3"/>
  <c r="AN37" i="3"/>
  <c r="L37" i="3"/>
  <c r="C37" i="3"/>
  <c r="P36" i="3"/>
  <c r="E36" i="3"/>
  <c r="S35" i="3"/>
  <c r="G35" i="3"/>
  <c r="W34" i="3"/>
  <c r="I34" i="3"/>
  <c r="AN33" i="3"/>
  <c r="L33" i="3"/>
  <c r="C33" i="3"/>
  <c r="P32" i="3"/>
  <c r="E32" i="3"/>
  <c r="S31" i="3"/>
  <c r="G31" i="3"/>
  <c r="W30" i="3"/>
  <c r="I30" i="3"/>
  <c r="AN29" i="3"/>
  <c r="L29" i="3"/>
  <c r="C29" i="3"/>
  <c r="P28" i="3"/>
  <c r="E28" i="3"/>
  <c r="L27" i="3"/>
  <c r="C27" i="3"/>
  <c r="I26" i="3"/>
  <c r="AN25" i="3"/>
  <c r="G25" i="3"/>
  <c r="U24" i="3"/>
  <c r="E24" i="3"/>
  <c r="S23" i="3"/>
  <c r="D23" i="3"/>
  <c r="Q22" i="3"/>
  <c r="F22" i="3"/>
  <c r="U21" i="3"/>
  <c r="H21" i="3"/>
  <c r="Z20" i="3"/>
  <c r="F20" i="3"/>
  <c r="U19" i="3"/>
  <c r="H19" i="3"/>
  <c r="Z18" i="3"/>
  <c r="J18" i="3"/>
  <c r="AU17" i="3"/>
  <c r="O17" i="3"/>
  <c r="D17" i="3"/>
  <c r="Q16" i="3"/>
  <c r="F16" i="3"/>
  <c r="S15" i="3"/>
  <c r="D15" i="3"/>
  <c r="Q14" i="3"/>
  <c r="F14" i="3"/>
  <c r="U13" i="3"/>
  <c r="H13" i="3"/>
  <c r="Z12" i="3"/>
  <c r="J12" i="3"/>
  <c r="AU11" i="3"/>
  <c r="O11" i="3"/>
  <c r="D11" i="3"/>
  <c r="Q10" i="3"/>
  <c r="F10" i="3"/>
  <c r="U9" i="3"/>
  <c r="H9" i="3"/>
  <c r="Z8" i="3"/>
  <c r="J8" i="3"/>
  <c r="AU7" i="3"/>
  <c r="O7" i="3"/>
  <c r="D7" i="3"/>
  <c r="Q6" i="3"/>
  <c r="F6" i="3"/>
  <c r="U5" i="3"/>
  <c r="H5" i="3"/>
  <c r="Z4" i="3"/>
  <c r="J4" i="3"/>
  <c r="AU3" i="3"/>
  <c r="O3" i="3"/>
  <c r="D3" i="3"/>
  <c r="J2" i="3"/>
  <c r="D457" i="3"/>
  <c r="S384" i="3"/>
  <c r="F356" i="3"/>
  <c r="U327" i="3"/>
  <c r="AN311" i="3"/>
  <c r="I308" i="3"/>
  <c r="W304" i="3"/>
  <c r="Z300" i="3"/>
  <c r="L296" i="3"/>
  <c r="AN292" i="3"/>
  <c r="D289" i="3"/>
  <c r="P285" i="3"/>
  <c r="C282" i="3"/>
  <c r="J278" i="3"/>
  <c r="Z274" i="3"/>
  <c r="I271" i="3"/>
  <c r="W267" i="3"/>
  <c r="F264" i="3"/>
  <c r="S260" i="3"/>
  <c r="E257" i="3"/>
  <c r="O253" i="3"/>
  <c r="AU249" i="3"/>
  <c r="C246" i="3"/>
  <c r="D242" i="3"/>
  <c r="I238" i="3"/>
  <c r="S234" i="3"/>
  <c r="C231" i="3"/>
  <c r="O227" i="3"/>
  <c r="AN223" i="3"/>
  <c r="I220" i="3"/>
  <c r="P216" i="3"/>
  <c r="C213" i="3"/>
  <c r="O211" i="3"/>
  <c r="C211" i="3"/>
  <c r="P210" i="3"/>
  <c r="E210" i="3"/>
  <c r="S209" i="3"/>
  <c r="H209" i="3"/>
  <c r="Z208" i="3"/>
  <c r="J208" i="3"/>
  <c r="AU207" i="3"/>
  <c r="O207" i="3"/>
  <c r="D207" i="3"/>
  <c r="Q206" i="3"/>
  <c r="F206" i="3"/>
  <c r="U205" i="3"/>
  <c r="H205" i="3"/>
  <c r="Z204" i="3"/>
  <c r="J204" i="3"/>
  <c r="AU203" i="3"/>
  <c r="O203" i="3"/>
  <c r="D203" i="3"/>
  <c r="R202" i="3"/>
  <c r="E202" i="3"/>
  <c r="S201" i="3"/>
  <c r="G201" i="3"/>
  <c r="W200" i="3"/>
  <c r="J200" i="3"/>
  <c r="AU199" i="3"/>
  <c r="N199" i="3"/>
  <c r="D199" i="3"/>
  <c r="Q198" i="3"/>
  <c r="F198" i="3"/>
  <c r="U197" i="3"/>
  <c r="H197" i="3"/>
  <c r="Z196" i="3"/>
  <c r="J196" i="3"/>
  <c r="AU195" i="3"/>
  <c r="O195" i="3"/>
  <c r="D195" i="3"/>
  <c r="Q194" i="3"/>
  <c r="F194" i="3"/>
  <c r="U193" i="3"/>
  <c r="G193" i="3"/>
  <c r="W192" i="3"/>
  <c r="I192" i="3"/>
  <c r="AN191" i="3"/>
  <c r="L191" i="3"/>
  <c r="C191" i="3"/>
  <c r="P190" i="3"/>
  <c r="E190" i="3"/>
  <c r="S189" i="3"/>
  <c r="G189" i="3"/>
  <c r="W188" i="3"/>
  <c r="I188" i="3"/>
  <c r="AN187" i="3"/>
  <c r="L187" i="3"/>
  <c r="C187" i="3"/>
  <c r="P186" i="3"/>
  <c r="E186" i="3"/>
  <c r="L185" i="3"/>
  <c r="C185" i="3"/>
  <c r="I184" i="3"/>
  <c r="AN183" i="3"/>
  <c r="G183" i="3"/>
  <c r="W182" i="3"/>
  <c r="F182" i="3"/>
  <c r="U181" i="3"/>
  <c r="H181" i="3"/>
  <c r="Z180" i="3"/>
  <c r="F180" i="3"/>
  <c r="S179" i="3"/>
  <c r="D179" i="3"/>
  <c r="Q178" i="3"/>
  <c r="F178" i="3"/>
  <c r="S177" i="3"/>
  <c r="D177" i="3"/>
  <c r="J176" i="3"/>
  <c r="AU175" i="3"/>
  <c r="H175" i="3"/>
  <c r="Z174" i="3"/>
  <c r="F174" i="3"/>
  <c r="U173" i="3"/>
  <c r="E173" i="3"/>
  <c r="S172" i="3"/>
  <c r="G172" i="3"/>
  <c r="W171" i="3"/>
  <c r="I171" i="3"/>
  <c r="AN170" i="3"/>
  <c r="G170" i="3"/>
  <c r="W169" i="3"/>
  <c r="I169" i="3"/>
  <c r="AN168" i="3"/>
  <c r="L168" i="3"/>
  <c r="C168" i="3"/>
  <c r="P167" i="3"/>
  <c r="E167" i="3"/>
  <c r="S166" i="3"/>
  <c r="G166" i="3"/>
  <c r="U165" i="3"/>
  <c r="E165" i="3"/>
  <c r="S164" i="3"/>
  <c r="G164" i="3"/>
  <c r="W163" i="3"/>
  <c r="I163" i="3"/>
  <c r="AN162" i="3"/>
  <c r="L162" i="3"/>
  <c r="C162" i="3"/>
  <c r="P161" i="3"/>
  <c r="E161" i="3"/>
  <c r="S160" i="3"/>
  <c r="G160" i="3"/>
  <c r="W159" i="3"/>
  <c r="I159" i="3"/>
  <c r="AN158" i="3"/>
  <c r="L158" i="3"/>
  <c r="C158" i="3"/>
  <c r="P157" i="3"/>
  <c r="E157" i="3"/>
  <c r="S156" i="3"/>
  <c r="G156" i="3"/>
  <c r="W155" i="3"/>
  <c r="I155" i="3"/>
  <c r="AN154" i="3"/>
  <c r="L154" i="3"/>
  <c r="C154" i="3"/>
  <c r="P153" i="3"/>
  <c r="E153" i="3"/>
  <c r="L152" i="3"/>
  <c r="C152" i="3"/>
  <c r="Q151" i="3"/>
  <c r="F151" i="3"/>
  <c r="S150" i="3"/>
  <c r="D150" i="3"/>
  <c r="J149" i="3"/>
  <c r="AU148" i="3"/>
  <c r="H148" i="3"/>
  <c r="Z147" i="3"/>
  <c r="G147" i="3"/>
  <c r="W146" i="3"/>
  <c r="I146" i="3"/>
  <c r="AN145" i="3"/>
  <c r="L145" i="3"/>
  <c r="C145" i="3"/>
  <c r="Q144" i="3"/>
  <c r="F144" i="3"/>
  <c r="S143" i="3"/>
  <c r="D143" i="3"/>
  <c r="Q142" i="3"/>
  <c r="F142" i="3"/>
  <c r="U141" i="3"/>
  <c r="H141" i="3"/>
  <c r="Z140" i="3"/>
  <c r="J140" i="3"/>
  <c r="AU139" i="3"/>
  <c r="O139" i="3"/>
  <c r="D139" i="3"/>
  <c r="J138" i="3"/>
  <c r="AU137" i="3"/>
  <c r="P137" i="3"/>
  <c r="E137" i="3"/>
  <c r="S136" i="3"/>
  <c r="G136" i="3"/>
  <c r="W135" i="3"/>
  <c r="I135" i="3"/>
  <c r="AN134" i="3"/>
  <c r="O134" i="3"/>
  <c r="D134" i="3"/>
  <c r="Q133" i="3"/>
  <c r="F133" i="3"/>
  <c r="U132" i="3"/>
  <c r="H132" i="3"/>
  <c r="Z131" i="3"/>
  <c r="J131" i="3"/>
  <c r="AU130" i="3"/>
  <c r="O130" i="3"/>
  <c r="D130" i="3"/>
  <c r="Q129" i="3"/>
  <c r="F129" i="3"/>
  <c r="U128" i="3"/>
  <c r="H128" i="3"/>
  <c r="Z127" i="3"/>
  <c r="J127" i="3"/>
  <c r="AU126" i="3"/>
  <c r="O126" i="3"/>
  <c r="D126" i="3"/>
  <c r="Q125" i="3"/>
  <c r="F125" i="3"/>
  <c r="U124" i="3"/>
  <c r="H124" i="3"/>
  <c r="Z123" i="3"/>
  <c r="F123" i="3"/>
  <c r="U122" i="3"/>
  <c r="I122" i="3"/>
  <c r="AN121" i="3"/>
  <c r="G121" i="3"/>
  <c r="U120" i="3"/>
  <c r="E120" i="3"/>
  <c r="L119" i="3"/>
  <c r="C119" i="3"/>
  <c r="J118" i="3"/>
  <c r="AU117" i="3"/>
  <c r="O117" i="3"/>
  <c r="D117" i="3"/>
  <c r="Q116" i="3"/>
  <c r="F116" i="3"/>
  <c r="U115" i="3"/>
  <c r="I115" i="3"/>
  <c r="AN114" i="3"/>
  <c r="G114" i="3"/>
  <c r="W113" i="3"/>
  <c r="I113" i="3"/>
  <c r="AN112" i="3"/>
  <c r="L112" i="3"/>
  <c r="C112" i="3"/>
  <c r="P111" i="3"/>
  <c r="E111" i="3"/>
  <c r="S110" i="3"/>
  <c r="F110" i="3"/>
  <c r="U109" i="3"/>
  <c r="H109" i="3"/>
  <c r="Z108" i="3"/>
  <c r="F108" i="3"/>
  <c r="U107" i="3"/>
  <c r="I107" i="3"/>
  <c r="AN106" i="3"/>
  <c r="L106" i="3"/>
  <c r="C106" i="3"/>
  <c r="P105" i="3"/>
  <c r="E105" i="3"/>
  <c r="S104" i="3"/>
  <c r="H104" i="3"/>
  <c r="Z103" i="3"/>
  <c r="J103" i="3"/>
  <c r="AU102" i="3"/>
  <c r="O102" i="3"/>
  <c r="D102" i="3"/>
  <c r="Q101" i="3"/>
  <c r="F101" i="3"/>
  <c r="U100" i="3"/>
  <c r="G100" i="3"/>
  <c r="W99" i="3"/>
  <c r="I99" i="3"/>
  <c r="AN98" i="3"/>
  <c r="L98" i="3"/>
  <c r="C98" i="3"/>
  <c r="P97" i="3"/>
  <c r="E97" i="3"/>
  <c r="S96" i="3"/>
  <c r="G96" i="3"/>
  <c r="W95" i="3"/>
  <c r="I95" i="3"/>
  <c r="AN94" i="3"/>
  <c r="L94" i="3"/>
  <c r="C94" i="3"/>
  <c r="P93" i="3"/>
  <c r="E93" i="3"/>
  <c r="L92" i="3"/>
  <c r="C92" i="3"/>
  <c r="Q91" i="3"/>
  <c r="F91" i="3"/>
  <c r="S90" i="3"/>
  <c r="D90" i="3"/>
  <c r="J89" i="3"/>
  <c r="AU88" i="3"/>
  <c r="H88" i="3"/>
  <c r="Z87" i="3"/>
  <c r="G87" i="3"/>
  <c r="W86" i="3"/>
  <c r="I86" i="3"/>
  <c r="AN85" i="3"/>
  <c r="L85" i="3"/>
  <c r="C85" i="3"/>
  <c r="Q84" i="3"/>
  <c r="F84" i="3"/>
  <c r="S83" i="3"/>
  <c r="D83" i="3"/>
  <c r="Q82" i="3"/>
  <c r="F82" i="3"/>
  <c r="U81" i="3"/>
  <c r="H81" i="3"/>
  <c r="Z80" i="3"/>
  <c r="J80" i="3"/>
  <c r="AU79" i="3"/>
  <c r="O79" i="3"/>
  <c r="D79" i="3"/>
  <c r="J78" i="3"/>
  <c r="AU77" i="3"/>
  <c r="P77" i="3"/>
  <c r="E77" i="3"/>
  <c r="S76" i="3"/>
  <c r="G76" i="3"/>
  <c r="W75" i="3"/>
  <c r="I75" i="3"/>
  <c r="AN74" i="3"/>
  <c r="O74" i="3"/>
  <c r="D74" i="3"/>
  <c r="Q73" i="3"/>
  <c r="F73" i="3"/>
  <c r="U72" i="3"/>
  <c r="H72" i="3"/>
  <c r="Z71" i="3"/>
  <c r="J71" i="3"/>
  <c r="AU70" i="3"/>
  <c r="O70" i="3"/>
  <c r="D70" i="3"/>
  <c r="Q69" i="3"/>
  <c r="F69" i="3"/>
  <c r="U68" i="3"/>
  <c r="H68" i="3"/>
  <c r="Z67" i="3"/>
  <c r="J67" i="3"/>
  <c r="AU66" i="3"/>
  <c r="O66" i="3"/>
  <c r="D66" i="3"/>
  <c r="Q65" i="3"/>
  <c r="F65" i="3"/>
  <c r="U64" i="3"/>
  <c r="H64" i="3"/>
  <c r="Z63" i="3"/>
  <c r="F63" i="3"/>
  <c r="U62" i="3"/>
  <c r="E62" i="3"/>
  <c r="S61" i="3"/>
  <c r="D61" i="3"/>
  <c r="L60" i="3"/>
  <c r="C60" i="3"/>
  <c r="J59" i="3"/>
  <c r="AU58" i="3"/>
  <c r="I58" i="3"/>
  <c r="AN57" i="3"/>
  <c r="H57" i="3"/>
  <c r="Z56" i="3"/>
  <c r="G56" i="3"/>
  <c r="W55" i="3"/>
  <c r="J55" i="3"/>
  <c r="AU54" i="3"/>
  <c r="H54" i="3"/>
  <c r="Z53" i="3"/>
  <c r="F53" i="3"/>
  <c r="S52" i="3"/>
  <c r="D52" i="3"/>
  <c r="L51" i="3"/>
  <c r="C51" i="3"/>
  <c r="P50" i="3"/>
  <c r="E50" i="3"/>
  <c r="S49" i="3"/>
  <c r="G49" i="3"/>
  <c r="W48" i="3"/>
  <c r="J48" i="3"/>
  <c r="AU47" i="3"/>
  <c r="H47" i="3"/>
  <c r="Z46" i="3"/>
  <c r="J46" i="3"/>
  <c r="AU45" i="3"/>
  <c r="O45" i="3"/>
  <c r="D45" i="3"/>
  <c r="Q44" i="3"/>
  <c r="F44" i="3"/>
  <c r="U43" i="3"/>
  <c r="H43" i="3"/>
  <c r="Z42" i="3"/>
  <c r="F42" i="3"/>
  <c r="U41" i="3"/>
  <c r="I41" i="3"/>
  <c r="AN40" i="3"/>
  <c r="L40" i="3"/>
  <c r="C40" i="3"/>
  <c r="P39" i="3"/>
  <c r="E39" i="3"/>
  <c r="S38" i="3"/>
  <c r="H38" i="3"/>
  <c r="Z37" i="3"/>
  <c r="J37" i="3"/>
  <c r="AU36" i="3"/>
  <c r="O36" i="3"/>
  <c r="D36" i="3"/>
  <c r="Q35" i="3"/>
  <c r="F35" i="3"/>
  <c r="U34" i="3"/>
  <c r="H34" i="3"/>
  <c r="Z33" i="3"/>
  <c r="J33" i="3"/>
  <c r="AU32" i="3"/>
  <c r="O32" i="3"/>
  <c r="D32" i="3"/>
  <c r="Q31" i="3"/>
  <c r="F31" i="3"/>
  <c r="U30" i="3"/>
  <c r="H30" i="3"/>
  <c r="Z29" i="3"/>
  <c r="J29" i="3"/>
  <c r="AU28" i="3"/>
  <c r="O28" i="3"/>
  <c r="D28" i="3"/>
  <c r="J27" i="3"/>
  <c r="AU26" i="3"/>
  <c r="H26" i="3"/>
  <c r="Z25" i="3"/>
  <c r="F25" i="3"/>
  <c r="S24" i="3"/>
  <c r="D24" i="3"/>
  <c r="L23" i="3"/>
  <c r="C23" i="3"/>
  <c r="P22" i="3"/>
  <c r="E22" i="3"/>
  <c r="S21" i="3"/>
  <c r="G21" i="3"/>
  <c r="U20" i="3"/>
  <c r="E20" i="3"/>
  <c r="S19" i="3"/>
  <c r="G19" i="3"/>
  <c r="W18" i="3"/>
  <c r="I18" i="3"/>
  <c r="AN17" i="3"/>
  <c r="L17" i="3"/>
  <c r="C17" i="3"/>
  <c r="P16" i="3"/>
  <c r="E16" i="3"/>
  <c r="L15" i="3"/>
  <c r="C15" i="3"/>
  <c r="P14" i="3"/>
  <c r="E14" i="3"/>
  <c r="S13" i="3"/>
  <c r="G13" i="3"/>
  <c r="W12" i="3"/>
  <c r="I12" i="3"/>
  <c r="AN11" i="3"/>
  <c r="L11" i="3"/>
  <c r="C11" i="3"/>
  <c r="P10" i="3"/>
  <c r="E10" i="3"/>
  <c r="S9" i="3"/>
  <c r="G9" i="3"/>
  <c r="W8" i="3"/>
  <c r="I8" i="3"/>
  <c r="AN7" i="3"/>
  <c r="L7" i="3"/>
  <c r="C7" i="3"/>
  <c r="P6" i="3"/>
  <c r="E6" i="3"/>
  <c r="S5" i="3"/>
  <c r="G5" i="3"/>
  <c r="W4" i="3"/>
  <c r="I4" i="3"/>
  <c r="AN3" i="3"/>
  <c r="L3" i="3"/>
  <c r="C3" i="3"/>
  <c r="I2" i="3"/>
  <c r="S441" i="3"/>
  <c r="D381" i="3"/>
  <c r="Q352" i="3"/>
  <c r="G324" i="3"/>
  <c r="L311" i="3"/>
  <c r="AN307" i="3"/>
  <c r="I304" i="3"/>
  <c r="G300" i="3"/>
  <c r="C296" i="3"/>
  <c r="L292" i="3"/>
  <c r="Q288" i="3"/>
  <c r="E285" i="3"/>
  <c r="P281" i="3"/>
  <c r="AU277" i="3"/>
  <c r="J274" i="3"/>
  <c r="AN270" i="3"/>
  <c r="I267" i="3"/>
  <c r="U263" i="3"/>
  <c r="G260" i="3"/>
  <c r="S256" i="3"/>
  <c r="D253" i="3"/>
  <c r="O249" i="3"/>
  <c r="I245" i="3"/>
  <c r="R241" i="3"/>
  <c r="AN237" i="3"/>
  <c r="D234" i="3"/>
  <c r="Q230" i="3"/>
  <c r="D227" i="3"/>
  <c r="L223" i="3"/>
  <c r="AN219" i="3"/>
  <c r="E216" i="3"/>
  <c r="U212" i="3"/>
  <c r="J211" i="3"/>
  <c r="AU210" i="3"/>
  <c r="O210" i="3"/>
  <c r="D210" i="3"/>
  <c r="R209" i="3"/>
  <c r="G209" i="3"/>
  <c r="W208" i="3"/>
  <c r="I208" i="3"/>
  <c r="AN207" i="3"/>
  <c r="L207" i="3"/>
  <c r="C207" i="3"/>
  <c r="P206" i="3"/>
  <c r="E206" i="3"/>
  <c r="S205" i="3"/>
  <c r="G205" i="3"/>
  <c r="W204" i="3"/>
  <c r="I204" i="3"/>
  <c r="AN203" i="3"/>
  <c r="L203" i="3"/>
  <c r="C203" i="3"/>
  <c r="Q202" i="3"/>
  <c r="D202" i="3"/>
  <c r="Q201" i="3"/>
  <c r="F201" i="3"/>
  <c r="U200" i="3"/>
  <c r="I200" i="3"/>
  <c r="AN199" i="3"/>
  <c r="L199" i="3"/>
  <c r="C199" i="3"/>
  <c r="P198" i="3"/>
  <c r="E198" i="3"/>
  <c r="S197" i="3"/>
  <c r="G197" i="3"/>
  <c r="W196" i="3"/>
  <c r="I196" i="3"/>
  <c r="AN195" i="3"/>
  <c r="L195" i="3"/>
  <c r="C195" i="3"/>
  <c r="P194" i="3"/>
  <c r="E194" i="3"/>
  <c r="S193" i="3"/>
  <c r="F193" i="3"/>
  <c r="U192" i="3"/>
  <c r="H192" i="3"/>
  <c r="Z191" i="3"/>
  <c r="J191" i="3"/>
  <c r="AU190" i="3"/>
  <c r="O190" i="3"/>
  <c r="D190" i="3"/>
  <c r="Q189" i="3"/>
  <c r="F189" i="3"/>
  <c r="U188" i="3"/>
  <c r="H188" i="3"/>
  <c r="Z187" i="3"/>
  <c r="J187" i="3"/>
  <c r="AU186" i="3"/>
  <c r="O186" i="3"/>
  <c r="D186" i="3"/>
  <c r="J185" i="3"/>
  <c r="AU184" i="3"/>
  <c r="H184" i="3"/>
  <c r="Z183" i="3"/>
  <c r="F183" i="3"/>
  <c r="U182" i="3"/>
  <c r="E182" i="3"/>
  <c r="S181" i="3"/>
  <c r="G181" i="3"/>
  <c r="U180" i="3"/>
  <c r="E180" i="3"/>
  <c r="L179" i="3"/>
  <c r="C179" i="3"/>
  <c r="P178" i="3"/>
  <c r="E178" i="3"/>
  <c r="L177" i="3"/>
  <c r="C177" i="3"/>
  <c r="I176" i="3"/>
  <c r="AN175" i="3"/>
  <c r="G175" i="3"/>
  <c r="U174" i="3"/>
  <c r="E174" i="3"/>
  <c r="S173" i="3"/>
  <c r="D173" i="3"/>
  <c r="Q172" i="3"/>
  <c r="F172" i="3"/>
  <c r="U171" i="3"/>
  <c r="H171" i="3"/>
  <c r="Z170" i="3"/>
  <c r="F170" i="3"/>
  <c r="U169" i="3"/>
  <c r="H169" i="3"/>
  <c r="Z168" i="3"/>
  <c r="J168" i="3"/>
  <c r="AU167" i="3"/>
  <c r="O167" i="3"/>
  <c r="D167" i="3"/>
  <c r="Q166" i="3"/>
  <c r="F166" i="3"/>
  <c r="S165" i="3"/>
  <c r="D165" i="3"/>
  <c r="Q164" i="3"/>
  <c r="F164" i="3"/>
  <c r="U163" i="3"/>
  <c r="H163" i="3"/>
  <c r="Z162" i="3"/>
  <c r="J162" i="3"/>
  <c r="AU161" i="3"/>
  <c r="O161" i="3"/>
  <c r="D161" i="3"/>
  <c r="Q160" i="3"/>
  <c r="F160" i="3"/>
  <c r="U159" i="3"/>
  <c r="H159" i="3"/>
  <c r="Z158" i="3"/>
  <c r="J158" i="3"/>
  <c r="AU157" i="3"/>
  <c r="O157" i="3"/>
  <c r="D157" i="3"/>
  <c r="Q156" i="3"/>
  <c r="F156" i="3"/>
  <c r="U155" i="3"/>
  <c r="H155" i="3"/>
  <c r="Z154" i="3"/>
  <c r="J154" i="3"/>
  <c r="AU153" i="3"/>
  <c r="O153" i="3"/>
  <c r="D153" i="3"/>
  <c r="J152" i="3"/>
  <c r="AU151" i="3"/>
  <c r="P151" i="3"/>
  <c r="E151" i="3"/>
  <c r="L150" i="3"/>
  <c r="C150" i="3"/>
  <c r="I149" i="3"/>
  <c r="AN148" i="3"/>
  <c r="G148" i="3"/>
  <c r="W147" i="3"/>
  <c r="F147" i="3"/>
  <c r="U146" i="3"/>
  <c r="H146" i="3"/>
  <c r="Z145" i="3"/>
  <c r="J145" i="3"/>
  <c r="AU144" i="3"/>
  <c r="P144" i="3"/>
  <c r="E144" i="3"/>
  <c r="L143" i="3"/>
  <c r="C143" i="3"/>
  <c r="P142" i="3"/>
  <c r="E142" i="3"/>
  <c r="S141" i="3"/>
  <c r="G141" i="3"/>
  <c r="W140" i="3"/>
  <c r="I140" i="3"/>
  <c r="AN139" i="3"/>
  <c r="L139" i="3"/>
  <c r="C139" i="3"/>
  <c r="I138" i="3"/>
  <c r="AN137" i="3"/>
  <c r="O137" i="3"/>
  <c r="D137" i="3"/>
  <c r="Q136" i="3"/>
  <c r="F136" i="3"/>
  <c r="U135" i="3"/>
  <c r="H135" i="3"/>
  <c r="Z134" i="3"/>
  <c r="L134" i="3"/>
  <c r="C134" i="3"/>
  <c r="P133" i="3"/>
  <c r="E133" i="3"/>
  <c r="S132" i="3"/>
  <c r="G132" i="3"/>
  <c r="W131" i="3"/>
  <c r="I131" i="3"/>
  <c r="AN130" i="3"/>
  <c r="L130" i="3"/>
  <c r="C130" i="3"/>
  <c r="P129" i="3"/>
  <c r="E129" i="3"/>
  <c r="S128" i="3"/>
  <c r="G128" i="3"/>
  <c r="W127" i="3"/>
  <c r="I127" i="3"/>
  <c r="AN126" i="3"/>
  <c r="L126" i="3"/>
  <c r="C126" i="3"/>
  <c r="P125" i="3"/>
  <c r="E125" i="3"/>
  <c r="S124" i="3"/>
  <c r="G124" i="3"/>
  <c r="U123" i="3"/>
  <c r="E123" i="3"/>
  <c r="S122" i="3"/>
  <c r="H122" i="3"/>
  <c r="Z121" i="3"/>
  <c r="F121" i="3"/>
  <c r="S120" i="3"/>
  <c r="D120" i="3"/>
  <c r="J119" i="3"/>
  <c r="AU118" i="3"/>
  <c r="I118" i="3"/>
  <c r="AN117" i="3"/>
  <c r="L117" i="3"/>
  <c r="C117" i="3"/>
  <c r="P116" i="3"/>
  <c r="E116" i="3"/>
  <c r="S115" i="3"/>
  <c r="H115" i="3"/>
  <c r="Z114" i="3"/>
  <c r="F114" i="3"/>
  <c r="U113" i="3"/>
  <c r="H113" i="3"/>
  <c r="Z112" i="3"/>
  <c r="J112" i="3"/>
  <c r="AU111" i="3"/>
  <c r="O111" i="3"/>
  <c r="D111" i="3"/>
  <c r="R110" i="3"/>
  <c r="E110" i="3"/>
  <c r="S109" i="3"/>
  <c r="G109" i="3"/>
  <c r="U108" i="3"/>
  <c r="E108" i="3"/>
  <c r="S107" i="3"/>
  <c r="H107" i="3"/>
  <c r="Z106" i="3"/>
  <c r="J106" i="3"/>
  <c r="AU105" i="3"/>
  <c r="O105" i="3"/>
  <c r="D105" i="3"/>
  <c r="R104" i="3"/>
  <c r="G104" i="3"/>
  <c r="W103" i="3"/>
  <c r="I103" i="3"/>
  <c r="AN102" i="3"/>
  <c r="L102" i="3"/>
  <c r="C102" i="3"/>
  <c r="P101" i="3"/>
  <c r="E101" i="3"/>
  <c r="S100" i="3"/>
  <c r="F100" i="3"/>
  <c r="U99" i="3"/>
  <c r="H99" i="3"/>
  <c r="Z98" i="3"/>
  <c r="J98" i="3"/>
  <c r="AU97" i="3"/>
  <c r="O97" i="3"/>
  <c r="D97" i="3"/>
  <c r="Q96" i="3"/>
  <c r="F96" i="3"/>
  <c r="U95" i="3"/>
  <c r="H95" i="3"/>
  <c r="Z94" i="3"/>
  <c r="J94" i="3"/>
  <c r="AU93" i="3"/>
  <c r="O93" i="3"/>
  <c r="D93" i="3"/>
  <c r="J92" i="3"/>
  <c r="AU91" i="3"/>
  <c r="P91" i="3"/>
  <c r="E91" i="3"/>
  <c r="L90" i="3"/>
  <c r="C90" i="3"/>
  <c r="I89" i="3"/>
  <c r="AN88" i="3"/>
  <c r="G88" i="3"/>
  <c r="W87" i="3"/>
  <c r="F87" i="3"/>
  <c r="U86" i="3"/>
  <c r="H86" i="3"/>
  <c r="Z85" i="3"/>
  <c r="J85" i="3"/>
  <c r="AU84" i="3"/>
  <c r="P84" i="3"/>
  <c r="E84" i="3"/>
  <c r="L83" i="3"/>
  <c r="C83" i="3"/>
  <c r="P82" i="3"/>
  <c r="E82" i="3"/>
  <c r="S81" i="3"/>
  <c r="G81" i="3"/>
  <c r="W80" i="3"/>
  <c r="I80" i="3"/>
  <c r="AN79" i="3"/>
  <c r="L79" i="3"/>
  <c r="C79" i="3"/>
  <c r="I78" i="3"/>
  <c r="AN77" i="3"/>
  <c r="O77" i="3"/>
  <c r="D77" i="3"/>
  <c r="Q76" i="3"/>
  <c r="F76" i="3"/>
  <c r="U75" i="3"/>
  <c r="H75" i="3"/>
  <c r="Z74" i="3"/>
  <c r="L74" i="3"/>
  <c r="C74" i="3"/>
  <c r="P73" i="3"/>
  <c r="E73" i="3"/>
  <c r="S72" i="3"/>
  <c r="G72" i="3"/>
  <c r="W71" i="3"/>
  <c r="I71" i="3"/>
  <c r="AN70" i="3"/>
  <c r="L70" i="3"/>
  <c r="C70" i="3"/>
  <c r="P69" i="3"/>
  <c r="E69" i="3"/>
  <c r="S68" i="3"/>
  <c r="G68" i="3"/>
  <c r="W67" i="3"/>
  <c r="I67" i="3"/>
  <c r="AN66" i="3"/>
  <c r="L66" i="3"/>
  <c r="C66" i="3"/>
  <c r="P65" i="3"/>
  <c r="E65" i="3"/>
  <c r="S64" i="3"/>
  <c r="G64" i="3"/>
  <c r="U63" i="3"/>
  <c r="E63" i="3"/>
  <c r="S62" i="3"/>
  <c r="D62" i="3"/>
  <c r="L61" i="3"/>
  <c r="C61" i="3"/>
  <c r="J60" i="3"/>
  <c r="AU59" i="3"/>
  <c r="I59" i="3"/>
  <c r="AN58" i="3"/>
  <c r="H58" i="3"/>
  <c r="Z57" i="3"/>
  <c r="G57" i="3"/>
  <c r="W56" i="3"/>
  <c r="F56" i="3"/>
  <c r="U55" i="3"/>
  <c r="I55" i="3"/>
  <c r="AN54" i="3"/>
  <c r="G54" i="3"/>
  <c r="U53" i="3"/>
  <c r="E53" i="3"/>
  <c r="L52" i="3"/>
  <c r="C52" i="3"/>
  <c r="J51" i="3"/>
  <c r="AU50" i="3"/>
  <c r="O50" i="3"/>
  <c r="D50" i="3"/>
  <c r="Q49" i="3"/>
  <c r="F49" i="3"/>
  <c r="U48" i="3"/>
  <c r="I48" i="3"/>
  <c r="AN47" i="3"/>
  <c r="G47" i="3"/>
  <c r="W46" i="3"/>
  <c r="I46" i="3"/>
  <c r="AN45" i="3"/>
  <c r="L45" i="3"/>
  <c r="C45" i="3"/>
  <c r="P44" i="3"/>
  <c r="E44" i="3"/>
  <c r="S43" i="3"/>
  <c r="G43" i="3"/>
  <c r="U42" i="3"/>
  <c r="E42" i="3"/>
  <c r="S41" i="3"/>
  <c r="H41" i="3"/>
  <c r="Z40" i="3"/>
  <c r="J40" i="3"/>
  <c r="AU39" i="3"/>
  <c r="O39" i="3"/>
  <c r="D39" i="3"/>
  <c r="R38" i="3"/>
  <c r="G38" i="3"/>
  <c r="W37" i="3"/>
  <c r="I37" i="3"/>
  <c r="AN36" i="3"/>
  <c r="L36" i="3"/>
  <c r="C36" i="3"/>
  <c r="P35" i="3"/>
  <c r="E35" i="3"/>
  <c r="S34" i="3"/>
  <c r="G34" i="3"/>
  <c r="W33" i="3"/>
  <c r="I33" i="3"/>
  <c r="AN32" i="3"/>
  <c r="L32" i="3"/>
  <c r="C32" i="3"/>
  <c r="P31" i="3"/>
  <c r="E31" i="3"/>
  <c r="S30" i="3"/>
  <c r="G30" i="3"/>
  <c r="W29" i="3"/>
  <c r="I29" i="3"/>
  <c r="AN28" i="3"/>
  <c r="L28" i="3"/>
  <c r="C28" i="3"/>
  <c r="I27" i="3"/>
  <c r="AN26" i="3"/>
  <c r="G26" i="3"/>
  <c r="U25" i="3"/>
  <c r="E25" i="3"/>
  <c r="L24" i="3"/>
  <c r="C24" i="3"/>
  <c r="J23" i="3"/>
  <c r="AU22" i="3"/>
  <c r="O22" i="3"/>
  <c r="D22" i="3"/>
  <c r="Q21" i="3"/>
  <c r="F21" i="3"/>
  <c r="S20" i="3"/>
  <c r="D20" i="3"/>
  <c r="Q19" i="3"/>
  <c r="F19" i="3"/>
  <c r="U18" i="3"/>
  <c r="H18" i="3"/>
  <c r="Z17" i="3"/>
  <c r="J17" i="3"/>
  <c r="AU16" i="3"/>
  <c r="O16" i="3"/>
  <c r="D16" i="3"/>
  <c r="J15" i="3"/>
  <c r="AU14" i="3"/>
  <c r="O14" i="3"/>
  <c r="D14" i="3"/>
  <c r="Q13" i="3"/>
  <c r="F13" i="3"/>
  <c r="U12" i="3"/>
  <c r="H12" i="3"/>
  <c r="Z11" i="3"/>
  <c r="J11" i="3"/>
  <c r="AU10" i="3"/>
  <c r="O10" i="3"/>
  <c r="D10" i="3"/>
  <c r="Q9" i="3"/>
  <c r="F9" i="3"/>
  <c r="U8" i="3"/>
  <c r="H8" i="3"/>
  <c r="Z7" i="3"/>
  <c r="J7" i="3"/>
  <c r="AU6" i="3"/>
  <c r="O6" i="3"/>
  <c r="D6" i="3"/>
  <c r="Q5" i="3"/>
  <c r="F5" i="3"/>
  <c r="U4" i="3"/>
  <c r="H4" i="3"/>
  <c r="Z3" i="3"/>
  <c r="J3" i="3"/>
  <c r="AU2" i="3"/>
  <c r="H2" i="3"/>
  <c r="D427" i="3"/>
  <c r="O377" i="3"/>
  <c r="E349" i="3"/>
  <c r="S320" i="3"/>
  <c r="C311" i="3"/>
  <c r="L307" i="3"/>
  <c r="AN303" i="3"/>
  <c r="U299" i="3"/>
  <c r="P295" i="3"/>
  <c r="C292" i="3"/>
  <c r="F288" i="3"/>
  <c r="S284" i="3"/>
  <c r="E281" i="3"/>
  <c r="O277" i="3"/>
  <c r="AU273" i="3"/>
  <c r="L270" i="3"/>
  <c r="AN266" i="3"/>
  <c r="I263" i="3"/>
  <c r="W259" i="3"/>
  <c r="F256" i="3"/>
  <c r="Q252" i="3"/>
  <c r="D249" i="3"/>
  <c r="AN244" i="3"/>
  <c r="G241" i="3"/>
  <c r="L237" i="3"/>
  <c r="R233" i="3"/>
  <c r="F230" i="3"/>
  <c r="R226" i="3"/>
  <c r="C223" i="3"/>
  <c r="L219" i="3"/>
  <c r="S215" i="3"/>
  <c r="P212" i="3"/>
  <c r="I211" i="3"/>
  <c r="AN210" i="3"/>
  <c r="L210" i="3"/>
  <c r="C210" i="3"/>
  <c r="Q209" i="3"/>
  <c r="F209" i="3"/>
  <c r="U208" i="3"/>
  <c r="H208" i="3"/>
  <c r="Z207" i="3"/>
  <c r="J207" i="3"/>
  <c r="AU206" i="3"/>
  <c r="O206" i="3"/>
  <c r="D206" i="3"/>
  <c r="Q205" i="3"/>
  <c r="F205" i="3"/>
  <c r="U204" i="3"/>
  <c r="H204" i="3"/>
  <c r="Z203" i="3"/>
  <c r="J203" i="3"/>
  <c r="AU202" i="3"/>
  <c r="L202" i="3"/>
  <c r="C202" i="3"/>
  <c r="P201" i="3"/>
  <c r="E201" i="3"/>
  <c r="S200" i="3"/>
  <c r="H200" i="3"/>
  <c r="Z199" i="3"/>
  <c r="J199" i="3"/>
  <c r="AU198" i="3"/>
  <c r="O198" i="3"/>
  <c r="D198" i="3"/>
  <c r="Q197" i="3"/>
  <c r="F197" i="3"/>
  <c r="U196" i="3"/>
  <c r="H196" i="3"/>
  <c r="Z195" i="3"/>
  <c r="J195" i="3"/>
  <c r="AU194" i="3"/>
  <c r="O194" i="3"/>
  <c r="D194" i="3"/>
  <c r="R193" i="3"/>
  <c r="E193" i="3"/>
  <c r="S192" i="3"/>
  <c r="G192" i="3"/>
  <c r="W191" i="3"/>
  <c r="I191" i="3"/>
  <c r="AN190" i="3"/>
  <c r="L190" i="3"/>
  <c r="C190" i="3"/>
  <c r="P189" i="3"/>
  <c r="E189" i="3"/>
  <c r="S188" i="3"/>
  <c r="G188" i="3"/>
  <c r="W187" i="3"/>
  <c r="I187" i="3"/>
  <c r="AN186" i="3"/>
  <c r="L186" i="3"/>
  <c r="C186" i="3"/>
  <c r="I185" i="3"/>
  <c r="AN184" i="3"/>
  <c r="G184" i="3"/>
  <c r="U183" i="3"/>
  <c r="E183" i="3"/>
  <c r="S182" i="3"/>
  <c r="D182" i="3"/>
  <c r="Q181" i="3"/>
  <c r="F181" i="3"/>
  <c r="S180" i="3"/>
  <c r="D180" i="3"/>
  <c r="J179" i="3"/>
  <c r="AU178" i="3"/>
  <c r="O178" i="3"/>
  <c r="D178" i="3"/>
  <c r="J177" i="3"/>
  <c r="AU176" i="3"/>
  <c r="H176" i="3"/>
  <c r="Z175" i="3"/>
  <c r="F175" i="3"/>
  <c r="S174" i="3"/>
  <c r="D174" i="3"/>
  <c r="L173" i="3"/>
  <c r="C173" i="3"/>
  <c r="P172" i="3"/>
  <c r="E172" i="3"/>
  <c r="S171" i="3"/>
  <c r="G171" i="3"/>
  <c r="U170" i="3"/>
  <c r="E170" i="3"/>
  <c r="S169" i="3"/>
  <c r="G169" i="3"/>
  <c r="W168" i="3"/>
  <c r="I168" i="3"/>
  <c r="AN167" i="3"/>
  <c r="L167" i="3"/>
  <c r="C167" i="3"/>
  <c r="P166" i="3"/>
  <c r="E166" i="3"/>
  <c r="L165" i="3"/>
  <c r="C165" i="3"/>
  <c r="P164" i="3"/>
  <c r="E164" i="3"/>
  <c r="S163" i="3"/>
  <c r="G163" i="3"/>
  <c r="W162" i="3"/>
  <c r="I162" i="3"/>
  <c r="AN161" i="3"/>
  <c r="L161" i="3"/>
  <c r="C161" i="3"/>
  <c r="P160" i="3"/>
  <c r="E160" i="3"/>
  <c r="S159" i="3"/>
  <c r="G159" i="3"/>
  <c r="W158" i="3"/>
  <c r="I158" i="3"/>
  <c r="AN157" i="3"/>
  <c r="L157" i="3"/>
  <c r="C157" i="3"/>
  <c r="P156" i="3"/>
  <c r="E156" i="3"/>
  <c r="S155" i="3"/>
  <c r="G155" i="3"/>
  <c r="W154" i="3"/>
  <c r="I154" i="3"/>
  <c r="AN153" i="3"/>
  <c r="L153" i="3"/>
  <c r="C153" i="3"/>
  <c r="I152" i="3"/>
  <c r="AN151" i="3"/>
  <c r="O151" i="3"/>
  <c r="D151" i="3"/>
  <c r="J150" i="3"/>
  <c r="AU149" i="3"/>
  <c r="H149" i="3"/>
  <c r="Z148" i="3"/>
  <c r="F148" i="3"/>
  <c r="U147" i="3"/>
  <c r="E147" i="3"/>
  <c r="S146" i="3"/>
  <c r="G146" i="3"/>
  <c r="W145" i="3"/>
  <c r="I145" i="3"/>
  <c r="AN144" i="3"/>
  <c r="O144" i="3"/>
  <c r="D144" i="3"/>
  <c r="J143" i="3"/>
  <c r="AU142" i="3"/>
  <c r="O142" i="3"/>
  <c r="D142" i="3"/>
  <c r="Q141" i="3"/>
  <c r="F141" i="3"/>
  <c r="U140" i="3"/>
  <c r="H140" i="3"/>
  <c r="Z139" i="3"/>
  <c r="J139" i="3"/>
  <c r="AU138" i="3"/>
  <c r="H138" i="3"/>
  <c r="Z137" i="3"/>
  <c r="L137" i="3"/>
  <c r="C137" i="3"/>
  <c r="P136" i="3"/>
  <c r="E136" i="3"/>
  <c r="S135" i="3"/>
  <c r="G135" i="3"/>
  <c r="W134" i="3"/>
  <c r="J134" i="3"/>
  <c r="AU133" i="3"/>
  <c r="O133" i="3"/>
  <c r="D133" i="3"/>
  <c r="Q132" i="3"/>
  <c r="F132" i="3"/>
  <c r="U131" i="3"/>
  <c r="H131" i="3"/>
  <c r="Z130" i="3"/>
  <c r="J130" i="3"/>
  <c r="AU129" i="3"/>
  <c r="O129" i="3"/>
  <c r="D129" i="3"/>
  <c r="Q128" i="3"/>
  <c r="F128" i="3"/>
  <c r="U127" i="3"/>
  <c r="H127" i="3"/>
  <c r="Z126" i="3"/>
  <c r="J126" i="3"/>
  <c r="AU125" i="3"/>
  <c r="O125" i="3"/>
  <c r="D125" i="3"/>
  <c r="Q124" i="3"/>
  <c r="F124" i="3"/>
  <c r="S123" i="3"/>
  <c r="D123" i="3"/>
  <c r="R122" i="3"/>
  <c r="G122" i="3"/>
  <c r="U121" i="3"/>
  <c r="E121" i="3"/>
  <c r="L120" i="3"/>
  <c r="C120" i="3"/>
  <c r="I119" i="3"/>
  <c r="AN118" i="3"/>
  <c r="H118" i="3"/>
  <c r="Z117" i="3"/>
  <c r="J117" i="3"/>
  <c r="AU116" i="3"/>
  <c r="O116" i="3"/>
  <c r="D116" i="3"/>
  <c r="R115" i="3"/>
  <c r="G115" i="3"/>
  <c r="U114" i="3"/>
  <c r="E114" i="3"/>
  <c r="S113" i="3"/>
  <c r="G113" i="3"/>
  <c r="W112" i="3"/>
  <c r="I112" i="3"/>
  <c r="AN111" i="3"/>
  <c r="L111" i="3"/>
  <c r="C111" i="3"/>
  <c r="Q110" i="3"/>
  <c r="D110" i="3"/>
  <c r="Q109" i="3"/>
  <c r="F109" i="3"/>
  <c r="S108" i="3"/>
  <c r="D108" i="3"/>
  <c r="R107" i="3"/>
  <c r="G107" i="3"/>
  <c r="W106" i="3"/>
  <c r="I106" i="3"/>
  <c r="AN105" i="3"/>
  <c r="L105" i="3"/>
  <c r="C105" i="3"/>
  <c r="Q104" i="3"/>
  <c r="F104" i="3"/>
  <c r="U103" i="3"/>
  <c r="H103" i="3"/>
  <c r="Z102" i="3"/>
  <c r="J102" i="3"/>
  <c r="AU101" i="3"/>
  <c r="O101" i="3"/>
  <c r="D101" i="3"/>
  <c r="R100" i="3"/>
  <c r="E100" i="3"/>
  <c r="S99" i="3"/>
  <c r="G99" i="3"/>
  <c r="W98" i="3"/>
  <c r="I98" i="3"/>
  <c r="AN97" i="3"/>
  <c r="L97" i="3"/>
  <c r="C97" i="3"/>
  <c r="P96" i="3"/>
  <c r="E96" i="3"/>
  <c r="S95" i="3"/>
  <c r="G95" i="3"/>
  <c r="W94" i="3"/>
  <c r="I94" i="3"/>
  <c r="AN93" i="3"/>
  <c r="L93" i="3"/>
  <c r="C93" i="3"/>
  <c r="I92" i="3"/>
  <c r="AN91" i="3"/>
  <c r="O91" i="3"/>
  <c r="D91" i="3"/>
  <c r="J90" i="3"/>
  <c r="AU89" i="3"/>
  <c r="H89" i="3"/>
  <c r="Z88" i="3"/>
  <c r="F88" i="3"/>
  <c r="U87" i="3"/>
  <c r="E87" i="3"/>
  <c r="S86" i="3"/>
  <c r="G86" i="3"/>
  <c r="W85" i="3"/>
  <c r="I85" i="3"/>
  <c r="AN84" i="3"/>
  <c r="O84" i="3"/>
  <c r="D84" i="3"/>
  <c r="J83" i="3"/>
  <c r="AU82" i="3"/>
  <c r="O82" i="3"/>
  <c r="D82" i="3"/>
  <c r="Q81" i="3"/>
  <c r="F81" i="3"/>
  <c r="U80" i="3"/>
  <c r="H80" i="3"/>
  <c r="Z79" i="3"/>
  <c r="J79" i="3"/>
  <c r="AU78" i="3"/>
  <c r="H78" i="3"/>
  <c r="Z77" i="3"/>
  <c r="L77" i="3"/>
  <c r="C77" i="3"/>
  <c r="P76" i="3"/>
  <c r="E76" i="3"/>
  <c r="S75" i="3"/>
  <c r="G75" i="3"/>
  <c r="W74" i="3"/>
  <c r="J74" i="3"/>
  <c r="AU73" i="3"/>
  <c r="O73" i="3"/>
  <c r="D73" i="3"/>
  <c r="Q72" i="3"/>
  <c r="F72" i="3"/>
  <c r="U71" i="3"/>
  <c r="H71" i="3"/>
  <c r="Z70" i="3"/>
  <c r="J70" i="3"/>
  <c r="AU69" i="3"/>
  <c r="O69" i="3"/>
  <c r="D69" i="3"/>
  <c r="Q68" i="3"/>
  <c r="F68" i="3"/>
  <c r="U67" i="3"/>
  <c r="H67" i="3"/>
  <c r="Z66" i="3"/>
  <c r="J66" i="3"/>
  <c r="AU65" i="3"/>
  <c r="O65" i="3"/>
  <c r="D65" i="3"/>
  <c r="Q64" i="3"/>
  <c r="F64" i="3"/>
  <c r="S63" i="3"/>
  <c r="D63" i="3"/>
  <c r="L62" i="3"/>
  <c r="C62" i="3"/>
  <c r="J61" i="3"/>
  <c r="AU60" i="3"/>
  <c r="I60" i="3"/>
  <c r="AN59" i="3"/>
  <c r="H59" i="3"/>
  <c r="Z58" i="3"/>
  <c r="G58" i="3"/>
  <c r="W57" i="3"/>
  <c r="F57" i="3"/>
  <c r="U56" i="3"/>
  <c r="E56" i="3"/>
  <c r="S55" i="3"/>
  <c r="H55" i="3"/>
  <c r="Z54" i="3"/>
  <c r="F54" i="3"/>
  <c r="S53" i="3"/>
  <c r="D53" i="3"/>
  <c r="J52" i="3"/>
  <c r="AU51" i="3"/>
  <c r="I51" i="3"/>
  <c r="AN50" i="3"/>
  <c r="L50" i="3"/>
  <c r="C50" i="3"/>
  <c r="P49" i="3"/>
  <c r="E49" i="3"/>
  <c r="S48" i="3"/>
  <c r="H48" i="3"/>
  <c r="Z47" i="3"/>
  <c r="F47" i="3"/>
  <c r="U46" i="3"/>
  <c r="H46" i="3"/>
  <c r="Z45" i="3"/>
  <c r="J45" i="3"/>
  <c r="AU44" i="3"/>
  <c r="O44" i="3"/>
  <c r="D44" i="3"/>
  <c r="Q43" i="3"/>
  <c r="F43" i="3"/>
  <c r="S42" i="3"/>
  <c r="D42" i="3"/>
  <c r="R41" i="3"/>
  <c r="G41" i="3"/>
  <c r="W40" i="3"/>
  <c r="I40" i="3"/>
  <c r="AN39" i="3"/>
  <c r="L39" i="3"/>
  <c r="C39" i="3"/>
  <c r="Q38" i="3"/>
  <c r="F38" i="3"/>
  <c r="U37" i="3"/>
  <c r="H37" i="3"/>
  <c r="Z36" i="3"/>
  <c r="J36" i="3"/>
  <c r="AU35" i="3"/>
  <c r="O35" i="3"/>
  <c r="D35" i="3"/>
  <c r="Q34" i="3"/>
  <c r="F34" i="3"/>
  <c r="U33" i="3"/>
  <c r="H33" i="3"/>
  <c r="Z32" i="3"/>
  <c r="J32" i="3"/>
  <c r="AU31" i="3"/>
  <c r="O31" i="3"/>
  <c r="D31" i="3"/>
  <c r="Q30" i="3"/>
  <c r="F30" i="3"/>
  <c r="U29" i="3"/>
  <c r="H29" i="3"/>
  <c r="Z28" i="3"/>
  <c r="J28" i="3"/>
  <c r="AU27" i="3"/>
  <c r="H27" i="3"/>
  <c r="Z26" i="3"/>
  <c r="F26" i="3"/>
  <c r="S25" i="3"/>
  <c r="D25" i="3"/>
  <c r="J24" i="3"/>
  <c r="AU23" i="3"/>
  <c r="I23" i="3"/>
  <c r="AN22" i="3"/>
  <c r="L22" i="3"/>
  <c r="C22" i="3"/>
  <c r="P21" i="3"/>
  <c r="E21" i="3"/>
  <c r="L20" i="3"/>
  <c r="C20" i="3"/>
  <c r="P19" i="3"/>
  <c r="E19" i="3"/>
  <c r="S18" i="3"/>
  <c r="G18" i="3"/>
  <c r="W17" i="3"/>
  <c r="I17" i="3"/>
  <c r="AN16" i="3"/>
  <c r="L16" i="3"/>
  <c r="C16" i="3"/>
  <c r="I15" i="3"/>
  <c r="AN14" i="3"/>
  <c r="L14" i="3"/>
  <c r="C14" i="3"/>
  <c r="P13" i="3"/>
  <c r="E13" i="3"/>
  <c r="S12" i="3"/>
  <c r="G12" i="3"/>
  <c r="W11" i="3"/>
  <c r="I11" i="3"/>
  <c r="AN10" i="3"/>
  <c r="L10" i="3"/>
  <c r="C10" i="3"/>
  <c r="P9" i="3"/>
  <c r="E9" i="3"/>
  <c r="S8" i="3"/>
  <c r="G8" i="3"/>
  <c r="W7" i="3"/>
  <c r="I7" i="3"/>
  <c r="AN6" i="3"/>
  <c r="L6" i="3"/>
  <c r="C6" i="3"/>
  <c r="P5" i="3"/>
  <c r="E5" i="3"/>
  <c r="S4" i="3"/>
  <c r="G4" i="3"/>
  <c r="W3" i="3"/>
  <c r="I3" i="3"/>
  <c r="AN2" i="3"/>
  <c r="G2" i="3"/>
  <c r="I411" i="3"/>
  <c r="P310" i="3"/>
  <c r="E295" i="3"/>
  <c r="S280" i="3"/>
  <c r="L266" i="3"/>
  <c r="F252" i="3"/>
  <c r="C237" i="3"/>
  <c r="P222" i="3"/>
  <c r="H211" i="3"/>
  <c r="P209" i="3"/>
  <c r="W207" i="3"/>
  <c r="C206" i="3"/>
  <c r="G204" i="3"/>
  <c r="J202" i="3"/>
  <c r="R200" i="3"/>
  <c r="AN198" i="3"/>
  <c r="E197" i="3"/>
  <c r="I195" i="3"/>
  <c r="Q193" i="3"/>
  <c r="U191" i="3"/>
  <c r="AU189" i="3"/>
  <c r="F188" i="3"/>
  <c r="J186" i="3"/>
  <c r="F184" i="3"/>
  <c r="C182" i="3"/>
  <c r="C180" i="3"/>
  <c r="C178" i="3"/>
  <c r="U175" i="3"/>
  <c r="J173" i="3"/>
  <c r="Q171" i="3"/>
  <c r="Q169" i="3"/>
  <c r="Z167" i="3"/>
  <c r="D166" i="3"/>
  <c r="D164" i="3"/>
  <c r="H162" i="3"/>
  <c r="O160" i="3"/>
  <c r="U158" i="3"/>
  <c r="AU156" i="3"/>
  <c r="F155" i="3"/>
  <c r="J153" i="3"/>
  <c r="L151" i="3"/>
  <c r="G149" i="3"/>
  <c r="D147" i="3"/>
  <c r="H145" i="3"/>
  <c r="I143" i="3"/>
  <c r="P141" i="3"/>
  <c r="W139" i="3"/>
  <c r="W137" i="3"/>
  <c r="D136" i="3"/>
  <c r="I134" i="3"/>
  <c r="P132" i="3"/>
  <c r="W130" i="3"/>
  <c r="C129" i="3"/>
  <c r="G127" i="3"/>
  <c r="L125" i="3"/>
  <c r="L123" i="3"/>
  <c r="S121" i="3"/>
  <c r="H119" i="3"/>
  <c r="I117" i="3"/>
  <c r="Q115" i="3"/>
  <c r="Q113" i="3"/>
  <c r="Z111" i="3"/>
  <c r="C110" i="3"/>
  <c r="C108" i="3"/>
  <c r="H106" i="3"/>
  <c r="P104" i="3"/>
  <c r="W102" i="3"/>
  <c r="C101" i="3"/>
  <c r="F99" i="3"/>
  <c r="J97" i="3"/>
  <c r="Q95" i="3"/>
  <c r="Z93" i="3"/>
  <c r="Z91" i="3"/>
  <c r="AN89" i="3"/>
  <c r="S87" i="3"/>
  <c r="U85" i="3"/>
  <c r="C84" i="3"/>
  <c r="C82" i="3"/>
  <c r="G80" i="3"/>
  <c r="G78" i="3"/>
  <c r="O76" i="3"/>
  <c r="U74" i="3"/>
  <c r="C73" i="3"/>
  <c r="G71" i="3"/>
  <c r="L69" i="3"/>
  <c r="S67" i="3"/>
  <c r="AN65" i="3"/>
  <c r="E64" i="3"/>
  <c r="AU61" i="3"/>
  <c r="Z59" i="3"/>
  <c r="U57" i="3"/>
  <c r="R55" i="3"/>
  <c r="L53" i="3"/>
  <c r="H51" i="3"/>
  <c r="O49" i="3"/>
  <c r="U47" i="3"/>
  <c r="W45" i="3"/>
  <c r="C44" i="3"/>
  <c r="C42" i="3"/>
  <c r="H40" i="3"/>
  <c r="P38" i="3"/>
  <c r="W36" i="3"/>
  <c r="C35" i="3"/>
  <c r="G33" i="3"/>
  <c r="L31" i="3"/>
  <c r="S29" i="3"/>
  <c r="AN27" i="3"/>
  <c r="L25" i="3"/>
  <c r="H23" i="3"/>
  <c r="O21" i="3"/>
  <c r="O19" i="3"/>
  <c r="U17" i="3"/>
  <c r="AU15" i="3"/>
  <c r="AU13" i="3"/>
  <c r="F12" i="3"/>
  <c r="J10" i="3"/>
  <c r="Q8" i="3"/>
  <c r="Z6" i="3"/>
  <c r="D5" i="3"/>
  <c r="H3" i="3"/>
  <c r="I399" i="3"/>
  <c r="E310" i="3"/>
  <c r="S294" i="3"/>
  <c r="F280" i="3"/>
  <c r="C266" i="3"/>
  <c r="U251" i="3"/>
  <c r="Q236" i="3"/>
  <c r="E222" i="3"/>
  <c r="G211" i="3"/>
  <c r="O209" i="3"/>
  <c r="U207" i="3"/>
  <c r="AU205" i="3"/>
  <c r="F204" i="3"/>
  <c r="I202" i="3"/>
  <c r="Q200" i="3"/>
  <c r="Z198" i="3"/>
  <c r="D197" i="3"/>
  <c r="H195" i="3"/>
  <c r="L193" i="3"/>
  <c r="S191" i="3"/>
  <c r="AN189" i="3"/>
  <c r="E188" i="3"/>
  <c r="I186" i="3"/>
  <c r="E184" i="3"/>
  <c r="AU181" i="3"/>
  <c r="AU179" i="3"/>
  <c r="AU177" i="3"/>
  <c r="S175" i="3"/>
  <c r="I173" i="3"/>
  <c r="P171" i="3"/>
  <c r="P169" i="3"/>
  <c r="W167" i="3"/>
  <c r="C166" i="3"/>
  <c r="C164" i="3"/>
  <c r="G162" i="3"/>
  <c r="L160" i="3"/>
  <c r="S158" i="3"/>
  <c r="AN156" i="3"/>
  <c r="E155" i="3"/>
  <c r="I153" i="3"/>
  <c r="J151" i="3"/>
  <c r="F149" i="3"/>
  <c r="C147" i="3"/>
  <c r="G145" i="3"/>
  <c r="H143" i="3"/>
  <c r="O141" i="3"/>
  <c r="U139" i="3"/>
  <c r="U137" i="3"/>
  <c r="C136" i="3"/>
  <c r="H134" i="3"/>
  <c r="O132" i="3"/>
  <c r="U130" i="3"/>
  <c r="AU128" i="3"/>
  <c r="F127" i="3"/>
  <c r="J125" i="3"/>
  <c r="J123" i="3"/>
  <c r="L121" i="3"/>
  <c r="G119" i="3"/>
  <c r="H117" i="3"/>
  <c r="P115" i="3"/>
  <c r="P113" i="3"/>
  <c r="W111" i="3"/>
  <c r="AU109" i="3"/>
  <c r="AU107" i="3"/>
  <c r="G106" i="3"/>
  <c r="O104" i="3"/>
  <c r="U102" i="3"/>
  <c r="AU100" i="3"/>
  <c r="E99" i="3"/>
  <c r="I97" i="3"/>
  <c r="P95" i="3"/>
  <c r="W93" i="3"/>
  <c r="W91" i="3"/>
  <c r="Z89" i="3"/>
  <c r="L87" i="3"/>
  <c r="S85" i="3"/>
  <c r="AU83" i="3"/>
  <c r="AU81" i="3"/>
  <c r="F80" i="3"/>
  <c r="F78" i="3"/>
  <c r="L76" i="3"/>
  <c r="S74" i="3"/>
  <c r="AU72" i="3"/>
  <c r="F71" i="3"/>
  <c r="J69" i="3"/>
  <c r="Q67" i="3"/>
  <c r="Z65" i="3"/>
  <c r="D64" i="3"/>
  <c r="AN61" i="3"/>
  <c r="W59" i="3"/>
  <c r="S57" i="3"/>
  <c r="Q55" i="3"/>
  <c r="J53" i="3"/>
  <c r="G51" i="3"/>
  <c r="L49" i="3"/>
  <c r="S47" i="3"/>
  <c r="U45" i="3"/>
  <c r="AU43" i="3"/>
  <c r="AU41" i="3"/>
  <c r="G40" i="3"/>
  <c r="O38" i="3"/>
  <c r="U36" i="3"/>
  <c r="AU34" i="3"/>
  <c r="F33" i="3"/>
  <c r="J31" i="3"/>
  <c r="Q29" i="3"/>
  <c r="Z27" i="3"/>
  <c r="J25" i="3"/>
  <c r="G23" i="3"/>
  <c r="L21" i="3"/>
  <c r="L19" i="3"/>
  <c r="S17" i="3"/>
  <c r="AN15" i="3"/>
  <c r="AN13" i="3"/>
  <c r="E12" i="3"/>
  <c r="I10" i="3"/>
  <c r="P8" i="3"/>
  <c r="W6" i="3"/>
  <c r="C5" i="3"/>
  <c r="G3" i="3"/>
  <c r="AU373" i="3"/>
  <c r="C307" i="3"/>
  <c r="P291" i="3"/>
  <c r="D277" i="3"/>
  <c r="AN262" i="3"/>
  <c r="R248" i="3"/>
  <c r="G233" i="3"/>
  <c r="C219" i="3"/>
  <c r="Z210" i="3"/>
  <c r="E209" i="3"/>
  <c r="I207" i="3"/>
  <c r="P205" i="3"/>
  <c r="W203" i="3"/>
  <c r="AU201" i="3"/>
  <c r="G200" i="3"/>
  <c r="L198" i="3"/>
  <c r="S196" i="3"/>
  <c r="AN194" i="3"/>
  <c r="D193" i="3"/>
  <c r="H191" i="3"/>
  <c r="O189" i="3"/>
  <c r="U187" i="3"/>
  <c r="AU185" i="3"/>
  <c r="S183" i="3"/>
  <c r="P181" i="3"/>
  <c r="I179" i="3"/>
  <c r="I177" i="3"/>
  <c r="E175" i="3"/>
  <c r="AU172" i="3"/>
  <c r="F171" i="3"/>
  <c r="F169" i="3"/>
  <c r="J167" i="3"/>
  <c r="J165" i="3"/>
  <c r="Q163" i="3"/>
  <c r="Z161" i="3"/>
  <c r="D160" i="3"/>
  <c r="H158" i="3"/>
  <c r="O156" i="3"/>
  <c r="U154" i="3"/>
  <c r="AU152" i="3"/>
  <c r="C151" i="3"/>
  <c r="U148" i="3"/>
  <c r="Q146" i="3"/>
  <c r="Z144" i="3"/>
  <c r="AN142" i="3"/>
  <c r="E141" i="3"/>
  <c r="I139" i="3"/>
  <c r="J137" i="3"/>
  <c r="Q135" i="3"/>
  <c r="AN133" i="3"/>
  <c r="E132" i="3"/>
  <c r="I130" i="3"/>
  <c r="P128" i="3"/>
  <c r="W126" i="3"/>
  <c r="C125" i="3"/>
  <c r="C123" i="3"/>
  <c r="D121" i="3"/>
  <c r="Z118" i="3"/>
  <c r="AN116" i="3"/>
  <c r="F115" i="3"/>
  <c r="F113" i="3"/>
  <c r="J111" i="3"/>
  <c r="P109" i="3"/>
  <c r="Q107" i="3"/>
  <c r="Z105" i="3"/>
  <c r="E104" i="3"/>
  <c r="I102" i="3"/>
  <c r="Q100" i="3"/>
  <c r="U98" i="3"/>
  <c r="AU96" i="3"/>
  <c r="F95" i="3"/>
  <c r="J93" i="3"/>
  <c r="L91" i="3"/>
  <c r="G89" i="3"/>
  <c r="D87" i="3"/>
  <c r="H85" i="3"/>
  <c r="I83" i="3"/>
  <c r="P81" i="3"/>
  <c r="W79" i="3"/>
  <c r="W77" i="3"/>
  <c r="D76" i="3"/>
  <c r="I74" i="3"/>
  <c r="P72" i="3"/>
  <c r="W70" i="3"/>
  <c r="C69" i="3"/>
  <c r="G67" i="3"/>
  <c r="L65" i="3"/>
  <c r="L63" i="3"/>
  <c r="I61" i="3"/>
  <c r="G59" i="3"/>
  <c r="E57" i="3"/>
  <c r="G55" i="3"/>
  <c r="C53" i="3"/>
  <c r="Z50" i="3"/>
  <c r="D49" i="3"/>
  <c r="E47" i="3"/>
  <c r="I45" i="3"/>
  <c r="P43" i="3"/>
  <c r="Q41" i="3"/>
  <c r="Z39" i="3"/>
  <c r="E38" i="3"/>
  <c r="I36" i="3"/>
  <c r="P34" i="3"/>
  <c r="W32" i="3"/>
  <c r="C31" i="3"/>
  <c r="G29" i="3"/>
  <c r="G27" i="3"/>
  <c r="C25" i="3"/>
  <c r="Z22" i="3"/>
  <c r="D21" i="3"/>
  <c r="D19" i="3"/>
  <c r="H17" i="3"/>
  <c r="H15" i="3"/>
  <c r="O13" i="3"/>
  <c r="U11" i="3"/>
  <c r="AU9" i="3"/>
  <c r="F8" i="3"/>
  <c r="J6" i="3"/>
  <c r="Q4" i="3"/>
  <c r="Z2" i="3"/>
  <c r="L370" i="3"/>
  <c r="P306" i="3"/>
  <c r="E291" i="3"/>
  <c r="Q276" i="3"/>
  <c r="L262" i="3"/>
  <c r="G248" i="3"/>
  <c r="W232" i="3"/>
  <c r="I218" i="3"/>
  <c r="W210" i="3"/>
  <c r="D209" i="3"/>
  <c r="H207" i="3"/>
  <c r="O205" i="3"/>
  <c r="U203" i="3"/>
  <c r="AN201" i="3"/>
  <c r="F200" i="3"/>
  <c r="J198" i="3"/>
  <c r="Q196" i="3"/>
  <c r="Z194" i="3"/>
  <c r="C193" i="3"/>
  <c r="G191" i="3"/>
  <c r="L189" i="3"/>
  <c r="S187" i="3"/>
  <c r="AN185" i="3"/>
  <c r="L183" i="3"/>
  <c r="O181" i="3"/>
  <c r="H179" i="3"/>
  <c r="H177" i="3"/>
  <c r="D175" i="3"/>
  <c r="AN172" i="3"/>
  <c r="E171" i="3"/>
  <c r="E169" i="3"/>
  <c r="I167" i="3"/>
  <c r="I165" i="3"/>
  <c r="P163" i="3"/>
  <c r="W161" i="3"/>
  <c r="C160" i="3"/>
  <c r="G158" i="3"/>
  <c r="L156" i="3"/>
  <c r="S154" i="3"/>
  <c r="AN152" i="3"/>
  <c r="AU150" i="3"/>
  <c r="S148" i="3"/>
  <c r="P146" i="3"/>
  <c r="W144" i="3"/>
  <c r="Z142" i="3"/>
  <c r="D141" i="3"/>
  <c r="H139" i="3"/>
  <c r="I137" i="3"/>
  <c r="P135" i="3"/>
  <c r="Z133" i="3"/>
  <c r="D132" i="3"/>
  <c r="H130" i="3"/>
  <c r="O128" i="3"/>
  <c r="U126" i="3"/>
  <c r="AU124" i="3"/>
  <c r="AU122" i="3"/>
  <c r="C121" i="3"/>
  <c r="W118" i="3"/>
  <c r="Z116" i="3"/>
  <c r="E115" i="3"/>
  <c r="E113" i="3"/>
  <c r="I111" i="3"/>
  <c r="O109" i="3"/>
  <c r="P107" i="3"/>
  <c r="W105" i="3"/>
  <c r="D104" i="3"/>
  <c r="H102" i="3"/>
  <c r="L100" i="3"/>
  <c r="S98" i="3"/>
  <c r="AN96" i="3"/>
  <c r="E95" i="3"/>
  <c r="I93" i="3"/>
  <c r="J91" i="3"/>
  <c r="F89" i="3"/>
  <c r="C87" i="3"/>
  <c r="G85" i="3"/>
  <c r="H83" i="3"/>
  <c r="O81" i="3"/>
  <c r="U79" i="3"/>
  <c r="U77" i="3"/>
  <c r="C76" i="3"/>
  <c r="H74" i="3"/>
  <c r="O72" i="3"/>
  <c r="U70" i="3"/>
  <c r="AU68" i="3"/>
  <c r="F67" i="3"/>
  <c r="J65" i="3"/>
  <c r="J63" i="3"/>
  <c r="H61" i="3"/>
  <c r="F59" i="3"/>
  <c r="D57" i="3"/>
  <c r="F55" i="3"/>
  <c r="AU52" i="3"/>
  <c r="W50" i="3"/>
  <c r="C49" i="3"/>
  <c r="D47" i="3"/>
  <c r="H45" i="3"/>
  <c r="O43" i="3"/>
  <c r="P41" i="3"/>
  <c r="W39" i="3"/>
  <c r="D38" i="3"/>
  <c r="H36" i="3"/>
  <c r="O34" i="3"/>
  <c r="U32" i="3"/>
  <c r="AU30" i="3"/>
  <c r="F29" i="3"/>
  <c r="F27" i="3"/>
  <c r="AU24" i="3"/>
  <c r="W22" i="3"/>
  <c r="C21" i="3"/>
  <c r="C19" i="3"/>
  <c r="G17" i="3"/>
  <c r="G15" i="3"/>
  <c r="L13" i="3"/>
  <c r="S11" i="3"/>
  <c r="AN9" i="3"/>
  <c r="E8" i="3"/>
  <c r="I6" i="3"/>
  <c r="P4" i="3"/>
  <c r="U2" i="3"/>
  <c r="P345" i="3"/>
  <c r="F303" i="3"/>
  <c r="U287" i="3"/>
  <c r="O273" i="3"/>
  <c r="I259" i="3"/>
  <c r="H244" i="3"/>
  <c r="U229" i="3"/>
  <c r="G215" i="3"/>
  <c r="J210" i="3"/>
  <c r="S208" i="3"/>
  <c r="AN206" i="3"/>
  <c r="E205" i="3"/>
  <c r="I203" i="3"/>
  <c r="O201" i="3"/>
  <c r="W199" i="3"/>
  <c r="C198" i="3"/>
  <c r="G196" i="3"/>
  <c r="L194" i="3"/>
  <c r="Q192" i="3"/>
  <c r="Z190" i="3"/>
  <c r="D189" i="3"/>
  <c r="H187" i="3"/>
  <c r="H185" i="3"/>
  <c r="D183" i="3"/>
  <c r="E181" i="3"/>
  <c r="AN178" i="3"/>
  <c r="AN176" i="3"/>
  <c r="L174" i="3"/>
  <c r="O172" i="3"/>
  <c r="S170" i="3"/>
  <c r="U168" i="3"/>
  <c r="AU166" i="3"/>
  <c r="AU164" i="3"/>
  <c r="F163" i="3"/>
  <c r="J161" i="3"/>
  <c r="Q159" i="3"/>
  <c r="Z157" i="3"/>
  <c r="D156" i="3"/>
  <c r="H154" i="3"/>
  <c r="H152" i="3"/>
  <c r="I150" i="3"/>
  <c r="E148" i="3"/>
  <c r="F146" i="3"/>
  <c r="L144" i="3"/>
  <c r="L142" i="3"/>
  <c r="S140" i="3"/>
  <c r="AN138" i="3"/>
  <c r="AU136" i="3"/>
  <c r="F135" i="3"/>
  <c r="L133" i="3"/>
  <c r="S131" i="3"/>
  <c r="AN129" i="3"/>
  <c r="E128" i="3"/>
  <c r="I126" i="3"/>
  <c r="P124" i="3"/>
  <c r="Q122" i="3"/>
  <c r="J120" i="3"/>
  <c r="G118" i="3"/>
  <c r="L116" i="3"/>
  <c r="S114" i="3"/>
  <c r="U112" i="3"/>
  <c r="AU110" i="3"/>
  <c r="E109" i="3"/>
  <c r="F107" i="3"/>
  <c r="J105" i="3"/>
  <c r="S103" i="3"/>
  <c r="AN101" i="3"/>
  <c r="D100" i="3"/>
  <c r="H98" i="3"/>
  <c r="O96" i="3"/>
  <c r="U94" i="3"/>
  <c r="AU92" i="3"/>
  <c r="C91" i="3"/>
  <c r="U88" i="3"/>
  <c r="Q86" i="3"/>
  <c r="Z84" i="3"/>
  <c r="AN82" i="3"/>
  <c r="E81" i="3"/>
  <c r="I79" i="3"/>
  <c r="J77" i="3"/>
  <c r="Q75" i="3"/>
  <c r="AN73" i="3"/>
  <c r="E72" i="3"/>
  <c r="I70" i="3"/>
  <c r="P68" i="3"/>
  <c r="W66" i="3"/>
  <c r="C65" i="3"/>
  <c r="C63" i="3"/>
  <c r="AN60" i="3"/>
  <c r="W58" i="3"/>
  <c r="S56" i="3"/>
  <c r="U54" i="3"/>
  <c r="I52" i="3"/>
  <c r="J50" i="3"/>
  <c r="R48" i="3"/>
  <c r="S46" i="3"/>
  <c r="AN44" i="3"/>
  <c r="E43" i="3"/>
  <c r="F41" i="3"/>
  <c r="J39" i="3"/>
  <c r="S37" i="3"/>
  <c r="AN35" i="3"/>
  <c r="E34" i="3"/>
  <c r="I32" i="3"/>
  <c r="P30" i="3"/>
  <c r="W28" i="3"/>
  <c r="U26" i="3"/>
  <c r="I24" i="3"/>
  <c r="J22" i="3"/>
  <c r="J20" i="3"/>
  <c r="Q18" i="3"/>
  <c r="Z16" i="3"/>
  <c r="Z14" i="3"/>
  <c r="D13" i="3"/>
  <c r="H11" i="3"/>
  <c r="O9" i="3"/>
  <c r="U7" i="3"/>
  <c r="AU5" i="3"/>
  <c r="F4" i="3"/>
  <c r="F2" i="3"/>
  <c r="AU341" i="3"/>
  <c r="U302" i="3"/>
  <c r="I287" i="3"/>
  <c r="D273" i="3"/>
  <c r="AN258" i="3"/>
  <c r="Z243" i="3"/>
  <c r="H229" i="3"/>
  <c r="W214" i="3"/>
  <c r="I210" i="3"/>
  <c r="R208" i="3"/>
  <c r="Z206" i="3"/>
  <c r="D205" i="3"/>
  <c r="H203" i="3"/>
  <c r="L201" i="3"/>
  <c r="U199" i="3"/>
  <c r="AU197" i="3"/>
  <c r="F196" i="3"/>
  <c r="J194" i="3"/>
  <c r="P192" i="3"/>
  <c r="W190" i="3"/>
  <c r="C189" i="3"/>
  <c r="G187" i="3"/>
  <c r="G185" i="3"/>
  <c r="C183" i="3"/>
  <c r="D181" i="3"/>
  <c r="Z178" i="3"/>
  <c r="Z176" i="3"/>
  <c r="J174" i="3"/>
  <c r="L172" i="3"/>
  <c r="L170" i="3"/>
  <c r="S168" i="3"/>
  <c r="AN166" i="3"/>
  <c r="AN164" i="3"/>
  <c r="E163" i="3"/>
  <c r="I161" i="3"/>
  <c r="P159" i="3"/>
  <c r="W157" i="3"/>
  <c r="C156" i="3"/>
  <c r="G154" i="3"/>
  <c r="G152" i="3"/>
  <c r="H150" i="3"/>
  <c r="D148" i="3"/>
  <c r="E146" i="3"/>
  <c r="J144" i="3"/>
  <c r="J142" i="3"/>
  <c r="Q140" i="3"/>
  <c r="Z138" i="3"/>
  <c r="AN136" i="3"/>
  <c r="E135" i="3"/>
  <c r="J133" i="3"/>
  <c r="Q131" i="3"/>
  <c r="Z129" i="3"/>
  <c r="D128" i="3"/>
  <c r="H126" i="3"/>
  <c r="O124" i="3"/>
  <c r="P122" i="3"/>
  <c r="I120" i="3"/>
  <c r="F118" i="3"/>
  <c r="J116" i="3"/>
  <c r="L114" i="3"/>
  <c r="S112" i="3"/>
  <c r="AN110" i="3"/>
  <c r="D109" i="3"/>
  <c r="E107" i="3"/>
  <c r="I105" i="3"/>
  <c r="Q103" i="3"/>
  <c r="Z101" i="3"/>
  <c r="C100" i="3"/>
  <c r="G98" i="3"/>
  <c r="L96" i="3"/>
  <c r="S94" i="3"/>
  <c r="AN92" i="3"/>
  <c r="AU90" i="3"/>
  <c r="S88" i="3"/>
  <c r="P86" i="3"/>
  <c r="W84" i="3"/>
  <c r="Z82" i="3"/>
  <c r="D81" i="3"/>
  <c r="H79" i="3"/>
  <c r="I77" i="3"/>
  <c r="P75" i="3"/>
  <c r="Z73" i="3"/>
  <c r="D72" i="3"/>
  <c r="H70" i="3"/>
  <c r="O68" i="3"/>
  <c r="U66" i="3"/>
  <c r="AU64" i="3"/>
  <c r="AU62" i="3"/>
  <c r="Z60" i="3"/>
  <c r="U58" i="3"/>
  <c r="L56" i="3"/>
  <c r="S54" i="3"/>
  <c r="H52" i="3"/>
  <c r="I50" i="3"/>
  <c r="Q48" i="3"/>
  <c r="Q46" i="3"/>
  <c r="Z44" i="3"/>
  <c r="D43" i="3"/>
  <c r="E41" i="3"/>
  <c r="I39" i="3"/>
  <c r="Q37" i="3"/>
  <c r="Z35" i="3"/>
  <c r="D34" i="3"/>
  <c r="H32" i="3"/>
  <c r="O30" i="3"/>
  <c r="U28" i="3"/>
  <c r="S26" i="3"/>
  <c r="H24" i="3"/>
  <c r="I22" i="3"/>
  <c r="I20" i="3"/>
  <c r="P18" i="3"/>
  <c r="W16" i="3"/>
  <c r="W14" i="3"/>
  <c r="C13" i="3"/>
  <c r="G11" i="3"/>
  <c r="L9" i="3"/>
  <c r="S7" i="3"/>
  <c r="AN5" i="3"/>
  <c r="E4" i="3"/>
  <c r="E2" i="3"/>
  <c r="F317" i="3"/>
  <c r="E299" i="3"/>
  <c r="G284" i="3"/>
  <c r="C270" i="3"/>
  <c r="U255" i="3"/>
  <c r="U240" i="3"/>
  <c r="E226" i="3"/>
  <c r="H212" i="3"/>
  <c r="AU209" i="3"/>
  <c r="G208" i="3"/>
  <c r="L206" i="3"/>
  <c r="S204" i="3"/>
  <c r="AN202" i="3"/>
  <c r="D201" i="3"/>
  <c r="I199" i="3"/>
  <c r="P197" i="3"/>
  <c r="W195" i="3"/>
  <c r="C194" i="3"/>
  <c r="F192" i="3"/>
  <c r="J190" i="3"/>
  <c r="Q188" i="3"/>
  <c r="Z186" i="3"/>
  <c r="Z184" i="3"/>
  <c r="L182" i="3"/>
  <c r="L180" i="3"/>
  <c r="L178" i="3"/>
  <c r="G176" i="3"/>
  <c r="C174" i="3"/>
  <c r="D172" i="3"/>
  <c r="D170" i="3"/>
  <c r="H168" i="3"/>
  <c r="O166" i="3"/>
  <c r="O164" i="3"/>
  <c r="U162" i="3"/>
  <c r="AU160" i="3"/>
  <c r="F159" i="3"/>
  <c r="J157" i="3"/>
  <c r="Q155" i="3"/>
  <c r="Z153" i="3"/>
  <c r="Z151" i="3"/>
  <c r="AN149" i="3"/>
  <c r="S147" i="3"/>
  <c r="U145" i="3"/>
  <c r="C144" i="3"/>
  <c r="C142" i="3"/>
  <c r="G140" i="3"/>
  <c r="G138" i="3"/>
  <c r="O136" i="3"/>
  <c r="U134" i="3"/>
  <c r="C133" i="3"/>
  <c r="G131" i="3"/>
  <c r="L129" i="3"/>
  <c r="S127" i="3"/>
  <c r="AN125" i="3"/>
  <c r="E124" i="3"/>
  <c r="F122" i="3"/>
  <c r="AU119" i="3"/>
  <c r="W117" i="3"/>
  <c r="C116" i="3"/>
  <c r="D114" i="3"/>
  <c r="H112" i="3"/>
  <c r="L110" i="3"/>
  <c r="L108" i="3"/>
  <c r="U106" i="3"/>
  <c r="AU104" i="3"/>
  <c r="G103" i="3"/>
  <c r="L101" i="3"/>
  <c r="Q99" i="3"/>
  <c r="Z97" i="3"/>
  <c r="D96" i="3"/>
  <c r="H94" i="3"/>
  <c r="H92" i="3"/>
  <c r="I90" i="3"/>
  <c r="E88" i="3"/>
  <c r="F86" i="3"/>
  <c r="L84" i="3"/>
  <c r="L82" i="3"/>
  <c r="S80" i="3"/>
  <c r="AN78" i="3"/>
  <c r="AU76" i="3"/>
  <c r="F75" i="3"/>
  <c r="L73" i="3"/>
  <c r="S71" i="3"/>
  <c r="AN69" i="3"/>
  <c r="E68" i="3"/>
  <c r="I66" i="3"/>
  <c r="P64" i="3"/>
  <c r="J62" i="3"/>
  <c r="H60" i="3"/>
  <c r="F58" i="3"/>
  <c r="D56" i="3"/>
  <c r="E54" i="3"/>
  <c r="AN51" i="3"/>
  <c r="AU49" i="3"/>
  <c r="G48" i="3"/>
  <c r="G46" i="3"/>
  <c r="L44" i="3"/>
  <c r="L42" i="3"/>
  <c r="U40" i="3"/>
  <c r="AU38" i="3"/>
  <c r="G37" i="3"/>
  <c r="L35" i="3"/>
  <c r="S33" i="3"/>
  <c r="AN31" i="3"/>
  <c r="E30" i="3"/>
  <c r="I28" i="3"/>
  <c r="E26" i="3"/>
  <c r="AN23" i="3"/>
  <c r="AU21" i="3"/>
  <c r="AU19" i="3"/>
  <c r="F18" i="3"/>
  <c r="J16" i="3"/>
  <c r="J14" i="3"/>
  <c r="Q12" i="3"/>
  <c r="Z10" i="3"/>
  <c r="D9" i="3"/>
  <c r="H7" i="3"/>
  <c r="O5" i="3"/>
  <c r="U3" i="3"/>
  <c r="E314" i="3"/>
  <c r="Q298" i="3"/>
  <c r="W283" i="3"/>
  <c r="P269" i="3"/>
  <c r="H255" i="3"/>
  <c r="E240" i="3"/>
  <c r="S225" i="3"/>
  <c r="E212" i="3"/>
  <c r="AN209" i="3"/>
  <c r="F208" i="3"/>
  <c r="J206" i="3"/>
  <c r="Q204" i="3"/>
  <c r="Z202" i="3"/>
  <c r="C201" i="3"/>
  <c r="H199" i="3"/>
  <c r="O197" i="3"/>
  <c r="U195" i="3"/>
  <c r="AU193" i="3"/>
  <c r="E192" i="3"/>
  <c r="I190" i="3"/>
  <c r="P188" i="3"/>
  <c r="W186" i="3"/>
  <c r="U184" i="3"/>
  <c r="J182" i="3"/>
  <c r="J180" i="3"/>
  <c r="J178" i="3"/>
  <c r="F176" i="3"/>
  <c r="AU173" i="3"/>
  <c r="C172" i="3"/>
  <c r="C170" i="3"/>
  <c r="G168" i="3"/>
  <c r="L166" i="3"/>
  <c r="L164" i="3"/>
  <c r="S162" i="3"/>
  <c r="AN160" i="3"/>
  <c r="E159" i="3"/>
  <c r="I157" i="3"/>
  <c r="P155" i="3"/>
  <c r="W153" i="3"/>
  <c r="W151" i="3"/>
  <c r="Z149" i="3"/>
  <c r="L147" i="3"/>
  <c r="S145" i="3"/>
  <c r="AU143" i="3"/>
  <c r="AU141" i="3"/>
  <c r="F140" i="3"/>
  <c r="F138" i="3"/>
  <c r="L136" i="3"/>
  <c r="S134" i="3"/>
  <c r="AU132" i="3"/>
  <c r="F131" i="3"/>
  <c r="J129" i="3"/>
  <c r="Q127" i="3"/>
  <c r="Z125" i="3"/>
  <c r="D124" i="3"/>
  <c r="E122" i="3"/>
  <c r="AN119" i="3"/>
  <c r="U117" i="3"/>
  <c r="AU115" i="3"/>
  <c r="C114" i="3"/>
  <c r="G112" i="3"/>
  <c r="J110" i="3"/>
  <c r="J108" i="3"/>
  <c r="S106" i="3"/>
  <c r="AN104" i="3"/>
  <c r="F103" i="3"/>
  <c r="J101" i="3"/>
  <c r="P99" i="3"/>
  <c r="W97" i="3"/>
  <c r="C96" i="3"/>
  <c r="G94" i="3"/>
  <c r="G92" i="3"/>
  <c r="H90" i="3"/>
  <c r="D88" i="3"/>
  <c r="E86" i="3"/>
  <c r="J84" i="3"/>
  <c r="J82" i="3"/>
  <c r="Q80" i="3"/>
  <c r="Z78" i="3"/>
  <c r="AN76" i="3"/>
  <c r="E75" i="3"/>
  <c r="J73" i="3"/>
  <c r="Q71" i="3"/>
  <c r="Z69" i="3"/>
  <c r="D68" i="3"/>
  <c r="H66" i="3"/>
  <c r="O64" i="3"/>
  <c r="I62" i="3"/>
  <c r="G60" i="3"/>
  <c r="E58" i="3"/>
  <c r="C56" i="3"/>
  <c r="D54" i="3"/>
  <c r="Z51" i="3"/>
  <c r="AN49" i="3"/>
  <c r="F48" i="3"/>
  <c r="F46" i="3"/>
  <c r="J44" i="3"/>
  <c r="J42" i="3"/>
  <c r="S40" i="3"/>
  <c r="AN38" i="3"/>
  <c r="F37" i="3"/>
  <c r="J35" i="3"/>
  <c r="Q33" i="3"/>
  <c r="Z31" i="3"/>
  <c r="D30" i="3"/>
  <c r="H28" i="3"/>
  <c r="D26" i="3"/>
  <c r="Z23" i="3"/>
  <c r="AN21" i="3"/>
  <c r="AN19" i="3"/>
  <c r="E18" i="3"/>
  <c r="I16" i="3"/>
  <c r="I14" i="3"/>
  <c r="P12" i="3"/>
  <c r="W10" i="3"/>
  <c r="C9" i="3"/>
  <c r="G7" i="3"/>
  <c r="L5" i="3"/>
  <c r="S3" i="3"/>
  <c r="AU1074" i="2"/>
  <c r="P1074" i="2"/>
  <c r="E1074" i="2"/>
  <c r="L1073" i="2"/>
  <c r="C1073" i="2"/>
  <c r="I1072" i="2"/>
  <c r="AN1071" i="2"/>
  <c r="G1071" i="2"/>
  <c r="W1070" i="2"/>
  <c r="F1070" i="2"/>
  <c r="U1069" i="2"/>
  <c r="H1069" i="2"/>
  <c r="Z1068" i="2"/>
  <c r="J1068" i="2"/>
  <c r="AU1067" i="2"/>
  <c r="P1067" i="2"/>
  <c r="E1067" i="2"/>
  <c r="L1066" i="2"/>
  <c r="C1066" i="2"/>
  <c r="P1065" i="2"/>
  <c r="E1065" i="2"/>
  <c r="S1064" i="2"/>
  <c r="G1064" i="2"/>
  <c r="W1063" i="2"/>
  <c r="I1063" i="2"/>
  <c r="AN1062" i="2"/>
  <c r="L1062" i="2"/>
  <c r="C1062" i="2"/>
  <c r="I1061" i="2"/>
  <c r="AN1060" i="2"/>
  <c r="O1060" i="2"/>
  <c r="D1060" i="2"/>
  <c r="Q1059" i="2"/>
  <c r="F1059" i="2"/>
  <c r="U1058" i="2"/>
  <c r="H1058" i="2"/>
  <c r="Z1057" i="2"/>
  <c r="L1057" i="2"/>
  <c r="C1057" i="2"/>
  <c r="P1056" i="2"/>
  <c r="E1056" i="2"/>
  <c r="S1055" i="2"/>
  <c r="G1055" i="2"/>
  <c r="W1054" i="2"/>
  <c r="I1054" i="2"/>
  <c r="AN1053" i="2"/>
  <c r="L1053" i="2"/>
  <c r="C1053" i="2"/>
  <c r="P1052" i="2"/>
  <c r="E1052" i="2"/>
  <c r="S1051" i="2"/>
  <c r="G1051" i="2"/>
  <c r="W1050" i="2"/>
  <c r="I1050" i="2"/>
  <c r="AN1049" i="2"/>
  <c r="L1049" i="2"/>
  <c r="C1049" i="2"/>
  <c r="P1048" i="2"/>
  <c r="E1048" i="2"/>
  <c r="S1047" i="2"/>
  <c r="G1047" i="2"/>
  <c r="U1046" i="2"/>
  <c r="E1046" i="2"/>
  <c r="S1045" i="2"/>
  <c r="H1045" i="2"/>
  <c r="Z1044" i="2"/>
  <c r="F1044" i="2"/>
  <c r="S1043" i="2"/>
  <c r="D1043" i="2"/>
  <c r="J1042" i="2"/>
  <c r="AU1041" i="2"/>
  <c r="I1041" i="2"/>
  <c r="AN1040" i="2"/>
  <c r="L1040" i="2"/>
  <c r="C1040" i="2"/>
  <c r="P1039" i="2"/>
  <c r="E1039" i="2"/>
  <c r="S1038" i="2"/>
  <c r="H1038" i="2"/>
  <c r="Z1037" i="2"/>
  <c r="F1037" i="2"/>
  <c r="U1036" i="2"/>
  <c r="H1036" i="2"/>
  <c r="Z1035" i="2"/>
  <c r="J1035" i="2"/>
  <c r="AU1034" i="2"/>
  <c r="O1034" i="2"/>
  <c r="D1034" i="2"/>
  <c r="R1033" i="2"/>
  <c r="E1033" i="2"/>
  <c r="S1032" i="2"/>
  <c r="G1032" i="2"/>
  <c r="U1031" i="2"/>
  <c r="E1031" i="2"/>
  <c r="S1030" i="2"/>
  <c r="H1030" i="2"/>
  <c r="Z1029" i="2"/>
  <c r="J1029" i="2"/>
  <c r="AU1028" i="2"/>
  <c r="O1028" i="2"/>
  <c r="D1028" i="2"/>
  <c r="R1027" i="2"/>
  <c r="G1027" i="2"/>
  <c r="W1026" i="2"/>
  <c r="I1026" i="2"/>
  <c r="AN1025" i="2"/>
  <c r="L1025" i="2"/>
  <c r="C1025" i="2"/>
  <c r="P1024" i="2"/>
  <c r="E1024" i="2"/>
  <c r="S1023" i="2"/>
  <c r="F1023" i="2"/>
  <c r="U1022" i="2"/>
  <c r="H1022" i="2"/>
  <c r="Z1021" i="2"/>
  <c r="J1021" i="2"/>
  <c r="AU1020" i="2"/>
  <c r="O1020" i="2"/>
  <c r="D1020" i="2"/>
  <c r="Q1019" i="2"/>
  <c r="F1019" i="2"/>
  <c r="U1018" i="2"/>
  <c r="H1018" i="2"/>
  <c r="Z1017" i="2"/>
  <c r="J1017" i="2"/>
  <c r="AU1016" i="2"/>
  <c r="O1016" i="2"/>
  <c r="AN1074" i="2"/>
  <c r="O1074" i="2"/>
  <c r="D1074" i="2"/>
  <c r="J1073" i="2"/>
  <c r="AU1072" i="2"/>
  <c r="H1072" i="2"/>
  <c r="Z1071" i="2"/>
  <c r="F1071" i="2"/>
  <c r="U1070" i="2"/>
  <c r="E1070" i="2"/>
  <c r="S1069" i="2"/>
  <c r="G1069" i="2"/>
  <c r="W1068" i="2"/>
  <c r="I1068" i="2"/>
  <c r="AN1067" i="2"/>
  <c r="O1067" i="2"/>
  <c r="D1067" i="2"/>
  <c r="J1066" i="2"/>
  <c r="AU1065" i="2"/>
  <c r="O1065" i="2"/>
  <c r="D1065" i="2"/>
  <c r="Q1064" i="2"/>
  <c r="F1064" i="2"/>
  <c r="U1063" i="2"/>
  <c r="H1063" i="2"/>
  <c r="Z1062" i="2"/>
  <c r="J1062" i="2"/>
  <c r="AU1061" i="2"/>
  <c r="H1061" i="2"/>
  <c r="Z1060" i="2"/>
  <c r="L1060" i="2"/>
  <c r="C1060" i="2"/>
  <c r="P1059" i="2"/>
  <c r="E1059" i="2"/>
  <c r="S1058" i="2"/>
  <c r="G1058" i="2"/>
  <c r="W1057" i="2"/>
  <c r="J1057" i="2"/>
  <c r="AU1056" i="2"/>
  <c r="O1056" i="2"/>
  <c r="D1056" i="2"/>
  <c r="Q1055" i="2"/>
  <c r="F1055" i="2"/>
  <c r="U1054" i="2"/>
  <c r="H1054" i="2"/>
  <c r="Z1053" i="2"/>
  <c r="J1053" i="2"/>
  <c r="AU1052" i="2"/>
  <c r="O1052" i="2"/>
  <c r="D1052" i="2"/>
  <c r="Q1051" i="2"/>
  <c r="F1051" i="2"/>
  <c r="U1050" i="2"/>
  <c r="H1050" i="2"/>
  <c r="Z1049" i="2"/>
  <c r="J1049" i="2"/>
  <c r="AU1048" i="2"/>
  <c r="O1048" i="2"/>
  <c r="D1048" i="2"/>
  <c r="Q1047" i="2"/>
  <c r="F1047" i="2"/>
  <c r="S1046" i="2"/>
  <c r="D1046" i="2"/>
  <c r="R1045" i="2"/>
  <c r="G1045" i="2"/>
  <c r="U1044" i="2"/>
  <c r="E1044" i="2"/>
  <c r="L1043" i="2"/>
  <c r="C1043" i="2"/>
  <c r="I1042" i="2"/>
  <c r="AN1041" i="2"/>
  <c r="H1041" i="2"/>
  <c r="Z1040" i="2"/>
  <c r="J1040" i="2"/>
  <c r="AU1039" i="2"/>
  <c r="O1039" i="2"/>
  <c r="D1039" i="2"/>
  <c r="R1038" i="2"/>
  <c r="G1038" i="2"/>
  <c r="U1037" i="2"/>
  <c r="E1037" i="2"/>
  <c r="S1036" i="2"/>
  <c r="G1036" i="2"/>
  <c r="W1035" i="2"/>
  <c r="I1035" i="2"/>
  <c r="AN1034" i="2"/>
  <c r="L1034" i="2"/>
  <c r="C1034" i="2"/>
  <c r="Q1033" i="2"/>
  <c r="D1033" i="2"/>
  <c r="Q1032" i="2"/>
  <c r="F1032" i="2"/>
  <c r="S1031" i="2"/>
  <c r="D1031" i="2"/>
  <c r="R1030" i="2"/>
  <c r="G1030" i="2"/>
  <c r="W1029" i="2"/>
  <c r="I1029" i="2"/>
  <c r="AN1028" i="2"/>
  <c r="L1028" i="2"/>
  <c r="C1028" i="2"/>
  <c r="Q1027" i="2"/>
  <c r="F1027" i="2"/>
  <c r="U1026" i="2"/>
  <c r="H1026" i="2"/>
  <c r="Z1025" i="2"/>
  <c r="J1025" i="2"/>
  <c r="AU1024" i="2"/>
  <c r="O1024" i="2"/>
  <c r="D1024" i="2"/>
  <c r="R1023" i="2"/>
  <c r="E1023" i="2"/>
  <c r="S1022" i="2"/>
  <c r="G1022" i="2"/>
  <c r="W1021" i="2"/>
  <c r="I1021" i="2"/>
  <c r="AN1020" i="2"/>
  <c r="L1020" i="2"/>
  <c r="C1020" i="2"/>
  <c r="P1019" i="2"/>
  <c r="E1019" i="2"/>
  <c r="S1018" i="2"/>
  <c r="G1018" i="2"/>
  <c r="W1017" i="2"/>
  <c r="I1017" i="2"/>
  <c r="AN1016" i="2"/>
  <c r="L1016" i="2"/>
  <c r="Z1074" i="2"/>
  <c r="L1074" i="2"/>
  <c r="C1074" i="2"/>
  <c r="I1073" i="2"/>
  <c r="AN1072" i="2"/>
  <c r="G1072" i="2"/>
  <c r="U1071" i="2"/>
  <c r="E1071" i="2"/>
  <c r="S1070" i="2"/>
  <c r="D1070" i="2"/>
  <c r="Q1069" i="2"/>
  <c r="F1069" i="2"/>
  <c r="U1068" i="2"/>
  <c r="H1068" i="2"/>
  <c r="Z1067" i="2"/>
  <c r="L1067" i="2"/>
  <c r="C1067" i="2"/>
  <c r="I1066" i="2"/>
  <c r="AN1065" i="2"/>
  <c r="L1065" i="2"/>
  <c r="C1065" i="2"/>
  <c r="P1064" i="2"/>
  <c r="E1064" i="2"/>
  <c r="S1063" i="2"/>
  <c r="G1063" i="2"/>
  <c r="W1062" i="2"/>
  <c r="I1062" i="2"/>
  <c r="AN1061" i="2"/>
  <c r="G1061" i="2"/>
  <c r="W1060" i="2"/>
  <c r="J1060" i="2"/>
  <c r="AU1059" i="2"/>
  <c r="O1059" i="2"/>
  <c r="D1059" i="2"/>
  <c r="Q1058" i="2"/>
  <c r="F1058" i="2"/>
  <c r="U1057" i="2"/>
  <c r="I1057" i="2"/>
  <c r="AN1056" i="2"/>
  <c r="L1056" i="2"/>
  <c r="C1056" i="2"/>
  <c r="P1055" i="2"/>
  <c r="E1055" i="2"/>
  <c r="S1054" i="2"/>
  <c r="G1054" i="2"/>
  <c r="W1053" i="2"/>
  <c r="I1053" i="2"/>
  <c r="AN1052" i="2"/>
  <c r="L1052" i="2"/>
  <c r="C1052" i="2"/>
  <c r="P1051" i="2"/>
  <c r="E1051" i="2"/>
  <c r="S1050" i="2"/>
  <c r="G1050" i="2"/>
  <c r="W1049" i="2"/>
  <c r="I1049" i="2"/>
  <c r="AN1048" i="2"/>
  <c r="L1048" i="2"/>
  <c r="C1048" i="2"/>
  <c r="P1047" i="2"/>
  <c r="E1047" i="2"/>
  <c r="L1046" i="2"/>
  <c r="C1046" i="2"/>
  <c r="Q1045" i="2"/>
  <c r="F1045" i="2"/>
  <c r="S1044" i="2"/>
  <c r="D1044" i="2"/>
  <c r="J1043" i="2"/>
  <c r="AU1042" i="2"/>
  <c r="H1042" i="2"/>
  <c r="Z1041" i="2"/>
  <c r="G1041" i="2"/>
  <c r="W1040" i="2"/>
  <c r="I1040" i="2"/>
  <c r="AN1039" i="2"/>
  <c r="L1039" i="2"/>
  <c r="C1039" i="2"/>
  <c r="Q1038" i="2"/>
  <c r="F1038" i="2"/>
  <c r="S1037" i="2"/>
  <c r="D1037" i="2"/>
  <c r="Q1036" i="2"/>
  <c r="F1036" i="2"/>
  <c r="U1035" i="2"/>
  <c r="H1035" i="2"/>
  <c r="Z1034" i="2"/>
  <c r="J1034" i="2"/>
  <c r="AU1033" i="2"/>
  <c r="L1033" i="2"/>
  <c r="C1033" i="2"/>
  <c r="P1032" i="2"/>
  <c r="E1032" i="2"/>
  <c r="L1031" i="2"/>
  <c r="C1031" i="2"/>
  <c r="Q1030" i="2"/>
  <c r="F1030" i="2"/>
  <c r="U1029" i="2"/>
  <c r="H1029" i="2"/>
  <c r="Z1028" i="2"/>
  <c r="J1028" i="2"/>
  <c r="AU1027" i="2"/>
  <c r="P1027" i="2"/>
  <c r="E1027" i="2"/>
  <c r="S1026" i="2"/>
  <c r="G1026" i="2"/>
  <c r="W1025" i="2"/>
  <c r="I1025" i="2"/>
  <c r="AN1024" i="2"/>
  <c r="L1024" i="2"/>
  <c r="C1024" i="2"/>
  <c r="Q1023" i="2"/>
  <c r="D1023" i="2"/>
  <c r="Q1022" i="2"/>
  <c r="F1022" i="2"/>
  <c r="U1021" i="2"/>
  <c r="H1021" i="2"/>
  <c r="Z1020" i="2"/>
  <c r="J1020" i="2"/>
  <c r="AU1019" i="2"/>
  <c r="O1019" i="2"/>
  <c r="D1019" i="2"/>
  <c r="Q1018" i="2"/>
  <c r="F1018" i="2"/>
  <c r="U1017" i="2"/>
  <c r="W1074" i="2"/>
  <c r="J1074" i="2"/>
  <c r="AU1073" i="2"/>
  <c r="H1073" i="2"/>
  <c r="Z1072" i="2"/>
  <c r="F1072" i="2"/>
  <c r="S1071" i="2"/>
  <c r="D1071" i="2"/>
  <c r="L1070" i="2"/>
  <c r="C1070" i="2"/>
  <c r="P1069" i="2"/>
  <c r="E1069" i="2"/>
  <c r="S1068" i="2"/>
  <c r="G1068" i="2"/>
  <c r="W1067" i="2"/>
  <c r="J1067" i="2"/>
  <c r="AU1066" i="2"/>
  <c r="H1066" i="2"/>
  <c r="Z1065" i="2"/>
  <c r="J1065" i="2"/>
  <c r="AU1064" i="2"/>
  <c r="O1064" i="2"/>
  <c r="D1064" i="2"/>
  <c r="Q1063" i="2"/>
  <c r="F1063" i="2"/>
  <c r="U1062" i="2"/>
  <c r="H1062" i="2"/>
  <c r="Z1061" i="2"/>
  <c r="F1061" i="2"/>
  <c r="U1060" i="2"/>
  <c r="I1060" i="2"/>
  <c r="AN1059" i="2"/>
  <c r="L1059" i="2"/>
  <c r="C1059" i="2"/>
  <c r="P1058" i="2"/>
  <c r="E1058" i="2"/>
  <c r="S1057" i="2"/>
  <c r="H1057" i="2"/>
  <c r="Z1056" i="2"/>
  <c r="J1056" i="2"/>
  <c r="AU1055" i="2"/>
  <c r="O1055" i="2"/>
  <c r="D1055" i="2"/>
  <c r="Q1054" i="2"/>
  <c r="F1054" i="2"/>
  <c r="U1053" i="2"/>
  <c r="H1053" i="2"/>
  <c r="Z1052" i="2"/>
  <c r="J1052" i="2"/>
  <c r="AU1051" i="2"/>
  <c r="O1051" i="2"/>
  <c r="D1051" i="2"/>
  <c r="Q1050" i="2"/>
  <c r="F1050" i="2"/>
  <c r="U1049" i="2"/>
  <c r="H1049" i="2"/>
  <c r="Z1048" i="2"/>
  <c r="J1048" i="2"/>
  <c r="AU1047" i="2"/>
  <c r="O1047" i="2"/>
  <c r="D1047" i="2"/>
  <c r="J1046" i="2"/>
  <c r="AU1045" i="2"/>
  <c r="P1045" i="2"/>
  <c r="E1045" i="2"/>
  <c r="L1044" i="2"/>
  <c r="C1044" i="2"/>
  <c r="I1043" i="2"/>
  <c r="AN1042" i="2"/>
  <c r="G1042" i="2"/>
  <c r="U1074" i="2"/>
  <c r="I1074" i="2"/>
  <c r="AN1073" i="2"/>
  <c r="G1073" i="2"/>
  <c r="U1072" i="2"/>
  <c r="E1072" i="2"/>
  <c r="L1071" i="2"/>
  <c r="C1071" i="2"/>
  <c r="J1070" i="2"/>
  <c r="AU1069" i="2"/>
  <c r="O1069" i="2"/>
  <c r="D1069" i="2"/>
  <c r="Q1068" i="2"/>
  <c r="F1068" i="2"/>
  <c r="U1067" i="2"/>
  <c r="I1067" i="2"/>
  <c r="AN1066" i="2"/>
  <c r="G1066" i="2"/>
  <c r="W1065" i="2"/>
  <c r="I1065" i="2"/>
  <c r="AN1064" i="2"/>
  <c r="L1064" i="2"/>
  <c r="C1064" i="2"/>
  <c r="P1063" i="2"/>
  <c r="E1063" i="2"/>
  <c r="S1062" i="2"/>
  <c r="G1062" i="2"/>
  <c r="U1061" i="2"/>
  <c r="E1061" i="2"/>
  <c r="S1060" i="2"/>
  <c r="H1060" i="2"/>
  <c r="Z1059" i="2"/>
  <c r="J1059" i="2"/>
  <c r="AU1058" i="2"/>
  <c r="O1058" i="2"/>
  <c r="D1058" i="2"/>
  <c r="R1057" i="2"/>
  <c r="G1057" i="2"/>
  <c r="W1056" i="2"/>
  <c r="I1056" i="2"/>
  <c r="AN1055" i="2"/>
  <c r="L1055" i="2"/>
  <c r="C1055" i="2"/>
  <c r="P1054" i="2"/>
  <c r="E1054" i="2"/>
  <c r="S1053" i="2"/>
  <c r="G1053" i="2"/>
  <c r="W1052" i="2"/>
  <c r="I1052" i="2"/>
  <c r="AN1051" i="2"/>
  <c r="L1051" i="2"/>
  <c r="C1051" i="2"/>
  <c r="P1050" i="2"/>
  <c r="E1050" i="2"/>
  <c r="S1049" i="2"/>
  <c r="G1049" i="2"/>
  <c r="W1048" i="2"/>
  <c r="I1048" i="2"/>
  <c r="AN1047" i="2"/>
  <c r="L1047" i="2"/>
  <c r="C1047" i="2"/>
  <c r="I1046" i="2"/>
  <c r="AN1045" i="2"/>
  <c r="O1045" i="2"/>
  <c r="D1045" i="2"/>
  <c r="J1044" i="2"/>
  <c r="AU1043" i="2"/>
  <c r="H1043" i="2"/>
  <c r="Z1042" i="2"/>
  <c r="F1042" i="2"/>
  <c r="U1041" i="2"/>
  <c r="E1041" i="2"/>
  <c r="S1040" i="2"/>
  <c r="G1040" i="2"/>
  <c r="W1039" i="2"/>
  <c r="I1039" i="2"/>
  <c r="AN1038" i="2"/>
  <c r="O1038" i="2"/>
  <c r="D1038" i="2"/>
  <c r="J1037" i="2"/>
  <c r="AU1036" i="2"/>
  <c r="O1036" i="2"/>
  <c r="D1036" i="2"/>
  <c r="Q1035" i="2"/>
  <c r="F1035" i="2"/>
  <c r="U1034" i="2"/>
  <c r="H1034" i="2"/>
  <c r="Z1033" i="2"/>
  <c r="I1033" i="2"/>
  <c r="AN1032" i="2"/>
  <c r="L1032" i="2"/>
  <c r="C1032" i="2"/>
  <c r="I1031" i="2"/>
  <c r="AN1030" i="2"/>
  <c r="O1030" i="2"/>
  <c r="D1030" i="2"/>
  <c r="Q1029" i="2"/>
  <c r="F1029" i="2"/>
  <c r="U1028" i="2"/>
  <c r="H1028" i="2"/>
  <c r="Z1027" i="2"/>
  <c r="L1027" i="2"/>
  <c r="C1027" i="2"/>
  <c r="P1026" i="2"/>
  <c r="E1026" i="2"/>
  <c r="S1025" i="2"/>
  <c r="G1025" i="2"/>
  <c r="W1024" i="2"/>
  <c r="I1024" i="2"/>
  <c r="AN1023" i="2"/>
  <c r="J1023" i="2"/>
  <c r="AU1022" i="2"/>
  <c r="O1022" i="2"/>
  <c r="D1022" i="2"/>
  <c r="Q1021" i="2"/>
  <c r="F1021" i="2"/>
  <c r="U1020" i="2"/>
  <c r="H1020" i="2"/>
  <c r="Z1019" i="2"/>
  <c r="J1019" i="2"/>
  <c r="AU1018" i="2"/>
  <c r="O1018" i="2"/>
  <c r="D1018" i="2"/>
  <c r="Q1017" i="2"/>
  <c r="F1017" i="2"/>
  <c r="U1016" i="2"/>
  <c r="R1074" i="2"/>
  <c r="G1074" i="2"/>
  <c r="U1073" i="2"/>
  <c r="E1073" i="2"/>
  <c r="L1072" i="2"/>
  <c r="C1072" i="2"/>
  <c r="I1071" i="2"/>
  <c r="AN1070" i="2"/>
  <c r="H1070" i="2"/>
  <c r="Z1069" i="2"/>
  <c r="J1069" i="2"/>
  <c r="AU1068" i="2"/>
  <c r="O1068" i="2"/>
  <c r="D1068" i="2"/>
  <c r="R1067" i="2"/>
  <c r="G1067" i="2"/>
  <c r="U1066" i="2"/>
  <c r="E1066" i="2"/>
  <c r="S1065" i="2"/>
  <c r="G1065" i="2"/>
  <c r="W1064" i="2"/>
  <c r="I1064" i="2"/>
  <c r="AN1063" i="2"/>
  <c r="L1063" i="2"/>
  <c r="C1063" i="2"/>
  <c r="P1062" i="2"/>
  <c r="E1062" i="2"/>
  <c r="L1061" i="2"/>
  <c r="C1061" i="2"/>
  <c r="Q1060" i="2"/>
  <c r="F1060" i="2"/>
  <c r="U1059" i="2"/>
  <c r="H1059" i="2"/>
  <c r="Z1058" i="2"/>
  <c r="J1058" i="2"/>
  <c r="AU1057" i="2"/>
  <c r="P1057" i="2"/>
  <c r="E1057" i="2"/>
  <c r="S1056" i="2"/>
  <c r="G1056" i="2"/>
  <c r="W1055" i="2"/>
  <c r="I1055" i="2"/>
  <c r="AN1054" i="2"/>
  <c r="L1054" i="2"/>
  <c r="C1054" i="2"/>
  <c r="P1053" i="2"/>
  <c r="E1053" i="2"/>
  <c r="S1052" i="2"/>
  <c r="G1052" i="2"/>
  <c r="W1051" i="2"/>
  <c r="I1051" i="2"/>
  <c r="AN1050" i="2"/>
  <c r="L1050" i="2"/>
  <c r="C1050" i="2"/>
  <c r="P1049" i="2"/>
  <c r="E1049" i="2"/>
  <c r="S1048" i="2"/>
  <c r="G1048" i="2"/>
  <c r="W1047" i="2"/>
  <c r="I1047" i="2"/>
  <c r="AN1046" i="2"/>
  <c r="G1046" i="2"/>
  <c r="W1045" i="2"/>
  <c r="J1045" i="2"/>
  <c r="AU1044" i="2"/>
  <c r="H1044" i="2"/>
  <c r="Z1043" i="2"/>
  <c r="F1043" i="2"/>
  <c r="S1042" i="2"/>
  <c r="D1042" i="2"/>
  <c r="L1041" i="2"/>
  <c r="C1041" i="2"/>
  <c r="P1040" i="2"/>
  <c r="E1040" i="2"/>
  <c r="S1039" i="2"/>
  <c r="G1039" i="2"/>
  <c r="W1038" i="2"/>
  <c r="J1038" i="2"/>
  <c r="AU1037" i="2"/>
  <c r="H1037" i="2"/>
  <c r="Z1036" i="2"/>
  <c r="J1036" i="2"/>
  <c r="AU1035" i="2"/>
  <c r="O1035" i="2"/>
  <c r="D1035" i="2"/>
  <c r="Q1034" i="2"/>
  <c r="F1034" i="2"/>
  <c r="U1033" i="2"/>
  <c r="G1033" i="2"/>
  <c r="W1032" i="2"/>
  <c r="I1032" i="2"/>
  <c r="AN1031" i="2"/>
  <c r="G1031" i="2"/>
  <c r="W1030" i="2"/>
  <c r="J1030" i="2"/>
  <c r="AU1029" i="2"/>
  <c r="O1029" i="2"/>
  <c r="D1029" i="2"/>
  <c r="Q1028" i="2"/>
  <c r="F1028" i="2"/>
  <c r="U1027" i="2"/>
  <c r="I1027" i="2"/>
  <c r="AN1026" i="2"/>
  <c r="L1026" i="2"/>
  <c r="C1026" i="2"/>
  <c r="P1025" i="2"/>
  <c r="E1025" i="2"/>
  <c r="S1024" i="2"/>
  <c r="G1024" i="2"/>
  <c r="W1023" i="2"/>
  <c r="H1023" i="2"/>
  <c r="Z1022" i="2"/>
  <c r="J1022" i="2"/>
  <c r="AU1021" i="2"/>
  <c r="O1021" i="2"/>
  <c r="D1021" i="2"/>
  <c r="Q1020" i="2"/>
  <c r="F1020" i="2"/>
  <c r="U1019" i="2"/>
  <c r="H1019" i="2"/>
  <c r="Z1018" i="2"/>
  <c r="J1018" i="2"/>
  <c r="AU1017" i="2"/>
  <c r="O1017" i="2"/>
  <c r="D1017" i="2"/>
  <c r="Q1016" i="2"/>
  <c r="S1074" i="2"/>
  <c r="S1072" i="2"/>
  <c r="I1070" i="2"/>
  <c r="P1068" i="2"/>
  <c r="Z1066" i="2"/>
  <c r="Z1064" i="2"/>
  <c r="D1063" i="2"/>
  <c r="D1061" i="2"/>
  <c r="I1059" i="2"/>
  <c r="Q1057" i="2"/>
  <c r="Z1055" i="2"/>
  <c r="D1054" i="2"/>
  <c r="H1052" i="2"/>
  <c r="O1050" i="2"/>
  <c r="U1048" i="2"/>
  <c r="AU1046" i="2"/>
  <c r="C1045" i="2"/>
  <c r="U1042" i="2"/>
  <c r="D1041" i="2"/>
  <c r="Z1039" i="2"/>
  <c r="U1038" i="2"/>
  <c r="I1037" i="2"/>
  <c r="E1036" i="2"/>
  <c r="C1035" i="2"/>
  <c r="W1033" i="2"/>
  <c r="O1032" i="2"/>
  <c r="F1031" i="2"/>
  <c r="C1030" i="2"/>
  <c r="W1028" i="2"/>
  <c r="S1027" i="2"/>
  <c r="O1026" i="2"/>
  <c r="H1025" i="2"/>
  <c r="F1024" i="2"/>
  <c r="AN1022" i="2"/>
  <c r="S1021" i="2"/>
  <c r="P1020" i="2"/>
  <c r="I1019" i="2"/>
  <c r="E1018" i="2"/>
  <c r="E1017" i="2"/>
  <c r="H1016" i="2"/>
  <c r="Z1015" i="2"/>
  <c r="F1015" i="2"/>
  <c r="U1014" i="2"/>
  <c r="H1014" i="2"/>
  <c r="Z1013" i="2"/>
  <c r="J1013" i="2"/>
  <c r="AU1012" i="2"/>
  <c r="H1012" i="2"/>
  <c r="Z1011" i="2"/>
  <c r="F1011" i="2"/>
  <c r="U1010" i="2"/>
  <c r="H1010" i="2"/>
  <c r="Z1009" i="2"/>
  <c r="J1009" i="2"/>
  <c r="AU1008" i="2"/>
  <c r="O1008" i="2"/>
  <c r="D1008" i="2"/>
  <c r="Q1007" i="2"/>
  <c r="F1007" i="2"/>
  <c r="U1006" i="2"/>
  <c r="H1006" i="2"/>
  <c r="Z1005" i="2"/>
  <c r="J1005" i="2"/>
  <c r="AU1004" i="2"/>
  <c r="O1004" i="2"/>
  <c r="D1004" i="2"/>
  <c r="Q1003" i="2"/>
  <c r="F1003" i="2"/>
  <c r="U1002" i="2"/>
  <c r="H1002" i="2"/>
  <c r="Z1001" i="2"/>
  <c r="J1001" i="2"/>
  <c r="AU1000" i="2"/>
  <c r="O1000" i="2"/>
  <c r="D1000" i="2"/>
  <c r="Q999" i="2"/>
  <c r="F999" i="2"/>
  <c r="U998" i="2"/>
  <c r="H998" i="2"/>
  <c r="Z997" i="2"/>
  <c r="J997" i="2"/>
  <c r="AU996" i="2"/>
  <c r="O996" i="2"/>
  <c r="D996" i="2"/>
  <c r="Q995" i="2"/>
  <c r="F995" i="2"/>
  <c r="U994" i="2"/>
  <c r="H994" i="2"/>
  <c r="Z993" i="2"/>
  <c r="J993" i="2"/>
  <c r="AU992" i="2"/>
  <c r="H992" i="2"/>
  <c r="Z991" i="2"/>
  <c r="F991" i="2"/>
  <c r="S990" i="2"/>
  <c r="D990" i="2"/>
  <c r="J989" i="2"/>
  <c r="AU988" i="2"/>
  <c r="I988" i="2"/>
  <c r="AN987" i="2"/>
  <c r="G987" i="2"/>
  <c r="U986" i="2"/>
  <c r="E986" i="2"/>
  <c r="L985" i="2"/>
  <c r="C985" i="2"/>
  <c r="Q984" i="2"/>
  <c r="F984" i="2"/>
  <c r="S983" i="2"/>
  <c r="D983" i="2"/>
  <c r="J982" i="2"/>
  <c r="AU981" i="2"/>
  <c r="H981" i="2"/>
  <c r="Z980" i="2"/>
  <c r="G980" i="2"/>
  <c r="W979" i="2"/>
  <c r="I979" i="2"/>
  <c r="AN978" i="2"/>
  <c r="L978" i="2"/>
  <c r="C978" i="2"/>
  <c r="Q977" i="2"/>
  <c r="F977" i="2"/>
  <c r="S976" i="2"/>
  <c r="D976" i="2"/>
  <c r="Q975" i="2"/>
  <c r="F975" i="2"/>
  <c r="U974" i="2"/>
  <c r="H974" i="2"/>
  <c r="Z973" i="2"/>
  <c r="J973" i="2"/>
  <c r="AU972" i="2"/>
  <c r="L972" i="2"/>
  <c r="Q1074" i="2"/>
  <c r="J1072" i="2"/>
  <c r="G1070" i="2"/>
  <c r="L1068" i="2"/>
  <c r="S1066" i="2"/>
  <c r="U1064" i="2"/>
  <c r="AU1062" i="2"/>
  <c r="AU1060" i="2"/>
  <c r="G1059" i="2"/>
  <c r="O1057" i="2"/>
  <c r="U1055" i="2"/>
  <c r="AU1053" i="2"/>
  <c r="F1052" i="2"/>
  <c r="J1050" i="2"/>
  <c r="Q1048" i="2"/>
  <c r="Z1046" i="2"/>
  <c r="AN1044" i="2"/>
  <c r="L1042" i="2"/>
  <c r="AU1040" i="2"/>
  <c r="U1039" i="2"/>
  <c r="P1038" i="2"/>
  <c r="G1037" i="2"/>
  <c r="C1036" i="2"/>
  <c r="W1034" i="2"/>
  <c r="S1033" i="2"/>
  <c r="J1032" i="2"/>
  <c r="AU1030" i="2"/>
  <c r="AN1029" i="2"/>
  <c r="S1028" i="2"/>
  <c r="O1027" i="2"/>
  <c r="J1026" i="2"/>
  <c r="F1025" i="2"/>
  <c r="AU1023" i="2"/>
  <c r="W1022" i="2"/>
  <c r="P1021" i="2"/>
  <c r="I1020" i="2"/>
  <c r="G1019" i="2"/>
  <c r="C1018" i="2"/>
  <c r="C1017" i="2"/>
  <c r="G1016" i="2"/>
  <c r="U1015" i="2"/>
  <c r="E1015" i="2"/>
  <c r="S1014" i="2"/>
  <c r="G1014" i="2"/>
  <c r="W1013" i="2"/>
  <c r="I1013" i="2"/>
  <c r="AN1012" i="2"/>
  <c r="G1012" i="2"/>
  <c r="U1011" i="2"/>
  <c r="E1011" i="2"/>
  <c r="S1010" i="2"/>
  <c r="G1010" i="2"/>
  <c r="W1009" i="2"/>
  <c r="I1009" i="2"/>
  <c r="AN1008" i="2"/>
  <c r="L1008" i="2"/>
  <c r="C1008" i="2"/>
  <c r="P1007" i="2"/>
  <c r="E1007" i="2"/>
  <c r="S1006" i="2"/>
  <c r="G1006" i="2"/>
  <c r="W1005" i="2"/>
  <c r="I1005" i="2"/>
  <c r="AN1004" i="2"/>
  <c r="L1004" i="2"/>
  <c r="C1004" i="2"/>
  <c r="P1003" i="2"/>
  <c r="E1003" i="2"/>
  <c r="S1002" i="2"/>
  <c r="G1002" i="2"/>
  <c r="W1001" i="2"/>
  <c r="I1001" i="2"/>
  <c r="AN1000" i="2"/>
  <c r="L1000" i="2"/>
  <c r="C1000" i="2"/>
  <c r="P999" i="2"/>
  <c r="E999" i="2"/>
  <c r="S998" i="2"/>
  <c r="G998" i="2"/>
  <c r="W997" i="2"/>
  <c r="I997" i="2"/>
  <c r="AN996" i="2"/>
  <c r="L996" i="2"/>
  <c r="C996" i="2"/>
  <c r="P995" i="2"/>
  <c r="E995" i="2"/>
  <c r="S994" i="2"/>
  <c r="G994" i="2"/>
  <c r="W993" i="2"/>
  <c r="I993" i="2"/>
  <c r="AN992" i="2"/>
  <c r="G992" i="2"/>
  <c r="U991" i="2"/>
  <c r="E991" i="2"/>
  <c r="L990" i="2"/>
  <c r="C990" i="2"/>
  <c r="I989" i="2"/>
  <c r="AN988" i="2"/>
  <c r="H988" i="2"/>
  <c r="Z987" i="2"/>
  <c r="F987" i="2"/>
  <c r="S986" i="2"/>
  <c r="D986" i="2"/>
  <c r="J985" i="2"/>
  <c r="AU984" i="2"/>
  <c r="P984" i="2"/>
  <c r="E984" i="2"/>
  <c r="L983" i="2"/>
  <c r="C983" i="2"/>
  <c r="I982" i="2"/>
  <c r="AN981" i="2"/>
  <c r="G981" i="2"/>
  <c r="W980" i="2"/>
  <c r="F980" i="2"/>
  <c r="U979" i="2"/>
  <c r="H979" i="2"/>
  <c r="Z978" i="2"/>
  <c r="J978" i="2"/>
  <c r="AU977" i="2"/>
  <c r="P977" i="2"/>
  <c r="E977" i="2"/>
  <c r="L976" i="2"/>
  <c r="C976" i="2"/>
  <c r="P975" i="2"/>
  <c r="E975" i="2"/>
  <c r="H1074" i="2"/>
  <c r="D1072" i="2"/>
  <c r="AN1069" i="2"/>
  <c r="E1068" i="2"/>
  <c r="F1066" i="2"/>
  <c r="J1064" i="2"/>
  <c r="Q1062" i="2"/>
  <c r="R1060" i="2"/>
  <c r="AN1058" i="2"/>
  <c r="F1057" i="2"/>
  <c r="J1055" i="2"/>
  <c r="Q1053" i="2"/>
  <c r="Z1051" i="2"/>
  <c r="D1050" i="2"/>
  <c r="H1048" i="2"/>
  <c r="H1046" i="2"/>
  <c r="I1044" i="2"/>
  <c r="E1042" i="2"/>
  <c r="U1040" i="2"/>
  <c r="Q1039" i="2"/>
  <c r="L1038" i="2"/>
  <c r="C1037" i="2"/>
  <c r="AN1035" i="2"/>
  <c r="S1034" i="2"/>
  <c r="J1033" i="2"/>
  <c r="H1032" i="2"/>
  <c r="Z1030" i="2"/>
  <c r="S1029" i="2"/>
  <c r="P1028" i="2"/>
  <c r="J1027" i="2"/>
  <c r="F1026" i="2"/>
  <c r="D1025" i="2"/>
  <c r="Z1023" i="2"/>
  <c r="P1022" i="2"/>
  <c r="L1021" i="2"/>
  <c r="G1020" i="2"/>
  <c r="C1019" i="2"/>
  <c r="AN1017" i="2"/>
  <c r="Z1016" i="2"/>
  <c r="F1016" i="2"/>
  <c r="S1015" i="2"/>
  <c r="D1015" i="2"/>
  <c r="Q1014" i="2"/>
  <c r="F1014" i="2"/>
  <c r="U1013" i="2"/>
  <c r="H1013" i="2"/>
  <c r="Z1012" i="2"/>
  <c r="F1012" i="2"/>
  <c r="S1011" i="2"/>
  <c r="D1011" i="2"/>
  <c r="Q1010" i="2"/>
  <c r="F1010" i="2"/>
  <c r="U1009" i="2"/>
  <c r="H1009" i="2"/>
  <c r="Z1008" i="2"/>
  <c r="J1008" i="2"/>
  <c r="AU1007" i="2"/>
  <c r="O1007" i="2"/>
  <c r="D1007" i="2"/>
  <c r="Q1006" i="2"/>
  <c r="F1006" i="2"/>
  <c r="U1005" i="2"/>
  <c r="H1005" i="2"/>
  <c r="Z1004" i="2"/>
  <c r="J1004" i="2"/>
  <c r="AU1003" i="2"/>
  <c r="O1003" i="2"/>
  <c r="D1003" i="2"/>
  <c r="Q1002" i="2"/>
  <c r="F1002" i="2"/>
  <c r="U1001" i="2"/>
  <c r="H1001" i="2"/>
  <c r="Z1000" i="2"/>
  <c r="J1000" i="2"/>
  <c r="AU999" i="2"/>
  <c r="O999" i="2"/>
  <c r="D999" i="2"/>
  <c r="Q998" i="2"/>
  <c r="F998" i="2"/>
  <c r="U997" i="2"/>
  <c r="H997" i="2"/>
  <c r="Z996" i="2"/>
  <c r="J996" i="2"/>
  <c r="AU995" i="2"/>
  <c r="O995" i="2"/>
  <c r="D995" i="2"/>
  <c r="Q994" i="2"/>
  <c r="F994" i="2"/>
  <c r="U993" i="2"/>
  <c r="H993" i="2"/>
  <c r="Z992" i="2"/>
  <c r="F992" i="2"/>
  <c r="S991" i="2"/>
  <c r="D991" i="2"/>
  <c r="J990" i="2"/>
  <c r="AU989" i="2"/>
  <c r="H989" i="2"/>
  <c r="Z988" i="2"/>
  <c r="G988" i="2"/>
  <c r="U987" i="2"/>
  <c r="E987" i="2"/>
  <c r="L986" i="2"/>
  <c r="C986" i="2"/>
  <c r="I985" i="2"/>
  <c r="AN984" i="2"/>
  <c r="O984" i="2"/>
  <c r="D984" i="2"/>
  <c r="J983" i="2"/>
  <c r="AU982" i="2"/>
  <c r="H982" i="2"/>
  <c r="Z981" i="2"/>
  <c r="F981" i="2"/>
  <c r="U980" i="2"/>
  <c r="E980" i="2"/>
  <c r="S979" i="2"/>
  <c r="G979" i="2"/>
  <c r="W978" i="2"/>
  <c r="I978" i="2"/>
  <c r="AN977" i="2"/>
  <c r="O977" i="2"/>
  <c r="D977" i="2"/>
  <c r="J976" i="2"/>
  <c r="AU975" i="2"/>
  <c r="O975" i="2"/>
  <c r="D975" i="2"/>
  <c r="Q974" i="2"/>
  <c r="F1074" i="2"/>
  <c r="AU1071" i="2"/>
  <c r="W1069" i="2"/>
  <c r="C1068" i="2"/>
  <c r="D1066" i="2"/>
  <c r="H1064" i="2"/>
  <c r="O1062" i="2"/>
  <c r="P1060" i="2"/>
  <c r="W1058" i="2"/>
  <c r="D1057" i="2"/>
  <c r="H1055" i="2"/>
  <c r="O1053" i="2"/>
  <c r="U1051" i="2"/>
  <c r="AU1049" i="2"/>
  <c r="F1048" i="2"/>
  <c r="F1046" i="2"/>
  <c r="G1044" i="2"/>
  <c r="C1042" i="2"/>
  <c r="Q1040" i="2"/>
  <c r="J1039" i="2"/>
  <c r="I1038" i="2"/>
  <c r="AN1036" i="2"/>
  <c r="S1035" i="2"/>
  <c r="P1034" i="2"/>
  <c r="H1033" i="2"/>
  <c r="D1032" i="2"/>
  <c r="U1030" i="2"/>
  <c r="P1029" i="2"/>
  <c r="I1028" i="2"/>
  <c r="H1027" i="2"/>
  <c r="D1026" i="2"/>
  <c r="Z1024" i="2"/>
  <c r="U1023" i="2"/>
  <c r="L1022" i="2"/>
  <c r="G1021" i="2"/>
  <c r="E1020" i="2"/>
  <c r="AN1018" i="2"/>
  <c r="S1017" i="2"/>
  <c r="W1016" i="2"/>
  <c r="E1016" i="2"/>
  <c r="L1015" i="2"/>
  <c r="C1015" i="2"/>
  <c r="P1014" i="2"/>
  <c r="E1014" i="2"/>
  <c r="S1013" i="2"/>
  <c r="G1013" i="2"/>
  <c r="U1012" i="2"/>
  <c r="E1012" i="2"/>
  <c r="L1011" i="2"/>
  <c r="C1011" i="2"/>
  <c r="P1010" i="2"/>
  <c r="E1010" i="2"/>
  <c r="S1009" i="2"/>
  <c r="G1009" i="2"/>
  <c r="W1008" i="2"/>
  <c r="I1008" i="2"/>
  <c r="AN1007" i="2"/>
  <c r="L1007" i="2"/>
  <c r="C1007" i="2"/>
  <c r="P1006" i="2"/>
  <c r="E1006" i="2"/>
  <c r="S1005" i="2"/>
  <c r="G1005" i="2"/>
  <c r="W1004" i="2"/>
  <c r="I1004" i="2"/>
  <c r="AN1003" i="2"/>
  <c r="L1003" i="2"/>
  <c r="C1003" i="2"/>
  <c r="P1002" i="2"/>
  <c r="E1002" i="2"/>
  <c r="S1001" i="2"/>
  <c r="G1001" i="2"/>
  <c r="W1000" i="2"/>
  <c r="I1000" i="2"/>
  <c r="AN999" i="2"/>
  <c r="L999" i="2"/>
  <c r="C999" i="2"/>
  <c r="P998" i="2"/>
  <c r="E998" i="2"/>
  <c r="S997" i="2"/>
  <c r="G997" i="2"/>
  <c r="W996" i="2"/>
  <c r="I996" i="2"/>
  <c r="AN995" i="2"/>
  <c r="L995" i="2"/>
  <c r="C995" i="2"/>
  <c r="P994" i="2"/>
  <c r="E994" i="2"/>
  <c r="S993" i="2"/>
  <c r="G993" i="2"/>
  <c r="U992" i="2"/>
  <c r="E992" i="2"/>
  <c r="L991" i="2"/>
  <c r="C991" i="2"/>
  <c r="I990" i="2"/>
  <c r="AN989" i="2"/>
  <c r="G989" i="2"/>
  <c r="W988" i="2"/>
  <c r="F988" i="2"/>
  <c r="S987" i="2"/>
  <c r="D987" i="2"/>
  <c r="J986" i="2"/>
  <c r="AU985" i="2"/>
  <c r="H985" i="2"/>
  <c r="Z984" i="2"/>
  <c r="L984" i="2"/>
  <c r="C984" i="2"/>
  <c r="I983" i="2"/>
  <c r="AN982" i="2"/>
  <c r="G982" i="2"/>
  <c r="U981" i="2"/>
  <c r="E981" i="2"/>
  <c r="S980" i="2"/>
  <c r="D980" i="2"/>
  <c r="Q979" i="2"/>
  <c r="F979" i="2"/>
  <c r="U978" i="2"/>
  <c r="H978" i="2"/>
  <c r="Z977" i="2"/>
  <c r="L977" i="2"/>
  <c r="C977" i="2"/>
  <c r="I976" i="2"/>
  <c r="AN975" i="2"/>
  <c r="Z1073" i="2"/>
  <c r="J1071" i="2"/>
  <c r="L1069" i="2"/>
  <c r="S1067" i="2"/>
  <c r="U1065" i="2"/>
  <c r="AU1063" i="2"/>
  <c r="F1062" i="2"/>
  <c r="G1060" i="2"/>
  <c r="L1058" i="2"/>
  <c r="U1056" i="2"/>
  <c r="AU1054" i="2"/>
  <c r="F1053" i="2"/>
  <c r="J1051" i="2"/>
  <c r="Q1049" i="2"/>
  <c r="Z1047" i="2"/>
  <c r="Z1045" i="2"/>
  <c r="AN1043" i="2"/>
  <c r="W1041" i="2"/>
  <c r="O1040" i="2"/>
  <c r="H1039" i="2"/>
  <c r="E1038" i="2"/>
  <c r="W1036" i="2"/>
  <c r="P1035" i="2"/>
  <c r="I1034" i="2"/>
  <c r="F1033" i="2"/>
  <c r="AU1031" i="2"/>
  <c r="P1030" i="2"/>
  <c r="L1029" i="2"/>
  <c r="G1028" i="2"/>
  <c r="D1027" i="2"/>
  <c r="AU1025" i="2"/>
  <c r="U1024" i="2"/>
  <c r="L1023" i="2"/>
  <c r="I1022" i="2"/>
  <c r="E1021" i="2"/>
  <c r="AN1019" i="2"/>
  <c r="W1018" i="2"/>
  <c r="P1017" i="2"/>
  <c r="S1016" i="2"/>
  <c r="D1016" i="2"/>
  <c r="J1015" i="2"/>
  <c r="AU1014" i="2"/>
  <c r="O1014" i="2"/>
  <c r="D1014" i="2"/>
  <c r="Q1013" i="2"/>
  <c r="F1013" i="2"/>
  <c r="S1012" i="2"/>
  <c r="D1012" i="2"/>
  <c r="J1011" i="2"/>
  <c r="AU1010" i="2"/>
  <c r="O1010" i="2"/>
  <c r="D1010" i="2"/>
  <c r="Q1009" i="2"/>
  <c r="F1009" i="2"/>
  <c r="U1008" i="2"/>
  <c r="H1008" i="2"/>
  <c r="Z1007" i="2"/>
  <c r="J1007" i="2"/>
  <c r="AU1006" i="2"/>
  <c r="O1006" i="2"/>
  <c r="D1006" i="2"/>
  <c r="Q1005" i="2"/>
  <c r="F1005" i="2"/>
  <c r="U1004" i="2"/>
  <c r="H1004" i="2"/>
  <c r="Z1003" i="2"/>
  <c r="J1003" i="2"/>
  <c r="AU1002" i="2"/>
  <c r="O1002" i="2"/>
  <c r="D1002" i="2"/>
  <c r="Q1001" i="2"/>
  <c r="F1001" i="2"/>
  <c r="U1000" i="2"/>
  <c r="H1000" i="2"/>
  <c r="Z999" i="2"/>
  <c r="J999" i="2"/>
  <c r="AU998" i="2"/>
  <c r="O998" i="2"/>
  <c r="D998" i="2"/>
  <c r="Q997" i="2"/>
  <c r="F997" i="2"/>
  <c r="U996" i="2"/>
  <c r="H996" i="2"/>
  <c r="Z995" i="2"/>
  <c r="J995" i="2"/>
  <c r="AU994" i="2"/>
  <c r="O994" i="2"/>
  <c r="D994" i="2"/>
  <c r="Q993" i="2"/>
  <c r="F993" i="2"/>
  <c r="S992" i="2"/>
  <c r="D992" i="2"/>
  <c r="J991" i="2"/>
  <c r="AU990" i="2"/>
  <c r="H990" i="2"/>
  <c r="Z989" i="2"/>
  <c r="F989" i="2"/>
  <c r="U988" i="2"/>
  <c r="E988" i="2"/>
  <c r="L987" i="2"/>
  <c r="C987" i="2"/>
  <c r="I986" i="2"/>
  <c r="AN985" i="2"/>
  <c r="G985" i="2"/>
  <c r="W984" i="2"/>
  <c r="J984" i="2"/>
  <c r="AU983" i="2"/>
  <c r="H983" i="2"/>
  <c r="Z982" i="2"/>
  <c r="F982" i="2"/>
  <c r="S981" i="2"/>
  <c r="D981" i="2"/>
  <c r="L980" i="2"/>
  <c r="C980" i="2"/>
  <c r="P979" i="2"/>
  <c r="E979" i="2"/>
  <c r="S978" i="2"/>
  <c r="G978" i="2"/>
  <c r="W977" i="2"/>
  <c r="J977" i="2"/>
  <c r="AU976" i="2"/>
  <c r="H976" i="2"/>
  <c r="Z975" i="2"/>
  <c r="J975" i="2"/>
  <c r="AU974" i="2"/>
  <c r="O974" i="2"/>
  <c r="F1073" i="2"/>
  <c r="AU1070" i="2"/>
  <c r="C1069" i="2"/>
  <c r="H1067" i="2"/>
  <c r="H1065" i="2"/>
  <c r="O1063" i="2"/>
  <c r="S1061" i="2"/>
  <c r="W1059" i="2"/>
  <c r="C1058" i="2"/>
  <c r="H1056" i="2"/>
  <c r="O1054" i="2"/>
  <c r="U1052" i="2"/>
  <c r="AU1050" i="2"/>
  <c r="F1049" i="2"/>
  <c r="J1047" i="2"/>
  <c r="L1045" i="2"/>
  <c r="G1043" i="2"/>
  <c r="J1041" i="2"/>
  <c r="F1040" i="2"/>
  <c r="AU1038" i="2"/>
  <c r="AN1037" i="2"/>
  <c r="L1036" i="2"/>
  <c r="G1035" i="2"/>
  <c r="E1034" i="2"/>
  <c r="Z1032" i="2"/>
  <c r="J1031" i="2"/>
  <c r="I1030" i="2"/>
  <c r="E1029" i="2"/>
  <c r="AN1027" i="2"/>
  <c r="Z1026" i="2"/>
  <c r="Q1025" i="2"/>
  <c r="J1024" i="2"/>
  <c r="G1023" i="2"/>
  <c r="C1022" i="2"/>
  <c r="W1020" i="2"/>
  <c r="S1019" i="2"/>
  <c r="L1018" i="2"/>
  <c r="H1017" i="2"/>
  <c r="J1016" i="2"/>
  <c r="AU1015" i="2"/>
  <c r="H1015" i="2"/>
  <c r="Z1014" i="2"/>
  <c r="J1014" i="2"/>
  <c r="AU1013" i="2"/>
  <c r="O1013" i="2"/>
  <c r="D1013" i="2"/>
  <c r="J1012" i="2"/>
  <c r="AU1011" i="2"/>
  <c r="H1011" i="2"/>
  <c r="Z1010" i="2"/>
  <c r="J1010" i="2"/>
  <c r="AU1009" i="2"/>
  <c r="O1009" i="2"/>
  <c r="D1009" i="2"/>
  <c r="Q1008" i="2"/>
  <c r="F1008" i="2"/>
  <c r="U1007" i="2"/>
  <c r="H1007" i="2"/>
  <c r="Z1006" i="2"/>
  <c r="J1006" i="2"/>
  <c r="AU1005" i="2"/>
  <c r="O1005" i="2"/>
  <c r="D1005" i="2"/>
  <c r="Q1004" i="2"/>
  <c r="F1004" i="2"/>
  <c r="U1003" i="2"/>
  <c r="H1003" i="2"/>
  <c r="Z1002" i="2"/>
  <c r="J1002" i="2"/>
  <c r="AU1001" i="2"/>
  <c r="O1001" i="2"/>
  <c r="D1001" i="2"/>
  <c r="Q1000" i="2"/>
  <c r="F1000" i="2"/>
  <c r="U999" i="2"/>
  <c r="H999" i="2"/>
  <c r="Z998" i="2"/>
  <c r="J998" i="2"/>
  <c r="AU997" i="2"/>
  <c r="O997" i="2"/>
  <c r="D997" i="2"/>
  <c r="Q996" i="2"/>
  <c r="F996" i="2"/>
  <c r="U995" i="2"/>
  <c r="H995" i="2"/>
  <c r="Z994" i="2"/>
  <c r="J994" i="2"/>
  <c r="AU993" i="2"/>
  <c r="O993" i="2"/>
  <c r="D993" i="2"/>
  <c r="J992" i="2"/>
  <c r="AU991" i="2"/>
  <c r="H991" i="2"/>
  <c r="Z990" i="2"/>
  <c r="F990" i="2"/>
  <c r="S989" i="2"/>
  <c r="D989" i="2"/>
  <c r="L988" i="2"/>
  <c r="C988" i="2"/>
  <c r="I987" i="2"/>
  <c r="AN986" i="2"/>
  <c r="G986" i="2"/>
  <c r="U985" i="2"/>
  <c r="E985" i="2"/>
  <c r="S984" i="2"/>
  <c r="H984" i="2"/>
  <c r="Z983" i="2"/>
  <c r="F983" i="2"/>
  <c r="S982" i="2"/>
  <c r="D982" i="2"/>
  <c r="J981" i="2"/>
  <c r="AU980" i="2"/>
  <c r="I980" i="2"/>
  <c r="AN979" i="2"/>
  <c r="L979" i="2"/>
  <c r="C979" i="2"/>
  <c r="P978" i="2"/>
  <c r="E978" i="2"/>
  <c r="S977" i="2"/>
  <c r="H977" i="2"/>
  <c r="Z976" i="2"/>
  <c r="F976" i="2"/>
  <c r="U975" i="2"/>
  <c r="H975" i="2"/>
  <c r="Z974" i="2"/>
  <c r="J974" i="2"/>
  <c r="AU973" i="2"/>
  <c r="D1073" i="2"/>
  <c r="S1073" i="2"/>
  <c r="F1065" i="2"/>
  <c r="AN1057" i="2"/>
  <c r="Z1050" i="2"/>
  <c r="E1043" i="2"/>
  <c r="L1037" i="2"/>
  <c r="U1032" i="2"/>
  <c r="W1027" i="2"/>
  <c r="C1023" i="2"/>
  <c r="I1018" i="2"/>
  <c r="G1015" i="2"/>
  <c r="L1013" i="2"/>
  <c r="G1011" i="2"/>
  <c r="L1009" i="2"/>
  <c r="S1007" i="2"/>
  <c r="AN1005" i="2"/>
  <c r="E1004" i="2"/>
  <c r="I1002" i="2"/>
  <c r="P1000" i="2"/>
  <c r="W998" i="2"/>
  <c r="C997" i="2"/>
  <c r="G995" i="2"/>
  <c r="L993" i="2"/>
  <c r="G991" i="2"/>
  <c r="C989" i="2"/>
  <c r="Z986" i="2"/>
  <c r="R984" i="2"/>
  <c r="L982" i="2"/>
  <c r="H980" i="2"/>
  <c r="O978" i="2"/>
  <c r="U976" i="2"/>
  <c r="C975" i="2"/>
  <c r="F974" i="2"/>
  <c r="Q973" i="2"/>
  <c r="E973" i="2"/>
  <c r="R972" i="2"/>
  <c r="D972" i="2"/>
  <c r="Q971" i="2"/>
  <c r="F971" i="2"/>
  <c r="S970" i="2"/>
  <c r="D970" i="2"/>
  <c r="R969" i="2"/>
  <c r="G969" i="2"/>
  <c r="W968" i="2"/>
  <c r="I968" i="2"/>
  <c r="AN967" i="2"/>
  <c r="L967" i="2"/>
  <c r="C967" i="2"/>
  <c r="Q966" i="2"/>
  <c r="F966" i="2"/>
  <c r="U965" i="2"/>
  <c r="H965" i="2"/>
  <c r="Z964" i="2"/>
  <c r="J964" i="2"/>
  <c r="AU963" i="2"/>
  <c r="O963" i="2"/>
  <c r="D963" i="2"/>
  <c r="R962" i="2"/>
  <c r="E962" i="2"/>
  <c r="S961" i="2"/>
  <c r="G961" i="2"/>
  <c r="W960" i="2"/>
  <c r="I960" i="2"/>
  <c r="AN959" i="2"/>
  <c r="L959" i="2"/>
  <c r="C959" i="2"/>
  <c r="P958" i="2"/>
  <c r="E958" i="2"/>
  <c r="S957" i="2"/>
  <c r="G957" i="2"/>
  <c r="W956" i="2"/>
  <c r="I956" i="2"/>
  <c r="AN955" i="2"/>
  <c r="L955" i="2"/>
  <c r="C955" i="2"/>
  <c r="I954" i="2"/>
  <c r="AN953" i="2"/>
  <c r="O953" i="2"/>
  <c r="D953" i="2"/>
  <c r="J952" i="2"/>
  <c r="AU951" i="2"/>
  <c r="H951" i="2"/>
  <c r="Z950" i="2"/>
  <c r="F950" i="2"/>
  <c r="U949" i="2"/>
  <c r="E949" i="2"/>
  <c r="S948" i="2"/>
  <c r="G948" i="2"/>
  <c r="W947" i="2"/>
  <c r="I947" i="2"/>
  <c r="AN946" i="2"/>
  <c r="O946" i="2"/>
  <c r="D946" i="2"/>
  <c r="J945" i="2"/>
  <c r="AU944" i="2"/>
  <c r="O944" i="2"/>
  <c r="D944" i="2"/>
  <c r="Q943" i="2"/>
  <c r="F943" i="2"/>
  <c r="U942" i="2"/>
  <c r="H942" i="2"/>
  <c r="Z941" i="2"/>
  <c r="I941" i="2"/>
  <c r="AN940" i="2"/>
  <c r="L940" i="2"/>
  <c r="C940" i="2"/>
  <c r="I939" i="2"/>
  <c r="AN938" i="2"/>
  <c r="O938" i="2"/>
  <c r="D938" i="2"/>
  <c r="Q937" i="2"/>
  <c r="F937" i="2"/>
  <c r="U936" i="2"/>
  <c r="H936" i="2"/>
  <c r="Z935" i="2"/>
  <c r="L935" i="2"/>
  <c r="C935" i="2"/>
  <c r="P934" i="2"/>
  <c r="E934" i="2"/>
  <c r="S933" i="2"/>
  <c r="G933" i="2"/>
  <c r="W932" i="2"/>
  <c r="I932" i="2"/>
  <c r="AN931" i="2"/>
  <c r="J931" i="2"/>
  <c r="AU930" i="2"/>
  <c r="O930" i="2"/>
  <c r="D930" i="2"/>
  <c r="H1071" i="2"/>
  <c r="Z1063" i="2"/>
  <c r="Q1056" i="2"/>
  <c r="O1049" i="2"/>
  <c r="S1041" i="2"/>
  <c r="P1036" i="2"/>
  <c r="Z1031" i="2"/>
  <c r="AU1026" i="2"/>
  <c r="E1022" i="2"/>
  <c r="L1017" i="2"/>
  <c r="AN1014" i="2"/>
  <c r="Z1070" i="2"/>
  <c r="J1063" i="2"/>
  <c r="F1056" i="2"/>
  <c r="D1049" i="2"/>
  <c r="F1041" i="2"/>
  <c r="I1036" i="2"/>
  <c r="H1031" i="2"/>
  <c r="Q1026" i="2"/>
  <c r="AN1021" i="2"/>
  <c r="G1017" i="2"/>
  <c r="W1014" i="2"/>
  <c r="I1069" i="2"/>
  <c r="D1062" i="2"/>
  <c r="Z1054" i="2"/>
  <c r="U1047" i="2"/>
  <c r="H1040" i="2"/>
  <c r="L1035" i="2"/>
  <c r="L1030" i="2"/>
  <c r="U1025" i="2"/>
  <c r="C1021" i="2"/>
  <c r="P1016" i="2"/>
  <c r="L1014" i="2"/>
  <c r="L1012" i="2"/>
  <c r="L1010" i="2"/>
  <c r="S1008" i="2"/>
  <c r="AN1006" i="2"/>
  <c r="E1005" i="2"/>
  <c r="I1003" i="2"/>
  <c r="P1001" i="2"/>
  <c r="W999" i="2"/>
  <c r="C998" i="2"/>
  <c r="G996" i="2"/>
  <c r="L994" i="2"/>
  <c r="L992" i="2"/>
  <c r="G990" i="2"/>
  <c r="D988" i="2"/>
  <c r="Z985" i="2"/>
  <c r="AN983" i="2"/>
  <c r="L981" i="2"/>
  <c r="O979" i="2"/>
  <c r="U977" i="2"/>
  <c r="W975" i="2"/>
  <c r="S974" i="2"/>
  <c r="C974" i="2"/>
  <c r="L973" i="2"/>
  <c r="AN972" i="2"/>
  <c r="I972" i="2"/>
  <c r="AN971" i="2"/>
  <c r="L971" i="2"/>
  <c r="C971" i="2"/>
  <c r="I970" i="2"/>
  <c r="AN969" i="2"/>
  <c r="O969" i="2"/>
  <c r="D969" i="2"/>
  <c r="Q968" i="2"/>
  <c r="F968" i="2"/>
  <c r="U967" i="2"/>
  <c r="H967" i="2"/>
  <c r="Z966" i="2"/>
  <c r="L966" i="2"/>
  <c r="C966" i="2"/>
  <c r="P965" i="2"/>
  <c r="E965" i="2"/>
  <c r="S964" i="2"/>
  <c r="G964" i="2"/>
  <c r="W963" i="2"/>
  <c r="I963" i="2"/>
  <c r="AN962" i="2"/>
  <c r="J962" i="2"/>
  <c r="AU961" i="2"/>
  <c r="O961" i="2"/>
  <c r="D961" i="2"/>
  <c r="Q960" i="2"/>
  <c r="F960" i="2"/>
  <c r="U959" i="2"/>
  <c r="H959" i="2"/>
  <c r="Z958" i="2"/>
  <c r="J958" i="2"/>
  <c r="AU957" i="2"/>
  <c r="O957" i="2"/>
  <c r="D957" i="2"/>
  <c r="Q956" i="2"/>
  <c r="F956" i="2"/>
  <c r="U955" i="2"/>
  <c r="H955" i="2"/>
  <c r="Z954" i="2"/>
  <c r="F954" i="2"/>
  <c r="U953" i="2"/>
  <c r="I953" i="2"/>
  <c r="AN952" i="2"/>
  <c r="G952" i="2"/>
  <c r="U951" i="2"/>
  <c r="E951" i="2"/>
  <c r="L950" i="2"/>
  <c r="C950" i="2"/>
  <c r="J949" i="2"/>
  <c r="AU948" i="2"/>
  <c r="O948" i="2"/>
  <c r="D948" i="2"/>
  <c r="Q947" i="2"/>
  <c r="F947" i="2"/>
  <c r="U946" i="2"/>
  <c r="I946" i="2"/>
  <c r="AN945" i="2"/>
  <c r="G945" i="2"/>
  <c r="W944" i="2"/>
  <c r="I944" i="2"/>
  <c r="AN943" i="2"/>
  <c r="L943" i="2"/>
  <c r="C943" i="2"/>
  <c r="P942" i="2"/>
  <c r="E942" i="2"/>
  <c r="S941" i="2"/>
  <c r="F941" i="2"/>
  <c r="U940" i="2"/>
  <c r="H940" i="2"/>
  <c r="Z939" i="2"/>
  <c r="F939" i="2"/>
  <c r="U938" i="2"/>
  <c r="I938" i="2"/>
  <c r="AN937" i="2"/>
  <c r="L937" i="2"/>
  <c r="C937" i="2"/>
  <c r="P936" i="2"/>
  <c r="E936" i="2"/>
  <c r="S935" i="2"/>
  <c r="H935" i="2"/>
  <c r="Z934" i="2"/>
  <c r="J934" i="2"/>
  <c r="AU933" i="2"/>
  <c r="O933" i="2"/>
  <c r="D933" i="2"/>
  <c r="Q932" i="2"/>
  <c r="F932" i="2"/>
  <c r="U931" i="2"/>
  <c r="G931" i="2"/>
  <c r="W930" i="2"/>
  <c r="I930" i="2"/>
  <c r="AN1068" i="2"/>
  <c r="J1061" i="2"/>
  <c r="J1054" i="2"/>
  <c r="H1047" i="2"/>
  <c r="D1040" i="2"/>
  <c r="E1035" i="2"/>
  <c r="E1030" i="2"/>
  <c r="O1025" i="2"/>
  <c r="S1020" i="2"/>
  <c r="I1016" i="2"/>
  <c r="I1014" i="2"/>
  <c r="I1012" i="2"/>
  <c r="I1010" i="2"/>
  <c r="P1008" i="2"/>
  <c r="W1006" i="2"/>
  <c r="C1005" i="2"/>
  <c r="G1003" i="2"/>
  <c r="L1001" i="2"/>
  <c r="S999" i="2"/>
  <c r="AN997" i="2"/>
  <c r="E996" i="2"/>
  <c r="I994" i="2"/>
  <c r="I992" i="2"/>
  <c r="E990" i="2"/>
  <c r="AU987" i="2"/>
  <c r="S985" i="2"/>
  <c r="U983" i="2"/>
  <c r="I981" i="2"/>
  <c r="J979" i="2"/>
  <c r="R977" i="2"/>
  <c r="S975" i="2"/>
  <c r="P974" i="2"/>
  <c r="AN973" i="2"/>
  <c r="I973" i="2"/>
  <c r="Z972" i="2"/>
  <c r="H972" i="2"/>
  <c r="Z971" i="2"/>
  <c r="J971" i="2"/>
  <c r="AU970" i="2"/>
  <c r="H970" i="2"/>
  <c r="Z969" i="2"/>
  <c r="L969" i="2"/>
  <c r="C969" i="2"/>
  <c r="P968" i="2"/>
  <c r="E968" i="2"/>
  <c r="S967" i="2"/>
  <c r="G967" i="2"/>
  <c r="W966" i="2"/>
  <c r="J966" i="2"/>
  <c r="AU965" i="2"/>
  <c r="O965" i="2"/>
  <c r="D965" i="2"/>
  <c r="Q964" i="2"/>
  <c r="F964" i="2"/>
  <c r="U963" i="2"/>
  <c r="H963" i="2"/>
  <c r="Z962" i="2"/>
  <c r="I962" i="2"/>
  <c r="AN961" i="2"/>
  <c r="L961" i="2"/>
  <c r="C961" i="2"/>
  <c r="P960" i="2"/>
  <c r="E960" i="2"/>
  <c r="S959" i="2"/>
  <c r="G959" i="2"/>
  <c r="W958" i="2"/>
  <c r="I958" i="2"/>
  <c r="AN957" i="2"/>
  <c r="L957" i="2"/>
  <c r="C957" i="2"/>
  <c r="P956" i="2"/>
  <c r="E956" i="2"/>
  <c r="S955" i="2"/>
  <c r="G955" i="2"/>
  <c r="U954" i="2"/>
  <c r="E954" i="2"/>
  <c r="S953" i="2"/>
  <c r="H953" i="2"/>
  <c r="Z952" i="2"/>
  <c r="F952" i="2"/>
  <c r="S951" i="2"/>
  <c r="D951" i="2"/>
  <c r="J950" i="2"/>
  <c r="AU949" i="2"/>
  <c r="I949" i="2"/>
  <c r="AN948" i="2"/>
  <c r="L948" i="2"/>
  <c r="C948" i="2"/>
  <c r="P947" i="2"/>
  <c r="E947" i="2"/>
  <c r="S946" i="2"/>
  <c r="H946" i="2"/>
  <c r="Z945" i="2"/>
  <c r="F945" i="2"/>
  <c r="U944" i="2"/>
  <c r="H944" i="2"/>
  <c r="Z943" i="2"/>
  <c r="J943" i="2"/>
  <c r="AU942" i="2"/>
  <c r="O942" i="2"/>
  <c r="D942" i="2"/>
  <c r="R941" i="2"/>
  <c r="E941" i="2"/>
  <c r="S940" i="2"/>
  <c r="G940" i="2"/>
  <c r="U939" i="2"/>
  <c r="E939" i="2"/>
  <c r="S938" i="2"/>
  <c r="H938" i="2"/>
  <c r="Z937" i="2"/>
  <c r="J937" i="2"/>
  <c r="AU936" i="2"/>
  <c r="O936" i="2"/>
  <c r="D936" i="2"/>
  <c r="R935" i="2"/>
  <c r="Q1067" i="2"/>
  <c r="E1060" i="2"/>
  <c r="D1053" i="2"/>
  <c r="U1045" i="2"/>
  <c r="F1039" i="2"/>
  <c r="G1034" i="2"/>
  <c r="G1029" i="2"/>
  <c r="Q1024" i="2"/>
  <c r="W1019" i="2"/>
  <c r="C1016" i="2"/>
  <c r="C1014" i="2"/>
  <c r="C1012" i="2"/>
  <c r="C1010" i="2"/>
  <c r="G1008" i="2"/>
  <c r="L1006" i="2"/>
  <c r="S1004" i="2"/>
  <c r="AN1002" i="2"/>
  <c r="E1001" i="2"/>
  <c r="I999" i="2"/>
  <c r="P997" i="2"/>
  <c r="W995" i="2"/>
  <c r="C994" i="2"/>
  <c r="C992" i="2"/>
  <c r="U989" i="2"/>
  <c r="J987" i="2"/>
  <c r="F985" i="2"/>
  <c r="G983" i="2"/>
  <c r="C981" i="2"/>
  <c r="D979" i="2"/>
  <c r="I977" i="2"/>
  <c r="L975" i="2"/>
  <c r="L974" i="2"/>
  <c r="W973" i="2"/>
  <c r="H973" i="2"/>
  <c r="W972" i="2"/>
  <c r="G972" i="2"/>
  <c r="W971" i="2"/>
  <c r="I971" i="2"/>
  <c r="AN970" i="2"/>
  <c r="G970" i="2"/>
  <c r="W969" i="2"/>
  <c r="J969" i="2"/>
  <c r="AU968" i="2"/>
  <c r="O968" i="2"/>
  <c r="D968" i="2"/>
  <c r="Q967" i="2"/>
  <c r="F967" i="2"/>
  <c r="U966" i="2"/>
  <c r="I966" i="2"/>
  <c r="AN965" i="2"/>
  <c r="L965" i="2"/>
  <c r="C965" i="2"/>
  <c r="P964" i="2"/>
  <c r="E964" i="2"/>
  <c r="S963" i="2"/>
  <c r="G963" i="2"/>
  <c r="W962" i="2"/>
  <c r="H962" i="2"/>
  <c r="Z961" i="2"/>
  <c r="J961" i="2"/>
  <c r="AU960" i="2"/>
  <c r="O960" i="2"/>
  <c r="D960" i="2"/>
  <c r="Q959" i="2"/>
  <c r="F959" i="2"/>
  <c r="U958" i="2"/>
  <c r="H958" i="2"/>
  <c r="Z957" i="2"/>
  <c r="J957" i="2"/>
  <c r="AU956" i="2"/>
  <c r="O956" i="2"/>
  <c r="D956" i="2"/>
  <c r="Q955" i="2"/>
  <c r="F955" i="2"/>
  <c r="S954" i="2"/>
  <c r="D954" i="2"/>
  <c r="R953" i="2"/>
  <c r="G953" i="2"/>
  <c r="U952" i="2"/>
  <c r="E952" i="2"/>
  <c r="L951" i="2"/>
  <c r="C951" i="2"/>
  <c r="I950" i="2"/>
  <c r="AN949" i="2"/>
  <c r="H949" i="2"/>
  <c r="Z948" i="2"/>
  <c r="J948" i="2"/>
  <c r="AU947" i="2"/>
  <c r="O947" i="2"/>
  <c r="D947" i="2"/>
  <c r="R946" i="2"/>
  <c r="G946" i="2"/>
  <c r="U945" i="2"/>
  <c r="E945" i="2"/>
  <c r="S944" i="2"/>
  <c r="G944" i="2"/>
  <c r="W943" i="2"/>
  <c r="I943" i="2"/>
  <c r="AN942" i="2"/>
  <c r="L942" i="2"/>
  <c r="C942" i="2"/>
  <c r="Q941" i="2"/>
  <c r="D941" i="2"/>
  <c r="Q940" i="2"/>
  <c r="F940" i="2"/>
  <c r="S939" i="2"/>
  <c r="D939" i="2"/>
  <c r="R938" i="2"/>
  <c r="G938" i="2"/>
  <c r="W937" i="2"/>
  <c r="I937" i="2"/>
  <c r="AN936" i="2"/>
  <c r="L936" i="2"/>
  <c r="C936" i="2"/>
  <c r="Q935" i="2"/>
  <c r="F935" i="2"/>
  <c r="U934" i="2"/>
  <c r="H934" i="2"/>
  <c r="Z933" i="2"/>
  <c r="J933" i="2"/>
  <c r="AU932" i="2"/>
  <c r="O932" i="2"/>
  <c r="D932" i="2"/>
  <c r="R931" i="2"/>
  <c r="E931" i="2"/>
  <c r="F1067" i="2"/>
  <c r="S1059" i="2"/>
  <c r="Q1052" i="2"/>
  <c r="I1045" i="2"/>
  <c r="Z1038" i="2"/>
  <c r="AN1033" i="2"/>
  <c r="C1029" i="2"/>
  <c r="H1024" i="2"/>
  <c r="L1019" i="2"/>
  <c r="AN1015" i="2"/>
  <c r="AN1013" i="2"/>
  <c r="AN1011" i="2"/>
  <c r="AN1009" i="2"/>
  <c r="E1008" i="2"/>
  <c r="I1006" i="2"/>
  <c r="P1004" i="2"/>
  <c r="W1002" i="2"/>
  <c r="C1001" i="2"/>
  <c r="G999" i="2"/>
  <c r="L997" i="2"/>
  <c r="S995" i="2"/>
  <c r="AN993" i="2"/>
  <c r="AN991" i="2"/>
  <c r="L989" i="2"/>
  <c r="H987" i="2"/>
  <c r="D985" i="2"/>
  <c r="E983" i="2"/>
  <c r="AN980" i="2"/>
  <c r="AU978" i="2"/>
  <c r="G977" i="2"/>
  <c r="I975" i="2"/>
  <c r="I974" i="2"/>
  <c r="U973" i="2"/>
  <c r="G973" i="2"/>
  <c r="U972" i="2"/>
  <c r="F972" i="2"/>
  <c r="U971" i="2"/>
  <c r="H971" i="2"/>
  <c r="Z970" i="2"/>
  <c r="F970" i="2"/>
  <c r="U969" i="2"/>
  <c r="I969" i="2"/>
  <c r="AN968" i="2"/>
  <c r="L968" i="2"/>
  <c r="C968" i="2"/>
  <c r="P967" i="2"/>
  <c r="E967" i="2"/>
  <c r="S966" i="2"/>
  <c r="H966" i="2"/>
  <c r="Z965" i="2"/>
  <c r="J965" i="2"/>
  <c r="AU964" i="2"/>
  <c r="O964" i="2"/>
  <c r="D964" i="2"/>
  <c r="Q963" i="2"/>
  <c r="F963" i="2"/>
  <c r="U962" i="2"/>
  <c r="G962" i="2"/>
  <c r="W961" i="2"/>
  <c r="I961" i="2"/>
  <c r="AN960" i="2"/>
  <c r="L960" i="2"/>
  <c r="C960" i="2"/>
  <c r="P959" i="2"/>
  <c r="E959" i="2"/>
  <c r="S958" i="2"/>
  <c r="G958" i="2"/>
  <c r="W957" i="2"/>
  <c r="I957" i="2"/>
  <c r="AN956" i="2"/>
  <c r="L956" i="2"/>
  <c r="C956" i="2"/>
  <c r="P955" i="2"/>
  <c r="E955" i="2"/>
  <c r="L954" i="2"/>
  <c r="C954" i="2"/>
  <c r="Q953" i="2"/>
  <c r="F953" i="2"/>
  <c r="S952" i="2"/>
  <c r="D952" i="2"/>
  <c r="J951" i="2"/>
  <c r="AU950" i="2"/>
  <c r="H950" i="2"/>
  <c r="Z949" i="2"/>
  <c r="G949" i="2"/>
  <c r="W948" i="2"/>
  <c r="I948" i="2"/>
  <c r="AN947" i="2"/>
  <c r="L947" i="2"/>
  <c r="C947" i="2"/>
  <c r="Q946" i="2"/>
  <c r="F946" i="2"/>
  <c r="S945" i="2"/>
  <c r="D945" i="2"/>
  <c r="Q944" i="2"/>
  <c r="F944" i="2"/>
  <c r="U943" i="2"/>
  <c r="H943" i="2"/>
  <c r="Z942" i="2"/>
  <c r="J942" i="2"/>
  <c r="AU941" i="2"/>
  <c r="L941" i="2"/>
  <c r="C941" i="2"/>
  <c r="P940" i="2"/>
  <c r="E940" i="2"/>
  <c r="L939" i="2"/>
  <c r="C939" i="2"/>
  <c r="Q938" i="2"/>
  <c r="F938" i="2"/>
  <c r="U937" i="2"/>
  <c r="H937" i="2"/>
  <c r="Z936" i="2"/>
  <c r="J936" i="2"/>
  <c r="AU935" i="2"/>
  <c r="Q1065" i="2"/>
  <c r="P1018" i="2"/>
  <c r="P1009" i="2"/>
  <c r="L1005" i="2"/>
  <c r="G1000" i="2"/>
  <c r="I995" i="2"/>
  <c r="U990" i="2"/>
  <c r="I984" i="2"/>
  <c r="Q978" i="2"/>
  <c r="W974" i="2"/>
  <c r="D973" i="2"/>
  <c r="S971" i="2"/>
  <c r="J970" i="2"/>
  <c r="F969" i="2"/>
  <c r="AU967" i="2"/>
  <c r="AN966" i="2"/>
  <c r="S965" i="2"/>
  <c r="L964" i="2"/>
  <c r="J963" i="2"/>
  <c r="D962" i="2"/>
  <c r="Z960" i="2"/>
  <c r="W959" i="2"/>
  <c r="O958" i="2"/>
  <c r="H957" i="2"/>
  <c r="G956" i="2"/>
  <c r="AU954" i="2"/>
  <c r="P953" i="2"/>
  <c r="H952" i="2"/>
  <c r="U950" i="2"/>
  <c r="F949" i="2"/>
  <c r="E948" i="2"/>
  <c r="Z946" i="2"/>
  <c r="L945" i="2"/>
  <c r="J944" i="2"/>
  <c r="E943" i="2"/>
  <c r="AN941" i="2"/>
  <c r="W940" i="2"/>
  <c r="H939" i="2"/>
  <c r="E938" i="2"/>
  <c r="D937" i="2"/>
  <c r="W935" i="2"/>
  <c r="D935" i="2"/>
  <c r="I934" i="2"/>
  <c r="Q933" i="2"/>
  <c r="AN932" i="2"/>
  <c r="G932" i="2"/>
  <c r="L931" i="2"/>
  <c r="U930" i="2"/>
  <c r="F930" i="2"/>
  <c r="S929" i="2"/>
  <c r="G929" i="2"/>
  <c r="W928" i="2"/>
  <c r="I928" i="2"/>
  <c r="AN927" i="2"/>
  <c r="L927" i="2"/>
  <c r="C927" i="2"/>
  <c r="P926" i="2"/>
  <c r="E926" i="2"/>
  <c r="S925" i="2"/>
  <c r="G925" i="2"/>
  <c r="W924" i="2"/>
  <c r="I924" i="2"/>
  <c r="AN923" i="2"/>
  <c r="G923" i="2"/>
  <c r="U922" i="2"/>
  <c r="E922" i="2"/>
  <c r="L921" i="2"/>
  <c r="C921" i="2"/>
  <c r="I920" i="2"/>
  <c r="AN919" i="2"/>
  <c r="H919" i="2"/>
  <c r="Z918" i="2"/>
  <c r="J918" i="2"/>
  <c r="AU917" i="2"/>
  <c r="O917" i="2"/>
  <c r="D917" i="2"/>
  <c r="R916" i="2"/>
  <c r="G916" i="2"/>
  <c r="U915" i="2"/>
  <c r="E915" i="2"/>
  <c r="S914" i="2"/>
  <c r="G914" i="2"/>
  <c r="W913" i="2"/>
  <c r="I913" i="2"/>
  <c r="AN912" i="2"/>
  <c r="G912" i="2"/>
  <c r="W911" i="2"/>
  <c r="I911" i="2"/>
  <c r="AN910" i="2"/>
  <c r="L910" i="2"/>
  <c r="C910" i="2"/>
  <c r="Q909" i="2"/>
  <c r="F909" i="2"/>
  <c r="U908" i="2"/>
  <c r="H908" i="2"/>
  <c r="Z907" i="2"/>
  <c r="J907" i="2"/>
  <c r="AU906" i="2"/>
  <c r="O906" i="2"/>
  <c r="D906" i="2"/>
  <c r="Q905" i="2"/>
  <c r="F905" i="2"/>
  <c r="U904" i="2"/>
  <c r="H904" i="2"/>
  <c r="Z903" i="2"/>
  <c r="J903" i="2"/>
  <c r="AU902" i="2"/>
  <c r="O902" i="2"/>
  <c r="D902" i="2"/>
  <c r="Q901" i="2"/>
  <c r="F901" i="2"/>
  <c r="S900" i="2"/>
  <c r="D900" i="2"/>
  <c r="Q899" i="2"/>
  <c r="F899" i="2"/>
  <c r="U898" i="2"/>
  <c r="H898" i="2"/>
  <c r="Z897" i="2"/>
  <c r="J897" i="2"/>
  <c r="AU896" i="2"/>
  <c r="H896" i="2"/>
  <c r="Z895" i="2"/>
  <c r="F895" i="2"/>
  <c r="S894" i="2"/>
  <c r="D894" i="2"/>
  <c r="L893" i="2"/>
  <c r="C893" i="2"/>
  <c r="P892" i="2"/>
  <c r="E892" i="2"/>
  <c r="S891" i="2"/>
  <c r="G891" i="2"/>
  <c r="W890" i="2"/>
  <c r="J890" i="2"/>
  <c r="AU889" i="2"/>
  <c r="H889" i="2"/>
  <c r="Z888" i="2"/>
  <c r="F888" i="2"/>
  <c r="S887" i="2"/>
  <c r="D887" i="2"/>
  <c r="Q886" i="2"/>
  <c r="F886" i="2"/>
  <c r="H1051" i="2"/>
  <c r="P1013" i="2"/>
  <c r="C1009" i="2"/>
  <c r="W1003" i="2"/>
  <c r="AN998" i="2"/>
  <c r="W994" i="2"/>
  <c r="S988" i="2"/>
  <c r="U982" i="2"/>
  <c r="D978" i="2"/>
  <c r="E974" i="2"/>
  <c r="S972" i="2"/>
  <c r="O971" i="2"/>
  <c r="C970" i="2"/>
  <c r="Z968" i="2"/>
  <c r="W967" i="2"/>
  <c r="P966" i="2"/>
  <c r="I965" i="2"/>
  <c r="H964" i="2"/>
  <c r="C963" i="2"/>
  <c r="U961" i="2"/>
  <c r="S960" i="2"/>
  <c r="J959" i="2"/>
  <c r="F958" i="2"/>
  <c r="E957" i="2"/>
  <c r="Z955" i="2"/>
  <c r="J954" i="2"/>
  <c r="J953" i="2"/>
  <c r="AN951" i="2"/>
  <c r="G950" i="2"/>
  <c r="C949" i="2"/>
  <c r="U947" i="2"/>
  <c r="P946" i="2"/>
  <c r="H945" i="2"/>
  <c r="C944" i="2"/>
  <c r="W942" i="2"/>
  <c r="U941" i="2"/>
  <c r="J940" i="2"/>
  <c r="AU938" i="2"/>
  <c r="AU937" i="2"/>
  <c r="S936" i="2"/>
  <c r="P935" i="2"/>
  <c r="AN934" i="2"/>
  <c r="F934" i="2"/>
  <c r="L933" i="2"/>
  <c r="U932" i="2"/>
  <c r="C932" i="2"/>
  <c r="H931" i="2"/>
  <c r="Q930" i="2"/>
  <c r="C930" i="2"/>
  <c r="P929" i="2"/>
  <c r="E929" i="2"/>
  <c r="S928" i="2"/>
  <c r="G928" i="2"/>
  <c r="W927" i="2"/>
  <c r="I927" i="2"/>
  <c r="AN926" i="2"/>
  <c r="L926" i="2"/>
  <c r="C926" i="2"/>
  <c r="P925" i="2"/>
  <c r="E925" i="2"/>
  <c r="S924" i="2"/>
  <c r="G924" i="2"/>
  <c r="U923" i="2"/>
  <c r="E923" i="2"/>
  <c r="L922" i="2"/>
  <c r="C922" i="2"/>
  <c r="I921" i="2"/>
  <c r="AN920" i="2"/>
  <c r="G920" i="2"/>
  <c r="W919" i="2"/>
  <c r="F919" i="2"/>
  <c r="U918" i="2"/>
  <c r="H918" i="2"/>
  <c r="Z917" i="2"/>
  <c r="J917" i="2"/>
  <c r="AU916" i="2"/>
  <c r="P916" i="2"/>
  <c r="E916" i="2"/>
  <c r="L915" i="2"/>
  <c r="C915" i="2"/>
  <c r="P914" i="2"/>
  <c r="E914" i="2"/>
  <c r="S913" i="2"/>
  <c r="G913" i="2"/>
  <c r="U912" i="2"/>
  <c r="E912" i="2"/>
  <c r="S911" i="2"/>
  <c r="G911" i="2"/>
  <c r="W910" i="2"/>
  <c r="I910" i="2"/>
  <c r="AN909" i="2"/>
  <c r="O909" i="2"/>
  <c r="D909" i="2"/>
  <c r="Q908" i="2"/>
  <c r="F908" i="2"/>
  <c r="U907" i="2"/>
  <c r="H907" i="2"/>
  <c r="Z906" i="2"/>
  <c r="J906" i="2"/>
  <c r="AU905" i="2"/>
  <c r="O905" i="2"/>
  <c r="D905" i="2"/>
  <c r="Q904" i="2"/>
  <c r="F904" i="2"/>
  <c r="U903" i="2"/>
  <c r="H903" i="2"/>
  <c r="Z902" i="2"/>
  <c r="J902" i="2"/>
  <c r="AU901" i="2"/>
  <c r="O901" i="2"/>
  <c r="D901" i="2"/>
  <c r="J900" i="2"/>
  <c r="AU899" i="2"/>
  <c r="O899" i="2"/>
  <c r="D899" i="2"/>
  <c r="Q898" i="2"/>
  <c r="F898" i="2"/>
  <c r="U897" i="2"/>
  <c r="H897" i="2"/>
  <c r="Z896" i="2"/>
  <c r="F896" i="2"/>
  <c r="S895" i="2"/>
  <c r="D895" i="2"/>
  <c r="J894" i="2"/>
  <c r="AU893" i="2"/>
  <c r="I893" i="2"/>
  <c r="AN892" i="2"/>
  <c r="U1043" i="2"/>
  <c r="E1013" i="2"/>
  <c r="W1007" i="2"/>
  <c r="S1003" i="2"/>
  <c r="L998" i="2"/>
  <c r="P993" i="2"/>
  <c r="J988" i="2"/>
  <c r="E982" i="2"/>
  <c r="AN976" i="2"/>
  <c r="D974" i="2"/>
  <c r="Q972" i="2"/>
  <c r="G971" i="2"/>
  <c r="AU969" i="2"/>
  <c r="U968" i="2"/>
  <c r="O967" i="2"/>
  <c r="O966" i="2"/>
  <c r="G965" i="2"/>
  <c r="C964" i="2"/>
  <c r="AU962" i="2"/>
  <c r="Q961" i="2"/>
  <c r="J960" i="2"/>
  <c r="I959" i="2"/>
  <c r="D958" i="2"/>
  <c r="Z956" i="2"/>
  <c r="W955" i="2"/>
  <c r="H954" i="2"/>
  <c r="E953" i="2"/>
  <c r="Z951" i="2"/>
  <c r="E950" i="2"/>
  <c r="U948" i="2"/>
  <c r="S947" i="2"/>
  <c r="L946" i="2"/>
  <c r="C945" i="2"/>
  <c r="AU943" i="2"/>
  <c r="S942" i="2"/>
  <c r="J941" i="2"/>
  <c r="I940" i="2"/>
  <c r="Z938" i="2"/>
  <c r="S937" i="2"/>
  <c r="Q936" i="2"/>
  <c r="O935" i="2"/>
  <c r="W934" i="2"/>
  <c r="D934" i="2"/>
  <c r="I933" i="2"/>
  <c r="S932" i="2"/>
  <c r="AU931" i="2"/>
  <c r="F931" i="2"/>
  <c r="P930" i="2"/>
  <c r="AU929" i="2"/>
  <c r="O929" i="2"/>
  <c r="D929" i="2"/>
  <c r="Q928" i="2"/>
  <c r="F928" i="2"/>
  <c r="U927" i="2"/>
  <c r="H927" i="2"/>
  <c r="Z926" i="2"/>
  <c r="J926" i="2"/>
  <c r="AU925" i="2"/>
  <c r="O925" i="2"/>
  <c r="D925" i="2"/>
  <c r="Q924" i="2"/>
  <c r="F924" i="2"/>
  <c r="S923" i="2"/>
  <c r="D923" i="2"/>
  <c r="J922" i="2"/>
  <c r="AU921" i="2"/>
  <c r="H921" i="2"/>
  <c r="Z920" i="2"/>
  <c r="F920" i="2"/>
  <c r="U919" i="2"/>
  <c r="E919" i="2"/>
  <c r="S918" i="2"/>
  <c r="G918" i="2"/>
  <c r="W917" i="2"/>
  <c r="I917" i="2"/>
  <c r="AN916" i="2"/>
  <c r="O916" i="2"/>
  <c r="D916" i="2"/>
  <c r="J915" i="2"/>
  <c r="AU914" i="2"/>
  <c r="O914" i="2"/>
  <c r="D914" i="2"/>
  <c r="Q913" i="2"/>
  <c r="F913" i="2"/>
  <c r="S912" i="2"/>
  <c r="D912" i="2"/>
  <c r="Q911" i="2"/>
  <c r="F911" i="2"/>
  <c r="U910" i="2"/>
  <c r="H910" i="2"/>
  <c r="Z909" i="2"/>
  <c r="L909" i="2"/>
  <c r="C909" i="2"/>
  <c r="P908" i="2"/>
  <c r="E908" i="2"/>
  <c r="S907" i="2"/>
  <c r="G907" i="2"/>
  <c r="W906" i="2"/>
  <c r="I906" i="2"/>
  <c r="AN905" i="2"/>
  <c r="L905" i="2"/>
  <c r="C905" i="2"/>
  <c r="P904" i="2"/>
  <c r="E904" i="2"/>
  <c r="S903" i="2"/>
  <c r="G903" i="2"/>
  <c r="W902" i="2"/>
  <c r="I902" i="2"/>
  <c r="AN901" i="2"/>
  <c r="L901" i="2"/>
  <c r="C901" i="2"/>
  <c r="I900" i="2"/>
  <c r="AN899" i="2"/>
  <c r="L899" i="2"/>
  <c r="C899" i="2"/>
  <c r="P898" i="2"/>
  <c r="E898" i="2"/>
  <c r="S897" i="2"/>
  <c r="G897" i="2"/>
  <c r="U896" i="2"/>
  <c r="E896" i="2"/>
  <c r="L895" i="2"/>
  <c r="C1038" i="2"/>
  <c r="C1013" i="2"/>
  <c r="I1007" i="2"/>
  <c r="L1002" i="2"/>
  <c r="I998" i="2"/>
  <c r="E993" i="2"/>
  <c r="AU986" i="2"/>
  <c r="C982" i="2"/>
  <c r="G976" i="2"/>
  <c r="S973" i="2"/>
  <c r="J972" i="2"/>
  <c r="E971" i="2"/>
  <c r="S969" i="2"/>
  <c r="S968" i="2"/>
  <c r="J967" i="2"/>
  <c r="G966" i="2"/>
  <c r="F965" i="2"/>
  <c r="AN963" i="2"/>
  <c r="S962" i="2"/>
  <c r="P961" i="2"/>
  <c r="H960" i="2"/>
  <c r="D959" i="2"/>
  <c r="C958" i="2"/>
  <c r="U956" i="2"/>
  <c r="O955" i="2"/>
  <c r="G954" i="2"/>
  <c r="C953" i="2"/>
  <c r="I951" i="2"/>
  <c r="D950" i="2"/>
  <c r="Q948" i="2"/>
  <c r="J947" i="2"/>
  <c r="J946" i="2"/>
  <c r="AN944" i="2"/>
  <c r="S943" i="2"/>
  <c r="Q942" i="2"/>
  <c r="H941" i="2"/>
  <c r="D940" i="2"/>
  <c r="W938" i="2"/>
  <c r="P937" i="2"/>
  <c r="I936" i="2"/>
  <c r="J935" i="2"/>
  <c r="S934" i="2"/>
  <c r="C934" i="2"/>
  <c r="H933" i="2"/>
  <c r="P932" i="2"/>
  <c r="Z931" i="2"/>
  <c r="D931" i="2"/>
  <c r="L930" i="2"/>
  <c r="AN929" i="2"/>
  <c r="L929" i="2"/>
  <c r="C929" i="2"/>
  <c r="P928" i="2"/>
  <c r="E928" i="2"/>
  <c r="S927" i="2"/>
  <c r="G927" i="2"/>
  <c r="W926" i="2"/>
  <c r="I926" i="2"/>
  <c r="AN925" i="2"/>
  <c r="L925" i="2"/>
  <c r="C925" i="2"/>
  <c r="P924" i="2"/>
  <c r="E924" i="2"/>
  <c r="L923" i="2"/>
  <c r="C923" i="2"/>
  <c r="I922" i="2"/>
  <c r="AN921" i="2"/>
  <c r="G921" i="2"/>
  <c r="U920" i="2"/>
  <c r="E920" i="2"/>
  <c r="S919" i="2"/>
  <c r="D919" i="2"/>
  <c r="Q918" i="2"/>
  <c r="F918" i="2"/>
  <c r="U917" i="2"/>
  <c r="H917" i="2"/>
  <c r="Z916" i="2"/>
  <c r="L916" i="2"/>
  <c r="C916" i="2"/>
  <c r="I915" i="2"/>
  <c r="AN914" i="2"/>
  <c r="L914" i="2"/>
  <c r="C914" i="2"/>
  <c r="P913" i="2"/>
  <c r="E913" i="2"/>
  <c r="L912" i="2"/>
  <c r="C912" i="2"/>
  <c r="P911" i="2"/>
  <c r="E911" i="2"/>
  <c r="S910" i="2"/>
  <c r="G910" i="2"/>
  <c r="W909" i="2"/>
  <c r="J909" i="2"/>
  <c r="AU908" i="2"/>
  <c r="O908" i="2"/>
  <c r="D908" i="2"/>
  <c r="Q907" i="2"/>
  <c r="F907" i="2"/>
  <c r="U906" i="2"/>
  <c r="H906" i="2"/>
  <c r="Z905" i="2"/>
  <c r="J905" i="2"/>
  <c r="AU904" i="2"/>
  <c r="O904" i="2"/>
  <c r="D904" i="2"/>
  <c r="Q903" i="2"/>
  <c r="F903" i="2"/>
  <c r="U902" i="2"/>
  <c r="H902" i="2"/>
  <c r="Z901" i="2"/>
  <c r="J901" i="2"/>
  <c r="AU900" i="2"/>
  <c r="H900" i="2"/>
  <c r="Z899" i="2"/>
  <c r="J899" i="2"/>
  <c r="AU898" i="2"/>
  <c r="O898" i="2"/>
  <c r="D898" i="2"/>
  <c r="Q897" i="2"/>
  <c r="F897" i="2"/>
  <c r="S896" i="2"/>
  <c r="D896" i="2"/>
  <c r="J895" i="2"/>
  <c r="E1028" i="2"/>
  <c r="AN1010" i="2"/>
  <c r="C1006" i="2"/>
  <c r="AN1001" i="2"/>
  <c r="S996" i="2"/>
  <c r="I991" i="2"/>
  <c r="F986" i="2"/>
  <c r="AU979" i="2"/>
  <c r="G975" i="2"/>
  <c r="O973" i="2"/>
  <c r="C972" i="2"/>
  <c r="U970" i="2"/>
  <c r="P969" i="2"/>
  <c r="H968" i="2"/>
  <c r="D967" i="2"/>
  <c r="D966" i="2"/>
  <c r="W964" i="2"/>
  <c r="P963" i="2"/>
  <c r="L962" i="2"/>
  <c r="F961" i="2"/>
  <c r="AU959" i="2"/>
  <c r="AN958" i="2"/>
  <c r="Q957" i="2"/>
  <c r="J956" i="2"/>
  <c r="I955" i="2"/>
  <c r="Z953" i="2"/>
  <c r="L952" i="2"/>
  <c r="F951" i="2"/>
  <c r="S949" i="2"/>
  <c r="H948" i="2"/>
  <c r="G947" i="2"/>
  <c r="C946" i="2"/>
  <c r="P944" i="2"/>
  <c r="O943" i="2"/>
  <c r="G942" i="2"/>
  <c r="AU940" i="2"/>
  <c r="AN939" i="2"/>
  <c r="L938" i="2"/>
  <c r="G937" i="2"/>
  <c r="F936" i="2"/>
  <c r="G935" i="2"/>
  <c r="O934" i="2"/>
  <c r="W933" i="2"/>
  <c r="E933" i="2"/>
  <c r="J932" i="2"/>
  <c r="S931" i="2"/>
  <c r="AN930" i="2"/>
  <c r="H930" i="2"/>
  <c r="W929" i="2"/>
  <c r="I929" i="2"/>
  <c r="AN928" i="2"/>
  <c r="L928" i="2"/>
  <c r="C928" i="2"/>
  <c r="P927" i="2"/>
  <c r="E927" i="2"/>
  <c r="S926" i="2"/>
  <c r="G926" i="2"/>
  <c r="W925" i="2"/>
  <c r="I925" i="2"/>
  <c r="AN924" i="2"/>
  <c r="L924" i="2"/>
  <c r="C924" i="2"/>
  <c r="I923" i="2"/>
  <c r="AN922" i="2"/>
  <c r="G922" i="2"/>
  <c r="U921" i="2"/>
  <c r="E921" i="2"/>
  <c r="L920" i="2"/>
  <c r="C920" i="2"/>
  <c r="J919" i="2"/>
  <c r="AU918" i="2"/>
  <c r="O918" i="2"/>
  <c r="D918" i="2"/>
  <c r="Q917" i="2"/>
  <c r="F917" i="2"/>
  <c r="U916" i="2"/>
  <c r="I916" i="2"/>
  <c r="AN915" i="2"/>
  <c r="G915" i="2"/>
  <c r="W914" i="2"/>
  <c r="I914" i="2"/>
  <c r="AN913" i="2"/>
  <c r="L913" i="2"/>
  <c r="C913" i="2"/>
  <c r="I912" i="2"/>
  <c r="AN911" i="2"/>
  <c r="L911" i="2"/>
  <c r="C911" i="2"/>
  <c r="P910" i="2"/>
  <c r="E910" i="2"/>
  <c r="S909" i="2"/>
  <c r="H909" i="2"/>
  <c r="Z908" i="2"/>
  <c r="J908" i="2"/>
  <c r="AU907" i="2"/>
  <c r="O907" i="2"/>
  <c r="D907" i="2"/>
  <c r="Q906" i="2"/>
  <c r="F906" i="2"/>
  <c r="U905" i="2"/>
  <c r="H905" i="2"/>
  <c r="Z904" i="2"/>
  <c r="J904" i="2"/>
  <c r="AU903" i="2"/>
  <c r="O903" i="2"/>
  <c r="D903" i="2"/>
  <c r="Q902" i="2"/>
  <c r="F902" i="2"/>
  <c r="U901" i="2"/>
  <c r="H901" i="2"/>
  <c r="Z900" i="2"/>
  <c r="F900" i="2"/>
  <c r="U899" i="2"/>
  <c r="H899" i="2"/>
  <c r="Z898" i="2"/>
  <c r="J898" i="2"/>
  <c r="AU897" i="2"/>
  <c r="O897" i="2"/>
  <c r="D897" i="2"/>
  <c r="J896" i="2"/>
  <c r="AU895" i="2"/>
  <c r="H895" i="2"/>
  <c r="Z894" i="2"/>
  <c r="F894" i="2"/>
  <c r="I1058" i="2"/>
  <c r="P1005" i="2"/>
  <c r="C993" i="2"/>
  <c r="F978" i="2"/>
  <c r="AU971" i="2"/>
  <c r="J968" i="2"/>
  <c r="Q965" i="2"/>
  <c r="F962" i="2"/>
  <c r="AU958" i="2"/>
  <c r="AU955" i="2"/>
  <c r="I952" i="2"/>
  <c r="P948" i="2"/>
  <c r="I945" i="2"/>
  <c r="F942" i="2"/>
  <c r="P938" i="2"/>
  <c r="U935" i="2"/>
  <c r="U933" i="2"/>
  <c r="W931" i="2"/>
  <c r="E930" i="2"/>
  <c r="Z928" i="2"/>
  <c r="Q927" i="2"/>
  <c r="O926" i="2"/>
  <c r="H925" i="2"/>
  <c r="D924" i="2"/>
  <c r="S922" i="2"/>
  <c r="D921" i="2"/>
  <c r="L919" i="2"/>
  <c r="I918" i="2"/>
  <c r="E917" i="2"/>
  <c r="AU915" i="2"/>
  <c r="Q914" i="2"/>
  <c r="J913" i="2"/>
  <c r="AU911" i="2"/>
  <c r="Z910" i="2"/>
  <c r="R909" i="2"/>
  <c r="L908" i="2"/>
  <c r="I907" i="2"/>
  <c r="E906" i="2"/>
  <c r="AN904" i="2"/>
  <c r="W903" i="2"/>
  <c r="P902" i="2"/>
  <c r="I901" i="2"/>
  <c r="C900" i="2"/>
  <c r="W898" i="2"/>
  <c r="P897" i="2"/>
  <c r="G896" i="2"/>
  <c r="AU894" i="2"/>
  <c r="C894" i="2"/>
  <c r="G893" i="2"/>
  <c r="S892" i="2"/>
  <c r="F892" i="2"/>
  <c r="Q891" i="2"/>
  <c r="E891" i="2"/>
  <c r="R890" i="2"/>
  <c r="F890" i="2"/>
  <c r="L889" i="2"/>
  <c r="AU888" i="2"/>
  <c r="G888" i="2"/>
  <c r="L887" i="2"/>
  <c r="AU886" i="2"/>
  <c r="L886" i="2"/>
  <c r="AU885" i="2"/>
  <c r="O885" i="2"/>
  <c r="D885" i="2"/>
  <c r="J884" i="2"/>
  <c r="AU883" i="2"/>
  <c r="O883" i="2"/>
  <c r="D883" i="2"/>
  <c r="Q882" i="2"/>
  <c r="F882" i="2"/>
  <c r="U881" i="2"/>
  <c r="I881" i="2"/>
  <c r="AN880" i="2"/>
  <c r="L880" i="2"/>
  <c r="C880" i="2"/>
  <c r="P879" i="2"/>
  <c r="E879" i="2"/>
  <c r="S878" i="2"/>
  <c r="G878" i="2"/>
  <c r="W877" i="2"/>
  <c r="I877" i="2"/>
  <c r="AN876" i="2"/>
  <c r="L876" i="2"/>
  <c r="C876" i="2"/>
  <c r="P875" i="2"/>
  <c r="E875" i="2"/>
  <c r="S874" i="2"/>
  <c r="G874" i="2"/>
  <c r="W873" i="2"/>
  <c r="I873" i="2"/>
  <c r="AN872" i="2"/>
  <c r="G872" i="2"/>
  <c r="U871" i="2"/>
  <c r="E871" i="2"/>
  <c r="L870" i="2"/>
  <c r="C870" i="2"/>
  <c r="I869" i="2"/>
  <c r="AN868" i="2"/>
  <c r="H868" i="2"/>
  <c r="Z867" i="2"/>
  <c r="J867" i="2"/>
  <c r="AU866" i="2"/>
  <c r="O866" i="2"/>
  <c r="D866" i="2"/>
  <c r="J865" i="2"/>
  <c r="AU864" i="2"/>
  <c r="O864" i="2"/>
  <c r="D864" i="2"/>
  <c r="Q863" i="2"/>
  <c r="F863" i="2"/>
  <c r="U862" i="2"/>
  <c r="H862" i="2"/>
  <c r="Z861" i="2"/>
  <c r="J861" i="2"/>
  <c r="AU860" i="2"/>
  <c r="H860" i="2"/>
  <c r="Z859" i="2"/>
  <c r="J859" i="2"/>
  <c r="AU858" i="2"/>
  <c r="O858" i="2"/>
  <c r="D858" i="2"/>
  <c r="Q857" i="2"/>
  <c r="F857" i="2"/>
  <c r="U856" i="2"/>
  <c r="H856" i="2"/>
  <c r="Z855" i="2"/>
  <c r="J855" i="2"/>
  <c r="AU854" i="2"/>
  <c r="O854" i="2"/>
  <c r="D854" i="2"/>
  <c r="Q853" i="2"/>
  <c r="F853" i="2"/>
  <c r="U852" i="2"/>
  <c r="AU1032" i="2"/>
  <c r="G1004" i="2"/>
  <c r="I1023" i="2"/>
  <c r="C1002" i="2"/>
  <c r="E989" i="2"/>
  <c r="AN974" i="2"/>
  <c r="D971" i="2"/>
  <c r="Z967" i="2"/>
  <c r="U964" i="2"/>
  <c r="H961" i="2"/>
  <c r="L958" i="2"/>
  <c r="D955" i="2"/>
  <c r="G951" i="2"/>
  <c r="Z947" i="2"/>
  <c r="L944" i="2"/>
  <c r="G941" i="2"/>
  <c r="C938" i="2"/>
  <c r="E935" i="2"/>
  <c r="F933" i="2"/>
  <c r="I931" i="2"/>
  <c r="U929" i="2"/>
  <c r="O928" i="2"/>
  <c r="J927" i="2"/>
  <c r="F926" i="2"/>
  <c r="AU924" i="2"/>
  <c r="Z923" i="2"/>
  <c r="F922" i="2"/>
  <c r="S920" i="2"/>
  <c r="G919" i="2"/>
  <c r="C918" i="2"/>
  <c r="W916" i="2"/>
  <c r="S915" i="2"/>
  <c r="H914" i="2"/>
  <c r="D913" i="2"/>
  <c r="U911" i="2"/>
  <c r="O910" i="2"/>
  <c r="I909" i="2"/>
  <c r="G908" i="2"/>
  <c r="C907" i="2"/>
  <c r="W905" i="2"/>
  <c r="S904" i="2"/>
  <c r="L903" i="2"/>
  <c r="G902" i="2"/>
  <c r="E901" i="2"/>
  <c r="S899" i="2"/>
  <c r="L898" i="2"/>
  <c r="I897" i="2"/>
  <c r="AN895" i="2"/>
  <c r="U894" i="2"/>
  <c r="Z893" i="2"/>
  <c r="E893" i="2"/>
  <c r="O892" i="2"/>
  <c r="C892" i="2"/>
  <c r="O891" i="2"/>
  <c r="C891" i="2"/>
  <c r="P890" i="2"/>
  <c r="D890" i="2"/>
  <c r="I889" i="2"/>
  <c r="U888" i="2"/>
  <c r="D888" i="2"/>
  <c r="I887" i="2"/>
  <c r="Z886" i="2"/>
  <c r="I886" i="2"/>
  <c r="Z885" i="2"/>
  <c r="J885" i="2"/>
  <c r="AU884" i="2"/>
  <c r="H884" i="2"/>
  <c r="Z883" i="2"/>
  <c r="J883" i="2"/>
  <c r="AU882" i="2"/>
  <c r="O882" i="2"/>
  <c r="D882" i="2"/>
  <c r="R881" i="2"/>
  <c r="G881" i="2"/>
  <c r="W880" i="2"/>
  <c r="I880" i="2"/>
  <c r="AN879" i="2"/>
  <c r="L879" i="2"/>
  <c r="C879" i="2"/>
  <c r="P878" i="2"/>
  <c r="E878" i="2"/>
  <c r="S877" i="2"/>
  <c r="G877" i="2"/>
  <c r="W876" i="2"/>
  <c r="I876" i="2"/>
  <c r="AN875" i="2"/>
  <c r="L875" i="2"/>
  <c r="C875" i="2"/>
  <c r="P874" i="2"/>
  <c r="E874" i="2"/>
  <c r="S873" i="2"/>
  <c r="G873" i="2"/>
  <c r="U872" i="2"/>
  <c r="E872" i="2"/>
  <c r="L871" i="2"/>
  <c r="C871" i="2"/>
  <c r="I870" i="2"/>
  <c r="AN869" i="2"/>
  <c r="G869" i="2"/>
  <c r="W868" i="2"/>
  <c r="F868" i="2"/>
  <c r="U867" i="2"/>
  <c r="H867" i="2"/>
  <c r="Z866" i="2"/>
  <c r="J866" i="2"/>
  <c r="AU865" i="2"/>
  <c r="H865" i="2"/>
  <c r="Z864" i="2"/>
  <c r="J864" i="2"/>
  <c r="AU863" i="2"/>
  <c r="O863" i="2"/>
  <c r="D863" i="2"/>
  <c r="Q862" i="2"/>
  <c r="F862" i="2"/>
  <c r="U861" i="2"/>
  <c r="H861" i="2"/>
  <c r="Z860" i="2"/>
  <c r="F860" i="2"/>
  <c r="U859" i="2"/>
  <c r="H859" i="2"/>
  <c r="Z858" i="2"/>
  <c r="J858" i="2"/>
  <c r="AU857" i="2"/>
  <c r="O857" i="2"/>
  <c r="D857" i="2"/>
  <c r="Q856" i="2"/>
  <c r="F856" i="2"/>
  <c r="U855" i="2"/>
  <c r="H855" i="2"/>
  <c r="Z854" i="2"/>
  <c r="J854" i="2"/>
  <c r="AU853" i="2"/>
  <c r="O853" i="2"/>
  <c r="D853" i="2"/>
  <c r="Q852" i="2"/>
  <c r="I1015" i="2"/>
  <c r="S1000" i="2"/>
  <c r="I1011" i="2"/>
  <c r="E1000" i="2"/>
  <c r="U984" i="2"/>
  <c r="P973" i="2"/>
  <c r="E970" i="2"/>
  <c r="AU966" i="2"/>
  <c r="Z963" i="2"/>
  <c r="U960" i="2"/>
  <c r="P957" i="2"/>
  <c r="AU953" i="2"/>
  <c r="S950" i="2"/>
  <c r="AU946" i="2"/>
  <c r="P943" i="2"/>
  <c r="O940" i="2"/>
  <c r="E937" i="2"/>
  <c r="Q934" i="2"/>
  <c r="Z932" i="2"/>
  <c r="Z930" i="2"/>
  <c r="J929" i="2"/>
  <c r="H928" i="2"/>
  <c r="D927" i="2"/>
  <c r="Z925" i="2"/>
  <c r="U924" i="2"/>
  <c r="H923" i="2"/>
  <c r="Z921" i="2"/>
  <c r="H920" i="2"/>
  <c r="AN918" i="2"/>
  <c r="S917" i="2"/>
  <c r="Q916" i="2"/>
  <c r="F915" i="2"/>
  <c r="AU913" i="2"/>
  <c r="Z912" i="2"/>
  <c r="J911" i="2"/>
  <c r="F910" i="2"/>
  <c r="E909" i="2"/>
  <c r="AN907" i="2"/>
  <c r="S906" i="2"/>
  <c r="P905" i="2"/>
  <c r="I904" i="2"/>
  <c r="E903" i="2"/>
  <c r="C902" i="2"/>
  <c r="U900" i="2"/>
  <c r="I899" i="2"/>
  <c r="G898" i="2"/>
  <c r="C897" i="2"/>
  <c r="I895" i="2"/>
  <c r="I894" i="2"/>
  <c r="U893" i="2"/>
  <c r="AU892" i="2"/>
  <c r="J892" i="2"/>
  <c r="AN891" i="2"/>
  <c r="J891" i="2"/>
  <c r="AN890" i="2"/>
  <c r="L890" i="2"/>
  <c r="AN889" i="2"/>
  <c r="F889" i="2"/>
  <c r="L888" i="2"/>
  <c r="AU887" i="2"/>
  <c r="G887" i="2"/>
  <c r="U886" i="2"/>
  <c r="G886" i="2"/>
  <c r="U885" i="2"/>
  <c r="H885" i="2"/>
  <c r="Z884" i="2"/>
  <c r="F884" i="2"/>
  <c r="U883" i="2"/>
  <c r="H883" i="2"/>
  <c r="Z882" i="2"/>
  <c r="J882" i="2"/>
  <c r="AU881" i="2"/>
  <c r="P881" i="2"/>
  <c r="E881" i="2"/>
  <c r="S880" i="2"/>
  <c r="G880" i="2"/>
  <c r="W879" i="2"/>
  <c r="I879" i="2"/>
  <c r="AN878" i="2"/>
  <c r="L878" i="2"/>
  <c r="C878" i="2"/>
  <c r="P877" i="2"/>
  <c r="E877" i="2"/>
  <c r="S876" i="2"/>
  <c r="G876" i="2"/>
  <c r="W875" i="2"/>
  <c r="I875" i="2"/>
  <c r="AN874" i="2"/>
  <c r="L874" i="2"/>
  <c r="C874" i="2"/>
  <c r="P873" i="2"/>
  <c r="E873" i="2"/>
  <c r="L872" i="2"/>
  <c r="C872" i="2"/>
  <c r="I871" i="2"/>
  <c r="AN870" i="2"/>
  <c r="G870" i="2"/>
  <c r="U869" i="2"/>
  <c r="E869" i="2"/>
  <c r="S868" i="2"/>
  <c r="D868" i="2"/>
  <c r="Q867" i="2"/>
  <c r="F867" i="2"/>
  <c r="U866" i="2"/>
  <c r="H866" i="2"/>
  <c r="Z865" i="2"/>
  <c r="F865" i="2"/>
  <c r="U864" i="2"/>
  <c r="H864" i="2"/>
  <c r="Z863" i="2"/>
  <c r="J863" i="2"/>
  <c r="AU862" i="2"/>
  <c r="O862" i="2"/>
  <c r="D862" i="2"/>
  <c r="Q861" i="2"/>
  <c r="F861" i="2"/>
  <c r="S860" i="2"/>
  <c r="D860" i="2"/>
  <c r="W1010" i="2"/>
  <c r="E997" i="2"/>
  <c r="G984" i="2"/>
  <c r="F973" i="2"/>
  <c r="Q969" i="2"/>
  <c r="R966" i="2"/>
  <c r="L963" i="2"/>
  <c r="G960" i="2"/>
  <c r="F957" i="2"/>
  <c r="W953" i="2"/>
  <c r="W949" i="2"/>
  <c r="W946" i="2"/>
  <c r="G943" i="2"/>
  <c r="AU939" i="2"/>
  <c r="W936" i="2"/>
  <c r="L934" i="2"/>
  <c r="L932" i="2"/>
  <c r="S930" i="2"/>
  <c r="H929" i="2"/>
  <c r="D928" i="2"/>
  <c r="AU926" i="2"/>
  <c r="U925" i="2"/>
  <c r="O924" i="2"/>
  <c r="F923" i="2"/>
  <c r="S921" i="2"/>
  <c r="D920" i="2"/>
  <c r="W918" i="2"/>
  <c r="P917" i="2"/>
  <c r="J916" i="2"/>
  <c r="D915" i="2"/>
  <c r="Z913" i="2"/>
  <c r="J912" i="2"/>
  <c r="H911" i="2"/>
  <c r="D910" i="2"/>
  <c r="AN908" i="2"/>
  <c r="W907" i="2"/>
  <c r="P906" i="2"/>
  <c r="I905" i="2"/>
  <c r="G904" i="2"/>
  <c r="C903" i="2"/>
  <c r="W901" i="2"/>
  <c r="L900" i="2"/>
  <c r="G899" i="2"/>
  <c r="C898" i="2"/>
  <c r="AN896" i="2"/>
  <c r="G895" i="2"/>
  <c r="H894" i="2"/>
  <c r="S893" i="2"/>
  <c r="Z892" i="2"/>
  <c r="I892" i="2"/>
  <c r="Z891" i="2"/>
  <c r="I891" i="2"/>
  <c r="Z890" i="2"/>
  <c r="I890" i="2"/>
  <c r="Z889" i="2"/>
  <c r="E889" i="2"/>
  <c r="J888" i="2"/>
  <c r="AN887" i="2"/>
  <c r="F887" i="2"/>
  <c r="S886" i="2"/>
  <c r="E886" i="2"/>
  <c r="S885" i="2"/>
  <c r="G885" i="2"/>
  <c r="U884" i="2"/>
  <c r="E884" i="2"/>
  <c r="S883" i="2"/>
  <c r="G883" i="2"/>
  <c r="W882" i="2"/>
  <c r="I882" i="2"/>
  <c r="AN881" i="2"/>
  <c r="O881" i="2"/>
  <c r="D881" i="2"/>
  <c r="Q880" i="2"/>
  <c r="F880" i="2"/>
  <c r="U879" i="2"/>
  <c r="H879" i="2"/>
  <c r="Z878" i="2"/>
  <c r="J878" i="2"/>
  <c r="AU877" i="2"/>
  <c r="O877" i="2"/>
  <c r="D877" i="2"/>
  <c r="Q876" i="2"/>
  <c r="F876" i="2"/>
  <c r="U875" i="2"/>
  <c r="H875" i="2"/>
  <c r="Z874" i="2"/>
  <c r="J874" i="2"/>
  <c r="AU873" i="2"/>
  <c r="O873" i="2"/>
  <c r="D873" i="2"/>
  <c r="J872" i="2"/>
  <c r="AU871" i="2"/>
  <c r="H871" i="2"/>
  <c r="Z870" i="2"/>
  <c r="F870" i="2"/>
  <c r="S869" i="2"/>
  <c r="D869" i="2"/>
  <c r="L868" i="2"/>
  <c r="C868" i="2"/>
  <c r="P867" i="2"/>
  <c r="E867" i="2"/>
  <c r="S866" i="2"/>
  <c r="G866" i="2"/>
  <c r="U865" i="2"/>
  <c r="E865" i="2"/>
  <c r="S864" i="2"/>
  <c r="G864" i="2"/>
  <c r="W863" i="2"/>
  <c r="I863" i="2"/>
  <c r="AN862" i="2"/>
  <c r="L862" i="2"/>
  <c r="C862" i="2"/>
  <c r="P861" i="2"/>
  <c r="E861" i="2"/>
  <c r="L860" i="2"/>
  <c r="C860" i="2"/>
  <c r="P859" i="2"/>
  <c r="E859" i="2"/>
  <c r="S858" i="2"/>
  <c r="G858" i="2"/>
  <c r="W857" i="2"/>
  <c r="I857" i="2"/>
  <c r="AN856" i="2"/>
  <c r="L856" i="2"/>
  <c r="C856" i="2"/>
  <c r="P855" i="2"/>
  <c r="E855" i="2"/>
  <c r="E1009" i="2"/>
  <c r="P996" i="2"/>
  <c r="J980" i="2"/>
  <c r="C973" i="2"/>
  <c r="H969" i="2"/>
  <c r="E966" i="2"/>
  <c r="E963" i="2"/>
  <c r="Z959" i="2"/>
  <c r="S956" i="2"/>
  <c r="L953" i="2"/>
  <c r="L949" i="2"/>
  <c r="E946" i="2"/>
  <c r="D943" i="2"/>
  <c r="J939" i="2"/>
  <c r="G936" i="2"/>
  <c r="G934" i="2"/>
  <c r="H932" i="2"/>
  <c r="J930" i="2"/>
  <c r="F929" i="2"/>
  <c r="AU927" i="2"/>
  <c r="U926" i="2"/>
  <c r="Q925" i="2"/>
  <c r="J924" i="2"/>
  <c r="AU922" i="2"/>
  <c r="J921" i="2"/>
  <c r="AU919" i="2"/>
  <c r="P918" i="2"/>
  <c r="L917" i="2"/>
  <c r="H916" i="2"/>
  <c r="Z914" i="2"/>
  <c r="U913" i="2"/>
  <c r="H912" i="2"/>
  <c r="D911" i="2"/>
  <c r="AU909" i="2"/>
  <c r="W908" i="2"/>
  <c r="P907" i="2"/>
  <c r="L906" i="2"/>
  <c r="G905" i="2"/>
  <c r="C904" i="2"/>
  <c r="AN902" i="2"/>
  <c r="S901" i="2"/>
  <c r="G900" i="2"/>
  <c r="E899" i="2"/>
  <c r="AN897" i="2"/>
  <c r="L896" i="2"/>
  <c r="E895" i="2"/>
  <c r="G894" i="2"/>
  <c r="J893" i="2"/>
  <c r="W892" i="2"/>
  <c r="H892" i="2"/>
  <c r="W891" i="2"/>
  <c r="H891" i="2"/>
  <c r="U890" i="2"/>
  <c r="H890" i="2"/>
  <c r="U889" i="2"/>
  <c r="D889" i="2"/>
  <c r="I888" i="2"/>
  <c r="Z887" i="2"/>
  <c r="E887" i="2"/>
  <c r="P886" i="2"/>
  <c r="D886" i="2"/>
  <c r="Q885" i="2"/>
  <c r="F885" i="2"/>
  <c r="S884" i="2"/>
  <c r="D884" i="2"/>
  <c r="Q883" i="2"/>
  <c r="F883" i="2"/>
  <c r="U882" i="2"/>
  <c r="H882" i="2"/>
  <c r="Z881" i="2"/>
  <c r="L881" i="2"/>
  <c r="C881" i="2"/>
  <c r="P880" i="2"/>
  <c r="E880" i="2"/>
  <c r="S879" i="2"/>
  <c r="G879" i="2"/>
  <c r="W878" i="2"/>
  <c r="I878" i="2"/>
  <c r="AN877" i="2"/>
  <c r="L877" i="2"/>
  <c r="C877" i="2"/>
  <c r="P876" i="2"/>
  <c r="E876" i="2"/>
  <c r="S875" i="2"/>
  <c r="G875" i="2"/>
  <c r="W874" i="2"/>
  <c r="I874" i="2"/>
  <c r="AN873" i="2"/>
  <c r="L873" i="2"/>
  <c r="C873" i="2"/>
  <c r="I872" i="2"/>
  <c r="AN871" i="2"/>
  <c r="G871" i="2"/>
  <c r="U870" i="2"/>
  <c r="E870" i="2"/>
  <c r="L869" i="2"/>
  <c r="C869" i="2"/>
  <c r="J868" i="2"/>
  <c r="AU867" i="2"/>
  <c r="O867" i="2"/>
  <c r="D867" i="2"/>
  <c r="Q866" i="2"/>
  <c r="F866" i="2"/>
  <c r="S865" i="2"/>
  <c r="D865" i="2"/>
  <c r="Q864" i="2"/>
  <c r="F864" i="2"/>
  <c r="U863" i="2"/>
  <c r="H863" i="2"/>
  <c r="Z862" i="2"/>
  <c r="J862" i="2"/>
  <c r="AU861" i="2"/>
  <c r="O861" i="2"/>
  <c r="D861" i="2"/>
  <c r="J860" i="2"/>
  <c r="AU859" i="2"/>
  <c r="O859" i="2"/>
  <c r="D859" i="2"/>
  <c r="G1007" i="2"/>
  <c r="P971" i="2"/>
  <c r="Q962" i="2"/>
  <c r="AN954" i="2"/>
  <c r="Z944" i="2"/>
  <c r="AN935" i="2"/>
  <c r="C931" i="2"/>
  <c r="O927" i="2"/>
  <c r="H924" i="2"/>
  <c r="J920" i="2"/>
  <c r="C917" i="2"/>
  <c r="O913" i="2"/>
  <c r="J910" i="2"/>
  <c r="E907" i="2"/>
  <c r="AN903" i="2"/>
  <c r="AN900" i="2"/>
  <c r="L897" i="2"/>
  <c r="E894" i="2"/>
  <c r="L892" i="2"/>
  <c r="D891" i="2"/>
  <c r="S889" i="2"/>
  <c r="C888" i="2"/>
  <c r="J886" i="2"/>
  <c r="E885" i="2"/>
  <c r="W883" i="2"/>
  <c r="P882" i="2"/>
  <c r="J881" i="2"/>
  <c r="H880" i="2"/>
  <c r="D879" i="2"/>
  <c r="Z877" i="2"/>
  <c r="U876" i="2"/>
  <c r="O875" i="2"/>
  <c r="H874" i="2"/>
  <c r="F873" i="2"/>
  <c r="S871" i="2"/>
  <c r="D870" i="2"/>
  <c r="U868" i="2"/>
  <c r="I867" i="2"/>
  <c r="E866" i="2"/>
  <c r="W864" i="2"/>
  <c r="P863" i="2"/>
  <c r="I862" i="2"/>
  <c r="G861" i="2"/>
  <c r="W859" i="2"/>
  <c r="AN858" i="2"/>
  <c r="F858" i="2"/>
  <c r="L857" i="2"/>
  <c r="W856" i="2"/>
  <c r="D856" i="2"/>
  <c r="I855" i="2"/>
  <c r="S854" i="2"/>
  <c r="E854" i="2"/>
  <c r="L853" i="2"/>
  <c r="AN852" i="2"/>
  <c r="I852" i="2"/>
  <c r="AN851" i="2"/>
  <c r="L851" i="2"/>
  <c r="C851" i="2"/>
  <c r="P850" i="2"/>
  <c r="E850" i="2"/>
  <c r="S849" i="2"/>
  <c r="G849" i="2"/>
  <c r="W848" i="2"/>
  <c r="I848" i="2"/>
  <c r="AN847" i="2"/>
  <c r="G847" i="2"/>
  <c r="W846" i="2"/>
  <c r="J846" i="2"/>
  <c r="AU845" i="2"/>
  <c r="H845" i="2"/>
  <c r="Z844" i="2"/>
  <c r="F844" i="2"/>
  <c r="S843" i="2"/>
  <c r="D843" i="2"/>
  <c r="L842" i="2"/>
  <c r="C842" i="2"/>
  <c r="P841" i="2"/>
  <c r="E841" i="2"/>
  <c r="S840" i="2"/>
  <c r="G840" i="2"/>
  <c r="U839" i="2"/>
  <c r="E839" i="2"/>
  <c r="S838" i="2"/>
  <c r="G838" i="2"/>
  <c r="W837" i="2"/>
  <c r="I837" i="2"/>
  <c r="AN836" i="2"/>
  <c r="L836" i="2"/>
  <c r="C836" i="2"/>
  <c r="Q835" i="2"/>
  <c r="D835" i="2"/>
  <c r="Q834" i="2"/>
  <c r="F834" i="2"/>
  <c r="S833" i="2"/>
  <c r="D833" i="2"/>
  <c r="R832" i="2"/>
  <c r="G832" i="2"/>
  <c r="W831" i="2"/>
  <c r="I831" i="2"/>
  <c r="AN830" i="2"/>
  <c r="L830" i="2"/>
  <c r="C830" i="2"/>
  <c r="P829" i="2"/>
  <c r="E829" i="2"/>
  <c r="S828" i="2"/>
  <c r="G828" i="2"/>
  <c r="W827" i="2"/>
  <c r="I827" i="2"/>
  <c r="AN826" i="2"/>
  <c r="J826" i="2"/>
  <c r="AU825" i="2"/>
  <c r="O825" i="2"/>
  <c r="D825" i="2"/>
  <c r="Q824" i="2"/>
  <c r="F824" i="2"/>
  <c r="U823" i="2"/>
  <c r="H823" i="2"/>
  <c r="Z822" i="2"/>
  <c r="J822" i="2"/>
  <c r="AU821" i="2"/>
  <c r="O821" i="2"/>
  <c r="D821" i="2"/>
  <c r="Q820" i="2"/>
  <c r="F820" i="2"/>
  <c r="U819" i="2"/>
  <c r="H819" i="2"/>
  <c r="Z818" i="2"/>
  <c r="F818" i="2"/>
  <c r="U817" i="2"/>
  <c r="I817" i="2"/>
  <c r="AN816" i="2"/>
  <c r="G816" i="2"/>
  <c r="U815" i="2"/>
  <c r="E815" i="2"/>
  <c r="L814" i="2"/>
  <c r="C814" i="2"/>
  <c r="J813" i="2"/>
  <c r="AU812" i="2"/>
  <c r="O812" i="2"/>
  <c r="D812" i="2"/>
  <c r="Q811" i="2"/>
  <c r="F811" i="2"/>
  <c r="U810" i="2"/>
  <c r="I810" i="2"/>
  <c r="AN809" i="2"/>
  <c r="G809" i="2"/>
  <c r="AN994" i="2"/>
  <c r="L970" i="2"/>
  <c r="C962" i="2"/>
  <c r="AU952" i="2"/>
  <c r="E944" i="2"/>
  <c r="I935" i="2"/>
  <c r="G930" i="2"/>
  <c r="F927" i="2"/>
  <c r="AU923" i="2"/>
  <c r="Z919" i="2"/>
  <c r="S916" i="2"/>
  <c r="H913" i="2"/>
  <c r="U909" i="2"/>
  <c r="AN906" i="2"/>
  <c r="P903" i="2"/>
  <c r="E900" i="2"/>
  <c r="E897" i="2"/>
  <c r="AN893" i="2"/>
  <c r="G892" i="2"/>
  <c r="AU890" i="2"/>
  <c r="J889" i="2"/>
  <c r="U887" i="2"/>
  <c r="H886" i="2"/>
  <c r="C885" i="2"/>
  <c r="P883" i="2"/>
  <c r="L882" i="2"/>
  <c r="H881" i="2"/>
  <c r="D880" i="2"/>
  <c r="AU878" i="2"/>
  <c r="U877" i="2"/>
  <c r="O876" i="2"/>
  <c r="J875" i="2"/>
  <c r="F874" i="2"/>
  <c r="AU872" i="2"/>
  <c r="J871" i="2"/>
  <c r="AU869" i="2"/>
  <c r="I868" i="2"/>
  <c r="G867" i="2"/>
  <c r="C866" i="2"/>
  <c r="P864" i="2"/>
  <c r="L863" i="2"/>
  <c r="G862" i="2"/>
  <c r="C861" i="2"/>
  <c r="S859" i="2"/>
  <c r="W858" i="2"/>
  <c r="E858" i="2"/>
  <c r="AN990" i="2"/>
  <c r="E969" i="2"/>
  <c r="E961" i="2"/>
  <c r="C952" i="2"/>
  <c r="I942" i="2"/>
  <c r="AU934" i="2"/>
  <c r="Z929" i="2"/>
  <c r="Q926" i="2"/>
  <c r="J923" i="2"/>
  <c r="I919" i="2"/>
  <c r="F916" i="2"/>
  <c r="AU912" i="2"/>
  <c r="P909" i="2"/>
  <c r="G906" i="2"/>
  <c r="I903" i="2"/>
  <c r="W899" i="2"/>
  <c r="I896" i="2"/>
  <c r="W893" i="2"/>
  <c r="D892" i="2"/>
  <c r="S890" i="2"/>
  <c r="G889" i="2"/>
  <c r="J887" i="2"/>
  <c r="C886" i="2"/>
  <c r="AN884" i="2"/>
  <c r="L883" i="2"/>
  <c r="G882" i="2"/>
  <c r="F881" i="2"/>
  <c r="AU879" i="2"/>
  <c r="U878" i="2"/>
  <c r="Q877" i="2"/>
  <c r="J876" i="2"/>
  <c r="F875" i="2"/>
  <c r="D874" i="2"/>
  <c r="Z872" i="2"/>
  <c r="F871" i="2"/>
  <c r="Z869" i="2"/>
  <c r="G868" i="2"/>
  <c r="C867" i="2"/>
  <c r="AN865" i="2"/>
  <c r="L864" i="2"/>
  <c r="G863" i="2"/>
  <c r="E862" i="2"/>
  <c r="AN860" i="2"/>
  <c r="Q859" i="2"/>
  <c r="U858" i="2"/>
  <c r="C858" i="2"/>
  <c r="H986" i="2"/>
  <c r="G968" i="2"/>
  <c r="O959" i="2"/>
  <c r="AN950" i="2"/>
  <c r="W941" i="2"/>
  <c r="AN933" i="2"/>
  <c r="Q929" i="2"/>
  <c r="H926" i="2"/>
  <c r="Z922" i="2"/>
  <c r="C919" i="2"/>
  <c r="Z915" i="2"/>
  <c r="F912" i="2"/>
  <c r="G909" i="2"/>
  <c r="C906" i="2"/>
  <c r="S902" i="2"/>
  <c r="P899" i="2"/>
  <c r="C896" i="2"/>
  <c r="H893" i="2"/>
  <c r="AU891" i="2"/>
  <c r="Q890" i="2"/>
  <c r="C889" i="2"/>
  <c r="H887" i="2"/>
  <c r="AN885" i="2"/>
  <c r="L884" i="2"/>
  <c r="I883" i="2"/>
  <c r="E882" i="2"/>
  <c r="AU880" i="2"/>
  <c r="Z879" i="2"/>
  <c r="Q878" i="2"/>
  <c r="J877" i="2"/>
  <c r="H876" i="2"/>
  <c r="D875" i="2"/>
  <c r="Z873" i="2"/>
  <c r="S872" i="2"/>
  <c r="D871" i="2"/>
  <c r="J869" i="2"/>
  <c r="E868" i="2"/>
  <c r="AN866" i="2"/>
  <c r="L865" i="2"/>
  <c r="I864" i="2"/>
  <c r="E863" i="2"/>
  <c r="AN861" i="2"/>
  <c r="U860" i="2"/>
  <c r="L859" i="2"/>
  <c r="Q858" i="2"/>
  <c r="AN857" i="2"/>
  <c r="G857" i="2"/>
  <c r="O856" i="2"/>
  <c r="W855" i="2"/>
  <c r="D855" i="2"/>
  <c r="L854" i="2"/>
  <c r="Z853" i="2"/>
  <c r="H853" i="2"/>
  <c r="S852" i="2"/>
  <c r="F852" i="2"/>
  <c r="U851" i="2"/>
  <c r="H851" i="2"/>
  <c r="Z850" i="2"/>
  <c r="J850" i="2"/>
  <c r="AU849" i="2"/>
  <c r="O849" i="2"/>
  <c r="D849" i="2"/>
  <c r="Q848" i="2"/>
  <c r="F848" i="2"/>
  <c r="S847" i="2"/>
  <c r="D847" i="2"/>
  <c r="R846" i="2"/>
  <c r="G846" i="2"/>
  <c r="U845" i="2"/>
  <c r="E845" i="2"/>
  <c r="L844" i="2"/>
  <c r="C844" i="2"/>
  <c r="I843" i="2"/>
  <c r="AN842" i="2"/>
  <c r="H842" i="2"/>
  <c r="Z841" i="2"/>
  <c r="J841" i="2"/>
  <c r="AU840" i="2"/>
  <c r="O840" i="2"/>
  <c r="D840" i="2"/>
  <c r="J839" i="2"/>
  <c r="AU838" i="2"/>
  <c r="O838" i="2"/>
  <c r="D838" i="2"/>
  <c r="Q837" i="2"/>
  <c r="F837" i="2"/>
  <c r="U836" i="2"/>
  <c r="H836" i="2"/>
  <c r="Z835" i="2"/>
  <c r="I835" i="2"/>
  <c r="AN834" i="2"/>
  <c r="L834" i="2"/>
  <c r="C834" i="2"/>
  <c r="I833" i="2"/>
  <c r="AN832" i="2"/>
  <c r="O832" i="2"/>
  <c r="D832" i="2"/>
  <c r="Q831" i="2"/>
  <c r="F831" i="2"/>
  <c r="U830" i="2"/>
  <c r="H830" i="2"/>
  <c r="Z829" i="2"/>
  <c r="J829" i="2"/>
  <c r="AU828" i="2"/>
  <c r="O828" i="2"/>
  <c r="D828" i="2"/>
  <c r="Q827" i="2"/>
  <c r="F827" i="2"/>
  <c r="U826" i="2"/>
  <c r="G826" i="2"/>
  <c r="W825" i="2"/>
  <c r="I825" i="2"/>
  <c r="AN824" i="2"/>
  <c r="L824" i="2"/>
  <c r="C824" i="2"/>
  <c r="P823" i="2"/>
  <c r="E823" i="2"/>
  <c r="S822" i="2"/>
  <c r="G822" i="2"/>
  <c r="W821" i="2"/>
  <c r="I821" i="2"/>
  <c r="AN820" i="2"/>
  <c r="L820" i="2"/>
  <c r="C820" i="2"/>
  <c r="P819" i="2"/>
  <c r="E819" i="2"/>
  <c r="L818" i="2"/>
  <c r="C818" i="2"/>
  <c r="Q817" i="2"/>
  <c r="F817" i="2"/>
  <c r="S816" i="2"/>
  <c r="D816" i="2"/>
  <c r="J815" i="2"/>
  <c r="AU814" i="2"/>
  <c r="H814" i="2"/>
  <c r="Z813" i="2"/>
  <c r="G813" i="2"/>
  <c r="W812" i="2"/>
  <c r="I812" i="2"/>
  <c r="AN811" i="2"/>
  <c r="L811" i="2"/>
  <c r="C811" i="2"/>
  <c r="Q810" i="2"/>
  <c r="F810" i="2"/>
  <c r="S809" i="2"/>
  <c r="Z979" i="2"/>
  <c r="I967" i="2"/>
  <c r="Q958" i="2"/>
  <c r="D949" i="2"/>
  <c r="Z940" i="2"/>
  <c r="P933" i="2"/>
  <c r="AU928" i="2"/>
  <c r="D926" i="2"/>
  <c r="H922" i="2"/>
  <c r="L918" i="2"/>
  <c r="H915" i="2"/>
  <c r="Z911" i="2"/>
  <c r="S908" i="2"/>
  <c r="S905" i="2"/>
  <c r="L902" i="2"/>
  <c r="AN898" i="2"/>
  <c r="U895" i="2"/>
  <c r="F893" i="2"/>
  <c r="U891" i="2"/>
  <c r="O890" i="2"/>
  <c r="AN888" i="2"/>
  <c r="C887" i="2"/>
  <c r="W885" i="2"/>
  <c r="I884" i="2"/>
  <c r="E883" i="2"/>
  <c r="C882" i="2"/>
  <c r="Z880" i="2"/>
  <c r="Q879" i="2"/>
  <c r="O878" i="2"/>
  <c r="H877" i="2"/>
  <c r="D876" i="2"/>
  <c r="AU874" i="2"/>
  <c r="U873" i="2"/>
  <c r="H872" i="2"/>
  <c r="AU870" i="2"/>
  <c r="H869" i="2"/>
  <c r="AN867" i="2"/>
  <c r="W866" i="2"/>
  <c r="I865" i="2"/>
  <c r="E864" i="2"/>
  <c r="C863" i="2"/>
  <c r="W861" i="2"/>
  <c r="I860" i="2"/>
  <c r="I859" i="2"/>
  <c r="P858" i="2"/>
  <c r="Z857" i="2"/>
  <c r="E857" i="2"/>
  <c r="J856" i="2"/>
  <c r="S855" i="2"/>
  <c r="C855" i="2"/>
  <c r="I854" i="2"/>
  <c r="W853" i="2"/>
  <c r="G853" i="2"/>
  <c r="P852" i="2"/>
  <c r="E852" i="2"/>
  <c r="S851" i="2"/>
  <c r="G851" i="2"/>
  <c r="W850" i="2"/>
  <c r="I850" i="2"/>
  <c r="AN849" i="2"/>
  <c r="L849" i="2"/>
  <c r="C849" i="2"/>
  <c r="P848" i="2"/>
  <c r="E848" i="2"/>
  <c r="L847" i="2"/>
  <c r="C847" i="2"/>
  <c r="Q846" i="2"/>
  <c r="F846" i="2"/>
  <c r="S845" i="2"/>
  <c r="D845" i="2"/>
  <c r="J844" i="2"/>
  <c r="AU843" i="2"/>
  <c r="H843" i="2"/>
  <c r="Z842" i="2"/>
  <c r="G842" i="2"/>
  <c r="W841" i="2"/>
  <c r="I841" i="2"/>
  <c r="AN840" i="2"/>
  <c r="L840" i="2"/>
  <c r="C840" i="2"/>
  <c r="I839" i="2"/>
  <c r="AN838" i="2"/>
  <c r="L838" i="2"/>
  <c r="C838" i="2"/>
  <c r="P837" i="2"/>
  <c r="E837" i="2"/>
  <c r="S836" i="2"/>
  <c r="G836" i="2"/>
  <c r="W835" i="2"/>
  <c r="H835" i="2"/>
  <c r="Z834" i="2"/>
  <c r="J834" i="2"/>
  <c r="AU833" i="2"/>
  <c r="H833" i="2"/>
  <c r="Z832" i="2"/>
  <c r="L832" i="2"/>
  <c r="C832" i="2"/>
  <c r="P831" i="2"/>
  <c r="E831" i="2"/>
  <c r="S830" i="2"/>
  <c r="G830" i="2"/>
  <c r="W829" i="2"/>
  <c r="I829" i="2"/>
  <c r="AN828" i="2"/>
  <c r="L828" i="2"/>
  <c r="C828" i="2"/>
  <c r="P827" i="2"/>
  <c r="E827" i="2"/>
  <c r="S826" i="2"/>
  <c r="F826" i="2"/>
  <c r="U825" i="2"/>
  <c r="H825" i="2"/>
  <c r="Z824" i="2"/>
  <c r="J824" i="2"/>
  <c r="AU823" i="2"/>
  <c r="O823" i="2"/>
  <c r="D823" i="2"/>
  <c r="Q822" i="2"/>
  <c r="F822" i="2"/>
  <c r="U821" i="2"/>
  <c r="H821" i="2"/>
  <c r="Z820" i="2"/>
  <c r="J820" i="2"/>
  <c r="AU819" i="2"/>
  <c r="O819" i="2"/>
  <c r="D819" i="2"/>
  <c r="J818" i="2"/>
  <c r="E976" i="2"/>
  <c r="W965" i="2"/>
  <c r="U957" i="2"/>
  <c r="F948" i="2"/>
  <c r="G939" i="2"/>
  <c r="C933" i="2"/>
  <c r="U928" i="2"/>
  <c r="J925" i="2"/>
  <c r="D922" i="2"/>
  <c r="E918" i="2"/>
  <c r="U914" i="2"/>
  <c r="O911" i="2"/>
  <c r="I908" i="2"/>
  <c r="E905" i="2"/>
  <c r="E902" i="2"/>
  <c r="S898" i="2"/>
  <c r="C895" i="2"/>
  <c r="D893" i="2"/>
  <c r="P891" i="2"/>
  <c r="G890" i="2"/>
  <c r="S888" i="2"/>
  <c r="AN886" i="2"/>
  <c r="P885" i="2"/>
  <c r="G884" i="2"/>
  <c r="C883" i="2"/>
  <c r="W881" i="2"/>
  <c r="U880" i="2"/>
  <c r="O879" i="2"/>
  <c r="H878" i="2"/>
  <c r="F877" i="2"/>
  <c r="AU875" i="2"/>
  <c r="U874" i="2"/>
  <c r="Q873" i="2"/>
  <c r="F872" i="2"/>
  <c r="S870" i="2"/>
  <c r="F869" i="2"/>
  <c r="W867" i="2"/>
  <c r="P866" i="2"/>
  <c r="G865" i="2"/>
  <c r="C864" i="2"/>
  <c r="W862" i="2"/>
  <c r="S861" i="2"/>
  <c r="G860" i="2"/>
  <c r="G859" i="2"/>
  <c r="L858" i="2"/>
  <c r="U857" i="2"/>
  <c r="C857" i="2"/>
  <c r="I856" i="2"/>
  <c r="Q855" i="2"/>
  <c r="AN854" i="2"/>
  <c r="H854" i="2"/>
  <c r="U853" i="2"/>
  <c r="E853" i="2"/>
  <c r="O852" i="2"/>
  <c r="D852" i="2"/>
  <c r="Q851" i="2"/>
  <c r="F851" i="2"/>
  <c r="U850" i="2"/>
  <c r="H850" i="2"/>
  <c r="Z849" i="2"/>
  <c r="J849" i="2"/>
  <c r="AU848" i="2"/>
  <c r="O848" i="2"/>
  <c r="D848" i="2"/>
  <c r="J847" i="2"/>
  <c r="AU846" i="2"/>
  <c r="P846" i="2"/>
  <c r="E846" i="2"/>
  <c r="L845" i="2"/>
  <c r="C845" i="2"/>
  <c r="I844" i="2"/>
  <c r="AN843" i="2"/>
  <c r="G843" i="2"/>
  <c r="W842" i="2"/>
  <c r="F842" i="2"/>
  <c r="U841" i="2"/>
  <c r="H841" i="2"/>
  <c r="Z840" i="2"/>
  <c r="J840" i="2"/>
  <c r="AU839" i="2"/>
  <c r="H839" i="2"/>
  <c r="Z838" i="2"/>
  <c r="J838" i="2"/>
  <c r="AU837" i="2"/>
  <c r="O837" i="2"/>
  <c r="D837" i="2"/>
  <c r="Q836" i="2"/>
  <c r="F836" i="2"/>
  <c r="U835" i="2"/>
  <c r="G835" i="2"/>
  <c r="W834" i="2"/>
  <c r="I834" i="2"/>
  <c r="AN833" i="2"/>
  <c r="G833" i="2"/>
  <c r="W832" i="2"/>
  <c r="J832" i="2"/>
  <c r="AU831" i="2"/>
  <c r="O831" i="2"/>
  <c r="D831" i="2"/>
  <c r="Q830" i="2"/>
  <c r="F830" i="2"/>
  <c r="U829" i="2"/>
  <c r="H829" i="2"/>
  <c r="Z828" i="2"/>
  <c r="J828" i="2"/>
  <c r="AU827" i="2"/>
  <c r="O827" i="2"/>
  <c r="D827" i="2"/>
  <c r="R826" i="2"/>
  <c r="E826" i="2"/>
  <c r="S825" i="2"/>
  <c r="G825" i="2"/>
  <c r="W824" i="2"/>
  <c r="I824" i="2"/>
  <c r="AN823" i="2"/>
  <c r="L823" i="2"/>
  <c r="C823" i="2"/>
  <c r="P822" i="2"/>
  <c r="E822" i="2"/>
  <c r="S821" i="2"/>
  <c r="G821" i="2"/>
  <c r="W820" i="2"/>
  <c r="I820" i="2"/>
  <c r="AN819" i="2"/>
  <c r="L819" i="2"/>
  <c r="C819" i="2"/>
  <c r="I818" i="2"/>
  <c r="AN817" i="2"/>
  <c r="O817" i="2"/>
  <c r="D817" i="2"/>
  <c r="J816" i="2"/>
  <c r="AU815" i="2"/>
  <c r="H815" i="2"/>
  <c r="Z814" i="2"/>
  <c r="F814" i="2"/>
  <c r="U813" i="2"/>
  <c r="E813" i="2"/>
  <c r="G974" i="2"/>
  <c r="AN964" i="2"/>
  <c r="H956" i="2"/>
  <c r="H947" i="2"/>
  <c r="J938" i="2"/>
  <c r="E932" i="2"/>
  <c r="J928" i="2"/>
  <c r="F925" i="2"/>
  <c r="F921" i="2"/>
  <c r="AN917" i="2"/>
  <c r="J914" i="2"/>
  <c r="AU910" i="2"/>
  <c r="C908" i="2"/>
  <c r="W904" i="2"/>
  <c r="P901" i="2"/>
  <c r="I898" i="2"/>
  <c r="AN894" i="2"/>
  <c r="U892" i="2"/>
  <c r="L891" i="2"/>
  <c r="E890" i="2"/>
  <c r="H888" i="2"/>
  <c r="W886" i="2"/>
  <c r="L885" i="2"/>
  <c r="C884" i="2"/>
  <c r="AN882" i="2"/>
  <c r="S881" i="2"/>
  <c r="O880" i="2"/>
  <c r="J879" i="2"/>
  <c r="F878" i="2"/>
  <c r="AU876" i="2"/>
  <c r="Z875" i="2"/>
  <c r="Q874" i="2"/>
  <c r="J873" i="2"/>
  <c r="D872" i="2"/>
  <c r="J870" i="2"/>
  <c r="AU868" i="2"/>
  <c r="S867" i="2"/>
  <c r="L866" i="2"/>
  <c r="C865" i="2"/>
  <c r="AN863" i="2"/>
  <c r="S862" i="2"/>
  <c r="L861" i="2"/>
  <c r="E860" i="2"/>
  <c r="F859" i="2"/>
  <c r="I858" i="2"/>
  <c r="S857" i="2"/>
  <c r="AU856" i="2"/>
  <c r="G856" i="2"/>
  <c r="O855" i="2"/>
  <c r="W854" i="2"/>
  <c r="G854" i="2"/>
  <c r="S853" i="2"/>
  <c r="C853" i="2"/>
  <c r="L852" i="2"/>
  <c r="C852" i="2"/>
  <c r="P851" i="2"/>
  <c r="E851" i="2"/>
  <c r="S850" i="2"/>
  <c r="G850" i="2"/>
  <c r="W849" i="2"/>
  <c r="I849" i="2"/>
  <c r="AN848" i="2"/>
  <c r="L848" i="2"/>
  <c r="C848" i="2"/>
  <c r="I847" i="2"/>
  <c r="AN846" i="2"/>
  <c r="O846" i="2"/>
  <c r="D846" i="2"/>
  <c r="J845" i="2"/>
  <c r="AU844" i="2"/>
  <c r="H844" i="2"/>
  <c r="Z843" i="2"/>
  <c r="F843" i="2"/>
  <c r="U842" i="2"/>
  <c r="E842" i="2"/>
  <c r="S841" i="2"/>
  <c r="G841" i="2"/>
  <c r="W840" i="2"/>
  <c r="I840" i="2"/>
  <c r="AN839" i="2"/>
  <c r="G839" i="2"/>
  <c r="W838" i="2"/>
  <c r="I838" i="2"/>
  <c r="AN837" i="2"/>
  <c r="L837" i="2"/>
  <c r="C837" i="2"/>
  <c r="P836" i="2"/>
  <c r="E836" i="2"/>
  <c r="S835" i="2"/>
  <c r="F835" i="2"/>
  <c r="U834" i="2"/>
  <c r="H834" i="2"/>
  <c r="Z833" i="2"/>
  <c r="F833" i="2"/>
  <c r="U832" i="2"/>
  <c r="I832" i="2"/>
  <c r="AN831" i="2"/>
  <c r="L831" i="2"/>
  <c r="C831" i="2"/>
  <c r="P830" i="2"/>
  <c r="E830" i="2"/>
  <c r="S829" i="2"/>
  <c r="G829" i="2"/>
  <c r="W828" i="2"/>
  <c r="I828" i="2"/>
  <c r="AN827" i="2"/>
  <c r="L827" i="2"/>
  <c r="C827" i="2"/>
  <c r="Q826" i="2"/>
  <c r="D826" i="2"/>
  <c r="Q825" i="2"/>
  <c r="F825" i="2"/>
  <c r="U824" i="2"/>
  <c r="H824" i="2"/>
  <c r="Z823" i="2"/>
  <c r="J823" i="2"/>
  <c r="AU822" i="2"/>
  <c r="O822" i="2"/>
  <c r="D822" i="2"/>
  <c r="Q821" i="2"/>
  <c r="F821" i="2"/>
  <c r="U820" i="2"/>
  <c r="H820" i="2"/>
  <c r="Z819" i="2"/>
  <c r="J819" i="2"/>
  <c r="AU818" i="2"/>
  <c r="H818" i="2"/>
  <c r="Z817" i="2"/>
  <c r="L817" i="2"/>
  <c r="C817" i="2"/>
  <c r="E972" i="2"/>
  <c r="AU920" i="2"/>
  <c r="L894" i="2"/>
  <c r="S882" i="2"/>
  <c r="H873" i="2"/>
  <c r="P862" i="2"/>
  <c r="Z856" i="2"/>
  <c r="F855" i="2"/>
  <c r="J853" i="2"/>
  <c r="AU851" i="2"/>
  <c r="AN850" i="2"/>
  <c r="Q849" i="2"/>
  <c r="J848" i="2"/>
  <c r="E847" i="2"/>
  <c r="AN845" i="2"/>
  <c r="G844" i="2"/>
  <c r="AU842" i="2"/>
  <c r="O841" i="2"/>
  <c r="H840" i="2"/>
  <c r="C839" i="2"/>
  <c r="U837" i="2"/>
  <c r="O836" i="2"/>
  <c r="J835" i="2"/>
  <c r="E834" i="2"/>
  <c r="S832" i="2"/>
  <c r="S831" i="2"/>
  <c r="J830" i="2"/>
  <c r="F829" i="2"/>
  <c r="E828" i="2"/>
  <c r="Z826" i="2"/>
  <c r="P825" i="2"/>
  <c r="O824" i="2"/>
  <c r="G823" i="2"/>
  <c r="C822" i="2"/>
  <c r="AU820" i="2"/>
  <c r="S819" i="2"/>
  <c r="G818" i="2"/>
  <c r="J817" i="2"/>
  <c r="I816" i="2"/>
  <c r="L815" i="2"/>
  <c r="S814" i="2"/>
  <c r="W813" i="2"/>
  <c r="AN812" i="2"/>
  <c r="H812" i="2"/>
  <c r="U811" i="2"/>
  <c r="E811" i="2"/>
  <c r="P810" i="2"/>
  <c r="C810" i="2"/>
  <c r="F809" i="2"/>
  <c r="U808" i="2"/>
  <c r="H808" i="2"/>
  <c r="Z807" i="2"/>
  <c r="J807" i="2"/>
  <c r="AU806" i="2"/>
  <c r="O806" i="2"/>
  <c r="D806" i="2"/>
  <c r="Q805" i="2"/>
  <c r="F805" i="2"/>
  <c r="S804" i="2"/>
  <c r="D804" i="2"/>
  <c r="R803" i="2"/>
  <c r="G803" i="2"/>
  <c r="W802" i="2"/>
  <c r="I802" i="2"/>
  <c r="AN801" i="2"/>
  <c r="L801" i="2"/>
  <c r="C801" i="2"/>
  <c r="Q800" i="2"/>
  <c r="F800" i="2"/>
  <c r="U799" i="2"/>
  <c r="H799" i="2"/>
  <c r="Z798" i="2"/>
  <c r="J798" i="2"/>
  <c r="AU797" i="2"/>
  <c r="O797" i="2"/>
  <c r="D797" i="2"/>
  <c r="Q796" i="2"/>
  <c r="F796" i="2"/>
  <c r="U795" i="2"/>
  <c r="H795" i="2"/>
  <c r="Z794" i="2"/>
  <c r="J794" i="2"/>
  <c r="AU793" i="2"/>
  <c r="O793" i="2"/>
  <c r="D793" i="2"/>
  <c r="Q792" i="2"/>
  <c r="F792" i="2"/>
  <c r="U791" i="2"/>
  <c r="H791" i="2"/>
  <c r="Z790" i="2"/>
  <c r="J790" i="2"/>
  <c r="AU789" i="2"/>
  <c r="H789" i="2"/>
  <c r="Z788" i="2"/>
  <c r="L788" i="2"/>
  <c r="C788" i="2"/>
  <c r="I787" i="2"/>
  <c r="AN786" i="2"/>
  <c r="G786" i="2"/>
  <c r="U785" i="2"/>
  <c r="E785" i="2"/>
  <c r="S784" i="2"/>
  <c r="D784" i="2"/>
  <c r="Q783" i="2"/>
  <c r="F783" i="2"/>
  <c r="U782" i="2"/>
  <c r="H782" i="2"/>
  <c r="Z781" i="2"/>
  <c r="F781" i="2"/>
  <c r="U780" i="2"/>
  <c r="H780" i="2"/>
  <c r="Z779" i="2"/>
  <c r="J779" i="2"/>
  <c r="AU778" i="2"/>
  <c r="O778" i="2"/>
  <c r="D778" i="2"/>
  <c r="Q777" i="2"/>
  <c r="F777" i="2"/>
  <c r="S776" i="2"/>
  <c r="D776" i="2"/>
  <c r="R775" i="2"/>
  <c r="G775" i="2"/>
  <c r="W774" i="2"/>
  <c r="I774" i="2"/>
  <c r="AN773" i="2"/>
  <c r="L773" i="2"/>
  <c r="C773" i="2"/>
  <c r="P772" i="2"/>
  <c r="E772" i="2"/>
  <c r="S771" i="2"/>
  <c r="G771" i="2"/>
  <c r="W770" i="2"/>
  <c r="I770" i="2"/>
  <c r="AN769" i="2"/>
  <c r="L769" i="2"/>
  <c r="C769" i="2"/>
  <c r="P768" i="2"/>
  <c r="E768" i="2"/>
  <c r="S767" i="2"/>
  <c r="G767" i="2"/>
  <c r="W766" i="2"/>
  <c r="I766" i="2"/>
  <c r="AN765" i="2"/>
  <c r="L765" i="2"/>
  <c r="C765" i="2"/>
  <c r="P764" i="2"/>
  <c r="E764" i="2"/>
  <c r="S763" i="2"/>
  <c r="G763" i="2"/>
  <c r="U762" i="2"/>
  <c r="E762" i="2"/>
  <c r="S761" i="2"/>
  <c r="H761" i="2"/>
  <c r="Z760" i="2"/>
  <c r="F760" i="2"/>
  <c r="S759" i="2"/>
  <c r="D759" i="2"/>
  <c r="J758" i="2"/>
  <c r="AU757" i="2"/>
  <c r="I757" i="2"/>
  <c r="AN756" i="2"/>
  <c r="L756" i="2"/>
  <c r="C756" i="2"/>
  <c r="P755" i="2"/>
  <c r="E755" i="2"/>
  <c r="S754" i="2"/>
  <c r="H754" i="2"/>
  <c r="Z753" i="2"/>
  <c r="F753" i="2"/>
  <c r="U752" i="2"/>
  <c r="H752" i="2"/>
  <c r="Z751" i="2"/>
  <c r="J751" i="2"/>
  <c r="AU750" i="2"/>
  <c r="O750" i="2"/>
  <c r="D750" i="2"/>
  <c r="R749" i="2"/>
  <c r="E749" i="2"/>
  <c r="S748" i="2"/>
  <c r="G748" i="2"/>
  <c r="U747" i="2"/>
  <c r="E747" i="2"/>
  <c r="S746" i="2"/>
  <c r="H746" i="2"/>
  <c r="Z745" i="2"/>
  <c r="J745" i="2"/>
  <c r="AU744" i="2"/>
  <c r="O744" i="2"/>
  <c r="D744" i="2"/>
  <c r="R743" i="2"/>
  <c r="G743" i="2"/>
  <c r="W742" i="2"/>
  <c r="I742" i="2"/>
  <c r="AN741" i="2"/>
  <c r="L741" i="2"/>
  <c r="C741" i="2"/>
  <c r="P740" i="2"/>
  <c r="E740" i="2"/>
  <c r="S739" i="2"/>
  <c r="F739" i="2"/>
  <c r="U738" i="2"/>
  <c r="H738" i="2"/>
  <c r="Z737" i="2"/>
  <c r="J737" i="2"/>
  <c r="AU736" i="2"/>
  <c r="O736" i="2"/>
  <c r="D736" i="2"/>
  <c r="Q735" i="2"/>
  <c r="F735" i="2"/>
  <c r="U734" i="2"/>
  <c r="H734" i="2"/>
  <c r="Z733" i="2"/>
  <c r="J733" i="2"/>
  <c r="AU732" i="2"/>
  <c r="O732" i="2"/>
  <c r="D732" i="2"/>
  <c r="J731" i="2"/>
  <c r="AU730" i="2"/>
  <c r="H730" i="2"/>
  <c r="Z729" i="2"/>
  <c r="F729" i="2"/>
  <c r="S728" i="2"/>
  <c r="D728" i="2"/>
  <c r="L727" i="2"/>
  <c r="C727" i="2"/>
  <c r="P726" i="2"/>
  <c r="E726" i="2"/>
  <c r="S725" i="2"/>
  <c r="G725" i="2"/>
  <c r="U724" i="2"/>
  <c r="E724" i="2"/>
  <c r="S723" i="2"/>
  <c r="G723" i="2"/>
  <c r="I964" i="2"/>
  <c r="G917" i="2"/>
  <c r="Q892" i="2"/>
  <c r="Q881" i="2"/>
  <c r="Z871" i="2"/>
  <c r="I861" i="2"/>
  <c r="S856" i="2"/>
  <c r="U854" i="2"/>
  <c r="I853" i="2"/>
  <c r="Z851" i="2"/>
  <c r="Q850" i="2"/>
  <c r="P849" i="2"/>
  <c r="H848" i="2"/>
  <c r="Z846" i="2"/>
  <c r="Z845" i="2"/>
  <c r="E844" i="2"/>
  <c r="S842" i="2"/>
  <c r="L841" i="2"/>
  <c r="F840" i="2"/>
  <c r="U838" i="2"/>
  <c r="S837" i="2"/>
  <c r="J836" i="2"/>
  <c r="E835" i="2"/>
  <c r="D834" i="2"/>
  <c r="Q832" i="2"/>
  <c r="J831" i="2"/>
  <c r="I830" i="2"/>
  <c r="D829" i="2"/>
  <c r="Z827" i="2"/>
  <c r="W826" i="2"/>
  <c r="L825" i="2"/>
  <c r="G824" i="2"/>
  <c r="F823" i="2"/>
  <c r="AN821" i="2"/>
  <c r="S820" i="2"/>
  <c r="Q819" i="2"/>
  <c r="E818" i="2"/>
  <c r="H817" i="2"/>
  <c r="H816" i="2"/>
  <c r="I815" i="2"/>
  <c r="J814" i="2"/>
  <c r="S813" i="2"/>
  <c r="Z812" i="2"/>
  <c r="G812" i="2"/>
  <c r="S811" i="2"/>
  <c r="D811" i="2"/>
  <c r="O810" i="2"/>
  <c r="AU809" i="2"/>
  <c r="E809" i="2"/>
  <c r="S808" i="2"/>
  <c r="G808" i="2"/>
  <c r="W807" i="2"/>
  <c r="I807" i="2"/>
  <c r="AN806" i="2"/>
  <c r="L806" i="2"/>
  <c r="C806" i="2"/>
  <c r="P805" i="2"/>
  <c r="E805" i="2"/>
  <c r="L804" i="2"/>
  <c r="C804" i="2"/>
  <c r="Q803" i="2"/>
  <c r="F803" i="2"/>
  <c r="U802" i="2"/>
  <c r="H802" i="2"/>
  <c r="Z801" i="2"/>
  <c r="J801" i="2"/>
  <c r="AU800" i="2"/>
  <c r="P800" i="2"/>
  <c r="E800" i="2"/>
  <c r="S799" i="2"/>
  <c r="G799" i="2"/>
  <c r="W798" i="2"/>
  <c r="I798" i="2"/>
  <c r="AN797" i="2"/>
  <c r="L797" i="2"/>
  <c r="C797" i="2"/>
  <c r="P796" i="2"/>
  <c r="E796" i="2"/>
  <c r="S795" i="2"/>
  <c r="G795" i="2"/>
  <c r="W794" i="2"/>
  <c r="I794" i="2"/>
  <c r="AN793" i="2"/>
  <c r="L793" i="2"/>
  <c r="C793" i="2"/>
  <c r="P792" i="2"/>
  <c r="E792" i="2"/>
  <c r="S791" i="2"/>
  <c r="G791" i="2"/>
  <c r="W790" i="2"/>
  <c r="I790" i="2"/>
  <c r="AN789" i="2"/>
  <c r="G789" i="2"/>
  <c r="W788" i="2"/>
  <c r="J788" i="2"/>
  <c r="AU787" i="2"/>
  <c r="H787" i="2"/>
  <c r="Z786" i="2"/>
  <c r="F786" i="2"/>
  <c r="S785" i="2"/>
  <c r="D785" i="2"/>
  <c r="L784" i="2"/>
  <c r="C784" i="2"/>
  <c r="P783" i="2"/>
  <c r="E783" i="2"/>
  <c r="S782" i="2"/>
  <c r="G782" i="2"/>
  <c r="U781" i="2"/>
  <c r="E781" i="2"/>
  <c r="S780" i="2"/>
  <c r="G780" i="2"/>
  <c r="W779" i="2"/>
  <c r="I779" i="2"/>
  <c r="AN778" i="2"/>
  <c r="L778" i="2"/>
  <c r="C778" i="2"/>
  <c r="P777" i="2"/>
  <c r="E777" i="2"/>
  <c r="L776" i="2"/>
  <c r="C776" i="2"/>
  <c r="Q775" i="2"/>
  <c r="F775" i="2"/>
  <c r="U774" i="2"/>
  <c r="H774" i="2"/>
  <c r="Z773" i="2"/>
  <c r="J773" i="2"/>
  <c r="AU772" i="2"/>
  <c r="J955" i="2"/>
  <c r="F914" i="2"/>
  <c r="F891" i="2"/>
  <c r="J880" i="2"/>
  <c r="H870" i="2"/>
  <c r="AN859" i="2"/>
  <c r="P856" i="2"/>
  <c r="Q854" i="2"/>
  <c r="AU852" i="2"/>
  <c r="W851" i="2"/>
  <c r="O850" i="2"/>
  <c r="H849" i="2"/>
  <c r="G848" i="2"/>
  <c r="U846" i="2"/>
  <c r="I845" i="2"/>
  <c r="D844" i="2"/>
  <c r="J842" i="2"/>
  <c r="F841" i="2"/>
  <c r="E840" i="2"/>
  <c r="Q838" i="2"/>
  <c r="J837" i="2"/>
  <c r="I836" i="2"/>
  <c r="C835" i="2"/>
  <c r="U833" i="2"/>
  <c r="P832" i="2"/>
  <c r="H831" i="2"/>
  <c r="D830" i="2"/>
  <c r="C829" i="2"/>
  <c r="U827" i="2"/>
  <c r="L826" i="2"/>
  <c r="J825" i="2"/>
  <c r="E824" i="2"/>
  <c r="AN822" i="2"/>
  <c r="Z821" i="2"/>
  <c r="P820" i="2"/>
  <c r="I819" i="2"/>
  <c r="D818" i="2"/>
  <c r="G817" i="2"/>
  <c r="F816" i="2"/>
  <c r="G815" i="2"/>
  <c r="I814" i="2"/>
  <c r="L813" i="2"/>
  <c r="U812" i="2"/>
  <c r="F812" i="2"/>
  <c r="P811" i="2"/>
  <c r="AU810" i="2"/>
  <c r="L810" i="2"/>
  <c r="Z809" i="2"/>
  <c r="D809" i="2"/>
  <c r="Q808" i="2"/>
  <c r="F808" i="2"/>
  <c r="U807" i="2"/>
  <c r="H807" i="2"/>
  <c r="Z806" i="2"/>
  <c r="J806" i="2"/>
  <c r="AU805" i="2"/>
  <c r="O805" i="2"/>
  <c r="D805" i="2"/>
  <c r="J804" i="2"/>
  <c r="AU803" i="2"/>
  <c r="P803" i="2"/>
  <c r="E803" i="2"/>
  <c r="S802" i="2"/>
  <c r="G802" i="2"/>
  <c r="W801" i="2"/>
  <c r="I801" i="2"/>
  <c r="AN800" i="2"/>
  <c r="O800" i="2"/>
  <c r="D800" i="2"/>
  <c r="Q799" i="2"/>
  <c r="F799" i="2"/>
  <c r="U798" i="2"/>
  <c r="H798" i="2"/>
  <c r="Z797" i="2"/>
  <c r="J797" i="2"/>
  <c r="AU796" i="2"/>
  <c r="O796" i="2"/>
  <c r="D796" i="2"/>
  <c r="Q795" i="2"/>
  <c r="F795" i="2"/>
  <c r="U794" i="2"/>
  <c r="H794" i="2"/>
  <c r="Z793" i="2"/>
  <c r="J793" i="2"/>
  <c r="AU792" i="2"/>
  <c r="O792" i="2"/>
  <c r="D792" i="2"/>
  <c r="Q791" i="2"/>
  <c r="F791" i="2"/>
  <c r="U790" i="2"/>
  <c r="H790" i="2"/>
  <c r="Z789" i="2"/>
  <c r="F789" i="2"/>
  <c r="U788" i="2"/>
  <c r="I788" i="2"/>
  <c r="AN787" i="2"/>
  <c r="G787" i="2"/>
  <c r="U786" i="2"/>
  <c r="E786" i="2"/>
  <c r="L785" i="2"/>
  <c r="C785" i="2"/>
  <c r="J784" i="2"/>
  <c r="AU783" i="2"/>
  <c r="O783" i="2"/>
  <c r="D783" i="2"/>
  <c r="Q782" i="2"/>
  <c r="F782" i="2"/>
  <c r="S781" i="2"/>
  <c r="D781" i="2"/>
  <c r="Q780" i="2"/>
  <c r="F780" i="2"/>
  <c r="U779" i="2"/>
  <c r="H779" i="2"/>
  <c r="Z778" i="2"/>
  <c r="J778" i="2"/>
  <c r="AU777" i="2"/>
  <c r="O777" i="2"/>
  <c r="D777" i="2"/>
  <c r="J776" i="2"/>
  <c r="AU775" i="2"/>
  <c r="P775" i="2"/>
  <c r="E775" i="2"/>
  <c r="S774" i="2"/>
  <c r="G774" i="2"/>
  <c r="W773" i="2"/>
  <c r="I773" i="2"/>
  <c r="AN772" i="2"/>
  <c r="L772" i="2"/>
  <c r="C772" i="2"/>
  <c r="P771" i="2"/>
  <c r="E771" i="2"/>
  <c r="S770" i="2"/>
  <c r="G770" i="2"/>
  <c r="W769" i="2"/>
  <c r="I769" i="2"/>
  <c r="AN768" i="2"/>
  <c r="L768" i="2"/>
  <c r="C768" i="2"/>
  <c r="P767" i="2"/>
  <c r="E767" i="2"/>
  <c r="S766" i="2"/>
  <c r="G766" i="2"/>
  <c r="W765" i="2"/>
  <c r="I765" i="2"/>
  <c r="AN764" i="2"/>
  <c r="L764" i="2"/>
  <c r="C764" i="2"/>
  <c r="P763" i="2"/>
  <c r="E763" i="2"/>
  <c r="L762" i="2"/>
  <c r="C762" i="2"/>
  <c r="Q761" i="2"/>
  <c r="F761" i="2"/>
  <c r="S760" i="2"/>
  <c r="D760" i="2"/>
  <c r="J759" i="2"/>
  <c r="AU758" i="2"/>
  <c r="H758" i="2"/>
  <c r="Z757" i="2"/>
  <c r="G757" i="2"/>
  <c r="W756" i="2"/>
  <c r="I756" i="2"/>
  <c r="AN755" i="2"/>
  <c r="L755" i="2"/>
  <c r="C755" i="2"/>
  <c r="Q754" i="2"/>
  <c r="F754" i="2"/>
  <c r="S753" i="2"/>
  <c r="D753" i="2"/>
  <c r="Q752" i="2"/>
  <c r="F752" i="2"/>
  <c r="U751" i="2"/>
  <c r="H751" i="2"/>
  <c r="Z750" i="2"/>
  <c r="J750" i="2"/>
  <c r="AU749" i="2"/>
  <c r="L749" i="2"/>
  <c r="C749" i="2"/>
  <c r="P748" i="2"/>
  <c r="E748" i="2"/>
  <c r="L747" i="2"/>
  <c r="C747" i="2"/>
  <c r="Q746" i="2"/>
  <c r="F746" i="2"/>
  <c r="U745" i="2"/>
  <c r="H745" i="2"/>
  <c r="Z744" i="2"/>
  <c r="J744" i="2"/>
  <c r="AU743" i="2"/>
  <c r="P743" i="2"/>
  <c r="E743" i="2"/>
  <c r="S742" i="2"/>
  <c r="G742" i="2"/>
  <c r="W741" i="2"/>
  <c r="I741" i="2"/>
  <c r="AN740" i="2"/>
  <c r="L740" i="2"/>
  <c r="C740" i="2"/>
  <c r="Q739" i="2"/>
  <c r="D739" i="2"/>
  <c r="Q738" i="2"/>
  <c r="F738" i="2"/>
  <c r="U737" i="2"/>
  <c r="H737" i="2"/>
  <c r="Z736" i="2"/>
  <c r="J736" i="2"/>
  <c r="AU735" i="2"/>
  <c r="O735" i="2"/>
  <c r="D735" i="2"/>
  <c r="Q734" i="2"/>
  <c r="F734" i="2"/>
  <c r="U733" i="2"/>
  <c r="H733" i="2"/>
  <c r="Z732" i="2"/>
  <c r="J732" i="2"/>
  <c r="AU731" i="2"/>
  <c r="H731" i="2"/>
  <c r="Z730" i="2"/>
  <c r="F730" i="2"/>
  <c r="S729" i="2"/>
  <c r="D729" i="2"/>
  <c r="J728" i="2"/>
  <c r="AU727" i="2"/>
  <c r="I727" i="2"/>
  <c r="AN726" i="2"/>
  <c r="L726" i="2"/>
  <c r="C726" i="2"/>
  <c r="P725" i="2"/>
  <c r="E725" i="2"/>
  <c r="L724" i="2"/>
  <c r="C724" i="2"/>
  <c r="P723" i="2"/>
  <c r="E723" i="2"/>
  <c r="S722" i="2"/>
  <c r="G722" i="2"/>
  <c r="W721" i="2"/>
  <c r="I721" i="2"/>
  <c r="AN720" i="2"/>
  <c r="AU945" i="2"/>
  <c r="Q910" i="2"/>
  <c r="C890" i="2"/>
  <c r="F879" i="2"/>
  <c r="Z868" i="2"/>
  <c r="C859" i="2"/>
  <c r="E856" i="2"/>
  <c r="P854" i="2"/>
  <c r="Z852" i="2"/>
  <c r="O851" i="2"/>
  <c r="L850" i="2"/>
  <c r="F849" i="2"/>
  <c r="AU847" i="2"/>
  <c r="S846" i="2"/>
  <c r="G845" i="2"/>
  <c r="U843" i="2"/>
  <c r="I842" i="2"/>
  <c r="D841" i="2"/>
  <c r="Z839" i="2"/>
  <c r="P838" i="2"/>
  <c r="H837" i="2"/>
  <c r="D836" i="2"/>
  <c r="AU834" i="2"/>
  <c r="L833" i="2"/>
  <c r="H832" i="2"/>
  <c r="G831" i="2"/>
  <c r="AU829" i="2"/>
  <c r="U828" i="2"/>
  <c r="S827" i="2"/>
  <c r="I826" i="2"/>
  <c r="E825" i="2"/>
  <c r="D824" i="2"/>
  <c r="W822" i="2"/>
  <c r="P821" i="2"/>
  <c r="O820" i="2"/>
  <c r="G819" i="2"/>
  <c r="AU817" i="2"/>
  <c r="E817" i="2"/>
  <c r="E816" i="2"/>
  <c r="F815" i="2"/>
  <c r="G814" i="2"/>
  <c r="I813" i="2"/>
  <c r="S812" i="2"/>
  <c r="E812" i="2"/>
  <c r="O811" i="2"/>
  <c r="AN810" i="2"/>
  <c r="J810" i="2"/>
  <c r="U809" i="2"/>
  <c r="C809" i="2"/>
  <c r="P808" i="2"/>
  <c r="E808" i="2"/>
  <c r="S807" i="2"/>
  <c r="G807" i="2"/>
  <c r="W806" i="2"/>
  <c r="I806" i="2"/>
  <c r="AN805" i="2"/>
  <c r="L805" i="2"/>
  <c r="C805" i="2"/>
  <c r="I804" i="2"/>
  <c r="AN803" i="2"/>
  <c r="O803" i="2"/>
  <c r="D803" i="2"/>
  <c r="Q802" i="2"/>
  <c r="F802" i="2"/>
  <c r="U801" i="2"/>
  <c r="H801" i="2"/>
  <c r="Z800" i="2"/>
  <c r="L800" i="2"/>
  <c r="C800" i="2"/>
  <c r="P799" i="2"/>
  <c r="E799" i="2"/>
  <c r="S798" i="2"/>
  <c r="G798" i="2"/>
  <c r="W797" i="2"/>
  <c r="I797" i="2"/>
  <c r="AN796" i="2"/>
  <c r="L796" i="2"/>
  <c r="C796" i="2"/>
  <c r="P795" i="2"/>
  <c r="E795" i="2"/>
  <c r="S794" i="2"/>
  <c r="G794" i="2"/>
  <c r="W793" i="2"/>
  <c r="I793" i="2"/>
  <c r="AN792" i="2"/>
  <c r="L792" i="2"/>
  <c r="C792" i="2"/>
  <c r="P791" i="2"/>
  <c r="E791" i="2"/>
  <c r="S790" i="2"/>
  <c r="G790" i="2"/>
  <c r="U789" i="2"/>
  <c r="E789" i="2"/>
  <c r="S788" i="2"/>
  <c r="H788" i="2"/>
  <c r="Z787" i="2"/>
  <c r="F787" i="2"/>
  <c r="S786" i="2"/>
  <c r="D786" i="2"/>
  <c r="J785" i="2"/>
  <c r="AU784" i="2"/>
  <c r="I784" i="2"/>
  <c r="AN783" i="2"/>
  <c r="L783" i="2"/>
  <c r="C783" i="2"/>
  <c r="P782" i="2"/>
  <c r="E782" i="2"/>
  <c r="L781" i="2"/>
  <c r="C781" i="2"/>
  <c r="P780" i="2"/>
  <c r="E780" i="2"/>
  <c r="S779" i="2"/>
  <c r="G779" i="2"/>
  <c r="W778" i="2"/>
  <c r="I778" i="2"/>
  <c r="AN777" i="2"/>
  <c r="L777" i="2"/>
  <c r="C777" i="2"/>
  <c r="I776" i="2"/>
  <c r="AN775" i="2"/>
  <c r="O775" i="2"/>
  <c r="D775" i="2"/>
  <c r="Q774" i="2"/>
  <c r="F774" i="2"/>
  <c r="U773" i="2"/>
  <c r="H773" i="2"/>
  <c r="Z772" i="2"/>
  <c r="J772" i="2"/>
  <c r="O937" i="2"/>
  <c r="L907" i="2"/>
  <c r="E888" i="2"/>
  <c r="D878" i="2"/>
  <c r="L867" i="2"/>
  <c r="H858" i="2"/>
  <c r="AU855" i="2"/>
  <c r="F854" i="2"/>
  <c r="W852" i="2"/>
  <c r="J851" i="2"/>
  <c r="F850" i="2"/>
  <c r="E849" i="2"/>
  <c r="Z847" i="2"/>
  <c r="L846" i="2"/>
  <c r="F845" i="2"/>
  <c r="L843" i="2"/>
  <c r="D842" i="2"/>
  <c r="C841" i="2"/>
  <c r="S839" i="2"/>
  <c r="H838" i="2"/>
  <c r="G837" i="2"/>
  <c r="AU835" i="2"/>
  <c r="S834" i="2"/>
  <c r="J833" i="2"/>
  <c r="F832" i="2"/>
  <c r="AU830" i="2"/>
  <c r="AN829" i="2"/>
  <c r="Q828" i="2"/>
  <c r="J827" i="2"/>
  <c r="H826" i="2"/>
  <c r="C825" i="2"/>
  <c r="W823" i="2"/>
  <c r="U822" i="2"/>
  <c r="L821" i="2"/>
  <c r="G820" i="2"/>
  <c r="F819" i="2"/>
  <c r="W817" i="2"/>
  <c r="AU816" i="2"/>
  <c r="C816" i="2"/>
  <c r="D815" i="2"/>
  <c r="E814" i="2"/>
  <c r="H813" i="2"/>
  <c r="Q812" i="2"/>
  <c r="C812" i="2"/>
  <c r="J811" i="2"/>
  <c r="Z810" i="2"/>
  <c r="H810" i="2"/>
  <c r="L809" i="2"/>
  <c r="AU808" i="2"/>
  <c r="O808" i="2"/>
  <c r="D808" i="2"/>
  <c r="Q807" i="2"/>
  <c r="F807" i="2"/>
  <c r="U806" i="2"/>
  <c r="H806" i="2"/>
  <c r="Z805" i="2"/>
  <c r="J805" i="2"/>
  <c r="AU804" i="2"/>
  <c r="H804" i="2"/>
  <c r="Z803" i="2"/>
  <c r="L803" i="2"/>
  <c r="C803" i="2"/>
  <c r="P802" i="2"/>
  <c r="E802" i="2"/>
  <c r="S801" i="2"/>
  <c r="G801" i="2"/>
  <c r="W800" i="2"/>
  <c r="J800" i="2"/>
  <c r="AU799" i="2"/>
  <c r="O799" i="2"/>
  <c r="D799" i="2"/>
  <c r="Q798" i="2"/>
  <c r="F798" i="2"/>
  <c r="U797" i="2"/>
  <c r="H797" i="2"/>
  <c r="Z796" i="2"/>
  <c r="J796" i="2"/>
  <c r="AU795" i="2"/>
  <c r="O795" i="2"/>
  <c r="D795" i="2"/>
  <c r="Q794" i="2"/>
  <c r="F794" i="2"/>
  <c r="U793" i="2"/>
  <c r="H793" i="2"/>
  <c r="Z792" i="2"/>
  <c r="J792" i="2"/>
  <c r="AU791" i="2"/>
  <c r="O791" i="2"/>
  <c r="D791" i="2"/>
  <c r="Q790" i="2"/>
  <c r="F790" i="2"/>
  <c r="S789" i="2"/>
  <c r="D789" i="2"/>
  <c r="R788" i="2"/>
  <c r="G788" i="2"/>
  <c r="U787" i="2"/>
  <c r="E787" i="2"/>
  <c r="L786" i="2"/>
  <c r="C786" i="2"/>
  <c r="I785" i="2"/>
  <c r="AN784" i="2"/>
  <c r="H784" i="2"/>
  <c r="Z783" i="2"/>
  <c r="J783" i="2"/>
  <c r="AU782" i="2"/>
  <c r="O782" i="2"/>
  <c r="D782" i="2"/>
  <c r="J781" i="2"/>
  <c r="AU780" i="2"/>
  <c r="O780" i="2"/>
  <c r="D780" i="2"/>
  <c r="Q779" i="2"/>
  <c r="F779" i="2"/>
  <c r="U778" i="2"/>
  <c r="H778" i="2"/>
  <c r="Z777" i="2"/>
  <c r="J777" i="2"/>
  <c r="AU776" i="2"/>
  <c r="H776" i="2"/>
  <c r="Z775" i="2"/>
  <c r="L775" i="2"/>
  <c r="C775" i="2"/>
  <c r="P774" i="2"/>
  <c r="E774" i="2"/>
  <c r="S773" i="2"/>
  <c r="G773" i="2"/>
  <c r="W772" i="2"/>
  <c r="I772" i="2"/>
  <c r="AN771" i="2"/>
  <c r="L771" i="2"/>
  <c r="C771" i="2"/>
  <c r="P770" i="2"/>
  <c r="E770" i="2"/>
  <c r="S769" i="2"/>
  <c r="G769" i="2"/>
  <c r="W768" i="2"/>
  <c r="I768" i="2"/>
  <c r="AN767" i="2"/>
  <c r="L767" i="2"/>
  <c r="C767" i="2"/>
  <c r="P766" i="2"/>
  <c r="E766" i="2"/>
  <c r="S765" i="2"/>
  <c r="G765" i="2"/>
  <c r="W764" i="2"/>
  <c r="I764" i="2"/>
  <c r="AN763" i="2"/>
  <c r="L763" i="2"/>
  <c r="C763" i="2"/>
  <c r="I762" i="2"/>
  <c r="AN761" i="2"/>
  <c r="O761" i="2"/>
  <c r="D761" i="2"/>
  <c r="J760" i="2"/>
  <c r="AU759" i="2"/>
  <c r="H759" i="2"/>
  <c r="Z758" i="2"/>
  <c r="F758" i="2"/>
  <c r="U757" i="2"/>
  <c r="E757" i="2"/>
  <c r="S756" i="2"/>
  <c r="G756" i="2"/>
  <c r="W755" i="2"/>
  <c r="I755" i="2"/>
  <c r="AN754" i="2"/>
  <c r="O754" i="2"/>
  <c r="D754" i="2"/>
  <c r="J753" i="2"/>
  <c r="AU752" i="2"/>
  <c r="O752" i="2"/>
  <c r="D752" i="2"/>
  <c r="Q751" i="2"/>
  <c r="F751" i="2"/>
  <c r="U750" i="2"/>
  <c r="H750" i="2"/>
  <c r="Z749" i="2"/>
  <c r="I749" i="2"/>
  <c r="AN748" i="2"/>
  <c r="L748" i="2"/>
  <c r="C748" i="2"/>
  <c r="I747" i="2"/>
  <c r="AN746" i="2"/>
  <c r="O746" i="2"/>
  <c r="D746" i="2"/>
  <c r="Q745" i="2"/>
  <c r="F745" i="2"/>
  <c r="U744" i="2"/>
  <c r="H744" i="2"/>
  <c r="Z743" i="2"/>
  <c r="L743" i="2"/>
  <c r="C743" i="2"/>
  <c r="P742" i="2"/>
  <c r="E742" i="2"/>
  <c r="S741" i="2"/>
  <c r="G741" i="2"/>
  <c r="W740" i="2"/>
  <c r="I740" i="2"/>
  <c r="AN739" i="2"/>
  <c r="J739" i="2"/>
  <c r="AU738" i="2"/>
  <c r="O738" i="2"/>
  <c r="D738" i="2"/>
  <c r="Q737" i="2"/>
  <c r="F737" i="2"/>
  <c r="U736" i="2"/>
  <c r="H736" i="2"/>
  <c r="Z735" i="2"/>
  <c r="J735" i="2"/>
  <c r="AU734" i="2"/>
  <c r="O734" i="2"/>
  <c r="D734" i="2"/>
  <c r="Q733" i="2"/>
  <c r="F733" i="2"/>
  <c r="U732" i="2"/>
  <c r="H732" i="2"/>
  <c r="Z731" i="2"/>
  <c r="F731" i="2"/>
  <c r="S730" i="2"/>
  <c r="D730" i="2"/>
  <c r="J729" i="2"/>
  <c r="AU728" i="2"/>
  <c r="H728" i="2"/>
  <c r="Z727" i="2"/>
  <c r="G727" i="2"/>
  <c r="W726" i="2"/>
  <c r="I726" i="2"/>
  <c r="AN725" i="2"/>
  <c r="L725" i="2"/>
  <c r="Q931" i="2"/>
  <c r="L904" i="2"/>
  <c r="O886" i="2"/>
  <c r="Z876" i="2"/>
  <c r="I866" i="2"/>
  <c r="P857" i="2"/>
  <c r="AN855" i="2"/>
  <c r="C854" i="2"/>
  <c r="J852" i="2"/>
  <c r="I851" i="2"/>
  <c r="D850" i="2"/>
  <c r="Z848" i="2"/>
  <c r="U847" i="2"/>
  <c r="I846" i="2"/>
  <c r="AN844" i="2"/>
  <c r="J843" i="2"/>
  <c r="AU841" i="2"/>
  <c r="U840" i="2"/>
  <c r="L839" i="2"/>
  <c r="F838" i="2"/>
  <c r="AU836" i="2"/>
  <c r="AN835" i="2"/>
  <c r="P834" i="2"/>
  <c r="E833" i="2"/>
  <c r="E832" i="2"/>
  <c r="Z830" i="2"/>
  <c r="Q829" i="2"/>
  <c r="P828" i="2"/>
  <c r="H827" i="2"/>
  <c r="C826" i="2"/>
  <c r="AU824" i="2"/>
  <c r="S823" i="2"/>
  <c r="L822" i="2"/>
  <c r="J821" i="2"/>
  <c r="E820" i="2"/>
  <c r="AN818" i="2"/>
  <c r="S817" i="2"/>
  <c r="Z816" i="2"/>
  <c r="AN815" i="2"/>
  <c r="C815" i="2"/>
  <c r="D814" i="2"/>
  <c r="F813" i="2"/>
  <c r="P812" i="2"/>
  <c r="AU811" i="2"/>
  <c r="I811" i="2"/>
  <c r="W810" i="2"/>
  <c r="G810" i="2"/>
  <c r="J809" i="2"/>
  <c r="AN808" i="2"/>
  <c r="L808" i="2"/>
  <c r="C808" i="2"/>
  <c r="P807" i="2"/>
  <c r="E807" i="2"/>
  <c r="S806" i="2"/>
  <c r="G806" i="2"/>
  <c r="W805" i="2"/>
  <c r="I805" i="2"/>
  <c r="AN804" i="2"/>
  <c r="G804" i="2"/>
  <c r="W803" i="2"/>
  <c r="J803" i="2"/>
  <c r="AU802" i="2"/>
  <c r="O802" i="2"/>
  <c r="D802" i="2"/>
  <c r="Q801" i="2"/>
  <c r="F801" i="2"/>
  <c r="U800" i="2"/>
  <c r="I800" i="2"/>
  <c r="AN799" i="2"/>
  <c r="L799" i="2"/>
  <c r="C799" i="2"/>
  <c r="P798" i="2"/>
  <c r="E798" i="2"/>
  <c r="S797" i="2"/>
  <c r="G797" i="2"/>
  <c r="W796" i="2"/>
  <c r="I796" i="2"/>
  <c r="AN795" i="2"/>
  <c r="L795" i="2"/>
  <c r="C795" i="2"/>
  <c r="P794" i="2"/>
  <c r="E794" i="2"/>
  <c r="S793" i="2"/>
  <c r="G793" i="2"/>
  <c r="W792" i="2"/>
  <c r="I792" i="2"/>
  <c r="AN791" i="2"/>
  <c r="L791" i="2"/>
  <c r="C791" i="2"/>
  <c r="P790" i="2"/>
  <c r="E790" i="2"/>
  <c r="L789" i="2"/>
  <c r="C789" i="2"/>
  <c r="Q788" i="2"/>
  <c r="F788" i="2"/>
  <c r="S787" i="2"/>
  <c r="D787" i="2"/>
  <c r="J786" i="2"/>
  <c r="AU785" i="2"/>
  <c r="H785" i="2"/>
  <c r="Z784" i="2"/>
  <c r="G784" i="2"/>
  <c r="W783" i="2"/>
  <c r="I783" i="2"/>
  <c r="AN782" i="2"/>
  <c r="L782" i="2"/>
  <c r="C782" i="2"/>
  <c r="I781" i="2"/>
  <c r="AN780" i="2"/>
  <c r="L780" i="2"/>
  <c r="C780" i="2"/>
  <c r="P779" i="2"/>
  <c r="E779" i="2"/>
  <c r="S778" i="2"/>
  <c r="G778" i="2"/>
  <c r="W777" i="2"/>
  <c r="I777" i="2"/>
  <c r="AN776" i="2"/>
  <c r="G776" i="2"/>
  <c r="W775" i="2"/>
  <c r="J775" i="2"/>
  <c r="AU774" i="2"/>
  <c r="O774" i="2"/>
  <c r="D774" i="2"/>
  <c r="Q773" i="2"/>
  <c r="F773" i="2"/>
  <c r="U772" i="2"/>
  <c r="H772" i="2"/>
  <c r="Z771" i="2"/>
  <c r="J771" i="2"/>
  <c r="AU770" i="2"/>
  <c r="O770" i="2"/>
  <c r="D770" i="2"/>
  <c r="Q769" i="2"/>
  <c r="F769" i="2"/>
  <c r="U768" i="2"/>
  <c r="H768" i="2"/>
  <c r="Z767" i="2"/>
  <c r="J767" i="2"/>
  <c r="AU766" i="2"/>
  <c r="O766" i="2"/>
  <c r="D766" i="2"/>
  <c r="Q765" i="2"/>
  <c r="F765" i="2"/>
  <c r="U764" i="2"/>
  <c r="H764" i="2"/>
  <c r="Z763" i="2"/>
  <c r="J763" i="2"/>
  <c r="AU762" i="2"/>
  <c r="H762" i="2"/>
  <c r="Z761" i="2"/>
  <c r="L761" i="2"/>
  <c r="C761" i="2"/>
  <c r="I760" i="2"/>
  <c r="AN759" i="2"/>
  <c r="G759" i="2"/>
  <c r="U758" i="2"/>
  <c r="E758" i="2"/>
  <c r="S757" i="2"/>
  <c r="D757" i="2"/>
  <c r="Q756" i="2"/>
  <c r="F756" i="2"/>
  <c r="U755" i="2"/>
  <c r="H755" i="2"/>
  <c r="Z754" i="2"/>
  <c r="L754" i="2"/>
  <c r="C754" i="2"/>
  <c r="I753" i="2"/>
  <c r="AN752" i="2"/>
  <c r="L752" i="2"/>
  <c r="C752" i="2"/>
  <c r="P751" i="2"/>
  <c r="E751" i="2"/>
  <c r="S750" i="2"/>
  <c r="G750" i="2"/>
  <c r="W749" i="2"/>
  <c r="H749" i="2"/>
  <c r="Z748" i="2"/>
  <c r="J748" i="2"/>
  <c r="AU747" i="2"/>
  <c r="H747" i="2"/>
  <c r="Z746" i="2"/>
  <c r="L746" i="2"/>
  <c r="C746" i="2"/>
  <c r="P745" i="2"/>
  <c r="E745" i="2"/>
  <c r="S744" i="2"/>
  <c r="G744" i="2"/>
  <c r="W743" i="2"/>
  <c r="J743" i="2"/>
  <c r="AU742" i="2"/>
  <c r="O742" i="2"/>
  <c r="D742" i="2"/>
  <c r="Q741" i="2"/>
  <c r="F741" i="2"/>
  <c r="U740" i="2"/>
  <c r="H740" i="2"/>
  <c r="Z739" i="2"/>
  <c r="I739" i="2"/>
  <c r="AN738" i="2"/>
  <c r="L738" i="2"/>
  <c r="C738" i="2"/>
  <c r="P737" i="2"/>
  <c r="E737" i="2"/>
  <c r="S736" i="2"/>
  <c r="G736" i="2"/>
  <c r="W735" i="2"/>
  <c r="I735" i="2"/>
  <c r="AN734" i="2"/>
  <c r="L734" i="2"/>
  <c r="C734" i="2"/>
  <c r="P733" i="2"/>
  <c r="E733" i="2"/>
  <c r="S732" i="2"/>
  <c r="G732" i="2"/>
  <c r="U731" i="2"/>
  <c r="E731" i="2"/>
  <c r="L730" i="2"/>
  <c r="C730" i="2"/>
  <c r="I729" i="2"/>
  <c r="AN728" i="2"/>
  <c r="G728" i="2"/>
  <c r="W727" i="2"/>
  <c r="F727" i="2"/>
  <c r="U726" i="2"/>
  <c r="H726" i="2"/>
  <c r="Z725" i="2"/>
  <c r="J725" i="2"/>
  <c r="AU724" i="2"/>
  <c r="H724" i="2"/>
  <c r="Z723" i="2"/>
  <c r="J723" i="2"/>
  <c r="AU722" i="2"/>
  <c r="O722" i="2"/>
  <c r="D722" i="2"/>
  <c r="Q721" i="2"/>
  <c r="F721" i="2"/>
  <c r="U720" i="2"/>
  <c r="H720" i="2"/>
  <c r="Z927" i="2"/>
  <c r="G901" i="2"/>
  <c r="I885" i="2"/>
  <c r="Q875" i="2"/>
  <c r="AN864" i="2"/>
  <c r="J857" i="2"/>
  <c r="L855" i="2"/>
  <c r="AN853" i="2"/>
  <c r="H852" i="2"/>
  <c r="D851" i="2"/>
  <c r="C850" i="2"/>
  <c r="U848" i="2"/>
  <c r="H847" i="2"/>
  <c r="H846" i="2"/>
  <c r="U844" i="2"/>
  <c r="E843" i="2"/>
  <c r="AN841" i="2"/>
  <c r="Q840" i="2"/>
  <c r="F839" i="2"/>
  <c r="E838" i="2"/>
  <c r="Z836" i="2"/>
  <c r="R835" i="2"/>
  <c r="O834" i="2"/>
  <c r="C833" i="2"/>
  <c r="Z831" i="2"/>
  <c r="W830" i="2"/>
  <c r="O829" i="2"/>
  <c r="H828" i="2"/>
  <c r="G827" i="2"/>
  <c r="AN825" i="2"/>
  <c r="S824" i="2"/>
  <c r="Q823" i="2"/>
  <c r="I822" i="2"/>
  <c r="E821" i="2"/>
  <c r="D820" i="2"/>
  <c r="U818" i="2"/>
  <c r="R817" i="2"/>
  <c r="U816" i="2"/>
  <c r="Z815" i="2"/>
  <c r="AN814" i="2"/>
  <c r="AU813" i="2"/>
  <c r="D813" i="2"/>
  <c r="L812" i="2"/>
  <c r="Z811" i="2"/>
  <c r="H811" i="2"/>
  <c r="S810" i="2"/>
  <c r="E810" i="2"/>
  <c r="I809" i="2"/>
  <c r="Z808" i="2"/>
  <c r="J808" i="2"/>
  <c r="AU807" i="2"/>
  <c r="O807" i="2"/>
  <c r="D807" i="2"/>
  <c r="Q806" i="2"/>
  <c r="F806" i="2"/>
  <c r="U805" i="2"/>
  <c r="H805" i="2"/>
  <c r="Z804" i="2"/>
  <c r="F804" i="2"/>
  <c r="U803" i="2"/>
  <c r="I803" i="2"/>
  <c r="AN802" i="2"/>
  <c r="L802" i="2"/>
  <c r="C802" i="2"/>
  <c r="P801" i="2"/>
  <c r="E801" i="2"/>
  <c r="S800" i="2"/>
  <c r="H800" i="2"/>
  <c r="Z799" i="2"/>
  <c r="J799" i="2"/>
  <c r="AU798" i="2"/>
  <c r="O798" i="2"/>
  <c r="D798" i="2"/>
  <c r="Q797" i="2"/>
  <c r="F797" i="2"/>
  <c r="U796" i="2"/>
  <c r="H796" i="2"/>
  <c r="Z795" i="2"/>
  <c r="J795" i="2"/>
  <c r="AU794" i="2"/>
  <c r="O794" i="2"/>
  <c r="D794" i="2"/>
  <c r="Q793" i="2"/>
  <c r="F793" i="2"/>
  <c r="U792" i="2"/>
  <c r="H792" i="2"/>
  <c r="Z791" i="2"/>
  <c r="J791" i="2"/>
  <c r="AU790" i="2"/>
  <c r="O790" i="2"/>
  <c r="D790" i="2"/>
  <c r="J789" i="2"/>
  <c r="AU788" i="2"/>
  <c r="P788" i="2"/>
  <c r="E788" i="2"/>
  <c r="L787" i="2"/>
  <c r="C787" i="2"/>
  <c r="I786" i="2"/>
  <c r="AN785" i="2"/>
  <c r="G785" i="2"/>
  <c r="W784" i="2"/>
  <c r="F784" i="2"/>
  <c r="U783" i="2"/>
  <c r="H783" i="2"/>
  <c r="Z782" i="2"/>
  <c r="J782" i="2"/>
  <c r="AU781" i="2"/>
  <c r="H781" i="2"/>
  <c r="Z780" i="2"/>
  <c r="J780" i="2"/>
  <c r="AU779" i="2"/>
  <c r="O779" i="2"/>
  <c r="D779" i="2"/>
  <c r="Q778" i="2"/>
  <c r="F778" i="2"/>
  <c r="U777" i="2"/>
  <c r="H777" i="2"/>
  <c r="Z776" i="2"/>
  <c r="F776" i="2"/>
  <c r="U775" i="2"/>
  <c r="I775" i="2"/>
  <c r="AN774" i="2"/>
  <c r="L774" i="2"/>
  <c r="C774" i="2"/>
  <c r="P773" i="2"/>
  <c r="E773" i="2"/>
  <c r="S772" i="2"/>
  <c r="G772" i="2"/>
  <c r="W771" i="2"/>
  <c r="I771" i="2"/>
  <c r="AN770" i="2"/>
  <c r="L770" i="2"/>
  <c r="C770" i="2"/>
  <c r="P769" i="2"/>
  <c r="E769" i="2"/>
  <c r="S768" i="2"/>
  <c r="G768" i="2"/>
  <c r="W767" i="2"/>
  <c r="I767" i="2"/>
  <c r="AN766" i="2"/>
  <c r="L766" i="2"/>
  <c r="C766" i="2"/>
  <c r="P765" i="2"/>
  <c r="E765" i="2"/>
  <c r="S764" i="2"/>
  <c r="G764" i="2"/>
  <c r="W763" i="2"/>
  <c r="I763" i="2"/>
  <c r="AN762" i="2"/>
  <c r="G762" i="2"/>
  <c r="W761" i="2"/>
  <c r="J761" i="2"/>
  <c r="AU760" i="2"/>
  <c r="H760" i="2"/>
  <c r="Z759" i="2"/>
  <c r="F759" i="2"/>
  <c r="S758" i="2"/>
  <c r="D758" i="2"/>
  <c r="L757" i="2"/>
  <c r="C757" i="2"/>
  <c r="P756" i="2"/>
  <c r="E756" i="2"/>
  <c r="S755" i="2"/>
  <c r="G755" i="2"/>
  <c r="W754" i="2"/>
  <c r="J754" i="2"/>
  <c r="AU753" i="2"/>
  <c r="H753" i="2"/>
  <c r="Z752" i="2"/>
  <c r="J752" i="2"/>
  <c r="AU751" i="2"/>
  <c r="O751" i="2"/>
  <c r="D751" i="2"/>
  <c r="Q750" i="2"/>
  <c r="F750" i="2"/>
  <c r="U749" i="2"/>
  <c r="G749" i="2"/>
  <c r="W748" i="2"/>
  <c r="I748" i="2"/>
  <c r="AN747" i="2"/>
  <c r="G747" i="2"/>
  <c r="W746" i="2"/>
  <c r="J746" i="2"/>
  <c r="AU745" i="2"/>
  <c r="O745" i="2"/>
  <c r="D745" i="2"/>
  <c r="Q744" i="2"/>
  <c r="F744" i="2"/>
  <c r="U743" i="2"/>
  <c r="I743" i="2"/>
  <c r="AN742" i="2"/>
  <c r="L742" i="2"/>
  <c r="C742" i="2"/>
  <c r="P741" i="2"/>
  <c r="E741" i="2"/>
  <c r="S740" i="2"/>
  <c r="G740" i="2"/>
  <c r="W739" i="2"/>
  <c r="H739" i="2"/>
  <c r="Z738" i="2"/>
  <c r="J738" i="2"/>
  <c r="AU737" i="2"/>
  <c r="O737" i="2"/>
  <c r="D737" i="2"/>
  <c r="Q736" i="2"/>
  <c r="F736" i="2"/>
  <c r="U735" i="2"/>
  <c r="H735" i="2"/>
  <c r="Z734" i="2"/>
  <c r="J734" i="2"/>
  <c r="AU733" i="2"/>
  <c r="O733" i="2"/>
  <c r="D733" i="2"/>
  <c r="Q732" i="2"/>
  <c r="F732" i="2"/>
  <c r="S731" i="2"/>
  <c r="D731" i="2"/>
  <c r="J730" i="2"/>
  <c r="AU729" i="2"/>
  <c r="H729" i="2"/>
  <c r="Z728" i="2"/>
  <c r="F728" i="2"/>
  <c r="U727" i="2"/>
  <c r="E727" i="2"/>
  <c r="S726" i="2"/>
  <c r="G726" i="2"/>
  <c r="W725" i="2"/>
  <c r="I725" i="2"/>
  <c r="AN724" i="2"/>
  <c r="G724" i="2"/>
  <c r="W723" i="2"/>
  <c r="I723" i="2"/>
  <c r="Z924" i="2"/>
  <c r="G852" i="2"/>
  <c r="Q841" i="2"/>
  <c r="U831" i="2"/>
  <c r="H822" i="2"/>
  <c r="AN813" i="2"/>
  <c r="W808" i="2"/>
  <c r="G805" i="2"/>
  <c r="O801" i="2"/>
  <c r="C798" i="2"/>
  <c r="L794" i="2"/>
  <c r="AN790" i="2"/>
  <c r="AU786" i="2"/>
  <c r="W782" i="2"/>
  <c r="C779" i="2"/>
  <c r="H775" i="2"/>
  <c r="F772" i="2"/>
  <c r="D771" i="2"/>
  <c r="Z769" i="2"/>
  <c r="Q768" i="2"/>
  <c r="O767" i="2"/>
  <c r="H766" i="2"/>
  <c r="D765" i="2"/>
  <c r="AU763" i="2"/>
  <c r="S762" i="2"/>
  <c r="I761" i="2"/>
  <c r="C760" i="2"/>
  <c r="I758" i="2"/>
  <c r="AU756" i="2"/>
  <c r="Z755" i="2"/>
  <c r="R754" i="2"/>
  <c r="G753" i="2"/>
  <c r="E752" i="2"/>
  <c r="AN750" i="2"/>
  <c r="S749" i="2"/>
  <c r="O748" i="2"/>
  <c r="D747" i="2"/>
  <c r="AN745" i="2"/>
  <c r="W744" i="2"/>
  <c r="Q743" i="2"/>
  <c r="J742" i="2"/>
  <c r="H741" i="2"/>
  <c r="D740" i="2"/>
  <c r="W738" i="2"/>
  <c r="S737" i="2"/>
  <c r="L736" i="2"/>
  <c r="G735" i="2"/>
  <c r="E734" i="2"/>
  <c r="AN732" i="2"/>
  <c r="L731" i="2"/>
  <c r="E730" i="2"/>
  <c r="L728" i="2"/>
  <c r="D727" i="2"/>
  <c r="AU725" i="2"/>
  <c r="Z724" i="2"/>
  <c r="U723" i="2"/>
  <c r="AN722" i="2"/>
  <c r="I722" i="2"/>
  <c r="U721" i="2"/>
  <c r="E721" i="2"/>
  <c r="P720" i="2"/>
  <c r="D720" i="2"/>
  <c r="J719" i="2"/>
  <c r="AU718" i="2"/>
  <c r="O718" i="2"/>
  <c r="D718" i="2"/>
  <c r="Q717" i="2"/>
  <c r="F717" i="2"/>
  <c r="U716" i="2"/>
  <c r="H716" i="2"/>
  <c r="Z715" i="2"/>
  <c r="J715" i="2"/>
  <c r="AU714" i="2"/>
  <c r="O714" i="2"/>
  <c r="D714" i="2"/>
  <c r="Q713" i="2"/>
  <c r="F713" i="2"/>
  <c r="U712" i="2"/>
  <c r="H712" i="2"/>
  <c r="Z711" i="2"/>
  <c r="J711" i="2"/>
  <c r="AU710" i="2"/>
  <c r="O710" i="2"/>
  <c r="D710" i="2"/>
  <c r="Q709" i="2"/>
  <c r="F709" i="2"/>
  <c r="U708" i="2"/>
  <c r="H708" i="2"/>
  <c r="Z707" i="2"/>
  <c r="J707" i="2"/>
  <c r="AU706" i="2"/>
  <c r="H706" i="2"/>
  <c r="Z705" i="2"/>
  <c r="L705" i="2"/>
  <c r="C705" i="2"/>
  <c r="I704" i="2"/>
  <c r="AN703" i="2"/>
  <c r="G703" i="2"/>
  <c r="U702" i="2"/>
  <c r="E702" i="2"/>
  <c r="S701" i="2"/>
  <c r="D701" i="2"/>
  <c r="Q700" i="2"/>
  <c r="F700" i="2"/>
  <c r="U699" i="2"/>
  <c r="H699" i="2"/>
  <c r="Z698" i="2"/>
  <c r="F698" i="2"/>
  <c r="U697" i="2"/>
  <c r="H697" i="2"/>
  <c r="Z696" i="2"/>
  <c r="J696" i="2"/>
  <c r="AU695" i="2"/>
  <c r="O695" i="2"/>
  <c r="D695" i="2"/>
  <c r="R694" i="2"/>
  <c r="E694" i="2"/>
  <c r="S693" i="2"/>
  <c r="G693" i="2"/>
  <c r="U692" i="2"/>
  <c r="E692" i="2"/>
  <c r="S691" i="2"/>
  <c r="H691" i="2"/>
  <c r="Z690" i="2"/>
  <c r="J690" i="2"/>
  <c r="AU689" i="2"/>
  <c r="O689" i="2"/>
  <c r="D689" i="2"/>
  <c r="Q688" i="2"/>
  <c r="F688" i="2"/>
  <c r="U687" i="2"/>
  <c r="H687" i="2"/>
  <c r="Z686" i="2"/>
  <c r="J686" i="2"/>
  <c r="AU685" i="2"/>
  <c r="L685" i="2"/>
  <c r="C685" i="2"/>
  <c r="P684" i="2"/>
  <c r="E684" i="2"/>
  <c r="S683" i="2"/>
  <c r="G683" i="2"/>
  <c r="W682" i="2"/>
  <c r="I682" i="2"/>
  <c r="AN681" i="2"/>
  <c r="L681" i="2"/>
  <c r="C681" i="2"/>
  <c r="P680" i="2"/>
  <c r="E680" i="2"/>
  <c r="S679" i="2"/>
  <c r="G679" i="2"/>
  <c r="W678" i="2"/>
  <c r="I678" i="2"/>
  <c r="AN677" i="2"/>
  <c r="G677" i="2"/>
  <c r="U676" i="2"/>
  <c r="E676" i="2"/>
  <c r="L675" i="2"/>
  <c r="C675" i="2"/>
  <c r="I674" i="2"/>
  <c r="AN673" i="2"/>
  <c r="G673" i="2"/>
  <c r="U672" i="2"/>
  <c r="E672" i="2"/>
  <c r="L671" i="2"/>
  <c r="C671" i="2"/>
  <c r="I670" i="2"/>
  <c r="AN669" i="2"/>
  <c r="G669" i="2"/>
  <c r="U668" i="2"/>
  <c r="E668" i="2"/>
  <c r="L667" i="2"/>
  <c r="C667" i="2"/>
  <c r="I666" i="2"/>
  <c r="AN665" i="2"/>
  <c r="G665" i="2"/>
  <c r="U664" i="2"/>
  <c r="E664" i="2"/>
  <c r="L663" i="2"/>
  <c r="C663" i="2"/>
  <c r="I662" i="2"/>
  <c r="AN661" i="2"/>
  <c r="G661" i="2"/>
  <c r="U660" i="2"/>
  <c r="E660" i="2"/>
  <c r="L659" i="2"/>
  <c r="C659" i="2"/>
  <c r="I658" i="2"/>
  <c r="AN657" i="2"/>
  <c r="G657" i="2"/>
  <c r="U656" i="2"/>
  <c r="E656" i="2"/>
  <c r="L655" i="2"/>
  <c r="C655" i="2"/>
  <c r="I654" i="2"/>
  <c r="AN653" i="2"/>
  <c r="G653" i="2"/>
  <c r="U652" i="2"/>
  <c r="E652" i="2"/>
  <c r="L651" i="2"/>
  <c r="C651" i="2"/>
  <c r="I650" i="2"/>
  <c r="AN649" i="2"/>
  <c r="G649" i="2"/>
  <c r="U648" i="2"/>
  <c r="E648" i="2"/>
  <c r="L647" i="2"/>
  <c r="C647" i="2"/>
  <c r="I646" i="2"/>
  <c r="AN645" i="2"/>
  <c r="G645" i="2"/>
  <c r="U644" i="2"/>
  <c r="E644" i="2"/>
  <c r="L643" i="2"/>
  <c r="C643" i="2"/>
  <c r="I642" i="2"/>
  <c r="AN641" i="2"/>
  <c r="G641" i="2"/>
  <c r="U640" i="2"/>
  <c r="E640" i="2"/>
  <c r="L639" i="2"/>
  <c r="C639" i="2"/>
  <c r="I638" i="2"/>
  <c r="AN637" i="2"/>
  <c r="G637" i="2"/>
  <c r="U636" i="2"/>
  <c r="E636" i="2"/>
  <c r="L635" i="2"/>
  <c r="C635" i="2"/>
  <c r="I634" i="2"/>
  <c r="AN633" i="2"/>
  <c r="L633" i="2"/>
  <c r="C633" i="2"/>
  <c r="P632" i="2"/>
  <c r="E632" i="2"/>
  <c r="S631" i="2"/>
  <c r="G631" i="2"/>
  <c r="W630" i="2"/>
  <c r="I630" i="2"/>
  <c r="AN629" i="2"/>
  <c r="L629" i="2"/>
  <c r="C629" i="2"/>
  <c r="P628" i="2"/>
  <c r="E628" i="2"/>
  <c r="S627" i="2"/>
  <c r="G627" i="2"/>
  <c r="W626" i="2"/>
  <c r="I626" i="2"/>
  <c r="AN625" i="2"/>
  <c r="I625" i="2"/>
  <c r="AN624" i="2"/>
  <c r="O624" i="2"/>
  <c r="D624" i="2"/>
  <c r="Q623" i="2"/>
  <c r="F623" i="2"/>
  <c r="U622" i="2"/>
  <c r="AN883" i="2"/>
  <c r="U849" i="2"/>
  <c r="D839" i="2"/>
  <c r="L829" i="2"/>
  <c r="W819" i="2"/>
  <c r="J812" i="2"/>
  <c r="AN807" i="2"/>
  <c r="E804" i="2"/>
  <c r="R800" i="2"/>
  <c r="E797" i="2"/>
  <c r="P793" i="2"/>
  <c r="C790" i="2"/>
  <c r="Z785" i="2"/>
  <c r="AN781" i="2"/>
  <c r="E778" i="2"/>
  <c r="J774" i="2"/>
  <c r="AU771" i="2"/>
  <c r="U770" i="2"/>
  <c r="O769" i="2"/>
  <c r="J768" i="2"/>
  <c r="F767" i="2"/>
  <c r="AU765" i="2"/>
  <c r="Z764" i="2"/>
  <c r="Q763" i="2"/>
  <c r="F762" i="2"/>
  <c r="E761" i="2"/>
  <c r="L759" i="2"/>
  <c r="C758" i="2"/>
  <c r="U756" i="2"/>
  <c r="O755" i="2"/>
  <c r="I754" i="2"/>
  <c r="C753" i="2"/>
  <c r="W751" i="2"/>
  <c r="P750" i="2"/>
  <c r="J749" i="2"/>
  <c r="F748" i="2"/>
  <c r="U746" i="2"/>
  <c r="S745" i="2"/>
  <c r="L744" i="2"/>
  <c r="H743" i="2"/>
  <c r="F742" i="2"/>
  <c r="AU740" i="2"/>
  <c r="U739" i="2"/>
  <c r="P738" i="2"/>
  <c r="I737" i="2"/>
  <c r="E736" i="2"/>
  <c r="C735" i="2"/>
  <c r="W733" i="2"/>
  <c r="P732" i="2"/>
  <c r="G731" i="2"/>
  <c r="U729" i="2"/>
  <c r="E728" i="2"/>
  <c r="Z726" i="2"/>
  <c r="Q725" i="2"/>
  <c r="J724" i="2"/>
  <c r="O723" i="2"/>
  <c r="W722" i="2"/>
  <c r="F722" i="2"/>
  <c r="P721" i="2"/>
  <c r="C721" i="2"/>
  <c r="L720" i="2"/>
  <c r="AU719" i="2"/>
  <c r="H719" i="2"/>
  <c r="Z718" i="2"/>
  <c r="J718" i="2"/>
  <c r="AU717" i="2"/>
  <c r="O717" i="2"/>
  <c r="D717" i="2"/>
  <c r="Q716" i="2"/>
  <c r="F716" i="2"/>
  <c r="U715" i="2"/>
  <c r="H715" i="2"/>
  <c r="Z714" i="2"/>
  <c r="J714" i="2"/>
  <c r="AU713" i="2"/>
  <c r="O713" i="2"/>
  <c r="D713" i="2"/>
  <c r="Q712" i="2"/>
  <c r="F712" i="2"/>
  <c r="U711" i="2"/>
  <c r="H711" i="2"/>
  <c r="Z710" i="2"/>
  <c r="J710" i="2"/>
  <c r="AU709" i="2"/>
  <c r="O709" i="2"/>
  <c r="D709" i="2"/>
  <c r="Q708" i="2"/>
  <c r="F708" i="2"/>
  <c r="U707" i="2"/>
  <c r="H707" i="2"/>
  <c r="Z706" i="2"/>
  <c r="F706" i="2"/>
  <c r="U705" i="2"/>
  <c r="I705" i="2"/>
  <c r="AN704" i="2"/>
  <c r="G704" i="2"/>
  <c r="U703" i="2"/>
  <c r="E703" i="2"/>
  <c r="L702" i="2"/>
  <c r="C702" i="2"/>
  <c r="J701" i="2"/>
  <c r="AU700" i="2"/>
  <c r="O700" i="2"/>
  <c r="D700" i="2"/>
  <c r="Q699" i="2"/>
  <c r="F699" i="2"/>
  <c r="S698" i="2"/>
  <c r="D698" i="2"/>
  <c r="Q697" i="2"/>
  <c r="F697" i="2"/>
  <c r="U696" i="2"/>
  <c r="H696" i="2"/>
  <c r="Z695" i="2"/>
  <c r="J695" i="2"/>
  <c r="AU694" i="2"/>
  <c r="L694" i="2"/>
  <c r="C694" i="2"/>
  <c r="P693" i="2"/>
  <c r="E693" i="2"/>
  <c r="L692" i="2"/>
  <c r="C692" i="2"/>
  <c r="Q691" i="2"/>
  <c r="F691" i="2"/>
  <c r="U690" i="2"/>
  <c r="H690" i="2"/>
  <c r="Z689" i="2"/>
  <c r="J689" i="2"/>
  <c r="AU688" i="2"/>
  <c r="O688" i="2"/>
  <c r="D688" i="2"/>
  <c r="Q687" i="2"/>
  <c r="F687" i="2"/>
  <c r="U686" i="2"/>
  <c r="H686" i="2"/>
  <c r="Z685" i="2"/>
  <c r="I685" i="2"/>
  <c r="AN684" i="2"/>
  <c r="L684" i="2"/>
  <c r="C684" i="2"/>
  <c r="P683" i="2"/>
  <c r="E683" i="2"/>
  <c r="S682" i="2"/>
  <c r="G682" i="2"/>
  <c r="W681" i="2"/>
  <c r="I681" i="2"/>
  <c r="AN680" i="2"/>
  <c r="L680" i="2"/>
  <c r="C680" i="2"/>
  <c r="P679" i="2"/>
  <c r="E679" i="2"/>
  <c r="S678" i="2"/>
  <c r="G678" i="2"/>
  <c r="U677" i="2"/>
  <c r="E677" i="2"/>
  <c r="L676" i="2"/>
  <c r="C676" i="2"/>
  <c r="I675" i="2"/>
  <c r="AN674" i="2"/>
  <c r="G674" i="2"/>
  <c r="U673" i="2"/>
  <c r="E673" i="2"/>
  <c r="L672" i="2"/>
  <c r="C672" i="2"/>
  <c r="I671" i="2"/>
  <c r="AN670" i="2"/>
  <c r="G670" i="2"/>
  <c r="U669" i="2"/>
  <c r="E669" i="2"/>
  <c r="L668" i="2"/>
  <c r="C668" i="2"/>
  <c r="I667" i="2"/>
  <c r="AN666" i="2"/>
  <c r="G666" i="2"/>
  <c r="U665" i="2"/>
  <c r="E665" i="2"/>
  <c r="L664" i="2"/>
  <c r="C664" i="2"/>
  <c r="I663" i="2"/>
  <c r="AN662" i="2"/>
  <c r="G662" i="2"/>
  <c r="U661" i="2"/>
  <c r="E661" i="2"/>
  <c r="L660" i="2"/>
  <c r="C660" i="2"/>
  <c r="I659" i="2"/>
  <c r="AN658" i="2"/>
  <c r="G658" i="2"/>
  <c r="U657" i="2"/>
  <c r="E657" i="2"/>
  <c r="L656" i="2"/>
  <c r="C656" i="2"/>
  <c r="I655" i="2"/>
  <c r="AN654" i="2"/>
  <c r="G654" i="2"/>
  <c r="U653" i="2"/>
  <c r="E653" i="2"/>
  <c r="L652" i="2"/>
  <c r="C652" i="2"/>
  <c r="I651" i="2"/>
  <c r="AN650" i="2"/>
  <c r="G650" i="2"/>
  <c r="U649" i="2"/>
  <c r="E649" i="2"/>
  <c r="L648" i="2"/>
  <c r="C648" i="2"/>
  <c r="I647" i="2"/>
  <c r="AN646" i="2"/>
  <c r="G646" i="2"/>
  <c r="U645" i="2"/>
  <c r="E645" i="2"/>
  <c r="L644" i="2"/>
  <c r="C644" i="2"/>
  <c r="I643" i="2"/>
  <c r="AN642" i="2"/>
  <c r="G642" i="2"/>
  <c r="O874" i="2"/>
  <c r="S848" i="2"/>
  <c r="Z837" i="2"/>
  <c r="F828" i="2"/>
  <c r="S818" i="2"/>
  <c r="W811" i="2"/>
  <c r="L807" i="2"/>
  <c r="S803" i="2"/>
  <c r="G800" i="2"/>
  <c r="S796" i="2"/>
  <c r="E793" i="2"/>
  <c r="I789" i="2"/>
  <c r="F785" i="2"/>
  <c r="G781" i="2"/>
  <c r="S777" i="2"/>
  <c r="AU773" i="2"/>
  <c r="U771" i="2"/>
  <c r="Q770" i="2"/>
  <c r="J769" i="2"/>
  <c r="F768" i="2"/>
  <c r="D767" i="2"/>
  <c r="Z765" i="2"/>
  <c r="Q764" i="2"/>
  <c r="O763" i="2"/>
  <c r="D762" i="2"/>
  <c r="AN760" i="2"/>
  <c r="I759" i="2"/>
  <c r="AN757" i="2"/>
  <c r="O756" i="2"/>
  <c r="J755" i="2"/>
  <c r="G754" i="2"/>
  <c r="W752" i="2"/>
  <c r="S751" i="2"/>
  <c r="L750" i="2"/>
  <c r="F749" i="2"/>
  <c r="D748" i="2"/>
  <c r="R746" i="2"/>
  <c r="L745" i="2"/>
  <c r="I744" i="2"/>
  <c r="F743" i="2"/>
  <c r="AU741" i="2"/>
  <c r="Z740" i="2"/>
  <c r="R739" i="2"/>
  <c r="I738" i="2"/>
  <c r="G737" i="2"/>
  <c r="C736" i="2"/>
  <c r="W734" i="2"/>
  <c r="S733" i="2"/>
  <c r="L732" i="2"/>
  <c r="C731" i="2"/>
  <c r="L729" i="2"/>
  <c r="C728" i="2"/>
  <c r="Q726" i="2"/>
  <c r="O725" i="2"/>
  <c r="I724" i="2"/>
  <c r="L723" i="2"/>
  <c r="U722" i="2"/>
  <c r="E722" i="2"/>
  <c r="O721" i="2"/>
  <c r="AU720" i="2"/>
  <c r="J720" i="2"/>
  <c r="AN719" i="2"/>
  <c r="G719" i="2"/>
  <c r="W718" i="2"/>
  <c r="I718" i="2"/>
  <c r="AN717" i="2"/>
  <c r="L717" i="2"/>
  <c r="C717" i="2"/>
  <c r="P716" i="2"/>
  <c r="E716" i="2"/>
  <c r="S715" i="2"/>
  <c r="G715" i="2"/>
  <c r="W714" i="2"/>
  <c r="I714" i="2"/>
  <c r="AN713" i="2"/>
  <c r="L713" i="2"/>
  <c r="C713" i="2"/>
  <c r="P712" i="2"/>
  <c r="E712" i="2"/>
  <c r="S711" i="2"/>
  <c r="G711" i="2"/>
  <c r="W710" i="2"/>
  <c r="I710" i="2"/>
  <c r="AN709" i="2"/>
  <c r="L709" i="2"/>
  <c r="C709" i="2"/>
  <c r="P708" i="2"/>
  <c r="E708" i="2"/>
  <c r="S707" i="2"/>
  <c r="G707" i="2"/>
  <c r="U706" i="2"/>
  <c r="E706" i="2"/>
  <c r="S705" i="2"/>
  <c r="H705" i="2"/>
  <c r="Z704" i="2"/>
  <c r="F704" i="2"/>
  <c r="S703" i="2"/>
  <c r="D703" i="2"/>
  <c r="J702" i="2"/>
  <c r="AU701" i="2"/>
  <c r="I701" i="2"/>
  <c r="AN700" i="2"/>
  <c r="L700" i="2"/>
  <c r="C700" i="2"/>
  <c r="P699" i="2"/>
  <c r="E699" i="2"/>
  <c r="L698" i="2"/>
  <c r="C698" i="2"/>
  <c r="P697" i="2"/>
  <c r="E697" i="2"/>
  <c r="S696" i="2"/>
  <c r="G696" i="2"/>
  <c r="W695" i="2"/>
  <c r="I695" i="2"/>
  <c r="AN694" i="2"/>
  <c r="J694" i="2"/>
  <c r="AU693" i="2"/>
  <c r="O693" i="2"/>
  <c r="D693" i="2"/>
  <c r="J692" i="2"/>
  <c r="AU691" i="2"/>
  <c r="P691" i="2"/>
  <c r="E691" i="2"/>
  <c r="S690" i="2"/>
  <c r="G690" i="2"/>
  <c r="W689" i="2"/>
  <c r="I689" i="2"/>
  <c r="AN688" i="2"/>
  <c r="L688" i="2"/>
  <c r="C688" i="2"/>
  <c r="P687" i="2"/>
  <c r="E687" i="2"/>
  <c r="S686" i="2"/>
  <c r="G686" i="2"/>
  <c r="W685" i="2"/>
  <c r="H685" i="2"/>
  <c r="Z684" i="2"/>
  <c r="J684" i="2"/>
  <c r="AU683" i="2"/>
  <c r="O683" i="2"/>
  <c r="D683" i="2"/>
  <c r="Q682" i="2"/>
  <c r="F682" i="2"/>
  <c r="U681" i="2"/>
  <c r="H681" i="2"/>
  <c r="Z680" i="2"/>
  <c r="J680" i="2"/>
  <c r="AU679" i="2"/>
  <c r="O679" i="2"/>
  <c r="D679" i="2"/>
  <c r="Q678" i="2"/>
  <c r="F678" i="2"/>
  <c r="S677" i="2"/>
  <c r="D677" i="2"/>
  <c r="J676" i="2"/>
  <c r="AU675" i="2"/>
  <c r="H675" i="2"/>
  <c r="Z674" i="2"/>
  <c r="F674" i="2"/>
  <c r="S673" i="2"/>
  <c r="D673" i="2"/>
  <c r="J672" i="2"/>
  <c r="AU671" i="2"/>
  <c r="H671" i="2"/>
  <c r="Z670" i="2"/>
  <c r="F670" i="2"/>
  <c r="S669" i="2"/>
  <c r="D669" i="2"/>
  <c r="J668" i="2"/>
  <c r="AU667" i="2"/>
  <c r="H667" i="2"/>
  <c r="Z666" i="2"/>
  <c r="F666" i="2"/>
  <c r="S665" i="2"/>
  <c r="D665" i="2"/>
  <c r="J664" i="2"/>
  <c r="AU663" i="2"/>
  <c r="H663" i="2"/>
  <c r="Z662" i="2"/>
  <c r="F662" i="2"/>
  <c r="S661" i="2"/>
  <c r="D661" i="2"/>
  <c r="J660" i="2"/>
  <c r="AU659" i="2"/>
  <c r="H659" i="2"/>
  <c r="Z658" i="2"/>
  <c r="F658" i="2"/>
  <c r="S657" i="2"/>
  <c r="D657" i="2"/>
  <c r="J656" i="2"/>
  <c r="AU655" i="2"/>
  <c r="H655" i="2"/>
  <c r="Z654" i="2"/>
  <c r="F654" i="2"/>
  <c r="S653" i="2"/>
  <c r="D653" i="2"/>
  <c r="J652" i="2"/>
  <c r="AU651" i="2"/>
  <c r="H651" i="2"/>
  <c r="Z650" i="2"/>
  <c r="F650" i="2"/>
  <c r="S649" i="2"/>
  <c r="D649" i="2"/>
  <c r="J648" i="2"/>
  <c r="AU647" i="2"/>
  <c r="H647" i="2"/>
  <c r="Z646" i="2"/>
  <c r="F646" i="2"/>
  <c r="S645" i="2"/>
  <c r="D645" i="2"/>
  <c r="J644" i="2"/>
  <c r="AU643" i="2"/>
  <c r="H643" i="2"/>
  <c r="Z642" i="2"/>
  <c r="F642" i="2"/>
  <c r="S641" i="2"/>
  <c r="D641" i="2"/>
  <c r="J640" i="2"/>
  <c r="AU639" i="2"/>
  <c r="H639" i="2"/>
  <c r="Z638" i="2"/>
  <c r="F638" i="2"/>
  <c r="S637" i="2"/>
  <c r="D637" i="2"/>
  <c r="J636" i="2"/>
  <c r="AU635" i="2"/>
  <c r="H635" i="2"/>
  <c r="Z634" i="2"/>
  <c r="F634" i="2"/>
  <c r="U633" i="2"/>
  <c r="H633" i="2"/>
  <c r="Z632" i="2"/>
  <c r="J632" i="2"/>
  <c r="AU631" i="2"/>
  <c r="O631" i="2"/>
  <c r="D631" i="2"/>
  <c r="Q630" i="2"/>
  <c r="F630" i="2"/>
  <c r="U629" i="2"/>
  <c r="H629" i="2"/>
  <c r="Z628" i="2"/>
  <c r="J628" i="2"/>
  <c r="AU627" i="2"/>
  <c r="O627" i="2"/>
  <c r="D627" i="2"/>
  <c r="Q626" i="2"/>
  <c r="F626" i="2"/>
  <c r="U625" i="2"/>
  <c r="F625" i="2"/>
  <c r="U624" i="2"/>
  <c r="I624" i="2"/>
  <c r="AN623" i="2"/>
  <c r="L623" i="2"/>
  <c r="C623" i="2"/>
  <c r="P622" i="2"/>
  <c r="S863" i="2"/>
  <c r="F847" i="2"/>
  <c r="W836" i="2"/>
  <c r="AU826" i="2"/>
  <c r="P817" i="2"/>
  <c r="G811" i="2"/>
  <c r="C807" i="2"/>
  <c r="H803" i="2"/>
  <c r="W799" i="2"/>
  <c r="G796" i="2"/>
  <c r="S792" i="2"/>
  <c r="AN788" i="2"/>
  <c r="U784" i="2"/>
  <c r="W780" i="2"/>
  <c r="G777" i="2"/>
  <c r="O773" i="2"/>
  <c r="Q771" i="2"/>
  <c r="J770" i="2"/>
  <c r="H769" i="2"/>
  <c r="D768" i="2"/>
  <c r="Z766" i="2"/>
  <c r="U765" i="2"/>
  <c r="O764" i="2"/>
  <c r="H763" i="2"/>
  <c r="AU761" i="2"/>
  <c r="U760" i="2"/>
  <c r="E759" i="2"/>
  <c r="W757" i="2"/>
  <c r="J756" i="2"/>
  <c r="F755" i="2"/>
  <c r="E754" i="2"/>
  <c r="S752" i="2"/>
  <c r="L751" i="2"/>
  <c r="I750" i="2"/>
  <c r="D749" i="2"/>
  <c r="Z747" i="2"/>
  <c r="P746" i="2"/>
  <c r="I745" i="2"/>
  <c r="E744" i="2"/>
  <c r="D743" i="2"/>
  <c r="Z741" i="2"/>
  <c r="Q740" i="2"/>
  <c r="L739" i="2"/>
  <c r="G738" i="2"/>
  <c r="C737" i="2"/>
  <c r="AN735" i="2"/>
  <c r="S734" i="2"/>
  <c r="L733" i="2"/>
  <c r="I732" i="2"/>
  <c r="AN730" i="2"/>
  <c r="G729" i="2"/>
  <c r="AN727" i="2"/>
  <c r="O726" i="2"/>
  <c r="H725" i="2"/>
  <c r="F724" i="2"/>
  <c r="H723" i="2"/>
  <c r="Q722" i="2"/>
  <c r="C722" i="2"/>
  <c r="L721" i="2"/>
  <c r="Z720" i="2"/>
  <c r="I720" i="2"/>
  <c r="Z719" i="2"/>
  <c r="F719" i="2"/>
  <c r="U718" i="2"/>
  <c r="H718" i="2"/>
  <c r="Z717" i="2"/>
  <c r="J717" i="2"/>
  <c r="AU716" i="2"/>
  <c r="O716" i="2"/>
  <c r="D716" i="2"/>
  <c r="Q715" i="2"/>
  <c r="F715" i="2"/>
  <c r="U714" i="2"/>
  <c r="H714" i="2"/>
  <c r="Z713" i="2"/>
  <c r="J713" i="2"/>
  <c r="AU712" i="2"/>
  <c r="O712" i="2"/>
  <c r="D712" i="2"/>
  <c r="Q711" i="2"/>
  <c r="F711" i="2"/>
  <c r="U710" i="2"/>
  <c r="H710" i="2"/>
  <c r="Z709" i="2"/>
  <c r="J709" i="2"/>
  <c r="AU708" i="2"/>
  <c r="O708" i="2"/>
  <c r="D708" i="2"/>
  <c r="Q707" i="2"/>
  <c r="F707" i="2"/>
  <c r="S706" i="2"/>
  <c r="D706" i="2"/>
  <c r="R705" i="2"/>
  <c r="G705" i="2"/>
  <c r="U704" i="2"/>
  <c r="E704" i="2"/>
  <c r="L703" i="2"/>
  <c r="C703" i="2"/>
  <c r="I702" i="2"/>
  <c r="AN701" i="2"/>
  <c r="H701" i="2"/>
  <c r="Z700" i="2"/>
  <c r="J700" i="2"/>
  <c r="AU699" i="2"/>
  <c r="O699" i="2"/>
  <c r="D699" i="2"/>
  <c r="J698" i="2"/>
  <c r="AU697" i="2"/>
  <c r="O697" i="2"/>
  <c r="D697" i="2"/>
  <c r="Q696" i="2"/>
  <c r="F696" i="2"/>
  <c r="U695" i="2"/>
  <c r="H695" i="2"/>
  <c r="Z694" i="2"/>
  <c r="I694" i="2"/>
  <c r="AN693" i="2"/>
  <c r="L693" i="2"/>
  <c r="C693" i="2"/>
  <c r="I692" i="2"/>
  <c r="AN691" i="2"/>
  <c r="O691" i="2"/>
  <c r="D691" i="2"/>
  <c r="Q690" i="2"/>
  <c r="F690" i="2"/>
  <c r="U689" i="2"/>
  <c r="H689" i="2"/>
  <c r="Z688" i="2"/>
  <c r="J688" i="2"/>
  <c r="AU687" i="2"/>
  <c r="O687" i="2"/>
  <c r="D687" i="2"/>
  <c r="Q686" i="2"/>
  <c r="F686" i="2"/>
  <c r="U685" i="2"/>
  <c r="G685" i="2"/>
  <c r="W684" i="2"/>
  <c r="I684" i="2"/>
  <c r="AN683" i="2"/>
  <c r="L683" i="2"/>
  <c r="C683" i="2"/>
  <c r="P682" i="2"/>
  <c r="E682" i="2"/>
  <c r="S681" i="2"/>
  <c r="G681" i="2"/>
  <c r="W680" i="2"/>
  <c r="I680" i="2"/>
  <c r="AN679" i="2"/>
  <c r="L679" i="2"/>
  <c r="C679" i="2"/>
  <c r="P678" i="2"/>
  <c r="E678" i="2"/>
  <c r="L677" i="2"/>
  <c r="C677" i="2"/>
  <c r="I676" i="2"/>
  <c r="AN675" i="2"/>
  <c r="G675" i="2"/>
  <c r="U674" i="2"/>
  <c r="E674" i="2"/>
  <c r="L673" i="2"/>
  <c r="C673" i="2"/>
  <c r="I672" i="2"/>
  <c r="AN671" i="2"/>
  <c r="G671" i="2"/>
  <c r="U670" i="2"/>
  <c r="E670" i="2"/>
  <c r="L669" i="2"/>
  <c r="C669" i="2"/>
  <c r="I668" i="2"/>
  <c r="AN667" i="2"/>
  <c r="G667" i="2"/>
  <c r="U666" i="2"/>
  <c r="E666" i="2"/>
  <c r="L665" i="2"/>
  <c r="C665" i="2"/>
  <c r="I664" i="2"/>
  <c r="AN663" i="2"/>
  <c r="G663" i="2"/>
  <c r="U662" i="2"/>
  <c r="E662" i="2"/>
  <c r="L661" i="2"/>
  <c r="C661" i="2"/>
  <c r="I660" i="2"/>
  <c r="AN659" i="2"/>
  <c r="G659" i="2"/>
  <c r="U658" i="2"/>
  <c r="E658" i="2"/>
  <c r="L657" i="2"/>
  <c r="C657" i="2"/>
  <c r="I656" i="2"/>
  <c r="AN655" i="2"/>
  <c r="G655" i="2"/>
  <c r="U654" i="2"/>
  <c r="E654" i="2"/>
  <c r="L653" i="2"/>
  <c r="C653" i="2"/>
  <c r="I652" i="2"/>
  <c r="AN651" i="2"/>
  <c r="G651" i="2"/>
  <c r="U650" i="2"/>
  <c r="E650" i="2"/>
  <c r="L649" i="2"/>
  <c r="C649" i="2"/>
  <c r="I648" i="2"/>
  <c r="AN647" i="2"/>
  <c r="G647" i="2"/>
  <c r="U646" i="2"/>
  <c r="E646" i="2"/>
  <c r="L645" i="2"/>
  <c r="C645" i="2"/>
  <c r="I644" i="2"/>
  <c r="AN643" i="2"/>
  <c r="G643" i="2"/>
  <c r="U642" i="2"/>
  <c r="E642" i="2"/>
  <c r="L641" i="2"/>
  <c r="C641" i="2"/>
  <c r="I640" i="2"/>
  <c r="AN639" i="2"/>
  <c r="G639" i="2"/>
  <c r="U638" i="2"/>
  <c r="E638" i="2"/>
  <c r="L637" i="2"/>
  <c r="C637" i="2"/>
  <c r="I636" i="2"/>
  <c r="AN635" i="2"/>
  <c r="G635" i="2"/>
  <c r="U634" i="2"/>
  <c r="E634" i="2"/>
  <c r="S633" i="2"/>
  <c r="G633" i="2"/>
  <c r="W632" i="2"/>
  <c r="I632" i="2"/>
  <c r="AN631" i="2"/>
  <c r="L631" i="2"/>
  <c r="C631" i="2"/>
  <c r="P630" i="2"/>
  <c r="E630" i="2"/>
  <c r="S629" i="2"/>
  <c r="G629" i="2"/>
  <c r="W628" i="2"/>
  <c r="I628" i="2"/>
  <c r="AN627" i="2"/>
  <c r="L627" i="2"/>
  <c r="C627" i="2"/>
  <c r="P626" i="2"/>
  <c r="E626" i="2"/>
  <c r="S625" i="2"/>
  <c r="E625" i="2"/>
  <c r="S624" i="2"/>
  <c r="H624" i="2"/>
  <c r="Z623" i="2"/>
  <c r="J623" i="2"/>
  <c r="AU622" i="2"/>
  <c r="O622" i="2"/>
  <c r="H857" i="2"/>
  <c r="C846" i="2"/>
  <c r="L835" i="2"/>
  <c r="Z825" i="2"/>
  <c r="L816" i="2"/>
  <c r="R810" i="2"/>
  <c r="P806" i="2"/>
  <c r="Z802" i="2"/>
  <c r="I799" i="2"/>
  <c r="W795" i="2"/>
  <c r="G792" i="2"/>
  <c r="O788" i="2"/>
  <c r="E784" i="2"/>
  <c r="I780" i="2"/>
  <c r="U776" i="2"/>
  <c r="D773" i="2"/>
  <c r="O771" i="2"/>
  <c r="H770" i="2"/>
  <c r="D769" i="2"/>
  <c r="AU767" i="2"/>
  <c r="U766" i="2"/>
  <c r="O765" i="2"/>
  <c r="J764" i="2"/>
  <c r="F763" i="2"/>
  <c r="U761" i="2"/>
  <c r="L760" i="2"/>
  <c r="C759" i="2"/>
  <c r="J757" i="2"/>
  <c r="H756" i="2"/>
  <c r="D755" i="2"/>
  <c r="AN753" i="2"/>
  <c r="P752" i="2"/>
  <c r="I751" i="2"/>
  <c r="E750" i="2"/>
  <c r="AU748" i="2"/>
  <c r="S747" i="2"/>
  <c r="I746" i="2"/>
  <c r="G745" i="2"/>
  <c r="C744" i="2"/>
  <c r="Z742" i="2"/>
  <c r="U741" i="2"/>
  <c r="O740" i="2"/>
  <c r="G739" i="2"/>
  <c r="E738" i="2"/>
  <c r="AN736" i="2"/>
  <c r="S735" i="2"/>
  <c r="P734" i="2"/>
  <c r="I733" i="2"/>
  <c r="E732" i="2"/>
  <c r="U730" i="2"/>
  <c r="E729" i="2"/>
  <c r="S727" i="2"/>
  <c r="J726" i="2"/>
  <c r="F725" i="2"/>
  <c r="D724" i="2"/>
  <c r="F723" i="2"/>
  <c r="P722" i="2"/>
  <c r="AU721" i="2"/>
  <c r="J721" i="2"/>
  <c r="W720" i="2"/>
  <c r="G720" i="2"/>
  <c r="U719" i="2"/>
  <c r="E719" i="2"/>
  <c r="S718" i="2"/>
  <c r="G718" i="2"/>
  <c r="W717" i="2"/>
  <c r="I717" i="2"/>
  <c r="AN716" i="2"/>
  <c r="L716" i="2"/>
  <c r="C716" i="2"/>
  <c r="P715" i="2"/>
  <c r="E715" i="2"/>
  <c r="S714" i="2"/>
  <c r="G714" i="2"/>
  <c r="W713" i="2"/>
  <c r="I713" i="2"/>
  <c r="AN712" i="2"/>
  <c r="L712" i="2"/>
  <c r="C712" i="2"/>
  <c r="P711" i="2"/>
  <c r="E711" i="2"/>
  <c r="S710" i="2"/>
  <c r="G710" i="2"/>
  <c r="W709" i="2"/>
  <c r="I709" i="2"/>
  <c r="AN708" i="2"/>
  <c r="L708" i="2"/>
  <c r="C708" i="2"/>
  <c r="P707" i="2"/>
  <c r="E707" i="2"/>
  <c r="L706" i="2"/>
  <c r="C706" i="2"/>
  <c r="Q705" i="2"/>
  <c r="F705" i="2"/>
  <c r="S704" i="2"/>
  <c r="D704" i="2"/>
  <c r="J703" i="2"/>
  <c r="AU702" i="2"/>
  <c r="H702" i="2"/>
  <c r="Z701" i="2"/>
  <c r="G701" i="2"/>
  <c r="W700" i="2"/>
  <c r="I700" i="2"/>
  <c r="AN699" i="2"/>
  <c r="L699" i="2"/>
  <c r="C699" i="2"/>
  <c r="I698" i="2"/>
  <c r="AN697" i="2"/>
  <c r="L697" i="2"/>
  <c r="C697" i="2"/>
  <c r="P696" i="2"/>
  <c r="E696" i="2"/>
  <c r="S695" i="2"/>
  <c r="G695" i="2"/>
  <c r="W694" i="2"/>
  <c r="H694" i="2"/>
  <c r="Z693" i="2"/>
  <c r="J693" i="2"/>
  <c r="AU692" i="2"/>
  <c r="H692" i="2"/>
  <c r="Z691" i="2"/>
  <c r="L691" i="2"/>
  <c r="C691" i="2"/>
  <c r="P690" i="2"/>
  <c r="E690" i="2"/>
  <c r="S689" i="2"/>
  <c r="G689" i="2"/>
  <c r="W688" i="2"/>
  <c r="I688" i="2"/>
  <c r="AN687" i="2"/>
  <c r="L687" i="2"/>
  <c r="C687" i="2"/>
  <c r="P686" i="2"/>
  <c r="E686" i="2"/>
  <c r="S685" i="2"/>
  <c r="F685" i="2"/>
  <c r="U684" i="2"/>
  <c r="H684" i="2"/>
  <c r="Z683" i="2"/>
  <c r="J683" i="2"/>
  <c r="AU682" i="2"/>
  <c r="O682" i="2"/>
  <c r="D682" i="2"/>
  <c r="Q681" i="2"/>
  <c r="F681" i="2"/>
  <c r="U680" i="2"/>
  <c r="H680" i="2"/>
  <c r="Z679" i="2"/>
  <c r="J679" i="2"/>
  <c r="AU678" i="2"/>
  <c r="O678" i="2"/>
  <c r="D678" i="2"/>
  <c r="J677" i="2"/>
  <c r="AU676" i="2"/>
  <c r="H676" i="2"/>
  <c r="Z675" i="2"/>
  <c r="F675" i="2"/>
  <c r="S674" i="2"/>
  <c r="D674" i="2"/>
  <c r="J673" i="2"/>
  <c r="AU672" i="2"/>
  <c r="H672" i="2"/>
  <c r="Z671" i="2"/>
  <c r="F671" i="2"/>
  <c r="S670" i="2"/>
  <c r="D670" i="2"/>
  <c r="J669" i="2"/>
  <c r="AU668" i="2"/>
  <c r="H668" i="2"/>
  <c r="Z667" i="2"/>
  <c r="F667" i="2"/>
  <c r="S666" i="2"/>
  <c r="D666" i="2"/>
  <c r="J665" i="2"/>
  <c r="AU664" i="2"/>
  <c r="H664" i="2"/>
  <c r="Z663" i="2"/>
  <c r="F663" i="2"/>
  <c r="S662" i="2"/>
  <c r="D662" i="2"/>
  <c r="J661" i="2"/>
  <c r="AU660" i="2"/>
  <c r="H660" i="2"/>
  <c r="Z659" i="2"/>
  <c r="F659" i="2"/>
  <c r="S658" i="2"/>
  <c r="D658" i="2"/>
  <c r="J657" i="2"/>
  <c r="AU656" i="2"/>
  <c r="H656" i="2"/>
  <c r="Z655" i="2"/>
  <c r="F655" i="2"/>
  <c r="S654" i="2"/>
  <c r="D654" i="2"/>
  <c r="J653" i="2"/>
  <c r="AU652" i="2"/>
  <c r="H652" i="2"/>
  <c r="Z651" i="2"/>
  <c r="F651" i="2"/>
  <c r="S650" i="2"/>
  <c r="D650" i="2"/>
  <c r="J649" i="2"/>
  <c r="AU648" i="2"/>
  <c r="H648" i="2"/>
  <c r="Z647" i="2"/>
  <c r="F647" i="2"/>
  <c r="S646" i="2"/>
  <c r="D646" i="2"/>
  <c r="J645" i="2"/>
  <c r="AU644" i="2"/>
  <c r="H644" i="2"/>
  <c r="Z643" i="2"/>
  <c r="F643" i="2"/>
  <c r="S642" i="2"/>
  <c r="D642" i="2"/>
  <c r="J641" i="2"/>
  <c r="AU640" i="2"/>
  <c r="H640" i="2"/>
  <c r="Z639" i="2"/>
  <c r="F639" i="2"/>
  <c r="S638" i="2"/>
  <c r="D638" i="2"/>
  <c r="J637" i="2"/>
  <c r="AU636" i="2"/>
  <c r="H636" i="2"/>
  <c r="Z635" i="2"/>
  <c r="F635" i="2"/>
  <c r="S634" i="2"/>
  <c r="D634" i="2"/>
  <c r="Q633" i="2"/>
  <c r="F633" i="2"/>
  <c r="U632" i="2"/>
  <c r="H632" i="2"/>
  <c r="Z631" i="2"/>
  <c r="J631" i="2"/>
  <c r="AU630" i="2"/>
  <c r="O630" i="2"/>
  <c r="D630" i="2"/>
  <c r="Q629" i="2"/>
  <c r="F629" i="2"/>
  <c r="U628" i="2"/>
  <c r="H628" i="2"/>
  <c r="Z627" i="2"/>
  <c r="J627" i="2"/>
  <c r="AU626" i="2"/>
  <c r="O626" i="2"/>
  <c r="D626" i="2"/>
  <c r="Q625" i="2"/>
  <c r="D625" i="2"/>
  <c r="R624" i="2"/>
  <c r="G624" i="2"/>
  <c r="W623" i="2"/>
  <c r="I623" i="2"/>
  <c r="AN622" i="2"/>
  <c r="L622" i="2"/>
  <c r="G855" i="2"/>
  <c r="S844" i="2"/>
  <c r="G834" i="2"/>
  <c r="P824" i="2"/>
  <c r="S815" i="2"/>
  <c r="D810" i="2"/>
  <c r="E806" i="2"/>
  <c r="J802" i="2"/>
  <c r="AN798" i="2"/>
  <c r="I795" i="2"/>
  <c r="W791" i="2"/>
  <c r="D788" i="2"/>
  <c r="S783" i="2"/>
  <c r="AN779" i="2"/>
  <c r="E776" i="2"/>
  <c r="Q772" i="2"/>
  <c r="H771" i="2"/>
  <c r="F770" i="2"/>
  <c r="AU768" i="2"/>
  <c r="U767" i="2"/>
  <c r="Q766" i="2"/>
  <c r="J765" i="2"/>
  <c r="F764" i="2"/>
  <c r="D763" i="2"/>
  <c r="R761" i="2"/>
  <c r="G760" i="2"/>
  <c r="AN758" i="2"/>
  <c r="H757" i="2"/>
  <c r="D756" i="2"/>
  <c r="AU754" i="2"/>
  <c r="U753" i="2"/>
  <c r="I752" i="2"/>
  <c r="G751" i="2"/>
  <c r="C750" i="2"/>
  <c r="U748" i="2"/>
  <c r="J747" i="2"/>
  <c r="G746" i="2"/>
  <c r="C745" i="2"/>
  <c r="AN743" i="2"/>
  <c r="U742" i="2"/>
  <c r="O741" i="2"/>
  <c r="J740" i="2"/>
  <c r="E739" i="2"/>
  <c r="AN737" i="2"/>
  <c r="W736" i="2"/>
  <c r="P735" i="2"/>
  <c r="I734" i="2"/>
  <c r="G733" i="2"/>
  <c r="C732" i="2"/>
  <c r="I730" i="2"/>
  <c r="C729" i="2"/>
  <c r="J727" i="2"/>
  <c r="F726" i="2"/>
  <c r="D725" i="2"/>
  <c r="AU723" i="2"/>
  <c r="D723" i="2"/>
  <c r="L722" i="2"/>
  <c r="AN721" i="2"/>
  <c r="H721" i="2"/>
  <c r="S720" i="2"/>
  <c r="F720" i="2"/>
  <c r="S719" i="2"/>
  <c r="D719" i="2"/>
  <c r="Q718" i="2"/>
  <c r="F718" i="2"/>
  <c r="U717" i="2"/>
  <c r="H717" i="2"/>
  <c r="Z716" i="2"/>
  <c r="J716" i="2"/>
  <c r="AU715" i="2"/>
  <c r="O715" i="2"/>
  <c r="D715" i="2"/>
  <c r="Q714" i="2"/>
  <c r="F714" i="2"/>
  <c r="U713" i="2"/>
  <c r="H713" i="2"/>
  <c r="Z712" i="2"/>
  <c r="J712" i="2"/>
  <c r="AU711" i="2"/>
  <c r="O711" i="2"/>
  <c r="D711" i="2"/>
  <c r="Q710" i="2"/>
  <c r="F710" i="2"/>
  <c r="U709" i="2"/>
  <c r="H709" i="2"/>
  <c r="Z708" i="2"/>
  <c r="J708" i="2"/>
  <c r="AU707" i="2"/>
  <c r="O707" i="2"/>
  <c r="D707" i="2"/>
  <c r="J706" i="2"/>
  <c r="AU705" i="2"/>
  <c r="P705" i="2"/>
  <c r="E705" i="2"/>
  <c r="L704" i="2"/>
  <c r="C704" i="2"/>
  <c r="I703" i="2"/>
  <c r="AN702" i="2"/>
  <c r="G702" i="2"/>
  <c r="W701" i="2"/>
  <c r="F701" i="2"/>
  <c r="U700" i="2"/>
  <c r="H700" i="2"/>
  <c r="Z699" i="2"/>
  <c r="J699" i="2"/>
  <c r="AU698" i="2"/>
  <c r="H698" i="2"/>
  <c r="Z697" i="2"/>
  <c r="J697" i="2"/>
  <c r="AU696" i="2"/>
  <c r="O696" i="2"/>
  <c r="D696" i="2"/>
  <c r="Q695" i="2"/>
  <c r="F695" i="2"/>
  <c r="U694" i="2"/>
  <c r="G694" i="2"/>
  <c r="W693" i="2"/>
  <c r="I693" i="2"/>
  <c r="AN692" i="2"/>
  <c r="G692" i="2"/>
  <c r="W691" i="2"/>
  <c r="J691" i="2"/>
  <c r="AU690" i="2"/>
  <c r="O690" i="2"/>
  <c r="D690" i="2"/>
  <c r="Q689" i="2"/>
  <c r="F689" i="2"/>
  <c r="U688" i="2"/>
  <c r="H688" i="2"/>
  <c r="Z687" i="2"/>
  <c r="J687" i="2"/>
  <c r="AU686" i="2"/>
  <c r="O686" i="2"/>
  <c r="D686" i="2"/>
  <c r="R685" i="2"/>
  <c r="E685" i="2"/>
  <c r="S684" i="2"/>
  <c r="G684" i="2"/>
  <c r="W683" i="2"/>
  <c r="I683" i="2"/>
  <c r="AN682" i="2"/>
  <c r="L682" i="2"/>
  <c r="C682" i="2"/>
  <c r="P681" i="2"/>
  <c r="E681" i="2"/>
  <c r="S680" i="2"/>
  <c r="G680" i="2"/>
  <c r="W679" i="2"/>
  <c r="I679" i="2"/>
  <c r="AN678" i="2"/>
  <c r="L678" i="2"/>
  <c r="C678" i="2"/>
  <c r="I677" i="2"/>
  <c r="AN676" i="2"/>
  <c r="G676" i="2"/>
  <c r="U675" i="2"/>
  <c r="E675" i="2"/>
  <c r="L674" i="2"/>
  <c r="C674" i="2"/>
  <c r="I673" i="2"/>
  <c r="AN672" i="2"/>
  <c r="G672" i="2"/>
  <c r="U671" i="2"/>
  <c r="E671" i="2"/>
  <c r="L670" i="2"/>
  <c r="C670" i="2"/>
  <c r="I669" i="2"/>
  <c r="AN668" i="2"/>
  <c r="G668" i="2"/>
  <c r="U667" i="2"/>
  <c r="E667" i="2"/>
  <c r="L666" i="2"/>
  <c r="C666" i="2"/>
  <c r="I665" i="2"/>
  <c r="AN664" i="2"/>
  <c r="G664" i="2"/>
  <c r="U663" i="2"/>
  <c r="E663" i="2"/>
  <c r="L662" i="2"/>
  <c r="C662" i="2"/>
  <c r="I661" i="2"/>
  <c r="AN660" i="2"/>
  <c r="G660" i="2"/>
  <c r="U659" i="2"/>
  <c r="E659" i="2"/>
  <c r="L658" i="2"/>
  <c r="C658" i="2"/>
  <c r="I657" i="2"/>
  <c r="AN656" i="2"/>
  <c r="G656" i="2"/>
  <c r="U655" i="2"/>
  <c r="E655" i="2"/>
  <c r="L654" i="2"/>
  <c r="C654" i="2"/>
  <c r="I653" i="2"/>
  <c r="AN652" i="2"/>
  <c r="G652" i="2"/>
  <c r="U651" i="2"/>
  <c r="E651" i="2"/>
  <c r="L650" i="2"/>
  <c r="C650" i="2"/>
  <c r="I649" i="2"/>
  <c r="AN648" i="2"/>
  <c r="G648" i="2"/>
  <c r="U647" i="2"/>
  <c r="E647" i="2"/>
  <c r="L646" i="2"/>
  <c r="C646" i="2"/>
  <c r="I645" i="2"/>
  <c r="AN644" i="2"/>
  <c r="G644" i="2"/>
  <c r="U643" i="2"/>
  <c r="E643" i="2"/>
  <c r="L642" i="2"/>
  <c r="C642" i="2"/>
  <c r="I641" i="2"/>
  <c r="AN640" i="2"/>
  <c r="G640" i="2"/>
  <c r="U639" i="2"/>
  <c r="E639" i="2"/>
  <c r="L638" i="2"/>
  <c r="C638" i="2"/>
  <c r="I637" i="2"/>
  <c r="AN636" i="2"/>
  <c r="G636" i="2"/>
  <c r="U635" i="2"/>
  <c r="E635" i="2"/>
  <c r="L634" i="2"/>
  <c r="C634" i="2"/>
  <c r="P633" i="2"/>
  <c r="E633" i="2"/>
  <c r="S632" i="2"/>
  <c r="G632" i="2"/>
  <c r="W631" i="2"/>
  <c r="I631" i="2"/>
  <c r="AN630" i="2"/>
  <c r="L630" i="2"/>
  <c r="C630" i="2"/>
  <c r="P629" i="2"/>
  <c r="E629" i="2"/>
  <c r="S628" i="2"/>
  <c r="G628" i="2"/>
  <c r="W627" i="2"/>
  <c r="I627" i="2"/>
  <c r="AN626" i="2"/>
  <c r="L626" i="2"/>
  <c r="C626" i="2"/>
  <c r="L625" i="2"/>
  <c r="C625" i="2"/>
  <c r="Q624" i="2"/>
  <c r="F624" i="2"/>
  <c r="U623" i="2"/>
  <c r="H623" i="2"/>
  <c r="Z622" i="2"/>
  <c r="J622" i="2"/>
  <c r="W897" i="2"/>
  <c r="C821" i="2"/>
  <c r="D801" i="2"/>
  <c r="H786" i="2"/>
  <c r="D772" i="2"/>
  <c r="H767" i="2"/>
  <c r="J762" i="2"/>
  <c r="Z756" i="2"/>
  <c r="AN751" i="2"/>
  <c r="AU746" i="2"/>
  <c r="H742" i="2"/>
  <c r="L737" i="2"/>
  <c r="W732" i="2"/>
  <c r="AU726" i="2"/>
  <c r="Z722" i="2"/>
  <c r="O720" i="2"/>
  <c r="L718" i="2"/>
  <c r="S716" i="2"/>
  <c r="AN714" i="2"/>
  <c r="E713" i="2"/>
  <c r="I711" i="2"/>
  <c r="P709" i="2"/>
  <c r="W707" i="2"/>
  <c r="W705" i="2"/>
  <c r="Z703" i="2"/>
  <c r="L701" i="2"/>
  <c r="S699" i="2"/>
  <c r="S697" i="2"/>
  <c r="AN695" i="2"/>
  <c r="D694" i="2"/>
  <c r="D692" i="2"/>
  <c r="I690" i="2"/>
  <c r="P688" i="2"/>
  <c r="W686" i="2"/>
  <c r="AU684" i="2"/>
  <c r="F683" i="2"/>
  <c r="J681" i="2"/>
  <c r="Q679" i="2"/>
  <c r="Z677" i="2"/>
  <c r="J675" i="2"/>
  <c r="F673" i="2"/>
  <c r="AU670" i="2"/>
  <c r="S668" i="2"/>
  <c r="H666" i="2"/>
  <c r="D664" i="2"/>
  <c r="Z661" i="2"/>
  <c r="J659" i="2"/>
  <c r="F657" i="2"/>
  <c r="AU654" i="2"/>
  <c r="S652" i="2"/>
  <c r="H650" i="2"/>
  <c r="D648" i="2"/>
  <c r="Z645" i="2"/>
  <c r="J643" i="2"/>
  <c r="H641" i="2"/>
  <c r="C640" i="2"/>
  <c r="H638" i="2"/>
  <c r="Z636" i="2"/>
  <c r="I635" i="2"/>
  <c r="Z633" i="2"/>
  <c r="Q632" i="2"/>
  <c r="P631" i="2"/>
  <c r="H630" i="2"/>
  <c r="D629" i="2"/>
  <c r="C628" i="2"/>
  <c r="U626" i="2"/>
  <c r="J625" i="2"/>
  <c r="J624" i="2"/>
  <c r="E623" i="2"/>
  <c r="F622" i="2"/>
  <c r="U621" i="2"/>
  <c r="H621" i="2"/>
  <c r="Z620" i="2"/>
  <c r="J620" i="2"/>
  <c r="AU619" i="2"/>
  <c r="O619" i="2"/>
  <c r="D619" i="2"/>
  <c r="R618" i="2"/>
  <c r="G618" i="2"/>
  <c r="W617" i="2"/>
  <c r="I617" i="2"/>
  <c r="AN616" i="2"/>
  <c r="L616" i="2"/>
  <c r="C616" i="2"/>
  <c r="P615" i="2"/>
  <c r="E615" i="2"/>
  <c r="S614" i="2"/>
  <c r="G614" i="2"/>
  <c r="W613" i="2"/>
  <c r="I613" i="2"/>
  <c r="AN612" i="2"/>
  <c r="L612" i="2"/>
  <c r="C612" i="2"/>
  <c r="P611" i="2"/>
  <c r="E611" i="2"/>
  <c r="S610" i="2"/>
  <c r="G610" i="2"/>
  <c r="W609" i="2"/>
  <c r="I609" i="2"/>
  <c r="AN608" i="2"/>
  <c r="G608" i="2"/>
  <c r="U607" i="2"/>
  <c r="E607" i="2"/>
  <c r="L606" i="2"/>
  <c r="C606" i="2"/>
  <c r="J605" i="2"/>
  <c r="AU604" i="2"/>
  <c r="H604" i="2"/>
  <c r="Z603" i="2"/>
  <c r="F603" i="2"/>
  <c r="S602" i="2"/>
  <c r="D602" i="2"/>
  <c r="Q601" i="2"/>
  <c r="F601" i="2"/>
  <c r="U600" i="2"/>
  <c r="H600" i="2"/>
  <c r="Z599" i="2"/>
  <c r="J599" i="2"/>
  <c r="AU598" i="2"/>
  <c r="O598" i="2"/>
  <c r="D598" i="2"/>
  <c r="Q597" i="2"/>
  <c r="F597" i="2"/>
  <c r="U596" i="2"/>
  <c r="H596" i="2"/>
  <c r="Z595" i="2"/>
  <c r="J595" i="2"/>
  <c r="AU594" i="2"/>
  <c r="O594" i="2"/>
  <c r="D594" i="2"/>
  <c r="Q593" i="2"/>
  <c r="F593" i="2"/>
  <c r="U592" i="2"/>
  <c r="H592" i="2"/>
  <c r="Z591" i="2"/>
  <c r="J591" i="2"/>
  <c r="AU590" i="2"/>
  <c r="O590" i="2"/>
  <c r="D590" i="2"/>
  <c r="Q589" i="2"/>
  <c r="F589" i="2"/>
  <c r="U588" i="2"/>
  <c r="H588" i="2"/>
  <c r="Z587" i="2"/>
  <c r="J587" i="2"/>
  <c r="AU586" i="2"/>
  <c r="O586" i="2"/>
  <c r="D586" i="2"/>
  <c r="Q585" i="2"/>
  <c r="F585" i="2"/>
  <c r="U584" i="2"/>
  <c r="H584" i="2"/>
  <c r="Z583" i="2"/>
  <c r="F583" i="2"/>
  <c r="P853" i="2"/>
  <c r="U814" i="2"/>
  <c r="L798" i="2"/>
  <c r="G783" i="2"/>
  <c r="F771" i="2"/>
  <c r="J766" i="2"/>
  <c r="P761" i="2"/>
  <c r="AU755" i="2"/>
  <c r="C751" i="2"/>
  <c r="E746" i="2"/>
  <c r="J741" i="2"/>
  <c r="P736" i="2"/>
  <c r="AN731" i="2"/>
  <c r="D726" i="2"/>
  <c r="J722" i="2"/>
  <c r="E720" i="2"/>
  <c r="E718" i="2"/>
  <c r="I716" i="2"/>
  <c r="P714" i="2"/>
  <c r="W712" i="2"/>
  <c r="C711" i="2"/>
  <c r="G709" i="2"/>
  <c r="L707" i="2"/>
  <c r="O705" i="2"/>
  <c r="H703" i="2"/>
  <c r="E701" i="2"/>
  <c r="I699" i="2"/>
  <c r="I697" i="2"/>
  <c r="P695" i="2"/>
  <c r="U693" i="2"/>
  <c r="U691" i="2"/>
  <c r="C690" i="2"/>
  <c r="G688" i="2"/>
  <c r="L686" i="2"/>
  <c r="Q684" i="2"/>
  <c r="Z682" i="2"/>
  <c r="D681" i="2"/>
  <c r="H679" i="2"/>
  <c r="H677" i="2"/>
  <c r="D675" i="2"/>
  <c r="Z672" i="2"/>
  <c r="J670" i="2"/>
  <c r="F668" i="2"/>
  <c r="AU665" i="2"/>
  <c r="S663" i="2"/>
  <c r="H661" i="2"/>
  <c r="D659" i="2"/>
  <c r="Z656" i="2"/>
  <c r="J654" i="2"/>
  <c r="F652" i="2"/>
  <c r="AU649" i="2"/>
  <c r="S647" i="2"/>
  <c r="H645" i="2"/>
  <c r="D643" i="2"/>
  <c r="F641" i="2"/>
  <c r="S639" i="2"/>
  <c r="G638" i="2"/>
  <c r="S636" i="2"/>
  <c r="D635" i="2"/>
  <c r="W633" i="2"/>
  <c r="O632" i="2"/>
  <c r="H631" i="2"/>
  <c r="G630" i="2"/>
  <c r="AU628" i="2"/>
  <c r="U627" i="2"/>
  <c r="S626" i="2"/>
  <c r="H625" i="2"/>
  <c r="E624" i="2"/>
  <c r="D623" i="2"/>
  <c r="E622" i="2"/>
  <c r="S621" i="2"/>
  <c r="G621" i="2"/>
  <c r="W620" i="2"/>
  <c r="I620" i="2"/>
  <c r="AN619" i="2"/>
  <c r="L619" i="2"/>
  <c r="C619" i="2"/>
  <c r="Q618" i="2"/>
  <c r="F618" i="2"/>
  <c r="U617" i="2"/>
  <c r="H617" i="2"/>
  <c r="Z616" i="2"/>
  <c r="J616" i="2"/>
  <c r="AU615" i="2"/>
  <c r="O615" i="2"/>
  <c r="D615" i="2"/>
  <c r="Q614" i="2"/>
  <c r="F614" i="2"/>
  <c r="U613" i="2"/>
  <c r="H613" i="2"/>
  <c r="Z612" i="2"/>
  <c r="J612" i="2"/>
  <c r="AU611" i="2"/>
  <c r="O611" i="2"/>
  <c r="D611" i="2"/>
  <c r="Q610" i="2"/>
  <c r="F610" i="2"/>
  <c r="U609" i="2"/>
  <c r="H609" i="2"/>
  <c r="Z608" i="2"/>
  <c r="F608" i="2"/>
  <c r="S607" i="2"/>
  <c r="D607" i="2"/>
  <c r="J606" i="2"/>
  <c r="AU605" i="2"/>
  <c r="I605" i="2"/>
  <c r="AN604" i="2"/>
  <c r="G604" i="2"/>
  <c r="U603" i="2"/>
  <c r="E603" i="2"/>
  <c r="L602" i="2"/>
  <c r="C602" i="2"/>
  <c r="P601" i="2"/>
  <c r="E601" i="2"/>
  <c r="S600" i="2"/>
  <c r="G600" i="2"/>
  <c r="W599" i="2"/>
  <c r="I599" i="2"/>
  <c r="AN598" i="2"/>
  <c r="L598" i="2"/>
  <c r="C598" i="2"/>
  <c r="P597" i="2"/>
  <c r="E597" i="2"/>
  <c r="S596" i="2"/>
  <c r="G596" i="2"/>
  <c r="W595" i="2"/>
  <c r="I595" i="2"/>
  <c r="AN594" i="2"/>
  <c r="L594" i="2"/>
  <c r="C594" i="2"/>
  <c r="P593" i="2"/>
  <c r="E593" i="2"/>
  <c r="S592" i="2"/>
  <c r="G592" i="2"/>
  <c r="W591" i="2"/>
  <c r="I591" i="2"/>
  <c r="AN590" i="2"/>
  <c r="L590" i="2"/>
  <c r="C590" i="2"/>
  <c r="P589" i="2"/>
  <c r="E589" i="2"/>
  <c r="S588" i="2"/>
  <c r="G588" i="2"/>
  <c r="W587" i="2"/>
  <c r="I587" i="2"/>
  <c r="AN586" i="2"/>
  <c r="L586" i="2"/>
  <c r="C586" i="2"/>
  <c r="P585" i="2"/>
  <c r="E585" i="2"/>
  <c r="S584" i="2"/>
  <c r="G584" i="2"/>
  <c r="U583" i="2"/>
  <c r="E583" i="2"/>
  <c r="L582" i="2"/>
  <c r="C582" i="2"/>
  <c r="I581" i="2"/>
  <c r="AN580" i="2"/>
  <c r="H580" i="2"/>
  <c r="Z579" i="2"/>
  <c r="F579" i="2"/>
  <c r="S578" i="2"/>
  <c r="D578" i="2"/>
  <c r="J577" i="2"/>
  <c r="AU576" i="2"/>
  <c r="I576" i="2"/>
  <c r="AN575" i="2"/>
  <c r="H575" i="2"/>
  <c r="Z574" i="2"/>
  <c r="G574" i="2"/>
  <c r="W573" i="2"/>
  <c r="F573" i="2"/>
  <c r="U572" i="2"/>
  <c r="E572" i="2"/>
  <c r="AU850" i="2"/>
  <c r="C813" i="2"/>
  <c r="P797" i="2"/>
  <c r="I782" i="2"/>
  <c r="Z770" i="2"/>
  <c r="F766" i="2"/>
  <c r="G761" i="2"/>
  <c r="Q755" i="2"/>
  <c r="W750" i="2"/>
  <c r="W745" i="2"/>
  <c r="D741" i="2"/>
  <c r="I736" i="2"/>
  <c r="I731" i="2"/>
  <c r="U725" i="2"/>
  <c r="H722" i="2"/>
  <c r="C720" i="2"/>
  <c r="C718" i="2"/>
  <c r="G716" i="2"/>
  <c r="L714" i="2"/>
  <c r="S712" i="2"/>
  <c r="AN710" i="2"/>
  <c r="E709" i="2"/>
  <c r="I707" i="2"/>
  <c r="J705" i="2"/>
  <c r="F703" i="2"/>
  <c r="C701" i="2"/>
  <c r="G699" i="2"/>
  <c r="G697" i="2"/>
  <c r="L695" i="2"/>
  <c r="Q693" i="2"/>
  <c r="R691" i="2"/>
  <c r="AN689" i="2"/>
  <c r="E688" i="2"/>
  <c r="I686" i="2"/>
  <c r="O684" i="2"/>
  <c r="U682" i="2"/>
  <c r="AU680" i="2"/>
  <c r="F679" i="2"/>
  <c r="F677" i="2"/>
  <c r="AU674" i="2"/>
  <c r="S672" i="2"/>
  <c r="H670" i="2"/>
  <c r="D668" i="2"/>
  <c r="Z665" i="2"/>
  <c r="J663" i="2"/>
  <c r="F661" i="2"/>
  <c r="AU658" i="2"/>
  <c r="S656" i="2"/>
  <c r="H654" i="2"/>
  <c r="D652" i="2"/>
  <c r="Z649" i="2"/>
  <c r="J647" i="2"/>
  <c r="F645" i="2"/>
  <c r="AU642" i="2"/>
  <c r="E641" i="2"/>
  <c r="J639" i="2"/>
  <c r="AU637" i="2"/>
  <c r="L636" i="2"/>
  <c r="AU634" i="2"/>
  <c r="O633" i="2"/>
  <c r="L632" i="2"/>
  <c r="F631" i="2"/>
  <c r="AU629" i="2"/>
  <c r="AN628" i="2"/>
  <c r="Q627" i="2"/>
  <c r="J626" i="2"/>
  <c r="G625" i="2"/>
  <c r="C624" i="2"/>
  <c r="W622" i="2"/>
  <c r="D622" i="2"/>
  <c r="Q621" i="2"/>
  <c r="F621" i="2"/>
  <c r="U620" i="2"/>
  <c r="H620" i="2"/>
  <c r="Z619" i="2"/>
  <c r="J619" i="2"/>
  <c r="AU618" i="2"/>
  <c r="P618" i="2"/>
  <c r="E618" i="2"/>
  <c r="S617" i="2"/>
  <c r="G617" i="2"/>
  <c r="W616" i="2"/>
  <c r="I616" i="2"/>
  <c r="AN615" i="2"/>
  <c r="L615" i="2"/>
  <c r="C615" i="2"/>
  <c r="P614" i="2"/>
  <c r="E614" i="2"/>
  <c r="S613" i="2"/>
  <c r="G613" i="2"/>
  <c r="W612" i="2"/>
  <c r="I612" i="2"/>
  <c r="AN611" i="2"/>
  <c r="L611" i="2"/>
  <c r="C611" i="2"/>
  <c r="P610" i="2"/>
  <c r="E610" i="2"/>
  <c r="S609" i="2"/>
  <c r="G609" i="2"/>
  <c r="U608" i="2"/>
  <c r="E608" i="2"/>
  <c r="L607" i="2"/>
  <c r="C607" i="2"/>
  <c r="I606" i="2"/>
  <c r="AN605" i="2"/>
  <c r="H605" i="2"/>
  <c r="Z604" i="2"/>
  <c r="F604" i="2"/>
  <c r="S603" i="2"/>
  <c r="D603" i="2"/>
  <c r="J602" i="2"/>
  <c r="AU601" i="2"/>
  <c r="O601" i="2"/>
  <c r="D601" i="2"/>
  <c r="Q600" i="2"/>
  <c r="F600" i="2"/>
  <c r="U599" i="2"/>
  <c r="H599" i="2"/>
  <c r="Z598" i="2"/>
  <c r="J598" i="2"/>
  <c r="AU597" i="2"/>
  <c r="O597" i="2"/>
  <c r="D597" i="2"/>
  <c r="Q596" i="2"/>
  <c r="F596" i="2"/>
  <c r="U595" i="2"/>
  <c r="H595" i="2"/>
  <c r="Z594" i="2"/>
  <c r="J594" i="2"/>
  <c r="AU593" i="2"/>
  <c r="O593" i="2"/>
  <c r="D593" i="2"/>
  <c r="Q592" i="2"/>
  <c r="F592" i="2"/>
  <c r="U591" i="2"/>
  <c r="H591" i="2"/>
  <c r="Z590" i="2"/>
  <c r="J590" i="2"/>
  <c r="AU589" i="2"/>
  <c r="O589" i="2"/>
  <c r="D589" i="2"/>
  <c r="Q588" i="2"/>
  <c r="F588" i="2"/>
  <c r="U587" i="2"/>
  <c r="H587" i="2"/>
  <c r="Z586" i="2"/>
  <c r="J586" i="2"/>
  <c r="AU585" i="2"/>
  <c r="O585" i="2"/>
  <c r="D585" i="2"/>
  <c r="Q584" i="2"/>
  <c r="F584" i="2"/>
  <c r="S583" i="2"/>
  <c r="D583" i="2"/>
  <c r="J582" i="2"/>
  <c r="AU581" i="2"/>
  <c r="H581" i="2"/>
  <c r="Z580" i="2"/>
  <c r="G580" i="2"/>
  <c r="C843" i="2"/>
  <c r="H809" i="2"/>
  <c r="AN794" i="2"/>
  <c r="L779" i="2"/>
  <c r="AU769" i="2"/>
  <c r="H765" i="2"/>
  <c r="E760" i="2"/>
  <c r="U754" i="2"/>
  <c r="AN749" i="2"/>
  <c r="AN744" i="2"/>
  <c r="F740" i="2"/>
  <c r="L735" i="2"/>
  <c r="G730" i="2"/>
  <c r="C725" i="2"/>
  <c r="Z721" i="2"/>
  <c r="L719" i="2"/>
  <c r="S717" i="2"/>
  <c r="AN715" i="2"/>
  <c r="E714" i="2"/>
  <c r="I712" i="2"/>
  <c r="P710" i="2"/>
  <c r="W708" i="2"/>
  <c r="C707" i="2"/>
  <c r="D705" i="2"/>
  <c r="Z702" i="2"/>
  <c r="S700" i="2"/>
  <c r="AN698" i="2"/>
  <c r="AN696" i="2"/>
  <c r="E695" i="2"/>
  <c r="H693" i="2"/>
  <c r="I691" i="2"/>
  <c r="P689" i="2"/>
  <c r="W687" i="2"/>
  <c r="C686" i="2"/>
  <c r="F684" i="2"/>
  <c r="J682" i="2"/>
  <c r="Q680" i="2"/>
  <c r="Z678" i="2"/>
  <c r="Z676" i="2"/>
  <c r="J674" i="2"/>
  <c r="F672" i="2"/>
  <c r="AU669" i="2"/>
  <c r="S667" i="2"/>
  <c r="H665" i="2"/>
  <c r="D663" i="2"/>
  <c r="Z660" i="2"/>
  <c r="J658" i="2"/>
  <c r="F656" i="2"/>
  <c r="AU653" i="2"/>
  <c r="S651" i="2"/>
  <c r="H649" i="2"/>
  <c r="D647" i="2"/>
  <c r="Z644" i="2"/>
  <c r="J642" i="2"/>
  <c r="Z640" i="2"/>
  <c r="I639" i="2"/>
  <c r="Z637" i="2"/>
  <c r="F636" i="2"/>
  <c r="AN634" i="2"/>
  <c r="J633" i="2"/>
  <c r="F632" i="2"/>
  <c r="E631" i="2"/>
  <c r="Z629" i="2"/>
  <c r="Q628" i="2"/>
  <c r="P627" i="2"/>
  <c r="H626" i="2"/>
  <c r="AU624" i="2"/>
  <c r="AU623" i="2"/>
  <c r="S622" i="2"/>
  <c r="C622" i="2"/>
  <c r="P621" i="2"/>
  <c r="E621" i="2"/>
  <c r="S620" i="2"/>
  <c r="G620" i="2"/>
  <c r="W619" i="2"/>
  <c r="I619" i="2"/>
  <c r="AN618" i="2"/>
  <c r="O618" i="2"/>
  <c r="D618" i="2"/>
  <c r="Q617" i="2"/>
  <c r="F617" i="2"/>
  <c r="U616" i="2"/>
  <c r="H616" i="2"/>
  <c r="Z615" i="2"/>
  <c r="J615" i="2"/>
  <c r="AU614" i="2"/>
  <c r="O614" i="2"/>
  <c r="D614" i="2"/>
  <c r="Q613" i="2"/>
  <c r="F613" i="2"/>
  <c r="U612" i="2"/>
  <c r="H612" i="2"/>
  <c r="Z611" i="2"/>
  <c r="J611" i="2"/>
  <c r="AU610" i="2"/>
  <c r="O610" i="2"/>
  <c r="D610" i="2"/>
  <c r="Q609" i="2"/>
  <c r="F609" i="2"/>
  <c r="S608" i="2"/>
  <c r="D608" i="2"/>
  <c r="J607" i="2"/>
  <c r="AU606" i="2"/>
  <c r="H606" i="2"/>
  <c r="Z605" i="2"/>
  <c r="G605" i="2"/>
  <c r="U604" i="2"/>
  <c r="E604" i="2"/>
  <c r="L603" i="2"/>
  <c r="C603" i="2"/>
  <c r="I602" i="2"/>
  <c r="AN601" i="2"/>
  <c r="L601" i="2"/>
  <c r="C601" i="2"/>
  <c r="P600" i="2"/>
  <c r="E600" i="2"/>
  <c r="S599" i="2"/>
  <c r="G599" i="2"/>
  <c r="W598" i="2"/>
  <c r="I598" i="2"/>
  <c r="AN597" i="2"/>
  <c r="L597" i="2"/>
  <c r="C597" i="2"/>
  <c r="P596" i="2"/>
  <c r="E596" i="2"/>
  <c r="S595" i="2"/>
  <c r="G595" i="2"/>
  <c r="W594" i="2"/>
  <c r="I594" i="2"/>
  <c r="AN593" i="2"/>
  <c r="L593" i="2"/>
  <c r="C593" i="2"/>
  <c r="P592" i="2"/>
  <c r="E592" i="2"/>
  <c r="S591" i="2"/>
  <c r="G591" i="2"/>
  <c r="W590" i="2"/>
  <c r="I590" i="2"/>
  <c r="AN589" i="2"/>
  <c r="L589" i="2"/>
  <c r="C589" i="2"/>
  <c r="P588" i="2"/>
  <c r="E588" i="2"/>
  <c r="S587" i="2"/>
  <c r="G587" i="2"/>
  <c r="W586" i="2"/>
  <c r="I586" i="2"/>
  <c r="AN585" i="2"/>
  <c r="L585" i="2"/>
  <c r="C585" i="2"/>
  <c r="P584" i="2"/>
  <c r="E584" i="2"/>
  <c r="L583" i="2"/>
  <c r="C583" i="2"/>
  <c r="I582" i="2"/>
  <c r="AN581" i="2"/>
  <c r="G581" i="2"/>
  <c r="W580" i="2"/>
  <c r="F580" i="2"/>
  <c r="S579" i="2"/>
  <c r="D579" i="2"/>
  <c r="J578" i="2"/>
  <c r="AU577" i="2"/>
  <c r="H577" i="2"/>
  <c r="Z576" i="2"/>
  <c r="G576" i="2"/>
  <c r="P840" i="2"/>
  <c r="I808" i="2"/>
  <c r="C794" i="2"/>
  <c r="P778" i="2"/>
  <c r="U769" i="2"/>
  <c r="AU764" i="2"/>
  <c r="U759" i="2"/>
  <c r="P754" i="2"/>
  <c r="Q749" i="2"/>
  <c r="P744" i="2"/>
  <c r="AU739" i="2"/>
  <c r="E735" i="2"/>
  <c r="AN729" i="2"/>
  <c r="S724" i="2"/>
  <c r="S721" i="2"/>
  <c r="I719" i="2"/>
  <c r="P717" i="2"/>
  <c r="W715" i="2"/>
  <c r="C714" i="2"/>
  <c r="G712" i="2"/>
  <c r="L710" i="2"/>
  <c r="S708" i="2"/>
  <c r="AN706" i="2"/>
  <c r="AU704" i="2"/>
  <c r="S702" i="2"/>
  <c r="P700" i="2"/>
  <c r="U698" i="2"/>
  <c r="W696" i="2"/>
  <c r="C695" i="2"/>
  <c r="F693" i="2"/>
  <c r="G691" i="2"/>
  <c r="L689" i="2"/>
  <c r="S687" i="2"/>
  <c r="AN685" i="2"/>
  <c r="D684" i="2"/>
  <c r="H682" i="2"/>
  <c r="O680" i="2"/>
  <c r="U678" i="2"/>
  <c r="S676" i="2"/>
  <c r="H674" i="2"/>
  <c r="D672" i="2"/>
  <c r="Z669" i="2"/>
  <c r="J667" i="2"/>
  <c r="F665" i="2"/>
  <c r="AU662" i="2"/>
  <c r="S660" i="2"/>
  <c r="H658" i="2"/>
  <c r="D656" i="2"/>
  <c r="Z653" i="2"/>
  <c r="J651" i="2"/>
  <c r="F649" i="2"/>
  <c r="AU646" i="2"/>
  <c r="S644" i="2"/>
  <c r="H642" i="2"/>
  <c r="S640" i="2"/>
  <c r="D639" i="2"/>
  <c r="U637" i="2"/>
  <c r="D636" i="2"/>
  <c r="J634" i="2"/>
  <c r="I633" i="2"/>
  <c r="D632" i="2"/>
  <c r="Z630" i="2"/>
  <c r="W629" i="2"/>
  <c r="O628" i="2"/>
  <c r="H627" i="2"/>
  <c r="G626" i="2"/>
  <c r="Z624" i="2"/>
  <c r="S623" i="2"/>
  <c r="Q622" i="2"/>
  <c r="AU621" i="2"/>
  <c r="O621" i="2"/>
  <c r="D621" i="2"/>
  <c r="Q620" i="2"/>
  <c r="F620" i="2"/>
  <c r="U619" i="2"/>
  <c r="H619" i="2"/>
  <c r="Z618" i="2"/>
  <c r="L618" i="2"/>
  <c r="C618" i="2"/>
  <c r="P617" i="2"/>
  <c r="E617" i="2"/>
  <c r="S616" i="2"/>
  <c r="G616" i="2"/>
  <c r="W615" i="2"/>
  <c r="I615" i="2"/>
  <c r="AN614" i="2"/>
  <c r="L614" i="2"/>
  <c r="C614" i="2"/>
  <c r="P613" i="2"/>
  <c r="E613" i="2"/>
  <c r="S612" i="2"/>
  <c r="G612" i="2"/>
  <c r="W611" i="2"/>
  <c r="I611" i="2"/>
  <c r="AN610" i="2"/>
  <c r="L610" i="2"/>
  <c r="C610" i="2"/>
  <c r="P609" i="2"/>
  <c r="E609" i="2"/>
  <c r="L608" i="2"/>
  <c r="C608" i="2"/>
  <c r="I607" i="2"/>
  <c r="AN606" i="2"/>
  <c r="O830" i="2"/>
  <c r="U804" i="2"/>
  <c r="L790" i="2"/>
  <c r="Z774" i="2"/>
  <c r="O768" i="2"/>
  <c r="U763" i="2"/>
  <c r="G758" i="2"/>
  <c r="E753" i="2"/>
  <c r="H748" i="2"/>
  <c r="O743" i="2"/>
  <c r="S738" i="2"/>
  <c r="AN733" i="2"/>
  <c r="I728" i="2"/>
  <c r="Q723" i="2"/>
  <c r="D721" i="2"/>
  <c r="AN718" i="2"/>
  <c r="E717" i="2"/>
  <c r="I715" i="2"/>
  <c r="P713" i="2"/>
  <c r="W711" i="2"/>
  <c r="C710" i="2"/>
  <c r="G708" i="2"/>
  <c r="G706" i="2"/>
  <c r="H704" i="2"/>
  <c r="D702" i="2"/>
  <c r="E700" i="2"/>
  <c r="E698" i="2"/>
  <c r="I696" i="2"/>
  <c r="Q694" i="2"/>
  <c r="S692" i="2"/>
  <c r="W690" i="2"/>
  <c r="C689" i="2"/>
  <c r="G687" i="2"/>
  <c r="J685" i="2"/>
  <c r="Q683" i="2"/>
  <c r="Z681" i="2"/>
  <c r="D680" i="2"/>
  <c r="H678" i="2"/>
  <c r="D676" i="2"/>
  <c r="Z673" i="2"/>
  <c r="J671" i="2"/>
  <c r="F669" i="2"/>
  <c r="AU666" i="2"/>
  <c r="S664" i="2"/>
  <c r="H662" i="2"/>
  <c r="D660" i="2"/>
  <c r="Z657" i="2"/>
  <c r="J655" i="2"/>
  <c r="F653" i="2"/>
  <c r="AU650" i="2"/>
  <c r="S648" i="2"/>
  <c r="H646" i="2"/>
  <c r="D644" i="2"/>
  <c r="Z641" i="2"/>
  <c r="F640" i="2"/>
  <c r="AN638" i="2"/>
  <c r="F637" i="2"/>
  <c r="S635" i="2"/>
  <c r="G634" i="2"/>
  <c r="AU632" i="2"/>
  <c r="U631" i="2"/>
  <c r="S630" i="2"/>
  <c r="J629" i="2"/>
  <c r="F628" i="2"/>
  <c r="E627" i="2"/>
  <c r="Z625" i="2"/>
  <c r="P624" i="2"/>
  <c r="O623" i="2"/>
  <c r="H622" i="2"/>
  <c r="Z621" i="2"/>
  <c r="J621" i="2"/>
  <c r="AU620" i="2"/>
  <c r="O620" i="2"/>
  <c r="D620" i="2"/>
  <c r="Q619" i="2"/>
  <c r="F619" i="2"/>
  <c r="U618" i="2"/>
  <c r="I618" i="2"/>
  <c r="AN617" i="2"/>
  <c r="L617" i="2"/>
  <c r="C617" i="2"/>
  <c r="P616" i="2"/>
  <c r="E616" i="2"/>
  <c r="S615" i="2"/>
  <c r="G615" i="2"/>
  <c r="W614" i="2"/>
  <c r="I614" i="2"/>
  <c r="AN613" i="2"/>
  <c r="L613" i="2"/>
  <c r="C613" i="2"/>
  <c r="P612" i="2"/>
  <c r="E612" i="2"/>
  <c r="S611" i="2"/>
  <c r="G611" i="2"/>
  <c r="W610" i="2"/>
  <c r="I610" i="2"/>
  <c r="AN609" i="2"/>
  <c r="L609" i="2"/>
  <c r="C609" i="2"/>
  <c r="I608" i="2"/>
  <c r="AN607" i="2"/>
  <c r="G607" i="2"/>
  <c r="U606" i="2"/>
  <c r="E606" i="2"/>
  <c r="S605" i="2"/>
  <c r="D605" i="2"/>
  <c r="J604" i="2"/>
  <c r="AU603" i="2"/>
  <c r="H603" i="2"/>
  <c r="Z602" i="2"/>
  <c r="F602" i="2"/>
  <c r="U601" i="2"/>
  <c r="H601" i="2"/>
  <c r="Z600" i="2"/>
  <c r="J600" i="2"/>
  <c r="AU599" i="2"/>
  <c r="O599" i="2"/>
  <c r="D599" i="2"/>
  <c r="Q598" i="2"/>
  <c r="F598" i="2"/>
  <c r="U597" i="2"/>
  <c r="H597" i="2"/>
  <c r="Z596" i="2"/>
  <c r="J596" i="2"/>
  <c r="AU595" i="2"/>
  <c r="O595" i="2"/>
  <c r="D595" i="2"/>
  <c r="Q594" i="2"/>
  <c r="F594" i="2"/>
  <c r="U593" i="2"/>
  <c r="H593" i="2"/>
  <c r="Z592" i="2"/>
  <c r="J592" i="2"/>
  <c r="AU591" i="2"/>
  <c r="O591" i="2"/>
  <c r="D591" i="2"/>
  <c r="Q590" i="2"/>
  <c r="F590" i="2"/>
  <c r="U589" i="2"/>
  <c r="H589" i="2"/>
  <c r="Z588" i="2"/>
  <c r="J588" i="2"/>
  <c r="AU587" i="2"/>
  <c r="O587" i="2"/>
  <c r="D587" i="2"/>
  <c r="Q586" i="2"/>
  <c r="F586" i="2"/>
  <c r="U585" i="2"/>
  <c r="H585" i="2"/>
  <c r="Z584" i="2"/>
  <c r="J584" i="2"/>
  <c r="AU583" i="2"/>
  <c r="H583" i="2"/>
  <c r="Z582" i="2"/>
  <c r="F582" i="2"/>
  <c r="S581" i="2"/>
  <c r="D581" i="2"/>
  <c r="I823" i="2"/>
  <c r="AU801" i="2"/>
  <c r="J787" i="2"/>
  <c r="O772" i="2"/>
  <c r="Q767" i="2"/>
  <c r="Z762" i="2"/>
  <c r="F757" i="2"/>
  <c r="G752" i="2"/>
  <c r="F747" i="2"/>
  <c r="Q742" i="2"/>
  <c r="W737" i="2"/>
  <c r="C733" i="2"/>
  <c r="H727" i="2"/>
  <c r="C723" i="2"/>
  <c r="Q720" i="2"/>
  <c r="P718" i="2"/>
  <c r="W716" i="2"/>
  <c r="C715" i="2"/>
  <c r="G713" i="2"/>
  <c r="L711" i="2"/>
  <c r="S709" i="2"/>
  <c r="AN707" i="2"/>
  <c r="AN705" i="2"/>
  <c r="AU703" i="2"/>
  <c r="U701" i="2"/>
  <c r="W699" i="2"/>
  <c r="W697" i="2"/>
  <c r="C696" i="2"/>
  <c r="F694" i="2"/>
  <c r="F692" i="2"/>
  <c r="L690" i="2"/>
  <c r="S688" i="2"/>
  <c r="AN686" i="2"/>
  <c r="D685" i="2"/>
  <c r="H683" i="2"/>
  <c r="O681" i="2"/>
  <c r="U679" i="2"/>
  <c r="AU677" i="2"/>
  <c r="S675" i="2"/>
  <c r="H673" i="2"/>
  <c r="D671" i="2"/>
  <c r="Z668" i="2"/>
  <c r="J666" i="2"/>
  <c r="F664" i="2"/>
  <c r="AU661" i="2"/>
  <c r="S659" i="2"/>
  <c r="H657" i="2"/>
  <c r="D655" i="2"/>
  <c r="Z652" i="2"/>
  <c r="J650" i="2"/>
  <c r="F648" i="2"/>
  <c r="AU645" i="2"/>
  <c r="S643" i="2"/>
  <c r="U641" i="2"/>
  <c r="D640" i="2"/>
  <c r="J638" i="2"/>
  <c r="E637" i="2"/>
  <c r="J635" i="2"/>
  <c r="AU633" i="2"/>
  <c r="AN632" i="2"/>
  <c r="Q631" i="2"/>
  <c r="J630" i="2"/>
  <c r="I629" i="2"/>
  <c r="D628" i="2"/>
  <c r="Z626" i="2"/>
  <c r="W625" i="2"/>
  <c r="L624" i="2"/>
  <c r="G623" i="2"/>
  <c r="G622" i="2"/>
  <c r="W621" i="2"/>
  <c r="I621" i="2"/>
  <c r="AN620" i="2"/>
  <c r="L620" i="2"/>
  <c r="C620" i="2"/>
  <c r="P619" i="2"/>
  <c r="E619" i="2"/>
  <c r="S618" i="2"/>
  <c r="H618" i="2"/>
  <c r="Z617" i="2"/>
  <c r="J617" i="2"/>
  <c r="AU616" i="2"/>
  <c r="O616" i="2"/>
  <c r="D616" i="2"/>
  <c r="Q615" i="2"/>
  <c r="F615" i="2"/>
  <c r="U614" i="2"/>
  <c r="H614" i="2"/>
  <c r="Z613" i="2"/>
  <c r="J613" i="2"/>
  <c r="AU612" i="2"/>
  <c r="O612" i="2"/>
  <c r="D612" i="2"/>
  <c r="Q611" i="2"/>
  <c r="F611" i="2"/>
  <c r="U610" i="2"/>
  <c r="H610" i="2"/>
  <c r="Z609" i="2"/>
  <c r="J609" i="2"/>
  <c r="AU608" i="2"/>
  <c r="H608" i="2"/>
  <c r="Z607" i="2"/>
  <c r="F607" i="2"/>
  <c r="S606" i="2"/>
  <c r="D606" i="2"/>
  <c r="L605" i="2"/>
  <c r="C605" i="2"/>
  <c r="I604" i="2"/>
  <c r="AN603" i="2"/>
  <c r="G603" i="2"/>
  <c r="U602" i="2"/>
  <c r="E602" i="2"/>
  <c r="S601" i="2"/>
  <c r="G601" i="2"/>
  <c r="W600" i="2"/>
  <c r="I600" i="2"/>
  <c r="AN599" i="2"/>
  <c r="L599" i="2"/>
  <c r="C599" i="2"/>
  <c r="P598" i="2"/>
  <c r="E598" i="2"/>
  <c r="S597" i="2"/>
  <c r="G597" i="2"/>
  <c r="W596" i="2"/>
  <c r="I596" i="2"/>
  <c r="AN595" i="2"/>
  <c r="L595" i="2"/>
  <c r="C595" i="2"/>
  <c r="AU832" i="2"/>
  <c r="Q748" i="2"/>
  <c r="G717" i="2"/>
  <c r="F702" i="2"/>
  <c r="I687" i="2"/>
  <c r="S671" i="2"/>
  <c r="H653" i="2"/>
  <c r="H637" i="2"/>
  <c r="F627" i="2"/>
  <c r="P620" i="2"/>
  <c r="D617" i="2"/>
  <c r="O613" i="2"/>
  <c r="AU609" i="2"/>
  <c r="F606" i="2"/>
  <c r="C604" i="2"/>
  <c r="W601" i="2"/>
  <c r="C600" i="2"/>
  <c r="G598" i="2"/>
  <c r="L596" i="2"/>
  <c r="S594" i="2"/>
  <c r="J593" i="2"/>
  <c r="I592" i="2"/>
  <c r="E591" i="2"/>
  <c r="Z589" i="2"/>
  <c r="W588" i="2"/>
  <c r="P587" i="2"/>
  <c r="H586" i="2"/>
  <c r="G585" i="2"/>
  <c r="C584" i="2"/>
  <c r="S582" i="2"/>
  <c r="J581" i="2"/>
  <c r="J580" i="2"/>
  <c r="L579" i="2"/>
  <c r="AN578" i="2"/>
  <c r="E578" i="2"/>
  <c r="G577" i="2"/>
  <c r="S576" i="2"/>
  <c r="AU575" i="2"/>
  <c r="G575" i="2"/>
  <c r="U574" i="2"/>
  <c r="D574" i="2"/>
  <c r="J573" i="2"/>
  <c r="AN572" i="2"/>
  <c r="G572" i="2"/>
  <c r="U571" i="2"/>
  <c r="E571" i="2"/>
  <c r="S570" i="2"/>
  <c r="D570" i="2"/>
  <c r="L569" i="2"/>
  <c r="C569" i="2"/>
  <c r="J568" i="2"/>
  <c r="AU567" i="2"/>
  <c r="I567" i="2"/>
  <c r="AN566" i="2"/>
  <c r="H566" i="2"/>
  <c r="Z565" i="2"/>
  <c r="G565" i="2"/>
  <c r="W564" i="2"/>
  <c r="F564" i="2"/>
  <c r="U563" i="2"/>
  <c r="E563" i="2"/>
  <c r="S562" i="2"/>
  <c r="D562" i="2"/>
  <c r="L561" i="2"/>
  <c r="C561" i="2"/>
  <c r="J560" i="2"/>
  <c r="AU559" i="2"/>
  <c r="I559" i="2"/>
  <c r="AN558" i="2"/>
  <c r="H558" i="2"/>
  <c r="Z557" i="2"/>
  <c r="G557" i="2"/>
  <c r="W556" i="2"/>
  <c r="F556" i="2"/>
  <c r="U555" i="2"/>
  <c r="E555" i="2"/>
  <c r="S554" i="2"/>
  <c r="D554" i="2"/>
  <c r="L553" i="2"/>
  <c r="C553" i="2"/>
  <c r="J552" i="2"/>
  <c r="AU551" i="2"/>
  <c r="H551" i="2"/>
  <c r="Z550" i="2"/>
  <c r="F550" i="2"/>
  <c r="S549" i="2"/>
  <c r="D549" i="2"/>
  <c r="L548" i="2"/>
  <c r="C548" i="2"/>
  <c r="P547" i="2"/>
  <c r="E547" i="2"/>
  <c r="S546" i="2"/>
  <c r="G546" i="2"/>
  <c r="U545" i="2"/>
  <c r="E545" i="2"/>
  <c r="S544" i="2"/>
  <c r="G544" i="2"/>
  <c r="W543" i="2"/>
  <c r="I543" i="2"/>
  <c r="AN542" i="2"/>
  <c r="L542" i="2"/>
  <c r="C542" i="2"/>
  <c r="P541" i="2"/>
  <c r="E541" i="2"/>
  <c r="L540" i="2"/>
  <c r="C540" i="2"/>
  <c r="P539" i="2"/>
  <c r="E539" i="2"/>
  <c r="S538" i="2"/>
  <c r="G538" i="2"/>
  <c r="W537" i="2"/>
  <c r="I537" i="2"/>
  <c r="AN536" i="2"/>
  <c r="L536" i="2"/>
  <c r="C536" i="2"/>
  <c r="P535" i="2"/>
  <c r="E535" i="2"/>
  <c r="S534" i="2"/>
  <c r="G534" i="2"/>
  <c r="W533" i="2"/>
  <c r="I533" i="2"/>
  <c r="AN532" i="2"/>
  <c r="L532" i="2"/>
  <c r="C532" i="2"/>
  <c r="P531" i="2"/>
  <c r="E531" i="2"/>
  <c r="S530" i="2"/>
  <c r="G530" i="2"/>
  <c r="W529" i="2"/>
  <c r="I529" i="2"/>
  <c r="AN528" i="2"/>
  <c r="L528" i="2"/>
  <c r="C528" i="2"/>
  <c r="I527" i="2"/>
  <c r="AN526" i="2"/>
  <c r="O526" i="2"/>
  <c r="D526" i="2"/>
  <c r="Q525" i="2"/>
  <c r="F525" i="2"/>
  <c r="U524" i="2"/>
  <c r="H524" i="2"/>
  <c r="Z523" i="2"/>
  <c r="J523" i="2"/>
  <c r="AU522" i="2"/>
  <c r="O522" i="2"/>
  <c r="D522" i="2"/>
  <c r="R521" i="2"/>
  <c r="E521" i="2"/>
  <c r="S520" i="2"/>
  <c r="G520" i="2"/>
  <c r="W519" i="2"/>
  <c r="J519" i="2"/>
  <c r="AU518" i="2"/>
  <c r="O518" i="2"/>
  <c r="D518" i="2"/>
  <c r="Q517" i="2"/>
  <c r="F517" i="2"/>
  <c r="U516" i="2"/>
  <c r="H516" i="2"/>
  <c r="Z515" i="2"/>
  <c r="J515" i="2"/>
  <c r="AU514" i="2"/>
  <c r="L514" i="2"/>
  <c r="C514" i="2"/>
  <c r="P513" i="2"/>
  <c r="E513" i="2"/>
  <c r="S512" i="2"/>
  <c r="G512" i="2"/>
  <c r="W511" i="2"/>
  <c r="I511" i="2"/>
  <c r="AN510" i="2"/>
  <c r="L510" i="2"/>
  <c r="C510" i="2"/>
  <c r="P509" i="2"/>
  <c r="E509" i="2"/>
  <c r="S508" i="2"/>
  <c r="H508" i="2"/>
  <c r="Z507" i="2"/>
  <c r="F507" i="2"/>
  <c r="S506" i="2"/>
  <c r="D506" i="2"/>
  <c r="J505" i="2"/>
  <c r="AU504" i="2"/>
  <c r="I504" i="2"/>
  <c r="AN503" i="2"/>
  <c r="G503" i="2"/>
  <c r="W502" i="2"/>
  <c r="I502" i="2"/>
  <c r="AN501" i="2"/>
  <c r="L501" i="2"/>
  <c r="C501" i="2"/>
  <c r="I500" i="2"/>
  <c r="AN499" i="2"/>
  <c r="L499" i="2"/>
  <c r="C499" i="2"/>
  <c r="P498" i="2"/>
  <c r="E498" i="2"/>
  <c r="S497" i="2"/>
  <c r="G497" i="2"/>
  <c r="W496" i="2"/>
  <c r="H496" i="2"/>
  <c r="Z495" i="2"/>
  <c r="J495" i="2"/>
  <c r="AU494" i="2"/>
  <c r="H494" i="2"/>
  <c r="Z493" i="2"/>
  <c r="L493" i="2"/>
  <c r="C493" i="2"/>
  <c r="P492" i="2"/>
  <c r="E492" i="2"/>
  <c r="S491" i="2"/>
  <c r="G491" i="2"/>
  <c r="W490" i="2"/>
  <c r="I490" i="2"/>
  <c r="AN489" i="2"/>
  <c r="L489" i="2"/>
  <c r="C489" i="2"/>
  <c r="P488" i="2"/>
  <c r="E488" i="2"/>
  <c r="S487" i="2"/>
  <c r="F487" i="2"/>
  <c r="U486" i="2"/>
  <c r="H486" i="2"/>
  <c r="Z485" i="2"/>
  <c r="J485" i="2"/>
  <c r="AU484" i="2"/>
  <c r="O484" i="2"/>
  <c r="D484" i="2"/>
  <c r="Q483" i="2"/>
  <c r="F483" i="2"/>
  <c r="U482" i="2"/>
  <c r="H482" i="2"/>
  <c r="Z481" i="2"/>
  <c r="J481" i="2"/>
  <c r="AU480" i="2"/>
  <c r="O480" i="2"/>
  <c r="D480" i="2"/>
  <c r="J479" i="2"/>
  <c r="AU478" i="2"/>
  <c r="P478" i="2"/>
  <c r="E478" i="2"/>
  <c r="L477" i="2"/>
  <c r="C477" i="2"/>
  <c r="I476" i="2"/>
  <c r="AN475" i="2"/>
  <c r="G475" i="2"/>
  <c r="W474" i="2"/>
  <c r="F474" i="2"/>
  <c r="U473" i="2"/>
  <c r="H473" i="2"/>
  <c r="S805" i="2"/>
  <c r="S743" i="2"/>
  <c r="L715" i="2"/>
  <c r="G700" i="2"/>
  <c r="Q685" i="2"/>
  <c r="H669" i="2"/>
  <c r="D651" i="2"/>
  <c r="C636" i="2"/>
  <c r="AU625" i="2"/>
  <c r="E620" i="2"/>
  <c r="Q616" i="2"/>
  <c r="D613" i="2"/>
  <c r="O609" i="2"/>
  <c r="W605" i="2"/>
  <c r="J603" i="2"/>
  <c r="J601" i="2"/>
  <c r="Q599" i="2"/>
  <c r="Z597" i="2"/>
  <c r="D596" i="2"/>
  <c r="P594" i="2"/>
  <c r="I593" i="2"/>
  <c r="D592" i="2"/>
  <c r="C591" i="2"/>
  <c r="W589" i="2"/>
  <c r="O588" i="2"/>
  <c r="L587" i="2"/>
  <c r="G586" i="2"/>
  <c r="AU584" i="2"/>
  <c r="AN583" i="2"/>
  <c r="H582" i="2"/>
  <c r="F581" i="2"/>
  <c r="I580" i="2"/>
  <c r="J579" i="2"/>
  <c r="Z578" i="2"/>
  <c r="C578" i="2"/>
  <c r="F577" i="2"/>
  <c r="L576" i="2"/>
  <c r="Z575" i="2"/>
  <c r="F575" i="2"/>
  <c r="S574" i="2"/>
  <c r="C574" i="2"/>
  <c r="I573" i="2"/>
  <c r="Z572" i="2"/>
  <c r="F572" i="2"/>
  <c r="S571" i="2"/>
  <c r="D571" i="2"/>
  <c r="L570" i="2"/>
  <c r="C570" i="2"/>
  <c r="J569" i="2"/>
  <c r="AU568" i="2"/>
  <c r="I568" i="2"/>
  <c r="AN567" i="2"/>
  <c r="H567" i="2"/>
  <c r="Z566" i="2"/>
  <c r="G566" i="2"/>
  <c r="W565" i="2"/>
  <c r="F565" i="2"/>
  <c r="U564" i="2"/>
  <c r="E564" i="2"/>
  <c r="S563" i="2"/>
  <c r="D563" i="2"/>
  <c r="L562" i="2"/>
  <c r="C562" i="2"/>
  <c r="J561" i="2"/>
  <c r="AU560" i="2"/>
  <c r="I560" i="2"/>
  <c r="AN559" i="2"/>
  <c r="H559" i="2"/>
  <c r="Z558" i="2"/>
  <c r="G558" i="2"/>
  <c r="W557" i="2"/>
  <c r="F557" i="2"/>
  <c r="U556" i="2"/>
  <c r="E556" i="2"/>
  <c r="S555" i="2"/>
  <c r="D555" i="2"/>
  <c r="L554" i="2"/>
  <c r="C554" i="2"/>
  <c r="J553" i="2"/>
  <c r="AU552" i="2"/>
  <c r="I552" i="2"/>
  <c r="AN551" i="2"/>
  <c r="G551" i="2"/>
  <c r="U550" i="2"/>
  <c r="E550" i="2"/>
  <c r="L549" i="2"/>
  <c r="C549" i="2"/>
  <c r="J548" i="2"/>
  <c r="AU547" i="2"/>
  <c r="O547" i="2"/>
  <c r="D547" i="2"/>
  <c r="Q546" i="2"/>
  <c r="F546" i="2"/>
  <c r="S545" i="2"/>
  <c r="D545" i="2"/>
  <c r="Q544" i="2"/>
  <c r="F544" i="2"/>
  <c r="U543" i="2"/>
  <c r="H543" i="2"/>
  <c r="Z542" i="2"/>
  <c r="J542" i="2"/>
  <c r="AU541" i="2"/>
  <c r="O541" i="2"/>
  <c r="D541" i="2"/>
  <c r="J540" i="2"/>
  <c r="AU539" i="2"/>
  <c r="O539" i="2"/>
  <c r="D539" i="2"/>
  <c r="Q538" i="2"/>
  <c r="F538" i="2"/>
  <c r="U537" i="2"/>
  <c r="H537" i="2"/>
  <c r="Z536" i="2"/>
  <c r="J536" i="2"/>
  <c r="AU535" i="2"/>
  <c r="O535" i="2"/>
  <c r="D535" i="2"/>
  <c r="Q534" i="2"/>
  <c r="F534" i="2"/>
  <c r="U533" i="2"/>
  <c r="H533" i="2"/>
  <c r="Z532" i="2"/>
  <c r="J532" i="2"/>
  <c r="AU531" i="2"/>
  <c r="O531" i="2"/>
  <c r="D531" i="2"/>
  <c r="Q530" i="2"/>
  <c r="F530" i="2"/>
  <c r="U529" i="2"/>
  <c r="H529" i="2"/>
  <c r="Z528" i="2"/>
  <c r="J528" i="2"/>
  <c r="AU527" i="2"/>
  <c r="H527" i="2"/>
  <c r="Z526" i="2"/>
  <c r="L526" i="2"/>
  <c r="C526" i="2"/>
  <c r="P525" i="2"/>
  <c r="E525" i="2"/>
  <c r="S524" i="2"/>
  <c r="G524" i="2"/>
  <c r="W523" i="2"/>
  <c r="I523" i="2"/>
  <c r="AN522" i="2"/>
  <c r="L522" i="2"/>
  <c r="C522" i="2"/>
  <c r="Q521" i="2"/>
  <c r="D521" i="2"/>
  <c r="Q520" i="2"/>
  <c r="F520" i="2"/>
  <c r="U519" i="2"/>
  <c r="I519" i="2"/>
  <c r="AN518" i="2"/>
  <c r="L518" i="2"/>
  <c r="C518" i="2"/>
  <c r="P517" i="2"/>
  <c r="E517" i="2"/>
  <c r="S516" i="2"/>
  <c r="G516" i="2"/>
  <c r="W515" i="2"/>
  <c r="I515" i="2"/>
  <c r="AN514" i="2"/>
  <c r="J514" i="2"/>
  <c r="AU513" i="2"/>
  <c r="O513" i="2"/>
  <c r="D513" i="2"/>
  <c r="Q512" i="2"/>
  <c r="F512" i="2"/>
  <c r="U511" i="2"/>
  <c r="H511" i="2"/>
  <c r="Z510" i="2"/>
  <c r="J510" i="2"/>
  <c r="AU509" i="2"/>
  <c r="O509" i="2"/>
  <c r="D509" i="2"/>
  <c r="R508" i="2"/>
  <c r="G508" i="2"/>
  <c r="U507" i="2"/>
  <c r="E507" i="2"/>
  <c r="L506" i="2"/>
  <c r="C506" i="2"/>
  <c r="I505" i="2"/>
  <c r="AN504" i="2"/>
  <c r="H504" i="2"/>
  <c r="Z503" i="2"/>
  <c r="F503" i="2"/>
  <c r="U502" i="2"/>
  <c r="H502" i="2"/>
  <c r="Z501" i="2"/>
  <c r="J501" i="2"/>
  <c r="AU500" i="2"/>
  <c r="H500" i="2"/>
  <c r="Z499" i="2"/>
  <c r="J499" i="2"/>
  <c r="AU498" i="2"/>
  <c r="O498" i="2"/>
  <c r="D498" i="2"/>
  <c r="Q497" i="2"/>
  <c r="F497" i="2"/>
  <c r="U496" i="2"/>
  <c r="G496" i="2"/>
  <c r="W495" i="2"/>
  <c r="I495" i="2"/>
  <c r="AN494" i="2"/>
  <c r="G494" i="2"/>
  <c r="W493" i="2"/>
  <c r="J493" i="2"/>
  <c r="AU492" i="2"/>
  <c r="O492" i="2"/>
  <c r="D492" i="2"/>
  <c r="Q491" i="2"/>
  <c r="F491" i="2"/>
  <c r="U490" i="2"/>
  <c r="H490" i="2"/>
  <c r="Z489" i="2"/>
  <c r="J489" i="2"/>
  <c r="AU488" i="2"/>
  <c r="O488" i="2"/>
  <c r="D488" i="2"/>
  <c r="R487" i="2"/>
  <c r="E487" i="2"/>
  <c r="S486" i="2"/>
  <c r="G486" i="2"/>
  <c r="W485" i="2"/>
  <c r="I485" i="2"/>
  <c r="AN484" i="2"/>
  <c r="L484" i="2"/>
  <c r="C484" i="2"/>
  <c r="P483" i="2"/>
  <c r="E483" i="2"/>
  <c r="S482" i="2"/>
  <c r="G482" i="2"/>
  <c r="W481" i="2"/>
  <c r="I481" i="2"/>
  <c r="AN480" i="2"/>
  <c r="L480" i="2"/>
  <c r="C480" i="2"/>
  <c r="I479" i="2"/>
  <c r="AN478" i="2"/>
  <c r="O478" i="2"/>
  <c r="D478" i="2"/>
  <c r="J477" i="2"/>
  <c r="AU476" i="2"/>
  <c r="H476" i="2"/>
  <c r="Z475" i="2"/>
  <c r="F475" i="2"/>
  <c r="U474" i="2"/>
  <c r="E474" i="2"/>
  <c r="I791" i="2"/>
  <c r="C739" i="2"/>
  <c r="S713" i="2"/>
  <c r="G698" i="2"/>
  <c r="U683" i="2"/>
  <c r="D667" i="2"/>
  <c r="Z648" i="2"/>
  <c r="H634" i="2"/>
  <c r="W624" i="2"/>
  <c r="S619" i="2"/>
  <c r="F616" i="2"/>
  <c r="Q612" i="2"/>
  <c r="D609" i="2"/>
  <c r="U605" i="2"/>
  <c r="I603" i="2"/>
  <c r="I601" i="2"/>
  <c r="P599" i="2"/>
  <c r="W597" i="2"/>
  <c r="C596" i="2"/>
  <c r="H594" i="2"/>
  <c r="G593" i="2"/>
  <c r="C592" i="2"/>
  <c r="U590" i="2"/>
  <c r="S589" i="2"/>
  <c r="L588" i="2"/>
  <c r="F587" i="2"/>
  <c r="E586" i="2"/>
  <c r="AN584" i="2"/>
  <c r="J583" i="2"/>
  <c r="G582" i="2"/>
  <c r="E581" i="2"/>
  <c r="E580" i="2"/>
  <c r="I579" i="2"/>
  <c r="U578" i="2"/>
  <c r="AN577" i="2"/>
  <c r="E577" i="2"/>
  <c r="J576" i="2"/>
  <c r="W575" i="2"/>
  <c r="E575" i="2"/>
  <c r="L574" i="2"/>
  <c r="AU573" i="2"/>
  <c r="H573" i="2"/>
  <c r="W572" i="2"/>
  <c r="D572" i="2"/>
  <c r="L571" i="2"/>
  <c r="C571" i="2"/>
  <c r="J570" i="2"/>
  <c r="AU569" i="2"/>
  <c r="I569" i="2"/>
  <c r="AN568" i="2"/>
  <c r="H568" i="2"/>
  <c r="Z567" i="2"/>
  <c r="G567" i="2"/>
  <c r="W566" i="2"/>
  <c r="F566" i="2"/>
  <c r="U565" i="2"/>
  <c r="E565" i="2"/>
  <c r="S564" i="2"/>
  <c r="D564" i="2"/>
  <c r="L563" i="2"/>
  <c r="C563" i="2"/>
  <c r="J562" i="2"/>
  <c r="AU561" i="2"/>
  <c r="I561" i="2"/>
  <c r="AN560" i="2"/>
  <c r="H560" i="2"/>
  <c r="Z559" i="2"/>
  <c r="G559" i="2"/>
  <c r="W558" i="2"/>
  <c r="F558" i="2"/>
  <c r="U557" i="2"/>
  <c r="E557" i="2"/>
  <c r="S556" i="2"/>
  <c r="D556" i="2"/>
  <c r="L555" i="2"/>
  <c r="C555" i="2"/>
  <c r="J554" i="2"/>
  <c r="AU553" i="2"/>
  <c r="I553" i="2"/>
  <c r="AN552" i="2"/>
  <c r="H552" i="2"/>
  <c r="Z551" i="2"/>
  <c r="F551" i="2"/>
  <c r="S550" i="2"/>
  <c r="D550" i="2"/>
  <c r="J549" i="2"/>
  <c r="AU548" i="2"/>
  <c r="I548" i="2"/>
  <c r="AN547" i="2"/>
  <c r="L547" i="2"/>
  <c r="C547" i="2"/>
  <c r="P546" i="2"/>
  <c r="E546" i="2"/>
  <c r="L545" i="2"/>
  <c r="C545" i="2"/>
  <c r="P544" i="2"/>
  <c r="E544" i="2"/>
  <c r="S543" i="2"/>
  <c r="G543" i="2"/>
  <c r="W542" i="2"/>
  <c r="I542" i="2"/>
  <c r="AN541" i="2"/>
  <c r="L541" i="2"/>
  <c r="C541" i="2"/>
  <c r="I540" i="2"/>
  <c r="AN539" i="2"/>
  <c r="L539" i="2"/>
  <c r="C539" i="2"/>
  <c r="P538" i="2"/>
  <c r="E538" i="2"/>
  <c r="S537" i="2"/>
  <c r="G537" i="2"/>
  <c r="W536" i="2"/>
  <c r="I536" i="2"/>
  <c r="AN535" i="2"/>
  <c r="L535" i="2"/>
  <c r="C535" i="2"/>
  <c r="P534" i="2"/>
  <c r="E534" i="2"/>
  <c r="S533" i="2"/>
  <c r="G533" i="2"/>
  <c r="W532" i="2"/>
  <c r="I532" i="2"/>
  <c r="AN531" i="2"/>
  <c r="L531" i="2"/>
  <c r="C531" i="2"/>
  <c r="P530" i="2"/>
  <c r="E530" i="2"/>
  <c r="S529" i="2"/>
  <c r="G529" i="2"/>
  <c r="W528" i="2"/>
  <c r="I528" i="2"/>
  <c r="AN527" i="2"/>
  <c r="G527" i="2"/>
  <c r="W526" i="2"/>
  <c r="J526" i="2"/>
  <c r="AU525" i="2"/>
  <c r="O525" i="2"/>
  <c r="D525" i="2"/>
  <c r="Q524" i="2"/>
  <c r="F524" i="2"/>
  <c r="U523" i="2"/>
  <c r="H523" i="2"/>
  <c r="Z522" i="2"/>
  <c r="J522" i="2"/>
  <c r="AU521" i="2"/>
  <c r="L521" i="2"/>
  <c r="C521" i="2"/>
  <c r="P520" i="2"/>
  <c r="E520" i="2"/>
  <c r="S519" i="2"/>
  <c r="H519" i="2"/>
  <c r="Z518" i="2"/>
  <c r="J518" i="2"/>
  <c r="AU517" i="2"/>
  <c r="O517" i="2"/>
  <c r="D517" i="2"/>
  <c r="Q516" i="2"/>
  <c r="F516" i="2"/>
  <c r="U515" i="2"/>
  <c r="H515" i="2"/>
  <c r="Z514" i="2"/>
  <c r="I514" i="2"/>
  <c r="AN513" i="2"/>
  <c r="L513" i="2"/>
  <c r="C513" i="2"/>
  <c r="P512" i="2"/>
  <c r="E512" i="2"/>
  <c r="S511" i="2"/>
  <c r="G511" i="2"/>
  <c r="W510" i="2"/>
  <c r="I510" i="2"/>
  <c r="AN509" i="2"/>
  <c r="L509" i="2"/>
  <c r="C509" i="2"/>
  <c r="Q508" i="2"/>
  <c r="F508" i="2"/>
  <c r="S507" i="2"/>
  <c r="D507" i="2"/>
  <c r="J506" i="2"/>
  <c r="AU505" i="2"/>
  <c r="H505" i="2"/>
  <c r="Z504" i="2"/>
  <c r="G504" i="2"/>
  <c r="U503" i="2"/>
  <c r="E503" i="2"/>
  <c r="S502" i="2"/>
  <c r="G502" i="2"/>
  <c r="W501" i="2"/>
  <c r="I501" i="2"/>
  <c r="AN500" i="2"/>
  <c r="G500" i="2"/>
  <c r="W499" i="2"/>
  <c r="I499" i="2"/>
  <c r="AN498" i="2"/>
  <c r="L498" i="2"/>
  <c r="C498" i="2"/>
  <c r="P497" i="2"/>
  <c r="E497" i="2"/>
  <c r="S496" i="2"/>
  <c r="F496" i="2"/>
  <c r="U495" i="2"/>
  <c r="H495" i="2"/>
  <c r="Z494" i="2"/>
  <c r="F494" i="2"/>
  <c r="U493" i="2"/>
  <c r="I493" i="2"/>
  <c r="AN492" i="2"/>
  <c r="L492" i="2"/>
  <c r="C492" i="2"/>
  <c r="P491" i="2"/>
  <c r="E491" i="2"/>
  <c r="S490" i="2"/>
  <c r="G490" i="2"/>
  <c r="W489" i="2"/>
  <c r="I489" i="2"/>
  <c r="AN488" i="2"/>
  <c r="L488" i="2"/>
  <c r="C488" i="2"/>
  <c r="Q487" i="2"/>
  <c r="D487" i="2"/>
  <c r="Q486" i="2"/>
  <c r="F486" i="2"/>
  <c r="U485" i="2"/>
  <c r="H485" i="2"/>
  <c r="Z484" i="2"/>
  <c r="J484" i="2"/>
  <c r="AU483" i="2"/>
  <c r="O483" i="2"/>
  <c r="D483" i="2"/>
  <c r="Q482" i="2"/>
  <c r="F482" i="2"/>
  <c r="U481" i="2"/>
  <c r="H481" i="2"/>
  <c r="Z480" i="2"/>
  <c r="J480" i="2"/>
  <c r="AU479" i="2"/>
  <c r="H479" i="2"/>
  <c r="Z478" i="2"/>
  <c r="L478" i="2"/>
  <c r="C478" i="2"/>
  <c r="I477" i="2"/>
  <c r="AN476" i="2"/>
  <c r="G476" i="2"/>
  <c r="U475" i="2"/>
  <c r="E475" i="2"/>
  <c r="S474" i="2"/>
  <c r="D474" i="2"/>
  <c r="Q473" i="2"/>
  <c r="F473" i="2"/>
  <c r="U472" i="2"/>
  <c r="H472" i="2"/>
  <c r="Z471" i="2"/>
  <c r="L471" i="2"/>
  <c r="C471" i="2"/>
  <c r="S775" i="2"/>
  <c r="G734" i="2"/>
  <c r="AN711" i="2"/>
  <c r="L696" i="2"/>
  <c r="AU681" i="2"/>
  <c r="Z664" i="2"/>
  <c r="J646" i="2"/>
  <c r="D633" i="2"/>
  <c r="P623" i="2"/>
  <c r="G619" i="2"/>
  <c r="U615" i="2"/>
  <c r="F612" i="2"/>
  <c r="J608" i="2"/>
  <c r="F605" i="2"/>
  <c r="AU602" i="2"/>
  <c r="AU600" i="2"/>
  <c r="F599" i="2"/>
  <c r="J597" i="2"/>
  <c r="Q595" i="2"/>
  <c r="G594" i="2"/>
  <c r="AU592" i="2"/>
  <c r="AN591" i="2"/>
  <c r="S590" i="2"/>
  <c r="J589" i="2"/>
  <c r="I588" i="2"/>
  <c r="E587" i="2"/>
  <c r="Z585" i="2"/>
  <c r="W584" i="2"/>
  <c r="I583" i="2"/>
  <c r="E582" i="2"/>
  <c r="C581" i="2"/>
  <c r="D580" i="2"/>
  <c r="H579" i="2"/>
  <c r="L578" i="2"/>
  <c r="Z577" i="2"/>
  <c r="D577" i="2"/>
  <c r="H576" i="2"/>
  <c r="U575" i="2"/>
  <c r="D575" i="2"/>
  <c r="J574" i="2"/>
  <c r="AN573" i="2"/>
  <c r="G573" i="2"/>
  <c r="S572" i="2"/>
  <c r="C572" i="2"/>
  <c r="J571" i="2"/>
  <c r="AU570" i="2"/>
  <c r="I570" i="2"/>
  <c r="AN569" i="2"/>
  <c r="H569" i="2"/>
  <c r="Z568" i="2"/>
  <c r="G568" i="2"/>
  <c r="W567" i="2"/>
  <c r="F567" i="2"/>
  <c r="U566" i="2"/>
  <c r="E566" i="2"/>
  <c r="S565" i="2"/>
  <c r="D565" i="2"/>
  <c r="L564" i="2"/>
  <c r="C564" i="2"/>
  <c r="J563" i="2"/>
  <c r="AU562" i="2"/>
  <c r="I562" i="2"/>
  <c r="AN561" i="2"/>
  <c r="H561" i="2"/>
  <c r="Z560" i="2"/>
  <c r="G560" i="2"/>
  <c r="W559" i="2"/>
  <c r="F559" i="2"/>
  <c r="U558" i="2"/>
  <c r="E558" i="2"/>
  <c r="S557" i="2"/>
  <c r="D557" i="2"/>
  <c r="L556" i="2"/>
  <c r="C556" i="2"/>
  <c r="J555" i="2"/>
  <c r="AU554" i="2"/>
  <c r="I554" i="2"/>
  <c r="AN553" i="2"/>
  <c r="H553" i="2"/>
  <c r="Z552" i="2"/>
  <c r="G552" i="2"/>
  <c r="U551" i="2"/>
  <c r="E551" i="2"/>
  <c r="L550" i="2"/>
  <c r="C550" i="2"/>
  <c r="I549" i="2"/>
  <c r="AN548" i="2"/>
  <c r="H548" i="2"/>
  <c r="Z547" i="2"/>
  <c r="J547" i="2"/>
  <c r="AU546" i="2"/>
  <c r="O546" i="2"/>
  <c r="D546" i="2"/>
  <c r="J545" i="2"/>
  <c r="AU544" i="2"/>
  <c r="O544" i="2"/>
  <c r="D544" i="2"/>
  <c r="Q543" i="2"/>
  <c r="F543" i="2"/>
  <c r="U542" i="2"/>
  <c r="H542" i="2"/>
  <c r="Z541" i="2"/>
  <c r="J541" i="2"/>
  <c r="AU540" i="2"/>
  <c r="H540" i="2"/>
  <c r="Z539" i="2"/>
  <c r="J539" i="2"/>
  <c r="AU538" i="2"/>
  <c r="O538" i="2"/>
  <c r="D538" i="2"/>
  <c r="Q537" i="2"/>
  <c r="F537" i="2"/>
  <c r="U536" i="2"/>
  <c r="H536" i="2"/>
  <c r="Z535" i="2"/>
  <c r="J535" i="2"/>
  <c r="AU534" i="2"/>
  <c r="O534" i="2"/>
  <c r="D534" i="2"/>
  <c r="Q533" i="2"/>
  <c r="F533" i="2"/>
  <c r="U532" i="2"/>
  <c r="H532" i="2"/>
  <c r="Z531" i="2"/>
  <c r="J531" i="2"/>
  <c r="AU530" i="2"/>
  <c r="O530" i="2"/>
  <c r="D530" i="2"/>
  <c r="Q529" i="2"/>
  <c r="F529" i="2"/>
  <c r="U528" i="2"/>
  <c r="H528" i="2"/>
  <c r="Z527" i="2"/>
  <c r="F527" i="2"/>
  <c r="U526" i="2"/>
  <c r="I526" i="2"/>
  <c r="AN525" i="2"/>
  <c r="L525" i="2"/>
  <c r="C525" i="2"/>
  <c r="P524" i="2"/>
  <c r="E524" i="2"/>
  <c r="S523" i="2"/>
  <c r="G523" i="2"/>
  <c r="W522" i="2"/>
  <c r="I522" i="2"/>
  <c r="AN521" i="2"/>
  <c r="J521" i="2"/>
  <c r="AU520" i="2"/>
  <c r="O520" i="2"/>
  <c r="D520" i="2"/>
  <c r="R519" i="2"/>
  <c r="G519" i="2"/>
  <c r="W518" i="2"/>
  <c r="I518" i="2"/>
  <c r="AN517" i="2"/>
  <c r="L517" i="2"/>
  <c r="C517" i="2"/>
  <c r="P516" i="2"/>
  <c r="E516" i="2"/>
  <c r="S515" i="2"/>
  <c r="G515" i="2"/>
  <c r="W514" i="2"/>
  <c r="H514" i="2"/>
  <c r="Z513" i="2"/>
  <c r="J513" i="2"/>
  <c r="AU512" i="2"/>
  <c r="O512" i="2"/>
  <c r="D512" i="2"/>
  <c r="Q511" i="2"/>
  <c r="F511" i="2"/>
  <c r="U510" i="2"/>
  <c r="H510" i="2"/>
  <c r="Z509" i="2"/>
  <c r="J509" i="2"/>
  <c r="AU508" i="2"/>
  <c r="P508" i="2"/>
  <c r="E508" i="2"/>
  <c r="L507" i="2"/>
  <c r="C507" i="2"/>
  <c r="I506" i="2"/>
  <c r="AN505" i="2"/>
  <c r="G505" i="2"/>
  <c r="W504" i="2"/>
  <c r="F504" i="2"/>
  <c r="S503" i="2"/>
  <c r="D503" i="2"/>
  <c r="Q502" i="2"/>
  <c r="F502" i="2"/>
  <c r="U501" i="2"/>
  <c r="H501" i="2"/>
  <c r="Z500" i="2"/>
  <c r="F500" i="2"/>
  <c r="U499" i="2"/>
  <c r="H499" i="2"/>
  <c r="Z498" i="2"/>
  <c r="J498" i="2"/>
  <c r="AU497" i="2"/>
  <c r="O497" i="2"/>
  <c r="D497" i="2"/>
  <c r="R496" i="2"/>
  <c r="E496" i="2"/>
  <c r="S495" i="2"/>
  <c r="G495" i="2"/>
  <c r="U494" i="2"/>
  <c r="E494" i="2"/>
  <c r="S493" i="2"/>
  <c r="H493" i="2"/>
  <c r="Z492" i="2"/>
  <c r="J492" i="2"/>
  <c r="AU491" i="2"/>
  <c r="O491" i="2"/>
  <c r="D491" i="2"/>
  <c r="Q490" i="2"/>
  <c r="F490" i="2"/>
  <c r="U489" i="2"/>
  <c r="H489" i="2"/>
  <c r="Z488" i="2"/>
  <c r="J488" i="2"/>
  <c r="AU487" i="2"/>
  <c r="L487" i="2"/>
  <c r="C487" i="2"/>
  <c r="P486" i="2"/>
  <c r="E486" i="2"/>
  <c r="S485" i="2"/>
  <c r="G485" i="2"/>
  <c r="W484" i="2"/>
  <c r="I484" i="2"/>
  <c r="AN483" i="2"/>
  <c r="L483" i="2"/>
  <c r="C483" i="2"/>
  <c r="P482" i="2"/>
  <c r="E482" i="2"/>
  <c r="S481" i="2"/>
  <c r="G481" i="2"/>
  <c r="W480" i="2"/>
  <c r="I480" i="2"/>
  <c r="AN479" i="2"/>
  <c r="G479" i="2"/>
  <c r="W478" i="2"/>
  <c r="J478" i="2"/>
  <c r="AU477" i="2"/>
  <c r="H477" i="2"/>
  <c r="Z476" i="2"/>
  <c r="F476" i="2"/>
  <c r="S475" i="2"/>
  <c r="D475" i="2"/>
  <c r="L474" i="2"/>
  <c r="C474" i="2"/>
  <c r="P473" i="2"/>
  <c r="E473" i="2"/>
  <c r="S472" i="2"/>
  <c r="G472" i="2"/>
  <c r="Z768" i="2"/>
  <c r="U728" i="2"/>
  <c r="E710" i="2"/>
  <c r="S694" i="2"/>
  <c r="F680" i="2"/>
  <c r="J662" i="2"/>
  <c r="F644" i="2"/>
  <c r="C632" i="2"/>
  <c r="I622" i="2"/>
  <c r="W618" i="2"/>
  <c r="H615" i="2"/>
  <c r="U611" i="2"/>
  <c r="AU607" i="2"/>
  <c r="E605" i="2"/>
  <c r="AN602" i="2"/>
  <c r="AN600" i="2"/>
  <c r="E599" i="2"/>
  <c r="I597" i="2"/>
  <c r="P595" i="2"/>
  <c r="E594" i="2"/>
  <c r="AN592" i="2"/>
  <c r="Q591" i="2"/>
  <c r="P590" i="2"/>
  <c r="I589" i="2"/>
  <c r="D588" i="2"/>
  <c r="C587" i="2"/>
  <c r="W585" i="2"/>
  <c r="O584" i="2"/>
  <c r="G583" i="2"/>
  <c r="D582" i="2"/>
  <c r="AU580" i="2"/>
  <c r="C580" i="2"/>
  <c r="G579" i="2"/>
  <c r="I578" i="2"/>
  <c r="U577" i="2"/>
  <c r="C577" i="2"/>
  <c r="F576" i="2"/>
  <c r="S575" i="2"/>
  <c r="C575" i="2"/>
  <c r="I574" i="2"/>
  <c r="Z573" i="2"/>
  <c r="E573" i="2"/>
  <c r="L572" i="2"/>
  <c r="AU571" i="2"/>
  <c r="I571" i="2"/>
  <c r="AN570" i="2"/>
  <c r="H570" i="2"/>
  <c r="Z569" i="2"/>
  <c r="G569" i="2"/>
  <c r="W568" i="2"/>
  <c r="F568" i="2"/>
  <c r="U567" i="2"/>
  <c r="E567" i="2"/>
  <c r="S566" i="2"/>
  <c r="D566" i="2"/>
  <c r="L565" i="2"/>
  <c r="C565" i="2"/>
  <c r="J564" i="2"/>
  <c r="AU563" i="2"/>
  <c r="I563" i="2"/>
  <c r="AN562" i="2"/>
  <c r="H562" i="2"/>
  <c r="Z561" i="2"/>
  <c r="G561" i="2"/>
  <c r="W560" i="2"/>
  <c r="F560" i="2"/>
  <c r="U559" i="2"/>
  <c r="E559" i="2"/>
  <c r="S558" i="2"/>
  <c r="D558" i="2"/>
  <c r="L557" i="2"/>
  <c r="C557" i="2"/>
  <c r="J556" i="2"/>
  <c r="AU555" i="2"/>
  <c r="I555" i="2"/>
  <c r="AN554" i="2"/>
  <c r="H554" i="2"/>
  <c r="Z553" i="2"/>
  <c r="G553" i="2"/>
  <c r="W552" i="2"/>
  <c r="F552" i="2"/>
  <c r="S551" i="2"/>
  <c r="D551" i="2"/>
  <c r="J550" i="2"/>
  <c r="AU549" i="2"/>
  <c r="H549" i="2"/>
  <c r="Z548" i="2"/>
  <c r="G548" i="2"/>
  <c r="W547" i="2"/>
  <c r="I547" i="2"/>
  <c r="AN546" i="2"/>
  <c r="L546" i="2"/>
  <c r="C546" i="2"/>
  <c r="I545" i="2"/>
  <c r="AN544" i="2"/>
  <c r="L544" i="2"/>
  <c r="C544" i="2"/>
  <c r="P543" i="2"/>
  <c r="E543" i="2"/>
  <c r="S542" i="2"/>
  <c r="G542" i="2"/>
  <c r="W541" i="2"/>
  <c r="I541" i="2"/>
  <c r="AN540" i="2"/>
  <c r="G540" i="2"/>
  <c r="W539" i="2"/>
  <c r="I539" i="2"/>
  <c r="AN538" i="2"/>
  <c r="L538" i="2"/>
  <c r="C538" i="2"/>
  <c r="P537" i="2"/>
  <c r="E537" i="2"/>
  <c r="S536" i="2"/>
  <c r="G536" i="2"/>
  <c r="W535" i="2"/>
  <c r="I535" i="2"/>
  <c r="AN534" i="2"/>
  <c r="L534" i="2"/>
  <c r="C534" i="2"/>
  <c r="P533" i="2"/>
  <c r="E533" i="2"/>
  <c r="S532" i="2"/>
  <c r="G532" i="2"/>
  <c r="W531" i="2"/>
  <c r="I531" i="2"/>
  <c r="AN530" i="2"/>
  <c r="L530" i="2"/>
  <c r="C530" i="2"/>
  <c r="P529" i="2"/>
  <c r="E529" i="2"/>
  <c r="S528" i="2"/>
  <c r="G528" i="2"/>
  <c r="U527" i="2"/>
  <c r="E527" i="2"/>
  <c r="S526" i="2"/>
  <c r="H526" i="2"/>
  <c r="Z525" i="2"/>
  <c r="J525" i="2"/>
  <c r="AU524" i="2"/>
  <c r="O524" i="2"/>
  <c r="D524" i="2"/>
  <c r="Q523" i="2"/>
  <c r="F523" i="2"/>
  <c r="U522" i="2"/>
  <c r="H522" i="2"/>
  <c r="Z521" i="2"/>
  <c r="I521" i="2"/>
  <c r="AN520" i="2"/>
  <c r="L520" i="2"/>
  <c r="C520" i="2"/>
  <c r="Q519" i="2"/>
  <c r="F519" i="2"/>
  <c r="U518" i="2"/>
  <c r="H518" i="2"/>
  <c r="Z517" i="2"/>
  <c r="J517" i="2"/>
  <c r="AU516" i="2"/>
  <c r="O516" i="2"/>
  <c r="D516" i="2"/>
  <c r="Q515" i="2"/>
  <c r="F515" i="2"/>
  <c r="U514" i="2"/>
  <c r="G514" i="2"/>
  <c r="W513" i="2"/>
  <c r="I513" i="2"/>
  <c r="AN512" i="2"/>
  <c r="L512" i="2"/>
  <c r="C512" i="2"/>
  <c r="P511" i="2"/>
  <c r="E511" i="2"/>
  <c r="S510" i="2"/>
  <c r="G510" i="2"/>
  <c r="W509" i="2"/>
  <c r="I509" i="2"/>
  <c r="AN508" i="2"/>
  <c r="O508" i="2"/>
  <c r="D508" i="2"/>
  <c r="J507" i="2"/>
  <c r="AU506" i="2"/>
  <c r="H506" i="2"/>
  <c r="Z505" i="2"/>
  <c r="F505" i="2"/>
  <c r="U504" i="2"/>
  <c r="E504" i="2"/>
  <c r="L503" i="2"/>
  <c r="C503" i="2"/>
  <c r="P502" i="2"/>
  <c r="E502" i="2"/>
  <c r="S501" i="2"/>
  <c r="G501" i="2"/>
  <c r="U500" i="2"/>
  <c r="E500" i="2"/>
  <c r="S499" i="2"/>
  <c r="G499" i="2"/>
  <c r="W498" i="2"/>
  <c r="I498" i="2"/>
  <c r="AN497" i="2"/>
  <c r="L497" i="2"/>
  <c r="C497" i="2"/>
  <c r="Q496" i="2"/>
  <c r="D496" i="2"/>
  <c r="Q495" i="2"/>
  <c r="F495" i="2"/>
  <c r="S494" i="2"/>
  <c r="D494" i="2"/>
  <c r="R493" i="2"/>
  <c r="G493" i="2"/>
  <c r="W492" i="2"/>
  <c r="I492" i="2"/>
  <c r="AN491" i="2"/>
  <c r="L491" i="2"/>
  <c r="C491" i="2"/>
  <c r="P490" i="2"/>
  <c r="E490" i="2"/>
  <c r="S489" i="2"/>
  <c r="G489" i="2"/>
  <c r="W488" i="2"/>
  <c r="I488" i="2"/>
  <c r="AN487" i="2"/>
  <c r="J487" i="2"/>
  <c r="AU486" i="2"/>
  <c r="O486" i="2"/>
  <c r="D486" i="2"/>
  <c r="Q485" i="2"/>
  <c r="F485" i="2"/>
  <c r="U484" i="2"/>
  <c r="H484" i="2"/>
  <c r="Z483" i="2"/>
  <c r="J483" i="2"/>
  <c r="AU482" i="2"/>
  <c r="O482" i="2"/>
  <c r="D482" i="2"/>
  <c r="Q481" i="2"/>
  <c r="F481" i="2"/>
  <c r="U480" i="2"/>
  <c r="H480" i="2"/>
  <c r="Z479" i="2"/>
  <c r="F479" i="2"/>
  <c r="U478" i="2"/>
  <c r="I478" i="2"/>
  <c r="AN477" i="2"/>
  <c r="G477" i="2"/>
  <c r="U476" i="2"/>
  <c r="E476" i="2"/>
  <c r="L475" i="2"/>
  <c r="D764" i="2"/>
  <c r="AN723" i="2"/>
  <c r="I708" i="2"/>
  <c r="Z692" i="2"/>
  <c r="J678" i="2"/>
  <c r="F660" i="2"/>
  <c r="AU641" i="2"/>
  <c r="U630" i="2"/>
  <c r="AN621" i="2"/>
  <c r="J618" i="2"/>
  <c r="Z614" i="2"/>
  <c r="H611" i="2"/>
  <c r="H607" i="2"/>
  <c r="S604" i="2"/>
  <c r="H602" i="2"/>
  <c r="O600" i="2"/>
  <c r="U598" i="2"/>
  <c r="AU596" i="2"/>
  <c r="F595" i="2"/>
  <c r="Z593" i="2"/>
  <c r="W592" i="2"/>
  <c r="P591" i="2"/>
  <c r="H590" i="2"/>
  <c r="G589" i="2"/>
  <c r="C588" i="2"/>
  <c r="U586" i="2"/>
  <c r="S585" i="2"/>
  <c r="L584" i="2"/>
  <c r="AU582" i="2"/>
  <c r="Z581" i="2"/>
  <c r="U580" i="2"/>
  <c r="AU579" i="2"/>
  <c r="E579" i="2"/>
  <c r="H578" i="2"/>
  <c r="S577" i="2"/>
  <c r="AN576" i="2"/>
  <c r="E576" i="2"/>
  <c r="L575" i="2"/>
  <c r="AU574" i="2"/>
  <c r="H574" i="2"/>
  <c r="U573" i="2"/>
  <c r="D573" i="2"/>
  <c r="J572" i="2"/>
  <c r="AN571" i="2"/>
  <c r="H571" i="2"/>
  <c r="Z570" i="2"/>
  <c r="G570" i="2"/>
  <c r="W569" i="2"/>
  <c r="F569" i="2"/>
  <c r="U568" i="2"/>
  <c r="E568" i="2"/>
  <c r="S567" i="2"/>
  <c r="D567" i="2"/>
  <c r="L566" i="2"/>
  <c r="C566" i="2"/>
  <c r="J565" i="2"/>
  <c r="AU564" i="2"/>
  <c r="I564" i="2"/>
  <c r="AN563" i="2"/>
  <c r="H563" i="2"/>
  <c r="Z562" i="2"/>
  <c r="G562" i="2"/>
  <c r="W561" i="2"/>
  <c r="F561" i="2"/>
  <c r="U560" i="2"/>
  <c r="E560" i="2"/>
  <c r="S559" i="2"/>
  <c r="D559" i="2"/>
  <c r="L558" i="2"/>
  <c r="C558" i="2"/>
  <c r="J557" i="2"/>
  <c r="AU556" i="2"/>
  <c r="I556" i="2"/>
  <c r="AN555" i="2"/>
  <c r="H555" i="2"/>
  <c r="Z554" i="2"/>
  <c r="G554" i="2"/>
  <c r="W553" i="2"/>
  <c r="F553" i="2"/>
  <c r="U552" i="2"/>
  <c r="E552" i="2"/>
  <c r="L551" i="2"/>
  <c r="C551" i="2"/>
  <c r="I550" i="2"/>
  <c r="AN549" i="2"/>
  <c r="G549" i="2"/>
  <c r="W548" i="2"/>
  <c r="F548" i="2"/>
  <c r="U547" i="2"/>
  <c r="H547" i="2"/>
  <c r="Z546" i="2"/>
  <c r="J546" i="2"/>
  <c r="AU545" i="2"/>
  <c r="H545" i="2"/>
  <c r="Z544" i="2"/>
  <c r="J544" i="2"/>
  <c r="AU543" i="2"/>
  <c r="O543" i="2"/>
  <c r="D543" i="2"/>
  <c r="Q542" i="2"/>
  <c r="F542" i="2"/>
  <c r="U541" i="2"/>
  <c r="H541" i="2"/>
  <c r="Z540" i="2"/>
  <c r="F540" i="2"/>
  <c r="U539" i="2"/>
  <c r="H539" i="2"/>
  <c r="Z538" i="2"/>
  <c r="J538" i="2"/>
  <c r="AU537" i="2"/>
  <c r="O537" i="2"/>
  <c r="D537" i="2"/>
  <c r="Q536" i="2"/>
  <c r="F536" i="2"/>
  <c r="U535" i="2"/>
  <c r="H535" i="2"/>
  <c r="Z534" i="2"/>
  <c r="J534" i="2"/>
  <c r="AU533" i="2"/>
  <c r="O533" i="2"/>
  <c r="D533" i="2"/>
  <c r="Q532" i="2"/>
  <c r="F532" i="2"/>
  <c r="U531" i="2"/>
  <c r="H531" i="2"/>
  <c r="Z530" i="2"/>
  <c r="J530" i="2"/>
  <c r="AU529" i="2"/>
  <c r="O529" i="2"/>
  <c r="D529" i="2"/>
  <c r="Q528" i="2"/>
  <c r="F528" i="2"/>
  <c r="S527" i="2"/>
  <c r="D527" i="2"/>
  <c r="R526" i="2"/>
  <c r="G526" i="2"/>
  <c r="W525" i="2"/>
  <c r="I525" i="2"/>
  <c r="AN524" i="2"/>
  <c r="L524" i="2"/>
  <c r="C524" i="2"/>
  <c r="P523" i="2"/>
  <c r="E523" i="2"/>
  <c r="S522" i="2"/>
  <c r="G522" i="2"/>
  <c r="W521" i="2"/>
  <c r="H521" i="2"/>
  <c r="Z520" i="2"/>
  <c r="J520" i="2"/>
  <c r="AU519" i="2"/>
  <c r="P519" i="2"/>
  <c r="E519" i="2"/>
  <c r="S518" i="2"/>
  <c r="G518" i="2"/>
  <c r="W517" i="2"/>
  <c r="I517" i="2"/>
  <c r="AN516" i="2"/>
  <c r="L516" i="2"/>
  <c r="C516" i="2"/>
  <c r="P515" i="2"/>
  <c r="E515" i="2"/>
  <c r="S514" i="2"/>
  <c r="F514" i="2"/>
  <c r="U513" i="2"/>
  <c r="H513" i="2"/>
  <c r="Z512" i="2"/>
  <c r="J512" i="2"/>
  <c r="AU511" i="2"/>
  <c r="O511" i="2"/>
  <c r="D511" i="2"/>
  <c r="Q510" i="2"/>
  <c r="F510" i="2"/>
  <c r="U509" i="2"/>
  <c r="H509" i="2"/>
  <c r="Z508" i="2"/>
  <c r="L508" i="2"/>
  <c r="C508" i="2"/>
  <c r="I507" i="2"/>
  <c r="AN506" i="2"/>
  <c r="G506" i="2"/>
  <c r="U505" i="2"/>
  <c r="E505" i="2"/>
  <c r="S504" i="2"/>
  <c r="D504" i="2"/>
  <c r="J503" i="2"/>
  <c r="AU502" i="2"/>
  <c r="O502" i="2"/>
  <c r="D502" i="2"/>
  <c r="Q501" i="2"/>
  <c r="F501" i="2"/>
  <c r="S500" i="2"/>
  <c r="D500" i="2"/>
  <c r="Q499" i="2"/>
  <c r="F499" i="2"/>
  <c r="U498" i="2"/>
  <c r="H498" i="2"/>
  <c r="Z497" i="2"/>
  <c r="J497" i="2"/>
  <c r="AU496" i="2"/>
  <c r="L496" i="2"/>
  <c r="C496" i="2"/>
  <c r="P495" i="2"/>
  <c r="E495" i="2"/>
  <c r="L494" i="2"/>
  <c r="C494" i="2"/>
  <c r="Q493" i="2"/>
  <c r="F493" i="2"/>
  <c r="U492" i="2"/>
  <c r="H492" i="2"/>
  <c r="Z491" i="2"/>
  <c r="J491" i="2"/>
  <c r="AU490" i="2"/>
  <c r="O490" i="2"/>
  <c r="D490" i="2"/>
  <c r="Q489" i="2"/>
  <c r="F489" i="2"/>
  <c r="U488" i="2"/>
  <c r="H488" i="2"/>
  <c r="Z487" i="2"/>
  <c r="I487" i="2"/>
  <c r="AN486" i="2"/>
  <c r="L486" i="2"/>
  <c r="C486" i="2"/>
  <c r="P485" i="2"/>
  <c r="E485" i="2"/>
  <c r="S484" i="2"/>
  <c r="G484" i="2"/>
  <c r="W483" i="2"/>
  <c r="I483" i="2"/>
  <c r="AN482" i="2"/>
  <c r="L482" i="2"/>
  <c r="C482" i="2"/>
  <c r="P481" i="2"/>
  <c r="E481" i="2"/>
  <c r="S480" i="2"/>
  <c r="G480" i="2"/>
  <c r="U479" i="2"/>
  <c r="E479" i="2"/>
  <c r="S478" i="2"/>
  <c r="H478" i="2"/>
  <c r="Z477" i="2"/>
  <c r="F477" i="2"/>
  <c r="S476" i="2"/>
  <c r="D476" i="2"/>
  <c r="J475" i="2"/>
  <c r="AU474" i="2"/>
  <c r="I474" i="2"/>
  <c r="AN473" i="2"/>
  <c r="L473" i="2"/>
  <c r="C473" i="2"/>
  <c r="P472" i="2"/>
  <c r="E472" i="2"/>
  <c r="S471" i="2"/>
  <c r="H471" i="2"/>
  <c r="Z470" i="2"/>
  <c r="L758" i="2"/>
  <c r="G721" i="2"/>
  <c r="I706" i="2"/>
  <c r="AN690" i="2"/>
  <c r="F676" i="2"/>
  <c r="AU657" i="2"/>
  <c r="L640" i="2"/>
  <c r="O629" i="2"/>
  <c r="L621" i="2"/>
  <c r="AU617" i="2"/>
  <c r="J614" i="2"/>
  <c r="Z610" i="2"/>
  <c r="Z606" i="2"/>
  <c r="L604" i="2"/>
  <c r="G602" i="2"/>
  <c r="L600" i="2"/>
  <c r="S598" i="2"/>
  <c r="AN596" i="2"/>
  <c r="E595" i="2"/>
  <c r="W593" i="2"/>
  <c r="O592" i="2"/>
  <c r="L591" i="2"/>
  <c r="G590" i="2"/>
  <c r="AU588" i="2"/>
  <c r="AN587" i="2"/>
  <c r="S586" i="2"/>
  <c r="J585" i="2"/>
  <c r="I584" i="2"/>
  <c r="AN582" i="2"/>
  <c r="U581" i="2"/>
  <c r="S580" i="2"/>
  <c r="AN579" i="2"/>
  <c r="C579" i="2"/>
  <c r="G578" i="2"/>
  <c r="L577" i="2"/>
  <c r="W576" i="2"/>
  <c r="D576" i="2"/>
  <c r="J575" i="2"/>
  <c r="AN574" i="2"/>
  <c r="F574" i="2"/>
  <c r="S573" i="2"/>
  <c r="C573" i="2"/>
  <c r="I572" i="2"/>
  <c r="Z571" i="2"/>
  <c r="G571" i="2"/>
  <c r="W570" i="2"/>
  <c r="F570" i="2"/>
  <c r="U569" i="2"/>
  <c r="E569" i="2"/>
  <c r="S568" i="2"/>
  <c r="D568" i="2"/>
  <c r="L567" i="2"/>
  <c r="C567" i="2"/>
  <c r="J566" i="2"/>
  <c r="AU565" i="2"/>
  <c r="I565" i="2"/>
  <c r="AN564" i="2"/>
  <c r="H564" i="2"/>
  <c r="Z563" i="2"/>
  <c r="G563" i="2"/>
  <c r="W562" i="2"/>
  <c r="F562" i="2"/>
  <c r="U561" i="2"/>
  <c r="E561" i="2"/>
  <c r="S560" i="2"/>
  <c r="D560" i="2"/>
  <c r="L559" i="2"/>
  <c r="C559" i="2"/>
  <c r="J558" i="2"/>
  <c r="AU557" i="2"/>
  <c r="I557" i="2"/>
  <c r="AN556" i="2"/>
  <c r="H556" i="2"/>
  <c r="Z555" i="2"/>
  <c r="G555" i="2"/>
  <c r="W554" i="2"/>
  <c r="F554" i="2"/>
  <c r="U553" i="2"/>
  <c r="E553" i="2"/>
  <c r="S552" i="2"/>
  <c r="D552" i="2"/>
  <c r="J551" i="2"/>
  <c r="AU550" i="2"/>
  <c r="H550" i="2"/>
  <c r="Z549" i="2"/>
  <c r="F549" i="2"/>
  <c r="U548" i="2"/>
  <c r="E548" i="2"/>
  <c r="S547" i="2"/>
  <c r="G547" i="2"/>
  <c r="W546" i="2"/>
  <c r="I546" i="2"/>
  <c r="AN545" i="2"/>
  <c r="G545" i="2"/>
  <c r="W544" i="2"/>
  <c r="I544" i="2"/>
  <c r="AN543" i="2"/>
  <c r="L543" i="2"/>
  <c r="C543" i="2"/>
  <c r="P542" i="2"/>
  <c r="E542" i="2"/>
  <c r="S541" i="2"/>
  <c r="G541" i="2"/>
  <c r="U540" i="2"/>
  <c r="E540" i="2"/>
  <c r="S539" i="2"/>
  <c r="G539" i="2"/>
  <c r="W538" i="2"/>
  <c r="I538" i="2"/>
  <c r="AN537" i="2"/>
  <c r="L537" i="2"/>
  <c r="C537" i="2"/>
  <c r="P536" i="2"/>
  <c r="E536" i="2"/>
  <c r="S535" i="2"/>
  <c r="G535" i="2"/>
  <c r="W534" i="2"/>
  <c r="I534" i="2"/>
  <c r="AN533" i="2"/>
  <c r="L533" i="2"/>
  <c r="C533" i="2"/>
  <c r="P532" i="2"/>
  <c r="E532" i="2"/>
  <c r="S531" i="2"/>
  <c r="G531" i="2"/>
  <c r="W530" i="2"/>
  <c r="I530" i="2"/>
  <c r="AN529" i="2"/>
  <c r="L529" i="2"/>
  <c r="C529" i="2"/>
  <c r="P528" i="2"/>
  <c r="E528" i="2"/>
  <c r="L527" i="2"/>
  <c r="C527" i="2"/>
  <c r="Q526" i="2"/>
  <c r="F526" i="2"/>
  <c r="U525" i="2"/>
  <c r="H525" i="2"/>
  <c r="Z524" i="2"/>
  <c r="J524" i="2"/>
  <c r="AU523" i="2"/>
  <c r="O523" i="2"/>
  <c r="D523" i="2"/>
  <c r="Q522" i="2"/>
  <c r="F522" i="2"/>
  <c r="U521" i="2"/>
  <c r="G521" i="2"/>
  <c r="W520" i="2"/>
  <c r="I520" i="2"/>
  <c r="AN519" i="2"/>
  <c r="O519" i="2"/>
  <c r="D519" i="2"/>
  <c r="Q518" i="2"/>
  <c r="F518" i="2"/>
  <c r="U517" i="2"/>
  <c r="H517" i="2"/>
  <c r="Z516" i="2"/>
  <c r="J516" i="2"/>
  <c r="AU515" i="2"/>
  <c r="O515" i="2"/>
  <c r="D515" i="2"/>
  <c r="R514" i="2"/>
  <c r="E514" i="2"/>
  <c r="S513" i="2"/>
  <c r="G513" i="2"/>
  <c r="W512" i="2"/>
  <c r="I512" i="2"/>
  <c r="AN511" i="2"/>
  <c r="L511" i="2"/>
  <c r="C511" i="2"/>
  <c r="P510" i="2"/>
  <c r="E510" i="2"/>
  <c r="S509" i="2"/>
  <c r="G509" i="2"/>
  <c r="W508" i="2"/>
  <c r="J508" i="2"/>
  <c r="AU507" i="2"/>
  <c r="H507" i="2"/>
  <c r="Z506" i="2"/>
  <c r="F506" i="2"/>
  <c r="S505" i="2"/>
  <c r="D505" i="2"/>
  <c r="L504" i="2"/>
  <c r="C504" i="2"/>
  <c r="I503" i="2"/>
  <c r="AN502" i="2"/>
  <c r="L502" i="2"/>
  <c r="C502" i="2"/>
  <c r="P501" i="2"/>
  <c r="E501" i="2"/>
  <c r="L500" i="2"/>
  <c r="C500" i="2"/>
  <c r="P499" i="2"/>
  <c r="E499" i="2"/>
  <c r="S498" i="2"/>
  <c r="G498" i="2"/>
  <c r="W497" i="2"/>
  <c r="I497" i="2"/>
  <c r="AN496" i="2"/>
  <c r="J496" i="2"/>
  <c r="AU495" i="2"/>
  <c r="O495" i="2"/>
  <c r="D495" i="2"/>
  <c r="J494" i="2"/>
  <c r="AU493" i="2"/>
  <c r="P493" i="2"/>
  <c r="E493" i="2"/>
  <c r="S492" i="2"/>
  <c r="G492" i="2"/>
  <c r="W491" i="2"/>
  <c r="I491" i="2"/>
  <c r="AN490" i="2"/>
  <c r="L490" i="2"/>
  <c r="C490" i="2"/>
  <c r="P489" i="2"/>
  <c r="E489" i="2"/>
  <c r="S488" i="2"/>
  <c r="G488" i="2"/>
  <c r="W487" i="2"/>
  <c r="H487" i="2"/>
  <c r="Z486" i="2"/>
  <c r="J486" i="2"/>
  <c r="AU485" i="2"/>
  <c r="O485" i="2"/>
  <c r="D485" i="2"/>
  <c r="Q484" i="2"/>
  <c r="F484" i="2"/>
  <c r="U483" i="2"/>
  <c r="H483" i="2"/>
  <c r="Z482" i="2"/>
  <c r="J482" i="2"/>
  <c r="AU481" i="2"/>
  <c r="O481" i="2"/>
  <c r="D481" i="2"/>
  <c r="Q480" i="2"/>
  <c r="F480" i="2"/>
  <c r="S479" i="2"/>
  <c r="D479" i="2"/>
  <c r="R478" i="2"/>
  <c r="G478" i="2"/>
  <c r="U477" i="2"/>
  <c r="E477" i="2"/>
  <c r="L476" i="2"/>
  <c r="C476" i="2"/>
  <c r="I475" i="2"/>
  <c r="AN474" i="2"/>
  <c r="H474" i="2"/>
  <c r="Z473" i="2"/>
  <c r="J473" i="2"/>
  <c r="AU472" i="2"/>
  <c r="O472" i="2"/>
  <c r="D472" i="2"/>
  <c r="R471" i="2"/>
  <c r="L753" i="2"/>
  <c r="C621" i="2"/>
  <c r="H598" i="2"/>
  <c r="Q587" i="2"/>
  <c r="AU578" i="2"/>
  <c r="L573" i="2"/>
  <c r="D569" i="2"/>
  <c r="Z564" i="2"/>
  <c r="L560" i="2"/>
  <c r="G556" i="2"/>
  <c r="C552" i="2"/>
  <c r="Q547" i="2"/>
  <c r="Z543" i="2"/>
  <c r="D540" i="2"/>
  <c r="O536" i="2"/>
  <c r="AU532" i="2"/>
  <c r="J529" i="2"/>
  <c r="S525" i="2"/>
  <c r="E522" i="2"/>
  <c r="P518" i="2"/>
  <c r="C515" i="2"/>
  <c r="J511" i="2"/>
  <c r="AN507" i="2"/>
  <c r="H503" i="2"/>
  <c r="O499" i="2"/>
  <c r="AN495" i="2"/>
  <c r="F492" i="2"/>
  <c r="Q488" i="2"/>
  <c r="C485" i="2"/>
  <c r="L481" i="2"/>
  <c r="S477" i="2"/>
  <c r="G474" i="2"/>
  <c r="AN472" i="2"/>
  <c r="C472" i="2"/>
  <c r="J471" i="2"/>
  <c r="U470" i="2"/>
  <c r="E470" i="2"/>
  <c r="S469" i="2"/>
  <c r="G469" i="2"/>
  <c r="W468" i="2"/>
  <c r="I468" i="2"/>
  <c r="AN467" i="2"/>
  <c r="L467" i="2"/>
  <c r="C467" i="2"/>
  <c r="Q466" i="2"/>
  <c r="D466" i="2"/>
  <c r="Q465" i="2"/>
  <c r="F465" i="2"/>
  <c r="S464" i="2"/>
  <c r="D464" i="2"/>
  <c r="R463" i="2"/>
  <c r="G463" i="2"/>
  <c r="W462" i="2"/>
  <c r="I462" i="2"/>
  <c r="AN461" i="2"/>
  <c r="L461" i="2"/>
  <c r="C461" i="2"/>
  <c r="Q460" i="2"/>
  <c r="F460" i="2"/>
  <c r="U459" i="2"/>
  <c r="H459" i="2"/>
  <c r="Z458" i="2"/>
  <c r="J458" i="2"/>
  <c r="AU457" i="2"/>
  <c r="O457" i="2"/>
  <c r="D457" i="2"/>
  <c r="R456" i="2"/>
  <c r="E456" i="2"/>
  <c r="S455" i="2"/>
  <c r="G455" i="2"/>
  <c r="W454" i="2"/>
  <c r="I454" i="2"/>
  <c r="AN453" i="2"/>
  <c r="L453" i="2"/>
  <c r="C453" i="2"/>
  <c r="P452" i="2"/>
  <c r="E452" i="2"/>
  <c r="S451" i="2"/>
  <c r="G451" i="2"/>
  <c r="W450" i="2"/>
  <c r="I450" i="2"/>
  <c r="AN449" i="2"/>
  <c r="L449" i="2"/>
  <c r="C449" i="2"/>
  <c r="I448" i="2"/>
  <c r="AN447" i="2"/>
  <c r="G447" i="2"/>
  <c r="U446" i="2"/>
  <c r="E446" i="2"/>
  <c r="L445" i="2"/>
  <c r="C445" i="2"/>
  <c r="J444" i="2"/>
  <c r="AU443" i="2"/>
  <c r="O443" i="2"/>
  <c r="D443" i="2"/>
  <c r="Q442" i="2"/>
  <c r="F442" i="2"/>
  <c r="S441" i="2"/>
  <c r="D441" i="2"/>
  <c r="Q440" i="2"/>
  <c r="F440" i="2"/>
  <c r="U439" i="2"/>
  <c r="H439" i="2"/>
  <c r="Z438" i="2"/>
  <c r="J438" i="2"/>
  <c r="AU437" i="2"/>
  <c r="O437" i="2"/>
  <c r="D437" i="2"/>
  <c r="J436" i="2"/>
  <c r="AU435" i="2"/>
  <c r="O435" i="2"/>
  <c r="D435" i="2"/>
  <c r="Q434" i="2"/>
  <c r="F434" i="2"/>
  <c r="U433" i="2"/>
  <c r="H433" i="2"/>
  <c r="Z432" i="2"/>
  <c r="J432" i="2"/>
  <c r="AU431" i="2"/>
  <c r="O431" i="2"/>
  <c r="D431" i="2"/>
  <c r="Q430" i="2"/>
  <c r="F430" i="2"/>
  <c r="U429" i="2"/>
  <c r="H429" i="2"/>
  <c r="Z428" i="2"/>
  <c r="J428" i="2"/>
  <c r="AU427" i="2"/>
  <c r="O427" i="2"/>
  <c r="D427" i="2"/>
  <c r="Q426" i="2"/>
  <c r="F426" i="2"/>
  <c r="U425" i="2"/>
  <c r="H425" i="2"/>
  <c r="Z424" i="2"/>
  <c r="J424" i="2"/>
  <c r="AU423" i="2"/>
  <c r="H423" i="2"/>
  <c r="Z422" i="2"/>
  <c r="F422" i="2"/>
  <c r="S421" i="2"/>
  <c r="D421" i="2"/>
  <c r="J420" i="2"/>
  <c r="AU419" i="2"/>
  <c r="I419" i="2"/>
  <c r="AN418" i="2"/>
  <c r="L418" i="2"/>
  <c r="C418" i="2"/>
  <c r="P417" i="2"/>
  <c r="E417" i="2"/>
  <c r="L416" i="2"/>
  <c r="C416" i="2"/>
  <c r="P415" i="2"/>
  <c r="E415" i="2"/>
  <c r="S414" i="2"/>
  <c r="G414" i="2"/>
  <c r="W413" i="2"/>
  <c r="I413" i="2"/>
  <c r="AN412" i="2"/>
  <c r="L412" i="2"/>
  <c r="C412" i="2"/>
  <c r="I411" i="2"/>
  <c r="AN410" i="2"/>
  <c r="L410" i="2"/>
  <c r="C410" i="2"/>
  <c r="P409" i="2"/>
  <c r="E409" i="2"/>
  <c r="S408" i="2"/>
  <c r="G408" i="2"/>
  <c r="W407" i="2"/>
  <c r="I407" i="2"/>
  <c r="AN406" i="2"/>
  <c r="L406" i="2"/>
  <c r="C406" i="2"/>
  <c r="P405" i="2"/>
  <c r="E405" i="2"/>
  <c r="S404" i="2"/>
  <c r="G404" i="2"/>
  <c r="W403" i="2"/>
  <c r="I403" i="2"/>
  <c r="AN402" i="2"/>
  <c r="L402" i="2"/>
  <c r="C402" i="2"/>
  <c r="P401" i="2"/>
  <c r="E401" i="2"/>
  <c r="S400" i="2"/>
  <c r="G400" i="2"/>
  <c r="W399" i="2"/>
  <c r="I399" i="2"/>
  <c r="AN398" i="2"/>
  <c r="G398" i="2"/>
  <c r="W397" i="2"/>
  <c r="J397" i="2"/>
  <c r="AU396" i="2"/>
  <c r="N396" i="2"/>
  <c r="D396" i="2"/>
  <c r="Q395" i="2"/>
  <c r="F395" i="2"/>
  <c r="U394" i="2"/>
  <c r="H394" i="2"/>
  <c r="Z393" i="2"/>
  <c r="J393" i="2"/>
  <c r="AU392" i="2"/>
  <c r="O392" i="2"/>
  <c r="D392" i="2"/>
  <c r="Q391" i="2"/>
  <c r="F391" i="2"/>
  <c r="U390" i="2"/>
  <c r="G390" i="2"/>
  <c r="W389" i="2"/>
  <c r="I389" i="2"/>
  <c r="AN388" i="2"/>
  <c r="O388" i="2"/>
  <c r="D388" i="2"/>
  <c r="R387" i="2"/>
  <c r="F387" i="2"/>
  <c r="U386" i="2"/>
  <c r="H386" i="2"/>
  <c r="Z385" i="2"/>
  <c r="J385" i="2"/>
  <c r="AU384" i="2"/>
  <c r="O384" i="2"/>
  <c r="D384" i="2"/>
  <c r="Q383" i="2"/>
  <c r="F383" i="2"/>
  <c r="U382" i="2"/>
  <c r="H382" i="2"/>
  <c r="Z381" i="2"/>
  <c r="I381" i="2"/>
  <c r="AN380" i="2"/>
  <c r="L380" i="2"/>
  <c r="C380" i="2"/>
  <c r="P379" i="2"/>
  <c r="E379" i="2"/>
  <c r="S378" i="2"/>
  <c r="G378" i="2"/>
  <c r="W377" i="2"/>
  <c r="I377" i="2"/>
  <c r="AN376" i="2"/>
  <c r="L376" i="2"/>
  <c r="C376" i="2"/>
  <c r="C719" i="2"/>
  <c r="O617" i="2"/>
  <c r="O596" i="2"/>
  <c r="P586" i="2"/>
  <c r="F578" i="2"/>
  <c r="AU572" i="2"/>
  <c r="L568" i="2"/>
  <c r="G564" i="2"/>
  <c r="C560" i="2"/>
  <c r="W555" i="2"/>
  <c r="I551" i="2"/>
  <c r="F547" i="2"/>
  <c r="J543" i="2"/>
  <c r="Q539" i="2"/>
  <c r="D536" i="2"/>
  <c r="O532" i="2"/>
  <c r="AU528" i="2"/>
  <c r="G525" i="2"/>
  <c r="S521" i="2"/>
  <c r="E518" i="2"/>
  <c r="Q514" i="2"/>
  <c r="AU510" i="2"/>
  <c r="G507" i="2"/>
  <c r="Z502" i="2"/>
  <c r="D499" i="2"/>
  <c r="L495" i="2"/>
  <c r="U491" i="2"/>
  <c r="F488" i="2"/>
  <c r="P484" i="2"/>
  <c r="C481" i="2"/>
  <c r="D477" i="2"/>
  <c r="AU473" i="2"/>
  <c r="Z472" i="2"/>
  <c r="AU471" i="2"/>
  <c r="I471" i="2"/>
  <c r="S470" i="2"/>
  <c r="D470" i="2"/>
  <c r="Q469" i="2"/>
  <c r="F469" i="2"/>
  <c r="U468" i="2"/>
  <c r="H468" i="2"/>
  <c r="Z467" i="2"/>
  <c r="J467" i="2"/>
  <c r="AU466" i="2"/>
  <c r="L466" i="2"/>
  <c r="C466" i="2"/>
  <c r="P465" i="2"/>
  <c r="E465" i="2"/>
  <c r="L464" i="2"/>
  <c r="C464" i="2"/>
  <c r="Q463" i="2"/>
  <c r="F463" i="2"/>
  <c r="U462" i="2"/>
  <c r="H462" i="2"/>
  <c r="Z461" i="2"/>
  <c r="J461" i="2"/>
  <c r="AU460" i="2"/>
  <c r="P460" i="2"/>
  <c r="E460" i="2"/>
  <c r="S459" i="2"/>
  <c r="G459" i="2"/>
  <c r="W458" i="2"/>
  <c r="I458" i="2"/>
  <c r="AN457" i="2"/>
  <c r="L457" i="2"/>
  <c r="C457" i="2"/>
  <c r="Q456" i="2"/>
  <c r="D456" i="2"/>
  <c r="Q455" i="2"/>
  <c r="F455" i="2"/>
  <c r="U454" i="2"/>
  <c r="H454" i="2"/>
  <c r="Z453" i="2"/>
  <c r="J453" i="2"/>
  <c r="AU452" i="2"/>
  <c r="O452" i="2"/>
  <c r="D452" i="2"/>
  <c r="Q451" i="2"/>
  <c r="F451" i="2"/>
  <c r="U450" i="2"/>
  <c r="H450" i="2"/>
  <c r="Z449" i="2"/>
  <c r="J449" i="2"/>
  <c r="AU448" i="2"/>
  <c r="H448" i="2"/>
  <c r="Z447" i="2"/>
  <c r="F447" i="2"/>
  <c r="S446" i="2"/>
  <c r="D446" i="2"/>
  <c r="J445" i="2"/>
  <c r="AU444" i="2"/>
  <c r="I444" i="2"/>
  <c r="AN443" i="2"/>
  <c r="L443" i="2"/>
  <c r="C443" i="2"/>
  <c r="P442" i="2"/>
  <c r="E442" i="2"/>
  <c r="L441" i="2"/>
  <c r="C441" i="2"/>
  <c r="P440" i="2"/>
  <c r="E440" i="2"/>
  <c r="S439" i="2"/>
  <c r="G439" i="2"/>
  <c r="W438" i="2"/>
  <c r="I438" i="2"/>
  <c r="AN437" i="2"/>
  <c r="L437" i="2"/>
  <c r="C437" i="2"/>
  <c r="I436" i="2"/>
  <c r="AN435" i="2"/>
  <c r="L435" i="2"/>
  <c r="C435" i="2"/>
  <c r="P434" i="2"/>
  <c r="E434" i="2"/>
  <c r="S433" i="2"/>
  <c r="G433" i="2"/>
  <c r="W432" i="2"/>
  <c r="I432" i="2"/>
  <c r="AN431" i="2"/>
  <c r="L431" i="2"/>
  <c r="C431" i="2"/>
  <c r="P430" i="2"/>
  <c r="E430" i="2"/>
  <c r="S429" i="2"/>
  <c r="G429" i="2"/>
  <c r="W428" i="2"/>
  <c r="I428" i="2"/>
  <c r="AN427" i="2"/>
  <c r="L427" i="2"/>
  <c r="C427" i="2"/>
  <c r="P426" i="2"/>
  <c r="E426" i="2"/>
  <c r="S425" i="2"/>
  <c r="G425" i="2"/>
  <c r="W424" i="2"/>
  <c r="I424" i="2"/>
  <c r="AN423" i="2"/>
  <c r="G423" i="2"/>
  <c r="U422" i="2"/>
  <c r="E422" i="2"/>
  <c r="L421" i="2"/>
  <c r="C421" i="2"/>
  <c r="I420" i="2"/>
  <c r="AN419" i="2"/>
  <c r="H419" i="2"/>
  <c r="Z418" i="2"/>
  <c r="J418" i="2"/>
  <c r="AU417" i="2"/>
  <c r="O417" i="2"/>
  <c r="D417" i="2"/>
  <c r="J416" i="2"/>
  <c r="AU415" i="2"/>
  <c r="O415" i="2"/>
  <c r="D415" i="2"/>
  <c r="Q414" i="2"/>
  <c r="F414" i="2"/>
  <c r="U413" i="2"/>
  <c r="H413" i="2"/>
  <c r="Z412" i="2"/>
  <c r="J412" i="2"/>
  <c r="AU411" i="2"/>
  <c r="H411" i="2"/>
  <c r="Z410" i="2"/>
  <c r="J410" i="2"/>
  <c r="AU409" i="2"/>
  <c r="O409" i="2"/>
  <c r="D409" i="2"/>
  <c r="Q408" i="2"/>
  <c r="F408" i="2"/>
  <c r="U407" i="2"/>
  <c r="H407" i="2"/>
  <c r="Z406" i="2"/>
  <c r="J406" i="2"/>
  <c r="AU405" i="2"/>
  <c r="O405" i="2"/>
  <c r="D405" i="2"/>
  <c r="Q404" i="2"/>
  <c r="F404" i="2"/>
  <c r="U403" i="2"/>
  <c r="H403" i="2"/>
  <c r="Z402" i="2"/>
  <c r="J402" i="2"/>
  <c r="J704" i="2"/>
  <c r="AU613" i="2"/>
  <c r="U594" i="2"/>
  <c r="I585" i="2"/>
  <c r="I577" i="2"/>
  <c r="H572" i="2"/>
  <c r="C568" i="2"/>
  <c r="W563" i="2"/>
  <c r="J559" i="2"/>
  <c r="F555" i="2"/>
  <c r="AN550" i="2"/>
  <c r="U546" i="2"/>
  <c r="AU542" i="2"/>
  <c r="F539" i="2"/>
  <c r="Q535" i="2"/>
  <c r="D532" i="2"/>
  <c r="O528" i="2"/>
  <c r="W524" i="2"/>
  <c r="F521" i="2"/>
  <c r="S517" i="2"/>
  <c r="D514" i="2"/>
  <c r="O510" i="2"/>
  <c r="U506" i="2"/>
  <c r="J502" i="2"/>
  <c r="Q498" i="2"/>
  <c r="C495" i="2"/>
  <c r="H491" i="2"/>
  <c r="U487" i="2"/>
  <c r="E484" i="2"/>
  <c r="P480" i="2"/>
  <c r="J476" i="2"/>
  <c r="W473" i="2"/>
  <c r="W472" i="2"/>
  <c r="AN471" i="2"/>
  <c r="G471" i="2"/>
  <c r="L470" i="2"/>
  <c r="C470" i="2"/>
  <c r="P469" i="2"/>
  <c r="E469" i="2"/>
  <c r="S468" i="2"/>
  <c r="G468" i="2"/>
  <c r="W467" i="2"/>
  <c r="I467" i="2"/>
  <c r="AN466" i="2"/>
  <c r="J466" i="2"/>
  <c r="AU465" i="2"/>
  <c r="O465" i="2"/>
  <c r="D465" i="2"/>
  <c r="J464" i="2"/>
  <c r="AU463" i="2"/>
  <c r="P463" i="2"/>
  <c r="E463" i="2"/>
  <c r="S462" i="2"/>
  <c r="G462" i="2"/>
  <c r="W461" i="2"/>
  <c r="I461" i="2"/>
  <c r="AN460" i="2"/>
  <c r="O460" i="2"/>
  <c r="D460" i="2"/>
  <c r="Q459" i="2"/>
  <c r="F459" i="2"/>
  <c r="U458" i="2"/>
  <c r="H458" i="2"/>
  <c r="Z457" i="2"/>
  <c r="J457" i="2"/>
  <c r="AU456" i="2"/>
  <c r="L456" i="2"/>
  <c r="C456" i="2"/>
  <c r="P455" i="2"/>
  <c r="E455" i="2"/>
  <c r="S454" i="2"/>
  <c r="G454" i="2"/>
  <c r="W453" i="2"/>
  <c r="I453" i="2"/>
  <c r="AN452" i="2"/>
  <c r="L452" i="2"/>
  <c r="C452" i="2"/>
  <c r="P451" i="2"/>
  <c r="E451" i="2"/>
  <c r="S450" i="2"/>
  <c r="G450" i="2"/>
  <c r="W449" i="2"/>
  <c r="I449" i="2"/>
  <c r="AN448" i="2"/>
  <c r="G448" i="2"/>
  <c r="U447" i="2"/>
  <c r="E447" i="2"/>
  <c r="L446" i="2"/>
  <c r="C446" i="2"/>
  <c r="I445" i="2"/>
  <c r="AN444" i="2"/>
  <c r="H444" i="2"/>
  <c r="Z443" i="2"/>
  <c r="J443" i="2"/>
  <c r="AU442" i="2"/>
  <c r="O442" i="2"/>
  <c r="D442" i="2"/>
  <c r="J441" i="2"/>
  <c r="AU440" i="2"/>
  <c r="O440" i="2"/>
  <c r="D440" i="2"/>
  <c r="Q439" i="2"/>
  <c r="F439" i="2"/>
  <c r="U438" i="2"/>
  <c r="H438" i="2"/>
  <c r="Z437" i="2"/>
  <c r="J437" i="2"/>
  <c r="AU436" i="2"/>
  <c r="H436" i="2"/>
  <c r="Z435" i="2"/>
  <c r="J435" i="2"/>
  <c r="AU434" i="2"/>
  <c r="O434" i="2"/>
  <c r="D434" i="2"/>
  <c r="Q433" i="2"/>
  <c r="F433" i="2"/>
  <c r="U432" i="2"/>
  <c r="H432" i="2"/>
  <c r="Z431" i="2"/>
  <c r="J431" i="2"/>
  <c r="AU430" i="2"/>
  <c r="O430" i="2"/>
  <c r="D430" i="2"/>
  <c r="Q429" i="2"/>
  <c r="F429" i="2"/>
  <c r="U428" i="2"/>
  <c r="H428" i="2"/>
  <c r="Z427" i="2"/>
  <c r="J427" i="2"/>
  <c r="AU426" i="2"/>
  <c r="O426" i="2"/>
  <c r="D426" i="2"/>
  <c r="Q425" i="2"/>
  <c r="F425" i="2"/>
  <c r="U424" i="2"/>
  <c r="H424" i="2"/>
  <c r="Z423" i="2"/>
  <c r="F423" i="2"/>
  <c r="S422" i="2"/>
  <c r="D422" i="2"/>
  <c r="J421" i="2"/>
  <c r="AU420" i="2"/>
  <c r="H420" i="2"/>
  <c r="Z419" i="2"/>
  <c r="G419" i="2"/>
  <c r="W418" i="2"/>
  <c r="I418" i="2"/>
  <c r="AN417" i="2"/>
  <c r="L417" i="2"/>
  <c r="C417" i="2"/>
  <c r="I416" i="2"/>
  <c r="AN415" i="2"/>
  <c r="L415" i="2"/>
  <c r="C415" i="2"/>
  <c r="P414" i="2"/>
  <c r="E414" i="2"/>
  <c r="S413" i="2"/>
  <c r="G413" i="2"/>
  <c r="W412" i="2"/>
  <c r="I412" i="2"/>
  <c r="AN411" i="2"/>
  <c r="G411" i="2"/>
  <c r="W410" i="2"/>
  <c r="I410" i="2"/>
  <c r="AN409" i="2"/>
  <c r="L409" i="2"/>
  <c r="C409" i="2"/>
  <c r="P408" i="2"/>
  <c r="E408" i="2"/>
  <c r="S407" i="2"/>
  <c r="G407" i="2"/>
  <c r="W406" i="2"/>
  <c r="I406" i="2"/>
  <c r="AN405" i="2"/>
  <c r="L405" i="2"/>
  <c r="C405" i="2"/>
  <c r="P404" i="2"/>
  <c r="E404" i="2"/>
  <c r="S403" i="2"/>
  <c r="G403" i="2"/>
  <c r="W402" i="2"/>
  <c r="I402" i="2"/>
  <c r="E689" i="2"/>
  <c r="J610" i="2"/>
  <c r="S593" i="2"/>
  <c r="D584" i="2"/>
  <c r="U576" i="2"/>
  <c r="W571" i="2"/>
  <c r="J567" i="2"/>
  <c r="F563" i="2"/>
  <c r="AU558" i="2"/>
  <c r="U554" i="2"/>
  <c r="G550" i="2"/>
  <c r="H546" i="2"/>
  <c r="O542" i="2"/>
  <c r="U538" i="2"/>
  <c r="F535" i="2"/>
  <c r="Q531" i="2"/>
  <c r="D528" i="2"/>
  <c r="I524" i="2"/>
  <c r="U520" i="2"/>
  <c r="G517" i="2"/>
  <c r="Q513" i="2"/>
  <c r="D510" i="2"/>
  <c r="E506" i="2"/>
  <c r="AU501" i="2"/>
  <c r="F498" i="2"/>
  <c r="I494" i="2"/>
  <c r="Z490" i="2"/>
  <c r="G487" i="2"/>
  <c r="S483" i="2"/>
  <c r="E480" i="2"/>
  <c r="AU475" i="2"/>
  <c r="S473" i="2"/>
  <c r="Q472" i="2"/>
  <c r="W471" i="2"/>
  <c r="F471" i="2"/>
  <c r="J470" i="2"/>
  <c r="AU469" i="2"/>
  <c r="O469" i="2"/>
  <c r="D469" i="2"/>
  <c r="Q468" i="2"/>
  <c r="F468" i="2"/>
  <c r="U467" i="2"/>
  <c r="H467" i="2"/>
  <c r="Z466" i="2"/>
  <c r="I466" i="2"/>
  <c r="AN465" i="2"/>
  <c r="L465" i="2"/>
  <c r="C465" i="2"/>
  <c r="I464" i="2"/>
  <c r="AN463" i="2"/>
  <c r="O463" i="2"/>
  <c r="D463" i="2"/>
  <c r="Q462" i="2"/>
  <c r="F462" i="2"/>
  <c r="U461" i="2"/>
  <c r="H461" i="2"/>
  <c r="Z460" i="2"/>
  <c r="L460" i="2"/>
  <c r="C460" i="2"/>
  <c r="P459" i="2"/>
  <c r="E459" i="2"/>
  <c r="S458" i="2"/>
  <c r="G458" i="2"/>
  <c r="W457" i="2"/>
  <c r="I457" i="2"/>
  <c r="AN456" i="2"/>
  <c r="J456" i="2"/>
  <c r="AU455" i="2"/>
  <c r="O455" i="2"/>
  <c r="D455" i="2"/>
  <c r="Q454" i="2"/>
  <c r="F454" i="2"/>
  <c r="U453" i="2"/>
  <c r="H453" i="2"/>
  <c r="Z452" i="2"/>
  <c r="J452" i="2"/>
  <c r="AU451" i="2"/>
  <c r="O451" i="2"/>
  <c r="D451" i="2"/>
  <c r="Q450" i="2"/>
  <c r="F450" i="2"/>
  <c r="U449" i="2"/>
  <c r="H449" i="2"/>
  <c r="Z448" i="2"/>
  <c r="F448" i="2"/>
  <c r="S447" i="2"/>
  <c r="D447" i="2"/>
  <c r="J446" i="2"/>
  <c r="AU445" i="2"/>
  <c r="H445" i="2"/>
  <c r="Z444" i="2"/>
  <c r="G444" i="2"/>
  <c r="W443" i="2"/>
  <c r="I443" i="2"/>
  <c r="AN442" i="2"/>
  <c r="L442" i="2"/>
  <c r="C442" i="2"/>
  <c r="I441" i="2"/>
  <c r="AN440" i="2"/>
  <c r="L440" i="2"/>
  <c r="C440" i="2"/>
  <c r="P439" i="2"/>
  <c r="E439" i="2"/>
  <c r="S438" i="2"/>
  <c r="G438" i="2"/>
  <c r="W437" i="2"/>
  <c r="I437" i="2"/>
  <c r="AN436" i="2"/>
  <c r="G436" i="2"/>
  <c r="W435" i="2"/>
  <c r="I435" i="2"/>
  <c r="AN434" i="2"/>
  <c r="L434" i="2"/>
  <c r="C434" i="2"/>
  <c r="P433" i="2"/>
  <c r="E433" i="2"/>
  <c r="S432" i="2"/>
  <c r="G432" i="2"/>
  <c r="W431" i="2"/>
  <c r="I431" i="2"/>
  <c r="AN430" i="2"/>
  <c r="L430" i="2"/>
  <c r="C430" i="2"/>
  <c r="P429" i="2"/>
  <c r="E429" i="2"/>
  <c r="S428" i="2"/>
  <c r="G428" i="2"/>
  <c r="W427" i="2"/>
  <c r="I427" i="2"/>
  <c r="AN426" i="2"/>
  <c r="L426" i="2"/>
  <c r="C426" i="2"/>
  <c r="P425" i="2"/>
  <c r="E425" i="2"/>
  <c r="S424" i="2"/>
  <c r="G424" i="2"/>
  <c r="U423" i="2"/>
  <c r="E423" i="2"/>
  <c r="L422" i="2"/>
  <c r="C422" i="2"/>
  <c r="I421" i="2"/>
  <c r="AN420" i="2"/>
  <c r="G420" i="2"/>
  <c r="W419" i="2"/>
  <c r="F419" i="2"/>
  <c r="U418" i="2"/>
  <c r="H418" i="2"/>
  <c r="Z417" i="2"/>
  <c r="J417" i="2"/>
  <c r="AU416" i="2"/>
  <c r="H416" i="2"/>
  <c r="Z415" i="2"/>
  <c r="J415" i="2"/>
  <c r="AU414" i="2"/>
  <c r="O414" i="2"/>
  <c r="D414" i="2"/>
  <c r="Q413" i="2"/>
  <c r="F413" i="2"/>
  <c r="U412" i="2"/>
  <c r="H412" i="2"/>
  <c r="Z411" i="2"/>
  <c r="F411" i="2"/>
  <c r="U410" i="2"/>
  <c r="H410" i="2"/>
  <c r="Z409" i="2"/>
  <c r="J409" i="2"/>
  <c r="AU408" i="2"/>
  <c r="O408" i="2"/>
  <c r="D408" i="2"/>
  <c r="Q407" i="2"/>
  <c r="F407" i="2"/>
  <c r="U406" i="2"/>
  <c r="H406" i="2"/>
  <c r="Z405" i="2"/>
  <c r="J405" i="2"/>
  <c r="AU404" i="2"/>
  <c r="O404" i="2"/>
  <c r="D404" i="2"/>
  <c r="Q403" i="2"/>
  <c r="F403" i="2"/>
  <c r="U402" i="2"/>
  <c r="H402" i="2"/>
  <c r="Z401" i="2"/>
  <c r="J401" i="2"/>
  <c r="AU400" i="2"/>
  <c r="O400" i="2"/>
  <c r="D400" i="2"/>
  <c r="Q399" i="2"/>
  <c r="F399" i="2"/>
  <c r="S398" i="2"/>
  <c r="D398" i="2"/>
  <c r="R397" i="2"/>
  <c r="G397" i="2"/>
  <c r="W396" i="2"/>
  <c r="I396" i="2"/>
  <c r="AN395" i="2"/>
  <c r="L395" i="2"/>
  <c r="C395" i="2"/>
  <c r="P394" i="2"/>
  <c r="E394" i="2"/>
  <c r="S393" i="2"/>
  <c r="G393" i="2"/>
  <c r="W392" i="2"/>
  <c r="I392" i="2"/>
  <c r="AN391" i="2"/>
  <c r="L391" i="2"/>
  <c r="C391" i="2"/>
  <c r="Q390" i="2"/>
  <c r="D390" i="2"/>
  <c r="Q389" i="2"/>
  <c r="F389" i="2"/>
  <c r="U388" i="2"/>
  <c r="I388" i="2"/>
  <c r="AN387" i="2"/>
  <c r="L387" i="2"/>
  <c r="C387" i="2"/>
  <c r="P386" i="2"/>
  <c r="E386" i="2"/>
  <c r="S385" i="2"/>
  <c r="G385" i="2"/>
  <c r="W384" i="2"/>
  <c r="I384" i="2"/>
  <c r="AN383" i="2"/>
  <c r="L383" i="2"/>
  <c r="C383" i="2"/>
  <c r="P382" i="2"/>
  <c r="E382" i="2"/>
  <c r="S381" i="2"/>
  <c r="F381" i="2"/>
  <c r="U380" i="2"/>
  <c r="H380" i="2"/>
  <c r="Z379" i="2"/>
  <c r="J379" i="2"/>
  <c r="AU378" i="2"/>
  <c r="O378" i="2"/>
  <c r="D378" i="2"/>
  <c r="Q377" i="2"/>
  <c r="F377" i="2"/>
  <c r="U376" i="2"/>
  <c r="H376" i="2"/>
  <c r="Z375" i="2"/>
  <c r="J375" i="2"/>
  <c r="AU374" i="2"/>
  <c r="O374" i="2"/>
  <c r="D374" i="2"/>
  <c r="R373" i="2"/>
  <c r="G373" i="2"/>
  <c r="W372" i="2"/>
  <c r="I372" i="2"/>
  <c r="AN371" i="2"/>
  <c r="L371" i="2"/>
  <c r="C371" i="2"/>
  <c r="AU673" i="2"/>
  <c r="G606" i="2"/>
  <c r="L592" i="2"/>
  <c r="U582" i="2"/>
  <c r="C576" i="2"/>
  <c r="F571" i="2"/>
  <c r="AU566" i="2"/>
  <c r="U562" i="2"/>
  <c r="I558" i="2"/>
  <c r="E554" i="2"/>
  <c r="U549" i="2"/>
  <c r="Z545" i="2"/>
  <c r="D542" i="2"/>
  <c r="H538" i="2"/>
  <c r="U534" i="2"/>
  <c r="F531" i="2"/>
  <c r="J527" i="2"/>
  <c r="AN523" i="2"/>
  <c r="H520" i="2"/>
  <c r="W516" i="2"/>
  <c r="F513" i="2"/>
  <c r="Q509" i="2"/>
  <c r="L505" i="2"/>
  <c r="O501" i="2"/>
  <c r="U497" i="2"/>
  <c r="AN493" i="2"/>
  <c r="J490" i="2"/>
  <c r="W486" i="2"/>
  <c r="G483" i="2"/>
  <c r="L479" i="2"/>
  <c r="H475" i="2"/>
  <c r="O473" i="2"/>
  <c r="L472" i="2"/>
  <c r="U471" i="2"/>
  <c r="E471" i="2"/>
  <c r="I470" i="2"/>
  <c r="AN469" i="2"/>
  <c r="L469" i="2"/>
  <c r="C469" i="2"/>
  <c r="P468" i="2"/>
  <c r="E468" i="2"/>
  <c r="S467" i="2"/>
  <c r="G467" i="2"/>
  <c r="W466" i="2"/>
  <c r="H466" i="2"/>
  <c r="Z465" i="2"/>
  <c r="J465" i="2"/>
  <c r="AU464" i="2"/>
  <c r="H464" i="2"/>
  <c r="Z463" i="2"/>
  <c r="L463" i="2"/>
  <c r="C463" i="2"/>
  <c r="P462" i="2"/>
  <c r="E462" i="2"/>
  <c r="S461" i="2"/>
  <c r="G461" i="2"/>
  <c r="W460" i="2"/>
  <c r="J460" i="2"/>
  <c r="AU459" i="2"/>
  <c r="O459" i="2"/>
  <c r="D459" i="2"/>
  <c r="Q458" i="2"/>
  <c r="F458" i="2"/>
  <c r="U457" i="2"/>
  <c r="H457" i="2"/>
  <c r="Z456" i="2"/>
  <c r="I456" i="2"/>
  <c r="AN455" i="2"/>
  <c r="L455" i="2"/>
  <c r="C455" i="2"/>
  <c r="P454" i="2"/>
  <c r="E454" i="2"/>
  <c r="S453" i="2"/>
  <c r="G453" i="2"/>
  <c r="W452" i="2"/>
  <c r="I452" i="2"/>
  <c r="AN451" i="2"/>
  <c r="L451" i="2"/>
  <c r="C451" i="2"/>
  <c r="P450" i="2"/>
  <c r="E450" i="2"/>
  <c r="S449" i="2"/>
  <c r="G449" i="2"/>
  <c r="U448" i="2"/>
  <c r="E448" i="2"/>
  <c r="L447" i="2"/>
  <c r="C447" i="2"/>
  <c r="I446" i="2"/>
  <c r="AN445" i="2"/>
  <c r="G445" i="2"/>
  <c r="W444" i="2"/>
  <c r="F444" i="2"/>
  <c r="U443" i="2"/>
  <c r="H443" i="2"/>
  <c r="Z442" i="2"/>
  <c r="J442" i="2"/>
  <c r="AU441" i="2"/>
  <c r="H441" i="2"/>
  <c r="Z440" i="2"/>
  <c r="J440" i="2"/>
  <c r="AU439" i="2"/>
  <c r="O439" i="2"/>
  <c r="D439" i="2"/>
  <c r="Q438" i="2"/>
  <c r="F438" i="2"/>
  <c r="U437" i="2"/>
  <c r="H437" i="2"/>
  <c r="Z436" i="2"/>
  <c r="F436" i="2"/>
  <c r="U435" i="2"/>
  <c r="H435" i="2"/>
  <c r="Z434" i="2"/>
  <c r="J434" i="2"/>
  <c r="AU433" i="2"/>
  <c r="O433" i="2"/>
  <c r="D433" i="2"/>
  <c r="Q432" i="2"/>
  <c r="F432" i="2"/>
  <c r="U431" i="2"/>
  <c r="H431" i="2"/>
  <c r="Z430" i="2"/>
  <c r="J430" i="2"/>
  <c r="AU429" i="2"/>
  <c r="O429" i="2"/>
  <c r="D429" i="2"/>
  <c r="Q428" i="2"/>
  <c r="F428" i="2"/>
  <c r="U427" i="2"/>
  <c r="H427" i="2"/>
  <c r="Z426" i="2"/>
  <c r="J426" i="2"/>
  <c r="AU425" i="2"/>
  <c r="O425" i="2"/>
  <c r="D425" i="2"/>
  <c r="Q424" i="2"/>
  <c r="F424" i="2"/>
  <c r="S423" i="2"/>
  <c r="D423" i="2"/>
  <c r="J422" i="2"/>
  <c r="AU421" i="2"/>
  <c r="H421" i="2"/>
  <c r="Z420" i="2"/>
  <c r="F420" i="2"/>
  <c r="U419" i="2"/>
  <c r="E419" i="2"/>
  <c r="S418" i="2"/>
  <c r="G418" i="2"/>
  <c r="W417" i="2"/>
  <c r="I417" i="2"/>
  <c r="AN416" i="2"/>
  <c r="G416" i="2"/>
  <c r="W415" i="2"/>
  <c r="I415" i="2"/>
  <c r="AN414" i="2"/>
  <c r="L414" i="2"/>
  <c r="C414" i="2"/>
  <c r="P413" i="2"/>
  <c r="E413" i="2"/>
  <c r="S412" i="2"/>
  <c r="G412" i="2"/>
  <c r="U411" i="2"/>
  <c r="E411" i="2"/>
  <c r="S410" i="2"/>
  <c r="G410" i="2"/>
  <c r="W409" i="2"/>
  <c r="I409" i="2"/>
  <c r="AN408" i="2"/>
  <c r="L408" i="2"/>
  <c r="C408" i="2"/>
  <c r="P407" i="2"/>
  <c r="E407" i="2"/>
  <c r="S406" i="2"/>
  <c r="G406" i="2"/>
  <c r="W405" i="2"/>
  <c r="I405" i="2"/>
  <c r="AN404" i="2"/>
  <c r="L404" i="2"/>
  <c r="C404" i="2"/>
  <c r="P403" i="2"/>
  <c r="E403" i="2"/>
  <c r="S402" i="2"/>
  <c r="G402" i="2"/>
  <c r="W401" i="2"/>
  <c r="I401" i="2"/>
  <c r="AN400" i="2"/>
  <c r="L400" i="2"/>
  <c r="C400" i="2"/>
  <c r="P399" i="2"/>
  <c r="E399" i="2"/>
  <c r="L398" i="2"/>
  <c r="C398" i="2"/>
  <c r="Q397" i="2"/>
  <c r="F397" i="2"/>
  <c r="U396" i="2"/>
  <c r="H396" i="2"/>
  <c r="Z395" i="2"/>
  <c r="J395" i="2"/>
  <c r="AU394" i="2"/>
  <c r="O394" i="2"/>
  <c r="D394" i="2"/>
  <c r="Q393" i="2"/>
  <c r="F393" i="2"/>
  <c r="U392" i="2"/>
  <c r="H392" i="2"/>
  <c r="Z391" i="2"/>
  <c r="J391" i="2"/>
  <c r="AU390" i="2"/>
  <c r="L390" i="2"/>
  <c r="C390" i="2"/>
  <c r="P389" i="2"/>
  <c r="E389" i="2"/>
  <c r="S388" i="2"/>
  <c r="H388" i="2"/>
  <c r="Z387" i="2"/>
  <c r="J387" i="2"/>
  <c r="AU386" i="2"/>
  <c r="O386" i="2"/>
  <c r="D386" i="2"/>
  <c r="Q385" i="2"/>
  <c r="F385" i="2"/>
  <c r="U384" i="2"/>
  <c r="H384" i="2"/>
  <c r="Z383" i="2"/>
  <c r="J383" i="2"/>
  <c r="AU382" i="2"/>
  <c r="O382" i="2"/>
  <c r="D382" i="2"/>
  <c r="R381" i="2"/>
  <c r="E381" i="2"/>
  <c r="S380" i="2"/>
  <c r="G380" i="2"/>
  <c r="W379" i="2"/>
  <c r="I379" i="2"/>
  <c r="AN378" i="2"/>
  <c r="L378" i="2"/>
  <c r="C378" i="2"/>
  <c r="P377" i="2"/>
  <c r="E377" i="2"/>
  <c r="S376" i="2"/>
  <c r="G376" i="2"/>
  <c r="W375" i="2"/>
  <c r="I375" i="2"/>
  <c r="AN374" i="2"/>
  <c r="L374" i="2"/>
  <c r="S655" i="2"/>
  <c r="D604" i="2"/>
  <c r="F591" i="2"/>
  <c r="L581" i="2"/>
  <c r="I575" i="2"/>
  <c r="U570" i="2"/>
  <c r="I566" i="2"/>
  <c r="E562" i="2"/>
  <c r="AN557" i="2"/>
  <c r="S553" i="2"/>
  <c r="E549" i="2"/>
  <c r="F545" i="2"/>
  <c r="Q541" i="2"/>
  <c r="Z537" i="2"/>
  <c r="H534" i="2"/>
  <c r="U530" i="2"/>
  <c r="AU526" i="2"/>
  <c r="L523" i="2"/>
  <c r="Z519" i="2"/>
  <c r="I516" i="2"/>
  <c r="U512" i="2"/>
  <c r="F509" i="2"/>
  <c r="C505" i="2"/>
  <c r="D501" i="2"/>
  <c r="H497" i="2"/>
  <c r="O493" i="2"/>
  <c r="AU489" i="2"/>
  <c r="I486" i="2"/>
  <c r="W482" i="2"/>
  <c r="C479" i="2"/>
  <c r="C475" i="2"/>
  <c r="I473" i="2"/>
  <c r="J472" i="2"/>
  <c r="Q471" i="2"/>
  <c r="D471" i="2"/>
  <c r="H470" i="2"/>
  <c r="Z469" i="2"/>
  <c r="J469" i="2"/>
  <c r="AU468" i="2"/>
  <c r="O468" i="2"/>
  <c r="D468" i="2"/>
  <c r="Q467" i="2"/>
  <c r="F467" i="2"/>
  <c r="U466" i="2"/>
  <c r="G466" i="2"/>
  <c r="W465" i="2"/>
  <c r="I465" i="2"/>
  <c r="AN464" i="2"/>
  <c r="G464" i="2"/>
  <c r="W463" i="2"/>
  <c r="J463" i="2"/>
  <c r="AU462" i="2"/>
  <c r="O462" i="2"/>
  <c r="D462" i="2"/>
  <c r="Q461" i="2"/>
  <c r="F461" i="2"/>
  <c r="U460" i="2"/>
  <c r="I460" i="2"/>
  <c r="AN459" i="2"/>
  <c r="L459" i="2"/>
  <c r="C459" i="2"/>
  <c r="P458" i="2"/>
  <c r="E458" i="2"/>
  <c r="S457" i="2"/>
  <c r="G457" i="2"/>
  <c r="W456" i="2"/>
  <c r="H456" i="2"/>
  <c r="Z455" i="2"/>
  <c r="J455" i="2"/>
  <c r="AU454" i="2"/>
  <c r="O454" i="2"/>
  <c r="D454" i="2"/>
  <c r="Q453" i="2"/>
  <c r="F453" i="2"/>
  <c r="U452" i="2"/>
  <c r="H452" i="2"/>
  <c r="Z451" i="2"/>
  <c r="J451" i="2"/>
  <c r="AU450" i="2"/>
  <c r="O450" i="2"/>
  <c r="D450" i="2"/>
  <c r="Q449" i="2"/>
  <c r="F449" i="2"/>
  <c r="S448" i="2"/>
  <c r="D448" i="2"/>
  <c r="J447" i="2"/>
  <c r="AU446" i="2"/>
  <c r="H446" i="2"/>
  <c r="Z445" i="2"/>
  <c r="F445" i="2"/>
  <c r="U444" i="2"/>
  <c r="E444" i="2"/>
  <c r="S443" i="2"/>
  <c r="G443" i="2"/>
  <c r="W442" i="2"/>
  <c r="I442" i="2"/>
  <c r="AN441" i="2"/>
  <c r="G441" i="2"/>
  <c r="W440" i="2"/>
  <c r="I440" i="2"/>
  <c r="AN439" i="2"/>
  <c r="L439" i="2"/>
  <c r="C439" i="2"/>
  <c r="P438" i="2"/>
  <c r="E438" i="2"/>
  <c r="S437" i="2"/>
  <c r="G437" i="2"/>
  <c r="U436" i="2"/>
  <c r="E436" i="2"/>
  <c r="S435" i="2"/>
  <c r="G435" i="2"/>
  <c r="W434" i="2"/>
  <c r="I434" i="2"/>
  <c r="AN433" i="2"/>
  <c r="L433" i="2"/>
  <c r="C433" i="2"/>
  <c r="P432" i="2"/>
  <c r="E432" i="2"/>
  <c r="S431" i="2"/>
  <c r="G431" i="2"/>
  <c r="W430" i="2"/>
  <c r="I430" i="2"/>
  <c r="AN429" i="2"/>
  <c r="L429" i="2"/>
  <c r="C429" i="2"/>
  <c r="P428" i="2"/>
  <c r="E428" i="2"/>
  <c r="S427" i="2"/>
  <c r="G427" i="2"/>
  <c r="W426" i="2"/>
  <c r="I426" i="2"/>
  <c r="AN425" i="2"/>
  <c r="L425" i="2"/>
  <c r="C425" i="2"/>
  <c r="P424" i="2"/>
  <c r="E424" i="2"/>
  <c r="L423" i="2"/>
  <c r="C423" i="2"/>
  <c r="I422" i="2"/>
  <c r="AN421" i="2"/>
  <c r="G421" i="2"/>
  <c r="U420" i="2"/>
  <c r="E420" i="2"/>
  <c r="S419" i="2"/>
  <c r="D419" i="2"/>
  <c r="Q418" i="2"/>
  <c r="F418" i="2"/>
  <c r="U417" i="2"/>
  <c r="H417" i="2"/>
  <c r="Z416" i="2"/>
  <c r="F416" i="2"/>
  <c r="U415" i="2"/>
  <c r="H415" i="2"/>
  <c r="Z414" i="2"/>
  <c r="J414" i="2"/>
  <c r="AU413" i="2"/>
  <c r="O413" i="2"/>
  <c r="D413" i="2"/>
  <c r="Q412" i="2"/>
  <c r="F412" i="2"/>
  <c r="S411" i="2"/>
  <c r="D411" i="2"/>
  <c r="Q410" i="2"/>
  <c r="F410" i="2"/>
  <c r="U409" i="2"/>
  <c r="H409" i="2"/>
  <c r="Z408" i="2"/>
  <c r="J408" i="2"/>
  <c r="AU407" i="2"/>
  <c r="O407" i="2"/>
  <c r="D407" i="2"/>
  <c r="Q406" i="2"/>
  <c r="F406" i="2"/>
  <c r="U405" i="2"/>
  <c r="H405" i="2"/>
  <c r="Z404" i="2"/>
  <c r="J404" i="2"/>
  <c r="AU403" i="2"/>
  <c r="O403" i="2"/>
  <c r="D403" i="2"/>
  <c r="Q402" i="2"/>
  <c r="F402" i="2"/>
  <c r="U401" i="2"/>
  <c r="H401" i="2"/>
  <c r="Z400" i="2"/>
  <c r="J400" i="2"/>
  <c r="AU399" i="2"/>
  <c r="O399" i="2"/>
  <c r="D399" i="2"/>
  <c r="J398" i="2"/>
  <c r="AU397" i="2"/>
  <c r="P397" i="2"/>
  <c r="E397" i="2"/>
  <c r="S396" i="2"/>
  <c r="G396" i="2"/>
  <c r="W395" i="2"/>
  <c r="I395" i="2"/>
  <c r="AN394" i="2"/>
  <c r="L394" i="2"/>
  <c r="C394" i="2"/>
  <c r="P393" i="2"/>
  <c r="E393" i="2"/>
  <c r="S392" i="2"/>
  <c r="G392" i="2"/>
  <c r="W391" i="2"/>
  <c r="I391" i="2"/>
  <c r="AN390" i="2"/>
  <c r="J390" i="2"/>
  <c r="AU389" i="2"/>
  <c r="O389" i="2"/>
  <c r="D389" i="2"/>
  <c r="R388" i="2"/>
  <c r="G388" i="2"/>
  <c r="W387" i="2"/>
  <c r="I387" i="2"/>
  <c r="AN386" i="2"/>
  <c r="L386" i="2"/>
  <c r="C386" i="2"/>
  <c r="P385" i="2"/>
  <c r="E385" i="2"/>
  <c r="S384" i="2"/>
  <c r="G384" i="2"/>
  <c r="W383" i="2"/>
  <c r="I383" i="2"/>
  <c r="AN382" i="2"/>
  <c r="L382" i="2"/>
  <c r="C382" i="2"/>
  <c r="Q381" i="2"/>
  <c r="D381" i="2"/>
  <c r="Q380" i="2"/>
  <c r="F380" i="2"/>
  <c r="U379" i="2"/>
  <c r="H379" i="2"/>
  <c r="Z378" i="2"/>
  <c r="J378" i="2"/>
  <c r="AU377" i="2"/>
  <c r="O377" i="2"/>
  <c r="D377" i="2"/>
  <c r="Q376" i="2"/>
  <c r="F376" i="2"/>
  <c r="U375" i="2"/>
  <c r="H375" i="2"/>
  <c r="Z374" i="2"/>
  <c r="J374" i="2"/>
  <c r="AU373" i="2"/>
  <c r="P373" i="2"/>
  <c r="E373" i="2"/>
  <c r="S372" i="2"/>
  <c r="G372" i="2"/>
  <c r="W371" i="2"/>
  <c r="I371" i="2"/>
  <c r="AN370" i="2"/>
  <c r="L370" i="2"/>
  <c r="C370" i="2"/>
  <c r="P369" i="2"/>
  <c r="AU638" i="2"/>
  <c r="Z601" i="2"/>
  <c r="E590" i="2"/>
  <c r="L580" i="2"/>
  <c r="W574" i="2"/>
  <c r="E570" i="2"/>
  <c r="AN565" i="2"/>
  <c r="S561" i="2"/>
  <c r="H557" i="2"/>
  <c r="D553" i="2"/>
  <c r="S548" i="2"/>
  <c r="U544" i="2"/>
  <c r="F541" i="2"/>
  <c r="J537" i="2"/>
  <c r="Z533" i="2"/>
  <c r="H530" i="2"/>
  <c r="P526" i="2"/>
  <c r="C523" i="2"/>
  <c r="L519" i="2"/>
  <c r="AN515" i="2"/>
  <c r="H512" i="2"/>
  <c r="U508" i="2"/>
  <c r="J504" i="2"/>
  <c r="J500" i="2"/>
  <c r="Z496" i="2"/>
  <c r="D493" i="2"/>
  <c r="O489" i="2"/>
  <c r="AN485" i="2"/>
  <c r="I482" i="2"/>
  <c r="Q478" i="2"/>
  <c r="Z474" i="2"/>
  <c r="G473" i="2"/>
  <c r="I472" i="2"/>
  <c r="P471" i="2"/>
  <c r="AU470" i="2"/>
  <c r="G470" i="2"/>
  <c r="W469" i="2"/>
  <c r="I469" i="2"/>
  <c r="AN468" i="2"/>
  <c r="L468" i="2"/>
  <c r="C468" i="2"/>
  <c r="P467" i="2"/>
  <c r="E467" i="2"/>
  <c r="S466" i="2"/>
  <c r="F466" i="2"/>
  <c r="U465" i="2"/>
  <c r="H465" i="2"/>
  <c r="Z464" i="2"/>
  <c r="F464" i="2"/>
  <c r="U463" i="2"/>
  <c r="I463" i="2"/>
  <c r="AN462" i="2"/>
  <c r="L462" i="2"/>
  <c r="C462" i="2"/>
  <c r="P461" i="2"/>
  <c r="E461" i="2"/>
  <c r="S460" i="2"/>
  <c r="H460" i="2"/>
  <c r="Z459" i="2"/>
  <c r="J459" i="2"/>
  <c r="AU458" i="2"/>
  <c r="O458" i="2"/>
  <c r="D458" i="2"/>
  <c r="Q457" i="2"/>
  <c r="F457" i="2"/>
  <c r="U456" i="2"/>
  <c r="G456" i="2"/>
  <c r="W455" i="2"/>
  <c r="I455" i="2"/>
  <c r="AN454" i="2"/>
  <c r="L454" i="2"/>
  <c r="C454" i="2"/>
  <c r="P453" i="2"/>
  <c r="E453" i="2"/>
  <c r="S452" i="2"/>
  <c r="G452" i="2"/>
  <c r="W451" i="2"/>
  <c r="I451" i="2"/>
  <c r="AN450" i="2"/>
  <c r="L450" i="2"/>
  <c r="C450" i="2"/>
  <c r="P449" i="2"/>
  <c r="E449" i="2"/>
  <c r="L448" i="2"/>
  <c r="C448" i="2"/>
  <c r="I447" i="2"/>
  <c r="AN446" i="2"/>
  <c r="G446" i="2"/>
  <c r="U445" i="2"/>
  <c r="E445" i="2"/>
  <c r="S444" i="2"/>
  <c r="D444" i="2"/>
  <c r="Q443" i="2"/>
  <c r="F443" i="2"/>
  <c r="U442" i="2"/>
  <c r="H442" i="2"/>
  <c r="Z441" i="2"/>
  <c r="F441" i="2"/>
  <c r="U440" i="2"/>
  <c r="H440" i="2"/>
  <c r="Z439" i="2"/>
  <c r="J439" i="2"/>
  <c r="AU438" i="2"/>
  <c r="O438" i="2"/>
  <c r="D438" i="2"/>
  <c r="Q437" i="2"/>
  <c r="F437" i="2"/>
  <c r="S436" i="2"/>
  <c r="D436" i="2"/>
  <c r="Q435" i="2"/>
  <c r="F435" i="2"/>
  <c r="U434" i="2"/>
  <c r="H434" i="2"/>
  <c r="Z433" i="2"/>
  <c r="J433" i="2"/>
  <c r="AU432" i="2"/>
  <c r="O432" i="2"/>
  <c r="D432" i="2"/>
  <c r="Q431" i="2"/>
  <c r="F431" i="2"/>
  <c r="U430" i="2"/>
  <c r="H430" i="2"/>
  <c r="Z429" i="2"/>
  <c r="J429" i="2"/>
  <c r="AU428" i="2"/>
  <c r="O428" i="2"/>
  <c r="D428" i="2"/>
  <c r="Q427" i="2"/>
  <c r="F427" i="2"/>
  <c r="U426" i="2"/>
  <c r="H426" i="2"/>
  <c r="Z425" i="2"/>
  <c r="J425" i="2"/>
  <c r="AU424" i="2"/>
  <c r="O424" i="2"/>
  <c r="D424" i="2"/>
  <c r="J423" i="2"/>
  <c r="AU422" i="2"/>
  <c r="H422" i="2"/>
  <c r="Z421" i="2"/>
  <c r="F421" i="2"/>
  <c r="S420" i="2"/>
  <c r="D420" i="2"/>
  <c r="L419" i="2"/>
  <c r="C419" i="2"/>
  <c r="P418" i="2"/>
  <c r="E418" i="2"/>
  <c r="S417" i="2"/>
  <c r="G417" i="2"/>
  <c r="U416" i="2"/>
  <c r="E416" i="2"/>
  <c r="S415" i="2"/>
  <c r="G415" i="2"/>
  <c r="W414" i="2"/>
  <c r="I414" i="2"/>
  <c r="AN413" i="2"/>
  <c r="L413" i="2"/>
  <c r="C413" i="2"/>
  <c r="P412" i="2"/>
  <c r="E412" i="2"/>
  <c r="L411" i="2"/>
  <c r="C411" i="2"/>
  <c r="P410" i="2"/>
  <c r="E410" i="2"/>
  <c r="S409" i="2"/>
  <c r="G409" i="2"/>
  <c r="W408" i="2"/>
  <c r="I408" i="2"/>
  <c r="AN407" i="2"/>
  <c r="L407" i="2"/>
  <c r="C407" i="2"/>
  <c r="P406" i="2"/>
  <c r="E406" i="2"/>
  <c r="S405" i="2"/>
  <c r="G405" i="2"/>
  <c r="W404" i="2"/>
  <c r="I404" i="2"/>
  <c r="AN403" i="2"/>
  <c r="L403" i="2"/>
  <c r="C403" i="2"/>
  <c r="P402" i="2"/>
  <c r="E402" i="2"/>
  <c r="S401" i="2"/>
  <c r="G401" i="2"/>
  <c r="W400" i="2"/>
  <c r="I400" i="2"/>
  <c r="AN399" i="2"/>
  <c r="L399" i="2"/>
  <c r="C399" i="2"/>
  <c r="I398" i="2"/>
  <c r="AN397" i="2"/>
  <c r="O397" i="2"/>
  <c r="D397" i="2"/>
  <c r="R396" i="2"/>
  <c r="F396" i="2"/>
  <c r="U395" i="2"/>
  <c r="H395" i="2"/>
  <c r="Z394" i="2"/>
  <c r="J394" i="2"/>
  <c r="AU393" i="2"/>
  <c r="O393" i="2"/>
  <c r="D393" i="2"/>
  <c r="Q392" i="2"/>
  <c r="F392" i="2"/>
  <c r="U391" i="2"/>
  <c r="H391" i="2"/>
  <c r="Z390" i="2"/>
  <c r="I390" i="2"/>
  <c r="AN389" i="2"/>
  <c r="L389" i="2"/>
  <c r="C389" i="2"/>
  <c r="Q388" i="2"/>
  <c r="F388" i="2"/>
  <c r="U387" i="2"/>
  <c r="H387" i="2"/>
  <c r="Z386" i="2"/>
  <c r="J386" i="2"/>
  <c r="AU385" i="2"/>
  <c r="O385" i="2"/>
  <c r="D385" i="2"/>
  <c r="Q384" i="2"/>
  <c r="F384" i="2"/>
  <c r="U383" i="2"/>
  <c r="H383" i="2"/>
  <c r="Z382" i="2"/>
  <c r="J382" i="2"/>
  <c r="AU381" i="2"/>
  <c r="L381" i="2"/>
  <c r="C381" i="2"/>
  <c r="P380" i="2"/>
  <c r="E380" i="2"/>
  <c r="S379" i="2"/>
  <c r="G379" i="2"/>
  <c r="W378" i="2"/>
  <c r="I378" i="2"/>
  <c r="AN377" i="2"/>
  <c r="L377" i="2"/>
  <c r="C377" i="2"/>
  <c r="P376" i="2"/>
  <c r="E376" i="2"/>
  <c r="S375" i="2"/>
  <c r="G375" i="2"/>
  <c r="W374" i="2"/>
  <c r="I374" i="2"/>
  <c r="AN373" i="2"/>
  <c r="O373" i="2"/>
  <c r="D373" i="2"/>
  <c r="L628" i="2"/>
  <c r="Z556" i="2"/>
  <c r="E526" i="2"/>
  <c r="I496" i="2"/>
  <c r="F472" i="2"/>
  <c r="AU467" i="2"/>
  <c r="E464" i="2"/>
  <c r="R460" i="2"/>
  <c r="E457" i="2"/>
  <c r="O453" i="2"/>
  <c r="AU449" i="2"/>
  <c r="S445" i="2"/>
  <c r="U441" i="2"/>
  <c r="C438" i="2"/>
  <c r="G434" i="2"/>
  <c r="S430" i="2"/>
  <c r="E427" i="2"/>
  <c r="I423" i="2"/>
  <c r="AU418" i="2"/>
  <c r="F415" i="2"/>
  <c r="J411" i="2"/>
  <c r="Z407" i="2"/>
  <c r="H404" i="2"/>
  <c r="Q401" i="2"/>
  <c r="P400" i="2"/>
  <c r="H399" i="2"/>
  <c r="Z397" i="2"/>
  <c r="Z396" i="2"/>
  <c r="P395" i="2"/>
  <c r="I394" i="2"/>
  <c r="H393" i="2"/>
  <c r="C392" i="2"/>
  <c r="W390" i="2"/>
  <c r="S389" i="2"/>
  <c r="L388" i="2"/>
  <c r="G387" i="2"/>
  <c r="F386" i="2"/>
  <c r="AN384" i="2"/>
  <c r="S383" i="2"/>
  <c r="Q382" i="2"/>
  <c r="H381" i="2"/>
  <c r="D380" i="2"/>
  <c r="C379" i="2"/>
  <c r="U377" i="2"/>
  <c r="O376" i="2"/>
  <c r="O375" i="2"/>
  <c r="Q374" i="2"/>
  <c r="W373" i="2"/>
  <c r="F373" i="2"/>
  <c r="N372" i="2"/>
  <c r="AU371" i="2"/>
  <c r="H371" i="2"/>
  <c r="U370" i="2"/>
  <c r="G370" i="2"/>
  <c r="U369" i="2"/>
  <c r="G369" i="2"/>
  <c r="W368" i="2"/>
  <c r="I368" i="2"/>
  <c r="AN367" i="2"/>
  <c r="L367" i="2"/>
  <c r="C367" i="2"/>
  <c r="Q366" i="2"/>
  <c r="D366" i="2"/>
  <c r="Q365" i="2"/>
  <c r="F365" i="2"/>
  <c r="U364" i="2"/>
  <c r="I364" i="2"/>
  <c r="AN363" i="2"/>
  <c r="L363" i="2"/>
  <c r="C363" i="2"/>
  <c r="P362" i="2"/>
  <c r="E362" i="2"/>
  <c r="S361" i="2"/>
  <c r="G361" i="2"/>
  <c r="W360" i="2"/>
  <c r="I360" i="2"/>
  <c r="AN359" i="2"/>
  <c r="L359" i="2"/>
  <c r="C359" i="2"/>
  <c r="P358" i="2"/>
  <c r="E358" i="2"/>
  <c r="S357" i="2"/>
  <c r="F357" i="2"/>
  <c r="U356" i="2"/>
  <c r="H356" i="2"/>
  <c r="Z355" i="2"/>
  <c r="J355" i="2"/>
  <c r="AU354" i="2"/>
  <c r="O354" i="2"/>
  <c r="D354" i="2"/>
  <c r="Q353" i="2"/>
  <c r="F353" i="2"/>
  <c r="U352" i="2"/>
  <c r="H352" i="2"/>
  <c r="Z351" i="2"/>
  <c r="J351" i="2"/>
  <c r="AU350" i="2"/>
  <c r="O350" i="2"/>
  <c r="D350" i="2"/>
  <c r="R349" i="2"/>
  <c r="G349" i="2"/>
  <c r="W348" i="2"/>
  <c r="I348" i="2"/>
  <c r="AN347" i="2"/>
  <c r="L347" i="2"/>
  <c r="C347" i="2"/>
  <c r="P346" i="2"/>
  <c r="E346" i="2"/>
  <c r="S345" i="2"/>
  <c r="G345" i="2"/>
  <c r="W344" i="2"/>
  <c r="I344" i="2"/>
  <c r="AN343" i="2"/>
  <c r="L343" i="2"/>
  <c r="C343" i="2"/>
  <c r="Q342" i="2"/>
  <c r="D342" i="2"/>
  <c r="Q341" i="2"/>
  <c r="F341" i="2"/>
  <c r="U340" i="2"/>
  <c r="I340" i="2"/>
  <c r="AN339" i="2"/>
  <c r="L339" i="2"/>
  <c r="C339" i="2"/>
  <c r="P338" i="2"/>
  <c r="E338" i="2"/>
  <c r="S337" i="2"/>
  <c r="G337" i="2"/>
  <c r="W336" i="2"/>
  <c r="I336" i="2"/>
  <c r="AN335" i="2"/>
  <c r="L335" i="2"/>
  <c r="C335" i="2"/>
  <c r="P334" i="2"/>
  <c r="E334" i="2"/>
  <c r="S333" i="2"/>
  <c r="F333" i="2"/>
  <c r="U332" i="2"/>
  <c r="H332" i="2"/>
  <c r="Z331" i="2"/>
  <c r="J331" i="2"/>
  <c r="AU330" i="2"/>
  <c r="O330" i="2"/>
  <c r="D330" i="2"/>
  <c r="Q329" i="2"/>
  <c r="F329" i="2"/>
  <c r="U328" i="2"/>
  <c r="H328" i="2"/>
  <c r="Z327" i="2"/>
  <c r="J327" i="2"/>
  <c r="AU326" i="2"/>
  <c r="O326" i="2"/>
  <c r="D326" i="2"/>
  <c r="R325" i="2"/>
  <c r="G325" i="2"/>
  <c r="W324" i="2"/>
  <c r="I324" i="2"/>
  <c r="AN323" i="2"/>
  <c r="L323" i="2"/>
  <c r="C323" i="2"/>
  <c r="P322" i="2"/>
  <c r="E322" i="2"/>
  <c r="S321" i="2"/>
  <c r="G321" i="2"/>
  <c r="W320" i="2"/>
  <c r="I320" i="2"/>
  <c r="AN319" i="2"/>
  <c r="L319" i="2"/>
  <c r="C319" i="2"/>
  <c r="P318" i="2"/>
  <c r="E318" i="2"/>
  <c r="S317" i="2"/>
  <c r="H317" i="2"/>
  <c r="Z316" i="2"/>
  <c r="J316" i="2"/>
  <c r="AU315" i="2"/>
  <c r="O315" i="2"/>
  <c r="D315" i="2"/>
  <c r="Q314" i="2"/>
  <c r="F314" i="2"/>
  <c r="U313" i="2"/>
  <c r="H313" i="2"/>
  <c r="Z312" i="2"/>
  <c r="J312" i="2"/>
  <c r="AU311" i="2"/>
  <c r="O311" i="2"/>
  <c r="D311" i="2"/>
  <c r="Q310" i="2"/>
  <c r="F310" i="2"/>
  <c r="U309" i="2"/>
  <c r="H309" i="2"/>
  <c r="Z308" i="2"/>
  <c r="J308" i="2"/>
  <c r="AU307" i="2"/>
  <c r="O307" i="2"/>
  <c r="D307" i="2"/>
  <c r="Q306" i="2"/>
  <c r="F306" i="2"/>
  <c r="U305" i="2"/>
  <c r="H305" i="2"/>
  <c r="Z304" i="2"/>
  <c r="J304" i="2"/>
  <c r="AU303" i="2"/>
  <c r="G303" i="2"/>
  <c r="W302" i="2"/>
  <c r="J302" i="2"/>
  <c r="AU301" i="2"/>
  <c r="I301" i="2"/>
  <c r="AN300" i="2"/>
  <c r="H300" i="2"/>
  <c r="Z299" i="2"/>
  <c r="F299" i="2"/>
  <c r="S298" i="2"/>
  <c r="D298" i="2"/>
  <c r="R297" i="2"/>
  <c r="F297" i="2"/>
  <c r="S296" i="2"/>
  <c r="D296" i="2"/>
  <c r="Q295" i="2"/>
  <c r="F295" i="2"/>
  <c r="U294" i="2"/>
  <c r="H294" i="2"/>
  <c r="Z293" i="2"/>
  <c r="J293" i="2"/>
  <c r="AU292" i="2"/>
  <c r="O292" i="2"/>
  <c r="D292" i="2"/>
  <c r="Q291" i="2"/>
  <c r="F291" i="2"/>
  <c r="U290" i="2"/>
  <c r="G290" i="2"/>
  <c r="U289" i="2"/>
  <c r="E289" i="2"/>
  <c r="S288" i="2"/>
  <c r="G288" i="2"/>
  <c r="W287" i="2"/>
  <c r="J287" i="2"/>
  <c r="AU286" i="2"/>
  <c r="N286" i="2"/>
  <c r="D286" i="2"/>
  <c r="Q285" i="2"/>
  <c r="F285" i="2"/>
  <c r="U284" i="2"/>
  <c r="H284" i="2"/>
  <c r="Z283" i="2"/>
  <c r="J283" i="2"/>
  <c r="AU282" i="2"/>
  <c r="O282" i="2"/>
  <c r="D282" i="2"/>
  <c r="Q281" i="2"/>
  <c r="F281" i="2"/>
  <c r="U280" i="2"/>
  <c r="G280" i="2"/>
  <c r="W279" i="2"/>
  <c r="I279" i="2"/>
  <c r="D600" i="2"/>
  <c r="L552" i="2"/>
  <c r="P522" i="2"/>
  <c r="Q492" i="2"/>
  <c r="O471" i="2"/>
  <c r="O467" i="2"/>
  <c r="S463" i="2"/>
  <c r="G460" i="2"/>
  <c r="S456" i="2"/>
  <c r="D453" i="2"/>
  <c r="O449" i="2"/>
  <c r="D445" i="2"/>
  <c r="E441" i="2"/>
  <c r="P437" i="2"/>
  <c r="W433" i="2"/>
  <c r="G430" i="2"/>
  <c r="S426" i="2"/>
  <c r="AN422" i="2"/>
  <c r="O418" i="2"/>
  <c r="U414" i="2"/>
  <c r="AU410" i="2"/>
  <c r="J407" i="2"/>
  <c r="Z403" i="2"/>
  <c r="O401" i="2"/>
  <c r="H400" i="2"/>
  <c r="G399" i="2"/>
  <c r="U397" i="2"/>
  <c r="Q396" i="2"/>
  <c r="O395" i="2"/>
  <c r="G394" i="2"/>
  <c r="C393" i="2"/>
  <c r="AU391" i="2"/>
  <c r="S390" i="2"/>
  <c r="J389" i="2"/>
  <c r="J388" i="2"/>
  <c r="E387" i="2"/>
  <c r="AN385" i="2"/>
  <c r="Z384" i="2"/>
  <c r="P383" i="2"/>
  <c r="I382" i="2"/>
  <c r="G381" i="2"/>
  <c r="AU379" i="2"/>
  <c r="U378" i="2"/>
  <c r="S377" i="2"/>
  <c r="J376" i="2"/>
  <c r="L375" i="2"/>
  <c r="P374" i="2"/>
  <c r="U373" i="2"/>
  <c r="C373" i="2"/>
  <c r="L372" i="2"/>
  <c r="Z371" i="2"/>
  <c r="G371" i="2"/>
  <c r="S370" i="2"/>
  <c r="F370" i="2"/>
  <c r="S369" i="2"/>
  <c r="F369" i="2"/>
  <c r="U368" i="2"/>
  <c r="H368" i="2"/>
  <c r="Z367" i="2"/>
  <c r="J367" i="2"/>
  <c r="AU366" i="2"/>
  <c r="L366" i="2"/>
  <c r="C366" i="2"/>
  <c r="P365" i="2"/>
  <c r="E365" i="2"/>
  <c r="S364" i="2"/>
  <c r="H364" i="2"/>
  <c r="Z363" i="2"/>
  <c r="J363" i="2"/>
  <c r="AU362" i="2"/>
  <c r="O362" i="2"/>
  <c r="D362" i="2"/>
  <c r="Q361" i="2"/>
  <c r="F361" i="2"/>
  <c r="U360" i="2"/>
  <c r="H360" i="2"/>
  <c r="Z359" i="2"/>
  <c r="J359" i="2"/>
  <c r="AU358" i="2"/>
  <c r="O358" i="2"/>
  <c r="D358" i="2"/>
  <c r="R357" i="2"/>
  <c r="E357" i="2"/>
  <c r="S356" i="2"/>
  <c r="G356" i="2"/>
  <c r="W355" i="2"/>
  <c r="I355" i="2"/>
  <c r="AN354" i="2"/>
  <c r="L354" i="2"/>
  <c r="C354" i="2"/>
  <c r="P353" i="2"/>
  <c r="E353" i="2"/>
  <c r="S352" i="2"/>
  <c r="G352" i="2"/>
  <c r="W351" i="2"/>
  <c r="I351" i="2"/>
  <c r="AN350" i="2"/>
  <c r="L350" i="2"/>
  <c r="C350" i="2"/>
  <c r="Q349" i="2"/>
  <c r="F349" i="2"/>
  <c r="U348" i="2"/>
  <c r="H348" i="2"/>
  <c r="Z347" i="2"/>
  <c r="J347" i="2"/>
  <c r="AU346" i="2"/>
  <c r="O346" i="2"/>
  <c r="D346" i="2"/>
  <c r="Q345" i="2"/>
  <c r="F345" i="2"/>
  <c r="U344" i="2"/>
  <c r="H344" i="2"/>
  <c r="Z343" i="2"/>
  <c r="J343" i="2"/>
  <c r="AU342" i="2"/>
  <c r="L342" i="2"/>
  <c r="C342" i="2"/>
  <c r="P341" i="2"/>
  <c r="E341" i="2"/>
  <c r="S340" i="2"/>
  <c r="H340" i="2"/>
  <c r="Z339" i="2"/>
  <c r="J339" i="2"/>
  <c r="AU338" i="2"/>
  <c r="O338" i="2"/>
  <c r="D338" i="2"/>
  <c r="Q337" i="2"/>
  <c r="F337" i="2"/>
  <c r="U336" i="2"/>
  <c r="H336" i="2"/>
  <c r="Z335" i="2"/>
  <c r="J335" i="2"/>
  <c r="AU334" i="2"/>
  <c r="O334" i="2"/>
  <c r="D334" i="2"/>
  <c r="R333" i="2"/>
  <c r="E333" i="2"/>
  <c r="S332" i="2"/>
  <c r="G332" i="2"/>
  <c r="W331" i="2"/>
  <c r="I331" i="2"/>
  <c r="AN330" i="2"/>
  <c r="L330" i="2"/>
  <c r="C330" i="2"/>
  <c r="P329" i="2"/>
  <c r="E329" i="2"/>
  <c r="S328" i="2"/>
  <c r="G328" i="2"/>
  <c r="W327" i="2"/>
  <c r="I327" i="2"/>
  <c r="AN326" i="2"/>
  <c r="L326" i="2"/>
  <c r="C326" i="2"/>
  <c r="Q325" i="2"/>
  <c r="F325" i="2"/>
  <c r="U324" i="2"/>
  <c r="H324" i="2"/>
  <c r="Z323" i="2"/>
  <c r="J323" i="2"/>
  <c r="AN588" i="2"/>
  <c r="D548" i="2"/>
  <c r="C519" i="2"/>
  <c r="D489" i="2"/>
  <c r="AN470" i="2"/>
  <c r="D467" i="2"/>
  <c r="H463" i="2"/>
  <c r="W459" i="2"/>
  <c r="F456" i="2"/>
  <c r="Q452" i="2"/>
  <c r="D449" i="2"/>
  <c r="L444" i="2"/>
  <c r="S440" i="2"/>
  <c r="E437" i="2"/>
  <c r="I433" i="2"/>
  <c r="W429" i="2"/>
  <c r="G426" i="2"/>
  <c r="G422" i="2"/>
  <c r="D418" i="2"/>
  <c r="H414" i="2"/>
  <c r="O410" i="2"/>
  <c r="AU406" i="2"/>
  <c r="J403" i="2"/>
  <c r="L401" i="2"/>
  <c r="F400" i="2"/>
  <c r="AU398" i="2"/>
  <c r="S397" i="2"/>
  <c r="L396" i="2"/>
  <c r="G395" i="2"/>
  <c r="F394" i="2"/>
  <c r="AN392" i="2"/>
  <c r="S391" i="2"/>
  <c r="R390" i="2"/>
  <c r="H389" i="2"/>
  <c r="E388" i="2"/>
  <c r="D387" i="2"/>
  <c r="W385" i="2"/>
  <c r="P384" i="2"/>
  <c r="O383" i="2"/>
  <c r="G382" i="2"/>
  <c r="AU380" i="2"/>
  <c r="AN379" i="2"/>
  <c r="Q378" i="2"/>
  <c r="J377" i="2"/>
  <c r="I376" i="2"/>
  <c r="F375" i="2"/>
  <c r="H374" i="2"/>
  <c r="S373" i="2"/>
  <c r="AU372" i="2"/>
  <c r="J372" i="2"/>
  <c r="U371" i="2"/>
  <c r="F371" i="2"/>
  <c r="Q370" i="2"/>
  <c r="E370" i="2"/>
  <c r="Q369" i="2"/>
  <c r="E369" i="2"/>
  <c r="S368" i="2"/>
  <c r="G368" i="2"/>
  <c r="W367" i="2"/>
  <c r="I367" i="2"/>
  <c r="AN366" i="2"/>
  <c r="J366" i="2"/>
  <c r="AU365" i="2"/>
  <c r="O365" i="2"/>
  <c r="D365" i="2"/>
  <c r="R364" i="2"/>
  <c r="G364" i="2"/>
  <c r="W363" i="2"/>
  <c r="I363" i="2"/>
  <c r="AN362" i="2"/>
  <c r="L362" i="2"/>
  <c r="C362" i="2"/>
  <c r="P361" i="2"/>
  <c r="E361" i="2"/>
  <c r="S360" i="2"/>
  <c r="G360" i="2"/>
  <c r="W359" i="2"/>
  <c r="I359" i="2"/>
  <c r="AN358" i="2"/>
  <c r="L358" i="2"/>
  <c r="C358" i="2"/>
  <c r="Q357" i="2"/>
  <c r="D357" i="2"/>
  <c r="Q356" i="2"/>
  <c r="F356" i="2"/>
  <c r="U355" i="2"/>
  <c r="H355" i="2"/>
  <c r="Z354" i="2"/>
  <c r="J354" i="2"/>
  <c r="AU353" i="2"/>
  <c r="O353" i="2"/>
  <c r="D353" i="2"/>
  <c r="Q352" i="2"/>
  <c r="F352" i="2"/>
  <c r="U351" i="2"/>
  <c r="H351" i="2"/>
  <c r="Z350" i="2"/>
  <c r="J350" i="2"/>
  <c r="AU349" i="2"/>
  <c r="P349" i="2"/>
  <c r="E349" i="2"/>
  <c r="S348" i="2"/>
  <c r="G348" i="2"/>
  <c r="W347" i="2"/>
  <c r="I347" i="2"/>
  <c r="AN346" i="2"/>
  <c r="L346" i="2"/>
  <c r="C346" i="2"/>
  <c r="P345" i="2"/>
  <c r="E345" i="2"/>
  <c r="S344" i="2"/>
  <c r="G344" i="2"/>
  <c r="W343" i="2"/>
  <c r="I343" i="2"/>
  <c r="AN342" i="2"/>
  <c r="J342" i="2"/>
  <c r="AU341" i="2"/>
  <c r="O341" i="2"/>
  <c r="D341" i="2"/>
  <c r="R340" i="2"/>
  <c r="G340" i="2"/>
  <c r="W339" i="2"/>
  <c r="I339" i="2"/>
  <c r="AN338" i="2"/>
  <c r="L338" i="2"/>
  <c r="C338" i="2"/>
  <c r="P337" i="2"/>
  <c r="E337" i="2"/>
  <c r="S336" i="2"/>
  <c r="G336" i="2"/>
  <c r="W335" i="2"/>
  <c r="I335" i="2"/>
  <c r="AN334" i="2"/>
  <c r="L334" i="2"/>
  <c r="C334" i="2"/>
  <c r="Q333" i="2"/>
  <c r="D333" i="2"/>
  <c r="Q332" i="2"/>
  <c r="F332" i="2"/>
  <c r="U331" i="2"/>
  <c r="H331" i="2"/>
  <c r="Z330" i="2"/>
  <c r="J330" i="2"/>
  <c r="AU329" i="2"/>
  <c r="O329" i="2"/>
  <c r="D329" i="2"/>
  <c r="Q328" i="2"/>
  <c r="F328" i="2"/>
  <c r="U327" i="2"/>
  <c r="H327" i="2"/>
  <c r="Z326" i="2"/>
  <c r="J326" i="2"/>
  <c r="AU325" i="2"/>
  <c r="P325" i="2"/>
  <c r="E325" i="2"/>
  <c r="S324" i="2"/>
  <c r="G324" i="2"/>
  <c r="W323" i="2"/>
  <c r="I323" i="2"/>
  <c r="AN322" i="2"/>
  <c r="L322" i="2"/>
  <c r="C322" i="2"/>
  <c r="P321" i="2"/>
  <c r="E321" i="2"/>
  <c r="S320" i="2"/>
  <c r="G320" i="2"/>
  <c r="W319" i="2"/>
  <c r="I319" i="2"/>
  <c r="AN318" i="2"/>
  <c r="L318" i="2"/>
  <c r="C318" i="2"/>
  <c r="Q317" i="2"/>
  <c r="F317" i="2"/>
  <c r="U316" i="2"/>
  <c r="H316" i="2"/>
  <c r="Z315" i="2"/>
  <c r="J315" i="2"/>
  <c r="AU314" i="2"/>
  <c r="O314" i="2"/>
  <c r="D314" i="2"/>
  <c r="Q313" i="2"/>
  <c r="F313" i="2"/>
  <c r="U312" i="2"/>
  <c r="H312" i="2"/>
  <c r="Z311" i="2"/>
  <c r="J311" i="2"/>
  <c r="AU310" i="2"/>
  <c r="O310" i="2"/>
  <c r="D310" i="2"/>
  <c r="Q309" i="2"/>
  <c r="F309" i="2"/>
  <c r="U308" i="2"/>
  <c r="H308" i="2"/>
  <c r="Z307" i="2"/>
  <c r="J307" i="2"/>
  <c r="AU306" i="2"/>
  <c r="O306" i="2"/>
  <c r="D306" i="2"/>
  <c r="Q305" i="2"/>
  <c r="F305" i="2"/>
  <c r="U304" i="2"/>
  <c r="H304" i="2"/>
  <c r="Z303" i="2"/>
  <c r="E303" i="2"/>
  <c r="S302" i="2"/>
  <c r="H302" i="2"/>
  <c r="Z301" i="2"/>
  <c r="G301" i="2"/>
  <c r="U300" i="2"/>
  <c r="F300" i="2"/>
  <c r="S299" i="2"/>
  <c r="D299" i="2"/>
  <c r="L298" i="2"/>
  <c r="AU297" i="2"/>
  <c r="N297" i="2"/>
  <c r="D297" i="2"/>
  <c r="J296" i="2"/>
  <c r="AU295" i="2"/>
  <c r="O295" i="2"/>
  <c r="D295" i="2"/>
  <c r="Q294" i="2"/>
  <c r="F294" i="2"/>
  <c r="U293" i="2"/>
  <c r="H293" i="2"/>
  <c r="Z292" i="2"/>
  <c r="J292" i="2"/>
  <c r="AU291" i="2"/>
  <c r="O291" i="2"/>
  <c r="D291" i="2"/>
  <c r="R290" i="2"/>
  <c r="E290" i="2"/>
  <c r="L289" i="2"/>
  <c r="C289" i="2"/>
  <c r="P288" i="2"/>
  <c r="E288" i="2"/>
  <c r="S287" i="2"/>
  <c r="H287" i="2"/>
  <c r="Z286" i="2"/>
  <c r="J286" i="2"/>
  <c r="AU285" i="2"/>
  <c r="O285" i="2"/>
  <c r="D285" i="2"/>
  <c r="Q284" i="2"/>
  <c r="F284" i="2"/>
  <c r="U283" i="2"/>
  <c r="H283" i="2"/>
  <c r="Z282" i="2"/>
  <c r="J282" i="2"/>
  <c r="AU281" i="2"/>
  <c r="O281" i="2"/>
  <c r="D281" i="2"/>
  <c r="R280" i="2"/>
  <c r="E280" i="2"/>
  <c r="S279" i="2"/>
  <c r="G279" i="2"/>
  <c r="W278" i="2"/>
  <c r="I278" i="2"/>
  <c r="AN277" i="2"/>
  <c r="U579" i="2"/>
  <c r="H544" i="2"/>
  <c r="L515" i="2"/>
  <c r="L485" i="2"/>
  <c r="F470" i="2"/>
  <c r="R466" i="2"/>
  <c r="Z462" i="2"/>
  <c r="I459" i="2"/>
  <c r="U455" i="2"/>
  <c r="F452" i="2"/>
  <c r="J448" i="2"/>
  <c r="C444" i="2"/>
  <c r="G440" i="2"/>
  <c r="L436" i="2"/>
  <c r="AN432" i="2"/>
  <c r="I429" i="2"/>
  <c r="W425" i="2"/>
  <c r="U421" i="2"/>
  <c r="Q417" i="2"/>
  <c r="Z413" i="2"/>
  <c r="D410" i="2"/>
  <c r="O406" i="2"/>
  <c r="AU402" i="2"/>
  <c r="F401" i="2"/>
  <c r="E400" i="2"/>
  <c r="Z398" i="2"/>
  <c r="L397" i="2"/>
  <c r="J396" i="2"/>
  <c r="E395" i="2"/>
  <c r="AN393" i="2"/>
  <c r="Z392" i="2"/>
  <c r="P391" i="2"/>
  <c r="H390" i="2"/>
  <c r="G389" i="2"/>
  <c r="C388" i="2"/>
  <c r="W386" i="2"/>
  <c r="U385" i="2"/>
  <c r="L384" i="2"/>
  <c r="G383" i="2"/>
  <c r="F382" i="2"/>
  <c r="Z380" i="2"/>
  <c r="Q379" i="2"/>
  <c r="P378" i="2"/>
  <c r="H377" i="2"/>
  <c r="D376" i="2"/>
  <c r="E375" i="2"/>
  <c r="G374" i="2"/>
  <c r="Q373" i="2"/>
  <c r="AN372" i="2"/>
  <c r="H372" i="2"/>
  <c r="S371" i="2"/>
  <c r="E371" i="2"/>
  <c r="P370" i="2"/>
  <c r="D370" i="2"/>
  <c r="O369" i="2"/>
  <c r="D369" i="2"/>
  <c r="Q368" i="2"/>
  <c r="F368" i="2"/>
  <c r="U367" i="2"/>
  <c r="H367" i="2"/>
  <c r="Z366" i="2"/>
  <c r="I366" i="2"/>
  <c r="AN365" i="2"/>
  <c r="L365" i="2"/>
  <c r="C365" i="2"/>
  <c r="Q364" i="2"/>
  <c r="F364" i="2"/>
  <c r="U363" i="2"/>
  <c r="H363" i="2"/>
  <c r="Z362" i="2"/>
  <c r="J362" i="2"/>
  <c r="AU361" i="2"/>
  <c r="O361" i="2"/>
  <c r="D361" i="2"/>
  <c r="Q360" i="2"/>
  <c r="F360" i="2"/>
  <c r="U359" i="2"/>
  <c r="H359" i="2"/>
  <c r="Z358" i="2"/>
  <c r="J358" i="2"/>
  <c r="AU357" i="2"/>
  <c r="L357" i="2"/>
  <c r="C357" i="2"/>
  <c r="P356" i="2"/>
  <c r="E356" i="2"/>
  <c r="S355" i="2"/>
  <c r="G355" i="2"/>
  <c r="W354" i="2"/>
  <c r="I354" i="2"/>
  <c r="AN353" i="2"/>
  <c r="L353" i="2"/>
  <c r="C353" i="2"/>
  <c r="P352" i="2"/>
  <c r="E352" i="2"/>
  <c r="S351" i="2"/>
  <c r="G351" i="2"/>
  <c r="W350" i="2"/>
  <c r="I350" i="2"/>
  <c r="AN349" i="2"/>
  <c r="O349" i="2"/>
  <c r="D349" i="2"/>
  <c r="R348" i="2"/>
  <c r="F348" i="2"/>
  <c r="U347" i="2"/>
  <c r="H347" i="2"/>
  <c r="Z346" i="2"/>
  <c r="J346" i="2"/>
  <c r="AU345" i="2"/>
  <c r="O345" i="2"/>
  <c r="D345" i="2"/>
  <c r="Q344" i="2"/>
  <c r="F344" i="2"/>
  <c r="U343" i="2"/>
  <c r="H343" i="2"/>
  <c r="Z342" i="2"/>
  <c r="I342" i="2"/>
  <c r="AN341" i="2"/>
  <c r="L341" i="2"/>
  <c r="C341" i="2"/>
  <c r="Q340" i="2"/>
  <c r="F340" i="2"/>
  <c r="U339" i="2"/>
  <c r="H339" i="2"/>
  <c r="Z338" i="2"/>
  <c r="J338" i="2"/>
  <c r="AU337" i="2"/>
  <c r="O337" i="2"/>
  <c r="D337" i="2"/>
  <c r="Q336" i="2"/>
  <c r="F336" i="2"/>
  <c r="U335" i="2"/>
  <c r="H335" i="2"/>
  <c r="Z334" i="2"/>
  <c r="J334" i="2"/>
  <c r="AU333" i="2"/>
  <c r="L333" i="2"/>
  <c r="C333" i="2"/>
  <c r="P332" i="2"/>
  <c r="E332" i="2"/>
  <c r="S331" i="2"/>
  <c r="G331" i="2"/>
  <c r="W330" i="2"/>
  <c r="I330" i="2"/>
  <c r="AN329" i="2"/>
  <c r="L329" i="2"/>
  <c r="C329" i="2"/>
  <c r="P328" i="2"/>
  <c r="E328" i="2"/>
  <c r="S327" i="2"/>
  <c r="G327" i="2"/>
  <c r="W326" i="2"/>
  <c r="I326" i="2"/>
  <c r="AN325" i="2"/>
  <c r="O325" i="2"/>
  <c r="D325" i="2"/>
  <c r="R324" i="2"/>
  <c r="F324" i="2"/>
  <c r="U323" i="2"/>
  <c r="H323" i="2"/>
  <c r="Z322" i="2"/>
  <c r="J322" i="2"/>
  <c r="AU321" i="2"/>
  <c r="E574" i="2"/>
  <c r="S540" i="2"/>
  <c r="Z511" i="2"/>
  <c r="AN481" i="2"/>
  <c r="U469" i="2"/>
  <c r="E466" i="2"/>
  <c r="J462" i="2"/>
  <c r="AN458" i="2"/>
  <c r="H455" i="2"/>
  <c r="U451" i="2"/>
  <c r="AU447" i="2"/>
  <c r="P443" i="2"/>
  <c r="W439" i="2"/>
  <c r="C436" i="2"/>
  <c r="L432" i="2"/>
  <c r="AN428" i="2"/>
  <c r="I425" i="2"/>
  <c r="E421" i="2"/>
  <c r="F417" i="2"/>
  <c r="J413" i="2"/>
  <c r="Q409" i="2"/>
  <c r="D406" i="2"/>
  <c r="O402" i="2"/>
  <c r="D401" i="2"/>
  <c r="Z399" i="2"/>
  <c r="U398" i="2"/>
  <c r="I397" i="2"/>
  <c r="E396" i="2"/>
  <c r="D395" i="2"/>
  <c r="W393" i="2"/>
  <c r="P392" i="2"/>
  <c r="O391" i="2"/>
  <c r="F390" i="2"/>
  <c r="AU388" i="2"/>
  <c r="AU387" i="2"/>
  <c r="S386" i="2"/>
  <c r="L385" i="2"/>
  <c r="J384" i="2"/>
  <c r="E383" i="2"/>
  <c r="AN381" i="2"/>
  <c r="W380" i="2"/>
  <c r="O379" i="2"/>
  <c r="H378" i="2"/>
  <c r="G377" i="2"/>
  <c r="AU375" i="2"/>
  <c r="D375" i="2"/>
  <c r="F374" i="2"/>
  <c r="L373" i="2"/>
  <c r="Z372" i="2"/>
  <c r="F372" i="2"/>
  <c r="Q371" i="2"/>
  <c r="D371" i="2"/>
  <c r="O370" i="2"/>
  <c r="AU369" i="2"/>
  <c r="L369" i="2"/>
  <c r="C369" i="2"/>
  <c r="P368" i="2"/>
  <c r="E368" i="2"/>
  <c r="S367" i="2"/>
  <c r="G367" i="2"/>
  <c r="W366" i="2"/>
  <c r="H366" i="2"/>
  <c r="Z365" i="2"/>
  <c r="J365" i="2"/>
  <c r="AU364" i="2"/>
  <c r="P364" i="2"/>
  <c r="E364" i="2"/>
  <c r="S363" i="2"/>
  <c r="G363" i="2"/>
  <c r="W362" i="2"/>
  <c r="I362" i="2"/>
  <c r="AN361" i="2"/>
  <c r="L361" i="2"/>
  <c r="C361" i="2"/>
  <c r="P360" i="2"/>
  <c r="E360" i="2"/>
  <c r="S359" i="2"/>
  <c r="G359" i="2"/>
  <c r="W358" i="2"/>
  <c r="I358" i="2"/>
  <c r="AN357" i="2"/>
  <c r="J357" i="2"/>
  <c r="AU356" i="2"/>
  <c r="O356" i="2"/>
  <c r="D356" i="2"/>
  <c r="Q355" i="2"/>
  <c r="F355" i="2"/>
  <c r="U354" i="2"/>
  <c r="H354" i="2"/>
  <c r="Z353" i="2"/>
  <c r="J353" i="2"/>
  <c r="AU352" i="2"/>
  <c r="O352" i="2"/>
  <c r="D352" i="2"/>
  <c r="Q351" i="2"/>
  <c r="F351" i="2"/>
  <c r="U350" i="2"/>
  <c r="H350" i="2"/>
  <c r="Z349" i="2"/>
  <c r="L349" i="2"/>
  <c r="C349" i="2"/>
  <c r="Q348" i="2"/>
  <c r="E348" i="2"/>
  <c r="S347" i="2"/>
  <c r="G347" i="2"/>
  <c r="W346" i="2"/>
  <c r="I346" i="2"/>
  <c r="AN345" i="2"/>
  <c r="L345" i="2"/>
  <c r="C345" i="2"/>
  <c r="P344" i="2"/>
  <c r="E344" i="2"/>
  <c r="S343" i="2"/>
  <c r="G343" i="2"/>
  <c r="W342" i="2"/>
  <c r="H342" i="2"/>
  <c r="Z341" i="2"/>
  <c r="J341" i="2"/>
  <c r="AU340" i="2"/>
  <c r="P340" i="2"/>
  <c r="E340" i="2"/>
  <c r="S339" i="2"/>
  <c r="G339" i="2"/>
  <c r="W338" i="2"/>
  <c r="I338" i="2"/>
  <c r="AN337" i="2"/>
  <c r="L337" i="2"/>
  <c r="C337" i="2"/>
  <c r="P336" i="2"/>
  <c r="E336" i="2"/>
  <c r="S335" i="2"/>
  <c r="G335" i="2"/>
  <c r="W334" i="2"/>
  <c r="I334" i="2"/>
  <c r="AN333" i="2"/>
  <c r="J333" i="2"/>
  <c r="AU332" i="2"/>
  <c r="O332" i="2"/>
  <c r="D332" i="2"/>
  <c r="Q331" i="2"/>
  <c r="F331" i="2"/>
  <c r="U330" i="2"/>
  <c r="H330" i="2"/>
  <c r="Z329" i="2"/>
  <c r="J329" i="2"/>
  <c r="AU328" i="2"/>
  <c r="O328" i="2"/>
  <c r="D328" i="2"/>
  <c r="Q327" i="2"/>
  <c r="F327" i="2"/>
  <c r="U326" i="2"/>
  <c r="H326" i="2"/>
  <c r="Z325" i="2"/>
  <c r="L325" i="2"/>
  <c r="C325" i="2"/>
  <c r="Q324" i="2"/>
  <c r="E324" i="2"/>
  <c r="S323" i="2"/>
  <c r="G323" i="2"/>
  <c r="W322" i="2"/>
  <c r="I322" i="2"/>
  <c r="AN321" i="2"/>
  <c r="L321" i="2"/>
  <c r="C321" i="2"/>
  <c r="P320" i="2"/>
  <c r="E320" i="2"/>
  <c r="S319" i="2"/>
  <c r="G319" i="2"/>
  <c r="W318" i="2"/>
  <c r="I318" i="2"/>
  <c r="AN317" i="2"/>
  <c r="O317" i="2"/>
  <c r="D317" i="2"/>
  <c r="R316" i="2"/>
  <c r="F316" i="2"/>
  <c r="U315" i="2"/>
  <c r="H315" i="2"/>
  <c r="Z314" i="2"/>
  <c r="J314" i="2"/>
  <c r="AU313" i="2"/>
  <c r="O313" i="2"/>
  <c r="D313" i="2"/>
  <c r="Q312" i="2"/>
  <c r="F312" i="2"/>
  <c r="U311" i="2"/>
  <c r="H311" i="2"/>
  <c r="Z310" i="2"/>
  <c r="J310" i="2"/>
  <c r="AU309" i="2"/>
  <c r="O309" i="2"/>
  <c r="D309" i="2"/>
  <c r="Q308" i="2"/>
  <c r="F308" i="2"/>
  <c r="U307" i="2"/>
  <c r="H307" i="2"/>
  <c r="Z306" i="2"/>
  <c r="J306" i="2"/>
  <c r="AU305" i="2"/>
  <c r="O305" i="2"/>
  <c r="D305" i="2"/>
  <c r="Q304" i="2"/>
  <c r="F304" i="2"/>
  <c r="S303" i="2"/>
  <c r="C303" i="2"/>
  <c r="Q302" i="2"/>
  <c r="F302" i="2"/>
  <c r="S301" i="2"/>
  <c r="E301" i="2"/>
  <c r="R300" i="2"/>
  <c r="D300" i="2"/>
  <c r="J299" i="2"/>
  <c r="AU298" i="2"/>
  <c r="H298" i="2"/>
  <c r="Z297" i="2"/>
  <c r="J297" i="2"/>
  <c r="AU296" i="2"/>
  <c r="H296" i="2"/>
  <c r="Z295" i="2"/>
  <c r="J295" i="2"/>
  <c r="AU294" i="2"/>
  <c r="O294" i="2"/>
  <c r="D294" i="2"/>
  <c r="Q293" i="2"/>
  <c r="F293" i="2"/>
  <c r="U292" i="2"/>
  <c r="H292" i="2"/>
  <c r="Z291" i="2"/>
  <c r="J291" i="2"/>
  <c r="AU290" i="2"/>
  <c r="L290" i="2"/>
  <c r="C290" i="2"/>
  <c r="I289" i="2"/>
  <c r="AN288" i="2"/>
  <c r="L288" i="2"/>
  <c r="C288" i="2"/>
  <c r="Q287" i="2"/>
  <c r="F287" i="2"/>
  <c r="U286" i="2"/>
  <c r="H286" i="2"/>
  <c r="Z285" i="2"/>
  <c r="J285" i="2"/>
  <c r="AU284" i="2"/>
  <c r="O284" i="2"/>
  <c r="D284" i="2"/>
  <c r="Q283" i="2"/>
  <c r="F283" i="2"/>
  <c r="U282" i="2"/>
  <c r="H282" i="2"/>
  <c r="Z281" i="2"/>
  <c r="J281" i="2"/>
  <c r="AU280" i="2"/>
  <c r="L280" i="2"/>
  <c r="C280" i="2"/>
  <c r="S569" i="2"/>
  <c r="AU536" i="2"/>
  <c r="I508" i="2"/>
  <c r="F478" i="2"/>
  <c r="H469" i="2"/>
  <c r="S465" i="2"/>
  <c r="AU461" i="2"/>
  <c r="L458" i="2"/>
  <c r="Z454" i="2"/>
  <c r="H451" i="2"/>
  <c r="H447" i="2"/>
  <c r="E443" i="2"/>
  <c r="I439" i="2"/>
  <c r="P435" i="2"/>
  <c r="C432" i="2"/>
  <c r="L428" i="2"/>
  <c r="AN424" i="2"/>
  <c r="L420" i="2"/>
  <c r="S416" i="2"/>
  <c r="AU412" i="2"/>
  <c r="F409" i="2"/>
  <c r="Q405" i="2"/>
  <c r="D402" i="2"/>
  <c r="C401" i="2"/>
  <c r="U399" i="2"/>
  <c r="H398" i="2"/>
  <c r="H397" i="2"/>
  <c r="C396" i="2"/>
  <c r="W394" i="2"/>
  <c r="U393" i="2"/>
  <c r="L392" i="2"/>
  <c r="G391" i="2"/>
  <c r="E390" i="2"/>
  <c r="Z388" i="2"/>
  <c r="S387" i="2"/>
  <c r="Q386" i="2"/>
  <c r="I385" i="2"/>
  <c r="E384" i="2"/>
  <c r="D383" i="2"/>
  <c r="W381" i="2"/>
  <c r="O380" i="2"/>
  <c r="L379" i="2"/>
  <c r="F378" i="2"/>
  <c r="AU376" i="2"/>
  <c r="AN375" i="2"/>
  <c r="C375" i="2"/>
  <c r="E374" i="2"/>
  <c r="J373" i="2"/>
  <c r="U372" i="2"/>
  <c r="E372" i="2"/>
  <c r="P371" i="2"/>
  <c r="AU370" i="2"/>
  <c r="J370" i="2"/>
  <c r="AN369" i="2"/>
  <c r="J369" i="2"/>
  <c r="AU368" i="2"/>
  <c r="O368" i="2"/>
  <c r="D368" i="2"/>
  <c r="Q367" i="2"/>
  <c r="F367" i="2"/>
  <c r="U366" i="2"/>
  <c r="G366" i="2"/>
  <c r="W365" i="2"/>
  <c r="I365" i="2"/>
  <c r="AN364" i="2"/>
  <c r="O364" i="2"/>
  <c r="D364" i="2"/>
  <c r="R363" i="2"/>
  <c r="F363" i="2"/>
  <c r="U362" i="2"/>
  <c r="H362" i="2"/>
  <c r="Z361" i="2"/>
  <c r="J361" i="2"/>
  <c r="AU360" i="2"/>
  <c r="O360" i="2"/>
  <c r="D360" i="2"/>
  <c r="Q359" i="2"/>
  <c r="F359" i="2"/>
  <c r="U358" i="2"/>
  <c r="H358" i="2"/>
  <c r="Z357" i="2"/>
  <c r="I357" i="2"/>
  <c r="AN356" i="2"/>
  <c r="L356" i="2"/>
  <c r="C356" i="2"/>
  <c r="P355" i="2"/>
  <c r="E355" i="2"/>
  <c r="S354" i="2"/>
  <c r="G354" i="2"/>
  <c r="W353" i="2"/>
  <c r="I353" i="2"/>
  <c r="AN352" i="2"/>
  <c r="L352" i="2"/>
  <c r="C352" i="2"/>
  <c r="P351" i="2"/>
  <c r="E351" i="2"/>
  <c r="S350" i="2"/>
  <c r="G350" i="2"/>
  <c r="W349" i="2"/>
  <c r="J349" i="2"/>
  <c r="AU348" i="2"/>
  <c r="N348" i="2"/>
  <c r="D348" i="2"/>
  <c r="Q347" i="2"/>
  <c r="F347" i="2"/>
  <c r="U346" i="2"/>
  <c r="H346" i="2"/>
  <c r="Z345" i="2"/>
  <c r="J345" i="2"/>
  <c r="AU344" i="2"/>
  <c r="O344" i="2"/>
  <c r="D344" i="2"/>
  <c r="Q343" i="2"/>
  <c r="F343" i="2"/>
  <c r="U342" i="2"/>
  <c r="G342" i="2"/>
  <c r="W341" i="2"/>
  <c r="I341" i="2"/>
  <c r="AN340" i="2"/>
  <c r="O340" i="2"/>
  <c r="D340" i="2"/>
  <c r="R339" i="2"/>
  <c r="F339" i="2"/>
  <c r="U338" i="2"/>
  <c r="H338" i="2"/>
  <c r="Z337" i="2"/>
  <c r="J337" i="2"/>
  <c r="AU336" i="2"/>
  <c r="O336" i="2"/>
  <c r="D336" i="2"/>
  <c r="Q335" i="2"/>
  <c r="F335" i="2"/>
  <c r="U334" i="2"/>
  <c r="H334" i="2"/>
  <c r="Z333" i="2"/>
  <c r="I333" i="2"/>
  <c r="AN332" i="2"/>
  <c r="L332" i="2"/>
  <c r="C332" i="2"/>
  <c r="P331" i="2"/>
  <c r="E331" i="2"/>
  <c r="S330" i="2"/>
  <c r="G330" i="2"/>
  <c r="W329" i="2"/>
  <c r="I329" i="2"/>
  <c r="AN328" i="2"/>
  <c r="L328" i="2"/>
  <c r="C328" i="2"/>
  <c r="P327" i="2"/>
  <c r="E327" i="2"/>
  <c r="S326" i="2"/>
  <c r="G326" i="2"/>
  <c r="W325" i="2"/>
  <c r="J325" i="2"/>
  <c r="AU324" i="2"/>
  <c r="N324" i="2"/>
  <c r="D324" i="2"/>
  <c r="Q323" i="2"/>
  <c r="F323" i="2"/>
  <c r="U322" i="2"/>
  <c r="H322" i="2"/>
  <c r="Z321" i="2"/>
  <c r="J321" i="2"/>
  <c r="AU320" i="2"/>
  <c r="O320" i="2"/>
  <c r="D320" i="2"/>
  <c r="Q319" i="2"/>
  <c r="F319" i="2"/>
  <c r="U318" i="2"/>
  <c r="H318" i="2"/>
  <c r="Z317" i="2"/>
  <c r="L317" i="2"/>
  <c r="C317" i="2"/>
  <c r="Q316" i="2"/>
  <c r="E316" i="2"/>
  <c r="S315" i="2"/>
  <c r="G315" i="2"/>
  <c r="W314" i="2"/>
  <c r="I314" i="2"/>
  <c r="AN313" i="2"/>
  <c r="L313" i="2"/>
  <c r="C313" i="2"/>
  <c r="P312" i="2"/>
  <c r="E312" i="2"/>
  <c r="S311" i="2"/>
  <c r="G311" i="2"/>
  <c r="W310" i="2"/>
  <c r="I310" i="2"/>
  <c r="AN309" i="2"/>
  <c r="L309" i="2"/>
  <c r="C309" i="2"/>
  <c r="P308" i="2"/>
  <c r="E308" i="2"/>
  <c r="S307" i="2"/>
  <c r="G307" i="2"/>
  <c r="W306" i="2"/>
  <c r="I306" i="2"/>
  <c r="AN305" i="2"/>
  <c r="L305" i="2"/>
  <c r="C305" i="2"/>
  <c r="P304" i="2"/>
  <c r="E304" i="2"/>
  <c r="L303" i="2"/>
  <c r="AU302" i="2"/>
  <c r="P302" i="2"/>
  <c r="E302" i="2"/>
  <c r="R301" i="2"/>
  <c r="D301" i="2"/>
  <c r="L300" i="2"/>
  <c r="C300" i="2"/>
  <c r="I299" i="2"/>
  <c r="AN298" i="2"/>
  <c r="G298" i="2"/>
  <c r="W297" i="2"/>
  <c r="I297" i="2"/>
  <c r="AN296" i="2"/>
  <c r="G296" i="2"/>
  <c r="W295" i="2"/>
  <c r="I295" i="2"/>
  <c r="AN294" i="2"/>
  <c r="L294" i="2"/>
  <c r="C294" i="2"/>
  <c r="P293" i="2"/>
  <c r="E293" i="2"/>
  <c r="S292" i="2"/>
  <c r="G292" i="2"/>
  <c r="W291" i="2"/>
  <c r="I291" i="2"/>
  <c r="AN290" i="2"/>
  <c r="J290" i="2"/>
  <c r="AU289" i="2"/>
  <c r="H289" i="2"/>
  <c r="Z288" i="2"/>
  <c r="J288" i="2"/>
  <c r="AU287" i="2"/>
  <c r="P287" i="2"/>
  <c r="E287" i="2"/>
  <c r="S286" i="2"/>
  <c r="G286" i="2"/>
  <c r="W285" i="2"/>
  <c r="I285" i="2"/>
  <c r="AN284" i="2"/>
  <c r="L284" i="2"/>
  <c r="C284" i="2"/>
  <c r="P283" i="2"/>
  <c r="E283" i="2"/>
  <c r="S282" i="2"/>
  <c r="G282" i="2"/>
  <c r="W281" i="2"/>
  <c r="I281" i="2"/>
  <c r="AN280" i="2"/>
  <c r="J280" i="2"/>
  <c r="AU279" i="2"/>
  <c r="O279" i="2"/>
  <c r="D279" i="2"/>
  <c r="Q278" i="2"/>
  <c r="F278" i="2"/>
  <c r="H565" i="2"/>
  <c r="J533" i="2"/>
  <c r="AU503" i="2"/>
  <c r="J474" i="2"/>
  <c r="Z468" i="2"/>
  <c r="G465" i="2"/>
  <c r="O461" i="2"/>
  <c r="C458" i="2"/>
  <c r="J454" i="2"/>
  <c r="Z450" i="2"/>
  <c r="Z446" i="2"/>
  <c r="S442" i="2"/>
  <c r="AN438" i="2"/>
  <c r="E435" i="2"/>
  <c r="P431" i="2"/>
  <c r="C428" i="2"/>
  <c r="L424" i="2"/>
  <c r="C420" i="2"/>
  <c r="D416" i="2"/>
  <c r="O412" i="2"/>
  <c r="U408" i="2"/>
  <c r="F405" i="2"/>
  <c r="AU401" i="2"/>
  <c r="U400" i="2"/>
  <c r="S399" i="2"/>
  <c r="F398" i="2"/>
  <c r="C397" i="2"/>
  <c r="AU395" i="2"/>
  <c r="S394" i="2"/>
  <c r="L393" i="2"/>
  <c r="J392" i="2"/>
  <c r="E391" i="2"/>
  <c r="Z389" i="2"/>
  <c r="W388" i="2"/>
  <c r="Q387" i="2"/>
  <c r="I386" i="2"/>
  <c r="H385" i="2"/>
  <c r="C384" i="2"/>
  <c r="W382" i="2"/>
  <c r="U381" i="2"/>
  <c r="J380" i="2"/>
  <c r="F379" i="2"/>
  <c r="E378" i="2"/>
  <c r="Z376" i="2"/>
  <c r="Q375" i="2"/>
  <c r="U374" i="2"/>
  <c r="C374" i="2"/>
  <c r="I373" i="2"/>
  <c r="R372" i="2"/>
  <c r="D372" i="2"/>
  <c r="O371" i="2"/>
  <c r="Z370" i="2"/>
  <c r="I370" i="2"/>
  <c r="Z369" i="2"/>
  <c r="I369" i="2"/>
  <c r="AN368" i="2"/>
  <c r="L368" i="2"/>
  <c r="C368" i="2"/>
  <c r="P367" i="2"/>
  <c r="E367" i="2"/>
  <c r="S366" i="2"/>
  <c r="F366" i="2"/>
  <c r="U365" i="2"/>
  <c r="H365" i="2"/>
  <c r="Z364" i="2"/>
  <c r="L364" i="2"/>
  <c r="C364" i="2"/>
  <c r="Q363" i="2"/>
  <c r="E363" i="2"/>
  <c r="S362" i="2"/>
  <c r="G362" i="2"/>
  <c r="W361" i="2"/>
  <c r="I361" i="2"/>
  <c r="AN360" i="2"/>
  <c r="L360" i="2"/>
  <c r="C360" i="2"/>
  <c r="P359" i="2"/>
  <c r="E359" i="2"/>
  <c r="S358" i="2"/>
  <c r="G358" i="2"/>
  <c r="W357" i="2"/>
  <c r="H357" i="2"/>
  <c r="Z356" i="2"/>
  <c r="J356" i="2"/>
  <c r="AU355" i="2"/>
  <c r="O355" i="2"/>
  <c r="D355" i="2"/>
  <c r="Q354" i="2"/>
  <c r="F354" i="2"/>
  <c r="U353" i="2"/>
  <c r="H353" i="2"/>
  <c r="Z352" i="2"/>
  <c r="J352" i="2"/>
  <c r="AU351" i="2"/>
  <c r="O351" i="2"/>
  <c r="D351" i="2"/>
  <c r="Q350" i="2"/>
  <c r="F350" i="2"/>
  <c r="U349" i="2"/>
  <c r="I349" i="2"/>
  <c r="AN348" i="2"/>
  <c r="L348" i="2"/>
  <c r="C348" i="2"/>
  <c r="P347" i="2"/>
  <c r="E347" i="2"/>
  <c r="S346" i="2"/>
  <c r="G346" i="2"/>
  <c r="W345" i="2"/>
  <c r="I345" i="2"/>
  <c r="AN344" i="2"/>
  <c r="L344" i="2"/>
  <c r="C344" i="2"/>
  <c r="P343" i="2"/>
  <c r="E343" i="2"/>
  <c r="S342" i="2"/>
  <c r="F342" i="2"/>
  <c r="U341" i="2"/>
  <c r="H341" i="2"/>
  <c r="Z340" i="2"/>
  <c r="L340" i="2"/>
  <c r="C340" i="2"/>
  <c r="Q339" i="2"/>
  <c r="E339" i="2"/>
  <c r="S338" i="2"/>
  <c r="G338" i="2"/>
  <c r="W337" i="2"/>
  <c r="I337" i="2"/>
  <c r="AN336" i="2"/>
  <c r="L336" i="2"/>
  <c r="C336" i="2"/>
  <c r="P335" i="2"/>
  <c r="E335" i="2"/>
  <c r="S334" i="2"/>
  <c r="G334" i="2"/>
  <c r="W333" i="2"/>
  <c r="H333" i="2"/>
  <c r="Z332" i="2"/>
  <c r="J332" i="2"/>
  <c r="AU331" i="2"/>
  <c r="O331" i="2"/>
  <c r="D331" i="2"/>
  <c r="Q330" i="2"/>
  <c r="F330" i="2"/>
  <c r="U329" i="2"/>
  <c r="H329" i="2"/>
  <c r="Z328" i="2"/>
  <c r="J328" i="2"/>
  <c r="AU327" i="2"/>
  <c r="O327" i="2"/>
  <c r="D327" i="2"/>
  <c r="Q326" i="2"/>
  <c r="F326" i="2"/>
  <c r="U325" i="2"/>
  <c r="I325" i="2"/>
  <c r="AN324" i="2"/>
  <c r="L324" i="2"/>
  <c r="C324" i="2"/>
  <c r="P323" i="2"/>
  <c r="E323" i="2"/>
  <c r="S322" i="2"/>
  <c r="G322" i="2"/>
  <c r="W321" i="2"/>
  <c r="I321" i="2"/>
  <c r="AN320" i="2"/>
  <c r="L320" i="2"/>
  <c r="C320" i="2"/>
  <c r="P319" i="2"/>
  <c r="E319" i="2"/>
  <c r="S318" i="2"/>
  <c r="G318" i="2"/>
  <c r="W317" i="2"/>
  <c r="J317" i="2"/>
  <c r="AU316" i="2"/>
  <c r="N316" i="2"/>
  <c r="D316" i="2"/>
  <c r="Q315" i="2"/>
  <c r="F315" i="2"/>
  <c r="U314" i="2"/>
  <c r="H314" i="2"/>
  <c r="Z313" i="2"/>
  <c r="J313" i="2"/>
  <c r="AU312" i="2"/>
  <c r="O312" i="2"/>
  <c r="D312" i="2"/>
  <c r="Q311" i="2"/>
  <c r="F311" i="2"/>
  <c r="U310" i="2"/>
  <c r="H310" i="2"/>
  <c r="Z309" i="2"/>
  <c r="J309" i="2"/>
  <c r="AU308" i="2"/>
  <c r="O308" i="2"/>
  <c r="D308" i="2"/>
  <c r="Q307" i="2"/>
  <c r="F307" i="2"/>
  <c r="U306" i="2"/>
  <c r="H306" i="2"/>
  <c r="Z305" i="2"/>
  <c r="J305" i="2"/>
  <c r="AU304" i="2"/>
  <c r="O304" i="2"/>
  <c r="D304" i="2"/>
  <c r="I303" i="2"/>
  <c r="AN302" i="2"/>
  <c r="O302" i="2"/>
  <c r="D302" i="2"/>
  <c r="L301" i="2"/>
  <c r="C301" i="2"/>
  <c r="J300" i="2"/>
  <c r="AU299" i="2"/>
  <c r="H299" i="2"/>
  <c r="Z298" i="2"/>
  <c r="F298" i="2"/>
  <c r="U297" i="2"/>
  <c r="H297" i="2"/>
  <c r="Z296" i="2"/>
  <c r="F296" i="2"/>
  <c r="U295" i="2"/>
  <c r="H295" i="2"/>
  <c r="Z294" i="2"/>
  <c r="J294" i="2"/>
  <c r="AU293" i="2"/>
  <c r="O293" i="2"/>
  <c r="D293" i="2"/>
  <c r="Q292" i="2"/>
  <c r="F292" i="2"/>
  <c r="U291" i="2"/>
  <c r="H291" i="2"/>
  <c r="Z290" i="2"/>
  <c r="I290" i="2"/>
  <c r="AN289" i="2"/>
  <c r="G289" i="2"/>
  <c r="W288" i="2"/>
  <c r="I288" i="2"/>
  <c r="AN287" i="2"/>
  <c r="O287" i="2"/>
  <c r="D287" i="2"/>
  <c r="R286" i="2"/>
  <c r="F286" i="2"/>
  <c r="U285" i="2"/>
  <c r="H285" i="2"/>
  <c r="Z284" i="2"/>
  <c r="J284" i="2"/>
  <c r="AU283" i="2"/>
  <c r="O283" i="2"/>
  <c r="D283" i="2"/>
  <c r="Q282" i="2"/>
  <c r="F282" i="2"/>
  <c r="U281" i="2"/>
  <c r="H281" i="2"/>
  <c r="Z280" i="2"/>
  <c r="I280" i="2"/>
  <c r="AN279" i="2"/>
  <c r="L279" i="2"/>
  <c r="C279" i="2"/>
  <c r="P278" i="2"/>
  <c r="D561" i="2"/>
  <c r="AU453" i="2"/>
  <c r="C424" i="2"/>
  <c r="J399" i="2"/>
  <c r="U389" i="2"/>
  <c r="I380" i="2"/>
  <c r="Q372" i="2"/>
  <c r="J368" i="2"/>
  <c r="W364" i="2"/>
  <c r="H361" i="2"/>
  <c r="U357" i="2"/>
  <c r="E354" i="2"/>
  <c r="P350" i="2"/>
  <c r="D347" i="2"/>
  <c r="O343" i="2"/>
  <c r="AU339" i="2"/>
  <c r="J336" i="2"/>
  <c r="W332" i="2"/>
  <c r="G329" i="2"/>
  <c r="S325" i="2"/>
  <c r="Q322" i="2"/>
  <c r="F321" i="2"/>
  <c r="AU319" i="2"/>
  <c r="Z318" i="2"/>
  <c r="R317" i="2"/>
  <c r="L316" i="2"/>
  <c r="I315" i="2"/>
  <c r="E314" i="2"/>
  <c r="AN312" i="2"/>
  <c r="W311" i="2"/>
  <c r="P310" i="2"/>
  <c r="I309" i="2"/>
  <c r="G308" i="2"/>
  <c r="C307" i="2"/>
  <c r="W305" i="2"/>
  <c r="S304" i="2"/>
  <c r="F303" i="2"/>
  <c r="C302" i="2"/>
  <c r="S300" i="2"/>
  <c r="E299" i="2"/>
  <c r="S297" i="2"/>
  <c r="I296" i="2"/>
  <c r="E295" i="2"/>
  <c r="AN293" i="2"/>
  <c r="W292" i="2"/>
  <c r="P291" i="2"/>
  <c r="H290" i="2"/>
  <c r="AU288" i="2"/>
  <c r="U287" i="2"/>
  <c r="Q286" i="2"/>
  <c r="L285" i="2"/>
  <c r="G284" i="2"/>
  <c r="C283" i="2"/>
  <c r="AN281" i="2"/>
  <c r="S280" i="2"/>
  <c r="P279" i="2"/>
  <c r="U278" i="2"/>
  <c r="D278" i="2"/>
  <c r="P277" i="2"/>
  <c r="E277" i="2"/>
  <c r="S276" i="2"/>
  <c r="G276" i="2"/>
  <c r="W275" i="2"/>
  <c r="I275" i="2"/>
  <c r="AN274" i="2"/>
  <c r="L274" i="2"/>
  <c r="C274" i="2"/>
  <c r="P273" i="2"/>
  <c r="E273" i="2"/>
  <c r="S272" i="2"/>
  <c r="H272" i="2"/>
  <c r="Z271" i="2"/>
  <c r="J271" i="2"/>
  <c r="AU270" i="2"/>
  <c r="O270" i="2"/>
  <c r="D270" i="2"/>
  <c r="Q269" i="2"/>
  <c r="F269" i="2"/>
  <c r="U268" i="2"/>
  <c r="H268" i="2"/>
  <c r="Z267" i="2"/>
  <c r="J267" i="2"/>
  <c r="AU266" i="2"/>
  <c r="O266" i="2"/>
  <c r="D266" i="2"/>
  <c r="R265" i="2"/>
  <c r="E265" i="2"/>
  <c r="S264" i="2"/>
  <c r="G264" i="2"/>
  <c r="W263" i="2"/>
  <c r="J263" i="2"/>
  <c r="AU262" i="2"/>
  <c r="N262" i="2"/>
  <c r="D262" i="2"/>
  <c r="Q261" i="2"/>
  <c r="F261" i="2"/>
  <c r="U260" i="2"/>
  <c r="H260" i="2"/>
  <c r="Z259" i="2"/>
  <c r="J259" i="2"/>
  <c r="AU258" i="2"/>
  <c r="O258" i="2"/>
  <c r="D258" i="2"/>
  <c r="Q257" i="2"/>
  <c r="F257" i="2"/>
  <c r="U256" i="2"/>
  <c r="G256" i="2"/>
  <c r="W255" i="2"/>
  <c r="I255" i="2"/>
  <c r="AN254" i="2"/>
  <c r="L254" i="2"/>
  <c r="C254" i="2"/>
  <c r="P253" i="2"/>
  <c r="E253" i="2"/>
  <c r="S252" i="2"/>
  <c r="G252" i="2"/>
  <c r="W251" i="2"/>
  <c r="I251" i="2"/>
  <c r="AN250" i="2"/>
  <c r="L250" i="2"/>
  <c r="C250" i="2"/>
  <c r="P249" i="2"/>
  <c r="E249" i="2"/>
  <c r="S248" i="2"/>
  <c r="H248" i="2"/>
  <c r="Z247" i="2"/>
  <c r="F247" i="2"/>
  <c r="S246" i="2"/>
  <c r="D246" i="2"/>
  <c r="J245" i="2"/>
  <c r="AU244" i="2"/>
  <c r="I244" i="2"/>
  <c r="AN243" i="2"/>
  <c r="L243" i="2"/>
  <c r="C243" i="2"/>
  <c r="P242" i="2"/>
  <c r="E242" i="2"/>
  <c r="S241" i="2"/>
  <c r="H241" i="2"/>
  <c r="Z240" i="2"/>
  <c r="F240" i="2"/>
  <c r="U239" i="2"/>
  <c r="H239" i="2"/>
  <c r="Z238" i="2"/>
  <c r="J238" i="2"/>
  <c r="AU237" i="2"/>
  <c r="O237" i="2"/>
  <c r="D237" i="2"/>
  <c r="R236" i="2"/>
  <c r="E236" i="2"/>
  <c r="S235" i="2"/>
  <c r="G235" i="2"/>
  <c r="U234" i="2"/>
  <c r="E234" i="2"/>
  <c r="S233" i="2"/>
  <c r="H233" i="2"/>
  <c r="Z232" i="2"/>
  <c r="J232" i="2"/>
  <c r="AU231" i="2"/>
  <c r="O231" i="2"/>
  <c r="D231" i="2"/>
  <c r="R230" i="2"/>
  <c r="G230" i="2"/>
  <c r="W229" i="2"/>
  <c r="I229" i="2"/>
  <c r="AN228" i="2"/>
  <c r="L228" i="2"/>
  <c r="C228" i="2"/>
  <c r="P227" i="2"/>
  <c r="E227" i="2"/>
  <c r="S226" i="2"/>
  <c r="F226" i="2"/>
  <c r="U225" i="2"/>
  <c r="H225" i="2"/>
  <c r="Z224" i="2"/>
  <c r="J224" i="2"/>
  <c r="AU223" i="2"/>
  <c r="O223" i="2"/>
  <c r="D223" i="2"/>
  <c r="Q222" i="2"/>
  <c r="F222" i="2"/>
  <c r="U221" i="2"/>
  <c r="H221" i="2"/>
  <c r="Z220" i="2"/>
  <c r="J220" i="2"/>
  <c r="AU219" i="2"/>
  <c r="O219" i="2"/>
  <c r="D219" i="2"/>
  <c r="J218" i="2"/>
  <c r="AU217" i="2"/>
  <c r="O217" i="2"/>
  <c r="D217" i="2"/>
  <c r="Q216" i="2"/>
  <c r="F216" i="2"/>
  <c r="U215" i="2"/>
  <c r="H215" i="2"/>
  <c r="Z214" i="2"/>
  <c r="J214" i="2"/>
  <c r="AU213" i="2"/>
  <c r="O213" i="2"/>
  <c r="D213" i="2"/>
  <c r="Q212" i="2"/>
  <c r="F212" i="2"/>
  <c r="U211" i="2"/>
  <c r="H211" i="2"/>
  <c r="Z210" i="2"/>
  <c r="J210" i="2"/>
  <c r="AU209" i="2"/>
  <c r="P209" i="2"/>
  <c r="E209" i="2"/>
  <c r="S208" i="2"/>
  <c r="Z529" i="2"/>
  <c r="J450" i="2"/>
  <c r="J419" i="2"/>
  <c r="E398" i="2"/>
  <c r="P388" i="2"/>
  <c r="D379" i="2"/>
  <c r="C372" i="2"/>
  <c r="AU367" i="2"/>
  <c r="J364" i="2"/>
  <c r="Z360" i="2"/>
  <c r="G357" i="2"/>
  <c r="S353" i="2"/>
  <c r="E350" i="2"/>
  <c r="Q346" i="2"/>
  <c r="D343" i="2"/>
  <c r="N339" i="2"/>
  <c r="AU335" i="2"/>
  <c r="I332" i="2"/>
  <c r="W328" i="2"/>
  <c r="H325" i="2"/>
  <c r="O322" i="2"/>
  <c r="D321" i="2"/>
  <c r="Z319" i="2"/>
  <c r="Q318" i="2"/>
  <c r="P317" i="2"/>
  <c r="I316" i="2"/>
  <c r="E315" i="2"/>
  <c r="C314" i="2"/>
  <c r="W312" i="2"/>
  <c r="P311" i="2"/>
  <c r="L310" i="2"/>
  <c r="G309" i="2"/>
  <c r="C308" i="2"/>
  <c r="AN306" i="2"/>
  <c r="S305" i="2"/>
  <c r="L304" i="2"/>
  <c r="D303" i="2"/>
  <c r="AN301" i="2"/>
  <c r="I300" i="2"/>
  <c r="C299" i="2"/>
  <c r="Q297" i="2"/>
  <c r="E296" i="2"/>
  <c r="C295" i="2"/>
  <c r="W293" i="2"/>
  <c r="P292" i="2"/>
  <c r="L291" i="2"/>
  <c r="F290" i="2"/>
  <c r="U288" i="2"/>
  <c r="R287" i="2"/>
  <c r="L286" i="2"/>
  <c r="G285" i="2"/>
  <c r="E284" i="2"/>
  <c r="AN282" i="2"/>
  <c r="S281" i="2"/>
  <c r="Q280" i="2"/>
  <c r="J279" i="2"/>
  <c r="S278" i="2"/>
  <c r="C278" i="2"/>
  <c r="O277" i="2"/>
  <c r="D277" i="2"/>
  <c r="Q276" i="2"/>
  <c r="F276" i="2"/>
  <c r="U275" i="2"/>
  <c r="H275" i="2"/>
  <c r="Z274" i="2"/>
  <c r="J274" i="2"/>
  <c r="AU273" i="2"/>
  <c r="O273" i="2"/>
  <c r="D273" i="2"/>
  <c r="R272" i="2"/>
  <c r="G272" i="2"/>
  <c r="W271" i="2"/>
  <c r="I271" i="2"/>
  <c r="AN270" i="2"/>
  <c r="L270" i="2"/>
  <c r="C270" i="2"/>
  <c r="P269" i="2"/>
  <c r="E269" i="2"/>
  <c r="S268" i="2"/>
  <c r="G268" i="2"/>
  <c r="W267" i="2"/>
  <c r="I267" i="2"/>
  <c r="AN266" i="2"/>
  <c r="L266" i="2"/>
  <c r="C266" i="2"/>
  <c r="Q265" i="2"/>
  <c r="D265" i="2"/>
  <c r="Q264" i="2"/>
  <c r="F264" i="2"/>
  <c r="U263" i="2"/>
  <c r="I263" i="2"/>
  <c r="AN262" i="2"/>
  <c r="L262" i="2"/>
  <c r="C262" i="2"/>
  <c r="P261" i="2"/>
  <c r="E261" i="2"/>
  <c r="S260" i="2"/>
  <c r="G260" i="2"/>
  <c r="W259" i="2"/>
  <c r="I259" i="2"/>
  <c r="AN258" i="2"/>
  <c r="L258" i="2"/>
  <c r="C258" i="2"/>
  <c r="P257" i="2"/>
  <c r="E257" i="2"/>
  <c r="S256" i="2"/>
  <c r="F256" i="2"/>
  <c r="U255" i="2"/>
  <c r="H255" i="2"/>
  <c r="Z254" i="2"/>
  <c r="J254" i="2"/>
  <c r="AU253" i="2"/>
  <c r="O253" i="2"/>
  <c r="D253" i="2"/>
  <c r="Q252" i="2"/>
  <c r="F252" i="2"/>
  <c r="U251" i="2"/>
  <c r="H251" i="2"/>
  <c r="Z250" i="2"/>
  <c r="J250" i="2"/>
  <c r="AU249" i="2"/>
  <c r="O249" i="2"/>
  <c r="D249" i="2"/>
  <c r="R248" i="2"/>
  <c r="G248" i="2"/>
  <c r="U247" i="2"/>
  <c r="E247" i="2"/>
  <c r="L246" i="2"/>
  <c r="C246" i="2"/>
  <c r="I245" i="2"/>
  <c r="AN244" i="2"/>
  <c r="H244" i="2"/>
  <c r="Z243" i="2"/>
  <c r="J243" i="2"/>
  <c r="AU242" i="2"/>
  <c r="O242" i="2"/>
  <c r="D242" i="2"/>
  <c r="R241" i="2"/>
  <c r="G241" i="2"/>
  <c r="U240" i="2"/>
  <c r="E240" i="2"/>
  <c r="S239" i="2"/>
  <c r="G239" i="2"/>
  <c r="W238" i="2"/>
  <c r="I238" i="2"/>
  <c r="AN237" i="2"/>
  <c r="L237" i="2"/>
  <c r="C237" i="2"/>
  <c r="Q236" i="2"/>
  <c r="D236" i="2"/>
  <c r="Q235" i="2"/>
  <c r="F235" i="2"/>
  <c r="S234" i="2"/>
  <c r="D234" i="2"/>
  <c r="R233" i="2"/>
  <c r="G233" i="2"/>
  <c r="W232" i="2"/>
  <c r="I232" i="2"/>
  <c r="AN231" i="2"/>
  <c r="L231" i="2"/>
  <c r="C231" i="2"/>
  <c r="Q230" i="2"/>
  <c r="F230" i="2"/>
  <c r="U229" i="2"/>
  <c r="H229" i="2"/>
  <c r="Z228" i="2"/>
  <c r="J228" i="2"/>
  <c r="AU227" i="2"/>
  <c r="O227" i="2"/>
  <c r="D227" i="2"/>
  <c r="R226" i="2"/>
  <c r="E226" i="2"/>
  <c r="S225" i="2"/>
  <c r="G225" i="2"/>
  <c r="W224" i="2"/>
  <c r="I224" i="2"/>
  <c r="AN223" i="2"/>
  <c r="L223" i="2"/>
  <c r="C223" i="2"/>
  <c r="P222" i="2"/>
  <c r="E222" i="2"/>
  <c r="S221" i="2"/>
  <c r="G221" i="2"/>
  <c r="W220" i="2"/>
  <c r="I220" i="2"/>
  <c r="AN219" i="2"/>
  <c r="L219" i="2"/>
  <c r="C219" i="2"/>
  <c r="I218" i="2"/>
  <c r="AN217" i="2"/>
  <c r="L217" i="2"/>
  <c r="C217" i="2"/>
  <c r="P216" i="2"/>
  <c r="E216" i="2"/>
  <c r="S215" i="2"/>
  <c r="G215" i="2"/>
  <c r="W214" i="2"/>
  <c r="I214" i="2"/>
  <c r="AN213" i="2"/>
  <c r="L213" i="2"/>
  <c r="C213" i="2"/>
  <c r="P212" i="2"/>
  <c r="E212" i="2"/>
  <c r="S211" i="2"/>
  <c r="G211" i="2"/>
  <c r="W210" i="2"/>
  <c r="I210" i="2"/>
  <c r="AN209" i="2"/>
  <c r="O209" i="2"/>
  <c r="D209" i="2"/>
  <c r="R208" i="2"/>
  <c r="F208" i="2"/>
  <c r="U207" i="2"/>
  <c r="H207" i="2"/>
  <c r="Z206" i="2"/>
  <c r="J206" i="2"/>
  <c r="AU205" i="2"/>
  <c r="O205" i="2"/>
  <c r="D205" i="2"/>
  <c r="Q204" i="2"/>
  <c r="F204" i="2"/>
  <c r="U203" i="2"/>
  <c r="H203" i="2"/>
  <c r="Z202" i="2"/>
  <c r="I202" i="2"/>
  <c r="AN201" i="2"/>
  <c r="L201" i="2"/>
  <c r="C201" i="2"/>
  <c r="Q200" i="2"/>
  <c r="F200" i="2"/>
  <c r="U199" i="2"/>
  <c r="H199" i="2"/>
  <c r="Z198" i="2"/>
  <c r="J198" i="2"/>
  <c r="AU197" i="2"/>
  <c r="O197" i="2"/>
  <c r="D197" i="2"/>
  <c r="Q196" i="2"/>
  <c r="F196" i="2"/>
  <c r="U195" i="2"/>
  <c r="H195" i="2"/>
  <c r="Z194" i="2"/>
  <c r="J194" i="2"/>
  <c r="AU193" i="2"/>
  <c r="L193" i="2"/>
  <c r="C193" i="2"/>
  <c r="P192" i="2"/>
  <c r="E192" i="2"/>
  <c r="S191" i="2"/>
  <c r="G191" i="2"/>
  <c r="W190" i="2"/>
  <c r="I190" i="2"/>
  <c r="AN189" i="2"/>
  <c r="L189" i="2"/>
  <c r="C189" i="2"/>
  <c r="AU499" i="2"/>
  <c r="F446" i="2"/>
  <c r="Q415" i="2"/>
  <c r="AN396" i="2"/>
  <c r="N387" i="2"/>
  <c r="Z377" i="2"/>
  <c r="J371" i="2"/>
  <c r="O367" i="2"/>
  <c r="AU363" i="2"/>
  <c r="J360" i="2"/>
  <c r="W356" i="2"/>
  <c r="G353" i="2"/>
  <c r="S349" i="2"/>
  <c r="F346" i="2"/>
  <c r="R342" i="2"/>
  <c r="D339" i="2"/>
  <c r="O335" i="2"/>
  <c r="AN331" i="2"/>
  <c r="I328" i="2"/>
  <c r="Z324" i="2"/>
  <c r="F322" i="2"/>
  <c r="Z320" i="2"/>
  <c r="U319" i="2"/>
  <c r="O318" i="2"/>
  <c r="I317" i="2"/>
  <c r="G316" i="2"/>
  <c r="C315" i="2"/>
  <c r="W313" i="2"/>
  <c r="S312" i="2"/>
  <c r="L311" i="2"/>
  <c r="G310" i="2"/>
  <c r="E309" i="2"/>
  <c r="AN307" i="2"/>
  <c r="S306" i="2"/>
  <c r="P305" i="2"/>
  <c r="I304" i="2"/>
  <c r="Z302" i="2"/>
  <c r="U301" i="2"/>
  <c r="G300" i="2"/>
  <c r="U298" i="2"/>
  <c r="L297" i="2"/>
  <c r="C296" i="2"/>
  <c r="W294" i="2"/>
  <c r="S293" i="2"/>
  <c r="L292" i="2"/>
  <c r="G291" i="2"/>
  <c r="D290" i="2"/>
  <c r="Q288" i="2"/>
  <c r="L287" i="2"/>
  <c r="I286" i="2"/>
  <c r="E285" i="2"/>
  <c r="AN283" i="2"/>
  <c r="W282" i="2"/>
  <c r="P281" i="2"/>
  <c r="H280" i="2"/>
  <c r="H279" i="2"/>
  <c r="O278" i="2"/>
  <c r="AU277" i="2"/>
  <c r="L277" i="2"/>
  <c r="C277" i="2"/>
  <c r="P276" i="2"/>
  <c r="E276" i="2"/>
  <c r="S275" i="2"/>
  <c r="G275" i="2"/>
  <c r="W274" i="2"/>
  <c r="I274" i="2"/>
  <c r="AN273" i="2"/>
  <c r="L273" i="2"/>
  <c r="C273" i="2"/>
  <c r="Q272" i="2"/>
  <c r="F272" i="2"/>
  <c r="U271" i="2"/>
  <c r="H271" i="2"/>
  <c r="Z270" i="2"/>
  <c r="J270" i="2"/>
  <c r="AU269" i="2"/>
  <c r="O269" i="2"/>
  <c r="D269" i="2"/>
  <c r="Q268" i="2"/>
  <c r="F268" i="2"/>
  <c r="U267" i="2"/>
  <c r="H267" i="2"/>
  <c r="Z266" i="2"/>
  <c r="J266" i="2"/>
  <c r="AU265" i="2"/>
  <c r="L265" i="2"/>
  <c r="C265" i="2"/>
  <c r="P264" i="2"/>
  <c r="E264" i="2"/>
  <c r="S263" i="2"/>
  <c r="H263" i="2"/>
  <c r="Z262" i="2"/>
  <c r="J262" i="2"/>
  <c r="AU261" i="2"/>
  <c r="O261" i="2"/>
  <c r="D261" i="2"/>
  <c r="Q260" i="2"/>
  <c r="F260" i="2"/>
  <c r="U259" i="2"/>
  <c r="H259" i="2"/>
  <c r="Z258" i="2"/>
  <c r="J258" i="2"/>
  <c r="AU257" i="2"/>
  <c r="O257" i="2"/>
  <c r="D257" i="2"/>
  <c r="R256" i="2"/>
  <c r="E256" i="2"/>
  <c r="S255" i="2"/>
  <c r="G255" i="2"/>
  <c r="W254" i="2"/>
  <c r="I254" i="2"/>
  <c r="AN253" i="2"/>
  <c r="L253" i="2"/>
  <c r="C253" i="2"/>
  <c r="P252" i="2"/>
  <c r="E252" i="2"/>
  <c r="S251" i="2"/>
  <c r="G251" i="2"/>
  <c r="W250" i="2"/>
  <c r="I250" i="2"/>
  <c r="AN249" i="2"/>
  <c r="L249" i="2"/>
  <c r="C249" i="2"/>
  <c r="Q248" i="2"/>
  <c r="F248" i="2"/>
  <c r="S247" i="2"/>
  <c r="D247" i="2"/>
  <c r="J246" i="2"/>
  <c r="AU245" i="2"/>
  <c r="H245" i="2"/>
  <c r="Z244" i="2"/>
  <c r="G244" i="2"/>
  <c r="W243" i="2"/>
  <c r="I243" i="2"/>
  <c r="AN242" i="2"/>
  <c r="L242" i="2"/>
  <c r="C242" i="2"/>
  <c r="Q241" i="2"/>
  <c r="F241" i="2"/>
  <c r="S240" i="2"/>
  <c r="D240" i="2"/>
  <c r="Q239" i="2"/>
  <c r="F239" i="2"/>
  <c r="U238" i="2"/>
  <c r="H238" i="2"/>
  <c r="Z237" i="2"/>
  <c r="J237" i="2"/>
  <c r="AU236" i="2"/>
  <c r="L236" i="2"/>
  <c r="C236" i="2"/>
  <c r="P235" i="2"/>
  <c r="E235" i="2"/>
  <c r="L234" i="2"/>
  <c r="C234" i="2"/>
  <c r="Q233" i="2"/>
  <c r="F233" i="2"/>
  <c r="U232" i="2"/>
  <c r="H232" i="2"/>
  <c r="Z231" i="2"/>
  <c r="J231" i="2"/>
  <c r="AU230" i="2"/>
  <c r="P230" i="2"/>
  <c r="E230" i="2"/>
  <c r="S229" i="2"/>
  <c r="G229" i="2"/>
  <c r="W228" i="2"/>
  <c r="I228" i="2"/>
  <c r="AN227" i="2"/>
  <c r="L227" i="2"/>
  <c r="C227" i="2"/>
  <c r="Q226" i="2"/>
  <c r="D226" i="2"/>
  <c r="Q225" i="2"/>
  <c r="F225" i="2"/>
  <c r="U224" i="2"/>
  <c r="H224" i="2"/>
  <c r="Z223" i="2"/>
  <c r="J223" i="2"/>
  <c r="AU222" i="2"/>
  <c r="O222" i="2"/>
  <c r="D222" i="2"/>
  <c r="Q221" i="2"/>
  <c r="F221" i="2"/>
  <c r="U220" i="2"/>
  <c r="H220" i="2"/>
  <c r="Z219" i="2"/>
  <c r="J219" i="2"/>
  <c r="AU218" i="2"/>
  <c r="H218" i="2"/>
  <c r="Z217" i="2"/>
  <c r="J217" i="2"/>
  <c r="AU216" i="2"/>
  <c r="O216" i="2"/>
  <c r="D216" i="2"/>
  <c r="Q215" i="2"/>
  <c r="F215" i="2"/>
  <c r="U214" i="2"/>
  <c r="H214" i="2"/>
  <c r="Z213" i="2"/>
  <c r="J213" i="2"/>
  <c r="AU212" i="2"/>
  <c r="O212" i="2"/>
  <c r="D212" i="2"/>
  <c r="Q211" i="2"/>
  <c r="F211" i="2"/>
  <c r="U210" i="2"/>
  <c r="H210" i="2"/>
  <c r="Z209" i="2"/>
  <c r="L209" i="2"/>
  <c r="C209" i="2"/>
  <c r="Q208" i="2"/>
  <c r="E208" i="2"/>
  <c r="S207" i="2"/>
  <c r="G207" i="2"/>
  <c r="W206" i="2"/>
  <c r="I206" i="2"/>
  <c r="AN205" i="2"/>
  <c r="L205" i="2"/>
  <c r="C205" i="2"/>
  <c r="P204" i="2"/>
  <c r="E204" i="2"/>
  <c r="S203" i="2"/>
  <c r="G203" i="2"/>
  <c r="W202" i="2"/>
  <c r="H202" i="2"/>
  <c r="Z201" i="2"/>
  <c r="J201" i="2"/>
  <c r="AU200" i="2"/>
  <c r="P200" i="2"/>
  <c r="E200" i="2"/>
  <c r="S199" i="2"/>
  <c r="G199" i="2"/>
  <c r="W198" i="2"/>
  <c r="I198" i="2"/>
  <c r="AN197" i="2"/>
  <c r="L197" i="2"/>
  <c r="C197" i="2"/>
  <c r="P196" i="2"/>
  <c r="E196" i="2"/>
  <c r="S195" i="2"/>
  <c r="G195" i="2"/>
  <c r="W194" i="2"/>
  <c r="I194" i="2"/>
  <c r="AN193" i="2"/>
  <c r="J193" i="2"/>
  <c r="AU192" i="2"/>
  <c r="O192" i="2"/>
  <c r="D192" i="2"/>
  <c r="Q191" i="2"/>
  <c r="F191" i="2"/>
  <c r="U190" i="2"/>
  <c r="H190" i="2"/>
  <c r="Z189" i="2"/>
  <c r="J189" i="2"/>
  <c r="AU188" i="2"/>
  <c r="O188" i="2"/>
  <c r="D188" i="2"/>
  <c r="Q187" i="2"/>
  <c r="F187" i="2"/>
  <c r="U186" i="2"/>
  <c r="H186" i="2"/>
  <c r="Z185" i="2"/>
  <c r="F185" i="2"/>
  <c r="S184" i="2"/>
  <c r="D184" i="2"/>
  <c r="J183" i="2"/>
  <c r="AU182" i="2"/>
  <c r="D473" i="2"/>
  <c r="G442" i="2"/>
  <c r="D412" i="2"/>
  <c r="S395" i="2"/>
  <c r="G386" i="2"/>
  <c r="W376" i="2"/>
  <c r="W370" i="2"/>
  <c r="D367" i="2"/>
  <c r="N363" i="2"/>
  <c r="AU359" i="2"/>
  <c r="I356" i="2"/>
  <c r="W352" i="2"/>
  <c r="H349" i="2"/>
  <c r="U345" i="2"/>
  <c r="E342" i="2"/>
  <c r="Q338" i="2"/>
  <c r="D335" i="2"/>
  <c r="L331" i="2"/>
  <c r="AN327" i="2"/>
  <c r="J324" i="2"/>
  <c r="D322" i="2"/>
  <c r="U320" i="2"/>
  <c r="O319" i="2"/>
  <c r="J318" i="2"/>
  <c r="G317" i="2"/>
  <c r="C316" i="2"/>
  <c r="AN314" i="2"/>
  <c r="S313" i="2"/>
  <c r="L312" i="2"/>
  <c r="I311" i="2"/>
  <c r="E310" i="2"/>
  <c r="AN308" i="2"/>
  <c r="W307" i="2"/>
  <c r="P306" i="2"/>
  <c r="I305" i="2"/>
  <c r="G304" i="2"/>
  <c r="U302" i="2"/>
  <c r="J301" i="2"/>
  <c r="E300" i="2"/>
  <c r="Q298" i="2"/>
  <c r="G297" i="2"/>
  <c r="AN295" i="2"/>
  <c r="S294" i="2"/>
  <c r="L293" i="2"/>
  <c r="I292" i="2"/>
  <c r="E291" i="2"/>
  <c r="Z289" i="2"/>
  <c r="O288" i="2"/>
  <c r="I287" i="2"/>
  <c r="E286" i="2"/>
  <c r="C285" i="2"/>
  <c r="W283" i="2"/>
  <c r="P282" i="2"/>
  <c r="L281" i="2"/>
  <c r="F280" i="2"/>
  <c r="F279" i="2"/>
  <c r="L278" i="2"/>
  <c r="Z277" i="2"/>
  <c r="J277" i="2"/>
  <c r="AU276" i="2"/>
  <c r="O276" i="2"/>
  <c r="D276" i="2"/>
  <c r="Q275" i="2"/>
  <c r="F275" i="2"/>
  <c r="U274" i="2"/>
  <c r="H274" i="2"/>
  <c r="Z273" i="2"/>
  <c r="J273" i="2"/>
  <c r="AU272" i="2"/>
  <c r="P272" i="2"/>
  <c r="E272" i="2"/>
  <c r="S271" i="2"/>
  <c r="G271" i="2"/>
  <c r="W270" i="2"/>
  <c r="I270" i="2"/>
  <c r="AN269" i="2"/>
  <c r="L269" i="2"/>
  <c r="C269" i="2"/>
  <c r="P268" i="2"/>
  <c r="E268" i="2"/>
  <c r="S267" i="2"/>
  <c r="G267" i="2"/>
  <c r="W266" i="2"/>
  <c r="I266" i="2"/>
  <c r="AN265" i="2"/>
  <c r="J265" i="2"/>
  <c r="AU264" i="2"/>
  <c r="O264" i="2"/>
  <c r="D264" i="2"/>
  <c r="R263" i="2"/>
  <c r="G263" i="2"/>
  <c r="W262" i="2"/>
  <c r="I262" i="2"/>
  <c r="AN261" i="2"/>
  <c r="L261" i="2"/>
  <c r="C261" i="2"/>
  <c r="P260" i="2"/>
  <c r="E260" i="2"/>
  <c r="S259" i="2"/>
  <c r="G259" i="2"/>
  <c r="W258" i="2"/>
  <c r="I258" i="2"/>
  <c r="AN257" i="2"/>
  <c r="L257" i="2"/>
  <c r="C257" i="2"/>
  <c r="Q256" i="2"/>
  <c r="D256" i="2"/>
  <c r="Q255" i="2"/>
  <c r="F255" i="2"/>
  <c r="U254" i="2"/>
  <c r="H254" i="2"/>
  <c r="Z253" i="2"/>
  <c r="J253" i="2"/>
  <c r="AU252" i="2"/>
  <c r="O252" i="2"/>
  <c r="D252" i="2"/>
  <c r="Q251" i="2"/>
  <c r="F251" i="2"/>
  <c r="U250" i="2"/>
  <c r="H250" i="2"/>
  <c r="Z249" i="2"/>
  <c r="J249" i="2"/>
  <c r="AU248" i="2"/>
  <c r="P248" i="2"/>
  <c r="E248" i="2"/>
  <c r="L247" i="2"/>
  <c r="C247" i="2"/>
  <c r="I246" i="2"/>
  <c r="AN245" i="2"/>
  <c r="G245" i="2"/>
  <c r="W244" i="2"/>
  <c r="F244" i="2"/>
  <c r="U243" i="2"/>
  <c r="H243" i="2"/>
  <c r="Z242" i="2"/>
  <c r="J242" i="2"/>
  <c r="AU241" i="2"/>
  <c r="P241" i="2"/>
  <c r="E241" i="2"/>
  <c r="L240" i="2"/>
  <c r="C240" i="2"/>
  <c r="P239" i="2"/>
  <c r="E239" i="2"/>
  <c r="S238" i="2"/>
  <c r="G238" i="2"/>
  <c r="W237" i="2"/>
  <c r="I237" i="2"/>
  <c r="AN236" i="2"/>
  <c r="J236" i="2"/>
  <c r="AU235" i="2"/>
  <c r="O235" i="2"/>
  <c r="D235" i="2"/>
  <c r="J234" i="2"/>
  <c r="AU233" i="2"/>
  <c r="P233" i="2"/>
  <c r="E233" i="2"/>
  <c r="S232" i="2"/>
  <c r="G232" i="2"/>
  <c r="W231" i="2"/>
  <c r="I231" i="2"/>
  <c r="AN230" i="2"/>
  <c r="O230" i="2"/>
  <c r="D230" i="2"/>
  <c r="Q229" i="2"/>
  <c r="F229" i="2"/>
  <c r="U228" i="2"/>
  <c r="H228" i="2"/>
  <c r="Z227" i="2"/>
  <c r="J227" i="2"/>
  <c r="AU226" i="2"/>
  <c r="L226" i="2"/>
  <c r="C226" i="2"/>
  <c r="P225" i="2"/>
  <c r="E225" i="2"/>
  <c r="S224" i="2"/>
  <c r="G224" i="2"/>
  <c r="W223" i="2"/>
  <c r="I223" i="2"/>
  <c r="AN222" i="2"/>
  <c r="L222" i="2"/>
  <c r="C222" i="2"/>
  <c r="P221" i="2"/>
  <c r="E221" i="2"/>
  <c r="S220" i="2"/>
  <c r="G220" i="2"/>
  <c r="W219" i="2"/>
  <c r="I219" i="2"/>
  <c r="AN218" i="2"/>
  <c r="G218" i="2"/>
  <c r="W217" i="2"/>
  <c r="I217" i="2"/>
  <c r="AN216" i="2"/>
  <c r="L216" i="2"/>
  <c r="C216" i="2"/>
  <c r="P215" i="2"/>
  <c r="E215" i="2"/>
  <c r="S214" i="2"/>
  <c r="G214" i="2"/>
  <c r="W213" i="2"/>
  <c r="I213" i="2"/>
  <c r="AN212" i="2"/>
  <c r="L212" i="2"/>
  <c r="C212" i="2"/>
  <c r="P211" i="2"/>
  <c r="E211" i="2"/>
  <c r="S210" i="2"/>
  <c r="G210" i="2"/>
  <c r="W209" i="2"/>
  <c r="J209" i="2"/>
  <c r="AU208" i="2"/>
  <c r="N208" i="2"/>
  <c r="D208" i="2"/>
  <c r="Q207" i="2"/>
  <c r="F207" i="2"/>
  <c r="U206" i="2"/>
  <c r="H206" i="2"/>
  <c r="Z205" i="2"/>
  <c r="J205" i="2"/>
  <c r="AU204" i="2"/>
  <c r="O204" i="2"/>
  <c r="D204" i="2"/>
  <c r="Q203" i="2"/>
  <c r="F203" i="2"/>
  <c r="U202" i="2"/>
  <c r="G202" i="2"/>
  <c r="W201" i="2"/>
  <c r="I201" i="2"/>
  <c r="AN200" i="2"/>
  <c r="O200" i="2"/>
  <c r="D200" i="2"/>
  <c r="R199" i="2"/>
  <c r="F199" i="2"/>
  <c r="U198" i="2"/>
  <c r="H198" i="2"/>
  <c r="Z197" i="2"/>
  <c r="J197" i="2"/>
  <c r="AU196" i="2"/>
  <c r="O196" i="2"/>
  <c r="D196" i="2"/>
  <c r="Q195" i="2"/>
  <c r="F195" i="2"/>
  <c r="U194" i="2"/>
  <c r="H194" i="2"/>
  <c r="Z193" i="2"/>
  <c r="I193" i="2"/>
  <c r="AN192" i="2"/>
  <c r="L192" i="2"/>
  <c r="C192" i="2"/>
  <c r="P191" i="2"/>
  <c r="E191" i="2"/>
  <c r="S190" i="2"/>
  <c r="G190" i="2"/>
  <c r="W189" i="2"/>
  <c r="I189" i="2"/>
  <c r="AN188" i="2"/>
  <c r="L188" i="2"/>
  <c r="C188" i="2"/>
  <c r="P187" i="2"/>
  <c r="E187" i="2"/>
  <c r="S186" i="2"/>
  <c r="G186" i="2"/>
  <c r="U185" i="2"/>
  <c r="E185" i="2"/>
  <c r="J468" i="2"/>
  <c r="L438" i="2"/>
  <c r="H408" i="2"/>
  <c r="Q394" i="2"/>
  <c r="C385" i="2"/>
  <c r="P375" i="2"/>
  <c r="H370" i="2"/>
  <c r="R366" i="2"/>
  <c r="D363" i="2"/>
  <c r="O359" i="2"/>
  <c r="AN355" i="2"/>
  <c r="I352" i="2"/>
  <c r="Z348" i="2"/>
  <c r="H345" i="2"/>
  <c r="S341" i="2"/>
  <c r="F338" i="2"/>
  <c r="Q334" i="2"/>
  <c r="C331" i="2"/>
  <c r="L327" i="2"/>
  <c r="AU323" i="2"/>
  <c r="U321" i="2"/>
  <c r="Q320" i="2"/>
  <c r="J319" i="2"/>
  <c r="F318" i="2"/>
  <c r="E317" i="2"/>
  <c r="AN315" i="2"/>
  <c r="S314" i="2"/>
  <c r="P313" i="2"/>
  <c r="I312" i="2"/>
  <c r="E311" i="2"/>
  <c r="C310" i="2"/>
  <c r="W308" i="2"/>
  <c r="P307" i="2"/>
  <c r="L306" i="2"/>
  <c r="G305" i="2"/>
  <c r="C304" i="2"/>
  <c r="R302" i="2"/>
  <c r="H301" i="2"/>
  <c r="AN299" i="2"/>
  <c r="I298" i="2"/>
  <c r="E297" i="2"/>
  <c r="S295" i="2"/>
  <c r="P294" i="2"/>
  <c r="I293" i="2"/>
  <c r="E292" i="2"/>
  <c r="C291" i="2"/>
  <c r="S289" i="2"/>
  <c r="H288" i="2"/>
  <c r="G287" i="2"/>
  <c r="C286" i="2"/>
  <c r="W284" i="2"/>
  <c r="S283" i="2"/>
  <c r="L282" i="2"/>
  <c r="G281" i="2"/>
  <c r="D280" i="2"/>
  <c r="E279" i="2"/>
  <c r="J278" i="2"/>
  <c r="W277" i="2"/>
  <c r="I277" i="2"/>
  <c r="AN276" i="2"/>
  <c r="L276" i="2"/>
  <c r="C276" i="2"/>
  <c r="P275" i="2"/>
  <c r="E275" i="2"/>
  <c r="S274" i="2"/>
  <c r="G274" i="2"/>
  <c r="W273" i="2"/>
  <c r="I273" i="2"/>
  <c r="AN272" i="2"/>
  <c r="O272" i="2"/>
  <c r="D272" i="2"/>
  <c r="R271" i="2"/>
  <c r="F271" i="2"/>
  <c r="U270" i="2"/>
  <c r="H270" i="2"/>
  <c r="Z269" i="2"/>
  <c r="J269" i="2"/>
  <c r="AU268" i="2"/>
  <c r="O268" i="2"/>
  <c r="D268" i="2"/>
  <c r="Q267" i="2"/>
  <c r="F267" i="2"/>
  <c r="U266" i="2"/>
  <c r="H266" i="2"/>
  <c r="Z265" i="2"/>
  <c r="I265" i="2"/>
  <c r="AN264" i="2"/>
  <c r="L264" i="2"/>
  <c r="C264" i="2"/>
  <c r="Q263" i="2"/>
  <c r="F263" i="2"/>
  <c r="U262" i="2"/>
  <c r="H262" i="2"/>
  <c r="Z261" i="2"/>
  <c r="J261" i="2"/>
  <c r="AU260" i="2"/>
  <c r="O260" i="2"/>
  <c r="D260" i="2"/>
  <c r="Q259" i="2"/>
  <c r="F259" i="2"/>
  <c r="U258" i="2"/>
  <c r="H258" i="2"/>
  <c r="Z257" i="2"/>
  <c r="J257" i="2"/>
  <c r="AU256" i="2"/>
  <c r="L256" i="2"/>
  <c r="C256" i="2"/>
  <c r="P255" i="2"/>
  <c r="E255" i="2"/>
  <c r="S254" i="2"/>
  <c r="G254" i="2"/>
  <c r="W253" i="2"/>
  <c r="I253" i="2"/>
  <c r="AN252" i="2"/>
  <c r="L252" i="2"/>
  <c r="C252" i="2"/>
  <c r="P251" i="2"/>
  <c r="E251" i="2"/>
  <c r="S250" i="2"/>
  <c r="G250" i="2"/>
  <c r="W249" i="2"/>
  <c r="I249" i="2"/>
  <c r="AN248" i="2"/>
  <c r="O248" i="2"/>
  <c r="D248" i="2"/>
  <c r="J247" i="2"/>
  <c r="AU246" i="2"/>
  <c r="H246" i="2"/>
  <c r="Z245" i="2"/>
  <c r="F245" i="2"/>
  <c r="U244" i="2"/>
  <c r="E244" i="2"/>
  <c r="S243" i="2"/>
  <c r="G243" i="2"/>
  <c r="W242" i="2"/>
  <c r="I242" i="2"/>
  <c r="AN241" i="2"/>
  <c r="O241" i="2"/>
  <c r="D241" i="2"/>
  <c r="J240" i="2"/>
  <c r="AU239" i="2"/>
  <c r="O239" i="2"/>
  <c r="D239" i="2"/>
  <c r="Q238" i="2"/>
  <c r="F238" i="2"/>
  <c r="U237" i="2"/>
  <c r="H237" i="2"/>
  <c r="Z236" i="2"/>
  <c r="I236" i="2"/>
  <c r="AN235" i="2"/>
  <c r="L235" i="2"/>
  <c r="C235" i="2"/>
  <c r="I234" i="2"/>
  <c r="AN233" i="2"/>
  <c r="O233" i="2"/>
  <c r="D233" i="2"/>
  <c r="Q232" i="2"/>
  <c r="F232" i="2"/>
  <c r="U231" i="2"/>
  <c r="H231" i="2"/>
  <c r="Z230" i="2"/>
  <c r="L230" i="2"/>
  <c r="C230" i="2"/>
  <c r="P229" i="2"/>
  <c r="E229" i="2"/>
  <c r="S228" i="2"/>
  <c r="G228" i="2"/>
  <c r="W227" i="2"/>
  <c r="I227" i="2"/>
  <c r="AN226" i="2"/>
  <c r="J226" i="2"/>
  <c r="AU225" i="2"/>
  <c r="O225" i="2"/>
  <c r="D225" i="2"/>
  <c r="Q224" i="2"/>
  <c r="F224" i="2"/>
  <c r="U223" i="2"/>
  <c r="H223" i="2"/>
  <c r="Z222" i="2"/>
  <c r="J222" i="2"/>
  <c r="AU221" i="2"/>
  <c r="O221" i="2"/>
  <c r="D221" i="2"/>
  <c r="Q220" i="2"/>
  <c r="F220" i="2"/>
  <c r="U219" i="2"/>
  <c r="H219" i="2"/>
  <c r="Z218" i="2"/>
  <c r="F218" i="2"/>
  <c r="U217" i="2"/>
  <c r="H217" i="2"/>
  <c r="Z216" i="2"/>
  <c r="J216" i="2"/>
  <c r="AU215" i="2"/>
  <c r="O215" i="2"/>
  <c r="D215" i="2"/>
  <c r="Q214" i="2"/>
  <c r="F214" i="2"/>
  <c r="U213" i="2"/>
  <c r="H213" i="2"/>
  <c r="Z212" i="2"/>
  <c r="J212" i="2"/>
  <c r="AU211" i="2"/>
  <c r="O211" i="2"/>
  <c r="D211" i="2"/>
  <c r="Q210" i="2"/>
  <c r="F210" i="2"/>
  <c r="U209" i="2"/>
  <c r="I209" i="2"/>
  <c r="U464" i="2"/>
  <c r="S434" i="2"/>
  <c r="U404" i="2"/>
  <c r="I393" i="2"/>
  <c r="AU383" i="2"/>
  <c r="S374" i="2"/>
  <c r="W369" i="2"/>
  <c r="E366" i="2"/>
  <c r="Q362" i="2"/>
  <c r="D359" i="2"/>
  <c r="L355" i="2"/>
  <c r="AN351" i="2"/>
  <c r="J348" i="2"/>
  <c r="Z344" i="2"/>
  <c r="G341" i="2"/>
  <c r="U337" i="2"/>
  <c r="F334" i="2"/>
  <c r="P330" i="2"/>
  <c r="C327" i="2"/>
  <c r="O323" i="2"/>
  <c r="Q321" i="2"/>
  <c r="J320" i="2"/>
  <c r="H319" i="2"/>
  <c r="D318" i="2"/>
  <c r="AN316" i="2"/>
  <c r="W315" i="2"/>
  <c r="P314" i="2"/>
  <c r="I313" i="2"/>
  <c r="G312" i="2"/>
  <c r="C311" i="2"/>
  <c r="W309" i="2"/>
  <c r="S308" i="2"/>
  <c r="L307" i="2"/>
  <c r="G306" i="2"/>
  <c r="E305" i="2"/>
  <c r="AN303" i="2"/>
  <c r="L302" i="2"/>
  <c r="F301" i="2"/>
  <c r="U299" i="2"/>
  <c r="E298" i="2"/>
  <c r="C297" i="2"/>
  <c r="P295" i="2"/>
  <c r="I294" i="2"/>
  <c r="G293" i="2"/>
  <c r="C292" i="2"/>
  <c r="W290" i="2"/>
  <c r="J289" i="2"/>
  <c r="F288" i="2"/>
  <c r="C287" i="2"/>
  <c r="AN285" i="2"/>
  <c r="S284" i="2"/>
  <c r="L283" i="2"/>
  <c r="I282" i="2"/>
  <c r="E281" i="2"/>
  <c r="Z279" i="2"/>
  <c r="AU278" i="2"/>
  <c r="H278" i="2"/>
  <c r="U277" i="2"/>
  <c r="H277" i="2"/>
  <c r="Z276" i="2"/>
  <c r="J276" i="2"/>
  <c r="AU275" i="2"/>
  <c r="O275" i="2"/>
  <c r="D275" i="2"/>
  <c r="Q274" i="2"/>
  <c r="F274" i="2"/>
  <c r="U273" i="2"/>
  <c r="H273" i="2"/>
  <c r="Z272" i="2"/>
  <c r="L272" i="2"/>
  <c r="C272" i="2"/>
  <c r="Q271" i="2"/>
  <c r="E271" i="2"/>
  <c r="S270" i="2"/>
  <c r="G270" i="2"/>
  <c r="W269" i="2"/>
  <c r="I269" i="2"/>
  <c r="AN268" i="2"/>
  <c r="L268" i="2"/>
  <c r="C268" i="2"/>
  <c r="P267" i="2"/>
  <c r="E267" i="2"/>
  <c r="S266" i="2"/>
  <c r="G266" i="2"/>
  <c r="W265" i="2"/>
  <c r="H265" i="2"/>
  <c r="Z264" i="2"/>
  <c r="J264" i="2"/>
  <c r="AU263" i="2"/>
  <c r="P263" i="2"/>
  <c r="E263" i="2"/>
  <c r="S262" i="2"/>
  <c r="G262" i="2"/>
  <c r="W261" i="2"/>
  <c r="I261" i="2"/>
  <c r="AN260" i="2"/>
  <c r="L260" i="2"/>
  <c r="C260" i="2"/>
  <c r="P259" i="2"/>
  <c r="E259" i="2"/>
  <c r="S258" i="2"/>
  <c r="G258" i="2"/>
  <c r="W257" i="2"/>
  <c r="I257" i="2"/>
  <c r="AN256" i="2"/>
  <c r="J256" i="2"/>
  <c r="AU255" i="2"/>
  <c r="O255" i="2"/>
  <c r="D255" i="2"/>
  <c r="Q254" i="2"/>
  <c r="F254" i="2"/>
  <c r="U253" i="2"/>
  <c r="H253" i="2"/>
  <c r="Z252" i="2"/>
  <c r="J252" i="2"/>
  <c r="AU251" i="2"/>
  <c r="O251" i="2"/>
  <c r="D251" i="2"/>
  <c r="Q250" i="2"/>
  <c r="D461" i="2"/>
  <c r="E431" i="2"/>
  <c r="AN401" i="2"/>
  <c r="E392" i="2"/>
  <c r="S382" i="2"/>
  <c r="Z373" i="2"/>
  <c r="H369" i="2"/>
  <c r="S365" i="2"/>
  <c r="F362" i="2"/>
  <c r="Q358" i="2"/>
  <c r="C355" i="2"/>
  <c r="L351" i="2"/>
  <c r="AU347" i="2"/>
  <c r="J344" i="2"/>
  <c r="W340" i="2"/>
  <c r="H337" i="2"/>
  <c r="U333" i="2"/>
  <c r="E330" i="2"/>
  <c r="P326" i="2"/>
  <c r="D323" i="2"/>
  <c r="O321" i="2"/>
  <c r="H320" i="2"/>
  <c r="D319" i="2"/>
  <c r="AU317" i="2"/>
  <c r="W316" i="2"/>
  <c r="P315" i="2"/>
  <c r="L314" i="2"/>
  <c r="G313" i="2"/>
  <c r="C312" i="2"/>
  <c r="AN310" i="2"/>
  <c r="S309" i="2"/>
  <c r="L308" i="2"/>
  <c r="I307" i="2"/>
  <c r="E306" i="2"/>
  <c r="AN304" i="2"/>
  <c r="U303" i="2"/>
  <c r="I302" i="2"/>
  <c r="AU300" i="2"/>
  <c r="L299" i="2"/>
  <c r="C298" i="2"/>
  <c r="U296" i="2"/>
  <c r="L295" i="2"/>
  <c r="G294" i="2"/>
  <c r="C293" i="2"/>
  <c r="AN291" i="2"/>
  <c r="S290" i="2"/>
  <c r="F289" i="2"/>
  <c r="D288" i="2"/>
  <c r="AN286" i="2"/>
  <c r="S285" i="2"/>
  <c r="P284" i="2"/>
  <c r="I283" i="2"/>
  <c r="E282" i="2"/>
  <c r="C281" i="2"/>
  <c r="U279" i="2"/>
  <c r="AN278" i="2"/>
  <c r="G278" i="2"/>
  <c r="S277" i="2"/>
  <c r="G277" i="2"/>
  <c r="W276" i="2"/>
  <c r="I276" i="2"/>
  <c r="AN275" i="2"/>
  <c r="L275" i="2"/>
  <c r="C275" i="2"/>
  <c r="P274" i="2"/>
  <c r="E274" i="2"/>
  <c r="S273" i="2"/>
  <c r="G273" i="2"/>
  <c r="W272" i="2"/>
  <c r="J272" i="2"/>
  <c r="AU271" i="2"/>
  <c r="N271" i="2"/>
  <c r="D271" i="2"/>
  <c r="Q270" i="2"/>
  <c r="F270" i="2"/>
  <c r="U269" i="2"/>
  <c r="H269" i="2"/>
  <c r="Z268" i="2"/>
  <c r="J268" i="2"/>
  <c r="AU267" i="2"/>
  <c r="O267" i="2"/>
  <c r="D267" i="2"/>
  <c r="Q266" i="2"/>
  <c r="F266" i="2"/>
  <c r="U265" i="2"/>
  <c r="G265" i="2"/>
  <c r="W264" i="2"/>
  <c r="I264" i="2"/>
  <c r="AN263" i="2"/>
  <c r="O263" i="2"/>
  <c r="D263" i="2"/>
  <c r="R262" i="2"/>
  <c r="F262" i="2"/>
  <c r="U261" i="2"/>
  <c r="H261" i="2"/>
  <c r="Z260" i="2"/>
  <c r="J260" i="2"/>
  <c r="AU259" i="2"/>
  <c r="O259" i="2"/>
  <c r="D259" i="2"/>
  <c r="Q258" i="2"/>
  <c r="F258" i="2"/>
  <c r="U257" i="2"/>
  <c r="H257" i="2"/>
  <c r="Z256" i="2"/>
  <c r="I256" i="2"/>
  <c r="AN255" i="2"/>
  <c r="L255" i="2"/>
  <c r="C255" i="2"/>
  <c r="P254" i="2"/>
  <c r="E254" i="2"/>
  <c r="S253" i="2"/>
  <c r="G253" i="2"/>
  <c r="W252" i="2"/>
  <c r="I252" i="2"/>
  <c r="AN251" i="2"/>
  <c r="L251" i="2"/>
  <c r="C251" i="2"/>
  <c r="P250" i="2"/>
  <c r="E250" i="2"/>
  <c r="S249" i="2"/>
  <c r="G249" i="2"/>
  <c r="W248" i="2"/>
  <c r="J248" i="2"/>
  <c r="AU247" i="2"/>
  <c r="H247" i="2"/>
  <c r="Z246" i="2"/>
  <c r="F246" i="2"/>
  <c r="S245" i="2"/>
  <c r="D245" i="2"/>
  <c r="L244" i="2"/>
  <c r="C244" i="2"/>
  <c r="P243" i="2"/>
  <c r="E243" i="2"/>
  <c r="S242" i="2"/>
  <c r="G242" i="2"/>
  <c r="W241" i="2"/>
  <c r="J241" i="2"/>
  <c r="AU240" i="2"/>
  <c r="H240" i="2"/>
  <c r="Z239" i="2"/>
  <c r="J239" i="2"/>
  <c r="AU238" i="2"/>
  <c r="O238" i="2"/>
  <c r="D238" i="2"/>
  <c r="Q237" i="2"/>
  <c r="F237" i="2"/>
  <c r="U236" i="2"/>
  <c r="G236" i="2"/>
  <c r="W235" i="2"/>
  <c r="I235" i="2"/>
  <c r="AN234" i="2"/>
  <c r="G234" i="2"/>
  <c r="W233" i="2"/>
  <c r="J233" i="2"/>
  <c r="AU232" i="2"/>
  <c r="O232" i="2"/>
  <c r="D232" i="2"/>
  <c r="Q231" i="2"/>
  <c r="F231" i="2"/>
  <c r="U230" i="2"/>
  <c r="I230" i="2"/>
  <c r="AN229" i="2"/>
  <c r="L229" i="2"/>
  <c r="C229" i="2"/>
  <c r="P228" i="2"/>
  <c r="E228" i="2"/>
  <c r="S227" i="2"/>
  <c r="G227" i="2"/>
  <c r="W226" i="2"/>
  <c r="H226" i="2"/>
  <c r="Z225" i="2"/>
  <c r="J225" i="2"/>
  <c r="AU224" i="2"/>
  <c r="O224" i="2"/>
  <c r="D224" i="2"/>
  <c r="Q223" i="2"/>
  <c r="F223" i="2"/>
  <c r="U222" i="2"/>
  <c r="H222" i="2"/>
  <c r="Z221" i="2"/>
  <c r="J221" i="2"/>
  <c r="AU220" i="2"/>
  <c r="O220" i="2"/>
  <c r="D220" i="2"/>
  <c r="Q219" i="2"/>
  <c r="F219" i="2"/>
  <c r="S218" i="2"/>
  <c r="D218" i="2"/>
  <c r="Q217" i="2"/>
  <c r="F217" i="2"/>
  <c r="U216" i="2"/>
  <c r="H216" i="2"/>
  <c r="Z215" i="2"/>
  <c r="J215" i="2"/>
  <c r="AU214" i="2"/>
  <c r="O214" i="2"/>
  <c r="D214" i="2"/>
  <c r="Q213" i="2"/>
  <c r="F213" i="2"/>
  <c r="U212" i="2"/>
  <c r="H212" i="2"/>
  <c r="Z211" i="2"/>
  <c r="J211" i="2"/>
  <c r="AU210" i="2"/>
  <c r="O210" i="2"/>
  <c r="D210" i="2"/>
  <c r="R209" i="2"/>
  <c r="G209" i="2"/>
  <c r="W208" i="2"/>
  <c r="I208" i="2"/>
  <c r="AN207" i="2"/>
  <c r="L207" i="2"/>
  <c r="C207" i="2"/>
  <c r="P206" i="2"/>
  <c r="E206" i="2"/>
  <c r="S205" i="2"/>
  <c r="G205" i="2"/>
  <c r="W204" i="2"/>
  <c r="I204" i="2"/>
  <c r="AN203" i="2"/>
  <c r="L203" i="2"/>
  <c r="C203" i="2"/>
  <c r="Q202" i="2"/>
  <c r="D202" i="2"/>
  <c r="Q201" i="2"/>
  <c r="F201" i="2"/>
  <c r="U200" i="2"/>
  <c r="I200" i="2"/>
  <c r="AN199" i="2"/>
  <c r="L199" i="2"/>
  <c r="C199" i="2"/>
  <c r="P198" i="2"/>
  <c r="E198" i="2"/>
  <c r="S197" i="2"/>
  <c r="G197" i="2"/>
  <c r="W196" i="2"/>
  <c r="I196" i="2"/>
  <c r="AN195" i="2"/>
  <c r="L195" i="2"/>
  <c r="C195" i="2"/>
  <c r="P194" i="2"/>
  <c r="E194" i="2"/>
  <c r="S193" i="2"/>
  <c r="F193" i="2"/>
  <c r="U192" i="2"/>
  <c r="H192" i="2"/>
  <c r="Z191" i="2"/>
  <c r="J191" i="2"/>
  <c r="AU190" i="2"/>
  <c r="O190" i="2"/>
  <c r="D190" i="2"/>
  <c r="Q189" i="2"/>
  <c r="P457" i="2"/>
  <c r="U361" i="2"/>
  <c r="G333" i="2"/>
  <c r="S316" i="2"/>
  <c r="E307" i="2"/>
  <c r="L296" i="2"/>
  <c r="W286" i="2"/>
  <c r="E278" i="2"/>
  <c r="O274" i="2"/>
  <c r="C271" i="2"/>
  <c r="L267" i="2"/>
  <c r="Z263" i="2"/>
  <c r="I260" i="2"/>
  <c r="W256" i="2"/>
  <c r="F253" i="2"/>
  <c r="D250" i="2"/>
  <c r="I248" i="2"/>
  <c r="E246" i="2"/>
  <c r="AU243" i="2"/>
  <c r="F242" i="2"/>
  <c r="G240" i="2"/>
  <c r="L238" i="2"/>
  <c r="S236" i="2"/>
  <c r="Z234" i="2"/>
  <c r="AN232" i="2"/>
  <c r="E231" i="2"/>
  <c r="J229" i="2"/>
  <c r="Q227" i="2"/>
  <c r="W225" i="2"/>
  <c r="C224" i="2"/>
  <c r="G222" i="2"/>
  <c r="L220" i="2"/>
  <c r="L218" i="2"/>
  <c r="S216" i="2"/>
  <c r="AN214" i="2"/>
  <c r="E213" i="2"/>
  <c r="I211" i="2"/>
  <c r="Q209" i="2"/>
  <c r="H208" i="2"/>
  <c r="J207" i="2"/>
  <c r="O206" i="2"/>
  <c r="Q205" i="2"/>
  <c r="U204" i="2"/>
  <c r="Z203" i="2"/>
  <c r="AU202" i="2"/>
  <c r="C202" i="2"/>
  <c r="E201" i="2"/>
  <c r="H200" i="2"/>
  <c r="J199" i="2"/>
  <c r="O198" i="2"/>
  <c r="Q197" i="2"/>
  <c r="U196" i="2"/>
  <c r="Z195" i="2"/>
  <c r="AU194" i="2"/>
  <c r="D194" i="2"/>
  <c r="E193" i="2"/>
  <c r="G192" i="2"/>
  <c r="I191" i="2"/>
  <c r="L190" i="2"/>
  <c r="P189" i="2"/>
  <c r="W188" i="2"/>
  <c r="G188" i="2"/>
  <c r="S187" i="2"/>
  <c r="C187" i="2"/>
  <c r="L186" i="2"/>
  <c r="AN185" i="2"/>
  <c r="C185" i="2"/>
  <c r="H184" i="2"/>
  <c r="U183" i="2"/>
  <c r="D183" i="2"/>
  <c r="J182" i="2"/>
  <c r="AU181" i="2"/>
  <c r="O181" i="2"/>
  <c r="D181" i="2"/>
  <c r="J180" i="2"/>
  <c r="AU179" i="2"/>
  <c r="H179" i="2"/>
  <c r="Z178" i="2"/>
  <c r="J178" i="2"/>
  <c r="AU177" i="2"/>
  <c r="H177" i="2"/>
  <c r="Z176" i="2"/>
  <c r="F176" i="2"/>
  <c r="S175" i="2"/>
  <c r="D175" i="2"/>
  <c r="J174" i="2"/>
  <c r="AU173" i="2"/>
  <c r="I173" i="2"/>
  <c r="AN172" i="2"/>
  <c r="L172" i="2"/>
  <c r="C172" i="2"/>
  <c r="P171" i="2"/>
  <c r="E171" i="2"/>
  <c r="L170" i="2"/>
  <c r="C170" i="2"/>
  <c r="P169" i="2"/>
  <c r="E169" i="2"/>
  <c r="S168" i="2"/>
  <c r="G168" i="2"/>
  <c r="W167" i="2"/>
  <c r="I167" i="2"/>
  <c r="AN166" i="2"/>
  <c r="L166" i="2"/>
  <c r="C166" i="2"/>
  <c r="I165" i="2"/>
  <c r="AN164" i="2"/>
  <c r="L164" i="2"/>
  <c r="C164" i="2"/>
  <c r="P163" i="2"/>
  <c r="E163" i="2"/>
  <c r="S162" i="2"/>
  <c r="G162" i="2"/>
  <c r="W161" i="2"/>
  <c r="I161" i="2"/>
  <c r="AN160" i="2"/>
  <c r="L160" i="2"/>
  <c r="C160" i="2"/>
  <c r="P159" i="2"/>
  <c r="E159" i="2"/>
  <c r="S158" i="2"/>
  <c r="G158" i="2"/>
  <c r="W157" i="2"/>
  <c r="I157" i="2"/>
  <c r="AN156" i="2"/>
  <c r="L156" i="2"/>
  <c r="C156" i="2"/>
  <c r="P155" i="2"/>
  <c r="E155" i="2"/>
  <c r="S154" i="2"/>
  <c r="G154" i="2"/>
  <c r="W153" i="2"/>
  <c r="I153" i="2"/>
  <c r="AN152" i="2"/>
  <c r="G152" i="2"/>
  <c r="W151" i="2"/>
  <c r="J151" i="2"/>
  <c r="AU150" i="2"/>
  <c r="H150" i="2"/>
  <c r="Z149" i="2"/>
  <c r="F149" i="2"/>
  <c r="S148" i="2"/>
  <c r="D148" i="2"/>
  <c r="L147" i="2"/>
  <c r="C147" i="2"/>
  <c r="P146" i="2"/>
  <c r="E146" i="2"/>
  <c r="S145" i="2"/>
  <c r="G145" i="2"/>
  <c r="W144" i="2"/>
  <c r="J144" i="2"/>
  <c r="AU143" i="2"/>
  <c r="H143" i="2"/>
  <c r="Z142" i="2"/>
  <c r="J142" i="2"/>
  <c r="AU141" i="2"/>
  <c r="O141" i="2"/>
  <c r="D141" i="2"/>
  <c r="Q140" i="2"/>
  <c r="F140" i="2"/>
  <c r="U139" i="2"/>
  <c r="H139" i="2"/>
  <c r="Z138" i="2"/>
  <c r="F138" i="2"/>
  <c r="U137" i="2"/>
  <c r="I137" i="2"/>
  <c r="AN136" i="2"/>
  <c r="L136" i="2"/>
  <c r="C136" i="2"/>
  <c r="P135" i="2"/>
  <c r="E135" i="2"/>
  <c r="S134" i="2"/>
  <c r="H134" i="2"/>
  <c r="Z133" i="2"/>
  <c r="J133" i="2"/>
  <c r="AU132" i="2"/>
  <c r="O132" i="2"/>
  <c r="D132" i="2"/>
  <c r="Q131" i="2"/>
  <c r="F131" i="2"/>
  <c r="U130" i="2"/>
  <c r="H130" i="2"/>
  <c r="Z129" i="2"/>
  <c r="J129" i="2"/>
  <c r="AU128" i="2"/>
  <c r="O128" i="2"/>
  <c r="D128" i="2"/>
  <c r="Q127" i="2"/>
  <c r="F127" i="2"/>
  <c r="U126" i="2"/>
  <c r="H126" i="2"/>
  <c r="Z125" i="2"/>
  <c r="J125" i="2"/>
  <c r="AU124" i="2"/>
  <c r="O124" i="2"/>
  <c r="D124" i="2"/>
  <c r="J123" i="2"/>
  <c r="AU122" i="2"/>
  <c r="P122" i="2"/>
  <c r="E122" i="2"/>
  <c r="L121" i="2"/>
  <c r="C121" i="2"/>
  <c r="I120" i="2"/>
  <c r="AN119" i="2"/>
  <c r="G119" i="2"/>
  <c r="W118" i="2"/>
  <c r="F118" i="2"/>
  <c r="U117" i="2"/>
  <c r="H117" i="2"/>
  <c r="Z116" i="2"/>
  <c r="J116" i="2"/>
  <c r="AU115" i="2"/>
  <c r="P115" i="2"/>
  <c r="E115" i="2"/>
  <c r="L114" i="2"/>
  <c r="C114" i="2"/>
  <c r="P113" i="2"/>
  <c r="E113" i="2"/>
  <c r="S112" i="2"/>
  <c r="G112" i="2"/>
  <c r="W111" i="2"/>
  <c r="I111" i="2"/>
  <c r="AN110" i="2"/>
  <c r="J110" i="2"/>
  <c r="AU109" i="2"/>
  <c r="O109" i="2"/>
  <c r="D109" i="2"/>
  <c r="J108" i="2"/>
  <c r="AU107" i="2"/>
  <c r="P107" i="2"/>
  <c r="E107" i="2"/>
  <c r="S106" i="2"/>
  <c r="G106" i="2"/>
  <c r="W105" i="2"/>
  <c r="I105" i="2"/>
  <c r="AN104" i="2"/>
  <c r="P427" i="2"/>
  <c r="F358" i="2"/>
  <c r="S329" i="2"/>
  <c r="L315" i="2"/>
  <c r="C306" i="2"/>
  <c r="G295" i="2"/>
  <c r="P285" i="2"/>
  <c r="Q277" i="2"/>
  <c r="D274" i="2"/>
  <c r="P270" i="2"/>
  <c r="C267" i="2"/>
  <c r="L263" i="2"/>
  <c r="AN259" i="2"/>
  <c r="H256" i="2"/>
  <c r="U252" i="2"/>
  <c r="U249" i="2"/>
  <c r="C248" i="2"/>
  <c r="U245" i="2"/>
  <c r="Q243" i="2"/>
  <c r="Z241" i="2"/>
  <c r="AN239" i="2"/>
  <c r="E238" i="2"/>
  <c r="H236" i="2"/>
  <c r="H234" i="2"/>
  <c r="P232" i="2"/>
  <c r="W230" i="2"/>
  <c r="D229" i="2"/>
  <c r="H227" i="2"/>
  <c r="L225" i="2"/>
  <c r="S223" i="2"/>
  <c r="AN221" i="2"/>
  <c r="E220" i="2"/>
  <c r="E218" i="2"/>
  <c r="I216" i="2"/>
  <c r="P214" i="2"/>
  <c r="W212" i="2"/>
  <c r="C211" i="2"/>
  <c r="H209" i="2"/>
  <c r="G208" i="2"/>
  <c r="I207" i="2"/>
  <c r="L206" i="2"/>
  <c r="P205" i="2"/>
  <c r="S204" i="2"/>
  <c r="W203" i="2"/>
  <c r="AN202" i="2"/>
  <c r="AU201" i="2"/>
  <c r="D201" i="2"/>
  <c r="G200" i="2"/>
  <c r="I199" i="2"/>
  <c r="L198" i="2"/>
  <c r="P197" i="2"/>
  <c r="S196" i="2"/>
  <c r="W195" i="2"/>
  <c r="AN194" i="2"/>
  <c r="C194" i="2"/>
  <c r="D193" i="2"/>
  <c r="F192" i="2"/>
  <c r="H191" i="2"/>
  <c r="J190" i="2"/>
  <c r="O189" i="2"/>
  <c r="U188" i="2"/>
  <c r="F188" i="2"/>
  <c r="O187" i="2"/>
  <c r="AU186" i="2"/>
  <c r="J186" i="2"/>
  <c r="S185" i="2"/>
  <c r="AU184" i="2"/>
  <c r="G184" i="2"/>
  <c r="S183" i="2"/>
  <c r="C183" i="2"/>
  <c r="I182" i="2"/>
  <c r="AN181" i="2"/>
  <c r="L181" i="2"/>
  <c r="C181" i="2"/>
  <c r="I180" i="2"/>
  <c r="AN179" i="2"/>
  <c r="G179" i="2"/>
  <c r="W178" i="2"/>
  <c r="I178" i="2"/>
  <c r="AN177" i="2"/>
  <c r="G177" i="2"/>
  <c r="U176" i="2"/>
  <c r="E176" i="2"/>
  <c r="L175" i="2"/>
  <c r="C175" i="2"/>
  <c r="I174" i="2"/>
  <c r="AN173" i="2"/>
  <c r="H173" i="2"/>
  <c r="Z172" i="2"/>
  <c r="J172" i="2"/>
  <c r="AU171" i="2"/>
  <c r="O171" i="2"/>
  <c r="D171" i="2"/>
  <c r="J170" i="2"/>
  <c r="AU169" i="2"/>
  <c r="O169" i="2"/>
  <c r="D169" i="2"/>
  <c r="Q168" i="2"/>
  <c r="F168" i="2"/>
  <c r="U167" i="2"/>
  <c r="H167" i="2"/>
  <c r="Z166" i="2"/>
  <c r="J166" i="2"/>
  <c r="AU165" i="2"/>
  <c r="H165" i="2"/>
  <c r="Z164" i="2"/>
  <c r="J164" i="2"/>
  <c r="AU163" i="2"/>
  <c r="O163" i="2"/>
  <c r="D163" i="2"/>
  <c r="Q162" i="2"/>
  <c r="F162" i="2"/>
  <c r="U161" i="2"/>
  <c r="H161" i="2"/>
  <c r="Z160" i="2"/>
  <c r="J160" i="2"/>
  <c r="AU159" i="2"/>
  <c r="O159" i="2"/>
  <c r="D159" i="2"/>
  <c r="Q158" i="2"/>
  <c r="F158" i="2"/>
  <c r="U157" i="2"/>
  <c r="H157" i="2"/>
  <c r="Z156" i="2"/>
  <c r="J156" i="2"/>
  <c r="AU155" i="2"/>
  <c r="O155" i="2"/>
  <c r="D155" i="2"/>
  <c r="Q154" i="2"/>
  <c r="F154" i="2"/>
  <c r="U153" i="2"/>
  <c r="H153" i="2"/>
  <c r="Z152" i="2"/>
  <c r="F152" i="2"/>
  <c r="U151" i="2"/>
  <c r="I151" i="2"/>
  <c r="AN150" i="2"/>
  <c r="G150" i="2"/>
  <c r="U149" i="2"/>
  <c r="E149" i="2"/>
  <c r="L148" i="2"/>
  <c r="C148" i="2"/>
  <c r="J147" i="2"/>
  <c r="AU146" i="2"/>
  <c r="O146" i="2"/>
  <c r="D146" i="2"/>
  <c r="Q145" i="2"/>
  <c r="F145" i="2"/>
  <c r="U144" i="2"/>
  <c r="I144" i="2"/>
  <c r="AN143" i="2"/>
  <c r="G143" i="2"/>
  <c r="W142" i="2"/>
  <c r="I142" i="2"/>
  <c r="AN141" i="2"/>
  <c r="L141" i="2"/>
  <c r="C141" i="2"/>
  <c r="P140" i="2"/>
  <c r="E140" i="2"/>
  <c r="S139" i="2"/>
  <c r="G139" i="2"/>
  <c r="U138" i="2"/>
  <c r="E138" i="2"/>
  <c r="S137" i="2"/>
  <c r="H137" i="2"/>
  <c r="Z136" i="2"/>
  <c r="J136" i="2"/>
  <c r="AU135" i="2"/>
  <c r="O135" i="2"/>
  <c r="D135" i="2"/>
  <c r="R134" i="2"/>
  <c r="G134" i="2"/>
  <c r="W133" i="2"/>
  <c r="I133" i="2"/>
  <c r="AN132" i="2"/>
  <c r="L132" i="2"/>
  <c r="C132" i="2"/>
  <c r="P131" i="2"/>
  <c r="E131" i="2"/>
  <c r="S130" i="2"/>
  <c r="G130" i="2"/>
  <c r="W129" i="2"/>
  <c r="I129" i="2"/>
  <c r="AN128" i="2"/>
  <c r="L128" i="2"/>
  <c r="C128" i="2"/>
  <c r="P127" i="2"/>
  <c r="E127" i="2"/>
  <c r="S126" i="2"/>
  <c r="G126" i="2"/>
  <c r="W125" i="2"/>
  <c r="I125" i="2"/>
  <c r="AN124" i="2"/>
  <c r="L124" i="2"/>
  <c r="C124" i="2"/>
  <c r="I123" i="2"/>
  <c r="AN122" i="2"/>
  <c r="O122" i="2"/>
  <c r="D122" i="2"/>
  <c r="J121" i="2"/>
  <c r="AU120" i="2"/>
  <c r="H120" i="2"/>
  <c r="Z119" i="2"/>
  <c r="F119" i="2"/>
  <c r="U118" i="2"/>
  <c r="E118" i="2"/>
  <c r="S117" i="2"/>
  <c r="G117" i="2"/>
  <c r="W116" i="2"/>
  <c r="I116" i="2"/>
  <c r="AN115" i="2"/>
  <c r="O115" i="2"/>
  <c r="D115" i="2"/>
  <c r="J114" i="2"/>
  <c r="AU113" i="2"/>
  <c r="O113" i="2"/>
  <c r="D113" i="2"/>
  <c r="Q112" i="2"/>
  <c r="F112" i="2"/>
  <c r="U111" i="2"/>
  <c r="H111" i="2"/>
  <c r="Z110" i="2"/>
  <c r="I110" i="2"/>
  <c r="AN109" i="2"/>
  <c r="L109" i="2"/>
  <c r="C109" i="2"/>
  <c r="I108" i="2"/>
  <c r="AN107" i="2"/>
  <c r="O107" i="2"/>
  <c r="D107" i="2"/>
  <c r="Q106" i="2"/>
  <c r="F106" i="2"/>
  <c r="U105" i="2"/>
  <c r="H105" i="2"/>
  <c r="Z104" i="2"/>
  <c r="L104" i="2"/>
  <c r="C104" i="2"/>
  <c r="P103" i="2"/>
  <c r="E103" i="2"/>
  <c r="S102" i="2"/>
  <c r="G102" i="2"/>
  <c r="W101" i="2"/>
  <c r="I101" i="2"/>
  <c r="AN100" i="2"/>
  <c r="J100" i="2"/>
  <c r="AU99" i="2"/>
  <c r="O99" i="2"/>
  <c r="D99" i="2"/>
  <c r="Q98" i="2"/>
  <c r="F98" i="2"/>
  <c r="U97" i="2"/>
  <c r="H97" i="2"/>
  <c r="Q400" i="2"/>
  <c r="P354" i="2"/>
  <c r="E326" i="2"/>
  <c r="G314" i="2"/>
  <c r="W304" i="2"/>
  <c r="E294" i="2"/>
  <c r="I284" i="2"/>
  <c r="F277" i="2"/>
  <c r="Q273" i="2"/>
  <c r="E270" i="2"/>
  <c r="P266" i="2"/>
  <c r="C263" i="2"/>
  <c r="L259" i="2"/>
  <c r="Z255" i="2"/>
  <c r="H252" i="2"/>
  <c r="Q249" i="2"/>
  <c r="AN247" i="2"/>
  <c r="L245" i="2"/>
  <c r="O243" i="2"/>
  <c r="U241" i="2"/>
  <c r="W239" i="2"/>
  <c r="C238" i="2"/>
  <c r="F236" i="2"/>
  <c r="F234" i="2"/>
  <c r="L232" i="2"/>
  <c r="S230" i="2"/>
  <c r="AU228" i="2"/>
  <c r="F227" i="2"/>
  <c r="I225" i="2"/>
  <c r="P223" i="2"/>
  <c r="W221" i="2"/>
  <c r="C220" i="2"/>
  <c r="C218" i="2"/>
  <c r="G216" i="2"/>
  <c r="L214" i="2"/>
  <c r="S212" i="2"/>
  <c r="AN210" i="2"/>
  <c r="F209" i="2"/>
  <c r="C208" i="2"/>
  <c r="E207" i="2"/>
  <c r="G206" i="2"/>
  <c r="I205" i="2"/>
  <c r="L204" i="2"/>
  <c r="P203" i="2"/>
  <c r="S202" i="2"/>
  <c r="U201" i="2"/>
  <c r="Z200" i="2"/>
  <c r="C200" i="2"/>
  <c r="E199" i="2"/>
  <c r="G198" i="2"/>
  <c r="I197" i="2"/>
  <c r="L196" i="2"/>
  <c r="P195" i="2"/>
  <c r="S194" i="2"/>
  <c r="W193" i="2"/>
  <c r="Z192" i="2"/>
  <c r="AU191" i="2"/>
  <c r="D191" i="2"/>
  <c r="F190" i="2"/>
  <c r="H189" i="2"/>
  <c r="S188" i="2"/>
  <c r="E188" i="2"/>
  <c r="L187" i="2"/>
  <c r="AN186" i="2"/>
  <c r="I186" i="2"/>
  <c r="L185" i="2"/>
  <c r="AN184" i="2"/>
  <c r="F184" i="2"/>
  <c r="L183" i="2"/>
  <c r="AN182" i="2"/>
  <c r="H182" i="2"/>
  <c r="Z181" i="2"/>
  <c r="J181" i="2"/>
  <c r="AU180" i="2"/>
  <c r="H180" i="2"/>
  <c r="Z179" i="2"/>
  <c r="F179" i="2"/>
  <c r="U178" i="2"/>
  <c r="H178" i="2"/>
  <c r="Z177" i="2"/>
  <c r="F177" i="2"/>
  <c r="S176" i="2"/>
  <c r="D176" i="2"/>
  <c r="J175" i="2"/>
  <c r="AU174" i="2"/>
  <c r="H174" i="2"/>
  <c r="Z173" i="2"/>
  <c r="G173" i="2"/>
  <c r="W172" i="2"/>
  <c r="I172" i="2"/>
  <c r="AN171" i="2"/>
  <c r="L171" i="2"/>
  <c r="C171" i="2"/>
  <c r="I170" i="2"/>
  <c r="AN169" i="2"/>
  <c r="L169" i="2"/>
  <c r="C169" i="2"/>
  <c r="P168" i="2"/>
  <c r="E168" i="2"/>
  <c r="S167" i="2"/>
  <c r="G167" i="2"/>
  <c r="W166" i="2"/>
  <c r="I166" i="2"/>
  <c r="AN165" i="2"/>
  <c r="G165" i="2"/>
  <c r="W164" i="2"/>
  <c r="I164" i="2"/>
  <c r="AN163" i="2"/>
  <c r="L163" i="2"/>
  <c r="C163" i="2"/>
  <c r="P162" i="2"/>
  <c r="E162" i="2"/>
  <c r="S161" i="2"/>
  <c r="G161" i="2"/>
  <c r="W160" i="2"/>
  <c r="I160" i="2"/>
  <c r="AN159" i="2"/>
  <c r="L159" i="2"/>
  <c r="C159" i="2"/>
  <c r="P158" i="2"/>
  <c r="E158" i="2"/>
  <c r="S157" i="2"/>
  <c r="G157" i="2"/>
  <c r="W156" i="2"/>
  <c r="I156" i="2"/>
  <c r="AN155" i="2"/>
  <c r="L155" i="2"/>
  <c r="C155" i="2"/>
  <c r="P154" i="2"/>
  <c r="E154" i="2"/>
  <c r="S153" i="2"/>
  <c r="G153" i="2"/>
  <c r="D391" i="2"/>
  <c r="C351" i="2"/>
  <c r="AU322" i="2"/>
  <c r="E313" i="2"/>
  <c r="H303" i="2"/>
  <c r="AN292" i="2"/>
  <c r="G283" i="2"/>
  <c r="U276" i="2"/>
  <c r="F273" i="2"/>
  <c r="S269" i="2"/>
  <c r="E266" i="2"/>
  <c r="Q262" i="2"/>
  <c r="C259" i="2"/>
  <c r="J255" i="2"/>
  <c r="Z251" i="2"/>
  <c r="H249" i="2"/>
  <c r="I247" i="2"/>
  <c r="E245" i="2"/>
  <c r="F243" i="2"/>
  <c r="L241" i="2"/>
  <c r="L239" i="2"/>
  <c r="S237" i="2"/>
  <c r="Z235" i="2"/>
  <c r="Z233" i="2"/>
  <c r="E232" i="2"/>
  <c r="J230" i="2"/>
  <c r="Q228" i="2"/>
  <c r="Z226" i="2"/>
  <c r="C225" i="2"/>
  <c r="G223" i="2"/>
  <c r="L221" i="2"/>
  <c r="S219" i="2"/>
  <c r="S217" i="2"/>
  <c r="AN215" i="2"/>
  <c r="E214" i="2"/>
  <c r="I212" i="2"/>
  <c r="P210" i="2"/>
  <c r="AN208" i="2"/>
  <c r="AU207" i="2"/>
  <c r="D207" i="2"/>
  <c r="F206" i="2"/>
  <c r="H205" i="2"/>
  <c r="J204" i="2"/>
  <c r="O203" i="2"/>
  <c r="R202" i="2"/>
  <c r="S201" i="2"/>
  <c r="W200" i="2"/>
  <c r="AU199" i="2"/>
  <c r="D199" i="2"/>
  <c r="F198" i="2"/>
  <c r="H197" i="2"/>
  <c r="J196" i="2"/>
  <c r="O195" i="2"/>
  <c r="Q194" i="2"/>
  <c r="U193" i="2"/>
  <c r="W192" i="2"/>
  <c r="AN191" i="2"/>
  <c r="C191" i="2"/>
  <c r="E190" i="2"/>
  <c r="G189" i="2"/>
  <c r="Q188" i="2"/>
  <c r="AU187" i="2"/>
  <c r="J187" i="2"/>
  <c r="Z186" i="2"/>
  <c r="F186" i="2"/>
  <c r="J185" i="2"/>
  <c r="Z184" i="2"/>
  <c r="E184" i="2"/>
  <c r="I183" i="2"/>
  <c r="Z182" i="2"/>
  <c r="G182" i="2"/>
  <c r="W181" i="2"/>
  <c r="I181" i="2"/>
  <c r="AN180" i="2"/>
  <c r="G180" i="2"/>
  <c r="U179" i="2"/>
  <c r="E179" i="2"/>
  <c r="S178" i="2"/>
  <c r="G178" i="2"/>
  <c r="U177" i="2"/>
  <c r="E177" i="2"/>
  <c r="L176" i="2"/>
  <c r="C176" i="2"/>
  <c r="I175" i="2"/>
  <c r="AN174" i="2"/>
  <c r="G174" i="2"/>
  <c r="W173" i="2"/>
  <c r="F173" i="2"/>
  <c r="U172" i="2"/>
  <c r="H172" i="2"/>
  <c r="Z171" i="2"/>
  <c r="J171" i="2"/>
  <c r="AU170" i="2"/>
  <c r="H170" i="2"/>
  <c r="Z169" i="2"/>
  <c r="J169" i="2"/>
  <c r="AU168" i="2"/>
  <c r="O168" i="2"/>
  <c r="D168" i="2"/>
  <c r="Q167" i="2"/>
  <c r="F167" i="2"/>
  <c r="U166" i="2"/>
  <c r="H166" i="2"/>
  <c r="Z165" i="2"/>
  <c r="F165" i="2"/>
  <c r="U164" i="2"/>
  <c r="H164" i="2"/>
  <c r="Z163" i="2"/>
  <c r="J163" i="2"/>
  <c r="AU162" i="2"/>
  <c r="O162" i="2"/>
  <c r="D162" i="2"/>
  <c r="Q161" i="2"/>
  <c r="F161" i="2"/>
  <c r="U160" i="2"/>
  <c r="H160" i="2"/>
  <c r="Z159" i="2"/>
  <c r="J159" i="2"/>
  <c r="AU158" i="2"/>
  <c r="O158" i="2"/>
  <c r="D158" i="2"/>
  <c r="Q157" i="2"/>
  <c r="F157" i="2"/>
  <c r="U156" i="2"/>
  <c r="H156" i="2"/>
  <c r="Z155" i="2"/>
  <c r="J155" i="2"/>
  <c r="AU154" i="2"/>
  <c r="O154" i="2"/>
  <c r="D154" i="2"/>
  <c r="Q153" i="2"/>
  <c r="F153" i="2"/>
  <c r="S152" i="2"/>
  <c r="D152" i="2"/>
  <c r="R151" i="2"/>
  <c r="G151" i="2"/>
  <c r="U150" i="2"/>
  <c r="E150" i="2"/>
  <c r="L149" i="2"/>
  <c r="C149" i="2"/>
  <c r="I148" i="2"/>
  <c r="AN147" i="2"/>
  <c r="H147" i="2"/>
  <c r="Z146" i="2"/>
  <c r="J146" i="2"/>
  <c r="AU145" i="2"/>
  <c r="O145" i="2"/>
  <c r="D145" i="2"/>
  <c r="R144" i="2"/>
  <c r="G144" i="2"/>
  <c r="U143" i="2"/>
  <c r="E143" i="2"/>
  <c r="S142" i="2"/>
  <c r="G142" i="2"/>
  <c r="W141" i="2"/>
  <c r="I141" i="2"/>
  <c r="AN140" i="2"/>
  <c r="L140" i="2"/>
  <c r="C140" i="2"/>
  <c r="P139" i="2"/>
  <c r="E139" i="2"/>
  <c r="L138" i="2"/>
  <c r="C138" i="2"/>
  <c r="Q137" i="2"/>
  <c r="F137" i="2"/>
  <c r="U136" i="2"/>
  <c r="H136" i="2"/>
  <c r="Z135" i="2"/>
  <c r="J135" i="2"/>
  <c r="AU134" i="2"/>
  <c r="P134" i="2"/>
  <c r="E134" i="2"/>
  <c r="S133" i="2"/>
  <c r="G133" i="2"/>
  <c r="W132" i="2"/>
  <c r="I132" i="2"/>
  <c r="AN131" i="2"/>
  <c r="L131" i="2"/>
  <c r="C131" i="2"/>
  <c r="P130" i="2"/>
  <c r="E130" i="2"/>
  <c r="S129" i="2"/>
  <c r="G129" i="2"/>
  <c r="W128" i="2"/>
  <c r="I128" i="2"/>
  <c r="AN127" i="2"/>
  <c r="L127" i="2"/>
  <c r="C127" i="2"/>
  <c r="P126" i="2"/>
  <c r="E126" i="2"/>
  <c r="S125" i="2"/>
  <c r="G125" i="2"/>
  <c r="W124" i="2"/>
  <c r="I124" i="2"/>
  <c r="AN123" i="2"/>
  <c r="G123" i="2"/>
  <c r="W122" i="2"/>
  <c r="J122" i="2"/>
  <c r="AU121" i="2"/>
  <c r="H121" i="2"/>
  <c r="Z120" i="2"/>
  <c r="F120" i="2"/>
  <c r="S119" i="2"/>
  <c r="D119" i="2"/>
  <c r="L118" i="2"/>
  <c r="C118" i="2"/>
  <c r="P117" i="2"/>
  <c r="E117" i="2"/>
  <c r="S116" i="2"/>
  <c r="G116" i="2"/>
  <c r="W115" i="2"/>
  <c r="J115" i="2"/>
  <c r="AU114" i="2"/>
  <c r="H114" i="2"/>
  <c r="Z113" i="2"/>
  <c r="J113" i="2"/>
  <c r="AU112" i="2"/>
  <c r="O112" i="2"/>
  <c r="D112" i="2"/>
  <c r="Q111" i="2"/>
  <c r="F111" i="2"/>
  <c r="U110" i="2"/>
  <c r="G110" i="2"/>
  <c r="W109" i="2"/>
  <c r="I109" i="2"/>
  <c r="AN108" i="2"/>
  <c r="G108" i="2"/>
  <c r="W107" i="2"/>
  <c r="J107" i="2"/>
  <c r="AU106" i="2"/>
  <c r="O106" i="2"/>
  <c r="D106" i="2"/>
  <c r="Q105" i="2"/>
  <c r="F105" i="2"/>
  <c r="U104" i="2"/>
  <c r="I104" i="2"/>
  <c r="AN103" i="2"/>
  <c r="L103" i="2"/>
  <c r="C103" i="2"/>
  <c r="P102" i="2"/>
  <c r="E102" i="2"/>
  <c r="S101" i="2"/>
  <c r="G101" i="2"/>
  <c r="W100" i="2"/>
  <c r="H100" i="2"/>
  <c r="Z99" i="2"/>
  <c r="J99" i="2"/>
  <c r="AU98" i="2"/>
  <c r="J381" i="2"/>
  <c r="O347" i="2"/>
  <c r="H321" i="2"/>
  <c r="AN311" i="2"/>
  <c r="G302" i="2"/>
  <c r="S291" i="2"/>
  <c r="C282" i="2"/>
  <c r="H276" i="2"/>
  <c r="U272" i="2"/>
  <c r="G269" i="2"/>
  <c r="S265" i="2"/>
  <c r="E262" i="2"/>
  <c r="P258" i="2"/>
  <c r="AU254" i="2"/>
  <c r="J251" i="2"/>
  <c r="F249" i="2"/>
  <c r="G247" i="2"/>
  <c r="C245" i="2"/>
  <c r="D243" i="2"/>
  <c r="I241" i="2"/>
  <c r="I239" i="2"/>
  <c r="P237" i="2"/>
  <c r="U235" i="2"/>
  <c r="U233" i="2"/>
  <c r="C232" i="2"/>
  <c r="H230" i="2"/>
  <c r="O228" i="2"/>
  <c r="U226" i="2"/>
  <c r="AN224" i="2"/>
  <c r="E223" i="2"/>
  <c r="I221" i="2"/>
  <c r="P219" i="2"/>
  <c r="P217" i="2"/>
  <c r="W215" i="2"/>
  <c r="C214" i="2"/>
  <c r="G212" i="2"/>
  <c r="L210" i="2"/>
  <c r="Z208" i="2"/>
  <c r="Z207" i="2"/>
  <c r="AU206" i="2"/>
  <c r="D206" i="2"/>
  <c r="F205" i="2"/>
  <c r="H204" i="2"/>
  <c r="J203" i="2"/>
  <c r="L202" i="2"/>
  <c r="P201" i="2"/>
  <c r="S200" i="2"/>
  <c r="Z199" i="2"/>
  <c r="AU198" i="2"/>
  <c r="D198" i="2"/>
  <c r="F197" i="2"/>
  <c r="H196" i="2"/>
  <c r="J195" i="2"/>
  <c r="O194" i="2"/>
  <c r="R193" i="2"/>
  <c r="S192" i="2"/>
  <c r="W191" i="2"/>
  <c r="AN190" i="2"/>
  <c r="C190" i="2"/>
  <c r="F189" i="2"/>
  <c r="P188" i="2"/>
  <c r="AN187" i="2"/>
  <c r="I187" i="2"/>
  <c r="W186" i="2"/>
  <c r="E186" i="2"/>
  <c r="I185" i="2"/>
  <c r="U184" i="2"/>
  <c r="C184" i="2"/>
  <c r="H183" i="2"/>
  <c r="W182" i="2"/>
  <c r="F182" i="2"/>
  <c r="U181" i="2"/>
  <c r="H181" i="2"/>
  <c r="Z180" i="2"/>
  <c r="F180" i="2"/>
  <c r="S179" i="2"/>
  <c r="D179" i="2"/>
  <c r="Q178" i="2"/>
  <c r="F178" i="2"/>
  <c r="S177" i="2"/>
  <c r="D177" i="2"/>
  <c r="J176" i="2"/>
  <c r="AU175" i="2"/>
  <c r="H175" i="2"/>
  <c r="Z174" i="2"/>
  <c r="F174" i="2"/>
  <c r="U173" i="2"/>
  <c r="E173" i="2"/>
  <c r="S172" i="2"/>
  <c r="G172" i="2"/>
  <c r="W171" i="2"/>
  <c r="I171" i="2"/>
  <c r="AN170" i="2"/>
  <c r="G170" i="2"/>
  <c r="W169" i="2"/>
  <c r="I169" i="2"/>
  <c r="AN168" i="2"/>
  <c r="L168" i="2"/>
  <c r="C168" i="2"/>
  <c r="P167" i="2"/>
  <c r="E167" i="2"/>
  <c r="S166" i="2"/>
  <c r="G166" i="2"/>
  <c r="U165" i="2"/>
  <c r="E165" i="2"/>
  <c r="S164" i="2"/>
  <c r="G164" i="2"/>
  <c r="W163" i="2"/>
  <c r="I163" i="2"/>
  <c r="AN162" i="2"/>
  <c r="L162" i="2"/>
  <c r="C162" i="2"/>
  <c r="P161" i="2"/>
  <c r="E161" i="2"/>
  <c r="S160" i="2"/>
  <c r="G160" i="2"/>
  <c r="W159" i="2"/>
  <c r="I159" i="2"/>
  <c r="AN158" i="2"/>
  <c r="L158" i="2"/>
  <c r="C158" i="2"/>
  <c r="P157" i="2"/>
  <c r="E157" i="2"/>
  <c r="S156" i="2"/>
  <c r="G156" i="2"/>
  <c r="W155" i="2"/>
  <c r="I155" i="2"/>
  <c r="AN154" i="2"/>
  <c r="L154" i="2"/>
  <c r="C154" i="2"/>
  <c r="P153" i="2"/>
  <c r="E153" i="2"/>
  <c r="L152" i="2"/>
  <c r="C152" i="2"/>
  <c r="Q151" i="2"/>
  <c r="F151" i="2"/>
  <c r="S150" i="2"/>
  <c r="D150" i="2"/>
  <c r="J149" i="2"/>
  <c r="AU148" i="2"/>
  <c r="H148" i="2"/>
  <c r="Z147" i="2"/>
  <c r="G147" i="2"/>
  <c r="W146" i="2"/>
  <c r="I146" i="2"/>
  <c r="AN145" i="2"/>
  <c r="L145" i="2"/>
  <c r="C145" i="2"/>
  <c r="Q144" i="2"/>
  <c r="F144" i="2"/>
  <c r="S143" i="2"/>
  <c r="D143" i="2"/>
  <c r="Q142" i="2"/>
  <c r="F142" i="2"/>
  <c r="U141" i="2"/>
  <c r="H141" i="2"/>
  <c r="Z140" i="2"/>
  <c r="J140" i="2"/>
  <c r="AU139" i="2"/>
  <c r="O139" i="2"/>
  <c r="D139" i="2"/>
  <c r="J138" i="2"/>
  <c r="AU137" i="2"/>
  <c r="P137" i="2"/>
  <c r="E137" i="2"/>
  <c r="S136" i="2"/>
  <c r="G136" i="2"/>
  <c r="W135" i="2"/>
  <c r="I135" i="2"/>
  <c r="AN134" i="2"/>
  <c r="O134" i="2"/>
  <c r="D134" i="2"/>
  <c r="Q133" i="2"/>
  <c r="F133" i="2"/>
  <c r="U132" i="2"/>
  <c r="H132" i="2"/>
  <c r="Z131" i="2"/>
  <c r="J131" i="2"/>
  <c r="AU130" i="2"/>
  <c r="O130" i="2"/>
  <c r="D130" i="2"/>
  <c r="Q129" i="2"/>
  <c r="F129" i="2"/>
  <c r="U128" i="2"/>
  <c r="H128" i="2"/>
  <c r="Z127" i="2"/>
  <c r="J127" i="2"/>
  <c r="AU126" i="2"/>
  <c r="O126" i="2"/>
  <c r="D126" i="2"/>
  <c r="Q125" i="2"/>
  <c r="F125" i="2"/>
  <c r="U124" i="2"/>
  <c r="H124" i="2"/>
  <c r="Z123" i="2"/>
  <c r="F123" i="2"/>
  <c r="U122" i="2"/>
  <c r="I122" i="2"/>
  <c r="AN121" i="2"/>
  <c r="G121" i="2"/>
  <c r="U120" i="2"/>
  <c r="E120" i="2"/>
  <c r="L119" i="2"/>
  <c r="C119" i="2"/>
  <c r="J118" i="2"/>
  <c r="AU117" i="2"/>
  <c r="O117" i="2"/>
  <c r="D117" i="2"/>
  <c r="Q116" i="2"/>
  <c r="F116" i="2"/>
  <c r="U115" i="2"/>
  <c r="I115" i="2"/>
  <c r="AN114" i="2"/>
  <c r="G114" i="2"/>
  <c r="W113" i="2"/>
  <c r="I113" i="2"/>
  <c r="AN112" i="2"/>
  <c r="L112" i="2"/>
  <c r="C112" i="2"/>
  <c r="P111" i="2"/>
  <c r="E111" i="2"/>
  <c r="S110" i="2"/>
  <c r="F110" i="2"/>
  <c r="U109" i="2"/>
  <c r="H109" i="2"/>
  <c r="Z108" i="2"/>
  <c r="F108" i="2"/>
  <c r="U107" i="2"/>
  <c r="I107" i="2"/>
  <c r="AN106" i="2"/>
  <c r="L106" i="2"/>
  <c r="C106" i="2"/>
  <c r="P105" i="2"/>
  <c r="E105" i="2"/>
  <c r="S104" i="2"/>
  <c r="H104" i="2"/>
  <c r="Z103" i="2"/>
  <c r="J103" i="2"/>
  <c r="AU102" i="2"/>
  <c r="O102" i="2"/>
  <c r="D102" i="2"/>
  <c r="Q101" i="2"/>
  <c r="F101" i="2"/>
  <c r="U100" i="2"/>
  <c r="G100" i="2"/>
  <c r="W99" i="2"/>
  <c r="I99" i="2"/>
  <c r="AN98" i="2"/>
  <c r="L98" i="2"/>
  <c r="C98" i="2"/>
  <c r="P97" i="2"/>
  <c r="E97" i="2"/>
  <c r="S96" i="2"/>
  <c r="G96" i="2"/>
  <c r="W95" i="2"/>
  <c r="H373" i="2"/>
  <c r="AU343" i="2"/>
  <c r="F320" i="2"/>
  <c r="S310" i="2"/>
  <c r="Z300" i="2"/>
  <c r="Q290" i="2"/>
  <c r="W280" i="2"/>
  <c r="Z275" i="2"/>
  <c r="I272" i="2"/>
  <c r="W268" i="2"/>
  <c r="F265" i="2"/>
  <c r="S261" i="2"/>
  <c r="E258" i="2"/>
  <c r="O254" i="2"/>
  <c r="AU250" i="2"/>
  <c r="Z248" i="2"/>
  <c r="AN246" i="2"/>
  <c r="S244" i="2"/>
  <c r="U242" i="2"/>
  <c r="C241" i="2"/>
  <c r="C239" i="2"/>
  <c r="G237" i="2"/>
  <c r="J235" i="2"/>
  <c r="L233" i="2"/>
  <c r="S231" i="2"/>
  <c r="AU229" i="2"/>
  <c r="F228" i="2"/>
  <c r="I226" i="2"/>
  <c r="P224" i="2"/>
  <c r="W222" i="2"/>
  <c r="C221" i="2"/>
  <c r="G219" i="2"/>
  <c r="G217" i="2"/>
  <c r="L215" i="2"/>
  <c r="S213" i="2"/>
  <c r="AN211" i="2"/>
  <c r="E210" i="2"/>
  <c r="U208" i="2"/>
  <c r="W207" i="2"/>
  <c r="AN206" i="2"/>
  <c r="C206" i="2"/>
  <c r="E205" i="2"/>
  <c r="G204" i="2"/>
  <c r="I203" i="2"/>
  <c r="J202" i="2"/>
  <c r="O201" i="2"/>
  <c r="R200" i="2"/>
  <c r="W199" i="2"/>
  <c r="AN198" i="2"/>
  <c r="C198" i="2"/>
  <c r="E197" i="2"/>
  <c r="G196" i="2"/>
  <c r="I195" i="2"/>
  <c r="L194" i="2"/>
  <c r="Q193" i="2"/>
  <c r="Q192" i="2"/>
  <c r="U191" i="2"/>
  <c r="Z190" i="2"/>
  <c r="AU189" i="2"/>
  <c r="E189" i="2"/>
  <c r="J188" i="2"/>
  <c r="Z187" i="2"/>
  <c r="H187" i="2"/>
  <c r="Q186" i="2"/>
  <c r="D186" i="2"/>
  <c r="H185" i="2"/>
  <c r="L184" i="2"/>
  <c r="AU183" i="2"/>
  <c r="G183" i="2"/>
  <c r="U182" i="2"/>
  <c r="E182" i="2"/>
  <c r="S181" i="2"/>
  <c r="G181" i="2"/>
  <c r="U180" i="2"/>
  <c r="E180" i="2"/>
  <c r="L179" i="2"/>
  <c r="C179" i="2"/>
  <c r="P178" i="2"/>
  <c r="E178" i="2"/>
  <c r="L177" i="2"/>
  <c r="C177" i="2"/>
  <c r="I176" i="2"/>
  <c r="AN175" i="2"/>
  <c r="G175" i="2"/>
  <c r="U174" i="2"/>
  <c r="E174" i="2"/>
  <c r="S173" i="2"/>
  <c r="D173" i="2"/>
  <c r="Q172" i="2"/>
  <c r="F172" i="2"/>
  <c r="U171" i="2"/>
  <c r="H171" i="2"/>
  <c r="Z170" i="2"/>
  <c r="F170" i="2"/>
  <c r="U169" i="2"/>
  <c r="H169" i="2"/>
  <c r="Z168" i="2"/>
  <c r="J168" i="2"/>
  <c r="AU167" i="2"/>
  <c r="O167" i="2"/>
  <c r="D167" i="2"/>
  <c r="Q166" i="2"/>
  <c r="F166" i="2"/>
  <c r="S165" i="2"/>
  <c r="D165" i="2"/>
  <c r="Q164" i="2"/>
  <c r="F164" i="2"/>
  <c r="U163" i="2"/>
  <c r="H163" i="2"/>
  <c r="Z162" i="2"/>
  <c r="J162" i="2"/>
  <c r="AU161" i="2"/>
  <c r="O161" i="2"/>
  <c r="D161" i="2"/>
  <c r="Q160" i="2"/>
  <c r="F160" i="2"/>
  <c r="U159" i="2"/>
  <c r="H159" i="2"/>
  <c r="Z158" i="2"/>
  <c r="J158" i="2"/>
  <c r="AU157" i="2"/>
  <c r="O157" i="2"/>
  <c r="D157" i="2"/>
  <c r="Q156" i="2"/>
  <c r="F156" i="2"/>
  <c r="U155" i="2"/>
  <c r="H155" i="2"/>
  <c r="Z154" i="2"/>
  <c r="J154" i="2"/>
  <c r="AU153" i="2"/>
  <c r="O153" i="2"/>
  <c r="D153" i="2"/>
  <c r="J152" i="2"/>
  <c r="AU151" i="2"/>
  <c r="P151" i="2"/>
  <c r="E151" i="2"/>
  <c r="L150" i="2"/>
  <c r="C150" i="2"/>
  <c r="I149" i="2"/>
  <c r="AN148" i="2"/>
  <c r="G148" i="2"/>
  <c r="W147" i="2"/>
  <c r="F147" i="2"/>
  <c r="U146" i="2"/>
  <c r="H146" i="2"/>
  <c r="Z145" i="2"/>
  <c r="J145" i="2"/>
  <c r="AU144" i="2"/>
  <c r="P144" i="2"/>
  <c r="E144" i="2"/>
  <c r="L143" i="2"/>
  <c r="C143" i="2"/>
  <c r="P142" i="2"/>
  <c r="E142" i="2"/>
  <c r="S141" i="2"/>
  <c r="G141" i="2"/>
  <c r="W140" i="2"/>
  <c r="I140" i="2"/>
  <c r="AN139" i="2"/>
  <c r="L139" i="2"/>
  <c r="C139" i="2"/>
  <c r="I138" i="2"/>
  <c r="AN137" i="2"/>
  <c r="O137" i="2"/>
  <c r="D137" i="2"/>
  <c r="Q136" i="2"/>
  <c r="F136" i="2"/>
  <c r="U135" i="2"/>
  <c r="H135" i="2"/>
  <c r="Z134" i="2"/>
  <c r="L134" i="2"/>
  <c r="C134" i="2"/>
  <c r="P133" i="2"/>
  <c r="E133" i="2"/>
  <c r="S132" i="2"/>
  <c r="G132" i="2"/>
  <c r="W131" i="2"/>
  <c r="I131" i="2"/>
  <c r="AN130" i="2"/>
  <c r="L130" i="2"/>
  <c r="C130" i="2"/>
  <c r="P129" i="2"/>
  <c r="E129" i="2"/>
  <c r="S128" i="2"/>
  <c r="G128" i="2"/>
  <c r="W127" i="2"/>
  <c r="I127" i="2"/>
  <c r="AN126" i="2"/>
  <c r="L126" i="2"/>
  <c r="C126" i="2"/>
  <c r="P125" i="2"/>
  <c r="E125" i="2"/>
  <c r="S124" i="2"/>
  <c r="G124" i="2"/>
  <c r="U123" i="2"/>
  <c r="E123" i="2"/>
  <c r="S122" i="2"/>
  <c r="H122" i="2"/>
  <c r="Z121" i="2"/>
  <c r="F121" i="2"/>
  <c r="S120" i="2"/>
  <c r="D120" i="2"/>
  <c r="J119" i="2"/>
  <c r="AU118" i="2"/>
  <c r="I118" i="2"/>
  <c r="AN117" i="2"/>
  <c r="L117" i="2"/>
  <c r="C117" i="2"/>
  <c r="P116" i="2"/>
  <c r="E116" i="2"/>
  <c r="S115" i="2"/>
  <c r="H115" i="2"/>
  <c r="Z114" i="2"/>
  <c r="F114" i="2"/>
  <c r="U113" i="2"/>
  <c r="H113" i="2"/>
  <c r="Z112" i="2"/>
  <c r="J112" i="2"/>
  <c r="AU111" i="2"/>
  <c r="O111" i="2"/>
  <c r="D111" i="2"/>
  <c r="R110" i="2"/>
  <c r="E110" i="2"/>
  <c r="S109" i="2"/>
  <c r="G109" i="2"/>
  <c r="U108" i="2"/>
  <c r="E108" i="2"/>
  <c r="S107" i="2"/>
  <c r="H107" i="2"/>
  <c r="Z106" i="2"/>
  <c r="J106" i="2"/>
  <c r="AU105" i="2"/>
  <c r="O105" i="2"/>
  <c r="D105" i="2"/>
  <c r="R104" i="2"/>
  <c r="G104" i="2"/>
  <c r="W103" i="2"/>
  <c r="I103" i="2"/>
  <c r="AN102" i="2"/>
  <c r="L102" i="2"/>
  <c r="C102" i="2"/>
  <c r="P101" i="2"/>
  <c r="E101" i="2"/>
  <c r="S100" i="2"/>
  <c r="Z368" i="2"/>
  <c r="J340" i="2"/>
  <c r="AU318" i="2"/>
  <c r="P309" i="2"/>
  <c r="G299" i="2"/>
  <c r="D289" i="2"/>
  <c r="Q279" i="2"/>
  <c r="J275" i="2"/>
  <c r="AN271" i="2"/>
  <c r="I268" i="2"/>
  <c r="U264" i="2"/>
  <c r="G261" i="2"/>
  <c r="S257" i="2"/>
  <c r="D254" i="2"/>
  <c r="O250" i="2"/>
  <c r="U248" i="2"/>
  <c r="U246" i="2"/>
  <c r="J244" i="2"/>
  <c r="Q242" i="2"/>
  <c r="AN240" i="2"/>
  <c r="AN238" i="2"/>
  <c r="E237" i="2"/>
  <c r="H235" i="2"/>
  <c r="I233" i="2"/>
  <c r="P231" i="2"/>
  <c r="Z229" i="2"/>
  <c r="D228" i="2"/>
  <c r="G226" i="2"/>
  <c r="L224" i="2"/>
  <c r="S222" i="2"/>
  <c r="AN220" i="2"/>
  <c r="E219" i="2"/>
  <c r="E217" i="2"/>
  <c r="I215" i="2"/>
  <c r="P213" i="2"/>
  <c r="W211" i="2"/>
  <c r="C210" i="2"/>
  <c r="L208" i="2"/>
  <c r="P207" i="2"/>
  <c r="S206" i="2"/>
  <c r="W205" i="2"/>
  <c r="AN204" i="2"/>
  <c r="C204" i="2"/>
  <c r="E203" i="2"/>
  <c r="F202" i="2"/>
  <c r="H201" i="2"/>
  <c r="L200" i="2"/>
  <c r="Q199" i="2"/>
  <c r="S198" i="2"/>
  <c r="W197" i="2"/>
  <c r="AN196" i="2"/>
  <c r="C196" i="2"/>
  <c r="E195" i="2"/>
  <c r="G194" i="2"/>
  <c r="H193" i="2"/>
  <c r="J192" i="2"/>
  <c r="O191" i="2"/>
  <c r="Q190" i="2"/>
  <c r="U189" i="2"/>
  <c r="D189" i="2"/>
  <c r="I188" i="2"/>
  <c r="W187" i="2"/>
  <c r="G187" i="2"/>
  <c r="P186" i="2"/>
  <c r="C186" i="2"/>
  <c r="G185" i="2"/>
  <c r="J184" i="2"/>
  <c r="AN183" i="2"/>
  <c r="F183" i="2"/>
  <c r="S182" i="2"/>
  <c r="D182" i="2"/>
  <c r="Q181" i="2"/>
  <c r="F181" i="2"/>
  <c r="S180" i="2"/>
  <c r="D180" i="2"/>
  <c r="J179" i="2"/>
  <c r="AU178" i="2"/>
  <c r="O178" i="2"/>
  <c r="D178" i="2"/>
  <c r="J177" i="2"/>
  <c r="AU176" i="2"/>
  <c r="H176" i="2"/>
  <c r="Z175" i="2"/>
  <c r="F175" i="2"/>
  <c r="S174" i="2"/>
  <c r="D174" i="2"/>
  <c r="L173" i="2"/>
  <c r="C173" i="2"/>
  <c r="P172" i="2"/>
  <c r="E172" i="2"/>
  <c r="S171" i="2"/>
  <c r="G171" i="2"/>
  <c r="U170" i="2"/>
  <c r="E170" i="2"/>
  <c r="S169" i="2"/>
  <c r="G169" i="2"/>
  <c r="W168" i="2"/>
  <c r="I168" i="2"/>
  <c r="AN167" i="2"/>
  <c r="L167" i="2"/>
  <c r="C167" i="2"/>
  <c r="P166" i="2"/>
  <c r="E166" i="2"/>
  <c r="L165" i="2"/>
  <c r="C165" i="2"/>
  <c r="P164" i="2"/>
  <c r="E164" i="2"/>
  <c r="S163" i="2"/>
  <c r="G163" i="2"/>
  <c r="W162" i="2"/>
  <c r="I162" i="2"/>
  <c r="AN161" i="2"/>
  <c r="L161" i="2"/>
  <c r="C161" i="2"/>
  <c r="P160" i="2"/>
  <c r="E160" i="2"/>
  <c r="S159" i="2"/>
  <c r="G159" i="2"/>
  <c r="W158" i="2"/>
  <c r="I158" i="2"/>
  <c r="AN157" i="2"/>
  <c r="L157" i="2"/>
  <c r="C157" i="2"/>
  <c r="P156" i="2"/>
  <c r="E156" i="2"/>
  <c r="S155" i="2"/>
  <c r="G155" i="2"/>
  <c r="W154" i="2"/>
  <c r="I154" i="2"/>
  <c r="G365" i="2"/>
  <c r="Z336" i="2"/>
  <c r="U317" i="2"/>
  <c r="I308" i="2"/>
  <c r="AN297" i="2"/>
  <c r="Z287" i="2"/>
  <c r="Z278" i="2"/>
  <c r="AU274" i="2"/>
  <c r="L271" i="2"/>
  <c r="AN267" i="2"/>
  <c r="H264" i="2"/>
  <c r="W260" i="2"/>
  <c r="G257" i="2"/>
  <c r="Q253" i="2"/>
  <c r="F250" i="2"/>
  <c r="L248" i="2"/>
  <c r="G246" i="2"/>
  <c r="D244" i="2"/>
  <c r="H242" i="2"/>
  <c r="I240" i="2"/>
  <c r="P238" i="2"/>
  <c r="W236" i="2"/>
  <c r="AU234" i="2"/>
  <c r="C233" i="2"/>
  <c r="G231" i="2"/>
  <c r="O229" i="2"/>
  <c r="U227" i="2"/>
  <c r="AN225" i="2"/>
  <c r="E224" i="2"/>
  <c r="I222" i="2"/>
  <c r="P220" i="2"/>
  <c r="U218" i="2"/>
  <c r="W216" i="2"/>
  <c r="C215" i="2"/>
  <c r="G213" i="2"/>
  <c r="L211" i="2"/>
  <c r="S209" i="2"/>
  <c r="J208" i="2"/>
  <c r="O207" i="2"/>
  <c r="Q206" i="2"/>
  <c r="U205" i="2"/>
  <c r="Z204" i="2"/>
  <c r="AU203" i="2"/>
  <c r="D203" i="2"/>
  <c r="E202" i="2"/>
  <c r="G201" i="2"/>
  <c r="J200" i="2"/>
  <c r="N199" i="2"/>
  <c r="Q198" i="2"/>
  <c r="U197" i="2"/>
  <c r="Z196" i="2"/>
  <c r="AU195" i="2"/>
  <c r="D195" i="2"/>
  <c r="F194" i="2"/>
  <c r="G193" i="2"/>
  <c r="I192" i="2"/>
  <c r="L191" i="2"/>
  <c r="P190" i="2"/>
  <c r="S189" i="2"/>
  <c r="Z188" i="2"/>
  <c r="H188" i="2"/>
  <c r="U187" i="2"/>
  <c r="D187" i="2"/>
  <c r="O186" i="2"/>
  <c r="AU185" i="2"/>
  <c r="D185" i="2"/>
  <c r="I184" i="2"/>
  <c r="Z183" i="2"/>
  <c r="E183" i="2"/>
  <c r="L182" i="2"/>
  <c r="C182" i="2"/>
  <c r="P181" i="2"/>
  <c r="E181" i="2"/>
  <c r="L180" i="2"/>
  <c r="C180" i="2"/>
  <c r="I179" i="2"/>
  <c r="AN178" i="2"/>
  <c r="L178" i="2"/>
  <c r="C178" i="2"/>
  <c r="I177" i="2"/>
  <c r="AN176" i="2"/>
  <c r="G176" i="2"/>
  <c r="U175" i="2"/>
  <c r="E175" i="2"/>
  <c r="L174" i="2"/>
  <c r="C174" i="2"/>
  <c r="J173" i="2"/>
  <c r="AU172" i="2"/>
  <c r="O172" i="2"/>
  <c r="D172" i="2"/>
  <c r="Q171" i="2"/>
  <c r="F171" i="2"/>
  <c r="S170" i="2"/>
  <c r="D170" i="2"/>
  <c r="Q169" i="2"/>
  <c r="F169" i="2"/>
  <c r="U168" i="2"/>
  <c r="H168" i="2"/>
  <c r="Z167" i="2"/>
  <c r="J167" i="2"/>
  <c r="AU166" i="2"/>
  <c r="O166" i="2"/>
  <c r="D166" i="2"/>
  <c r="J165" i="2"/>
  <c r="AU164" i="2"/>
  <c r="O164" i="2"/>
  <c r="D164" i="2"/>
  <c r="Q163" i="2"/>
  <c r="F163" i="2"/>
  <c r="U162" i="2"/>
  <c r="H162" i="2"/>
  <c r="Z161" i="2"/>
  <c r="J161" i="2"/>
  <c r="AU160" i="2"/>
  <c r="O160" i="2"/>
  <c r="D160" i="2"/>
  <c r="Q159" i="2"/>
  <c r="F159" i="2"/>
  <c r="U158" i="2"/>
  <c r="H158" i="2"/>
  <c r="Z157" i="2"/>
  <c r="J157" i="2"/>
  <c r="AU156" i="2"/>
  <c r="O156" i="2"/>
  <c r="D156" i="2"/>
  <c r="Q155" i="2"/>
  <c r="F155" i="2"/>
  <c r="U154" i="2"/>
  <c r="H154" i="2"/>
  <c r="Z153" i="2"/>
  <c r="J153" i="2"/>
  <c r="AU152" i="2"/>
  <c r="H152" i="2"/>
  <c r="Z151" i="2"/>
  <c r="L151" i="2"/>
  <c r="C151" i="2"/>
  <c r="I150" i="2"/>
  <c r="AN149" i="2"/>
  <c r="G149" i="2"/>
  <c r="U148" i="2"/>
  <c r="E148" i="2"/>
  <c r="S147" i="2"/>
  <c r="D147" i="2"/>
  <c r="Q146" i="2"/>
  <c r="F146" i="2"/>
  <c r="U145" i="2"/>
  <c r="H145" i="2"/>
  <c r="Z144" i="2"/>
  <c r="L144" i="2"/>
  <c r="C144" i="2"/>
  <c r="I143" i="2"/>
  <c r="AN142" i="2"/>
  <c r="L142" i="2"/>
  <c r="C142" i="2"/>
  <c r="P141" i="2"/>
  <c r="E141" i="2"/>
  <c r="S140" i="2"/>
  <c r="G140" i="2"/>
  <c r="W139" i="2"/>
  <c r="I139" i="2"/>
  <c r="AN138" i="2"/>
  <c r="G138" i="2"/>
  <c r="W137" i="2"/>
  <c r="J137" i="2"/>
  <c r="AU136" i="2"/>
  <c r="O136" i="2"/>
  <c r="D136" i="2"/>
  <c r="Q135" i="2"/>
  <c r="F135" i="2"/>
  <c r="U134" i="2"/>
  <c r="I134" i="2"/>
  <c r="AN133" i="2"/>
  <c r="L133" i="2"/>
  <c r="C133" i="2"/>
  <c r="P132" i="2"/>
  <c r="E132" i="2"/>
  <c r="S131" i="2"/>
  <c r="G131" i="2"/>
  <c r="W130" i="2"/>
  <c r="I130" i="2"/>
  <c r="AN129" i="2"/>
  <c r="L129" i="2"/>
  <c r="C129" i="2"/>
  <c r="P128" i="2"/>
  <c r="E128" i="2"/>
  <c r="S127" i="2"/>
  <c r="G127" i="2"/>
  <c r="W126" i="2"/>
  <c r="I126" i="2"/>
  <c r="AN125" i="2"/>
  <c r="L125" i="2"/>
  <c r="C125" i="2"/>
  <c r="P124" i="2"/>
  <c r="E124" i="2"/>
  <c r="L123" i="2"/>
  <c r="C123" i="2"/>
  <c r="Q122" i="2"/>
  <c r="F122" i="2"/>
  <c r="S121" i="2"/>
  <c r="D121" i="2"/>
  <c r="J120" i="2"/>
  <c r="AU119" i="2"/>
  <c r="H119" i="2"/>
  <c r="Z118" i="2"/>
  <c r="G118" i="2"/>
  <c r="W117" i="2"/>
  <c r="I117" i="2"/>
  <c r="AN116" i="2"/>
  <c r="L116" i="2"/>
  <c r="C116" i="2"/>
  <c r="Q115" i="2"/>
  <c r="F115" i="2"/>
  <c r="S114" i="2"/>
  <c r="D114" i="2"/>
  <c r="Q113" i="2"/>
  <c r="F113" i="2"/>
  <c r="U112" i="2"/>
  <c r="H112" i="2"/>
  <c r="Z111" i="2"/>
  <c r="J111" i="2"/>
  <c r="AU110" i="2"/>
  <c r="L110" i="2"/>
  <c r="C110" i="2"/>
  <c r="P109" i="2"/>
  <c r="E109" i="2"/>
  <c r="L108" i="2"/>
  <c r="C108" i="2"/>
  <c r="Q107" i="2"/>
  <c r="F107" i="2"/>
  <c r="U106" i="2"/>
  <c r="H106" i="2"/>
  <c r="Z105" i="2"/>
  <c r="J105" i="2"/>
  <c r="AU104" i="2"/>
  <c r="P104" i="2"/>
  <c r="E104" i="2"/>
  <c r="S103" i="2"/>
  <c r="G103" i="2"/>
  <c r="W102" i="2"/>
  <c r="I102" i="2"/>
  <c r="AN101" i="2"/>
  <c r="L101" i="2"/>
  <c r="C101" i="2"/>
  <c r="Q100" i="2"/>
  <c r="AN153" i="2"/>
  <c r="O151" i="2"/>
  <c r="H149" i="2"/>
  <c r="E147" i="2"/>
  <c r="I145" i="2"/>
  <c r="J143" i="2"/>
  <c r="Q141" i="2"/>
  <c r="Z139" i="2"/>
  <c r="Z137" i="2"/>
  <c r="E136" i="2"/>
  <c r="J134" i="2"/>
  <c r="Q132" i="2"/>
  <c r="Z130" i="2"/>
  <c r="D129" i="2"/>
  <c r="H127" i="2"/>
  <c r="O125" i="2"/>
  <c r="S123" i="2"/>
  <c r="U121" i="2"/>
  <c r="I119" i="2"/>
  <c r="J117" i="2"/>
  <c r="R115" i="2"/>
  <c r="S113" i="2"/>
  <c r="AN111" i="2"/>
  <c r="D110" i="2"/>
  <c r="D108" i="2"/>
  <c r="I106" i="2"/>
  <c r="Q104" i="2"/>
  <c r="O103" i="2"/>
  <c r="H102" i="2"/>
  <c r="D101" i="2"/>
  <c r="D100" i="2"/>
  <c r="H99" i="2"/>
  <c r="S98" i="2"/>
  <c r="D98" i="2"/>
  <c r="L97" i="2"/>
  <c r="AN96" i="2"/>
  <c r="J96" i="2"/>
  <c r="AN95" i="2"/>
  <c r="J95" i="2"/>
  <c r="AU94" i="2"/>
  <c r="O94" i="2"/>
  <c r="D94" i="2"/>
  <c r="Q93" i="2"/>
  <c r="F93" i="2"/>
  <c r="S92" i="2"/>
  <c r="D92" i="2"/>
  <c r="R91" i="2"/>
  <c r="G91" i="2"/>
  <c r="U90" i="2"/>
  <c r="E90" i="2"/>
  <c r="L89" i="2"/>
  <c r="C89" i="2"/>
  <c r="I88" i="2"/>
  <c r="AN87" i="2"/>
  <c r="H87" i="2"/>
  <c r="Z86" i="2"/>
  <c r="J86" i="2"/>
  <c r="AU85" i="2"/>
  <c r="O85" i="2"/>
  <c r="D85" i="2"/>
  <c r="R84" i="2"/>
  <c r="G84" i="2"/>
  <c r="U83" i="2"/>
  <c r="E83" i="2"/>
  <c r="S82" i="2"/>
  <c r="G82" i="2"/>
  <c r="W81" i="2"/>
  <c r="I81" i="2"/>
  <c r="AN80" i="2"/>
  <c r="L80" i="2"/>
  <c r="C80" i="2"/>
  <c r="P79" i="2"/>
  <c r="E79" i="2"/>
  <c r="L78" i="2"/>
  <c r="C78" i="2"/>
  <c r="Q77" i="2"/>
  <c r="F77" i="2"/>
  <c r="U76" i="2"/>
  <c r="H76" i="2"/>
  <c r="Z75" i="2"/>
  <c r="J75" i="2"/>
  <c r="AU74" i="2"/>
  <c r="P74" i="2"/>
  <c r="E74" i="2"/>
  <c r="S73" i="2"/>
  <c r="G73" i="2"/>
  <c r="W72" i="2"/>
  <c r="I72" i="2"/>
  <c r="AN71" i="2"/>
  <c r="L71" i="2"/>
  <c r="C71" i="2"/>
  <c r="P70" i="2"/>
  <c r="E70" i="2"/>
  <c r="S69" i="2"/>
  <c r="G69" i="2"/>
  <c r="W68" i="2"/>
  <c r="I68" i="2"/>
  <c r="AN67" i="2"/>
  <c r="L67" i="2"/>
  <c r="C67" i="2"/>
  <c r="P66" i="2"/>
  <c r="E66" i="2"/>
  <c r="S65" i="2"/>
  <c r="G65" i="2"/>
  <c r="W64" i="2"/>
  <c r="I64" i="2"/>
  <c r="AN63" i="2"/>
  <c r="G63" i="2"/>
  <c r="W62" i="2"/>
  <c r="F62" i="2"/>
  <c r="U61" i="2"/>
  <c r="E61" i="2"/>
  <c r="S60" i="2"/>
  <c r="D60" i="2"/>
  <c r="L59" i="2"/>
  <c r="C59" i="2"/>
  <c r="J58" i="2"/>
  <c r="AU57" i="2"/>
  <c r="I57" i="2"/>
  <c r="AN56" i="2"/>
  <c r="H56" i="2"/>
  <c r="Z55" i="2"/>
  <c r="L55" i="2"/>
  <c r="C55" i="2"/>
  <c r="I54" i="2"/>
  <c r="AN53" i="2"/>
  <c r="G53" i="2"/>
  <c r="U52" i="2"/>
  <c r="E52" i="2"/>
  <c r="S51" i="2"/>
  <c r="D51" i="2"/>
  <c r="Q50" i="2"/>
  <c r="F50" i="2"/>
  <c r="U49" i="2"/>
  <c r="H49" i="2"/>
  <c r="Z48" i="2"/>
  <c r="L48" i="2"/>
  <c r="C48" i="2"/>
  <c r="I47" i="2"/>
  <c r="AN46" i="2"/>
  <c r="L46" i="2"/>
  <c r="C46" i="2"/>
  <c r="P45" i="2"/>
  <c r="E45" i="2"/>
  <c r="S44" i="2"/>
  <c r="G44" i="2"/>
  <c r="W43" i="2"/>
  <c r="I43" i="2"/>
  <c r="AN42" i="2"/>
  <c r="G42" i="2"/>
  <c r="W41" i="2"/>
  <c r="J41" i="2"/>
  <c r="AU40" i="2"/>
  <c r="O40" i="2"/>
  <c r="D40" i="2"/>
  <c r="Q39" i="2"/>
  <c r="F39" i="2"/>
  <c r="U38" i="2"/>
  <c r="I38" i="2"/>
  <c r="AN37" i="2"/>
  <c r="L37" i="2"/>
  <c r="C37" i="2"/>
  <c r="P36" i="2"/>
  <c r="E36" i="2"/>
  <c r="S35" i="2"/>
  <c r="G35" i="2"/>
  <c r="W34" i="2"/>
  <c r="I34" i="2"/>
  <c r="AN33" i="2"/>
  <c r="L33" i="2"/>
  <c r="C33" i="2"/>
  <c r="P32" i="2"/>
  <c r="E32" i="2"/>
  <c r="S31" i="2"/>
  <c r="G31" i="2"/>
  <c r="W30" i="2"/>
  <c r="I30" i="2"/>
  <c r="AN29" i="2"/>
  <c r="L29" i="2"/>
  <c r="C29" i="2"/>
  <c r="P28" i="2"/>
  <c r="E28" i="2"/>
  <c r="L27" i="2"/>
  <c r="C27" i="2"/>
  <c r="I26" i="2"/>
  <c r="AN25" i="2"/>
  <c r="G25" i="2"/>
  <c r="U24" i="2"/>
  <c r="E24" i="2"/>
  <c r="S23" i="2"/>
  <c r="D23" i="2"/>
  <c r="Q22" i="2"/>
  <c r="F22" i="2"/>
  <c r="U21" i="2"/>
  <c r="H21" i="2"/>
  <c r="Z20" i="2"/>
  <c r="F20" i="2"/>
  <c r="U19" i="2"/>
  <c r="H19" i="2"/>
  <c r="Z18" i="2"/>
  <c r="J18" i="2"/>
  <c r="AU17" i="2"/>
  <c r="O17" i="2"/>
  <c r="D17" i="2"/>
  <c r="Q16" i="2"/>
  <c r="F16" i="2"/>
  <c r="S15" i="2"/>
  <c r="D15" i="2"/>
  <c r="Q14" i="2"/>
  <c r="F14" i="2"/>
  <c r="U13" i="2"/>
  <c r="H13" i="2"/>
  <c r="Z12" i="2"/>
  <c r="J12" i="2"/>
  <c r="AU11" i="2"/>
  <c r="O11" i="2"/>
  <c r="D11" i="2"/>
  <c r="Q10" i="2"/>
  <c r="F10" i="2"/>
  <c r="U9" i="2"/>
  <c r="H9" i="2"/>
  <c r="Z8" i="2"/>
  <c r="J8" i="2"/>
  <c r="AU7" i="2"/>
  <c r="O7" i="2"/>
  <c r="D7" i="2"/>
  <c r="Q6" i="2"/>
  <c r="F6" i="2"/>
  <c r="U5" i="2"/>
  <c r="H5" i="2"/>
  <c r="Z4" i="2"/>
  <c r="J4" i="2"/>
  <c r="AU3" i="2"/>
  <c r="O3" i="2"/>
  <c r="D3" i="2"/>
  <c r="J2" i="2"/>
  <c r="L153" i="2"/>
  <c r="H151" i="2"/>
  <c r="D149" i="2"/>
  <c r="AN146" i="2"/>
  <c r="E145" i="2"/>
  <c r="F143" i="2"/>
  <c r="J141" i="2"/>
  <c r="Q139" i="2"/>
  <c r="R137" i="2"/>
  <c r="AN135" i="2"/>
  <c r="F134" i="2"/>
  <c r="J132" i="2"/>
  <c r="Q130" i="2"/>
  <c r="Z128" i="2"/>
  <c r="D127" i="2"/>
  <c r="H125" i="2"/>
  <c r="H123" i="2"/>
  <c r="I121" i="2"/>
  <c r="E119" i="2"/>
  <c r="F117" i="2"/>
  <c r="L115" i="2"/>
  <c r="L113" i="2"/>
  <c r="S111" i="2"/>
  <c r="Z109" i="2"/>
  <c r="Z107" i="2"/>
  <c r="E106" i="2"/>
  <c r="O104" i="2"/>
  <c r="H103" i="2"/>
  <c r="F102" i="2"/>
  <c r="AU100" i="2"/>
  <c r="C100" i="2"/>
  <c r="G99" i="2"/>
  <c r="P98" i="2"/>
  <c r="AU97" i="2"/>
  <c r="J97" i="2"/>
  <c r="Z96" i="2"/>
  <c r="I96" i="2"/>
  <c r="Z95" i="2"/>
  <c r="I95" i="2"/>
  <c r="AN94" i="2"/>
  <c r="L94" i="2"/>
  <c r="C94" i="2"/>
  <c r="P93" i="2"/>
  <c r="E93" i="2"/>
  <c r="L92" i="2"/>
  <c r="C92" i="2"/>
  <c r="Q91" i="2"/>
  <c r="F91" i="2"/>
  <c r="S90" i="2"/>
  <c r="D90" i="2"/>
  <c r="J89" i="2"/>
  <c r="AU88" i="2"/>
  <c r="H88" i="2"/>
  <c r="Z87" i="2"/>
  <c r="G87" i="2"/>
  <c r="W86" i="2"/>
  <c r="I86" i="2"/>
  <c r="AN85" i="2"/>
  <c r="L85" i="2"/>
  <c r="C85" i="2"/>
  <c r="Q84" i="2"/>
  <c r="F84" i="2"/>
  <c r="S83" i="2"/>
  <c r="D83" i="2"/>
  <c r="Q82" i="2"/>
  <c r="F82" i="2"/>
  <c r="U81" i="2"/>
  <c r="H81" i="2"/>
  <c r="Z80" i="2"/>
  <c r="J80" i="2"/>
  <c r="AU79" i="2"/>
  <c r="O79" i="2"/>
  <c r="D79" i="2"/>
  <c r="J78" i="2"/>
  <c r="AU77" i="2"/>
  <c r="P77" i="2"/>
  <c r="E77" i="2"/>
  <c r="S76" i="2"/>
  <c r="G76" i="2"/>
  <c r="W75" i="2"/>
  <c r="I75" i="2"/>
  <c r="AN74" i="2"/>
  <c r="O74" i="2"/>
  <c r="D74" i="2"/>
  <c r="Q73" i="2"/>
  <c r="F73" i="2"/>
  <c r="U72" i="2"/>
  <c r="H72" i="2"/>
  <c r="Z71" i="2"/>
  <c r="J71" i="2"/>
  <c r="AU70" i="2"/>
  <c r="O70" i="2"/>
  <c r="D70" i="2"/>
  <c r="Q69" i="2"/>
  <c r="F69" i="2"/>
  <c r="U68" i="2"/>
  <c r="H68" i="2"/>
  <c r="Z67" i="2"/>
  <c r="J67" i="2"/>
  <c r="AU66" i="2"/>
  <c r="O66" i="2"/>
  <c r="D66" i="2"/>
  <c r="Q65" i="2"/>
  <c r="F65" i="2"/>
  <c r="U64" i="2"/>
  <c r="H64" i="2"/>
  <c r="Z63" i="2"/>
  <c r="F63" i="2"/>
  <c r="U62" i="2"/>
  <c r="E62" i="2"/>
  <c r="S61" i="2"/>
  <c r="D61" i="2"/>
  <c r="L60" i="2"/>
  <c r="C60" i="2"/>
  <c r="J59" i="2"/>
  <c r="AU58" i="2"/>
  <c r="I58" i="2"/>
  <c r="AN57" i="2"/>
  <c r="H57" i="2"/>
  <c r="Z56" i="2"/>
  <c r="G56" i="2"/>
  <c r="W55" i="2"/>
  <c r="J55" i="2"/>
  <c r="AU54" i="2"/>
  <c r="H54" i="2"/>
  <c r="Z53" i="2"/>
  <c r="F53" i="2"/>
  <c r="S52" i="2"/>
  <c r="D52" i="2"/>
  <c r="L51" i="2"/>
  <c r="C51" i="2"/>
  <c r="P50" i="2"/>
  <c r="E50" i="2"/>
  <c r="S49" i="2"/>
  <c r="G49" i="2"/>
  <c r="W48" i="2"/>
  <c r="J48" i="2"/>
  <c r="AU47" i="2"/>
  <c r="H47" i="2"/>
  <c r="Z46" i="2"/>
  <c r="J46" i="2"/>
  <c r="AU45" i="2"/>
  <c r="O45" i="2"/>
  <c r="D45" i="2"/>
  <c r="Q44" i="2"/>
  <c r="F44" i="2"/>
  <c r="U43" i="2"/>
  <c r="H43" i="2"/>
  <c r="Z42" i="2"/>
  <c r="F42" i="2"/>
  <c r="U41" i="2"/>
  <c r="I41" i="2"/>
  <c r="AN40" i="2"/>
  <c r="L40" i="2"/>
  <c r="C40" i="2"/>
  <c r="P39" i="2"/>
  <c r="E39" i="2"/>
  <c r="S38" i="2"/>
  <c r="H38" i="2"/>
  <c r="Z37" i="2"/>
  <c r="J37" i="2"/>
  <c r="AU36" i="2"/>
  <c r="O36" i="2"/>
  <c r="D36" i="2"/>
  <c r="Q35" i="2"/>
  <c r="F35" i="2"/>
  <c r="U34" i="2"/>
  <c r="H34" i="2"/>
  <c r="Z33" i="2"/>
  <c r="J33" i="2"/>
  <c r="AU32" i="2"/>
  <c r="O32" i="2"/>
  <c r="D32" i="2"/>
  <c r="Q31" i="2"/>
  <c r="F31" i="2"/>
  <c r="U30" i="2"/>
  <c r="H30" i="2"/>
  <c r="Z29" i="2"/>
  <c r="J29" i="2"/>
  <c r="AU28" i="2"/>
  <c r="O28" i="2"/>
  <c r="D28" i="2"/>
  <c r="J27" i="2"/>
  <c r="AU26" i="2"/>
  <c r="H26" i="2"/>
  <c r="Z25" i="2"/>
  <c r="F25" i="2"/>
  <c r="S24" i="2"/>
  <c r="D24" i="2"/>
  <c r="L23" i="2"/>
  <c r="C23" i="2"/>
  <c r="P22" i="2"/>
  <c r="E22" i="2"/>
  <c r="S21" i="2"/>
  <c r="G21" i="2"/>
  <c r="U20" i="2"/>
  <c r="E20" i="2"/>
  <c r="S19" i="2"/>
  <c r="G19" i="2"/>
  <c r="W18" i="2"/>
  <c r="I18" i="2"/>
  <c r="AN17" i="2"/>
  <c r="L17" i="2"/>
  <c r="C17" i="2"/>
  <c r="P16" i="2"/>
  <c r="E16" i="2"/>
  <c r="L15" i="2"/>
  <c r="C15" i="2"/>
  <c r="P14" i="2"/>
  <c r="E14" i="2"/>
  <c r="S13" i="2"/>
  <c r="G13" i="2"/>
  <c r="W12" i="2"/>
  <c r="I12" i="2"/>
  <c r="AN11" i="2"/>
  <c r="L11" i="2"/>
  <c r="C11" i="2"/>
  <c r="P10" i="2"/>
  <c r="E10" i="2"/>
  <c r="S9" i="2"/>
  <c r="G9" i="2"/>
  <c r="W8" i="2"/>
  <c r="I8" i="2"/>
  <c r="AN7" i="2"/>
  <c r="L7" i="2"/>
  <c r="C7" i="2"/>
  <c r="P6" i="2"/>
  <c r="E6" i="2"/>
  <c r="S5" i="2"/>
  <c r="G5" i="2"/>
  <c r="W4" i="2"/>
  <c r="I4" i="2"/>
  <c r="AN3" i="2"/>
  <c r="L3" i="2"/>
  <c r="C3" i="2"/>
  <c r="I2" i="2"/>
  <c r="C153" i="2"/>
  <c r="D151" i="2"/>
  <c r="Z148" i="2"/>
  <c r="S146" i="2"/>
  <c r="AN144" i="2"/>
  <c r="AU142" i="2"/>
  <c r="F141" i="2"/>
  <c r="J139" i="2"/>
  <c r="L137" i="2"/>
  <c r="S135" i="2"/>
  <c r="AU133" i="2"/>
  <c r="F132" i="2"/>
  <c r="J130" i="2"/>
  <c r="Q128" i="2"/>
  <c r="Z126" i="2"/>
  <c r="D125" i="2"/>
  <c r="D123" i="2"/>
  <c r="E121" i="2"/>
  <c r="AN118" i="2"/>
  <c r="AU116" i="2"/>
  <c r="G115" i="2"/>
  <c r="G113" i="2"/>
  <c r="L111" i="2"/>
  <c r="Q109" i="2"/>
  <c r="R107" i="2"/>
  <c r="AN105" i="2"/>
  <c r="J104" i="2"/>
  <c r="F103" i="2"/>
  <c r="AU101" i="2"/>
  <c r="Z100" i="2"/>
  <c r="AN99" i="2"/>
  <c r="F99" i="2"/>
  <c r="O98" i="2"/>
  <c r="AN97" i="2"/>
  <c r="I97" i="2"/>
  <c r="W96" i="2"/>
  <c r="H96" i="2"/>
  <c r="U95" i="2"/>
  <c r="H95" i="2"/>
  <c r="Z94" i="2"/>
  <c r="J94" i="2"/>
  <c r="AU93" i="2"/>
  <c r="O93" i="2"/>
  <c r="D93" i="2"/>
  <c r="J92" i="2"/>
  <c r="AU91" i="2"/>
  <c r="P91" i="2"/>
  <c r="E91" i="2"/>
  <c r="L90" i="2"/>
  <c r="C90" i="2"/>
  <c r="I89" i="2"/>
  <c r="AN88" i="2"/>
  <c r="G88" i="2"/>
  <c r="W87" i="2"/>
  <c r="F87" i="2"/>
  <c r="U86" i="2"/>
  <c r="H86" i="2"/>
  <c r="Z85" i="2"/>
  <c r="J85" i="2"/>
  <c r="AU84" i="2"/>
  <c r="P84" i="2"/>
  <c r="E84" i="2"/>
  <c r="L83" i="2"/>
  <c r="C83" i="2"/>
  <c r="P82" i="2"/>
  <c r="E82" i="2"/>
  <c r="S81" i="2"/>
  <c r="G81" i="2"/>
  <c r="W80" i="2"/>
  <c r="I80" i="2"/>
  <c r="AN79" i="2"/>
  <c r="L79" i="2"/>
  <c r="C79" i="2"/>
  <c r="I78" i="2"/>
  <c r="AN77" i="2"/>
  <c r="O77" i="2"/>
  <c r="D77" i="2"/>
  <c r="Q76" i="2"/>
  <c r="F76" i="2"/>
  <c r="U75" i="2"/>
  <c r="H75" i="2"/>
  <c r="Z74" i="2"/>
  <c r="L74" i="2"/>
  <c r="C74" i="2"/>
  <c r="P73" i="2"/>
  <c r="E73" i="2"/>
  <c r="S72" i="2"/>
  <c r="G72" i="2"/>
  <c r="W71" i="2"/>
  <c r="I71" i="2"/>
  <c r="AN70" i="2"/>
  <c r="L70" i="2"/>
  <c r="C70" i="2"/>
  <c r="P69" i="2"/>
  <c r="E69" i="2"/>
  <c r="S68" i="2"/>
  <c r="G68" i="2"/>
  <c r="W67" i="2"/>
  <c r="I67" i="2"/>
  <c r="AN66" i="2"/>
  <c r="L66" i="2"/>
  <c r="C66" i="2"/>
  <c r="P65" i="2"/>
  <c r="E65" i="2"/>
  <c r="S64" i="2"/>
  <c r="G64" i="2"/>
  <c r="U63" i="2"/>
  <c r="E63" i="2"/>
  <c r="S62" i="2"/>
  <c r="D62" i="2"/>
  <c r="L61" i="2"/>
  <c r="C61" i="2"/>
  <c r="J60" i="2"/>
  <c r="AU59" i="2"/>
  <c r="I59" i="2"/>
  <c r="AN58" i="2"/>
  <c r="H58" i="2"/>
  <c r="Z57" i="2"/>
  <c r="G57" i="2"/>
  <c r="W56" i="2"/>
  <c r="F56" i="2"/>
  <c r="U55" i="2"/>
  <c r="I55" i="2"/>
  <c r="AN54" i="2"/>
  <c r="G54" i="2"/>
  <c r="U53" i="2"/>
  <c r="U152" i="2"/>
  <c r="Z150" i="2"/>
  <c r="J148" i="2"/>
  <c r="L146" i="2"/>
  <c r="S144" i="2"/>
  <c r="U142" i="2"/>
  <c r="AU140" i="2"/>
  <c r="F139" i="2"/>
  <c r="G137" i="2"/>
  <c r="L135" i="2"/>
  <c r="U133" i="2"/>
  <c r="AU131" i="2"/>
  <c r="F130" i="2"/>
  <c r="J128" i="2"/>
  <c r="Q126" i="2"/>
  <c r="Z124" i="2"/>
  <c r="Z122" i="2"/>
  <c r="AN120" i="2"/>
  <c r="S118" i="2"/>
  <c r="U116" i="2"/>
  <c r="C115" i="2"/>
  <c r="C113" i="2"/>
  <c r="G111" i="2"/>
  <c r="J109" i="2"/>
  <c r="L107" i="2"/>
  <c r="S105" i="2"/>
  <c r="F104" i="2"/>
  <c r="D103" i="2"/>
  <c r="Z101" i="2"/>
  <c r="R100" i="2"/>
  <c r="U99" i="2"/>
  <c r="E99" i="2"/>
  <c r="J98" i="2"/>
  <c r="Z97" i="2"/>
  <c r="G97" i="2"/>
  <c r="U96" i="2"/>
  <c r="F96" i="2"/>
  <c r="S95" i="2"/>
  <c r="G95" i="2"/>
  <c r="W94" i="2"/>
  <c r="I94" i="2"/>
  <c r="AN93" i="2"/>
  <c r="L93" i="2"/>
  <c r="C93" i="2"/>
  <c r="I92" i="2"/>
  <c r="AN91" i="2"/>
  <c r="O91" i="2"/>
  <c r="D91" i="2"/>
  <c r="J90" i="2"/>
  <c r="AU89" i="2"/>
  <c r="H89" i="2"/>
  <c r="Z88" i="2"/>
  <c r="F88" i="2"/>
  <c r="U87" i="2"/>
  <c r="E87" i="2"/>
  <c r="S86" i="2"/>
  <c r="G86" i="2"/>
  <c r="W85" i="2"/>
  <c r="I85" i="2"/>
  <c r="AN84" i="2"/>
  <c r="O84" i="2"/>
  <c r="D84" i="2"/>
  <c r="J83" i="2"/>
  <c r="AU82" i="2"/>
  <c r="O82" i="2"/>
  <c r="D82" i="2"/>
  <c r="Q81" i="2"/>
  <c r="F81" i="2"/>
  <c r="U80" i="2"/>
  <c r="H80" i="2"/>
  <c r="Z79" i="2"/>
  <c r="J79" i="2"/>
  <c r="AU78" i="2"/>
  <c r="H78" i="2"/>
  <c r="Z77" i="2"/>
  <c r="L77" i="2"/>
  <c r="C77" i="2"/>
  <c r="P76" i="2"/>
  <c r="E76" i="2"/>
  <c r="S75" i="2"/>
  <c r="G75" i="2"/>
  <c r="W74" i="2"/>
  <c r="J74" i="2"/>
  <c r="AU73" i="2"/>
  <c r="O73" i="2"/>
  <c r="D73" i="2"/>
  <c r="Q72" i="2"/>
  <c r="F72" i="2"/>
  <c r="U71" i="2"/>
  <c r="H71" i="2"/>
  <c r="Z70" i="2"/>
  <c r="J70" i="2"/>
  <c r="AU69" i="2"/>
  <c r="O69" i="2"/>
  <c r="D69" i="2"/>
  <c r="Q68" i="2"/>
  <c r="F68" i="2"/>
  <c r="U67" i="2"/>
  <c r="H67" i="2"/>
  <c r="Z66" i="2"/>
  <c r="J66" i="2"/>
  <c r="AU65" i="2"/>
  <c r="O65" i="2"/>
  <c r="D65" i="2"/>
  <c r="Q64" i="2"/>
  <c r="F64" i="2"/>
  <c r="S63" i="2"/>
  <c r="D63" i="2"/>
  <c r="L62" i="2"/>
  <c r="C62" i="2"/>
  <c r="J61" i="2"/>
  <c r="AU60" i="2"/>
  <c r="I60" i="2"/>
  <c r="AN59" i="2"/>
  <c r="H59" i="2"/>
  <c r="Z58" i="2"/>
  <c r="G58" i="2"/>
  <c r="W57" i="2"/>
  <c r="F57" i="2"/>
  <c r="U56" i="2"/>
  <c r="E56" i="2"/>
  <c r="S55" i="2"/>
  <c r="H55" i="2"/>
  <c r="Z54" i="2"/>
  <c r="F54" i="2"/>
  <c r="S53" i="2"/>
  <c r="D53" i="2"/>
  <c r="I152" i="2"/>
  <c r="J150" i="2"/>
  <c r="F148" i="2"/>
  <c r="G146" i="2"/>
  <c r="O144" i="2"/>
  <c r="O142" i="2"/>
  <c r="U140" i="2"/>
  <c r="AU138" i="2"/>
  <c r="C137" i="2"/>
  <c r="G135" i="2"/>
  <c r="O133" i="2"/>
  <c r="U131" i="2"/>
  <c r="AU129" i="2"/>
  <c r="F128" i="2"/>
  <c r="J126" i="2"/>
  <c r="Q124" i="2"/>
  <c r="R122" i="2"/>
  <c r="L120" i="2"/>
  <c r="H118" i="2"/>
  <c r="O116" i="2"/>
  <c r="U114" i="2"/>
  <c r="W112" i="2"/>
  <c r="C111" i="2"/>
  <c r="F109" i="2"/>
  <c r="G107" i="2"/>
  <c r="L105" i="2"/>
  <c r="D104" i="2"/>
  <c r="Z102" i="2"/>
  <c r="U101" i="2"/>
  <c r="L100" i="2"/>
  <c r="S99" i="2"/>
  <c r="C99" i="2"/>
  <c r="I98" i="2"/>
  <c r="W97" i="2"/>
  <c r="F97" i="2"/>
  <c r="Q96" i="2"/>
  <c r="E96" i="2"/>
  <c r="Q95" i="2"/>
  <c r="F95" i="2"/>
  <c r="U94" i="2"/>
  <c r="H94" i="2"/>
  <c r="Z93" i="2"/>
  <c r="J93" i="2"/>
  <c r="AU92" i="2"/>
  <c r="H92" i="2"/>
  <c r="Z91" i="2"/>
  <c r="L91" i="2"/>
  <c r="C91" i="2"/>
  <c r="I90" i="2"/>
  <c r="AN89" i="2"/>
  <c r="G89" i="2"/>
  <c r="U88" i="2"/>
  <c r="E88" i="2"/>
  <c r="S87" i="2"/>
  <c r="D87" i="2"/>
  <c r="Q86" i="2"/>
  <c r="F86" i="2"/>
  <c r="U85" i="2"/>
  <c r="H85" i="2"/>
  <c r="Z84" i="2"/>
  <c r="L84" i="2"/>
  <c r="C84" i="2"/>
  <c r="I83" i="2"/>
  <c r="AN82" i="2"/>
  <c r="L82" i="2"/>
  <c r="C82" i="2"/>
  <c r="P81" i="2"/>
  <c r="E81" i="2"/>
  <c r="S80" i="2"/>
  <c r="G80" i="2"/>
  <c r="W79" i="2"/>
  <c r="I79" i="2"/>
  <c r="AN78" i="2"/>
  <c r="G78" i="2"/>
  <c r="W77" i="2"/>
  <c r="J77" i="2"/>
  <c r="AU76" i="2"/>
  <c r="O76" i="2"/>
  <c r="D76" i="2"/>
  <c r="Q75" i="2"/>
  <c r="F75" i="2"/>
  <c r="U74" i="2"/>
  <c r="I74" i="2"/>
  <c r="AN73" i="2"/>
  <c r="L73" i="2"/>
  <c r="C73" i="2"/>
  <c r="P72" i="2"/>
  <c r="E72" i="2"/>
  <c r="S71" i="2"/>
  <c r="G71" i="2"/>
  <c r="W70" i="2"/>
  <c r="I70" i="2"/>
  <c r="AN69" i="2"/>
  <c r="L69" i="2"/>
  <c r="C69" i="2"/>
  <c r="P68" i="2"/>
  <c r="E68" i="2"/>
  <c r="S67" i="2"/>
  <c r="G67" i="2"/>
  <c r="W66" i="2"/>
  <c r="I66" i="2"/>
  <c r="AN65" i="2"/>
  <c r="L65" i="2"/>
  <c r="C65" i="2"/>
  <c r="P64" i="2"/>
  <c r="E64" i="2"/>
  <c r="L63" i="2"/>
  <c r="C63" i="2"/>
  <c r="J62" i="2"/>
  <c r="AU61" i="2"/>
  <c r="I61" i="2"/>
  <c r="AN60" i="2"/>
  <c r="H60" i="2"/>
  <c r="Z59" i="2"/>
  <c r="G59" i="2"/>
  <c r="W58" i="2"/>
  <c r="F58" i="2"/>
  <c r="U57" i="2"/>
  <c r="E57" i="2"/>
  <c r="S56" i="2"/>
  <c r="D56" i="2"/>
  <c r="R55" i="2"/>
  <c r="G55" i="2"/>
  <c r="U54" i="2"/>
  <c r="E54" i="2"/>
  <c r="L53" i="2"/>
  <c r="C53" i="2"/>
  <c r="I52" i="2"/>
  <c r="AN51" i="2"/>
  <c r="H51" i="2"/>
  <c r="Z50" i="2"/>
  <c r="J50" i="2"/>
  <c r="AU49" i="2"/>
  <c r="O49" i="2"/>
  <c r="D49" i="2"/>
  <c r="R48" i="2"/>
  <c r="G48" i="2"/>
  <c r="U47" i="2"/>
  <c r="E47" i="2"/>
  <c r="S46" i="2"/>
  <c r="G46" i="2"/>
  <c r="W45" i="2"/>
  <c r="I45" i="2"/>
  <c r="AN44" i="2"/>
  <c r="L44" i="2"/>
  <c r="C44" i="2"/>
  <c r="P43" i="2"/>
  <c r="E43" i="2"/>
  <c r="L42" i="2"/>
  <c r="C42" i="2"/>
  <c r="Q41" i="2"/>
  <c r="F41" i="2"/>
  <c r="U40" i="2"/>
  <c r="H40" i="2"/>
  <c r="Z39" i="2"/>
  <c r="J39" i="2"/>
  <c r="AU38" i="2"/>
  <c r="P38" i="2"/>
  <c r="E38" i="2"/>
  <c r="S37" i="2"/>
  <c r="G37" i="2"/>
  <c r="W36" i="2"/>
  <c r="I36" i="2"/>
  <c r="AN35" i="2"/>
  <c r="L35" i="2"/>
  <c r="C35" i="2"/>
  <c r="P34" i="2"/>
  <c r="E34" i="2"/>
  <c r="S33" i="2"/>
  <c r="G33" i="2"/>
  <c r="W32" i="2"/>
  <c r="I32" i="2"/>
  <c r="AN31" i="2"/>
  <c r="L31" i="2"/>
  <c r="C31" i="2"/>
  <c r="P30" i="2"/>
  <c r="E30" i="2"/>
  <c r="S29" i="2"/>
  <c r="G29" i="2"/>
  <c r="W28" i="2"/>
  <c r="I28" i="2"/>
  <c r="AN27" i="2"/>
  <c r="G27" i="2"/>
  <c r="U26" i="2"/>
  <c r="E26" i="2"/>
  <c r="L25" i="2"/>
  <c r="C25" i="2"/>
  <c r="I24" i="2"/>
  <c r="AN23" i="2"/>
  <c r="H23" i="2"/>
  <c r="Z22" i="2"/>
  <c r="J22" i="2"/>
  <c r="AU21" i="2"/>
  <c r="O21" i="2"/>
  <c r="D21" i="2"/>
  <c r="J20" i="2"/>
  <c r="AU19" i="2"/>
  <c r="O19" i="2"/>
  <c r="D19" i="2"/>
  <c r="Q18" i="2"/>
  <c r="F18" i="2"/>
  <c r="U17" i="2"/>
  <c r="H17" i="2"/>
  <c r="Z16" i="2"/>
  <c r="J16" i="2"/>
  <c r="AU15" i="2"/>
  <c r="H15" i="2"/>
  <c r="Z14" i="2"/>
  <c r="J14" i="2"/>
  <c r="AU13" i="2"/>
  <c r="O13" i="2"/>
  <c r="D13" i="2"/>
  <c r="Q12" i="2"/>
  <c r="F12" i="2"/>
  <c r="U11" i="2"/>
  <c r="H11" i="2"/>
  <c r="Z10" i="2"/>
  <c r="J10" i="2"/>
  <c r="AU9" i="2"/>
  <c r="O9" i="2"/>
  <c r="D9" i="2"/>
  <c r="Q8" i="2"/>
  <c r="F8" i="2"/>
  <c r="U7" i="2"/>
  <c r="H7" i="2"/>
  <c r="Z6" i="2"/>
  <c r="J6" i="2"/>
  <c r="AU5" i="2"/>
  <c r="O5" i="2"/>
  <c r="D5" i="2"/>
  <c r="Q4" i="2"/>
  <c r="F4" i="2"/>
  <c r="U3" i="2"/>
  <c r="H3" i="2"/>
  <c r="Z2" i="2"/>
  <c r="F2" i="2"/>
  <c r="E152" i="2"/>
  <c r="F150" i="2"/>
  <c r="AU147" i="2"/>
  <c r="C146" i="2"/>
  <c r="H144" i="2"/>
  <c r="H142" i="2"/>
  <c r="O140" i="2"/>
  <c r="S138" i="2"/>
  <c r="W136" i="2"/>
  <c r="C135" i="2"/>
  <c r="H133" i="2"/>
  <c r="O131" i="2"/>
  <c r="U129" i="2"/>
  <c r="AU127" i="2"/>
  <c r="F126" i="2"/>
  <c r="J124" i="2"/>
  <c r="L122" i="2"/>
  <c r="G120" i="2"/>
  <c r="D118" i="2"/>
  <c r="H116" i="2"/>
  <c r="I114" i="2"/>
  <c r="P112" i="2"/>
  <c r="W110" i="2"/>
  <c r="AU108" i="2"/>
  <c r="C107" i="2"/>
  <c r="G105" i="2"/>
  <c r="AU103" i="2"/>
  <c r="U102" i="2"/>
  <c r="O101" i="2"/>
  <c r="I100" i="2"/>
  <c r="Q99" i="2"/>
  <c r="Z98" i="2"/>
  <c r="H98" i="2"/>
  <c r="S97" i="2"/>
  <c r="D97" i="2"/>
  <c r="P96" i="2"/>
  <c r="D96" i="2"/>
  <c r="P95" i="2"/>
  <c r="E95" i="2"/>
  <c r="S94" i="2"/>
  <c r="G94" i="2"/>
  <c r="W93" i="2"/>
  <c r="I93" i="2"/>
  <c r="AN92" i="2"/>
  <c r="G92" i="2"/>
  <c r="W91" i="2"/>
  <c r="J91" i="2"/>
  <c r="AU90" i="2"/>
  <c r="H90" i="2"/>
  <c r="Z89" i="2"/>
  <c r="F89" i="2"/>
  <c r="S88" i="2"/>
  <c r="D88" i="2"/>
  <c r="L87" i="2"/>
  <c r="C87" i="2"/>
  <c r="P86" i="2"/>
  <c r="E86" i="2"/>
  <c r="S85" i="2"/>
  <c r="G85" i="2"/>
  <c r="W84" i="2"/>
  <c r="J84" i="2"/>
  <c r="AU83" i="2"/>
  <c r="H83" i="2"/>
  <c r="Z82" i="2"/>
  <c r="J82" i="2"/>
  <c r="AU81" i="2"/>
  <c r="O81" i="2"/>
  <c r="D81" i="2"/>
  <c r="Q80" i="2"/>
  <c r="F80" i="2"/>
  <c r="U79" i="2"/>
  <c r="H79" i="2"/>
  <c r="Z78" i="2"/>
  <c r="F78" i="2"/>
  <c r="U77" i="2"/>
  <c r="I77" i="2"/>
  <c r="AN76" i="2"/>
  <c r="L76" i="2"/>
  <c r="C76" i="2"/>
  <c r="P75" i="2"/>
  <c r="E75" i="2"/>
  <c r="S74" i="2"/>
  <c r="H74" i="2"/>
  <c r="Z73" i="2"/>
  <c r="J73" i="2"/>
  <c r="AU72" i="2"/>
  <c r="O72" i="2"/>
  <c r="D72" i="2"/>
  <c r="Q71" i="2"/>
  <c r="F71" i="2"/>
  <c r="U70" i="2"/>
  <c r="H70" i="2"/>
  <c r="Z69" i="2"/>
  <c r="J69" i="2"/>
  <c r="AU68" i="2"/>
  <c r="O68" i="2"/>
  <c r="D68" i="2"/>
  <c r="Q67" i="2"/>
  <c r="F67" i="2"/>
  <c r="U66" i="2"/>
  <c r="H66" i="2"/>
  <c r="Z65" i="2"/>
  <c r="J65" i="2"/>
  <c r="AU64" i="2"/>
  <c r="O64" i="2"/>
  <c r="D64" i="2"/>
  <c r="J63" i="2"/>
  <c r="AU62" i="2"/>
  <c r="I62" i="2"/>
  <c r="AN61" i="2"/>
  <c r="H61" i="2"/>
  <c r="Z60" i="2"/>
  <c r="G60" i="2"/>
  <c r="W59" i="2"/>
  <c r="F59" i="2"/>
  <c r="U58" i="2"/>
  <c r="E58" i="2"/>
  <c r="S57" i="2"/>
  <c r="D57" i="2"/>
  <c r="L56" i="2"/>
  <c r="C56" i="2"/>
  <c r="Q55" i="2"/>
  <c r="F55" i="2"/>
  <c r="S54" i="2"/>
  <c r="D54" i="2"/>
  <c r="J53" i="2"/>
  <c r="AU52" i="2"/>
  <c r="H52" i="2"/>
  <c r="Z51" i="2"/>
  <c r="G51" i="2"/>
  <c r="W50" i="2"/>
  <c r="I50" i="2"/>
  <c r="AN49" i="2"/>
  <c r="L49" i="2"/>
  <c r="C49" i="2"/>
  <c r="Q48" i="2"/>
  <c r="F48" i="2"/>
  <c r="S47" i="2"/>
  <c r="D47" i="2"/>
  <c r="Q46" i="2"/>
  <c r="F46" i="2"/>
  <c r="U45" i="2"/>
  <c r="H45" i="2"/>
  <c r="Z44" i="2"/>
  <c r="J44" i="2"/>
  <c r="AU43" i="2"/>
  <c r="O43" i="2"/>
  <c r="D43" i="2"/>
  <c r="J42" i="2"/>
  <c r="AU41" i="2"/>
  <c r="P41" i="2"/>
  <c r="E41" i="2"/>
  <c r="S40" i="2"/>
  <c r="G40" i="2"/>
  <c r="W39" i="2"/>
  <c r="I39" i="2"/>
  <c r="AN38" i="2"/>
  <c r="O38" i="2"/>
  <c r="D38" i="2"/>
  <c r="Q37" i="2"/>
  <c r="F37" i="2"/>
  <c r="U36" i="2"/>
  <c r="H36" i="2"/>
  <c r="Z35" i="2"/>
  <c r="J35" i="2"/>
  <c r="AU34" i="2"/>
  <c r="O34" i="2"/>
  <c r="D34" i="2"/>
  <c r="Q33" i="2"/>
  <c r="F33" i="2"/>
  <c r="U32" i="2"/>
  <c r="H32" i="2"/>
  <c r="Z31" i="2"/>
  <c r="J31" i="2"/>
  <c r="AU30" i="2"/>
  <c r="O30" i="2"/>
  <c r="D30" i="2"/>
  <c r="Q29" i="2"/>
  <c r="F29" i="2"/>
  <c r="U28" i="2"/>
  <c r="H28" i="2"/>
  <c r="Z27" i="2"/>
  <c r="F27" i="2"/>
  <c r="S26" i="2"/>
  <c r="D26" i="2"/>
  <c r="J25" i="2"/>
  <c r="AU24" i="2"/>
  <c r="H24" i="2"/>
  <c r="Z23" i="2"/>
  <c r="G23" i="2"/>
  <c r="W22" i="2"/>
  <c r="I22" i="2"/>
  <c r="AN21" i="2"/>
  <c r="L21" i="2"/>
  <c r="C21" i="2"/>
  <c r="I20" i="2"/>
  <c r="AN19" i="2"/>
  <c r="L19" i="2"/>
  <c r="C19" i="2"/>
  <c r="P18" i="2"/>
  <c r="E18" i="2"/>
  <c r="S17" i="2"/>
  <c r="G17" i="2"/>
  <c r="W16" i="2"/>
  <c r="I16" i="2"/>
  <c r="AN15" i="2"/>
  <c r="G15" i="2"/>
  <c r="W14" i="2"/>
  <c r="I14" i="2"/>
  <c r="AN13" i="2"/>
  <c r="L13" i="2"/>
  <c r="C13" i="2"/>
  <c r="P12" i="2"/>
  <c r="E12" i="2"/>
  <c r="S11" i="2"/>
  <c r="G11" i="2"/>
  <c r="W10" i="2"/>
  <c r="I10" i="2"/>
  <c r="AN9" i="2"/>
  <c r="L9" i="2"/>
  <c r="C9" i="2"/>
  <c r="P8" i="2"/>
  <c r="E8" i="2"/>
  <c r="S7" i="2"/>
  <c r="G7" i="2"/>
  <c r="W6" i="2"/>
  <c r="I6" i="2"/>
  <c r="AN5" i="2"/>
  <c r="L5" i="2"/>
  <c r="C5" i="2"/>
  <c r="P4" i="2"/>
  <c r="E4" i="2"/>
  <c r="S3" i="2"/>
  <c r="G3" i="2"/>
  <c r="U2" i="2"/>
  <c r="E2" i="2"/>
  <c r="AN151" i="2"/>
  <c r="AU149" i="2"/>
  <c r="U147" i="2"/>
  <c r="W145" i="2"/>
  <c r="D144" i="2"/>
  <c r="D142" i="2"/>
  <c r="H140" i="2"/>
  <c r="H138" i="2"/>
  <c r="P136" i="2"/>
  <c r="W134" i="2"/>
  <c r="D133" i="2"/>
  <c r="H131" i="2"/>
  <c r="O129" i="2"/>
  <c r="U127" i="2"/>
  <c r="AU125" i="2"/>
  <c r="F124" i="2"/>
  <c r="G122" i="2"/>
  <c r="C120" i="2"/>
  <c r="Z117" i="2"/>
  <c r="D116" i="2"/>
  <c r="E114" i="2"/>
  <c r="I112" i="2"/>
  <c r="Q110" i="2"/>
  <c r="S108" i="2"/>
  <c r="W106" i="2"/>
  <c r="C105" i="2"/>
  <c r="U103" i="2"/>
  <c r="Q102" i="2"/>
  <c r="J101" i="2"/>
  <c r="F100" i="2"/>
  <c r="P99" i="2"/>
  <c r="W98" i="2"/>
  <c r="G98" i="2"/>
  <c r="Q97" i="2"/>
  <c r="C97" i="2"/>
  <c r="O96" i="2"/>
  <c r="C96" i="2"/>
  <c r="O95" i="2"/>
  <c r="D95" i="2"/>
  <c r="Q94" i="2"/>
  <c r="F94" i="2"/>
  <c r="U93" i="2"/>
  <c r="H93" i="2"/>
  <c r="Z92" i="2"/>
  <c r="F92" i="2"/>
  <c r="U91" i="2"/>
  <c r="I91" i="2"/>
  <c r="AN90" i="2"/>
  <c r="G90" i="2"/>
  <c r="U89" i="2"/>
  <c r="E89" i="2"/>
  <c r="L88" i="2"/>
  <c r="C88" i="2"/>
  <c r="J87" i="2"/>
  <c r="AU86" i="2"/>
  <c r="O86" i="2"/>
  <c r="D86" i="2"/>
  <c r="Q85" i="2"/>
  <c r="F85" i="2"/>
  <c r="U84" i="2"/>
  <c r="I84" i="2"/>
  <c r="AN83" i="2"/>
  <c r="G83" i="2"/>
  <c r="W82" i="2"/>
  <c r="I82" i="2"/>
  <c r="AN81" i="2"/>
  <c r="L81" i="2"/>
  <c r="C81" i="2"/>
  <c r="P80" i="2"/>
  <c r="E80" i="2"/>
  <c r="S79" i="2"/>
  <c r="G79" i="2"/>
  <c r="U78" i="2"/>
  <c r="E78" i="2"/>
  <c r="S77" i="2"/>
  <c r="H77" i="2"/>
  <c r="Z76" i="2"/>
  <c r="J76" i="2"/>
  <c r="AU75" i="2"/>
  <c r="O75" i="2"/>
  <c r="D75" i="2"/>
  <c r="R74" i="2"/>
  <c r="G74" i="2"/>
  <c r="W73" i="2"/>
  <c r="I73" i="2"/>
  <c r="AN72" i="2"/>
  <c r="L72" i="2"/>
  <c r="C72" i="2"/>
  <c r="P71" i="2"/>
  <c r="E71" i="2"/>
  <c r="S70" i="2"/>
  <c r="G70" i="2"/>
  <c r="W69" i="2"/>
  <c r="I69" i="2"/>
  <c r="AN68" i="2"/>
  <c r="L68" i="2"/>
  <c r="C68" i="2"/>
  <c r="P67" i="2"/>
  <c r="E67" i="2"/>
  <c r="S66" i="2"/>
  <c r="G66" i="2"/>
  <c r="W65" i="2"/>
  <c r="I65" i="2"/>
  <c r="AN64" i="2"/>
  <c r="L64" i="2"/>
  <c r="C64" i="2"/>
  <c r="I63" i="2"/>
  <c r="AN62" i="2"/>
  <c r="H62" i="2"/>
  <c r="Z61" i="2"/>
  <c r="G61" i="2"/>
  <c r="W60" i="2"/>
  <c r="F60" i="2"/>
  <c r="U59" i="2"/>
  <c r="E59" i="2"/>
  <c r="S58" i="2"/>
  <c r="D58" i="2"/>
  <c r="L57" i="2"/>
  <c r="C57" i="2"/>
  <c r="J56" i="2"/>
  <c r="AU55" i="2"/>
  <c r="P55" i="2"/>
  <c r="E55" i="2"/>
  <c r="L54" i="2"/>
  <c r="C54" i="2"/>
  <c r="I53" i="2"/>
  <c r="AN52" i="2"/>
  <c r="G52" i="2"/>
  <c r="W51" i="2"/>
  <c r="F51" i="2"/>
  <c r="U50" i="2"/>
  <c r="H50" i="2"/>
  <c r="Z49" i="2"/>
  <c r="J49" i="2"/>
  <c r="AU48" i="2"/>
  <c r="P48" i="2"/>
  <c r="E48" i="2"/>
  <c r="L47" i="2"/>
  <c r="C47" i="2"/>
  <c r="P46" i="2"/>
  <c r="E46" i="2"/>
  <c r="S45" i="2"/>
  <c r="G45" i="2"/>
  <c r="W44" i="2"/>
  <c r="I44" i="2"/>
  <c r="AN43" i="2"/>
  <c r="L43" i="2"/>
  <c r="C43" i="2"/>
  <c r="I42" i="2"/>
  <c r="AN41" i="2"/>
  <c r="O41" i="2"/>
  <c r="D41" i="2"/>
  <c r="Q40" i="2"/>
  <c r="F40" i="2"/>
  <c r="U39" i="2"/>
  <c r="H39" i="2"/>
  <c r="Z38" i="2"/>
  <c r="L38" i="2"/>
  <c r="C38" i="2"/>
  <c r="P37" i="2"/>
  <c r="E37" i="2"/>
  <c r="S36" i="2"/>
  <c r="G36" i="2"/>
  <c r="W35" i="2"/>
  <c r="I35" i="2"/>
  <c r="AN34" i="2"/>
  <c r="L34" i="2"/>
  <c r="C34" i="2"/>
  <c r="P33" i="2"/>
  <c r="E33" i="2"/>
  <c r="S32" i="2"/>
  <c r="G32" i="2"/>
  <c r="W31" i="2"/>
  <c r="I31" i="2"/>
  <c r="AN30" i="2"/>
  <c r="L30" i="2"/>
  <c r="C30" i="2"/>
  <c r="P29" i="2"/>
  <c r="E29" i="2"/>
  <c r="S28" i="2"/>
  <c r="G28" i="2"/>
  <c r="U27" i="2"/>
  <c r="E27" i="2"/>
  <c r="L26" i="2"/>
  <c r="C26" i="2"/>
  <c r="I25" i="2"/>
  <c r="AN24" i="2"/>
  <c r="G24" i="2"/>
  <c r="W23" i="2"/>
  <c r="F23" i="2"/>
  <c r="U22" i="2"/>
  <c r="H22" i="2"/>
  <c r="Z21" i="2"/>
  <c r="J21" i="2"/>
  <c r="AU20" i="2"/>
  <c r="H20" i="2"/>
  <c r="Z19" i="2"/>
  <c r="J19" i="2"/>
  <c r="AU18" i="2"/>
  <c r="O18" i="2"/>
  <c r="D18" i="2"/>
  <c r="Q17" i="2"/>
  <c r="F17" i="2"/>
  <c r="U16" i="2"/>
  <c r="H16" i="2"/>
  <c r="Z15" i="2"/>
  <c r="F15" i="2"/>
  <c r="U14" i="2"/>
  <c r="H14" i="2"/>
  <c r="Z13" i="2"/>
  <c r="J13" i="2"/>
  <c r="AU12" i="2"/>
  <c r="O12" i="2"/>
  <c r="D12" i="2"/>
  <c r="Q11" i="2"/>
  <c r="F11" i="2"/>
  <c r="U10" i="2"/>
  <c r="H10" i="2"/>
  <c r="Z9" i="2"/>
  <c r="J9" i="2"/>
  <c r="AU8" i="2"/>
  <c r="O8" i="2"/>
  <c r="D8" i="2"/>
  <c r="Q7" i="2"/>
  <c r="F7" i="2"/>
  <c r="U6" i="2"/>
  <c r="H6" i="2"/>
  <c r="Z5" i="2"/>
  <c r="J5" i="2"/>
  <c r="AU4" i="2"/>
  <c r="O4" i="2"/>
  <c r="D4" i="2"/>
  <c r="Q3" i="2"/>
  <c r="F3" i="2"/>
  <c r="S2" i="2"/>
  <c r="D2" i="2"/>
  <c r="S151" i="2"/>
  <c r="S149" i="2"/>
  <c r="I147" i="2"/>
  <c r="P145" i="2"/>
  <c r="Z143" i="2"/>
  <c r="Z141" i="2"/>
  <c r="D140" i="2"/>
  <c r="D138" i="2"/>
  <c r="I136" i="2"/>
  <c r="Q134" i="2"/>
  <c r="Z132" i="2"/>
  <c r="D131" i="2"/>
  <c r="H129" i="2"/>
  <c r="O127" i="2"/>
  <c r="U125" i="2"/>
  <c r="AU123" i="2"/>
  <c r="C122" i="2"/>
  <c r="U119" i="2"/>
  <c r="Q117" i="2"/>
  <c r="Z115" i="2"/>
  <c r="AN113" i="2"/>
  <c r="E112" i="2"/>
  <c r="H110" i="2"/>
  <c r="H108" i="2"/>
  <c r="P106" i="2"/>
  <c r="W104" i="2"/>
  <c r="Q103" i="2"/>
  <c r="J102" i="2"/>
  <c r="H101" i="2"/>
  <c r="E100" i="2"/>
  <c r="L99" i="2"/>
  <c r="U98" i="2"/>
  <c r="E98" i="2"/>
  <c r="O97" i="2"/>
  <c r="AU96" i="2"/>
  <c r="L96" i="2"/>
  <c r="AU95" i="2"/>
  <c r="L95" i="2"/>
  <c r="C95" i="2"/>
  <c r="P94" i="2"/>
  <c r="E94" i="2"/>
  <c r="S93" i="2"/>
  <c r="G93" i="2"/>
  <c r="U92" i="2"/>
  <c r="E92" i="2"/>
  <c r="S91" i="2"/>
  <c r="H91" i="2"/>
  <c r="Z90" i="2"/>
  <c r="F90" i="2"/>
  <c r="S89" i="2"/>
  <c r="D89" i="2"/>
  <c r="J88" i="2"/>
  <c r="AU87" i="2"/>
  <c r="I87" i="2"/>
  <c r="AN86" i="2"/>
  <c r="L86" i="2"/>
  <c r="C86" i="2"/>
  <c r="P85" i="2"/>
  <c r="E85" i="2"/>
  <c r="S84" i="2"/>
  <c r="H84" i="2"/>
  <c r="Z83" i="2"/>
  <c r="F83" i="2"/>
  <c r="U82" i="2"/>
  <c r="H82" i="2"/>
  <c r="Z81" i="2"/>
  <c r="J81" i="2"/>
  <c r="AU80" i="2"/>
  <c r="O80" i="2"/>
  <c r="D80" i="2"/>
  <c r="Q79" i="2"/>
  <c r="F79" i="2"/>
  <c r="S78" i="2"/>
  <c r="D78" i="2"/>
  <c r="R77" i="2"/>
  <c r="G77" i="2"/>
  <c r="W76" i="2"/>
  <c r="I76" i="2"/>
  <c r="AN75" i="2"/>
  <c r="L75" i="2"/>
  <c r="C75" i="2"/>
  <c r="Q74" i="2"/>
  <c r="F74" i="2"/>
  <c r="U73" i="2"/>
  <c r="H73" i="2"/>
  <c r="Z72" i="2"/>
  <c r="J72" i="2"/>
  <c r="AU71" i="2"/>
  <c r="O71" i="2"/>
  <c r="D71" i="2"/>
  <c r="Q70" i="2"/>
  <c r="F70" i="2"/>
  <c r="U69" i="2"/>
  <c r="H69" i="2"/>
  <c r="Z68" i="2"/>
  <c r="J68" i="2"/>
  <c r="AU67" i="2"/>
  <c r="O67" i="2"/>
  <c r="D67" i="2"/>
  <c r="Q66" i="2"/>
  <c r="F66" i="2"/>
  <c r="U65" i="2"/>
  <c r="H65" i="2"/>
  <c r="Z64" i="2"/>
  <c r="J64" i="2"/>
  <c r="AU63" i="2"/>
  <c r="H63" i="2"/>
  <c r="Z62" i="2"/>
  <c r="G62" i="2"/>
  <c r="W61" i="2"/>
  <c r="F61" i="2"/>
  <c r="U60" i="2"/>
  <c r="E60" i="2"/>
  <c r="S59" i="2"/>
  <c r="D59" i="2"/>
  <c r="L58" i="2"/>
  <c r="C58" i="2"/>
  <c r="J57" i="2"/>
  <c r="AU56" i="2"/>
  <c r="I56" i="2"/>
  <c r="AN55" i="2"/>
  <c r="O55" i="2"/>
  <c r="D55" i="2"/>
  <c r="J54" i="2"/>
  <c r="AU53" i="2"/>
  <c r="H53" i="2"/>
  <c r="Z52" i="2"/>
  <c r="F52" i="2"/>
  <c r="U51" i="2"/>
  <c r="E51" i="2"/>
  <c r="S50" i="2"/>
  <c r="G50" i="2"/>
  <c r="W49" i="2"/>
  <c r="I49" i="2"/>
  <c r="AN48" i="2"/>
  <c r="O48" i="2"/>
  <c r="D48" i="2"/>
  <c r="J47" i="2"/>
  <c r="AU46" i="2"/>
  <c r="O46" i="2"/>
  <c r="D46" i="2"/>
  <c r="Q45" i="2"/>
  <c r="F45" i="2"/>
  <c r="U44" i="2"/>
  <c r="H44" i="2"/>
  <c r="Z43" i="2"/>
  <c r="J43" i="2"/>
  <c r="AU42" i="2"/>
  <c r="H42" i="2"/>
  <c r="Z41" i="2"/>
  <c r="L41" i="2"/>
  <c r="C41" i="2"/>
  <c r="P40" i="2"/>
  <c r="E40" i="2"/>
  <c r="S39" i="2"/>
  <c r="G39" i="2"/>
  <c r="W38" i="2"/>
  <c r="J38" i="2"/>
  <c r="AU37" i="2"/>
  <c r="O37" i="2"/>
  <c r="D37" i="2"/>
  <c r="Q36" i="2"/>
  <c r="F36" i="2"/>
  <c r="U35" i="2"/>
  <c r="H35" i="2"/>
  <c r="Z34" i="2"/>
  <c r="J34" i="2"/>
  <c r="AU33" i="2"/>
  <c r="O33" i="2"/>
  <c r="D33" i="2"/>
  <c r="Q32" i="2"/>
  <c r="F32" i="2"/>
  <c r="U31" i="2"/>
  <c r="H31" i="2"/>
  <c r="Z30" i="2"/>
  <c r="J30" i="2"/>
  <c r="AU29" i="2"/>
  <c r="O29" i="2"/>
  <c r="D29" i="2"/>
  <c r="Q28" i="2"/>
  <c r="F28" i="2"/>
  <c r="S27" i="2"/>
  <c r="D27" i="2"/>
  <c r="J26" i="2"/>
  <c r="AU25" i="2"/>
  <c r="H25" i="2"/>
  <c r="Z24" i="2"/>
  <c r="F24" i="2"/>
  <c r="U23" i="2"/>
  <c r="E23" i="2"/>
  <c r="S22" i="2"/>
  <c r="G22" i="2"/>
  <c r="W21" i="2"/>
  <c r="I21" i="2"/>
  <c r="AN20" i="2"/>
  <c r="G20" i="2"/>
  <c r="W19" i="2"/>
  <c r="I19" i="2"/>
  <c r="AN18" i="2"/>
  <c r="L18" i="2"/>
  <c r="C18" i="2"/>
  <c r="P17" i="2"/>
  <c r="E17" i="2"/>
  <c r="S16" i="2"/>
  <c r="G16" i="2"/>
  <c r="U15" i="2"/>
  <c r="E15" i="2"/>
  <c r="S14" i="2"/>
  <c r="G14" i="2"/>
  <c r="W13" i="2"/>
  <c r="I13" i="2"/>
  <c r="AN12" i="2"/>
  <c r="L12" i="2"/>
  <c r="C12" i="2"/>
  <c r="P11" i="2"/>
  <c r="E11" i="2"/>
  <c r="S10" i="2"/>
  <c r="G10" i="2"/>
  <c r="W9" i="2"/>
  <c r="I9" i="2"/>
  <c r="AN8" i="2"/>
  <c r="L8" i="2"/>
  <c r="C8" i="2"/>
  <c r="P7" i="2"/>
  <c r="E7" i="2"/>
  <c r="S6" i="2"/>
  <c r="G6" i="2"/>
  <c r="W5" i="2"/>
  <c r="I5" i="2"/>
  <c r="AN4" i="2"/>
  <c r="L4" i="2"/>
  <c r="C4" i="2"/>
  <c r="P3" i="2"/>
  <c r="E3" i="2"/>
  <c r="L2" i="2"/>
  <c r="C2" i="2"/>
  <c r="E53" i="2"/>
  <c r="AN50" i="2"/>
  <c r="E49" i="2"/>
  <c r="F47" i="2"/>
  <c r="J45" i="2"/>
  <c r="Q43" i="2"/>
  <c r="R41" i="2"/>
  <c r="AN39" i="2"/>
  <c r="F38" i="2"/>
  <c r="J36" i="2"/>
  <c r="Q34" i="2"/>
  <c r="Z32" i="2"/>
  <c r="D31" i="2"/>
  <c r="H29" i="2"/>
  <c r="H27" i="2"/>
  <c r="D25" i="2"/>
  <c r="AN22" i="2"/>
  <c r="E21" i="2"/>
  <c r="E19" i="2"/>
  <c r="I17" i="2"/>
  <c r="I15" i="2"/>
  <c r="P13" i="2"/>
  <c r="W11" i="2"/>
  <c r="C10" i="2"/>
  <c r="G8" i="2"/>
  <c r="L6" i="2"/>
  <c r="S4" i="2"/>
  <c r="AN2" i="2"/>
  <c r="L52" i="2"/>
  <c r="O50" i="2"/>
  <c r="U48" i="2"/>
  <c r="W46" i="2"/>
  <c r="C45" i="2"/>
  <c r="G43" i="2"/>
  <c r="H41" i="2"/>
  <c r="O39" i="2"/>
  <c r="W37" i="2"/>
  <c r="C36" i="2"/>
  <c r="G34" i="2"/>
  <c r="L32" i="2"/>
  <c r="S30" i="2"/>
  <c r="AN28" i="2"/>
  <c r="AN26" i="2"/>
  <c r="L24" i="2"/>
  <c r="O22" i="2"/>
  <c r="S20" i="2"/>
  <c r="U18" i="2"/>
  <c r="AU16" i="2"/>
  <c r="AU14" i="2"/>
  <c r="F13" i="2"/>
  <c r="J11" i="2"/>
  <c r="Q9" i="2"/>
  <c r="Z7" i="2"/>
  <c r="D6" i="2"/>
  <c r="H4" i="2"/>
  <c r="H2" i="2"/>
  <c r="J52" i="2"/>
  <c r="L50" i="2"/>
  <c r="S48" i="2"/>
  <c r="U46" i="2"/>
  <c r="AU44" i="2"/>
  <c r="F43" i="2"/>
  <c r="G41" i="2"/>
  <c r="L39" i="2"/>
  <c r="U37" i="2"/>
  <c r="AU35" i="2"/>
  <c r="F34" i="2"/>
  <c r="J32" i="2"/>
  <c r="Q30" i="2"/>
  <c r="Z28" i="2"/>
  <c r="Z26" i="2"/>
  <c r="J24" i="2"/>
  <c r="L22" i="2"/>
  <c r="L20" i="2"/>
  <c r="S18" i="2"/>
  <c r="AN16" i="2"/>
  <c r="AN14" i="2"/>
  <c r="E13" i="2"/>
  <c r="I11" i="2"/>
  <c r="P9" i="2"/>
  <c r="W7" i="2"/>
  <c r="C6" i="2"/>
  <c r="G4" i="2"/>
  <c r="G2" i="2"/>
  <c r="C52" i="2"/>
  <c r="D50" i="2"/>
  <c r="I48" i="2"/>
  <c r="I46" i="2"/>
  <c r="P44" i="2"/>
  <c r="U42" i="2"/>
  <c r="Z40" i="2"/>
  <c r="D39" i="2"/>
  <c r="I37" i="2"/>
  <c r="P35" i="2"/>
  <c r="W33" i="2"/>
  <c r="C32" i="2"/>
  <c r="G30" i="2"/>
  <c r="L28" i="2"/>
  <c r="G26" i="2"/>
  <c r="C24" i="2"/>
  <c r="D22" i="2"/>
  <c r="D20" i="2"/>
  <c r="H18" i="2"/>
  <c r="O16" i="2"/>
  <c r="O14" i="2"/>
  <c r="U12" i="2"/>
  <c r="AU10" i="2"/>
  <c r="F9" i="2"/>
  <c r="J7" i="2"/>
  <c r="Q5" i="2"/>
  <c r="Z3" i="2"/>
  <c r="AU51" i="2"/>
  <c r="C50" i="2"/>
  <c r="H48" i="2"/>
  <c r="H46" i="2"/>
  <c r="O44" i="2"/>
  <c r="S42" i="2"/>
  <c r="W40" i="2"/>
  <c r="C39" i="2"/>
  <c r="H37" i="2"/>
  <c r="O35" i="2"/>
  <c r="U33" i="2"/>
  <c r="AU31" i="2"/>
  <c r="F30" i="2"/>
  <c r="J28" i="2"/>
  <c r="F26" i="2"/>
  <c r="AU23" i="2"/>
  <c r="C22" i="2"/>
  <c r="C20" i="2"/>
  <c r="G18" i="2"/>
  <c r="L16" i="2"/>
  <c r="L14" i="2"/>
  <c r="S12" i="2"/>
  <c r="AN10" i="2"/>
  <c r="E9" i="2"/>
  <c r="I7" i="2"/>
  <c r="P5" i="2"/>
  <c r="W3" i="2"/>
  <c r="J51" i="2"/>
  <c r="Q49" i="2"/>
  <c r="AN47" i="2"/>
  <c r="AN45" i="2"/>
  <c r="E44" i="2"/>
  <c r="E42" i="2"/>
  <c r="J40" i="2"/>
  <c r="R38" i="2"/>
  <c r="AN36" i="2"/>
  <c r="E35" i="2"/>
  <c r="I33" i="2"/>
  <c r="P31" i="2"/>
  <c r="W29" i="2"/>
  <c r="C28" i="2"/>
  <c r="U25" i="2"/>
  <c r="J23" i="2"/>
  <c r="Q21" i="2"/>
  <c r="Q19" i="2"/>
  <c r="Z17" i="2"/>
  <c r="D16" i="2"/>
  <c r="D14" i="2"/>
  <c r="H12" i="2"/>
  <c r="O10" i="2"/>
  <c r="U8" i="2"/>
  <c r="AU6" i="2"/>
  <c r="F5" i="2"/>
  <c r="J3" i="2"/>
  <c r="I51" i="2"/>
  <c r="P49" i="2"/>
  <c r="Z47" i="2"/>
  <c r="Z45" i="2"/>
  <c r="D44" i="2"/>
  <c r="D42" i="2"/>
  <c r="I40" i="2"/>
  <c r="Q38" i="2"/>
  <c r="Z36" i="2"/>
  <c r="D35" i="2"/>
  <c r="H33" i="2"/>
  <c r="O31" i="2"/>
  <c r="U29" i="2"/>
  <c r="AU27" i="2"/>
  <c r="S25" i="2"/>
  <c r="I23" i="2"/>
  <c r="P21" i="2"/>
  <c r="P19" i="2"/>
  <c r="W17" i="2"/>
  <c r="C16" i="2"/>
  <c r="C14" i="2"/>
  <c r="G12" i="2"/>
  <c r="L10" i="2"/>
  <c r="S8" i="2"/>
  <c r="AN6" i="2"/>
  <c r="E5" i="2"/>
  <c r="I3" i="2"/>
  <c r="AU50" i="2"/>
  <c r="F49" i="2"/>
  <c r="G47" i="2"/>
  <c r="L45" i="2"/>
  <c r="S43" i="2"/>
  <c r="S41" i="2"/>
  <c r="AU39" i="2"/>
  <c r="G38" i="2"/>
  <c r="L36" i="2"/>
  <c r="S34" i="2"/>
  <c r="AN32" i="2"/>
  <c r="E31" i="2"/>
  <c r="I29" i="2"/>
  <c r="I27" i="2"/>
  <c r="E25" i="2"/>
  <c r="AU22" i="2"/>
  <c r="F21" i="2"/>
  <c r="F19" i="2"/>
  <c r="J17" i="2"/>
  <c r="J15" i="2"/>
  <c r="Q13" i="2"/>
  <c r="Z11" i="2"/>
  <c r="D10" i="2"/>
  <c r="H8" i="2"/>
  <c r="O6" i="2"/>
  <c r="U4" i="2"/>
  <c r="AU2" i="2"/>
  <c r="AU1074" i="1"/>
  <c r="P1074" i="1"/>
  <c r="E1074" i="1"/>
  <c r="L1073" i="1"/>
  <c r="C1073" i="1"/>
  <c r="I1072" i="1"/>
  <c r="AN1071" i="1"/>
  <c r="G1071" i="1"/>
  <c r="W1070" i="1"/>
  <c r="F1070" i="1"/>
  <c r="U1069" i="1"/>
  <c r="H1069" i="1"/>
  <c r="Z1068" i="1"/>
  <c r="J1068" i="1"/>
  <c r="AU1067" i="1"/>
  <c r="P1067" i="1"/>
  <c r="E1067" i="1"/>
  <c r="L1066" i="1"/>
  <c r="C1066" i="1"/>
  <c r="P1065" i="1"/>
  <c r="E1065" i="1"/>
  <c r="S1064" i="1"/>
  <c r="G1064" i="1"/>
  <c r="W1063" i="1"/>
  <c r="I1063" i="1"/>
  <c r="AN1062" i="1"/>
  <c r="L1062" i="1"/>
  <c r="C1062" i="1"/>
  <c r="I1061" i="1"/>
  <c r="AN1060" i="1"/>
  <c r="O1060" i="1"/>
  <c r="D1060" i="1"/>
  <c r="Q1059" i="1"/>
  <c r="F1059" i="1"/>
  <c r="U1058" i="1"/>
  <c r="H1058" i="1"/>
  <c r="Z1057" i="1"/>
  <c r="L1057" i="1"/>
  <c r="C1057" i="1"/>
  <c r="P1056" i="1"/>
  <c r="E1056" i="1"/>
  <c r="S1055" i="1"/>
  <c r="G1055" i="1"/>
  <c r="W1054" i="1"/>
  <c r="I1054" i="1"/>
  <c r="AN1053" i="1"/>
  <c r="L1053" i="1"/>
  <c r="C1053" i="1"/>
  <c r="P1052" i="1"/>
  <c r="E1052" i="1"/>
  <c r="S1051" i="1"/>
  <c r="G1051" i="1"/>
  <c r="W1050" i="1"/>
  <c r="I1050" i="1"/>
  <c r="AN1049" i="1"/>
  <c r="L1049" i="1"/>
  <c r="C1049" i="1"/>
  <c r="P1048" i="1"/>
  <c r="E1048" i="1"/>
  <c r="S1047" i="1"/>
  <c r="G1047" i="1"/>
  <c r="U1046" i="1"/>
  <c r="E1046" i="1"/>
  <c r="S1045" i="1"/>
  <c r="H1045" i="1"/>
  <c r="Z1044" i="1"/>
  <c r="F1044" i="1"/>
  <c r="S1043" i="1"/>
  <c r="D1043" i="1"/>
  <c r="J1042" i="1"/>
  <c r="AU1041" i="1"/>
  <c r="I1041" i="1"/>
  <c r="AN1040" i="1"/>
  <c r="L1040" i="1"/>
  <c r="C1040" i="1"/>
  <c r="P1039" i="1"/>
  <c r="E1039" i="1"/>
  <c r="S1038" i="1"/>
  <c r="H1038" i="1"/>
  <c r="Z1037" i="1"/>
  <c r="F1037" i="1"/>
  <c r="U1036" i="1"/>
  <c r="H1036" i="1"/>
  <c r="Z1035" i="1"/>
  <c r="J1035" i="1"/>
  <c r="AU1034" i="1"/>
  <c r="O1034" i="1"/>
  <c r="D1034" i="1"/>
  <c r="R1033" i="1"/>
  <c r="E1033" i="1"/>
  <c r="S1032" i="1"/>
  <c r="G1032" i="1"/>
  <c r="U1031" i="1"/>
  <c r="E1031" i="1"/>
  <c r="S1030" i="1"/>
  <c r="H1030" i="1"/>
  <c r="Z1029" i="1"/>
  <c r="J1029" i="1"/>
  <c r="AU1028" i="1"/>
  <c r="O1028" i="1"/>
  <c r="D1028" i="1"/>
  <c r="R1027" i="1"/>
  <c r="G1027" i="1"/>
  <c r="W1026" i="1"/>
  <c r="I1026" i="1"/>
  <c r="AN1025" i="1"/>
  <c r="L1025" i="1"/>
  <c r="C1025" i="1"/>
  <c r="P1024" i="1"/>
  <c r="E1024" i="1"/>
  <c r="S1023" i="1"/>
  <c r="F1023" i="1"/>
  <c r="U1022" i="1"/>
  <c r="H1022" i="1"/>
  <c r="Z1021" i="1"/>
  <c r="J1021" i="1"/>
  <c r="AU1020" i="1"/>
  <c r="O1020" i="1"/>
  <c r="D1020" i="1"/>
  <c r="Q1019" i="1"/>
  <c r="F1019" i="1"/>
  <c r="U1018" i="1"/>
  <c r="H1018" i="1"/>
  <c r="Z1017" i="1"/>
  <c r="J1017" i="1"/>
  <c r="AU1016" i="1"/>
  <c r="AN1074" i="1"/>
  <c r="Z1074" i="1"/>
  <c r="L1074" i="1"/>
  <c r="C1074" i="1"/>
  <c r="I1073" i="1"/>
  <c r="AN1072" i="1"/>
  <c r="G1072" i="1"/>
  <c r="U1071" i="1"/>
  <c r="E1071" i="1"/>
  <c r="S1070" i="1"/>
  <c r="D1070" i="1"/>
  <c r="Q1069" i="1"/>
  <c r="F1069" i="1"/>
  <c r="U1068" i="1"/>
  <c r="H1068" i="1"/>
  <c r="Z1067" i="1"/>
  <c r="L1067" i="1"/>
  <c r="C1067" i="1"/>
  <c r="I1066" i="1"/>
  <c r="AN1065" i="1"/>
  <c r="L1065" i="1"/>
  <c r="C1065" i="1"/>
  <c r="P1064" i="1"/>
  <c r="E1064" i="1"/>
  <c r="S1063" i="1"/>
  <c r="G1063" i="1"/>
  <c r="W1062" i="1"/>
  <c r="I1062" i="1"/>
  <c r="AN1061" i="1"/>
  <c r="G1061" i="1"/>
  <c r="W1060" i="1"/>
  <c r="J1060" i="1"/>
  <c r="AU1059" i="1"/>
  <c r="O1059" i="1"/>
  <c r="D1059" i="1"/>
  <c r="Q1058" i="1"/>
  <c r="F1058" i="1"/>
  <c r="U1057" i="1"/>
  <c r="I1057" i="1"/>
  <c r="AN1056" i="1"/>
  <c r="L1056" i="1"/>
  <c r="C1056" i="1"/>
  <c r="P1055" i="1"/>
  <c r="E1055" i="1"/>
  <c r="S1054" i="1"/>
  <c r="G1054" i="1"/>
  <c r="W1053" i="1"/>
  <c r="I1053" i="1"/>
  <c r="AN1052" i="1"/>
  <c r="L1052" i="1"/>
  <c r="C1052" i="1"/>
  <c r="P1051" i="1"/>
  <c r="E1051" i="1"/>
  <c r="S1050" i="1"/>
  <c r="G1050" i="1"/>
  <c r="W1074" i="1"/>
  <c r="J1074" i="1"/>
  <c r="AU1073" i="1"/>
  <c r="H1073" i="1"/>
  <c r="Z1072" i="1"/>
  <c r="F1072" i="1"/>
  <c r="S1071" i="1"/>
  <c r="D1071" i="1"/>
  <c r="L1070" i="1"/>
  <c r="C1070" i="1"/>
  <c r="P1069" i="1"/>
  <c r="E1069" i="1"/>
  <c r="S1068" i="1"/>
  <c r="G1068" i="1"/>
  <c r="W1067" i="1"/>
  <c r="J1067" i="1"/>
  <c r="AU1066" i="1"/>
  <c r="H1066" i="1"/>
  <c r="Z1065" i="1"/>
  <c r="J1065" i="1"/>
  <c r="AU1064" i="1"/>
  <c r="O1064" i="1"/>
  <c r="D1064" i="1"/>
  <c r="Q1063" i="1"/>
  <c r="F1063" i="1"/>
  <c r="U1062" i="1"/>
  <c r="H1062" i="1"/>
  <c r="Z1061" i="1"/>
  <c r="F1061" i="1"/>
  <c r="U1060" i="1"/>
  <c r="I1060" i="1"/>
  <c r="AN1059" i="1"/>
  <c r="L1059" i="1"/>
  <c r="C1059" i="1"/>
  <c r="P1058" i="1"/>
  <c r="E1058" i="1"/>
  <c r="S1057" i="1"/>
  <c r="H1057" i="1"/>
  <c r="Z1056" i="1"/>
  <c r="J1056" i="1"/>
  <c r="AU1055" i="1"/>
  <c r="O1055" i="1"/>
  <c r="D1055" i="1"/>
  <c r="Q1054" i="1"/>
  <c r="F1054" i="1"/>
  <c r="U1053" i="1"/>
  <c r="H1053" i="1"/>
  <c r="Z1052" i="1"/>
  <c r="J1052" i="1"/>
  <c r="AU1051" i="1"/>
  <c r="O1051" i="1"/>
  <c r="D1051" i="1"/>
  <c r="Q1050" i="1"/>
  <c r="F1050" i="1"/>
  <c r="U1049" i="1"/>
  <c r="H1049" i="1"/>
  <c r="Z1048" i="1"/>
  <c r="J1048" i="1"/>
  <c r="AU1047" i="1"/>
  <c r="O1047" i="1"/>
  <c r="D1047" i="1"/>
  <c r="J1046" i="1"/>
  <c r="AU1045" i="1"/>
  <c r="P1045" i="1"/>
  <c r="E1045" i="1"/>
  <c r="L1044" i="1"/>
  <c r="C1044" i="1"/>
  <c r="I1043" i="1"/>
  <c r="AN1042" i="1"/>
  <c r="G1042" i="1"/>
  <c r="W1041" i="1"/>
  <c r="F1041" i="1"/>
  <c r="U1040" i="1"/>
  <c r="H1040" i="1"/>
  <c r="Z1039" i="1"/>
  <c r="J1039" i="1"/>
  <c r="AU1038" i="1"/>
  <c r="P1038" i="1"/>
  <c r="E1038" i="1"/>
  <c r="L1037" i="1"/>
  <c r="C1037" i="1"/>
  <c r="P1036" i="1"/>
  <c r="E1036" i="1"/>
  <c r="S1035" i="1"/>
  <c r="G1035" i="1"/>
  <c r="W1034" i="1"/>
  <c r="I1034" i="1"/>
  <c r="AN1033" i="1"/>
  <c r="J1033" i="1"/>
  <c r="AU1032" i="1"/>
  <c r="O1032" i="1"/>
  <c r="D1032" i="1"/>
  <c r="J1031" i="1"/>
  <c r="AU1030" i="1"/>
  <c r="P1030" i="1"/>
  <c r="E1030" i="1"/>
  <c r="S1029" i="1"/>
  <c r="G1029" i="1"/>
  <c r="W1028" i="1"/>
  <c r="I1028" i="1"/>
  <c r="AN1027" i="1"/>
  <c r="O1027" i="1"/>
  <c r="D1027" i="1"/>
  <c r="Q1026" i="1"/>
  <c r="F1026" i="1"/>
  <c r="U1025" i="1"/>
  <c r="H1025" i="1"/>
  <c r="Z1024" i="1"/>
  <c r="J1024" i="1"/>
  <c r="AU1023" i="1"/>
  <c r="L1023" i="1"/>
  <c r="C1023" i="1"/>
  <c r="P1022" i="1"/>
  <c r="E1022" i="1"/>
  <c r="S1021" i="1"/>
  <c r="G1021" i="1"/>
  <c r="W1020" i="1"/>
  <c r="I1020" i="1"/>
  <c r="AN1019" i="1"/>
  <c r="L1019" i="1"/>
  <c r="C1019" i="1"/>
  <c r="P1018" i="1"/>
  <c r="E1018" i="1"/>
  <c r="S1017" i="1"/>
  <c r="G1017" i="1"/>
  <c r="U1074" i="1"/>
  <c r="I1074" i="1"/>
  <c r="AN1073" i="1"/>
  <c r="G1073" i="1"/>
  <c r="U1072" i="1"/>
  <c r="E1072" i="1"/>
  <c r="L1071" i="1"/>
  <c r="C1071" i="1"/>
  <c r="J1070" i="1"/>
  <c r="AU1069" i="1"/>
  <c r="O1069" i="1"/>
  <c r="D1069" i="1"/>
  <c r="Q1068" i="1"/>
  <c r="F1068" i="1"/>
  <c r="U1067" i="1"/>
  <c r="I1067" i="1"/>
  <c r="AN1066" i="1"/>
  <c r="G1066" i="1"/>
  <c r="W1065" i="1"/>
  <c r="I1065" i="1"/>
  <c r="AN1064" i="1"/>
  <c r="L1064" i="1"/>
  <c r="C1064" i="1"/>
  <c r="P1063" i="1"/>
  <c r="E1063" i="1"/>
  <c r="S1062" i="1"/>
  <c r="G1062" i="1"/>
  <c r="U1061" i="1"/>
  <c r="E1061" i="1"/>
  <c r="S1060" i="1"/>
  <c r="H1060" i="1"/>
  <c r="Z1059" i="1"/>
  <c r="J1059" i="1"/>
  <c r="AU1058" i="1"/>
  <c r="O1058" i="1"/>
  <c r="D1058" i="1"/>
  <c r="R1057" i="1"/>
  <c r="G1057" i="1"/>
  <c r="W1056" i="1"/>
  <c r="I1056" i="1"/>
  <c r="AN1055" i="1"/>
  <c r="L1055" i="1"/>
  <c r="C1055" i="1"/>
  <c r="P1054" i="1"/>
  <c r="E1054" i="1"/>
  <c r="S1053" i="1"/>
  <c r="G1053" i="1"/>
  <c r="W1052" i="1"/>
  <c r="I1052" i="1"/>
  <c r="AN1051" i="1"/>
  <c r="L1051" i="1"/>
  <c r="C1051" i="1"/>
  <c r="P1050" i="1"/>
  <c r="E1050" i="1"/>
  <c r="S1049" i="1"/>
  <c r="G1049" i="1"/>
  <c r="W1048" i="1"/>
  <c r="I1048" i="1"/>
  <c r="AN1047" i="1"/>
  <c r="L1047" i="1"/>
  <c r="C1047" i="1"/>
  <c r="I1046" i="1"/>
  <c r="AN1045" i="1"/>
  <c r="O1045" i="1"/>
  <c r="D1045" i="1"/>
  <c r="J1044" i="1"/>
  <c r="AU1043" i="1"/>
  <c r="H1043" i="1"/>
  <c r="Z1042" i="1"/>
  <c r="F1042" i="1"/>
  <c r="U1041" i="1"/>
  <c r="E1041" i="1"/>
  <c r="S1040" i="1"/>
  <c r="G1040" i="1"/>
  <c r="W1039" i="1"/>
  <c r="I1039" i="1"/>
  <c r="AN1038" i="1"/>
  <c r="O1038" i="1"/>
  <c r="D1038" i="1"/>
  <c r="J1037" i="1"/>
  <c r="AU1036" i="1"/>
  <c r="O1036" i="1"/>
  <c r="D1036" i="1"/>
  <c r="Q1035" i="1"/>
  <c r="F1035" i="1"/>
  <c r="U1034" i="1"/>
  <c r="H1034" i="1"/>
  <c r="Z1033" i="1"/>
  <c r="I1033" i="1"/>
  <c r="AN1032" i="1"/>
  <c r="L1032" i="1"/>
  <c r="C1032" i="1"/>
  <c r="I1031" i="1"/>
  <c r="AN1030" i="1"/>
  <c r="O1030" i="1"/>
  <c r="D1030" i="1"/>
  <c r="Q1029" i="1"/>
  <c r="F1029" i="1"/>
  <c r="U1028" i="1"/>
  <c r="H1028" i="1"/>
  <c r="Z1027" i="1"/>
  <c r="L1027" i="1"/>
  <c r="C1027" i="1"/>
  <c r="P1026" i="1"/>
  <c r="E1026" i="1"/>
  <c r="S1025" i="1"/>
  <c r="G1025" i="1"/>
  <c r="W1024" i="1"/>
  <c r="I1024" i="1"/>
  <c r="AN1023" i="1"/>
  <c r="J1023" i="1"/>
  <c r="AU1022" i="1"/>
  <c r="O1022" i="1"/>
  <c r="D1022" i="1"/>
  <c r="Q1021" i="1"/>
  <c r="F1021" i="1"/>
  <c r="U1020" i="1"/>
  <c r="H1020" i="1"/>
  <c r="Z1019" i="1"/>
  <c r="J1019" i="1"/>
  <c r="AU1018" i="1"/>
  <c r="O1018" i="1"/>
  <c r="D1018" i="1"/>
  <c r="Q1017" i="1"/>
  <c r="F1017" i="1"/>
  <c r="U1016" i="1"/>
  <c r="H1016" i="1"/>
  <c r="S1074" i="1"/>
  <c r="H1074" i="1"/>
  <c r="Z1073" i="1"/>
  <c r="F1073" i="1"/>
  <c r="S1072" i="1"/>
  <c r="D1072" i="1"/>
  <c r="J1071" i="1"/>
  <c r="AU1070" i="1"/>
  <c r="I1070" i="1"/>
  <c r="AN1069" i="1"/>
  <c r="L1069" i="1"/>
  <c r="C1069" i="1"/>
  <c r="P1068" i="1"/>
  <c r="E1068" i="1"/>
  <c r="S1067" i="1"/>
  <c r="H1067" i="1"/>
  <c r="Z1066" i="1"/>
  <c r="F1066" i="1"/>
  <c r="U1065" i="1"/>
  <c r="H1065" i="1"/>
  <c r="Z1064" i="1"/>
  <c r="J1064" i="1"/>
  <c r="AU1063" i="1"/>
  <c r="O1063" i="1"/>
  <c r="D1063" i="1"/>
  <c r="Q1062" i="1"/>
  <c r="F1062" i="1"/>
  <c r="S1061" i="1"/>
  <c r="D1061" i="1"/>
  <c r="R1060" i="1"/>
  <c r="G1060" i="1"/>
  <c r="W1059" i="1"/>
  <c r="I1059" i="1"/>
  <c r="AN1058" i="1"/>
  <c r="L1058" i="1"/>
  <c r="C1058" i="1"/>
  <c r="Q1057" i="1"/>
  <c r="F1057" i="1"/>
  <c r="U1056" i="1"/>
  <c r="H1056" i="1"/>
  <c r="Z1055" i="1"/>
  <c r="J1055" i="1"/>
  <c r="AU1054" i="1"/>
  <c r="O1054" i="1"/>
  <c r="D1054" i="1"/>
  <c r="Q1053" i="1"/>
  <c r="F1053" i="1"/>
  <c r="U1052" i="1"/>
  <c r="H1052" i="1"/>
  <c r="Z1051" i="1"/>
  <c r="J1051" i="1"/>
  <c r="AU1050" i="1"/>
  <c r="O1050" i="1"/>
  <c r="D1050" i="1"/>
  <c r="Q1049" i="1"/>
  <c r="F1049" i="1"/>
  <c r="U1048" i="1"/>
  <c r="H1048" i="1"/>
  <c r="Z1047" i="1"/>
  <c r="J1047" i="1"/>
  <c r="AU1046" i="1"/>
  <c r="H1046" i="1"/>
  <c r="Z1045" i="1"/>
  <c r="L1045" i="1"/>
  <c r="C1045" i="1"/>
  <c r="I1044" i="1"/>
  <c r="AN1043" i="1"/>
  <c r="G1043" i="1"/>
  <c r="U1042" i="1"/>
  <c r="E1042" i="1"/>
  <c r="S1041" i="1"/>
  <c r="D1041" i="1"/>
  <c r="Q1040" i="1"/>
  <c r="F1040" i="1"/>
  <c r="U1039" i="1"/>
  <c r="H1039" i="1"/>
  <c r="Z1038" i="1"/>
  <c r="L1038" i="1"/>
  <c r="C1038" i="1"/>
  <c r="I1037" i="1"/>
  <c r="AN1036" i="1"/>
  <c r="L1036" i="1"/>
  <c r="C1036" i="1"/>
  <c r="P1035" i="1"/>
  <c r="E1035" i="1"/>
  <c r="S1034" i="1"/>
  <c r="G1034" i="1"/>
  <c r="W1033" i="1"/>
  <c r="R1074" i="1"/>
  <c r="G1074" i="1"/>
  <c r="U1073" i="1"/>
  <c r="E1073" i="1"/>
  <c r="L1072" i="1"/>
  <c r="C1072" i="1"/>
  <c r="I1071" i="1"/>
  <c r="AN1070" i="1"/>
  <c r="H1070" i="1"/>
  <c r="Z1069" i="1"/>
  <c r="J1069" i="1"/>
  <c r="AU1068" i="1"/>
  <c r="O1068" i="1"/>
  <c r="D1068" i="1"/>
  <c r="R1067" i="1"/>
  <c r="G1067" i="1"/>
  <c r="U1066" i="1"/>
  <c r="E1066" i="1"/>
  <c r="S1065" i="1"/>
  <c r="G1065" i="1"/>
  <c r="W1064" i="1"/>
  <c r="I1064" i="1"/>
  <c r="AN1063" i="1"/>
  <c r="L1063" i="1"/>
  <c r="C1063" i="1"/>
  <c r="P1062" i="1"/>
  <c r="E1062" i="1"/>
  <c r="L1061" i="1"/>
  <c r="C1061" i="1"/>
  <c r="Q1060" i="1"/>
  <c r="F1060" i="1"/>
  <c r="U1059" i="1"/>
  <c r="H1059" i="1"/>
  <c r="Z1058" i="1"/>
  <c r="J1058" i="1"/>
  <c r="AU1057" i="1"/>
  <c r="P1057" i="1"/>
  <c r="E1057" i="1"/>
  <c r="S1056" i="1"/>
  <c r="G1056" i="1"/>
  <c r="W1055" i="1"/>
  <c r="I1055" i="1"/>
  <c r="AN1054" i="1"/>
  <c r="L1054" i="1"/>
  <c r="C1054" i="1"/>
  <c r="P1053" i="1"/>
  <c r="E1053" i="1"/>
  <c r="S1052" i="1"/>
  <c r="G1052" i="1"/>
  <c r="W1051" i="1"/>
  <c r="I1051" i="1"/>
  <c r="AN1050" i="1"/>
  <c r="L1050" i="1"/>
  <c r="C1050" i="1"/>
  <c r="P1049" i="1"/>
  <c r="E1049" i="1"/>
  <c r="S1048" i="1"/>
  <c r="G1048" i="1"/>
  <c r="W1047" i="1"/>
  <c r="I1047" i="1"/>
  <c r="AN1046" i="1"/>
  <c r="G1046" i="1"/>
  <c r="W1045" i="1"/>
  <c r="J1045" i="1"/>
  <c r="AU1044" i="1"/>
  <c r="H1044" i="1"/>
  <c r="Z1043" i="1"/>
  <c r="F1043" i="1"/>
  <c r="S1042" i="1"/>
  <c r="D1042" i="1"/>
  <c r="L1041" i="1"/>
  <c r="C1041" i="1"/>
  <c r="P1040" i="1"/>
  <c r="E1040" i="1"/>
  <c r="S1039" i="1"/>
  <c r="G1039" i="1"/>
  <c r="W1038" i="1"/>
  <c r="J1038" i="1"/>
  <c r="AU1037" i="1"/>
  <c r="H1037" i="1"/>
  <c r="Z1036" i="1"/>
  <c r="J1036" i="1"/>
  <c r="AU1035" i="1"/>
  <c r="O1035" i="1"/>
  <c r="D1035" i="1"/>
  <c r="Q1034" i="1"/>
  <c r="F1034" i="1"/>
  <c r="U1033" i="1"/>
  <c r="G1033" i="1"/>
  <c r="W1032" i="1"/>
  <c r="I1032" i="1"/>
  <c r="AN1031" i="1"/>
  <c r="G1031" i="1"/>
  <c r="W1030" i="1"/>
  <c r="J1030" i="1"/>
  <c r="AU1029" i="1"/>
  <c r="O1029" i="1"/>
  <c r="D1029" i="1"/>
  <c r="Q1028" i="1"/>
  <c r="F1028" i="1"/>
  <c r="U1027" i="1"/>
  <c r="I1027" i="1"/>
  <c r="AN1026" i="1"/>
  <c r="L1026" i="1"/>
  <c r="C1026" i="1"/>
  <c r="P1025" i="1"/>
  <c r="Q1074" i="1"/>
  <c r="J1072" i="1"/>
  <c r="G1070" i="1"/>
  <c r="L1068" i="1"/>
  <c r="S1066" i="1"/>
  <c r="U1064" i="1"/>
  <c r="AU1062" i="1"/>
  <c r="AU1060" i="1"/>
  <c r="G1059" i="1"/>
  <c r="O1057" i="1"/>
  <c r="U1055" i="1"/>
  <c r="AU1053" i="1"/>
  <c r="F1052" i="1"/>
  <c r="J1050" i="1"/>
  <c r="D1049" i="1"/>
  <c r="C1048" i="1"/>
  <c r="S1046" i="1"/>
  <c r="I1045" i="1"/>
  <c r="D1044" i="1"/>
  <c r="I1042" i="1"/>
  <c r="AU1040" i="1"/>
  <c r="AN1039" i="1"/>
  <c r="R1038" i="1"/>
  <c r="G1037" i="1"/>
  <c r="F1036" i="1"/>
  <c r="AN1034" i="1"/>
  <c r="S1033" i="1"/>
  <c r="U1032" i="1"/>
  <c r="Z1031" i="1"/>
  <c r="U1030" i="1"/>
  <c r="AN1029" i="1"/>
  <c r="C1029" i="1"/>
  <c r="E1028" i="1"/>
  <c r="H1027" i="1"/>
  <c r="J1026" i="1"/>
  <c r="O1025" i="1"/>
  <c r="U1024" i="1"/>
  <c r="D1024" i="1"/>
  <c r="H1023" i="1"/>
  <c r="Q1022" i="1"/>
  <c r="AN1021" i="1"/>
  <c r="E1021" i="1"/>
  <c r="L1020" i="1"/>
  <c r="U1019" i="1"/>
  <c r="D1019" i="1"/>
  <c r="I1018" i="1"/>
  <c r="P1017" i="1"/>
  <c r="AN1016" i="1"/>
  <c r="J1016" i="1"/>
  <c r="AN1015" i="1"/>
  <c r="G1015" i="1"/>
  <c r="W1014" i="1"/>
  <c r="I1014" i="1"/>
  <c r="AN1013" i="1"/>
  <c r="L1013" i="1"/>
  <c r="C1013" i="1"/>
  <c r="I1012" i="1"/>
  <c r="AN1011" i="1"/>
  <c r="G1011" i="1"/>
  <c r="W1010" i="1"/>
  <c r="I1010" i="1"/>
  <c r="AN1009" i="1"/>
  <c r="L1009" i="1"/>
  <c r="C1009" i="1"/>
  <c r="P1008" i="1"/>
  <c r="E1008" i="1"/>
  <c r="S1007" i="1"/>
  <c r="G1007" i="1"/>
  <c r="W1006" i="1"/>
  <c r="I1006" i="1"/>
  <c r="AN1005" i="1"/>
  <c r="L1005" i="1"/>
  <c r="C1005" i="1"/>
  <c r="P1004" i="1"/>
  <c r="E1004" i="1"/>
  <c r="S1003" i="1"/>
  <c r="G1003" i="1"/>
  <c r="W1002" i="1"/>
  <c r="I1002" i="1"/>
  <c r="AN1001" i="1"/>
  <c r="L1001" i="1"/>
  <c r="C1001" i="1"/>
  <c r="P1000" i="1"/>
  <c r="E1000" i="1"/>
  <c r="S999" i="1"/>
  <c r="G999" i="1"/>
  <c r="W998" i="1"/>
  <c r="I998" i="1"/>
  <c r="AN997" i="1"/>
  <c r="L997" i="1"/>
  <c r="C997" i="1"/>
  <c r="P996" i="1"/>
  <c r="E996" i="1"/>
  <c r="S995" i="1"/>
  <c r="G995" i="1"/>
  <c r="W994" i="1"/>
  <c r="I994" i="1"/>
  <c r="AN993" i="1"/>
  <c r="L993" i="1"/>
  <c r="C993" i="1"/>
  <c r="I992" i="1"/>
  <c r="AN991" i="1"/>
  <c r="G991" i="1"/>
  <c r="U990" i="1"/>
  <c r="E990" i="1"/>
  <c r="L989" i="1"/>
  <c r="C989" i="1"/>
  <c r="J988" i="1"/>
  <c r="AU987" i="1"/>
  <c r="H987" i="1"/>
  <c r="Z986" i="1"/>
  <c r="F986" i="1"/>
  <c r="S985" i="1"/>
  <c r="D985" i="1"/>
  <c r="R984" i="1"/>
  <c r="G984" i="1"/>
  <c r="O1074" i="1"/>
  <c r="H1072" i="1"/>
  <c r="E1070" i="1"/>
  <c r="I1068" i="1"/>
  <c r="J1066" i="1"/>
  <c r="Q1064" i="1"/>
  <c r="Z1062" i="1"/>
  <c r="Z1060" i="1"/>
  <c r="E1059" i="1"/>
  <c r="J1057" i="1"/>
  <c r="Q1055" i="1"/>
  <c r="Z1053" i="1"/>
  <c r="D1052" i="1"/>
  <c r="H1050" i="1"/>
  <c r="AU1048" i="1"/>
  <c r="U1047" i="1"/>
  <c r="L1046" i="1"/>
  <c r="G1045" i="1"/>
  <c r="U1043" i="1"/>
  <c r="H1042" i="1"/>
  <c r="Z1040" i="1"/>
  <c r="Q1039" i="1"/>
  <c r="Q1038" i="1"/>
  <c r="E1037" i="1"/>
  <c r="AN1035" i="1"/>
  <c r="Z1034" i="1"/>
  <c r="Q1033" i="1"/>
  <c r="Q1032" i="1"/>
  <c r="S1031" i="1"/>
  <c r="R1030" i="1"/>
  <c r="W1029" i="1"/>
  <c r="AN1028" i="1"/>
  <c r="C1028" i="1"/>
  <c r="F1027" i="1"/>
  <c r="H1026" i="1"/>
  <c r="J1025" i="1"/>
  <c r="S1024" i="1"/>
  <c r="C1024" i="1"/>
  <c r="G1023" i="1"/>
  <c r="L1022" i="1"/>
  <c r="W1021" i="1"/>
  <c r="D1021" i="1"/>
  <c r="J1020" i="1"/>
  <c r="S1019" i="1"/>
  <c r="AN1018" i="1"/>
  <c r="G1018" i="1"/>
  <c r="O1017" i="1"/>
  <c r="Z1016" i="1"/>
  <c r="I1016" i="1"/>
  <c r="Z1015" i="1"/>
  <c r="F1015" i="1"/>
  <c r="U1014" i="1"/>
  <c r="H1014" i="1"/>
  <c r="F1074" i="1"/>
  <c r="AU1071" i="1"/>
  <c r="W1069" i="1"/>
  <c r="C1068" i="1"/>
  <c r="D1066" i="1"/>
  <c r="H1064" i="1"/>
  <c r="O1062" i="1"/>
  <c r="P1060" i="1"/>
  <c r="W1058" i="1"/>
  <c r="D1057" i="1"/>
  <c r="H1055" i="1"/>
  <c r="O1053" i="1"/>
  <c r="U1051" i="1"/>
  <c r="AU1049" i="1"/>
  <c r="AN1048" i="1"/>
  <c r="Q1047" i="1"/>
  <c r="F1046" i="1"/>
  <c r="F1045" i="1"/>
  <c r="L1043" i="1"/>
  <c r="C1042" i="1"/>
  <c r="W1040" i="1"/>
  <c r="O1039" i="1"/>
  <c r="I1038" i="1"/>
  <c r="D1037" i="1"/>
  <c r="W1035" i="1"/>
  <c r="P1034" i="1"/>
  <c r="L1033" i="1"/>
  <c r="P1032" i="1"/>
  <c r="L1031" i="1"/>
  <c r="Q1030" i="1"/>
  <c r="U1029" i="1"/>
  <c r="Z1028" i="1"/>
  <c r="AU1027" i="1"/>
  <c r="E1027" i="1"/>
  <c r="G1026" i="1"/>
  <c r="I1025" i="1"/>
  <c r="Q1024" i="1"/>
  <c r="Z1023" i="1"/>
  <c r="E1023" i="1"/>
  <c r="J1022" i="1"/>
  <c r="U1021" i="1"/>
  <c r="C1021" i="1"/>
  <c r="G1020" i="1"/>
  <c r="P1019" i="1"/>
  <c r="Z1018" i="1"/>
  <c r="F1018" i="1"/>
  <c r="L1017" i="1"/>
  <c r="W1016" i="1"/>
  <c r="G1016" i="1"/>
  <c r="U1015" i="1"/>
  <c r="E1015" i="1"/>
  <c r="S1014" i="1"/>
  <c r="G1014" i="1"/>
  <c r="W1013" i="1"/>
  <c r="I1013" i="1"/>
  <c r="AN1012" i="1"/>
  <c r="G1012" i="1"/>
  <c r="U1011" i="1"/>
  <c r="E1011" i="1"/>
  <c r="S1010" i="1"/>
  <c r="G1010" i="1"/>
  <c r="W1009" i="1"/>
  <c r="I1009" i="1"/>
  <c r="AN1008" i="1"/>
  <c r="L1008" i="1"/>
  <c r="C1008" i="1"/>
  <c r="P1007" i="1"/>
  <c r="E1007" i="1"/>
  <c r="S1006" i="1"/>
  <c r="G1006" i="1"/>
  <c r="W1005" i="1"/>
  <c r="I1005" i="1"/>
  <c r="AN1004" i="1"/>
  <c r="L1004" i="1"/>
  <c r="C1004" i="1"/>
  <c r="P1003" i="1"/>
  <c r="E1003" i="1"/>
  <c r="S1002" i="1"/>
  <c r="G1002" i="1"/>
  <c r="W1001" i="1"/>
  <c r="I1001" i="1"/>
  <c r="AN1000" i="1"/>
  <c r="L1000" i="1"/>
  <c r="C1000" i="1"/>
  <c r="P999" i="1"/>
  <c r="E999" i="1"/>
  <c r="S998" i="1"/>
  <c r="G998" i="1"/>
  <c r="W997" i="1"/>
  <c r="I997" i="1"/>
  <c r="AN996" i="1"/>
  <c r="L996" i="1"/>
  <c r="C996" i="1"/>
  <c r="P995" i="1"/>
  <c r="E995" i="1"/>
  <c r="S994" i="1"/>
  <c r="G994" i="1"/>
  <c r="W993" i="1"/>
  <c r="I993" i="1"/>
  <c r="AN992" i="1"/>
  <c r="G992" i="1"/>
  <c r="U991" i="1"/>
  <c r="E991" i="1"/>
  <c r="L990" i="1"/>
  <c r="C990" i="1"/>
  <c r="I989" i="1"/>
  <c r="AN988" i="1"/>
  <c r="H988" i="1"/>
  <c r="Z987" i="1"/>
  <c r="F987" i="1"/>
  <c r="S986" i="1"/>
  <c r="D986" i="1"/>
  <c r="J985" i="1"/>
  <c r="AU984" i="1"/>
  <c r="P984" i="1"/>
  <c r="E984" i="1"/>
  <c r="L983" i="1"/>
  <c r="C983" i="1"/>
  <c r="I982" i="1"/>
  <c r="AN981" i="1"/>
  <c r="G981" i="1"/>
  <c r="W980" i="1"/>
  <c r="F980" i="1"/>
  <c r="U979" i="1"/>
  <c r="H979" i="1"/>
  <c r="Z978" i="1"/>
  <c r="J978" i="1"/>
  <c r="D1074" i="1"/>
  <c r="Z1071" i="1"/>
  <c r="S1069" i="1"/>
  <c r="AN1067" i="1"/>
  <c r="AU1065" i="1"/>
  <c r="F1064" i="1"/>
  <c r="J1062" i="1"/>
  <c r="L1060" i="1"/>
  <c r="S1058" i="1"/>
  <c r="AU1056" i="1"/>
  <c r="F1055" i="1"/>
  <c r="J1053" i="1"/>
  <c r="Q1051" i="1"/>
  <c r="Z1049" i="1"/>
  <c r="Q1048" i="1"/>
  <c r="P1047" i="1"/>
  <c r="D1046" i="1"/>
  <c r="AN1044" i="1"/>
  <c r="J1043" i="1"/>
  <c r="AN1041" i="1"/>
  <c r="O1040" i="1"/>
  <c r="L1039" i="1"/>
  <c r="G1038" i="1"/>
  <c r="W1036" i="1"/>
  <c r="U1035" i="1"/>
  <c r="L1034" i="1"/>
  <c r="H1033" i="1"/>
  <c r="J1032" i="1"/>
  <c r="H1031" i="1"/>
  <c r="L1030" i="1"/>
  <c r="P1029" i="1"/>
  <c r="S1028" i="1"/>
  <c r="W1027" i="1"/>
  <c r="AU1026" i="1"/>
  <c r="D1026" i="1"/>
  <c r="F1025" i="1"/>
  <c r="O1024" i="1"/>
  <c r="W1023" i="1"/>
  <c r="D1023" i="1"/>
  <c r="I1022" i="1"/>
  <c r="P1021" i="1"/>
  <c r="AN1020" i="1"/>
  <c r="F1020" i="1"/>
  <c r="O1019" i="1"/>
  <c r="W1018" i="1"/>
  <c r="C1018" i="1"/>
  <c r="I1017" i="1"/>
  <c r="S1016" i="1"/>
  <c r="F1016" i="1"/>
  <c r="S1015" i="1"/>
  <c r="D1015" i="1"/>
  <c r="Q1014" i="1"/>
  <c r="F1014" i="1"/>
  <c r="S1073" i="1"/>
  <c r="H1071" i="1"/>
  <c r="I1069" i="1"/>
  <c r="Q1067" i="1"/>
  <c r="Q1065" i="1"/>
  <c r="Z1063" i="1"/>
  <c r="D1062" i="1"/>
  <c r="E1060" i="1"/>
  <c r="I1058" i="1"/>
  <c r="Q1056" i="1"/>
  <c r="Z1054" i="1"/>
  <c r="D1053" i="1"/>
  <c r="H1051" i="1"/>
  <c r="W1049" i="1"/>
  <c r="O1048" i="1"/>
  <c r="H1047" i="1"/>
  <c r="C1046" i="1"/>
  <c r="U1044" i="1"/>
  <c r="E1043" i="1"/>
  <c r="Z1041" i="1"/>
  <c r="J1040" i="1"/>
  <c r="F1039" i="1"/>
  <c r="F1038" i="1"/>
  <c r="S1036" i="1"/>
  <c r="L1035" i="1"/>
  <c r="J1034" i="1"/>
  <c r="F1033" i="1"/>
  <c r="H1032" i="1"/>
  <c r="F1031" i="1"/>
  <c r="I1030" i="1"/>
  <c r="L1029" i="1"/>
  <c r="P1028" i="1"/>
  <c r="S1027" i="1"/>
  <c r="Z1026" i="1"/>
  <c r="AU1025" i="1"/>
  <c r="E1025" i="1"/>
  <c r="L1024" i="1"/>
  <c r="U1023" i="1"/>
  <c r="AN1022" i="1"/>
  <c r="G1022" i="1"/>
  <c r="O1021" i="1"/>
  <c r="Z1020" i="1"/>
  <c r="E1020" i="1"/>
  <c r="I1019" i="1"/>
  <c r="S1018" i="1"/>
  <c r="AU1017" i="1"/>
  <c r="H1017" i="1"/>
  <c r="Q1016" i="1"/>
  <c r="E1016" i="1"/>
  <c r="L1015" i="1"/>
  <c r="C1015" i="1"/>
  <c r="P1014" i="1"/>
  <c r="E1014" i="1"/>
  <c r="S1013" i="1"/>
  <c r="G1013" i="1"/>
  <c r="U1012" i="1"/>
  <c r="E1012" i="1"/>
  <c r="L1011" i="1"/>
  <c r="C1011" i="1"/>
  <c r="P1010" i="1"/>
  <c r="E1010" i="1"/>
  <c r="S1009" i="1"/>
  <c r="G1009" i="1"/>
  <c r="W1008" i="1"/>
  <c r="I1008" i="1"/>
  <c r="AN1007" i="1"/>
  <c r="L1007" i="1"/>
  <c r="C1007" i="1"/>
  <c r="P1006" i="1"/>
  <c r="E1006" i="1"/>
  <c r="S1005" i="1"/>
  <c r="G1005" i="1"/>
  <c r="W1004" i="1"/>
  <c r="I1004" i="1"/>
  <c r="AN1003" i="1"/>
  <c r="L1003" i="1"/>
  <c r="C1003" i="1"/>
  <c r="P1002" i="1"/>
  <c r="E1002" i="1"/>
  <c r="S1001" i="1"/>
  <c r="G1001" i="1"/>
  <c r="W1000" i="1"/>
  <c r="I1000" i="1"/>
  <c r="AN999" i="1"/>
  <c r="L999" i="1"/>
  <c r="C999" i="1"/>
  <c r="P998" i="1"/>
  <c r="E998" i="1"/>
  <c r="S997" i="1"/>
  <c r="G997" i="1"/>
  <c r="W996" i="1"/>
  <c r="I996" i="1"/>
  <c r="AN995" i="1"/>
  <c r="L995" i="1"/>
  <c r="C995" i="1"/>
  <c r="P994" i="1"/>
  <c r="E994" i="1"/>
  <c r="S993" i="1"/>
  <c r="G993" i="1"/>
  <c r="U992" i="1"/>
  <c r="E992" i="1"/>
  <c r="L991" i="1"/>
  <c r="C991" i="1"/>
  <c r="I990" i="1"/>
  <c r="AN989" i="1"/>
  <c r="G989" i="1"/>
  <c r="W988" i="1"/>
  <c r="F988" i="1"/>
  <c r="S987" i="1"/>
  <c r="D987" i="1"/>
  <c r="J986" i="1"/>
  <c r="AU985" i="1"/>
  <c r="H985" i="1"/>
  <c r="Z984" i="1"/>
  <c r="L984" i="1"/>
  <c r="C984" i="1"/>
  <c r="I983" i="1"/>
  <c r="AN982" i="1"/>
  <c r="J1073" i="1"/>
  <c r="F1071" i="1"/>
  <c r="G1069" i="1"/>
  <c r="O1067" i="1"/>
  <c r="O1065" i="1"/>
  <c r="U1063" i="1"/>
  <c r="AU1061" i="1"/>
  <c r="C1060" i="1"/>
  <c r="G1058" i="1"/>
  <c r="O1056" i="1"/>
  <c r="U1054" i="1"/>
  <c r="AU1052" i="1"/>
  <c r="F1051" i="1"/>
  <c r="O1049" i="1"/>
  <c r="L1048" i="1"/>
  <c r="F1047" i="1"/>
  <c r="U1045" i="1"/>
  <c r="S1044" i="1"/>
  <c r="C1043" i="1"/>
  <c r="J1041" i="1"/>
  <c r="I1040" i="1"/>
  <c r="D1039" i="1"/>
  <c r="AN1037" i="1"/>
  <c r="Q1036" i="1"/>
  <c r="I1035" i="1"/>
  <c r="E1034" i="1"/>
  <c r="D1033" i="1"/>
  <c r="F1032" i="1"/>
  <c r="D1031" i="1"/>
  <c r="G1030" i="1"/>
  <c r="I1029" i="1"/>
  <c r="L1028" i="1"/>
  <c r="Q1027" i="1"/>
  <c r="U1026" i="1"/>
  <c r="Z1025" i="1"/>
  <c r="D1025" i="1"/>
  <c r="H1024" i="1"/>
  <c r="R1023" i="1"/>
  <c r="Z1022" i="1"/>
  <c r="F1022" i="1"/>
  <c r="L1021" i="1"/>
  <c r="S1020" i="1"/>
  <c r="C1020" i="1"/>
  <c r="H1019" i="1"/>
  <c r="Q1018" i="1"/>
  <c r="AN1017" i="1"/>
  <c r="E1017" i="1"/>
  <c r="P1016" i="1"/>
  <c r="D1016" i="1"/>
  <c r="J1015" i="1"/>
  <c r="AU1014" i="1"/>
  <c r="O1014" i="1"/>
  <c r="D1014" i="1"/>
  <c r="Q1013" i="1"/>
  <c r="F1013" i="1"/>
  <c r="S1012" i="1"/>
  <c r="D1012" i="1"/>
  <c r="J1011" i="1"/>
  <c r="AU1010" i="1"/>
  <c r="O1010" i="1"/>
  <c r="D1010" i="1"/>
  <c r="Q1009" i="1"/>
  <c r="F1009" i="1"/>
  <c r="U1008" i="1"/>
  <c r="H1008" i="1"/>
  <c r="Z1007" i="1"/>
  <c r="J1007" i="1"/>
  <c r="AU1006" i="1"/>
  <c r="O1006" i="1"/>
  <c r="D1006" i="1"/>
  <c r="Q1005" i="1"/>
  <c r="F1005" i="1"/>
  <c r="U1004" i="1"/>
  <c r="H1004" i="1"/>
  <c r="Z1003" i="1"/>
  <c r="J1003" i="1"/>
  <c r="AU1002" i="1"/>
  <c r="O1002" i="1"/>
  <c r="D1002" i="1"/>
  <c r="Q1001" i="1"/>
  <c r="F1001" i="1"/>
  <c r="U1000" i="1"/>
  <c r="H1000" i="1"/>
  <c r="Z999" i="1"/>
  <c r="J999" i="1"/>
  <c r="AU998" i="1"/>
  <c r="O998" i="1"/>
  <c r="D998" i="1"/>
  <c r="Q997" i="1"/>
  <c r="F997" i="1"/>
  <c r="U996" i="1"/>
  <c r="H996" i="1"/>
  <c r="Z995" i="1"/>
  <c r="J995" i="1"/>
  <c r="AU994" i="1"/>
  <c r="O994" i="1"/>
  <c r="D994" i="1"/>
  <c r="Q993" i="1"/>
  <c r="F993" i="1"/>
  <c r="S992" i="1"/>
  <c r="D992" i="1"/>
  <c r="J991" i="1"/>
  <c r="AU990" i="1"/>
  <c r="H990" i="1"/>
  <c r="Z989" i="1"/>
  <c r="F989" i="1"/>
  <c r="U988" i="1"/>
  <c r="E988" i="1"/>
  <c r="L987" i="1"/>
  <c r="C987" i="1"/>
  <c r="I986" i="1"/>
  <c r="AN985" i="1"/>
  <c r="D1073" i="1"/>
  <c r="Z1070" i="1"/>
  <c r="AN1068" i="1"/>
  <c r="F1067" i="1"/>
  <c r="F1065" i="1"/>
  <c r="J1063" i="1"/>
  <c r="J1061" i="1"/>
  <c r="S1059" i="1"/>
  <c r="AN1057" i="1"/>
  <c r="F1056" i="1"/>
  <c r="J1054" i="1"/>
  <c r="Q1052" i="1"/>
  <c r="Z1050" i="1"/>
  <c r="J1049" i="1"/>
  <c r="F1048" i="1"/>
  <c r="E1047" i="1"/>
  <c r="R1045" i="1"/>
  <c r="G1044" i="1"/>
  <c r="AU1042" i="1"/>
  <c r="H1041" i="1"/>
  <c r="D1040" i="1"/>
  <c r="C1039" i="1"/>
  <c r="U1037" i="1"/>
  <c r="I1036" i="1"/>
  <c r="H1035" i="1"/>
  <c r="C1034" i="1"/>
  <c r="C1033" i="1"/>
  <c r="E1032" i="1"/>
  <c r="C1031" i="1"/>
  <c r="F1030" i="1"/>
  <c r="H1029" i="1"/>
  <c r="J1028" i="1"/>
  <c r="P1027" i="1"/>
  <c r="S1026" i="1"/>
  <c r="W1025" i="1"/>
  <c r="AU1024" i="1"/>
  <c r="G1024" i="1"/>
  <c r="Q1023" i="1"/>
  <c r="W1022" i="1"/>
  <c r="C1022" i="1"/>
  <c r="I1021" i="1"/>
  <c r="Q1020" i="1"/>
  <c r="AU1019" i="1"/>
  <c r="G1019" i="1"/>
  <c r="L1018" i="1"/>
  <c r="W1017" i="1"/>
  <c r="D1017" i="1"/>
  <c r="O1016" i="1"/>
  <c r="C1016" i="1"/>
  <c r="I1015" i="1"/>
  <c r="AN1014" i="1"/>
  <c r="L1014" i="1"/>
  <c r="C1014" i="1"/>
  <c r="P1013" i="1"/>
  <c r="E1013" i="1"/>
  <c r="L1012" i="1"/>
  <c r="C1012" i="1"/>
  <c r="I1011" i="1"/>
  <c r="AN1010" i="1"/>
  <c r="L1010" i="1"/>
  <c r="C1010" i="1"/>
  <c r="P1009" i="1"/>
  <c r="E1009" i="1"/>
  <c r="S1008" i="1"/>
  <c r="G1008" i="1"/>
  <c r="W1007" i="1"/>
  <c r="I1007" i="1"/>
  <c r="AN1006" i="1"/>
  <c r="L1006" i="1"/>
  <c r="C1006" i="1"/>
  <c r="P1005" i="1"/>
  <c r="E1005" i="1"/>
  <c r="S1004" i="1"/>
  <c r="G1004" i="1"/>
  <c r="W1003" i="1"/>
  <c r="I1003" i="1"/>
  <c r="AN1002" i="1"/>
  <c r="L1002" i="1"/>
  <c r="C1002" i="1"/>
  <c r="P1001" i="1"/>
  <c r="E1001" i="1"/>
  <c r="S1000" i="1"/>
  <c r="G1000" i="1"/>
  <c r="W999" i="1"/>
  <c r="I999" i="1"/>
  <c r="AN998" i="1"/>
  <c r="L998" i="1"/>
  <c r="C998" i="1"/>
  <c r="P997" i="1"/>
  <c r="E997" i="1"/>
  <c r="S996" i="1"/>
  <c r="G996" i="1"/>
  <c r="W995" i="1"/>
  <c r="I995" i="1"/>
  <c r="AN994" i="1"/>
  <c r="L994" i="1"/>
  <c r="C994" i="1"/>
  <c r="P993" i="1"/>
  <c r="E993" i="1"/>
  <c r="L992" i="1"/>
  <c r="C992" i="1"/>
  <c r="I991" i="1"/>
  <c r="AN990" i="1"/>
  <c r="G990" i="1"/>
  <c r="U989" i="1"/>
  <c r="E989" i="1"/>
  <c r="S988" i="1"/>
  <c r="D988" i="1"/>
  <c r="J987" i="1"/>
  <c r="AU986" i="1"/>
  <c r="H986" i="1"/>
  <c r="Z985" i="1"/>
  <c r="F985" i="1"/>
  <c r="U984" i="1"/>
  <c r="I984" i="1"/>
  <c r="AN983" i="1"/>
  <c r="G983" i="1"/>
  <c r="U982" i="1"/>
  <c r="E982" i="1"/>
  <c r="L981" i="1"/>
  <c r="C981" i="1"/>
  <c r="AU1072" i="1"/>
  <c r="W1057" i="1"/>
  <c r="Q1045" i="1"/>
  <c r="C1035" i="1"/>
  <c r="J1027" i="1"/>
  <c r="H1021" i="1"/>
  <c r="AU1015" i="1"/>
  <c r="J1013" i="1"/>
  <c r="AU1011" i="1"/>
  <c r="Q1010" i="1"/>
  <c r="J1009" i="1"/>
  <c r="F1008" i="1"/>
  <c r="D1007" i="1"/>
  <c r="Z1005" i="1"/>
  <c r="Q1004" i="1"/>
  <c r="O1003" i="1"/>
  <c r="H1002" i="1"/>
  <c r="D1001" i="1"/>
  <c r="AU999" i="1"/>
  <c r="U998" i="1"/>
  <c r="O997" i="1"/>
  <c r="J996" i="1"/>
  <c r="F995" i="1"/>
  <c r="AU993" i="1"/>
  <c r="Z992" i="1"/>
  <c r="F991" i="1"/>
  <c r="S989" i="1"/>
  <c r="G988" i="1"/>
  <c r="U986" i="1"/>
  <c r="G985" i="1"/>
  <c r="J984" i="1"/>
  <c r="J983" i="1"/>
  <c r="L982" i="1"/>
  <c r="Z981" i="1"/>
  <c r="D981" i="1"/>
  <c r="I980" i="1"/>
  <c r="Z979" i="1"/>
  <c r="I979" i="1"/>
  <c r="U1070" i="1"/>
  <c r="D1056" i="1"/>
  <c r="E1044" i="1"/>
  <c r="AU1033" i="1"/>
  <c r="O1026" i="1"/>
  <c r="P1020" i="1"/>
  <c r="H1015" i="1"/>
  <c r="H1013" i="1"/>
  <c r="Z1011" i="1"/>
  <c r="J1010" i="1"/>
  <c r="H1009" i="1"/>
  <c r="D1008" i="1"/>
  <c r="Z1006" i="1"/>
  <c r="U1005" i="1"/>
  <c r="O1004" i="1"/>
  <c r="H1003" i="1"/>
  <c r="F1002" i="1"/>
  <c r="AU1000" i="1"/>
  <c r="U999" i="1"/>
  <c r="Q998" i="1"/>
  <c r="J997" i="1"/>
  <c r="F996" i="1"/>
  <c r="D995" i="1"/>
  <c r="Z993" i="1"/>
  <c r="J992" i="1"/>
  <c r="D991" i="1"/>
  <c r="J989" i="1"/>
  <c r="C988" i="1"/>
  <c r="L986" i="1"/>
  <c r="E985" i="1"/>
  <c r="H984" i="1"/>
  <c r="H983" i="1"/>
  <c r="J982" i="1"/>
  <c r="U981" i="1"/>
  <c r="AU980" i="1"/>
  <c r="H980" i="1"/>
  <c r="W1068" i="1"/>
  <c r="H1054" i="1"/>
  <c r="L1042" i="1"/>
  <c r="Z1032" i="1"/>
  <c r="Q1025" i="1"/>
  <c r="W1019" i="1"/>
  <c r="Z1014" i="1"/>
  <c r="D1013" i="1"/>
  <c r="S1011" i="1"/>
  <c r="H1010" i="1"/>
  <c r="D1009" i="1"/>
  <c r="AU1007" i="1"/>
  <c r="U1006" i="1"/>
  <c r="O1005" i="1"/>
  <c r="J1004" i="1"/>
  <c r="F1003" i="1"/>
  <c r="AU1001" i="1"/>
  <c r="Z1000" i="1"/>
  <c r="Q999" i="1"/>
  <c r="J998" i="1"/>
  <c r="H997" i="1"/>
  <c r="D996" i="1"/>
  <c r="Z994" i="1"/>
  <c r="U993" i="1"/>
  <c r="H992" i="1"/>
  <c r="Z990" i="1"/>
  <c r="H989" i="1"/>
  <c r="AN987" i="1"/>
  <c r="G986" i="1"/>
  <c r="C985" i="1"/>
  <c r="F984" i="1"/>
  <c r="F983" i="1"/>
  <c r="H982" i="1"/>
  <c r="S981" i="1"/>
  <c r="AN980" i="1"/>
  <c r="G980" i="1"/>
  <c r="D1067" i="1"/>
  <c r="O1052" i="1"/>
  <c r="G1041" i="1"/>
  <c r="AU1031" i="1"/>
  <c r="AN1024" i="1"/>
  <c r="E1019" i="1"/>
  <c r="J1014" i="1"/>
  <c r="AU1012" i="1"/>
  <c r="H1011" i="1"/>
  <c r="F1010" i="1"/>
  <c r="AU1008" i="1"/>
  <c r="U1007" i="1"/>
  <c r="Q1006" i="1"/>
  <c r="J1005" i="1"/>
  <c r="F1004" i="1"/>
  <c r="D1003" i="1"/>
  <c r="Z1001" i="1"/>
  <c r="Q1000" i="1"/>
  <c r="O999" i="1"/>
  <c r="H998" i="1"/>
  <c r="D997" i="1"/>
  <c r="AU995" i="1"/>
  <c r="U994" i="1"/>
  <c r="O993" i="1"/>
  <c r="F992" i="1"/>
  <c r="S990" i="1"/>
  <c r="D989" i="1"/>
  <c r="U987" i="1"/>
  <c r="E986" i="1"/>
  <c r="AN984" i="1"/>
  <c r="D984" i="1"/>
  <c r="E983" i="1"/>
  <c r="G982" i="1"/>
  <c r="J981" i="1"/>
  <c r="Z980" i="1"/>
  <c r="E980" i="1"/>
  <c r="Q979" i="1"/>
  <c r="E979" i="1"/>
  <c r="Q978" i="1"/>
  <c r="E978" i="1"/>
  <c r="S977" i="1"/>
  <c r="H977" i="1"/>
  <c r="Z976" i="1"/>
  <c r="F976" i="1"/>
  <c r="U975" i="1"/>
  <c r="H975" i="1"/>
  <c r="Z974" i="1"/>
  <c r="J974" i="1"/>
  <c r="AU973" i="1"/>
  <c r="O973" i="1"/>
  <c r="D973" i="1"/>
  <c r="R972" i="1"/>
  <c r="E972" i="1"/>
  <c r="S971" i="1"/>
  <c r="G971" i="1"/>
  <c r="U970" i="1"/>
  <c r="E970" i="1"/>
  <c r="S969" i="1"/>
  <c r="H969" i="1"/>
  <c r="Z968" i="1"/>
  <c r="J968" i="1"/>
  <c r="AU967" i="1"/>
  <c r="O967" i="1"/>
  <c r="D967" i="1"/>
  <c r="R966" i="1"/>
  <c r="G966" i="1"/>
  <c r="W965" i="1"/>
  <c r="I965" i="1"/>
  <c r="AN964" i="1"/>
  <c r="L964" i="1"/>
  <c r="C964" i="1"/>
  <c r="P963" i="1"/>
  <c r="E963" i="1"/>
  <c r="S962" i="1"/>
  <c r="F962" i="1"/>
  <c r="U961" i="1"/>
  <c r="H961" i="1"/>
  <c r="Z960" i="1"/>
  <c r="J960" i="1"/>
  <c r="AU959" i="1"/>
  <c r="O959" i="1"/>
  <c r="D959" i="1"/>
  <c r="Q958" i="1"/>
  <c r="F958" i="1"/>
  <c r="U957" i="1"/>
  <c r="H957" i="1"/>
  <c r="Z956" i="1"/>
  <c r="J956" i="1"/>
  <c r="AU955" i="1"/>
  <c r="O955" i="1"/>
  <c r="D955" i="1"/>
  <c r="J954" i="1"/>
  <c r="AU953" i="1"/>
  <c r="P953" i="1"/>
  <c r="E953" i="1"/>
  <c r="L952" i="1"/>
  <c r="C952" i="1"/>
  <c r="I951" i="1"/>
  <c r="AN950" i="1"/>
  <c r="G950" i="1"/>
  <c r="W949" i="1"/>
  <c r="F949" i="1"/>
  <c r="U948" i="1"/>
  <c r="H948" i="1"/>
  <c r="Z947" i="1"/>
  <c r="J947" i="1"/>
  <c r="AU946" i="1"/>
  <c r="P946" i="1"/>
  <c r="E946" i="1"/>
  <c r="L945" i="1"/>
  <c r="C945" i="1"/>
  <c r="P944" i="1"/>
  <c r="E944" i="1"/>
  <c r="S943" i="1"/>
  <c r="G943" i="1"/>
  <c r="W942" i="1"/>
  <c r="I942" i="1"/>
  <c r="AN941" i="1"/>
  <c r="J941" i="1"/>
  <c r="AU940" i="1"/>
  <c r="O940" i="1"/>
  <c r="D940" i="1"/>
  <c r="J939" i="1"/>
  <c r="AU938" i="1"/>
  <c r="P938" i="1"/>
  <c r="E938" i="1"/>
  <c r="S937" i="1"/>
  <c r="D1065" i="1"/>
  <c r="U1050" i="1"/>
  <c r="AU1039" i="1"/>
  <c r="Z1030" i="1"/>
  <c r="F1024" i="1"/>
  <c r="J1018" i="1"/>
  <c r="AU1013" i="1"/>
  <c r="Z1012" i="1"/>
  <c r="F1011" i="1"/>
  <c r="AU1009" i="1"/>
  <c r="Z1008" i="1"/>
  <c r="Q1007" i="1"/>
  <c r="J1006" i="1"/>
  <c r="H1005" i="1"/>
  <c r="D1004" i="1"/>
  <c r="Z1002" i="1"/>
  <c r="U1001" i="1"/>
  <c r="O1000" i="1"/>
  <c r="H999" i="1"/>
  <c r="F998" i="1"/>
  <c r="AU996" i="1"/>
  <c r="U995" i="1"/>
  <c r="Q994" i="1"/>
  <c r="J993" i="1"/>
  <c r="AU991" i="1"/>
  <c r="J990" i="1"/>
  <c r="AU988" i="1"/>
  <c r="I987" i="1"/>
  <c r="C986" i="1"/>
  <c r="W984" i="1"/>
  <c r="AU983" i="1"/>
  <c r="D983" i="1"/>
  <c r="F982" i="1"/>
  <c r="I981" i="1"/>
  <c r="U980" i="1"/>
  <c r="D980" i="1"/>
  <c r="P979" i="1"/>
  <c r="D979" i="1"/>
  <c r="P978" i="1"/>
  <c r="D978" i="1"/>
  <c r="R977" i="1"/>
  <c r="G977" i="1"/>
  <c r="U976" i="1"/>
  <c r="E976" i="1"/>
  <c r="S975" i="1"/>
  <c r="G975" i="1"/>
  <c r="W974" i="1"/>
  <c r="I974" i="1"/>
  <c r="AN973" i="1"/>
  <c r="L973" i="1"/>
  <c r="C973" i="1"/>
  <c r="Q972" i="1"/>
  <c r="D972" i="1"/>
  <c r="Q971" i="1"/>
  <c r="F971" i="1"/>
  <c r="S970" i="1"/>
  <c r="D970" i="1"/>
  <c r="R969" i="1"/>
  <c r="G969" i="1"/>
  <c r="W968" i="1"/>
  <c r="I968" i="1"/>
  <c r="AN967" i="1"/>
  <c r="L967" i="1"/>
  <c r="C967" i="1"/>
  <c r="Q966" i="1"/>
  <c r="F966" i="1"/>
  <c r="U965" i="1"/>
  <c r="H965" i="1"/>
  <c r="Z964" i="1"/>
  <c r="J964" i="1"/>
  <c r="AU963" i="1"/>
  <c r="O963" i="1"/>
  <c r="D963" i="1"/>
  <c r="R962" i="1"/>
  <c r="E962" i="1"/>
  <c r="S961" i="1"/>
  <c r="G961" i="1"/>
  <c r="W960" i="1"/>
  <c r="I960" i="1"/>
  <c r="AN959" i="1"/>
  <c r="L959" i="1"/>
  <c r="C959" i="1"/>
  <c r="P958" i="1"/>
  <c r="E958" i="1"/>
  <c r="S957" i="1"/>
  <c r="G957" i="1"/>
  <c r="W956" i="1"/>
  <c r="I956" i="1"/>
  <c r="AN955" i="1"/>
  <c r="L955" i="1"/>
  <c r="C955" i="1"/>
  <c r="I954" i="1"/>
  <c r="AN953" i="1"/>
  <c r="O953" i="1"/>
  <c r="D953" i="1"/>
  <c r="J952" i="1"/>
  <c r="AU951" i="1"/>
  <c r="H951" i="1"/>
  <c r="Z950" i="1"/>
  <c r="F950" i="1"/>
  <c r="U949" i="1"/>
  <c r="E949" i="1"/>
  <c r="S948" i="1"/>
  <c r="G948" i="1"/>
  <c r="W947" i="1"/>
  <c r="I947" i="1"/>
  <c r="AN946" i="1"/>
  <c r="O946" i="1"/>
  <c r="D946" i="1"/>
  <c r="J945" i="1"/>
  <c r="AU944" i="1"/>
  <c r="O944" i="1"/>
  <c r="D944" i="1"/>
  <c r="Q943" i="1"/>
  <c r="F943" i="1"/>
  <c r="U942" i="1"/>
  <c r="H942" i="1"/>
  <c r="Z941" i="1"/>
  <c r="I941" i="1"/>
  <c r="AN940" i="1"/>
  <c r="L940" i="1"/>
  <c r="C940" i="1"/>
  <c r="I939" i="1"/>
  <c r="AN938" i="1"/>
  <c r="O938" i="1"/>
  <c r="D938" i="1"/>
  <c r="Q937" i="1"/>
  <c r="F937" i="1"/>
  <c r="H1063" i="1"/>
  <c r="I1049" i="1"/>
  <c r="U1038" i="1"/>
  <c r="C1030" i="1"/>
  <c r="I1023" i="1"/>
  <c r="U1017" i="1"/>
  <c r="Z1013" i="1"/>
  <c r="J1012" i="1"/>
  <c r="D1011" i="1"/>
  <c r="Z1009" i="1"/>
  <c r="Q1008" i="1"/>
  <c r="O1007" i="1"/>
  <c r="H1006" i="1"/>
  <c r="D1005" i="1"/>
  <c r="AU1003" i="1"/>
  <c r="U1002" i="1"/>
  <c r="O1001" i="1"/>
  <c r="J1000" i="1"/>
  <c r="F999" i="1"/>
  <c r="AU997" i="1"/>
  <c r="Z996" i="1"/>
  <c r="Q995" i="1"/>
  <c r="J994" i="1"/>
  <c r="H993" i="1"/>
  <c r="Z991" i="1"/>
  <c r="F990" i="1"/>
  <c r="Z988" i="1"/>
  <c r="G987" i="1"/>
  <c r="U985" i="1"/>
  <c r="S984" i="1"/>
  <c r="Z983" i="1"/>
  <c r="AU982" i="1"/>
  <c r="D982" i="1"/>
  <c r="H981" i="1"/>
  <c r="S980" i="1"/>
  <c r="C980" i="1"/>
  <c r="O979" i="1"/>
  <c r="C979" i="1"/>
  <c r="H1061" i="1"/>
  <c r="D1048" i="1"/>
  <c r="S1037" i="1"/>
  <c r="E1029" i="1"/>
  <c r="S1022" i="1"/>
  <c r="C1017" i="1"/>
  <c r="U1013" i="1"/>
  <c r="H1012" i="1"/>
  <c r="Z1010" i="1"/>
  <c r="U1009" i="1"/>
  <c r="O1008" i="1"/>
  <c r="H1007" i="1"/>
  <c r="F1006" i="1"/>
  <c r="AU1004" i="1"/>
  <c r="U1003" i="1"/>
  <c r="Q1002" i="1"/>
  <c r="J1001" i="1"/>
  <c r="F1000" i="1"/>
  <c r="D999" i="1"/>
  <c r="Z997" i="1"/>
  <c r="Q996" i="1"/>
  <c r="O995" i="1"/>
  <c r="H994" i="1"/>
  <c r="D993" i="1"/>
  <c r="S991" i="1"/>
  <c r="D990" i="1"/>
  <c r="L988" i="1"/>
  <c r="E987" i="1"/>
  <c r="L985" i="1"/>
  <c r="Q984" i="1"/>
  <c r="U983" i="1"/>
  <c r="Z982" i="1"/>
  <c r="C982" i="1"/>
  <c r="F981" i="1"/>
  <c r="L980" i="1"/>
  <c r="AU979" i="1"/>
  <c r="L979" i="1"/>
  <c r="AU978" i="1"/>
  <c r="L978" i="1"/>
  <c r="AU977" i="1"/>
  <c r="P977" i="1"/>
  <c r="E977" i="1"/>
  <c r="L976" i="1"/>
  <c r="C976" i="1"/>
  <c r="P975" i="1"/>
  <c r="E975" i="1"/>
  <c r="S974" i="1"/>
  <c r="G974" i="1"/>
  <c r="W973" i="1"/>
  <c r="I973" i="1"/>
  <c r="AN972" i="1"/>
  <c r="J972" i="1"/>
  <c r="AU971" i="1"/>
  <c r="O971" i="1"/>
  <c r="D971" i="1"/>
  <c r="J970" i="1"/>
  <c r="AU969" i="1"/>
  <c r="P969" i="1"/>
  <c r="E969" i="1"/>
  <c r="S968" i="1"/>
  <c r="G968" i="1"/>
  <c r="W967" i="1"/>
  <c r="I967" i="1"/>
  <c r="AN966" i="1"/>
  <c r="O966" i="1"/>
  <c r="D966" i="1"/>
  <c r="Q965" i="1"/>
  <c r="F965" i="1"/>
  <c r="U964" i="1"/>
  <c r="H964" i="1"/>
  <c r="Z963" i="1"/>
  <c r="J963" i="1"/>
  <c r="AU962" i="1"/>
  <c r="L962" i="1"/>
  <c r="C962" i="1"/>
  <c r="P961" i="1"/>
  <c r="E961" i="1"/>
  <c r="S960" i="1"/>
  <c r="G960" i="1"/>
  <c r="W959" i="1"/>
  <c r="I959" i="1"/>
  <c r="AN958" i="1"/>
  <c r="L958" i="1"/>
  <c r="C958" i="1"/>
  <c r="P957" i="1"/>
  <c r="E957" i="1"/>
  <c r="S956" i="1"/>
  <c r="G956" i="1"/>
  <c r="W955" i="1"/>
  <c r="I955" i="1"/>
  <c r="AN954" i="1"/>
  <c r="G954" i="1"/>
  <c r="W953" i="1"/>
  <c r="J953" i="1"/>
  <c r="AU952" i="1"/>
  <c r="H952" i="1"/>
  <c r="Z951" i="1"/>
  <c r="F951" i="1"/>
  <c r="S950" i="1"/>
  <c r="D950" i="1"/>
  <c r="L949" i="1"/>
  <c r="C949" i="1"/>
  <c r="P948" i="1"/>
  <c r="E948" i="1"/>
  <c r="S947" i="1"/>
  <c r="G947" i="1"/>
  <c r="W946" i="1"/>
  <c r="J946" i="1"/>
  <c r="AU945" i="1"/>
  <c r="H945" i="1"/>
  <c r="Z944" i="1"/>
  <c r="J944" i="1"/>
  <c r="AU943" i="1"/>
  <c r="O943" i="1"/>
  <c r="D943" i="1"/>
  <c r="Q942" i="1"/>
  <c r="F942" i="1"/>
  <c r="U941" i="1"/>
  <c r="G941" i="1"/>
  <c r="W940" i="1"/>
  <c r="I940" i="1"/>
  <c r="AN939" i="1"/>
  <c r="P1059" i="1"/>
  <c r="U1010" i="1"/>
  <c r="H1001" i="1"/>
  <c r="H991" i="1"/>
  <c r="AU981" i="1"/>
  <c r="F979" i="1"/>
  <c r="G978" i="1"/>
  <c r="O977" i="1"/>
  <c r="AN976" i="1"/>
  <c r="Z1046" i="1"/>
  <c r="G1036" i="1"/>
  <c r="J1008" i="1"/>
  <c r="Z998" i="1"/>
  <c r="I988" i="1"/>
  <c r="J980" i="1"/>
  <c r="W978" i="1"/>
  <c r="C978" i="1"/>
  <c r="J977" i="1"/>
  <c r="J976" i="1"/>
  <c r="W975" i="1"/>
  <c r="C975" i="1"/>
  <c r="H974" i="1"/>
  <c r="Q973" i="1"/>
  <c r="Z972" i="1"/>
  <c r="F972" i="1"/>
  <c r="J971" i="1"/>
  <c r="L970" i="1"/>
  <c r="W969" i="1"/>
  <c r="D969" i="1"/>
  <c r="L968" i="1"/>
  <c r="S967" i="1"/>
  <c r="AU966" i="1"/>
  <c r="I966" i="1"/>
  <c r="P965" i="1"/>
  <c r="AU964" i="1"/>
  <c r="F964" i="1"/>
  <c r="L963" i="1"/>
  <c r="W962" i="1"/>
  <c r="AU961" i="1"/>
  <c r="I961" i="1"/>
  <c r="P960" i="1"/>
  <c r="Z959" i="1"/>
  <c r="F959" i="1"/>
  <c r="J958" i="1"/>
  <c r="W957" i="1"/>
  <c r="C957" i="1"/>
  <c r="H956" i="1"/>
  <c r="Q955" i="1"/>
  <c r="Z954" i="1"/>
  <c r="C954" i="1"/>
  <c r="H953" i="1"/>
  <c r="I952" i="1"/>
  <c r="L951" i="1"/>
  <c r="L950" i="1"/>
  <c r="Z949" i="1"/>
  <c r="AN948" i="1"/>
  <c r="F948" i="1"/>
  <c r="O947" i="1"/>
  <c r="U946" i="1"/>
  <c r="F946" i="1"/>
  <c r="F945" i="1"/>
  <c r="L944" i="1"/>
  <c r="W943" i="1"/>
  <c r="C943" i="1"/>
  <c r="J942" i="1"/>
  <c r="R941" i="1"/>
  <c r="Z940" i="1"/>
  <c r="F940" i="1"/>
  <c r="G939" i="1"/>
  <c r="S938" i="1"/>
  <c r="F938" i="1"/>
  <c r="O937" i="1"/>
  <c r="C937" i="1"/>
  <c r="P936" i="1"/>
  <c r="E936" i="1"/>
  <c r="S935" i="1"/>
  <c r="H935" i="1"/>
  <c r="Z934" i="1"/>
  <c r="J934" i="1"/>
  <c r="AU933" i="1"/>
  <c r="O933" i="1"/>
  <c r="D933" i="1"/>
  <c r="Q932" i="1"/>
  <c r="F932" i="1"/>
  <c r="U931" i="1"/>
  <c r="G931" i="1"/>
  <c r="W930" i="1"/>
  <c r="I930" i="1"/>
  <c r="AN929" i="1"/>
  <c r="L929" i="1"/>
  <c r="C929" i="1"/>
  <c r="P928" i="1"/>
  <c r="E928" i="1"/>
  <c r="S927" i="1"/>
  <c r="G927" i="1"/>
  <c r="W926" i="1"/>
  <c r="I926" i="1"/>
  <c r="AN925" i="1"/>
  <c r="L925" i="1"/>
  <c r="C925" i="1"/>
  <c r="P924" i="1"/>
  <c r="E924" i="1"/>
  <c r="L923" i="1"/>
  <c r="C923" i="1"/>
  <c r="I922" i="1"/>
  <c r="AN921" i="1"/>
  <c r="G921" i="1"/>
  <c r="U920" i="1"/>
  <c r="E920" i="1"/>
  <c r="S919" i="1"/>
  <c r="D919" i="1"/>
  <c r="Q918" i="1"/>
  <c r="F918" i="1"/>
  <c r="U917" i="1"/>
  <c r="H917" i="1"/>
  <c r="Z916" i="1"/>
  <c r="L916" i="1"/>
  <c r="C916" i="1"/>
  <c r="I915" i="1"/>
  <c r="AN914" i="1"/>
  <c r="L914" i="1"/>
  <c r="C914" i="1"/>
  <c r="P913" i="1"/>
  <c r="E913" i="1"/>
  <c r="L912" i="1"/>
  <c r="C912" i="1"/>
  <c r="P911" i="1"/>
  <c r="E911" i="1"/>
  <c r="S910" i="1"/>
  <c r="G910" i="1"/>
  <c r="W909" i="1"/>
  <c r="J909" i="1"/>
  <c r="AU908" i="1"/>
  <c r="O908" i="1"/>
  <c r="D908" i="1"/>
  <c r="Q907" i="1"/>
  <c r="F907" i="1"/>
  <c r="U906" i="1"/>
  <c r="H906" i="1"/>
  <c r="Z905" i="1"/>
  <c r="J905" i="1"/>
  <c r="AU904" i="1"/>
  <c r="O904" i="1"/>
  <c r="D904" i="1"/>
  <c r="Q903" i="1"/>
  <c r="F903" i="1"/>
  <c r="U902" i="1"/>
  <c r="H902" i="1"/>
  <c r="Z901" i="1"/>
  <c r="J901" i="1"/>
  <c r="AU900" i="1"/>
  <c r="H900" i="1"/>
  <c r="Z899" i="1"/>
  <c r="J899" i="1"/>
  <c r="AU898" i="1"/>
  <c r="O898" i="1"/>
  <c r="D898" i="1"/>
  <c r="Q897" i="1"/>
  <c r="F897" i="1"/>
  <c r="S896" i="1"/>
  <c r="G1028" i="1"/>
  <c r="F1007" i="1"/>
  <c r="U997" i="1"/>
  <c r="AN986" i="1"/>
  <c r="AN979" i="1"/>
  <c r="U978" i="1"/>
  <c r="AN977" i="1"/>
  <c r="I977" i="1"/>
  <c r="I976" i="1"/>
  <c r="Q975" i="1"/>
  <c r="AU974" i="1"/>
  <c r="F974" i="1"/>
  <c r="P973" i="1"/>
  <c r="W972" i="1"/>
  <c r="C972" i="1"/>
  <c r="I971" i="1"/>
  <c r="I970" i="1"/>
  <c r="U969" i="1"/>
  <c r="C969" i="1"/>
  <c r="H968" i="1"/>
  <c r="Q967" i="1"/>
  <c r="Z966" i="1"/>
  <c r="H966" i="1"/>
  <c r="O965" i="1"/>
  <c r="W964" i="1"/>
  <c r="E964" i="1"/>
  <c r="I963" i="1"/>
  <c r="U962" i="1"/>
  <c r="AN961" i="1"/>
  <c r="F961" i="1"/>
  <c r="O960" i="1"/>
  <c r="U959" i="1"/>
  <c r="E959" i="1"/>
  <c r="I958" i="1"/>
  <c r="Q957" i="1"/>
  <c r="AU956" i="1"/>
  <c r="F956" i="1"/>
  <c r="P955" i="1"/>
  <c r="U954" i="1"/>
  <c r="Z953" i="1"/>
  <c r="G953" i="1"/>
  <c r="G952" i="1"/>
  <c r="J951" i="1"/>
  <c r="J950" i="1"/>
  <c r="S949" i="1"/>
  <c r="Z948" i="1"/>
  <c r="D948" i="1"/>
  <c r="L947" i="1"/>
  <c r="S946" i="1"/>
  <c r="C946" i="1"/>
  <c r="E945" i="1"/>
  <c r="I944" i="1"/>
  <c r="U943" i="1"/>
  <c r="AU942" i="1"/>
  <c r="G942" i="1"/>
  <c r="Q941" i="1"/>
  <c r="U940" i="1"/>
  <c r="E940" i="1"/>
  <c r="F939" i="1"/>
  <c r="R938" i="1"/>
  <c r="C938" i="1"/>
  <c r="L937" i="1"/>
  <c r="AU936" i="1"/>
  <c r="O936" i="1"/>
  <c r="D936" i="1"/>
  <c r="R935" i="1"/>
  <c r="G935" i="1"/>
  <c r="W934" i="1"/>
  <c r="I934" i="1"/>
  <c r="AN933" i="1"/>
  <c r="L933" i="1"/>
  <c r="C933" i="1"/>
  <c r="P932" i="1"/>
  <c r="E932" i="1"/>
  <c r="S931" i="1"/>
  <c r="F931" i="1"/>
  <c r="U930" i="1"/>
  <c r="H930" i="1"/>
  <c r="Z929" i="1"/>
  <c r="J929" i="1"/>
  <c r="AU928" i="1"/>
  <c r="O928" i="1"/>
  <c r="D928" i="1"/>
  <c r="Q927" i="1"/>
  <c r="F927" i="1"/>
  <c r="U926" i="1"/>
  <c r="H926" i="1"/>
  <c r="Z925" i="1"/>
  <c r="J925" i="1"/>
  <c r="AU924" i="1"/>
  <c r="O924" i="1"/>
  <c r="D924" i="1"/>
  <c r="J923" i="1"/>
  <c r="AU922" i="1"/>
  <c r="H922" i="1"/>
  <c r="Z921" i="1"/>
  <c r="F921" i="1"/>
  <c r="S920" i="1"/>
  <c r="D920" i="1"/>
  <c r="L919" i="1"/>
  <c r="C919" i="1"/>
  <c r="P918" i="1"/>
  <c r="E918" i="1"/>
  <c r="S917" i="1"/>
  <c r="G917" i="1"/>
  <c r="W916" i="1"/>
  <c r="J916" i="1"/>
  <c r="AU915" i="1"/>
  <c r="H915" i="1"/>
  <c r="Z914" i="1"/>
  <c r="J914" i="1"/>
  <c r="AU913" i="1"/>
  <c r="O913" i="1"/>
  <c r="D913" i="1"/>
  <c r="J912" i="1"/>
  <c r="AU911" i="1"/>
  <c r="O911" i="1"/>
  <c r="D911" i="1"/>
  <c r="Q910" i="1"/>
  <c r="F910" i="1"/>
  <c r="U909" i="1"/>
  <c r="I909" i="1"/>
  <c r="AN908" i="1"/>
  <c r="L908" i="1"/>
  <c r="C908" i="1"/>
  <c r="P907" i="1"/>
  <c r="E907" i="1"/>
  <c r="S906" i="1"/>
  <c r="G906" i="1"/>
  <c r="W905" i="1"/>
  <c r="I905" i="1"/>
  <c r="AN904" i="1"/>
  <c r="L904" i="1"/>
  <c r="C904" i="1"/>
  <c r="P903" i="1"/>
  <c r="E903" i="1"/>
  <c r="S902" i="1"/>
  <c r="AU1021" i="1"/>
  <c r="AU1005" i="1"/>
  <c r="O996" i="1"/>
  <c r="I985" i="1"/>
  <c r="W979" i="1"/>
  <c r="S978" i="1"/>
  <c r="Z977" i="1"/>
  <c r="F977" i="1"/>
  <c r="H976" i="1"/>
  <c r="L1016" i="1"/>
  <c r="O1013" i="1"/>
  <c r="Q1003" i="1"/>
  <c r="F994" i="1"/>
  <c r="S983" i="1"/>
  <c r="J979" i="1"/>
  <c r="I978" i="1"/>
  <c r="U977" i="1"/>
  <c r="C977" i="1"/>
  <c r="D976" i="1"/>
  <c r="J975" i="1"/>
  <c r="Q974" i="1"/>
  <c r="C974" i="1"/>
  <c r="G973" i="1"/>
  <c r="L972" i="1"/>
  <c r="W971" i="1"/>
  <c r="C971" i="1"/>
  <c r="F970" i="1"/>
  <c r="L969" i="1"/>
  <c r="U968" i="1"/>
  <c r="D968" i="1"/>
  <c r="H967" i="1"/>
  <c r="S966" i="1"/>
  <c r="AU965" i="1"/>
  <c r="G965" i="1"/>
  <c r="P964" i="1"/>
  <c r="W963" i="1"/>
  <c r="F963" i="1"/>
  <c r="I962" i="1"/>
  <c r="Q961" i="1"/>
  <c r="AU960" i="1"/>
  <c r="F960" i="1"/>
  <c r="P959" i="1"/>
  <c r="W958" i="1"/>
  <c r="D958" i="1"/>
  <c r="J957" i="1"/>
  <c r="Q956" i="1"/>
  <c r="C956" i="1"/>
  <c r="G955" i="1"/>
  <c r="H954" i="1"/>
  <c r="R953" i="1"/>
  <c r="AN952" i="1"/>
  <c r="D952" i="1"/>
  <c r="D951" i="1"/>
  <c r="E950" i="1"/>
  <c r="H949" i="1"/>
  <c r="O948" i="1"/>
  <c r="AN947" i="1"/>
  <c r="E947" i="1"/>
  <c r="L946" i="1"/>
  <c r="U945" i="1"/>
  <c r="W944" i="1"/>
  <c r="F944" i="1"/>
  <c r="J943" i="1"/>
  <c r="S942" i="1"/>
  <c r="C942" i="1"/>
  <c r="F941" i="1"/>
  <c r="P940" i="1"/>
  <c r="U939" i="1"/>
  <c r="C939" i="1"/>
  <c r="J938" i="1"/>
  <c r="Z937" i="1"/>
  <c r="H937" i="1"/>
  <c r="W936" i="1"/>
  <c r="I936" i="1"/>
  <c r="AN935" i="1"/>
  <c r="O935" i="1"/>
  <c r="D935" i="1"/>
  <c r="Q934" i="1"/>
  <c r="F934" i="1"/>
  <c r="U933" i="1"/>
  <c r="H933" i="1"/>
  <c r="Z932" i="1"/>
  <c r="J932" i="1"/>
  <c r="AU931" i="1"/>
  <c r="L931" i="1"/>
  <c r="C931" i="1"/>
  <c r="P930" i="1"/>
  <c r="E930" i="1"/>
  <c r="S929" i="1"/>
  <c r="G929" i="1"/>
  <c r="W928" i="1"/>
  <c r="I928" i="1"/>
  <c r="AN927" i="1"/>
  <c r="L927" i="1"/>
  <c r="C927" i="1"/>
  <c r="P926" i="1"/>
  <c r="E926" i="1"/>
  <c r="S925" i="1"/>
  <c r="G925" i="1"/>
  <c r="W924" i="1"/>
  <c r="I924" i="1"/>
  <c r="AN923" i="1"/>
  <c r="G923" i="1"/>
  <c r="U922" i="1"/>
  <c r="E922" i="1"/>
  <c r="L921" i="1"/>
  <c r="C921" i="1"/>
  <c r="I920" i="1"/>
  <c r="AN919" i="1"/>
  <c r="H919" i="1"/>
  <c r="Z918" i="1"/>
  <c r="J918" i="1"/>
  <c r="AU917" i="1"/>
  <c r="O917" i="1"/>
  <c r="D917" i="1"/>
  <c r="R916" i="1"/>
  <c r="G916" i="1"/>
  <c r="U915" i="1"/>
  <c r="E915" i="1"/>
  <c r="S914" i="1"/>
  <c r="G914" i="1"/>
  <c r="W913" i="1"/>
  <c r="I913" i="1"/>
  <c r="AN912" i="1"/>
  <c r="G912" i="1"/>
  <c r="W911" i="1"/>
  <c r="I911" i="1"/>
  <c r="AN910" i="1"/>
  <c r="L910" i="1"/>
  <c r="C910" i="1"/>
  <c r="Q909" i="1"/>
  <c r="F909" i="1"/>
  <c r="U908" i="1"/>
  <c r="H908" i="1"/>
  <c r="Z907" i="1"/>
  <c r="J907" i="1"/>
  <c r="AU906" i="1"/>
  <c r="F1012" i="1"/>
  <c r="O984" i="1"/>
  <c r="F978" i="1"/>
  <c r="AU975" i="1"/>
  <c r="AN974" i="1"/>
  <c r="U973" i="1"/>
  <c r="S972" i="1"/>
  <c r="L971" i="1"/>
  <c r="C970" i="1"/>
  <c r="AU968" i="1"/>
  <c r="Z967" i="1"/>
  <c r="U966" i="1"/>
  <c r="S965" i="1"/>
  <c r="O964" i="1"/>
  <c r="H963" i="1"/>
  <c r="G962" i="1"/>
  <c r="C961" i="1"/>
  <c r="C960" i="1"/>
  <c r="U958" i="1"/>
  <c r="O957" i="1"/>
  <c r="O956" i="1"/>
  <c r="H955" i="1"/>
  <c r="D954" i="1"/>
  <c r="Z952" i="1"/>
  <c r="G951" i="1"/>
  <c r="AU949" i="1"/>
  <c r="Q948" i="1"/>
  <c r="P947" i="1"/>
  <c r="I946" i="1"/>
  <c r="D945" i="1"/>
  <c r="AN943" i="1"/>
  <c r="Z942" i="1"/>
  <c r="S941" i="1"/>
  <c r="J940" i="1"/>
  <c r="E939" i="1"/>
  <c r="H938" i="1"/>
  <c r="I937" i="1"/>
  <c r="Q936" i="1"/>
  <c r="Z935" i="1"/>
  <c r="F935" i="1"/>
  <c r="O934" i="1"/>
  <c r="W933" i="1"/>
  <c r="E933" i="1"/>
  <c r="I932" i="1"/>
  <c r="R931" i="1"/>
  <c r="AN930" i="1"/>
  <c r="F930" i="1"/>
  <c r="O929" i="1"/>
  <c r="U928" i="1"/>
  <c r="C928" i="1"/>
  <c r="I927" i="1"/>
  <c r="Q926" i="1"/>
  <c r="AU925" i="1"/>
  <c r="F925" i="1"/>
  <c r="L924" i="1"/>
  <c r="U923" i="1"/>
  <c r="Z922" i="1"/>
  <c r="AU921" i="1"/>
  <c r="AU920" i="1"/>
  <c r="C920" i="1"/>
  <c r="F919" i="1"/>
  <c r="L918" i="1"/>
  <c r="W917" i="1"/>
  <c r="C917" i="1"/>
  <c r="I916" i="1"/>
  <c r="L915" i="1"/>
  <c r="U914" i="1"/>
  <c r="D914" i="1"/>
  <c r="H913" i="1"/>
  <c r="I912" i="1"/>
  <c r="S911" i="1"/>
  <c r="AU910" i="1"/>
  <c r="H910" i="1"/>
  <c r="P909" i="1"/>
  <c r="O1009" i="1"/>
  <c r="S982" i="1"/>
  <c r="W977" i="1"/>
  <c r="AN975" i="1"/>
  <c r="U974" i="1"/>
  <c r="S973" i="1"/>
  <c r="I972" i="1"/>
  <c r="H971" i="1"/>
  <c r="AN969" i="1"/>
  <c r="AN968" i="1"/>
  <c r="U967" i="1"/>
  <c r="P966" i="1"/>
  <c r="L965" i="1"/>
  <c r="I964" i="1"/>
  <c r="G963" i="1"/>
  <c r="D962" i="1"/>
  <c r="AN960" i="1"/>
  <c r="S959" i="1"/>
  <c r="S958" i="1"/>
  <c r="L957" i="1"/>
  <c r="L956" i="1"/>
  <c r="F955" i="1"/>
  <c r="U953" i="1"/>
  <c r="U952" i="1"/>
  <c r="E951" i="1"/>
  <c r="AN949" i="1"/>
  <c r="L948" i="1"/>
  <c r="H947" i="1"/>
  <c r="H946" i="1"/>
  <c r="AN944" i="1"/>
  <c r="Z943" i="1"/>
  <c r="P942" i="1"/>
  <c r="L941" i="1"/>
  <c r="H940" i="1"/>
  <c r="D939" i="1"/>
  <c r="G938" i="1"/>
  <c r="G937" i="1"/>
  <c r="L936" i="1"/>
  <c r="W935" i="1"/>
  <c r="E935" i="1"/>
  <c r="L934" i="1"/>
  <c r="S933" i="1"/>
  <c r="AU932" i="1"/>
  <c r="H932" i="1"/>
  <c r="Q931" i="1"/>
  <c r="Z930" i="1"/>
  <c r="D930" i="1"/>
  <c r="I929" i="1"/>
  <c r="S928" i="1"/>
  <c r="AU927" i="1"/>
  <c r="H927" i="1"/>
  <c r="O926" i="1"/>
  <c r="W925" i="1"/>
  <c r="E925" i="1"/>
  <c r="J924" i="1"/>
  <c r="S923" i="1"/>
  <c r="S922" i="1"/>
  <c r="U921" i="1"/>
  <c r="AN920" i="1"/>
  <c r="AU919" i="1"/>
  <c r="E919" i="1"/>
  <c r="I918" i="1"/>
  <c r="Q917" i="1"/>
  <c r="AU916" i="1"/>
  <c r="H916" i="1"/>
  <c r="J915" i="1"/>
  <c r="Q914" i="1"/>
  <c r="AN913" i="1"/>
  <c r="G913" i="1"/>
  <c r="H912" i="1"/>
  <c r="Q911" i="1"/>
  <c r="Z910" i="1"/>
  <c r="E910" i="1"/>
  <c r="O909" i="1"/>
  <c r="W908" i="1"/>
  <c r="E908" i="1"/>
  <c r="I907" i="1"/>
  <c r="Q906" i="1"/>
  <c r="D906" i="1"/>
  <c r="O905" i="1"/>
  <c r="Z904" i="1"/>
  <c r="H904" i="1"/>
  <c r="U903" i="1"/>
  <c r="D903" i="1"/>
  <c r="O902" i="1"/>
  <c r="C902" i="1"/>
  <c r="O901" i="1"/>
  <c r="C901" i="1"/>
  <c r="G900" i="1"/>
  <c r="U899" i="1"/>
  <c r="G899" i="1"/>
  <c r="U898" i="1"/>
  <c r="G898" i="1"/>
  <c r="U897" i="1"/>
  <c r="G897" i="1"/>
  <c r="L896" i="1"/>
  <c r="C896" i="1"/>
  <c r="I895" i="1"/>
  <c r="AN894" i="1"/>
  <c r="G894" i="1"/>
  <c r="W893" i="1"/>
  <c r="F893" i="1"/>
  <c r="U892" i="1"/>
  <c r="H892" i="1"/>
  <c r="Z891" i="1"/>
  <c r="J891" i="1"/>
  <c r="AU890" i="1"/>
  <c r="P890" i="1"/>
  <c r="E890" i="1"/>
  <c r="L889" i="1"/>
  <c r="C889" i="1"/>
  <c r="I888" i="1"/>
  <c r="AN887" i="1"/>
  <c r="G887" i="1"/>
  <c r="W886" i="1"/>
  <c r="I886" i="1"/>
  <c r="AN885" i="1"/>
  <c r="L885" i="1"/>
  <c r="C885" i="1"/>
  <c r="I884" i="1"/>
  <c r="AN883" i="1"/>
  <c r="L883" i="1"/>
  <c r="C883" i="1"/>
  <c r="P882" i="1"/>
  <c r="E882" i="1"/>
  <c r="S881" i="1"/>
  <c r="H881" i="1"/>
  <c r="Z1004" i="1"/>
  <c r="E981" i="1"/>
  <c r="Q977" i="1"/>
  <c r="Z975" i="1"/>
  <c r="P974" i="1"/>
  <c r="J973" i="1"/>
  <c r="H972" i="1"/>
  <c r="E971" i="1"/>
  <c r="Z969" i="1"/>
  <c r="Q968" i="1"/>
  <c r="P967" i="1"/>
  <c r="L966" i="1"/>
  <c r="J965" i="1"/>
  <c r="G964" i="1"/>
  <c r="C963" i="1"/>
  <c r="Z961" i="1"/>
  <c r="U960" i="1"/>
  <c r="Q959" i="1"/>
  <c r="O958" i="1"/>
  <c r="I957" i="1"/>
  <c r="E956" i="1"/>
  <c r="E955" i="1"/>
  <c r="S953" i="1"/>
  <c r="S952" i="1"/>
  <c r="C951" i="1"/>
  <c r="J949" i="1"/>
  <c r="J948" i="1"/>
  <c r="F947" i="1"/>
  <c r="G946" i="1"/>
  <c r="U944" i="1"/>
  <c r="P943" i="1"/>
  <c r="O942" i="1"/>
  <c r="H941" i="1"/>
  <c r="G940" i="1"/>
  <c r="Z938" i="1"/>
  <c r="AU937" i="1"/>
  <c r="E937" i="1"/>
  <c r="J936" i="1"/>
  <c r="U935" i="1"/>
  <c r="C935" i="1"/>
  <c r="H934" i="1"/>
  <c r="Q933" i="1"/>
  <c r="AN932" i="1"/>
  <c r="G932" i="1"/>
  <c r="J931" i="1"/>
  <c r="S930" i="1"/>
  <c r="C930" i="1"/>
  <c r="H929" i="1"/>
  <c r="Q928" i="1"/>
  <c r="Z927" i="1"/>
  <c r="E927" i="1"/>
  <c r="L926" i="1"/>
  <c r="U925" i="1"/>
  <c r="D925" i="1"/>
  <c r="H924" i="1"/>
  <c r="I923" i="1"/>
  <c r="L922" i="1"/>
  <c r="S921" i="1"/>
  <c r="Z920" i="1"/>
  <c r="Z919" i="1"/>
  <c r="AU918" i="1"/>
  <c r="H918" i="1"/>
  <c r="P917" i="1"/>
  <c r="AN916" i="1"/>
  <c r="F916" i="1"/>
  <c r="G915" i="1"/>
  <c r="P914" i="1"/>
  <c r="Z913" i="1"/>
  <c r="F913" i="1"/>
  <c r="F912" i="1"/>
  <c r="L911" i="1"/>
  <c r="W910" i="1"/>
  <c r="D910" i="1"/>
  <c r="L909" i="1"/>
  <c r="S908" i="1"/>
  <c r="AU907" i="1"/>
  <c r="H907" i="1"/>
  <c r="P906" i="1"/>
  <c r="C906" i="1"/>
  <c r="L905" i="1"/>
  <c r="W904" i="1"/>
  <c r="G904" i="1"/>
  <c r="S903" i="1"/>
  <c r="C903" i="1"/>
  <c r="L902" i="1"/>
  <c r="AU901" i="1"/>
  <c r="L901" i="1"/>
  <c r="AN900" i="1"/>
  <c r="F900" i="1"/>
  <c r="S899" i="1"/>
  <c r="F899" i="1"/>
  <c r="S898" i="1"/>
  <c r="F898" i="1"/>
  <c r="S897" i="1"/>
  <c r="E897" i="1"/>
  <c r="J896" i="1"/>
  <c r="AU895" i="1"/>
  <c r="H895" i="1"/>
  <c r="Z894" i="1"/>
  <c r="F894" i="1"/>
  <c r="U893" i="1"/>
  <c r="E893" i="1"/>
  <c r="S892" i="1"/>
  <c r="G892" i="1"/>
  <c r="W891" i="1"/>
  <c r="I891" i="1"/>
  <c r="AN890" i="1"/>
  <c r="O890" i="1"/>
  <c r="D890" i="1"/>
  <c r="J889" i="1"/>
  <c r="AU888" i="1"/>
  <c r="H888" i="1"/>
  <c r="Z887" i="1"/>
  <c r="F887" i="1"/>
  <c r="U886" i="1"/>
  <c r="H886" i="1"/>
  <c r="Z885" i="1"/>
  <c r="J885" i="1"/>
  <c r="AU884" i="1"/>
  <c r="H884" i="1"/>
  <c r="Z883" i="1"/>
  <c r="J883" i="1"/>
  <c r="AU882" i="1"/>
  <c r="O882" i="1"/>
  <c r="D882" i="1"/>
  <c r="R881" i="1"/>
  <c r="J1002" i="1"/>
  <c r="S979" i="1"/>
  <c r="L977" i="1"/>
  <c r="O975" i="1"/>
  <c r="O974" i="1"/>
  <c r="H973" i="1"/>
  <c r="G972" i="1"/>
  <c r="AU970" i="1"/>
  <c r="Q969" i="1"/>
  <c r="P968" i="1"/>
  <c r="J967" i="1"/>
  <c r="J966" i="1"/>
  <c r="E965" i="1"/>
  <c r="D964" i="1"/>
  <c r="AN962" i="1"/>
  <c r="W961" i="1"/>
  <c r="Q960" i="1"/>
  <c r="J959" i="1"/>
  <c r="H958" i="1"/>
  <c r="F957" i="1"/>
  <c r="D956" i="1"/>
  <c r="AU954" i="1"/>
  <c r="Q953" i="1"/>
  <c r="F952" i="1"/>
  <c r="AU950" i="1"/>
  <c r="I949" i="1"/>
  <c r="I948" i="1"/>
  <c r="D947" i="1"/>
  <c r="AN945" i="1"/>
  <c r="S944" i="1"/>
  <c r="L943" i="1"/>
  <c r="L942" i="1"/>
  <c r="E941" i="1"/>
  <c r="AU939" i="1"/>
  <c r="W938" i="1"/>
  <c r="AN937" i="1"/>
  <c r="D937" i="1"/>
  <c r="H936" i="1"/>
  <c r="Q935" i="1"/>
  <c r="AU934" i="1"/>
  <c r="G934" i="1"/>
  <c r="P933" i="1"/>
  <c r="W932" i="1"/>
  <c r="D932" i="1"/>
  <c r="I931" i="1"/>
  <c r="Q930" i="1"/>
  <c r="AU929" i="1"/>
  <c r="F929" i="1"/>
  <c r="L928" i="1"/>
  <c r="W927" i="1"/>
  <c r="D927" i="1"/>
  <c r="J926" i="1"/>
  <c r="Q925" i="1"/>
  <c r="AN924" i="1"/>
  <c r="G924" i="1"/>
  <c r="H923" i="1"/>
  <c r="J922" i="1"/>
  <c r="J921" i="1"/>
  <c r="L920" i="1"/>
  <c r="W919" i="1"/>
  <c r="AN918" i="1"/>
  <c r="G918" i="1"/>
  <c r="L917" i="1"/>
  <c r="U916" i="1"/>
  <c r="E916" i="1"/>
  <c r="F915" i="1"/>
  <c r="O914" i="1"/>
  <c r="U913" i="1"/>
  <c r="C913" i="1"/>
  <c r="E912" i="1"/>
  <c r="J911" i="1"/>
  <c r="U910" i="1"/>
  <c r="AU909" i="1"/>
  <c r="H909" i="1"/>
  <c r="Q908" i="1"/>
  <c r="AN907" i="1"/>
  <c r="G907" i="1"/>
  <c r="O906" i="1"/>
  <c r="AU905" i="1"/>
  <c r="H905" i="1"/>
  <c r="U904" i="1"/>
  <c r="F904" i="1"/>
  <c r="O903" i="1"/>
  <c r="AU902" i="1"/>
  <c r="J902" i="1"/>
  <c r="AN901" i="1"/>
  <c r="I901" i="1"/>
  <c r="Z900" i="1"/>
  <c r="E900" i="1"/>
  <c r="Q899" i="1"/>
  <c r="E899" i="1"/>
  <c r="Q898" i="1"/>
  <c r="E898" i="1"/>
  <c r="P897" i="1"/>
  <c r="D897" i="1"/>
  <c r="I896" i="1"/>
  <c r="AN895" i="1"/>
  <c r="G895" i="1"/>
  <c r="U894" i="1"/>
  <c r="E894" i="1"/>
  <c r="S893" i="1"/>
  <c r="D893" i="1"/>
  <c r="Q892" i="1"/>
  <c r="F892" i="1"/>
  <c r="U891" i="1"/>
  <c r="H891" i="1"/>
  <c r="Z890" i="1"/>
  <c r="L890" i="1"/>
  <c r="C890" i="1"/>
  <c r="I889" i="1"/>
  <c r="AN888" i="1"/>
  <c r="G888" i="1"/>
  <c r="U887" i="1"/>
  <c r="E887" i="1"/>
  <c r="S886" i="1"/>
  <c r="G886" i="1"/>
  <c r="W885" i="1"/>
  <c r="I885" i="1"/>
  <c r="AN884" i="1"/>
  <c r="G884" i="1"/>
  <c r="W883" i="1"/>
  <c r="I883" i="1"/>
  <c r="AN882" i="1"/>
  <c r="L882" i="1"/>
  <c r="C882" i="1"/>
  <c r="Q881" i="1"/>
  <c r="F881" i="1"/>
  <c r="U880" i="1"/>
  <c r="H880" i="1"/>
  <c r="Z879" i="1"/>
  <c r="J879" i="1"/>
  <c r="AU878" i="1"/>
  <c r="O878" i="1"/>
  <c r="D878" i="1"/>
  <c r="Q877" i="1"/>
  <c r="F877" i="1"/>
  <c r="U876" i="1"/>
  <c r="H876" i="1"/>
  <c r="Z875" i="1"/>
  <c r="J875" i="1"/>
  <c r="AU874" i="1"/>
  <c r="O874" i="1"/>
  <c r="D874" i="1"/>
  <c r="Q873" i="1"/>
  <c r="F873" i="1"/>
  <c r="S872" i="1"/>
  <c r="D872" i="1"/>
  <c r="J871" i="1"/>
  <c r="AU870" i="1"/>
  <c r="H870" i="1"/>
  <c r="Z869" i="1"/>
  <c r="F869" i="1"/>
  <c r="U868" i="1"/>
  <c r="E868" i="1"/>
  <c r="S867" i="1"/>
  <c r="G867" i="1"/>
  <c r="W866" i="1"/>
  <c r="I866" i="1"/>
  <c r="AN865" i="1"/>
  <c r="G865" i="1"/>
  <c r="W864" i="1"/>
  <c r="I864" i="1"/>
  <c r="AN863" i="1"/>
  <c r="L863" i="1"/>
  <c r="C863" i="1"/>
  <c r="P862" i="1"/>
  <c r="E862" i="1"/>
  <c r="D1000" i="1"/>
  <c r="G979" i="1"/>
  <c r="D977" i="1"/>
  <c r="L975" i="1"/>
  <c r="L974" i="1"/>
  <c r="F973" i="1"/>
  <c r="AN971" i="1"/>
  <c r="AN970" i="1"/>
  <c r="O969" i="1"/>
  <c r="O968" i="1"/>
  <c r="G967" i="1"/>
  <c r="E966" i="1"/>
  <c r="D965" i="1"/>
  <c r="AN963" i="1"/>
  <c r="Z962" i="1"/>
  <c r="O961" i="1"/>
  <c r="L960" i="1"/>
  <c r="H959" i="1"/>
  <c r="G958" i="1"/>
  <c r="D957" i="1"/>
  <c r="Z955" i="1"/>
  <c r="S954" i="1"/>
  <c r="L953" i="1"/>
  <c r="E952" i="1"/>
  <c r="U950" i="1"/>
  <c r="G949" i="1"/>
  <c r="C948" i="1"/>
  <c r="C947" i="1"/>
  <c r="Z945" i="1"/>
  <c r="Q944" i="1"/>
  <c r="I943" i="1"/>
  <c r="E942" i="1"/>
  <c r="D941" i="1"/>
  <c r="Z939" i="1"/>
  <c r="U938" i="1"/>
  <c r="W937" i="1"/>
  <c r="AN936" i="1"/>
  <c r="G936" i="1"/>
  <c r="P935" i="1"/>
  <c r="AN934" i="1"/>
  <c r="E934" i="1"/>
  <c r="J933" i="1"/>
  <c r="U932" i="1"/>
  <c r="C932" i="1"/>
  <c r="H931" i="1"/>
  <c r="O930" i="1"/>
  <c r="W929" i="1"/>
  <c r="E929" i="1"/>
  <c r="J928" i="1"/>
  <c r="U927" i="1"/>
  <c r="AU926" i="1"/>
  <c r="G926" i="1"/>
  <c r="P925" i="1"/>
  <c r="Z924" i="1"/>
  <c r="F924" i="1"/>
  <c r="F923" i="1"/>
  <c r="G922" i="1"/>
  <c r="I921" i="1"/>
  <c r="J920" i="1"/>
  <c r="U919" i="1"/>
  <c r="W918" i="1"/>
  <c r="D918" i="1"/>
  <c r="J917" i="1"/>
  <c r="S916" i="1"/>
  <c r="D916" i="1"/>
  <c r="D915" i="1"/>
  <c r="I914" i="1"/>
  <c r="S913" i="1"/>
  <c r="AU912" i="1"/>
  <c r="D912" i="1"/>
  <c r="H911" i="1"/>
  <c r="P910" i="1"/>
  <c r="AN909" i="1"/>
  <c r="G909" i="1"/>
  <c r="P908" i="1"/>
  <c r="W907" i="1"/>
  <c r="D907" i="1"/>
  <c r="L906" i="1"/>
  <c r="AN905" i="1"/>
  <c r="G905" i="1"/>
  <c r="S904" i="1"/>
  <c r="E904" i="1"/>
  <c r="L903" i="1"/>
  <c r="AN902" i="1"/>
  <c r="I902" i="1"/>
  <c r="W901" i="1"/>
  <c r="H901" i="1"/>
  <c r="U900" i="1"/>
  <c r="D900" i="1"/>
  <c r="P899" i="1"/>
  <c r="D899" i="1"/>
  <c r="P898" i="1"/>
  <c r="C898" i="1"/>
  <c r="O897" i="1"/>
  <c r="C897" i="1"/>
  <c r="H896" i="1"/>
  <c r="Z895" i="1"/>
  <c r="F895" i="1"/>
  <c r="S894" i="1"/>
  <c r="D894" i="1"/>
  <c r="L893" i="1"/>
  <c r="C893" i="1"/>
  <c r="P892" i="1"/>
  <c r="E892" i="1"/>
  <c r="S891" i="1"/>
  <c r="G891" i="1"/>
  <c r="W890" i="1"/>
  <c r="J890" i="1"/>
  <c r="AU889" i="1"/>
  <c r="H889" i="1"/>
  <c r="Z888" i="1"/>
  <c r="F888" i="1"/>
  <c r="S887" i="1"/>
  <c r="D887" i="1"/>
  <c r="Q886" i="1"/>
  <c r="F886" i="1"/>
  <c r="U885" i="1"/>
  <c r="H885" i="1"/>
  <c r="Z884" i="1"/>
  <c r="F884" i="1"/>
  <c r="U883" i="1"/>
  <c r="H883" i="1"/>
  <c r="Z882" i="1"/>
  <c r="J882" i="1"/>
  <c r="AU881" i="1"/>
  <c r="P881" i="1"/>
  <c r="E881" i="1"/>
  <c r="S880" i="1"/>
  <c r="G880" i="1"/>
  <c r="W879" i="1"/>
  <c r="I879" i="1"/>
  <c r="AN878" i="1"/>
  <c r="L878" i="1"/>
  <c r="C878" i="1"/>
  <c r="P877" i="1"/>
  <c r="E877" i="1"/>
  <c r="S876" i="1"/>
  <c r="G876" i="1"/>
  <c r="W875" i="1"/>
  <c r="I875" i="1"/>
  <c r="AN874" i="1"/>
  <c r="L874" i="1"/>
  <c r="C874" i="1"/>
  <c r="P873" i="1"/>
  <c r="E873" i="1"/>
  <c r="L872" i="1"/>
  <c r="C872" i="1"/>
  <c r="I871" i="1"/>
  <c r="AN870" i="1"/>
  <c r="G870" i="1"/>
  <c r="U869" i="1"/>
  <c r="E869" i="1"/>
  <c r="S868" i="1"/>
  <c r="D868" i="1"/>
  <c r="Q867" i="1"/>
  <c r="F867" i="1"/>
  <c r="U866" i="1"/>
  <c r="H866" i="1"/>
  <c r="Z865" i="1"/>
  <c r="F865" i="1"/>
  <c r="U864" i="1"/>
  <c r="H864" i="1"/>
  <c r="Z863" i="1"/>
  <c r="J863" i="1"/>
  <c r="AU862" i="1"/>
  <c r="O862" i="1"/>
  <c r="D862" i="1"/>
  <c r="Q861" i="1"/>
  <c r="F861" i="1"/>
  <c r="S860" i="1"/>
  <c r="D860" i="1"/>
  <c r="Q859" i="1"/>
  <c r="H995" i="1"/>
  <c r="AN978" i="1"/>
  <c r="AU976" i="1"/>
  <c r="I975" i="1"/>
  <c r="E974" i="1"/>
  <c r="E973" i="1"/>
  <c r="Z971" i="1"/>
  <c r="Z970" i="1"/>
  <c r="J969" i="1"/>
  <c r="F968" i="1"/>
  <c r="F967" i="1"/>
  <c r="C966" i="1"/>
  <c r="C965" i="1"/>
  <c r="U963" i="1"/>
  <c r="Q962" i="1"/>
  <c r="L961" i="1"/>
  <c r="H960" i="1"/>
  <c r="G959" i="1"/>
  <c r="AU957" i="1"/>
  <c r="AN956" i="1"/>
  <c r="U955" i="1"/>
  <c r="L954" i="1"/>
  <c r="I953" i="1"/>
  <c r="AN951" i="1"/>
  <c r="I950" i="1"/>
  <c r="D949" i="1"/>
  <c r="AU947" i="1"/>
  <c r="Z946" i="1"/>
  <c r="S945" i="1"/>
  <c r="H944" i="1"/>
  <c r="H943" i="1"/>
  <c r="D942" i="1"/>
  <c r="C941" i="1"/>
  <c r="S939" i="1"/>
  <c r="Q938" i="1"/>
  <c r="U937" i="1"/>
  <c r="Z936" i="1"/>
  <c r="F936" i="1"/>
  <c r="L935" i="1"/>
  <c r="U934" i="1"/>
  <c r="D934" i="1"/>
  <c r="I933" i="1"/>
  <c r="S932" i="1"/>
  <c r="AN931" i="1"/>
  <c r="E931" i="1"/>
  <c r="L930" i="1"/>
  <c r="U929" i="1"/>
  <c r="D929" i="1"/>
  <c r="H928" i="1"/>
  <c r="P927" i="1"/>
  <c r="AN926" i="1"/>
  <c r="F926" i="1"/>
  <c r="O925" i="1"/>
  <c r="U924" i="1"/>
  <c r="C924" i="1"/>
  <c r="E923" i="1"/>
  <c r="F922" i="1"/>
  <c r="H921" i="1"/>
  <c r="H920" i="1"/>
  <c r="J919" i="1"/>
  <c r="U918" i="1"/>
  <c r="C918" i="1"/>
  <c r="I917" i="1"/>
  <c r="Q916" i="1"/>
  <c r="AN915" i="1"/>
  <c r="C915" i="1"/>
  <c r="H914" i="1"/>
  <c r="Q913" i="1"/>
  <c r="Z912" i="1"/>
  <c r="AN911" i="1"/>
  <c r="G911" i="1"/>
  <c r="O910" i="1"/>
  <c r="Z909" i="1"/>
  <c r="E909" i="1"/>
  <c r="J908" i="1"/>
  <c r="U907" i="1"/>
  <c r="C907" i="1"/>
  <c r="AU992" i="1"/>
  <c r="O978" i="1"/>
  <c r="S976" i="1"/>
  <c r="F975" i="1"/>
  <c r="D974" i="1"/>
  <c r="AU972" i="1"/>
  <c r="U971" i="1"/>
  <c r="H970" i="1"/>
  <c r="I969" i="1"/>
  <c r="E968" i="1"/>
  <c r="E967" i="1"/>
  <c r="AN965" i="1"/>
  <c r="S964" i="1"/>
  <c r="S963" i="1"/>
  <c r="J962" i="1"/>
  <c r="J961" i="1"/>
  <c r="E960" i="1"/>
  <c r="AU958" i="1"/>
  <c r="AN957" i="1"/>
  <c r="U956" i="1"/>
  <c r="S955" i="1"/>
  <c r="F954" i="1"/>
  <c r="F953" i="1"/>
  <c r="U951" i="1"/>
  <c r="H950" i="1"/>
  <c r="AU948" i="1"/>
  <c r="U947" i="1"/>
  <c r="R946" i="1"/>
  <c r="I945" i="1"/>
  <c r="G944" i="1"/>
  <c r="E943" i="1"/>
  <c r="AU941" i="1"/>
  <c r="S940" i="1"/>
  <c r="L939" i="1"/>
  <c r="L938" i="1"/>
  <c r="P937" i="1"/>
  <c r="U936" i="1"/>
  <c r="C936" i="1"/>
  <c r="J935" i="1"/>
  <c r="S934" i="1"/>
  <c r="C934" i="1"/>
  <c r="G933" i="1"/>
  <c r="O932" i="1"/>
  <c r="Z931" i="1"/>
  <c r="D931" i="1"/>
  <c r="J930" i="1"/>
  <c r="Q929" i="1"/>
  <c r="AN928" i="1"/>
  <c r="G928" i="1"/>
  <c r="O927" i="1"/>
  <c r="Z926" i="1"/>
  <c r="D926" i="1"/>
  <c r="I925" i="1"/>
  <c r="S924" i="1"/>
  <c r="AU923" i="1"/>
  <c r="D923" i="1"/>
  <c r="D922" i="1"/>
  <c r="E921" i="1"/>
  <c r="G920" i="1"/>
  <c r="I919" i="1"/>
  <c r="S918" i="1"/>
  <c r="AN917" i="1"/>
  <c r="F917" i="1"/>
  <c r="P916" i="1"/>
  <c r="Z915" i="1"/>
  <c r="AU914" i="1"/>
  <c r="F914" i="1"/>
  <c r="L913" i="1"/>
  <c r="U912" i="1"/>
  <c r="Z911" i="1"/>
  <c r="F911" i="1"/>
  <c r="J910" i="1"/>
  <c r="S909" i="1"/>
  <c r="D909" i="1"/>
  <c r="I908" i="1"/>
  <c r="S907" i="1"/>
  <c r="AN906" i="1"/>
  <c r="I906" i="1"/>
  <c r="S905" i="1"/>
  <c r="E905" i="1"/>
  <c r="P904" i="1"/>
  <c r="AN903" i="1"/>
  <c r="I903" i="1"/>
  <c r="W902" i="1"/>
  <c r="F902" i="1"/>
  <c r="S901" i="1"/>
  <c r="F901" i="1"/>
  <c r="L900" i="1"/>
  <c r="AU899" i="1"/>
  <c r="L899" i="1"/>
  <c r="AN898" i="1"/>
  <c r="J898" i="1"/>
  <c r="AN897" i="1"/>
  <c r="J897" i="1"/>
  <c r="AN896" i="1"/>
  <c r="F896" i="1"/>
  <c r="S895" i="1"/>
  <c r="D895" i="1"/>
  <c r="J894" i="1"/>
  <c r="AU893" i="1"/>
  <c r="I893" i="1"/>
  <c r="AN892" i="1"/>
  <c r="L892" i="1"/>
  <c r="C892" i="1"/>
  <c r="P891" i="1"/>
  <c r="E891" i="1"/>
  <c r="S890" i="1"/>
  <c r="H890" i="1"/>
  <c r="Z889" i="1"/>
  <c r="F889" i="1"/>
  <c r="S888" i="1"/>
  <c r="D888" i="1"/>
  <c r="J887" i="1"/>
  <c r="AU886" i="1"/>
  <c r="O886" i="1"/>
  <c r="D886" i="1"/>
  <c r="Q885" i="1"/>
  <c r="F885" i="1"/>
  <c r="S884" i="1"/>
  <c r="D884" i="1"/>
  <c r="Q883" i="1"/>
  <c r="F883" i="1"/>
  <c r="U882" i="1"/>
  <c r="H882" i="1"/>
  <c r="Z881" i="1"/>
  <c r="L881" i="1"/>
  <c r="C881" i="1"/>
  <c r="P880" i="1"/>
  <c r="E880" i="1"/>
  <c r="S879" i="1"/>
  <c r="G879" i="1"/>
  <c r="W878" i="1"/>
  <c r="I878" i="1"/>
  <c r="AN877" i="1"/>
  <c r="L877" i="1"/>
  <c r="C877" i="1"/>
  <c r="P876" i="1"/>
  <c r="E876" i="1"/>
  <c r="S875" i="1"/>
  <c r="G875" i="1"/>
  <c r="W874" i="1"/>
  <c r="I874" i="1"/>
  <c r="AN873" i="1"/>
  <c r="L873" i="1"/>
  <c r="C873" i="1"/>
  <c r="I872" i="1"/>
  <c r="AN871" i="1"/>
  <c r="G871" i="1"/>
  <c r="U870" i="1"/>
  <c r="E870" i="1"/>
  <c r="L869" i="1"/>
  <c r="C869" i="1"/>
  <c r="J868" i="1"/>
  <c r="AU867" i="1"/>
  <c r="O867" i="1"/>
  <c r="D867" i="1"/>
  <c r="Q866" i="1"/>
  <c r="F866" i="1"/>
  <c r="S865" i="1"/>
  <c r="D865" i="1"/>
  <c r="Q864" i="1"/>
  <c r="F864" i="1"/>
  <c r="U863" i="1"/>
  <c r="H863" i="1"/>
  <c r="Z862" i="1"/>
  <c r="J862" i="1"/>
  <c r="AU861" i="1"/>
  <c r="O861" i="1"/>
  <c r="D861" i="1"/>
  <c r="J860" i="1"/>
  <c r="AU859" i="1"/>
  <c r="O859" i="1"/>
  <c r="D859" i="1"/>
  <c r="Q858" i="1"/>
  <c r="AU989" i="1"/>
  <c r="F969" i="1"/>
  <c r="D960" i="1"/>
  <c r="C950" i="1"/>
  <c r="Q940" i="1"/>
  <c r="Z933" i="1"/>
  <c r="F928" i="1"/>
  <c r="C922" i="1"/>
  <c r="S915" i="1"/>
  <c r="R909" i="1"/>
  <c r="W906" i="1"/>
  <c r="D905" i="1"/>
  <c r="J903" i="1"/>
  <c r="D902" i="1"/>
  <c r="J900" i="1"/>
  <c r="C899" i="1"/>
  <c r="W897" i="1"/>
  <c r="E896" i="1"/>
  <c r="L894" i="1"/>
  <c r="G893" i="1"/>
  <c r="AU891" i="1"/>
  <c r="U890" i="1"/>
  <c r="S889" i="1"/>
  <c r="C888" i="1"/>
  <c r="P886" i="1"/>
  <c r="O885" i="1"/>
  <c r="C884" i="1"/>
  <c r="W882" i="1"/>
  <c r="U881" i="1"/>
  <c r="Z880" i="1"/>
  <c r="D880" i="1"/>
  <c r="L879" i="1"/>
  <c r="S878" i="1"/>
  <c r="AU877" i="1"/>
  <c r="H877" i="1"/>
  <c r="O876" i="1"/>
  <c r="AN875" i="1"/>
  <c r="E875" i="1"/>
  <c r="J874" i="1"/>
  <c r="U873" i="1"/>
  <c r="AU872" i="1"/>
  <c r="E872" i="1"/>
  <c r="E871" i="1"/>
  <c r="F870" i="1"/>
  <c r="H869" i="1"/>
  <c r="I868" i="1"/>
  <c r="U867" i="1"/>
  <c r="AU866" i="1"/>
  <c r="G866" i="1"/>
  <c r="I865" i="1"/>
  <c r="P864" i="1"/>
  <c r="AU863" i="1"/>
  <c r="F863" i="1"/>
  <c r="L862" i="1"/>
  <c r="W861" i="1"/>
  <c r="G861" i="1"/>
  <c r="I860" i="1"/>
  <c r="W859" i="1"/>
  <c r="G859" i="1"/>
  <c r="U858" i="1"/>
  <c r="G858" i="1"/>
  <c r="W857" i="1"/>
  <c r="I857" i="1"/>
  <c r="AN856" i="1"/>
  <c r="L856" i="1"/>
  <c r="C856" i="1"/>
  <c r="P855" i="1"/>
  <c r="E855" i="1"/>
  <c r="S854" i="1"/>
  <c r="G854" i="1"/>
  <c r="W853" i="1"/>
  <c r="I853" i="1"/>
  <c r="AN852" i="1"/>
  <c r="L852" i="1"/>
  <c r="C852" i="1"/>
  <c r="P851" i="1"/>
  <c r="E851" i="1"/>
  <c r="S850" i="1"/>
  <c r="G850" i="1"/>
  <c r="W849" i="1"/>
  <c r="I849" i="1"/>
  <c r="AN848" i="1"/>
  <c r="L848" i="1"/>
  <c r="C848" i="1"/>
  <c r="I847" i="1"/>
  <c r="AN846" i="1"/>
  <c r="O846" i="1"/>
  <c r="D846" i="1"/>
  <c r="J845" i="1"/>
  <c r="AU844" i="1"/>
  <c r="H844" i="1"/>
  <c r="Z843" i="1"/>
  <c r="F843" i="1"/>
  <c r="U842" i="1"/>
  <c r="E842" i="1"/>
  <c r="S841" i="1"/>
  <c r="G841" i="1"/>
  <c r="W840" i="1"/>
  <c r="I840" i="1"/>
  <c r="AN839" i="1"/>
  <c r="G839" i="1"/>
  <c r="W838" i="1"/>
  <c r="I838" i="1"/>
  <c r="AN837" i="1"/>
  <c r="L837" i="1"/>
  <c r="C837" i="1"/>
  <c r="P836" i="1"/>
  <c r="E836" i="1"/>
  <c r="S835" i="1"/>
  <c r="F835" i="1"/>
  <c r="U834" i="1"/>
  <c r="H834" i="1"/>
  <c r="Z833" i="1"/>
  <c r="F833" i="1"/>
  <c r="U832" i="1"/>
  <c r="I832" i="1"/>
  <c r="AN831" i="1"/>
  <c r="L831" i="1"/>
  <c r="C831" i="1"/>
  <c r="P830" i="1"/>
  <c r="E830" i="1"/>
  <c r="S829" i="1"/>
  <c r="G829" i="1"/>
  <c r="W828" i="1"/>
  <c r="I828" i="1"/>
  <c r="AN827" i="1"/>
  <c r="L827" i="1"/>
  <c r="H978" i="1"/>
  <c r="C968" i="1"/>
  <c r="Z958" i="1"/>
  <c r="W948" i="1"/>
  <c r="H939" i="1"/>
  <c r="F933" i="1"/>
  <c r="J927" i="1"/>
  <c r="D921" i="1"/>
  <c r="W914" i="1"/>
  <c r="C909" i="1"/>
  <c r="J906" i="1"/>
  <c r="C905" i="1"/>
  <c r="H903" i="1"/>
  <c r="U901" i="1"/>
  <c r="I900" i="1"/>
  <c r="Z898" i="1"/>
  <c r="L897" i="1"/>
  <c r="D896" i="1"/>
  <c r="I894" i="1"/>
  <c r="AU892" i="1"/>
  <c r="AN891" i="1"/>
  <c r="R890" i="1"/>
  <c r="G889" i="1"/>
  <c r="AU887" i="1"/>
  <c r="L886" i="1"/>
  <c r="G885" i="1"/>
  <c r="AU883" i="1"/>
  <c r="S882" i="1"/>
  <c r="O881" i="1"/>
  <c r="W880" i="1"/>
  <c r="C880" i="1"/>
  <c r="H879" i="1"/>
  <c r="Q878" i="1"/>
  <c r="Z877" i="1"/>
  <c r="G877" i="1"/>
  <c r="L876" i="1"/>
  <c r="U875" i="1"/>
  <c r="D875" i="1"/>
  <c r="H874" i="1"/>
  <c r="S873" i="1"/>
  <c r="AN872" i="1"/>
  <c r="AU871" i="1"/>
  <c r="D871" i="1"/>
  <c r="D870" i="1"/>
  <c r="G869" i="1"/>
  <c r="H868" i="1"/>
  <c r="P867" i="1"/>
  <c r="AN866" i="1"/>
  <c r="E866" i="1"/>
  <c r="H865" i="1"/>
  <c r="O864" i="1"/>
  <c r="W863" i="1"/>
  <c r="E863" i="1"/>
  <c r="I862" i="1"/>
  <c r="U861" i="1"/>
  <c r="E861" i="1"/>
  <c r="H860" i="1"/>
  <c r="U859" i="1"/>
  <c r="F859" i="1"/>
  <c r="S858" i="1"/>
  <c r="F858" i="1"/>
  <c r="U857" i="1"/>
  <c r="H857" i="1"/>
  <c r="Z856" i="1"/>
  <c r="J856" i="1"/>
  <c r="AU855" i="1"/>
  <c r="O855" i="1"/>
  <c r="D855" i="1"/>
  <c r="Q854" i="1"/>
  <c r="F854" i="1"/>
  <c r="U853" i="1"/>
  <c r="H853" i="1"/>
  <c r="Z852" i="1"/>
  <c r="J852" i="1"/>
  <c r="AU851" i="1"/>
  <c r="O851" i="1"/>
  <c r="D851" i="1"/>
  <c r="Q850" i="1"/>
  <c r="F850" i="1"/>
  <c r="U849" i="1"/>
  <c r="H849" i="1"/>
  <c r="Z848" i="1"/>
  <c r="J848" i="1"/>
  <c r="AU847" i="1"/>
  <c r="H847" i="1"/>
  <c r="Z846" i="1"/>
  <c r="L846" i="1"/>
  <c r="C846" i="1"/>
  <c r="I845" i="1"/>
  <c r="AN844" i="1"/>
  <c r="G844" i="1"/>
  <c r="U843" i="1"/>
  <c r="E843" i="1"/>
  <c r="S842" i="1"/>
  <c r="D842" i="1"/>
  <c r="Q841" i="1"/>
  <c r="F841" i="1"/>
  <c r="U840" i="1"/>
  <c r="H840" i="1"/>
  <c r="Z839" i="1"/>
  <c r="F839" i="1"/>
  <c r="U838" i="1"/>
  <c r="H838" i="1"/>
  <c r="Z837" i="1"/>
  <c r="J837" i="1"/>
  <c r="AU836" i="1"/>
  <c r="O836" i="1"/>
  <c r="D836" i="1"/>
  <c r="R835" i="1"/>
  <c r="E835" i="1"/>
  <c r="S834" i="1"/>
  <c r="G834" i="1"/>
  <c r="U833" i="1"/>
  <c r="G976" i="1"/>
  <c r="W966" i="1"/>
  <c r="Z957" i="1"/>
  <c r="Q947" i="1"/>
  <c r="I938" i="1"/>
  <c r="L932" i="1"/>
  <c r="S926" i="1"/>
  <c r="F920" i="1"/>
  <c r="E914" i="1"/>
  <c r="Z908" i="1"/>
  <c r="F906" i="1"/>
  <c r="Q904" i="1"/>
  <c r="G903" i="1"/>
  <c r="Q901" i="1"/>
  <c r="C900" i="1"/>
  <c r="W898" i="1"/>
  <c r="I897" i="1"/>
  <c r="U895" i="1"/>
  <c r="H894" i="1"/>
  <c r="Z892" i="1"/>
  <c r="Q891" i="1"/>
  <c r="Q890" i="1"/>
  <c r="E889" i="1"/>
  <c r="L887" i="1"/>
  <c r="J886" i="1"/>
  <c r="E885" i="1"/>
  <c r="S883" i="1"/>
  <c r="Q882" i="1"/>
  <c r="J881" i="1"/>
  <c r="Q880" i="1"/>
  <c r="AU879" i="1"/>
  <c r="F879" i="1"/>
  <c r="P878" i="1"/>
  <c r="W877" i="1"/>
  <c r="D877" i="1"/>
  <c r="J876" i="1"/>
  <c r="Q875" i="1"/>
  <c r="C875" i="1"/>
  <c r="G874" i="1"/>
  <c r="O873" i="1"/>
  <c r="Z872" i="1"/>
  <c r="Z871" i="1"/>
  <c r="C871" i="1"/>
  <c r="C870" i="1"/>
  <c r="D869" i="1"/>
  <c r="G868" i="1"/>
  <c r="L867" i="1"/>
  <c r="Z866" i="1"/>
  <c r="D866" i="1"/>
  <c r="E865" i="1"/>
  <c r="L864" i="1"/>
  <c r="S863" i="1"/>
  <c r="D863" i="1"/>
  <c r="H862" i="1"/>
  <c r="S861" i="1"/>
  <c r="C861" i="1"/>
  <c r="G860" i="1"/>
  <c r="S859" i="1"/>
  <c r="E859" i="1"/>
  <c r="P858" i="1"/>
  <c r="E858" i="1"/>
  <c r="S857" i="1"/>
  <c r="G857" i="1"/>
  <c r="W856" i="1"/>
  <c r="I856" i="1"/>
  <c r="AN855" i="1"/>
  <c r="L855" i="1"/>
  <c r="C855" i="1"/>
  <c r="P854" i="1"/>
  <c r="E854" i="1"/>
  <c r="S853" i="1"/>
  <c r="G853" i="1"/>
  <c r="W852" i="1"/>
  <c r="I852" i="1"/>
  <c r="AN851" i="1"/>
  <c r="L851" i="1"/>
  <c r="C851" i="1"/>
  <c r="P850" i="1"/>
  <c r="E850" i="1"/>
  <c r="S849" i="1"/>
  <c r="G849" i="1"/>
  <c r="W848" i="1"/>
  <c r="I848" i="1"/>
  <c r="AN847" i="1"/>
  <c r="G847" i="1"/>
  <c r="W846" i="1"/>
  <c r="J846" i="1"/>
  <c r="AU845" i="1"/>
  <c r="H845" i="1"/>
  <c r="Z844" i="1"/>
  <c r="F844" i="1"/>
  <c r="S843" i="1"/>
  <c r="D843" i="1"/>
  <c r="L842" i="1"/>
  <c r="C842" i="1"/>
  <c r="P841" i="1"/>
  <c r="E841" i="1"/>
  <c r="S840" i="1"/>
  <c r="G840" i="1"/>
  <c r="U839" i="1"/>
  <c r="E839" i="1"/>
  <c r="S838" i="1"/>
  <c r="G838" i="1"/>
  <c r="W837" i="1"/>
  <c r="I837" i="1"/>
  <c r="AN836" i="1"/>
  <c r="L836" i="1"/>
  <c r="C836" i="1"/>
  <c r="Q835" i="1"/>
  <c r="D835" i="1"/>
  <c r="Q834" i="1"/>
  <c r="F834" i="1"/>
  <c r="S833" i="1"/>
  <c r="D833" i="1"/>
  <c r="R832" i="1"/>
  <c r="G832" i="1"/>
  <c r="W831" i="1"/>
  <c r="I831" i="1"/>
  <c r="AN830" i="1"/>
  <c r="L830" i="1"/>
  <c r="C830" i="1"/>
  <c r="P829" i="1"/>
  <c r="E829" i="1"/>
  <c r="S828" i="1"/>
  <c r="G828" i="1"/>
  <c r="W827" i="1"/>
  <c r="I827" i="1"/>
  <c r="AN826" i="1"/>
  <c r="J826" i="1"/>
  <c r="AU825" i="1"/>
  <c r="O825" i="1"/>
  <c r="D825" i="1"/>
  <c r="Q824" i="1"/>
  <c r="F824" i="1"/>
  <c r="U823" i="1"/>
  <c r="H823" i="1"/>
  <c r="Z822" i="1"/>
  <c r="J822" i="1"/>
  <c r="AU821" i="1"/>
  <c r="O821" i="1"/>
  <c r="D821" i="1"/>
  <c r="Q820" i="1"/>
  <c r="F820" i="1"/>
  <c r="U819" i="1"/>
  <c r="H819" i="1"/>
  <c r="Z818" i="1"/>
  <c r="F818" i="1"/>
  <c r="U817" i="1"/>
  <c r="I817" i="1"/>
  <c r="AN816" i="1"/>
  <c r="G816" i="1"/>
  <c r="U815" i="1"/>
  <c r="E815" i="1"/>
  <c r="L814" i="1"/>
  <c r="C814" i="1"/>
  <c r="J813" i="1"/>
  <c r="AU812" i="1"/>
  <c r="O812" i="1"/>
  <c r="D812" i="1"/>
  <c r="Q811" i="1"/>
  <c r="F811" i="1"/>
  <c r="U810" i="1"/>
  <c r="I810" i="1"/>
  <c r="AN809" i="1"/>
  <c r="G809" i="1"/>
  <c r="W808" i="1"/>
  <c r="I808" i="1"/>
  <c r="AN807" i="1"/>
  <c r="L807" i="1"/>
  <c r="C807" i="1"/>
  <c r="P806" i="1"/>
  <c r="E806" i="1"/>
  <c r="S805" i="1"/>
  <c r="G805" i="1"/>
  <c r="U804" i="1"/>
  <c r="E804" i="1"/>
  <c r="S803" i="1"/>
  <c r="H803" i="1"/>
  <c r="Z802" i="1"/>
  <c r="J802" i="1"/>
  <c r="AU801" i="1"/>
  <c r="O801" i="1"/>
  <c r="D801" i="1"/>
  <c r="R800" i="1"/>
  <c r="G800" i="1"/>
  <c r="W799" i="1"/>
  <c r="I799" i="1"/>
  <c r="AN798" i="1"/>
  <c r="L798" i="1"/>
  <c r="C798" i="1"/>
  <c r="P797" i="1"/>
  <c r="E797" i="1"/>
  <c r="S796" i="1"/>
  <c r="G796" i="1"/>
  <c r="W795" i="1"/>
  <c r="I795" i="1"/>
  <c r="AN794" i="1"/>
  <c r="L794" i="1"/>
  <c r="C794" i="1"/>
  <c r="P793" i="1"/>
  <c r="E793" i="1"/>
  <c r="S792" i="1"/>
  <c r="G792" i="1"/>
  <c r="W791" i="1"/>
  <c r="I791" i="1"/>
  <c r="AN790" i="1"/>
  <c r="L790" i="1"/>
  <c r="C790" i="1"/>
  <c r="I789" i="1"/>
  <c r="AN788" i="1"/>
  <c r="O788" i="1"/>
  <c r="D788" i="1"/>
  <c r="J787" i="1"/>
  <c r="AU786" i="1"/>
  <c r="H786" i="1"/>
  <c r="Z785" i="1"/>
  <c r="D975" i="1"/>
  <c r="Z965" i="1"/>
  <c r="P956" i="1"/>
  <c r="Q946" i="1"/>
  <c r="J937" i="1"/>
  <c r="W931" i="1"/>
  <c r="C926" i="1"/>
  <c r="G919" i="1"/>
  <c r="J913" i="1"/>
  <c r="G908" i="1"/>
  <c r="E906" i="1"/>
  <c r="J904" i="1"/>
  <c r="Z902" i="1"/>
  <c r="P901" i="1"/>
  <c r="AN899" i="1"/>
  <c r="L898" i="1"/>
  <c r="H897" i="1"/>
  <c r="L895" i="1"/>
  <c r="C894" i="1"/>
  <c r="W892" i="1"/>
  <c r="O891" i="1"/>
  <c r="I890" i="1"/>
  <c r="D889" i="1"/>
  <c r="I887" i="1"/>
  <c r="E886" i="1"/>
  <c r="D885" i="1"/>
  <c r="P883" i="1"/>
  <c r="I882" i="1"/>
  <c r="I881" i="1"/>
  <c r="O880" i="1"/>
  <c r="AN879" i="1"/>
  <c r="E879" i="1"/>
  <c r="J878" i="1"/>
  <c r="U877" i="1"/>
  <c r="AU876" i="1"/>
  <c r="I876" i="1"/>
  <c r="P875" i="1"/>
  <c r="Z874" i="1"/>
  <c r="F874" i="1"/>
  <c r="J873" i="1"/>
  <c r="U872" i="1"/>
  <c r="U871" i="1"/>
  <c r="Z870" i="1"/>
  <c r="AU869" i="1"/>
  <c r="AU868" i="1"/>
  <c r="F868" i="1"/>
  <c r="J867" i="1"/>
  <c r="S866" i="1"/>
  <c r="C866" i="1"/>
  <c r="C865" i="1"/>
  <c r="J864" i="1"/>
  <c r="Q863" i="1"/>
  <c r="AN862" i="1"/>
  <c r="G862" i="1"/>
  <c r="P861" i="1"/>
  <c r="AU860" i="1"/>
  <c r="F860" i="1"/>
  <c r="P859" i="1"/>
  <c r="C859" i="1"/>
  <c r="O858" i="1"/>
  <c r="D858" i="1"/>
  <c r="Q857" i="1"/>
  <c r="F857" i="1"/>
  <c r="U856" i="1"/>
  <c r="H856" i="1"/>
  <c r="Z855" i="1"/>
  <c r="J855" i="1"/>
  <c r="AU854" i="1"/>
  <c r="O854" i="1"/>
  <c r="D854" i="1"/>
  <c r="Q853" i="1"/>
  <c r="F853" i="1"/>
  <c r="U852" i="1"/>
  <c r="H852" i="1"/>
  <c r="Z851" i="1"/>
  <c r="J851" i="1"/>
  <c r="AU850" i="1"/>
  <c r="O850" i="1"/>
  <c r="D850" i="1"/>
  <c r="Q849" i="1"/>
  <c r="F849" i="1"/>
  <c r="U848" i="1"/>
  <c r="H848" i="1"/>
  <c r="Z847" i="1"/>
  <c r="F847" i="1"/>
  <c r="U846" i="1"/>
  <c r="I846" i="1"/>
  <c r="AN845" i="1"/>
  <c r="G845" i="1"/>
  <c r="U844" i="1"/>
  <c r="E844" i="1"/>
  <c r="L843" i="1"/>
  <c r="C843" i="1"/>
  <c r="J842" i="1"/>
  <c r="AU841" i="1"/>
  <c r="O841" i="1"/>
  <c r="D841" i="1"/>
  <c r="Q840" i="1"/>
  <c r="F840" i="1"/>
  <c r="S839" i="1"/>
  <c r="D839" i="1"/>
  <c r="Q838" i="1"/>
  <c r="F838" i="1"/>
  <c r="U837" i="1"/>
  <c r="H837" i="1"/>
  <c r="Z836" i="1"/>
  <c r="J836" i="1"/>
  <c r="AU835" i="1"/>
  <c r="L835" i="1"/>
  <c r="C835" i="1"/>
  <c r="P834" i="1"/>
  <c r="E834" i="1"/>
  <c r="L833" i="1"/>
  <c r="C833" i="1"/>
  <c r="Q832" i="1"/>
  <c r="F832" i="1"/>
  <c r="U831" i="1"/>
  <c r="H831" i="1"/>
  <c r="Z830" i="1"/>
  <c r="J830" i="1"/>
  <c r="AU829" i="1"/>
  <c r="O829" i="1"/>
  <c r="D829" i="1"/>
  <c r="Q828" i="1"/>
  <c r="F828" i="1"/>
  <c r="U827" i="1"/>
  <c r="H827" i="1"/>
  <c r="Z826" i="1"/>
  <c r="I826" i="1"/>
  <c r="AN825" i="1"/>
  <c r="L825" i="1"/>
  <c r="C825" i="1"/>
  <c r="P824" i="1"/>
  <c r="E824" i="1"/>
  <c r="S823" i="1"/>
  <c r="G823" i="1"/>
  <c r="W822" i="1"/>
  <c r="I822" i="1"/>
  <c r="AN821" i="1"/>
  <c r="L821" i="1"/>
  <c r="C821" i="1"/>
  <c r="P820" i="1"/>
  <c r="E820" i="1"/>
  <c r="S819" i="1"/>
  <c r="G819" i="1"/>
  <c r="U818" i="1"/>
  <c r="E818" i="1"/>
  <c r="S817" i="1"/>
  <c r="H817" i="1"/>
  <c r="Z816" i="1"/>
  <c r="F816" i="1"/>
  <c r="S815" i="1"/>
  <c r="D815" i="1"/>
  <c r="J814" i="1"/>
  <c r="AU813" i="1"/>
  <c r="I813" i="1"/>
  <c r="AN812" i="1"/>
  <c r="L812" i="1"/>
  <c r="C812" i="1"/>
  <c r="P811" i="1"/>
  <c r="E811" i="1"/>
  <c r="S810" i="1"/>
  <c r="H810" i="1"/>
  <c r="Z809" i="1"/>
  <c r="F809" i="1"/>
  <c r="U808" i="1"/>
  <c r="H808" i="1"/>
  <c r="Z807" i="1"/>
  <c r="J807" i="1"/>
  <c r="AU806" i="1"/>
  <c r="O806" i="1"/>
  <c r="D806" i="1"/>
  <c r="Q805" i="1"/>
  <c r="F805" i="1"/>
  <c r="S804" i="1"/>
  <c r="D804" i="1"/>
  <c r="R803" i="1"/>
  <c r="G803" i="1"/>
  <c r="W802" i="1"/>
  <c r="I802" i="1"/>
  <c r="AN801" i="1"/>
  <c r="L801" i="1"/>
  <c r="C801" i="1"/>
  <c r="Q800" i="1"/>
  <c r="F800" i="1"/>
  <c r="U799" i="1"/>
  <c r="H799" i="1"/>
  <c r="Z798" i="1"/>
  <c r="J798" i="1"/>
  <c r="AU797" i="1"/>
  <c r="O797" i="1"/>
  <c r="D797" i="1"/>
  <c r="Q796" i="1"/>
  <c r="F796" i="1"/>
  <c r="U795" i="1"/>
  <c r="H795" i="1"/>
  <c r="Z794" i="1"/>
  <c r="J794" i="1"/>
  <c r="AU793" i="1"/>
  <c r="O793" i="1"/>
  <c r="D793" i="1"/>
  <c r="Q792" i="1"/>
  <c r="F792" i="1"/>
  <c r="U791" i="1"/>
  <c r="H791" i="1"/>
  <c r="Z973" i="1"/>
  <c r="Q964" i="1"/>
  <c r="J955" i="1"/>
  <c r="G945" i="1"/>
  <c r="S936" i="1"/>
  <c r="AU930" i="1"/>
  <c r="H925" i="1"/>
  <c r="O918" i="1"/>
  <c r="S912" i="1"/>
  <c r="F908" i="1"/>
  <c r="U905" i="1"/>
  <c r="I904" i="1"/>
  <c r="Q902" i="1"/>
  <c r="G901" i="1"/>
  <c r="W899" i="1"/>
  <c r="I898" i="1"/>
  <c r="AU896" i="1"/>
  <c r="J895" i="1"/>
  <c r="AN893" i="1"/>
  <c r="O892" i="1"/>
  <c r="L891" i="1"/>
  <c r="G890" i="1"/>
  <c r="U888" i="1"/>
  <c r="H887" i="1"/>
  <c r="C886" i="1"/>
  <c r="U884" i="1"/>
  <c r="O883" i="1"/>
  <c r="G882" i="1"/>
  <c r="G881" i="1"/>
  <c r="L880" i="1"/>
  <c r="U879" i="1"/>
  <c r="D879" i="1"/>
  <c r="H878" i="1"/>
  <c r="S877" i="1"/>
  <c r="AN876" i="1"/>
  <c r="F876" i="1"/>
  <c r="O875" i="1"/>
  <c r="U874" i="1"/>
  <c r="E874" i="1"/>
  <c r="I873" i="1"/>
  <c r="J872" i="1"/>
  <c r="S871" i="1"/>
  <c r="S870" i="1"/>
  <c r="AN869" i="1"/>
  <c r="AN868" i="1"/>
  <c r="C868" i="1"/>
  <c r="I867" i="1"/>
  <c r="P866" i="1"/>
  <c r="AU865" i="1"/>
  <c r="AU864" i="1"/>
  <c r="G864" i="1"/>
  <c r="P863" i="1"/>
  <c r="W862" i="1"/>
  <c r="F862" i="1"/>
  <c r="L861" i="1"/>
  <c r="AN860" i="1"/>
  <c r="E860" i="1"/>
  <c r="L859" i="1"/>
  <c r="AU858" i="1"/>
  <c r="L858" i="1"/>
  <c r="C858" i="1"/>
  <c r="P857" i="1"/>
  <c r="E857" i="1"/>
  <c r="S856" i="1"/>
  <c r="G856" i="1"/>
  <c r="W855" i="1"/>
  <c r="I855" i="1"/>
  <c r="AN854" i="1"/>
  <c r="L854" i="1"/>
  <c r="C854" i="1"/>
  <c r="P853" i="1"/>
  <c r="E853" i="1"/>
  <c r="S852" i="1"/>
  <c r="G852" i="1"/>
  <c r="W851" i="1"/>
  <c r="I851" i="1"/>
  <c r="AN850" i="1"/>
  <c r="L850" i="1"/>
  <c r="C850" i="1"/>
  <c r="P849" i="1"/>
  <c r="E849" i="1"/>
  <c r="S848" i="1"/>
  <c r="G848" i="1"/>
  <c r="U847" i="1"/>
  <c r="E847" i="1"/>
  <c r="S846" i="1"/>
  <c r="H846" i="1"/>
  <c r="Z845" i="1"/>
  <c r="F845" i="1"/>
  <c r="S844" i="1"/>
  <c r="D844" i="1"/>
  <c r="J843" i="1"/>
  <c r="AU842" i="1"/>
  <c r="I842" i="1"/>
  <c r="AN841" i="1"/>
  <c r="L841" i="1"/>
  <c r="C841" i="1"/>
  <c r="P840" i="1"/>
  <c r="E840" i="1"/>
  <c r="L839" i="1"/>
  <c r="C839" i="1"/>
  <c r="P838" i="1"/>
  <c r="E838" i="1"/>
  <c r="S837" i="1"/>
  <c r="G837" i="1"/>
  <c r="W836" i="1"/>
  <c r="I836" i="1"/>
  <c r="AN835" i="1"/>
  <c r="J835" i="1"/>
  <c r="AU834" i="1"/>
  <c r="O834" i="1"/>
  <c r="D834" i="1"/>
  <c r="J833" i="1"/>
  <c r="AU832" i="1"/>
  <c r="P832" i="1"/>
  <c r="E832" i="1"/>
  <c r="S831" i="1"/>
  <c r="G831" i="1"/>
  <c r="W830" i="1"/>
  <c r="I830" i="1"/>
  <c r="AN829" i="1"/>
  <c r="L829" i="1"/>
  <c r="C829" i="1"/>
  <c r="P828" i="1"/>
  <c r="E828" i="1"/>
  <c r="S827" i="1"/>
  <c r="G827" i="1"/>
  <c r="U972" i="1"/>
  <c r="Q963" i="1"/>
  <c r="E954" i="1"/>
  <c r="C944" i="1"/>
  <c r="AU935" i="1"/>
  <c r="G930" i="1"/>
  <c r="Q924" i="1"/>
  <c r="Z917" i="1"/>
  <c r="U911" i="1"/>
  <c r="O907" i="1"/>
  <c r="Q905" i="1"/>
  <c r="AU903" i="1"/>
  <c r="P902" i="1"/>
  <c r="E901" i="1"/>
  <c r="O899" i="1"/>
  <c r="H898" i="1"/>
  <c r="Z896" i="1"/>
  <c r="E895" i="1"/>
  <c r="Z893" i="1"/>
  <c r="J892" i="1"/>
  <c r="F891" i="1"/>
  <c r="F890" i="1"/>
  <c r="L888" i="1"/>
  <c r="C887" i="1"/>
  <c r="AU885" i="1"/>
  <c r="L884" i="1"/>
  <c r="G883" i="1"/>
  <c r="F882" i="1"/>
  <c r="D881" i="1"/>
  <c r="J880" i="1"/>
  <c r="Q879" i="1"/>
  <c r="C879" i="1"/>
  <c r="G878" i="1"/>
  <c r="O877" i="1"/>
  <c r="Z876" i="1"/>
  <c r="D876" i="1"/>
  <c r="L875" i="1"/>
  <c r="S874" i="1"/>
  <c r="AU873" i="1"/>
  <c r="H873" i="1"/>
  <c r="H872" i="1"/>
  <c r="L871" i="1"/>
  <c r="L870" i="1"/>
  <c r="S869" i="1"/>
  <c r="Z868" i="1"/>
  <c r="AN867" i="1"/>
  <c r="H867" i="1"/>
  <c r="O866" i="1"/>
  <c r="U865" i="1"/>
  <c r="AN864" i="1"/>
  <c r="E864" i="1"/>
  <c r="O863" i="1"/>
  <c r="U862" i="1"/>
  <c r="C862" i="1"/>
  <c r="J861" i="1"/>
  <c r="Z860" i="1"/>
  <c r="C860" i="1"/>
  <c r="J859" i="1"/>
  <c r="AN858" i="1"/>
  <c r="J858" i="1"/>
  <c r="AU857" i="1"/>
  <c r="O857" i="1"/>
  <c r="D857" i="1"/>
  <c r="Q856" i="1"/>
  <c r="F856" i="1"/>
  <c r="U855" i="1"/>
  <c r="H855" i="1"/>
  <c r="Z854" i="1"/>
  <c r="J854" i="1"/>
  <c r="AU853" i="1"/>
  <c r="O853" i="1"/>
  <c r="D853" i="1"/>
  <c r="Q852" i="1"/>
  <c r="F852" i="1"/>
  <c r="U851" i="1"/>
  <c r="H851" i="1"/>
  <c r="Z850" i="1"/>
  <c r="J850" i="1"/>
  <c r="AU849" i="1"/>
  <c r="O849" i="1"/>
  <c r="D849" i="1"/>
  <c r="Q848" i="1"/>
  <c r="F848" i="1"/>
  <c r="S847" i="1"/>
  <c r="D847" i="1"/>
  <c r="R846" i="1"/>
  <c r="G846" i="1"/>
  <c r="U845" i="1"/>
  <c r="E845" i="1"/>
  <c r="L844" i="1"/>
  <c r="C844" i="1"/>
  <c r="I843" i="1"/>
  <c r="AN842" i="1"/>
  <c r="H842" i="1"/>
  <c r="Z841" i="1"/>
  <c r="J841" i="1"/>
  <c r="AU840" i="1"/>
  <c r="O840" i="1"/>
  <c r="D840" i="1"/>
  <c r="J839" i="1"/>
  <c r="AU838" i="1"/>
  <c r="O838" i="1"/>
  <c r="D838" i="1"/>
  <c r="Q837" i="1"/>
  <c r="F837" i="1"/>
  <c r="U836" i="1"/>
  <c r="H836" i="1"/>
  <c r="Z835" i="1"/>
  <c r="I835" i="1"/>
  <c r="AN834" i="1"/>
  <c r="L834" i="1"/>
  <c r="C834" i="1"/>
  <c r="I833" i="1"/>
  <c r="P971" i="1"/>
  <c r="H962" i="1"/>
  <c r="C953" i="1"/>
  <c r="AN942" i="1"/>
  <c r="I935" i="1"/>
  <c r="P929" i="1"/>
  <c r="Z923" i="1"/>
  <c r="E917" i="1"/>
  <c r="C911" i="1"/>
  <c r="L907" i="1"/>
  <c r="P905" i="1"/>
  <c r="Z903" i="1"/>
  <c r="G902" i="1"/>
  <c r="D901" i="1"/>
  <c r="I899" i="1"/>
  <c r="AU897" i="1"/>
  <c r="U896" i="1"/>
  <c r="C895" i="1"/>
  <c r="J893" i="1"/>
  <c r="I892" i="1"/>
  <c r="D891" i="1"/>
  <c r="AN889" i="1"/>
  <c r="J888" i="1"/>
  <c r="AN886" i="1"/>
  <c r="S885" i="1"/>
  <c r="J884" i="1"/>
  <c r="E883" i="1"/>
  <c r="AN881" i="1"/>
  <c r="AU880" i="1"/>
  <c r="I880" i="1"/>
  <c r="P879" i="1"/>
  <c r="Z878" i="1"/>
  <c r="F878" i="1"/>
  <c r="J877" i="1"/>
  <c r="W876" i="1"/>
  <c r="C876" i="1"/>
  <c r="H875" i="1"/>
  <c r="Q874" i="1"/>
  <c r="Z873" i="1"/>
  <c r="G873" i="1"/>
  <c r="G872" i="1"/>
  <c r="H871" i="1"/>
  <c r="J870" i="1"/>
  <c r="J869" i="1"/>
  <c r="W868" i="1"/>
  <c r="Z867" i="1"/>
  <c r="E867" i="1"/>
  <c r="L866" i="1"/>
  <c r="L865" i="1"/>
  <c r="Z864" i="1"/>
  <c r="D864" i="1"/>
  <c r="I863" i="1"/>
  <c r="S862" i="1"/>
  <c r="AN861" i="1"/>
  <c r="I861" i="1"/>
  <c r="U860" i="1"/>
  <c r="AN859" i="1"/>
  <c r="I859" i="1"/>
  <c r="Z858" i="1"/>
  <c r="I858" i="1"/>
  <c r="AN857" i="1"/>
  <c r="L857" i="1"/>
  <c r="C857" i="1"/>
  <c r="P856" i="1"/>
  <c r="E856" i="1"/>
  <c r="S855" i="1"/>
  <c r="G855" i="1"/>
  <c r="W854" i="1"/>
  <c r="I854" i="1"/>
  <c r="AN853" i="1"/>
  <c r="L853" i="1"/>
  <c r="C853" i="1"/>
  <c r="P852" i="1"/>
  <c r="E852" i="1"/>
  <c r="S851" i="1"/>
  <c r="G851" i="1"/>
  <c r="W850" i="1"/>
  <c r="I850" i="1"/>
  <c r="AN849" i="1"/>
  <c r="L849" i="1"/>
  <c r="C849" i="1"/>
  <c r="P848" i="1"/>
  <c r="E848" i="1"/>
  <c r="L847" i="1"/>
  <c r="C847" i="1"/>
  <c r="Q846" i="1"/>
  <c r="F846" i="1"/>
  <c r="S845" i="1"/>
  <c r="D845" i="1"/>
  <c r="J844" i="1"/>
  <c r="AU843" i="1"/>
  <c r="H843" i="1"/>
  <c r="Z842" i="1"/>
  <c r="G842" i="1"/>
  <c r="W841" i="1"/>
  <c r="I841" i="1"/>
  <c r="AN840" i="1"/>
  <c r="L840" i="1"/>
  <c r="C840" i="1"/>
  <c r="I839" i="1"/>
  <c r="AN838" i="1"/>
  <c r="L838" i="1"/>
  <c r="C838" i="1"/>
  <c r="P837" i="1"/>
  <c r="E837" i="1"/>
  <c r="S836" i="1"/>
  <c r="G836" i="1"/>
  <c r="W835" i="1"/>
  <c r="H835" i="1"/>
  <c r="Z834" i="1"/>
  <c r="J834" i="1"/>
  <c r="AU833" i="1"/>
  <c r="H833" i="1"/>
  <c r="Z832" i="1"/>
  <c r="L832" i="1"/>
  <c r="C832" i="1"/>
  <c r="P831" i="1"/>
  <c r="E831" i="1"/>
  <c r="S830" i="1"/>
  <c r="G830" i="1"/>
  <c r="W829" i="1"/>
  <c r="I829" i="1"/>
  <c r="AN828" i="1"/>
  <c r="L828" i="1"/>
  <c r="C828" i="1"/>
  <c r="P827" i="1"/>
  <c r="E827" i="1"/>
  <c r="S826" i="1"/>
  <c r="F826" i="1"/>
  <c r="U825" i="1"/>
  <c r="H825" i="1"/>
  <c r="Z824" i="1"/>
  <c r="J824" i="1"/>
  <c r="AU823" i="1"/>
  <c r="O823" i="1"/>
  <c r="D823" i="1"/>
  <c r="Q822" i="1"/>
  <c r="F822" i="1"/>
  <c r="U821" i="1"/>
  <c r="H821" i="1"/>
  <c r="Z820" i="1"/>
  <c r="J820" i="1"/>
  <c r="AU819" i="1"/>
  <c r="O819" i="1"/>
  <c r="D819" i="1"/>
  <c r="J818" i="1"/>
  <c r="AU817" i="1"/>
  <c r="P817" i="1"/>
  <c r="E817" i="1"/>
  <c r="L816" i="1"/>
  <c r="C816" i="1"/>
  <c r="I815" i="1"/>
  <c r="AN814" i="1"/>
  <c r="G814" i="1"/>
  <c r="W813" i="1"/>
  <c r="F813" i="1"/>
  <c r="U812" i="1"/>
  <c r="H812" i="1"/>
  <c r="Z811" i="1"/>
  <c r="J811" i="1"/>
  <c r="AU810" i="1"/>
  <c r="P810" i="1"/>
  <c r="E810" i="1"/>
  <c r="L809" i="1"/>
  <c r="C809" i="1"/>
  <c r="P808" i="1"/>
  <c r="E808" i="1"/>
  <c r="S807" i="1"/>
  <c r="G807" i="1"/>
  <c r="W806" i="1"/>
  <c r="I806" i="1"/>
  <c r="AN805" i="1"/>
  <c r="L805" i="1"/>
  <c r="C805" i="1"/>
  <c r="I804" i="1"/>
  <c r="AN803" i="1"/>
  <c r="O803" i="1"/>
  <c r="D803" i="1"/>
  <c r="Q802" i="1"/>
  <c r="F802" i="1"/>
  <c r="U801" i="1"/>
  <c r="H801" i="1"/>
  <c r="Z800" i="1"/>
  <c r="L800" i="1"/>
  <c r="C800" i="1"/>
  <c r="P799" i="1"/>
  <c r="E799" i="1"/>
  <c r="S798" i="1"/>
  <c r="G798" i="1"/>
  <c r="W797" i="1"/>
  <c r="I797" i="1"/>
  <c r="AN796" i="1"/>
  <c r="L796" i="1"/>
  <c r="C796" i="1"/>
  <c r="P795" i="1"/>
  <c r="E795" i="1"/>
  <c r="S794" i="1"/>
  <c r="G794" i="1"/>
  <c r="W793" i="1"/>
  <c r="G970" i="1"/>
  <c r="I910" i="1"/>
  <c r="G896" i="1"/>
  <c r="P885" i="1"/>
  <c r="E878" i="1"/>
  <c r="F872" i="1"/>
  <c r="J865" i="1"/>
  <c r="Z859" i="1"/>
  <c r="D856" i="1"/>
  <c r="O852" i="1"/>
  <c r="AU848" i="1"/>
  <c r="C845" i="1"/>
  <c r="Z840" i="1"/>
  <c r="D837" i="1"/>
  <c r="G833" i="1"/>
  <c r="D832" i="1"/>
  <c r="AU830" i="1"/>
  <c r="U829" i="1"/>
  <c r="O828" i="1"/>
  <c r="J827" i="1"/>
  <c r="Q826" i="1"/>
  <c r="W825" i="1"/>
  <c r="E825" i="1"/>
  <c r="I824" i="1"/>
  <c r="Q823" i="1"/>
  <c r="AU822" i="1"/>
  <c r="G822" i="1"/>
  <c r="P821" i="1"/>
  <c r="W820" i="1"/>
  <c r="D820" i="1"/>
  <c r="J819" i="1"/>
  <c r="L818" i="1"/>
  <c r="W817" i="1"/>
  <c r="D817" i="1"/>
  <c r="E816" i="1"/>
  <c r="G815" i="1"/>
  <c r="H814" i="1"/>
  <c r="L813" i="1"/>
  <c r="S812" i="1"/>
  <c r="AU811" i="1"/>
  <c r="H811" i="1"/>
  <c r="Q810" i="1"/>
  <c r="AU809" i="1"/>
  <c r="AU808" i="1"/>
  <c r="G808" i="1"/>
  <c r="P807" i="1"/>
  <c r="Z806" i="1"/>
  <c r="F806" i="1"/>
  <c r="J805" i="1"/>
  <c r="L804" i="1"/>
  <c r="W803" i="1"/>
  <c r="E803" i="1"/>
  <c r="L802" i="1"/>
  <c r="S801" i="1"/>
  <c r="AU800" i="1"/>
  <c r="I800" i="1"/>
  <c r="Q799" i="1"/>
  <c r="AU798" i="1"/>
  <c r="F798" i="1"/>
  <c r="L797" i="1"/>
  <c r="W796" i="1"/>
  <c r="D796" i="1"/>
  <c r="J795" i="1"/>
  <c r="Q794" i="1"/>
  <c r="AN793" i="1"/>
  <c r="H793" i="1"/>
  <c r="U792" i="1"/>
  <c r="D792" i="1"/>
  <c r="O791" i="1"/>
  <c r="AU790" i="1"/>
  <c r="J790" i="1"/>
  <c r="AN789" i="1"/>
  <c r="F789" i="1"/>
  <c r="S788" i="1"/>
  <c r="G788" i="1"/>
  <c r="S787" i="1"/>
  <c r="C787" i="1"/>
  <c r="G786" i="1"/>
  <c r="S785" i="1"/>
  <c r="D785" i="1"/>
  <c r="L784" i="1"/>
  <c r="C784" i="1"/>
  <c r="P783" i="1"/>
  <c r="E783" i="1"/>
  <c r="S782" i="1"/>
  <c r="G782" i="1"/>
  <c r="U781" i="1"/>
  <c r="E781" i="1"/>
  <c r="S780" i="1"/>
  <c r="G780" i="1"/>
  <c r="W779" i="1"/>
  <c r="I779" i="1"/>
  <c r="AN778" i="1"/>
  <c r="L778" i="1"/>
  <c r="C778" i="1"/>
  <c r="P777" i="1"/>
  <c r="E777" i="1"/>
  <c r="L776" i="1"/>
  <c r="C776" i="1"/>
  <c r="Q775" i="1"/>
  <c r="F775" i="1"/>
  <c r="U774" i="1"/>
  <c r="H774" i="1"/>
  <c r="Z773" i="1"/>
  <c r="J773" i="1"/>
  <c r="AU772" i="1"/>
  <c r="O772" i="1"/>
  <c r="D772" i="1"/>
  <c r="Q771" i="1"/>
  <c r="F771" i="1"/>
  <c r="U770" i="1"/>
  <c r="H770" i="1"/>
  <c r="Z769" i="1"/>
  <c r="J769" i="1"/>
  <c r="AU768" i="1"/>
  <c r="O768" i="1"/>
  <c r="D768" i="1"/>
  <c r="Q767" i="1"/>
  <c r="F767" i="1"/>
  <c r="U766" i="1"/>
  <c r="H766" i="1"/>
  <c r="Z765" i="1"/>
  <c r="J765" i="1"/>
  <c r="AU764" i="1"/>
  <c r="D961" i="1"/>
  <c r="Z906" i="1"/>
  <c r="AU894" i="1"/>
  <c r="E884" i="1"/>
  <c r="I877" i="1"/>
  <c r="F871" i="1"/>
  <c r="S864" i="1"/>
  <c r="H859" i="1"/>
  <c r="Q855" i="1"/>
  <c r="D852" i="1"/>
  <c r="O848" i="1"/>
  <c r="I844" i="1"/>
  <c r="J840" i="1"/>
  <c r="Q836" i="1"/>
  <c r="E833" i="1"/>
  <c r="AU831" i="1"/>
  <c r="U830" i="1"/>
  <c r="Q829" i="1"/>
  <c r="J828" i="1"/>
  <c r="F827" i="1"/>
  <c r="L826" i="1"/>
  <c r="S825" i="1"/>
  <c r="AU824" i="1"/>
  <c r="H824" i="1"/>
  <c r="P823" i="1"/>
  <c r="AN822" i="1"/>
  <c r="E822" i="1"/>
  <c r="J821" i="1"/>
  <c r="U820" i="1"/>
  <c r="C820" i="1"/>
  <c r="I819" i="1"/>
  <c r="I818" i="1"/>
  <c r="R817" i="1"/>
  <c r="C817" i="1"/>
  <c r="D816" i="1"/>
  <c r="F815" i="1"/>
  <c r="F814" i="1"/>
  <c r="H813" i="1"/>
  <c r="Q812" i="1"/>
  <c r="AN811" i="1"/>
  <c r="G811" i="1"/>
  <c r="O810" i="1"/>
  <c r="U809" i="1"/>
  <c r="AN808" i="1"/>
  <c r="F808" i="1"/>
  <c r="O807" i="1"/>
  <c r="U806" i="1"/>
  <c r="C806" i="1"/>
  <c r="I805" i="1"/>
  <c r="J804" i="1"/>
  <c r="U803" i="1"/>
  <c r="C803" i="1"/>
  <c r="H802" i="1"/>
  <c r="Q801" i="1"/>
  <c r="AN800" i="1"/>
  <c r="H800" i="1"/>
  <c r="O799" i="1"/>
  <c r="W798" i="1"/>
  <c r="E798" i="1"/>
  <c r="J797" i="1"/>
  <c r="U796" i="1"/>
  <c r="AU795" i="1"/>
  <c r="G795" i="1"/>
  <c r="P794" i="1"/>
  <c r="Z793" i="1"/>
  <c r="G793" i="1"/>
  <c r="P792" i="1"/>
  <c r="C792" i="1"/>
  <c r="L791" i="1"/>
  <c r="Z790" i="1"/>
  <c r="I790" i="1"/>
  <c r="Z789" i="1"/>
  <c r="E789" i="1"/>
  <c r="R788" i="1"/>
  <c r="F788" i="1"/>
  <c r="L787" i="1"/>
  <c r="AN786" i="1"/>
  <c r="F786" i="1"/>
  <c r="L785" i="1"/>
  <c r="C785" i="1"/>
  <c r="J784" i="1"/>
  <c r="AU783" i="1"/>
  <c r="O783" i="1"/>
  <c r="D783" i="1"/>
  <c r="Q782" i="1"/>
  <c r="F782" i="1"/>
  <c r="S781" i="1"/>
  <c r="D781" i="1"/>
  <c r="Q780" i="1"/>
  <c r="F780" i="1"/>
  <c r="U779" i="1"/>
  <c r="H779" i="1"/>
  <c r="Z778" i="1"/>
  <c r="J778" i="1"/>
  <c r="AU777" i="1"/>
  <c r="O777" i="1"/>
  <c r="D777" i="1"/>
  <c r="J776" i="1"/>
  <c r="AU775" i="1"/>
  <c r="P775" i="1"/>
  <c r="E775" i="1"/>
  <c r="S774" i="1"/>
  <c r="G774" i="1"/>
  <c r="W773" i="1"/>
  <c r="I773" i="1"/>
  <c r="AN772" i="1"/>
  <c r="L772" i="1"/>
  <c r="C772" i="1"/>
  <c r="P771" i="1"/>
  <c r="E771" i="1"/>
  <c r="S770" i="1"/>
  <c r="G770" i="1"/>
  <c r="S951" i="1"/>
  <c r="F905" i="1"/>
  <c r="H893" i="1"/>
  <c r="D883" i="1"/>
  <c r="Q876" i="1"/>
  <c r="I870" i="1"/>
  <c r="C864" i="1"/>
  <c r="W858" i="1"/>
  <c r="F855" i="1"/>
  <c r="Q851" i="1"/>
  <c r="D848" i="1"/>
  <c r="AN843" i="1"/>
  <c r="AU839" i="1"/>
  <c r="F836" i="1"/>
  <c r="AN832" i="1"/>
  <c r="Z831" i="1"/>
  <c r="Q830" i="1"/>
  <c r="J829" i="1"/>
  <c r="H828" i="1"/>
  <c r="D827" i="1"/>
  <c r="H826" i="1"/>
  <c r="Q825" i="1"/>
  <c r="AN824" i="1"/>
  <c r="G824" i="1"/>
  <c r="L823" i="1"/>
  <c r="U822" i="1"/>
  <c r="D822" i="1"/>
  <c r="I821" i="1"/>
  <c r="S820" i="1"/>
  <c r="AN819" i="1"/>
  <c r="F819" i="1"/>
  <c r="H818" i="1"/>
  <c r="Q817" i="1"/>
  <c r="AU816" i="1"/>
  <c r="AU815" i="1"/>
  <c r="C815" i="1"/>
  <c r="E814" i="1"/>
  <c r="G813" i="1"/>
  <c r="P812" i="1"/>
  <c r="W811" i="1"/>
  <c r="D811" i="1"/>
  <c r="L810" i="1"/>
  <c r="S809" i="1"/>
  <c r="Z808" i="1"/>
  <c r="D808" i="1"/>
  <c r="I807" i="1"/>
  <c r="S806" i="1"/>
  <c r="AU805" i="1"/>
  <c r="H805" i="1"/>
  <c r="H804" i="1"/>
  <c r="Q803" i="1"/>
  <c r="AU802" i="1"/>
  <c r="G802" i="1"/>
  <c r="P801" i="1"/>
  <c r="W800" i="1"/>
  <c r="E800" i="1"/>
  <c r="L799" i="1"/>
  <c r="U798" i="1"/>
  <c r="D798" i="1"/>
  <c r="H797" i="1"/>
  <c r="P796" i="1"/>
  <c r="AN795" i="1"/>
  <c r="F795" i="1"/>
  <c r="O794" i="1"/>
  <c r="U793" i="1"/>
  <c r="F793" i="1"/>
  <c r="O792" i="1"/>
  <c r="AU791" i="1"/>
  <c r="J791" i="1"/>
  <c r="W790" i="1"/>
  <c r="H790" i="1"/>
  <c r="U789" i="1"/>
  <c r="D789" i="1"/>
  <c r="Q788" i="1"/>
  <c r="E788" i="1"/>
  <c r="I787" i="1"/>
  <c r="Z786" i="1"/>
  <c r="E786" i="1"/>
  <c r="J785" i="1"/>
  <c r="AU784" i="1"/>
  <c r="I784" i="1"/>
  <c r="AN783" i="1"/>
  <c r="L783" i="1"/>
  <c r="C783" i="1"/>
  <c r="P782" i="1"/>
  <c r="E782" i="1"/>
  <c r="L781" i="1"/>
  <c r="C781" i="1"/>
  <c r="P780" i="1"/>
  <c r="E780" i="1"/>
  <c r="S779" i="1"/>
  <c r="G779" i="1"/>
  <c r="W778" i="1"/>
  <c r="I778" i="1"/>
  <c r="AN777" i="1"/>
  <c r="L777" i="1"/>
  <c r="C777" i="1"/>
  <c r="I776" i="1"/>
  <c r="AN775" i="1"/>
  <c r="O775" i="1"/>
  <c r="D775" i="1"/>
  <c r="Q774" i="1"/>
  <c r="F774" i="1"/>
  <c r="U773" i="1"/>
  <c r="H773" i="1"/>
  <c r="Z772" i="1"/>
  <c r="J772" i="1"/>
  <c r="AU771" i="1"/>
  <c r="O771" i="1"/>
  <c r="D771" i="1"/>
  <c r="Q770" i="1"/>
  <c r="F770" i="1"/>
  <c r="W941" i="1"/>
  <c r="W903" i="1"/>
  <c r="D892" i="1"/>
  <c r="W881" i="1"/>
  <c r="AU875" i="1"/>
  <c r="I869" i="1"/>
  <c r="G863" i="1"/>
  <c r="H858" i="1"/>
  <c r="U854" i="1"/>
  <c r="F851" i="1"/>
  <c r="J847" i="1"/>
  <c r="G843" i="1"/>
  <c r="H839" i="1"/>
  <c r="U835" i="1"/>
  <c r="W832" i="1"/>
  <c r="Q831" i="1"/>
  <c r="O830" i="1"/>
  <c r="H829" i="1"/>
  <c r="D828" i="1"/>
  <c r="C827" i="1"/>
  <c r="G826" i="1"/>
  <c r="P825" i="1"/>
  <c r="W824" i="1"/>
  <c r="D824" i="1"/>
  <c r="J823" i="1"/>
  <c r="S822" i="1"/>
  <c r="C822" i="1"/>
  <c r="G821" i="1"/>
  <c r="O820" i="1"/>
  <c r="Z819" i="1"/>
  <c r="E819" i="1"/>
  <c r="G818" i="1"/>
  <c r="O817" i="1"/>
  <c r="U816" i="1"/>
  <c r="AN815" i="1"/>
  <c r="AU814" i="1"/>
  <c r="D814" i="1"/>
  <c r="E813" i="1"/>
  <c r="J812" i="1"/>
  <c r="U811" i="1"/>
  <c r="C811" i="1"/>
  <c r="J810" i="1"/>
  <c r="J809" i="1"/>
  <c r="S808" i="1"/>
  <c r="C808" i="1"/>
  <c r="H807" i="1"/>
  <c r="Q806" i="1"/>
  <c r="Z805" i="1"/>
  <c r="E805" i="1"/>
  <c r="G804" i="1"/>
  <c r="P803" i="1"/>
  <c r="AN802" i="1"/>
  <c r="E802" i="1"/>
  <c r="J801" i="1"/>
  <c r="U800" i="1"/>
  <c r="D800" i="1"/>
  <c r="J799" i="1"/>
  <c r="Q798" i="1"/>
  <c r="AN797" i="1"/>
  <c r="G797" i="1"/>
  <c r="O796" i="1"/>
  <c r="Z795" i="1"/>
  <c r="D795" i="1"/>
  <c r="I794" i="1"/>
  <c r="S793" i="1"/>
  <c r="C793" i="1"/>
  <c r="L792" i="1"/>
  <c r="AN791" i="1"/>
  <c r="G791" i="1"/>
  <c r="U790" i="1"/>
  <c r="G790" i="1"/>
  <c r="S789" i="1"/>
  <c r="C789" i="1"/>
  <c r="P788" i="1"/>
  <c r="C788" i="1"/>
  <c r="H787" i="1"/>
  <c r="U786" i="1"/>
  <c r="D786" i="1"/>
  <c r="I785" i="1"/>
  <c r="AN784" i="1"/>
  <c r="H784" i="1"/>
  <c r="Z783" i="1"/>
  <c r="J783" i="1"/>
  <c r="AU782" i="1"/>
  <c r="O782" i="1"/>
  <c r="D782" i="1"/>
  <c r="J781" i="1"/>
  <c r="AU780" i="1"/>
  <c r="O780" i="1"/>
  <c r="D780" i="1"/>
  <c r="Q779" i="1"/>
  <c r="F779" i="1"/>
  <c r="U778" i="1"/>
  <c r="H778" i="1"/>
  <c r="Z777" i="1"/>
  <c r="J777" i="1"/>
  <c r="AU776" i="1"/>
  <c r="H776" i="1"/>
  <c r="Z775" i="1"/>
  <c r="L775" i="1"/>
  <c r="C775" i="1"/>
  <c r="P774" i="1"/>
  <c r="E774" i="1"/>
  <c r="S773" i="1"/>
  <c r="G773" i="1"/>
  <c r="W772" i="1"/>
  <c r="I772" i="1"/>
  <c r="AN771" i="1"/>
  <c r="L771" i="1"/>
  <c r="C771" i="1"/>
  <c r="P770" i="1"/>
  <c r="E770" i="1"/>
  <c r="S769" i="1"/>
  <c r="G769" i="1"/>
  <c r="W768" i="1"/>
  <c r="I768" i="1"/>
  <c r="AN767" i="1"/>
  <c r="L767" i="1"/>
  <c r="C767" i="1"/>
  <c r="P766" i="1"/>
  <c r="E766" i="1"/>
  <c r="S765" i="1"/>
  <c r="G765" i="1"/>
  <c r="W764" i="1"/>
  <c r="I764" i="1"/>
  <c r="AN763" i="1"/>
  <c r="L763" i="1"/>
  <c r="C763" i="1"/>
  <c r="I762" i="1"/>
  <c r="AN761" i="1"/>
  <c r="O761" i="1"/>
  <c r="D761" i="1"/>
  <c r="J760" i="1"/>
  <c r="AU759" i="1"/>
  <c r="H759" i="1"/>
  <c r="Z758" i="1"/>
  <c r="F758" i="1"/>
  <c r="U757" i="1"/>
  <c r="E757" i="1"/>
  <c r="S756" i="1"/>
  <c r="G756" i="1"/>
  <c r="W755" i="1"/>
  <c r="I755" i="1"/>
  <c r="AN754" i="1"/>
  <c r="O754" i="1"/>
  <c r="D754" i="1"/>
  <c r="J753" i="1"/>
  <c r="AU752" i="1"/>
  <c r="O752" i="1"/>
  <c r="D752" i="1"/>
  <c r="Q751" i="1"/>
  <c r="F751" i="1"/>
  <c r="U750" i="1"/>
  <c r="H750" i="1"/>
  <c r="Z749" i="1"/>
  <c r="I749" i="1"/>
  <c r="AN748" i="1"/>
  <c r="L748" i="1"/>
  <c r="C748" i="1"/>
  <c r="I747" i="1"/>
  <c r="AN746" i="1"/>
  <c r="O746" i="1"/>
  <c r="D746" i="1"/>
  <c r="Q745" i="1"/>
  <c r="F745" i="1"/>
  <c r="U744" i="1"/>
  <c r="H744" i="1"/>
  <c r="Z743" i="1"/>
  <c r="L743" i="1"/>
  <c r="C743" i="1"/>
  <c r="P742" i="1"/>
  <c r="E742" i="1"/>
  <c r="S741" i="1"/>
  <c r="G741" i="1"/>
  <c r="W740" i="1"/>
  <c r="I740" i="1"/>
  <c r="AN739" i="1"/>
  <c r="J739" i="1"/>
  <c r="AU738" i="1"/>
  <c r="O738" i="1"/>
  <c r="D738" i="1"/>
  <c r="Q737" i="1"/>
  <c r="F737" i="1"/>
  <c r="U736" i="1"/>
  <c r="H736" i="1"/>
  <c r="Z735" i="1"/>
  <c r="J735" i="1"/>
  <c r="AU734" i="1"/>
  <c r="O734" i="1"/>
  <c r="D734" i="1"/>
  <c r="Q733" i="1"/>
  <c r="F733" i="1"/>
  <c r="U732" i="1"/>
  <c r="H732" i="1"/>
  <c r="Z731" i="1"/>
  <c r="F731" i="1"/>
  <c r="S730" i="1"/>
  <c r="D730" i="1"/>
  <c r="J729" i="1"/>
  <c r="AU728" i="1"/>
  <c r="H728" i="1"/>
  <c r="Z727" i="1"/>
  <c r="G727" i="1"/>
  <c r="W726" i="1"/>
  <c r="I726" i="1"/>
  <c r="AN725" i="1"/>
  <c r="L725" i="1"/>
  <c r="C725" i="1"/>
  <c r="I724" i="1"/>
  <c r="AN723" i="1"/>
  <c r="L723" i="1"/>
  <c r="C723" i="1"/>
  <c r="P722" i="1"/>
  <c r="E722" i="1"/>
  <c r="S721" i="1"/>
  <c r="G721" i="1"/>
  <c r="W720" i="1"/>
  <c r="I720" i="1"/>
  <c r="AN719" i="1"/>
  <c r="G719" i="1"/>
  <c r="W718" i="1"/>
  <c r="I718" i="1"/>
  <c r="AN717" i="1"/>
  <c r="L717" i="1"/>
  <c r="C717" i="1"/>
  <c r="P716" i="1"/>
  <c r="E716" i="1"/>
  <c r="S715" i="1"/>
  <c r="G715" i="1"/>
  <c r="W714" i="1"/>
  <c r="I714" i="1"/>
  <c r="AN713" i="1"/>
  <c r="L713" i="1"/>
  <c r="C713" i="1"/>
  <c r="P712" i="1"/>
  <c r="E712" i="1"/>
  <c r="S711" i="1"/>
  <c r="G711" i="1"/>
  <c r="W710" i="1"/>
  <c r="I710" i="1"/>
  <c r="AN709" i="1"/>
  <c r="L709" i="1"/>
  <c r="C709" i="1"/>
  <c r="P708" i="1"/>
  <c r="P934" i="1"/>
  <c r="E902" i="1"/>
  <c r="C891" i="1"/>
  <c r="AN880" i="1"/>
  <c r="F875" i="1"/>
  <c r="L868" i="1"/>
  <c r="Q862" i="1"/>
  <c r="Z857" i="1"/>
  <c r="H854" i="1"/>
  <c r="U850" i="1"/>
  <c r="AU846" i="1"/>
  <c r="W842" i="1"/>
  <c r="Z838" i="1"/>
  <c r="G835" i="1"/>
  <c r="S832" i="1"/>
  <c r="O831" i="1"/>
  <c r="H830" i="1"/>
  <c r="F829" i="1"/>
  <c r="AU827" i="1"/>
  <c r="AU826" i="1"/>
  <c r="E826" i="1"/>
  <c r="J825" i="1"/>
  <c r="U824" i="1"/>
  <c r="C824" i="1"/>
  <c r="I823" i="1"/>
  <c r="P822" i="1"/>
  <c r="Z821" i="1"/>
  <c r="F821" i="1"/>
  <c r="L820" i="1"/>
  <c r="W819" i="1"/>
  <c r="C819" i="1"/>
  <c r="D818" i="1"/>
  <c r="L817" i="1"/>
  <c r="S816" i="1"/>
  <c r="Z815" i="1"/>
  <c r="Z814" i="1"/>
  <c r="AN813" i="1"/>
  <c r="D813" i="1"/>
  <c r="I812" i="1"/>
  <c r="S811" i="1"/>
  <c r="AN810" i="1"/>
  <c r="G810" i="1"/>
  <c r="I809" i="1"/>
  <c r="Q808" i="1"/>
  <c r="AU807" i="1"/>
  <c r="F807" i="1"/>
  <c r="L806" i="1"/>
  <c r="W805" i="1"/>
  <c r="D805" i="1"/>
  <c r="F804" i="1"/>
  <c r="L803" i="1"/>
  <c r="U802" i="1"/>
  <c r="D802" i="1"/>
  <c r="I801" i="1"/>
  <c r="S800" i="1"/>
  <c r="AU799" i="1"/>
  <c r="G799" i="1"/>
  <c r="P798" i="1"/>
  <c r="Z797" i="1"/>
  <c r="F797" i="1"/>
  <c r="J796" i="1"/>
  <c r="S795" i="1"/>
  <c r="C795" i="1"/>
  <c r="H794" i="1"/>
  <c r="Q793" i="1"/>
  <c r="AU792" i="1"/>
  <c r="J792" i="1"/>
  <c r="Z791" i="1"/>
  <c r="F791" i="1"/>
  <c r="S790" i="1"/>
  <c r="F790" i="1"/>
  <c r="L789" i="1"/>
  <c r="AU788" i="1"/>
  <c r="L788" i="1"/>
  <c r="AU787" i="1"/>
  <c r="G787" i="1"/>
  <c r="S786" i="1"/>
  <c r="C786" i="1"/>
  <c r="H785" i="1"/>
  <c r="Z784" i="1"/>
  <c r="G784" i="1"/>
  <c r="W783" i="1"/>
  <c r="I783" i="1"/>
  <c r="AN782" i="1"/>
  <c r="L782" i="1"/>
  <c r="C782" i="1"/>
  <c r="I781" i="1"/>
  <c r="AN780" i="1"/>
  <c r="L780" i="1"/>
  <c r="C780" i="1"/>
  <c r="P779" i="1"/>
  <c r="E779" i="1"/>
  <c r="S778" i="1"/>
  <c r="G778" i="1"/>
  <c r="W777" i="1"/>
  <c r="I777" i="1"/>
  <c r="AN776" i="1"/>
  <c r="G776" i="1"/>
  <c r="W775" i="1"/>
  <c r="J775" i="1"/>
  <c r="AU774" i="1"/>
  <c r="O774" i="1"/>
  <c r="D774" i="1"/>
  <c r="Q773" i="1"/>
  <c r="F773" i="1"/>
  <c r="U772" i="1"/>
  <c r="H772" i="1"/>
  <c r="Z771" i="1"/>
  <c r="J771" i="1"/>
  <c r="AU770" i="1"/>
  <c r="O770" i="1"/>
  <c r="D770" i="1"/>
  <c r="Q769" i="1"/>
  <c r="F769" i="1"/>
  <c r="U768" i="1"/>
  <c r="H768" i="1"/>
  <c r="Z767" i="1"/>
  <c r="J767" i="1"/>
  <c r="AU766" i="1"/>
  <c r="O766" i="1"/>
  <c r="D766" i="1"/>
  <c r="Q765" i="1"/>
  <c r="F765" i="1"/>
  <c r="U764" i="1"/>
  <c r="H764" i="1"/>
  <c r="Z763" i="1"/>
  <c r="J763" i="1"/>
  <c r="AU762" i="1"/>
  <c r="H762" i="1"/>
  <c r="Z761" i="1"/>
  <c r="L761" i="1"/>
  <c r="C761" i="1"/>
  <c r="I760" i="1"/>
  <c r="AN759" i="1"/>
  <c r="G759" i="1"/>
  <c r="U758" i="1"/>
  <c r="E758" i="1"/>
  <c r="S757" i="1"/>
  <c r="D757" i="1"/>
  <c r="Q756" i="1"/>
  <c r="F756" i="1"/>
  <c r="U755" i="1"/>
  <c r="H755" i="1"/>
  <c r="Z754" i="1"/>
  <c r="L754" i="1"/>
  <c r="C754" i="1"/>
  <c r="I753" i="1"/>
  <c r="AN752" i="1"/>
  <c r="L752" i="1"/>
  <c r="C752" i="1"/>
  <c r="P751" i="1"/>
  <c r="E751" i="1"/>
  <c r="S750" i="1"/>
  <c r="G750" i="1"/>
  <c r="W749" i="1"/>
  <c r="H749" i="1"/>
  <c r="Z748" i="1"/>
  <c r="J748" i="1"/>
  <c r="AU747" i="1"/>
  <c r="H747" i="1"/>
  <c r="Z746" i="1"/>
  <c r="L746" i="1"/>
  <c r="C746" i="1"/>
  <c r="P745" i="1"/>
  <c r="E745" i="1"/>
  <c r="S744" i="1"/>
  <c r="G744" i="1"/>
  <c r="W743" i="1"/>
  <c r="J743" i="1"/>
  <c r="AU742" i="1"/>
  <c r="O742" i="1"/>
  <c r="D742" i="1"/>
  <c r="Q741" i="1"/>
  <c r="F741" i="1"/>
  <c r="U740" i="1"/>
  <c r="H740" i="1"/>
  <c r="Z739" i="1"/>
  <c r="I739" i="1"/>
  <c r="AN738" i="1"/>
  <c r="L738" i="1"/>
  <c r="C738" i="1"/>
  <c r="P737" i="1"/>
  <c r="E737" i="1"/>
  <c r="S736" i="1"/>
  <c r="G736" i="1"/>
  <c r="W735" i="1"/>
  <c r="I735" i="1"/>
  <c r="AN734" i="1"/>
  <c r="L734" i="1"/>
  <c r="C734" i="1"/>
  <c r="P733" i="1"/>
  <c r="E733" i="1"/>
  <c r="S732" i="1"/>
  <c r="G732" i="1"/>
  <c r="U731" i="1"/>
  <c r="E731" i="1"/>
  <c r="L730" i="1"/>
  <c r="C730" i="1"/>
  <c r="I729" i="1"/>
  <c r="AN728" i="1"/>
  <c r="G728" i="1"/>
  <c r="W727" i="1"/>
  <c r="F727" i="1"/>
  <c r="U726" i="1"/>
  <c r="H726" i="1"/>
  <c r="Z725" i="1"/>
  <c r="J725" i="1"/>
  <c r="AU724" i="1"/>
  <c r="H724" i="1"/>
  <c r="Z723" i="1"/>
  <c r="J723" i="1"/>
  <c r="AU722" i="1"/>
  <c r="O722" i="1"/>
  <c r="D722" i="1"/>
  <c r="Q721" i="1"/>
  <c r="F721" i="1"/>
  <c r="U720" i="1"/>
  <c r="H720" i="1"/>
  <c r="Z719" i="1"/>
  <c r="F719" i="1"/>
  <c r="U718" i="1"/>
  <c r="H718" i="1"/>
  <c r="Z717" i="1"/>
  <c r="J717" i="1"/>
  <c r="AU716" i="1"/>
  <c r="O716" i="1"/>
  <c r="D716" i="1"/>
  <c r="Q715" i="1"/>
  <c r="F715" i="1"/>
  <c r="U714" i="1"/>
  <c r="H714" i="1"/>
  <c r="Z713" i="1"/>
  <c r="J713" i="1"/>
  <c r="AU712" i="1"/>
  <c r="O712" i="1"/>
  <c r="D712" i="1"/>
  <c r="Q711" i="1"/>
  <c r="F711" i="1"/>
  <c r="U710" i="1"/>
  <c r="H710" i="1"/>
  <c r="Z709" i="1"/>
  <c r="J709" i="1"/>
  <c r="AU708" i="1"/>
  <c r="O708" i="1"/>
  <c r="D708" i="1"/>
  <c r="Q707" i="1"/>
  <c r="F707" i="1"/>
  <c r="S706" i="1"/>
  <c r="D706" i="1"/>
  <c r="Z928" i="1"/>
  <c r="S900" i="1"/>
  <c r="U889" i="1"/>
  <c r="F880" i="1"/>
  <c r="P874" i="1"/>
  <c r="W867" i="1"/>
  <c r="Z861" i="1"/>
  <c r="J857" i="1"/>
  <c r="Z853" i="1"/>
  <c r="H850" i="1"/>
  <c r="P846" i="1"/>
  <c r="F842" i="1"/>
  <c r="J838" i="1"/>
  <c r="W834" i="1"/>
  <c r="O832" i="1"/>
  <c r="J831" i="1"/>
  <c r="F830" i="1"/>
  <c r="AU828" i="1"/>
  <c r="Z827" i="1"/>
  <c r="W826" i="1"/>
  <c r="D826" i="1"/>
  <c r="I825" i="1"/>
  <c r="S824" i="1"/>
  <c r="AN823" i="1"/>
  <c r="F823" i="1"/>
  <c r="O822" i="1"/>
  <c r="W821" i="1"/>
  <c r="E821" i="1"/>
  <c r="I820" i="1"/>
  <c r="Q819" i="1"/>
  <c r="AU818" i="1"/>
  <c r="C818" i="1"/>
  <c r="J817" i="1"/>
  <c r="J816" i="1"/>
  <c r="L815" i="1"/>
  <c r="U814" i="1"/>
  <c r="Z813" i="1"/>
  <c r="C813" i="1"/>
  <c r="G812" i="1"/>
  <c r="O811" i="1"/>
  <c r="Z810" i="1"/>
  <c r="F810" i="1"/>
  <c r="H809" i="1"/>
  <c r="O808" i="1"/>
  <c r="W807" i="1"/>
  <c r="E807" i="1"/>
  <c r="J806" i="1"/>
  <c r="U805" i="1"/>
  <c r="AU804" i="1"/>
  <c r="C804" i="1"/>
  <c r="J803" i="1"/>
  <c r="S802" i="1"/>
  <c r="C802" i="1"/>
  <c r="G801" i="1"/>
  <c r="P800" i="1"/>
  <c r="AN799" i="1"/>
  <c r="F799" i="1"/>
  <c r="O798" i="1"/>
  <c r="U797" i="1"/>
  <c r="C797" i="1"/>
  <c r="I796" i="1"/>
  <c r="Q795" i="1"/>
  <c r="AU794" i="1"/>
  <c r="F794" i="1"/>
  <c r="L793" i="1"/>
  <c r="AN792" i="1"/>
  <c r="I792" i="1"/>
  <c r="S791" i="1"/>
  <c r="E791" i="1"/>
  <c r="Q790" i="1"/>
  <c r="E790" i="1"/>
  <c r="J789" i="1"/>
  <c r="Z788" i="1"/>
  <c r="J788" i="1"/>
  <c r="AN787" i="1"/>
  <c r="F787" i="1"/>
  <c r="L786" i="1"/>
  <c r="AU785" i="1"/>
  <c r="G785" i="1"/>
  <c r="W784" i="1"/>
  <c r="F784" i="1"/>
  <c r="U783" i="1"/>
  <c r="H783" i="1"/>
  <c r="Z782" i="1"/>
  <c r="J782" i="1"/>
  <c r="AU781" i="1"/>
  <c r="H781" i="1"/>
  <c r="Z780" i="1"/>
  <c r="J780" i="1"/>
  <c r="AU779" i="1"/>
  <c r="O779" i="1"/>
  <c r="D779" i="1"/>
  <c r="Q778" i="1"/>
  <c r="F778" i="1"/>
  <c r="U777" i="1"/>
  <c r="H777" i="1"/>
  <c r="Z776" i="1"/>
  <c r="F776" i="1"/>
  <c r="U775" i="1"/>
  <c r="I775" i="1"/>
  <c r="AN774" i="1"/>
  <c r="L774" i="1"/>
  <c r="C774" i="1"/>
  <c r="P773" i="1"/>
  <c r="E773" i="1"/>
  <c r="S772" i="1"/>
  <c r="G772" i="1"/>
  <c r="W771" i="1"/>
  <c r="I771" i="1"/>
  <c r="AN770" i="1"/>
  <c r="L770" i="1"/>
  <c r="C770" i="1"/>
  <c r="P769" i="1"/>
  <c r="E769" i="1"/>
  <c r="S768" i="1"/>
  <c r="G768" i="1"/>
  <c r="W767" i="1"/>
  <c r="I767" i="1"/>
  <c r="AN766" i="1"/>
  <c r="L766" i="1"/>
  <c r="C766" i="1"/>
  <c r="P765" i="1"/>
  <c r="E765" i="1"/>
  <c r="S764" i="1"/>
  <c r="G764" i="1"/>
  <c r="W763" i="1"/>
  <c r="I763" i="1"/>
  <c r="AN922" i="1"/>
  <c r="H899" i="1"/>
  <c r="E888" i="1"/>
  <c r="O879" i="1"/>
  <c r="W873" i="1"/>
  <c r="C867" i="1"/>
  <c r="H861" i="1"/>
  <c r="AU856" i="1"/>
  <c r="J853" i="1"/>
  <c r="Z849" i="1"/>
  <c r="E846" i="1"/>
  <c r="U841" i="1"/>
  <c r="AU837" i="1"/>
  <c r="I834" i="1"/>
  <c r="J832" i="1"/>
  <c r="F831" i="1"/>
  <c r="D830" i="1"/>
  <c r="Z828" i="1"/>
  <c r="Q827" i="1"/>
  <c r="U826" i="1"/>
  <c r="C826" i="1"/>
  <c r="G825" i="1"/>
  <c r="O824" i="1"/>
  <c r="Z823" i="1"/>
  <c r="E823" i="1"/>
  <c r="L822" i="1"/>
  <c r="S821" i="1"/>
  <c r="AU820" i="1"/>
  <c r="H820" i="1"/>
  <c r="P819" i="1"/>
  <c r="AN818" i="1"/>
  <c r="AN817" i="1"/>
  <c r="G817" i="1"/>
  <c r="I816" i="1"/>
  <c r="J815" i="1"/>
  <c r="S814" i="1"/>
  <c r="U813" i="1"/>
  <c r="Z812" i="1"/>
  <c r="F812" i="1"/>
  <c r="L811" i="1"/>
  <c r="W810" i="1"/>
  <c r="D810" i="1"/>
  <c r="E809" i="1"/>
  <c r="L808" i="1"/>
  <c r="U807" i="1"/>
  <c r="D807" i="1"/>
  <c r="H806" i="1"/>
  <c r="P805" i="1"/>
  <c r="AN804" i="1"/>
  <c r="AU803" i="1"/>
  <c r="I803" i="1"/>
  <c r="P802" i="1"/>
  <c r="Z801" i="1"/>
  <c r="F801" i="1"/>
  <c r="O800" i="1"/>
  <c r="Z799" i="1"/>
  <c r="D799" i="1"/>
  <c r="I798" i="1"/>
  <c r="S797" i="1"/>
  <c r="AU796" i="1"/>
  <c r="H796" i="1"/>
  <c r="O795" i="1"/>
  <c r="W794" i="1"/>
  <c r="E794" i="1"/>
  <c r="J793" i="1"/>
  <c r="Z792" i="1"/>
  <c r="H792" i="1"/>
  <c r="Q791" i="1"/>
  <c r="D791" i="1"/>
  <c r="P790" i="1"/>
  <c r="D790" i="1"/>
  <c r="H789" i="1"/>
  <c r="W788" i="1"/>
  <c r="I788" i="1"/>
  <c r="Z787" i="1"/>
  <c r="E787" i="1"/>
  <c r="J786" i="1"/>
  <c r="AN785" i="1"/>
  <c r="F785" i="1"/>
  <c r="U784" i="1"/>
  <c r="E784" i="1"/>
  <c r="S783" i="1"/>
  <c r="G783" i="1"/>
  <c r="W782" i="1"/>
  <c r="I782" i="1"/>
  <c r="AN781" i="1"/>
  <c r="G781" i="1"/>
  <c r="W780" i="1"/>
  <c r="I780" i="1"/>
  <c r="AN779" i="1"/>
  <c r="L779" i="1"/>
  <c r="C779" i="1"/>
  <c r="P778" i="1"/>
  <c r="E778" i="1"/>
  <c r="S777" i="1"/>
  <c r="G777" i="1"/>
  <c r="U776" i="1"/>
  <c r="E776" i="1"/>
  <c r="S775" i="1"/>
  <c r="H775" i="1"/>
  <c r="Z774" i="1"/>
  <c r="J774" i="1"/>
  <c r="AU773" i="1"/>
  <c r="O773" i="1"/>
  <c r="D773" i="1"/>
  <c r="Q772" i="1"/>
  <c r="F772" i="1"/>
  <c r="U771" i="1"/>
  <c r="H771" i="1"/>
  <c r="Z770" i="1"/>
  <c r="J770" i="1"/>
  <c r="AU769" i="1"/>
  <c r="O769" i="1"/>
  <c r="D769" i="1"/>
  <c r="Q768" i="1"/>
  <c r="F768" i="1"/>
  <c r="U767" i="1"/>
  <c r="H767" i="1"/>
  <c r="Z766" i="1"/>
  <c r="J766" i="1"/>
  <c r="AU765" i="1"/>
  <c r="O765" i="1"/>
  <c r="D765" i="1"/>
  <c r="Q764" i="1"/>
  <c r="F764" i="1"/>
  <c r="U763" i="1"/>
  <c r="H763" i="1"/>
  <c r="Z762" i="1"/>
  <c r="F762" i="1"/>
  <c r="U761" i="1"/>
  <c r="I761" i="1"/>
  <c r="AN760" i="1"/>
  <c r="G760" i="1"/>
  <c r="U759" i="1"/>
  <c r="E759" i="1"/>
  <c r="L758" i="1"/>
  <c r="C758" i="1"/>
  <c r="J757" i="1"/>
  <c r="AU756" i="1"/>
  <c r="O756" i="1"/>
  <c r="D756" i="1"/>
  <c r="Q755" i="1"/>
  <c r="F755" i="1"/>
  <c r="U754" i="1"/>
  <c r="I754" i="1"/>
  <c r="AN753" i="1"/>
  <c r="G753" i="1"/>
  <c r="W752" i="1"/>
  <c r="I752" i="1"/>
  <c r="AN751" i="1"/>
  <c r="L751" i="1"/>
  <c r="C751" i="1"/>
  <c r="P750" i="1"/>
  <c r="E750" i="1"/>
  <c r="S749" i="1"/>
  <c r="F749" i="1"/>
  <c r="U748" i="1"/>
  <c r="H748" i="1"/>
  <c r="Z747" i="1"/>
  <c r="F747" i="1"/>
  <c r="U746" i="1"/>
  <c r="I746" i="1"/>
  <c r="AN745" i="1"/>
  <c r="L745" i="1"/>
  <c r="C745" i="1"/>
  <c r="P744" i="1"/>
  <c r="E744" i="1"/>
  <c r="S743" i="1"/>
  <c r="H743" i="1"/>
  <c r="Z742" i="1"/>
  <c r="J742" i="1"/>
  <c r="AU741" i="1"/>
  <c r="O741" i="1"/>
  <c r="D741" i="1"/>
  <c r="Q740" i="1"/>
  <c r="F740" i="1"/>
  <c r="U739" i="1"/>
  <c r="G739" i="1"/>
  <c r="W738" i="1"/>
  <c r="I738" i="1"/>
  <c r="AN737" i="1"/>
  <c r="L737" i="1"/>
  <c r="C737" i="1"/>
  <c r="P736" i="1"/>
  <c r="E736" i="1"/>
  <c r="S735" i="1"/>
  <c r="G735" i="1"/>
  <c r="W734" i="1"/>
  <c r="I734" i="1"/>
  <c r="AN733" i="1"/>
  <c r="L733" i="1"/>
  <c r="C733" i="1"/>
  <c r="P732" i="1"/>
  <c r="E732" i="1"/>
  <c r="L731" i="1"/>
  <c r="C731" i="1"/>
  <c r="I730" i="1"/>
  <c r="AN729" i="1"/>
  <c r="G729" i="1"/>
  <c r="U728" i="1"/>
  <c r="E728" i="1"/>
  <c r="S727" i="1"/>
  <c r="D727" i="1"/>
  <c r="Q726" i="1"/>
  <c r="F726" i="1"/>
  <c r="U725" i="1"/>
  <c r="H725" i="1"/>
  <c r="Z724" i="1"/>
  <c r="F724" i="1"/>
  <c r="U723" i="1"/>
  <c r="H723" i="1"/>
  <c r="Z722" i="1"/>
  <c r="J722" i="1"/>
  <c r="AU721" i="1"/>
  <c r="O721" i="1"/>
  <c r="D721" i="1"/>
  <c r="Q720" i="1"/>
  <c r="F720" i="1"/>
  <c r="S719" i="1"/>
  <c r="D719" i="1"/>
  <c r="Q718" i="1"/>
  <c r="F718" i="1"/>
  <c r="U717" i="1"/>
  <c r="H717" i="1"/>
  <c r="Z716" i="1"/>
  <c r="J716" i="1"/>
  <c r="AU715" i="1"/>
  <c r="O715" i="1"/>
  <c r="D715" i="1"/>
  <c r="Q714" i="1"/>
  <c r="F714" i="1"/>
  <c r="U713" i="1"/>
  <c r="H713" i="1"/>
  <c r="Z712" i="1"/>
  <c r="J712" i="1"/>
  <c r="AU711" i="1"/>
  <c r="O711" i="1"/>
  <c r="D711" i="1"/>
  <c r="Q710" i="1"/>
  <c r="F710" i="1"/>
  <c r="U709" i="1"/>
  <c r="H709" i="1"/>
  <c r="Z708" i="1"/>
  <c r="J708" i="1"/>
  <c r="AU707" i="1"/>
  <c r="O707" i="1"/>
  <c r="D707" i="1"/>
  <c r="J706" i="1"/>
  <c r="AU705" i="1"/>
  <c r="O916" i="1"/>
  <c r="AU852" i="1"/>
  <c r="Z829" i="1"/>
  <c r="C823" i="1"/>
  <c r="F817" i="1"/>
  <c r="R810" i="1"/>
  <c r="Z804" i="1"/>
  <c r="C799" i="1"/>
  <c r="I793" i="1"/>
  <c r="U788" i="1"/>
  <c r="D784" i="1"/>
  <c r="H780" i="1"/>
  <c r="S776" i="1"/>
  <c r="C773" i="1"/>
  <c r="W769" i="1"/>
  <c r="P768" i="1"/>
  <c r="O767" i="1"/>
  <c r="G766" i="1"/>
  <c r="C765" i="1"/>
  <c r="D764" i="1"/>
  <c r="F763" i="1"/>
  <c r="G762" i="1"/>
  <c r="Q761" i="1"/>
  <c r="Z760" i="1"/>
  <c r="C760" i="1"/>
  <c r="C759" i="1"/>
  <c r="D758" i="1"/>
  <c r="G757" i="1"/>
  <c r="L756" i="1"/>
  <c r="Z755" i="1"/>
  <c r="D755" i="1"/>
  <c r="J754" i="1"/>
  <c r="S753" i="1"/>
  <c r="U752" i="1"/>
  <c r="E752" i="1"/>
  <c r="I751" i="1"/>
  <c r="Q750" i="1"/>
  <c r="AU749" i="1"/>
  <c r="E749" i="1"/>
  <c r="O748" i="1"/>
  <c r="S747" i="1"/>
  <c r="W746" i="1"/>
  <c r="F746" i="1"/>
  <c r="J745" i="1"/>
  <c r="W744" i="1"/>
  <c r="C744" i="1"/>
  <c r="I743" i="1"/>
  <c r="S742" i="1"/>
  <c r="AN741" i="1"/>
  <c r="H741" i="1"/>
  <c r="O740" i="1"/>
  <c r="W739" i="1"/>
  <c r="D739" i="1"/>
  <c r="H738" i="1"/>
  <c r="S737" i="1"/>
  <c r="AN736" i="1"/>
  <c r="F736" i="1"/>
  <c r="O735" i="1"/>
  <c r="U734" i="1"/>
  <c r="E734" i="1"/>
  <c r="I733" i="1"/>
  <c r="Q732" i="1"/>
  <c r="AU731" i="1"/>
  <c r="AU730" i="1"/>
  <c r="E730" i="1"/>
  <c r="E729" i="1"/>
  <c r="F728" i="1"/>
  <c r="I727" i="1"/>
  <c r="P726" i="1"/>
  <c r="AU725" i="1"/>
  <c r="F725" i="1"/>
  <c r="G724" i="1"/>
  <c r="P723" i="1"/>
  <c r="W722" i="1"/>
  <c r="F722" i="1"/>
  <c r="J721" i="1"/>
  <c r="S720" i="1"/>
  <c r="C720" i="1"/>
  <c r="C719" i="1"/>
  <c r="J718" i="1"/>
  <c r="Q717" i="1"/>
  <c r="AN716" i="1"/>
  <c r="G716" i="1"/>
  <c r="L715" i="1"/>
  <c r="Z714" i="1"/>
  <c r="D714" i="1"/>
  <c r="I713" i="1"/>
  <c r="S712" i="1"/>
  <c r="AN711" i="1"/>
  <c r="H711" i="1"/>
  <c r="O710" i="1"/>
  <c r="W709" i="1"/>
  <c r="E709" i="1"/>
  <c r="I708" i="1"/>
  <c r="W707" i="1"/>
  <c r="G707" i="1"/>
  <c r="I706" i="1"/>
  <c r="W705" i="1"/>
  <c r="J705" i="1"/>
  <c r="AU704" i="1"/>
  <c r="H704" i="1"/>
  <c r="Z703" i="1"/>
  <c r="F703" i="1"/>
  <c r="S702" i="1"/>
  <c r="D702" i="1"/>
  <c r="L701" i="1"/>
  <c r="C701" i="1"/>
  <c r="P700" i="1"/>
  <c r="E700" i="1"/>
  <c r="S699" i="1"/>
  <c r="G699" i="1"/>
  <c r="U698" i="1"/>
  <c r="E698" i="1"/>
  <c r="S697" i="1"/>
  <c r="G697" i="1"/>
  <c r="W696" i="1"/>
  <c r="I696" i="1"/>
  <c r="AN695" i="1"/>
  <c r="L695" i="1"/>
  <c r="C695" i="1"/>
  <c r="Q694" i="1"/>
  <c r="D694" i="1"/>
  <c r="Q693" i="1"/>
  <c r="F693" i="1"/>
  <c r="S692" i="1"/>
  <c r="D692" i="1"/>
  <c r="R691" i="1"/>
  <c r="G691" i="1"/>
  <c r="W690" i="1"/>
  <c r="I690" i="1"/>
  <c r="AN689" i="1"/>
  <c r="L689" i="1"/>
  <c r="C689" i="1"/>
  <c r="P688" i="1"/>
  <c r="E688" i="1"/>
  <c r="S687" i="1"/>
  <c r="G687" i="1"/>
  <c r="W686" i="1"/>
  <c r="I686" i="1"/>
  <c r="AN685" i="1"/>
  <c r="J685" i="1"/>
  <c r="AU684" i="1"/>
  <c r="O684" i="1"/>
  <c r="D684" i="1"/>
  <c r="Q683" i="1"/>
  <c r="F683" i="1"/>
  <c r="U682" i="1"/>
  <c r="H682" i="1"/>
  <c r="Z681" i="1"/>
  <c r="J681" i="1"/>
  <c r="AU680" i="1"/>
  <c r="O680" i="1"/>
  <c r="D680" i="1"/>
  <c r="Q679" i="1"/>
  <c r="F679" i="1"/>
  <c r="U678" i="1"/>
  <c r="H678" i="1"/>
  <c r="Z677" i="1"/>
  <c r="F677" i="1"/>
  <c r="S676" i="1"/>
  <c r="D676" i="1"/>
  <c r="J675" i="1"/>
  <c r="AU674" i="1"/>
  <c r="H674" i="1"/>
  <c r="Z673" i="1"/>
  <c r="F673" i="1"/>
  <c r="S672" i="1"/>
  <c r="D672" i="1"/>
  <c r="J671" i="1"/>
  <c r="AU670" i="1"/>
  <c r="H670" i="1"/>
  <c r="Z669" i="1"/>
  <c r="F669" i="1"/>
  <c r="S668" i="1"/>
  <c r="D668" i="1"/>
  <c r="J667" i="1"/>
  <c r="Z897" i="1"/>
  <c r="J849" i="1"/>
  <c r="U828" i="1"/>
  <c r="H822" i="1"/>
  <c r="H816" i="1"/>
  <c r="C810" i="1"/>
  <c r="Z803" i="1"/>
  <c r="H798" i="1"/>
  <c r="W792" i="1"/>
  <c r="H788" i="1"/>
  <c r="Q783" i="1"/>
  <c r="Z779" i="1"/>
  <c r="D776" i="1"/>
  <c r="P772" i="1"/>
  <c r="U769" i="1"/>
  <c r="L768" i="1"/>
  <c r="G767" i="1"/>
  <c r="F766" i="1"/>
  <c r="AN764" i="1"/>
  <c r="C764" i="1"/>
  <c r="E763" i="1"/>
  <c r="E762" i="1"/>
  <c r="P761" i="1"/>
  <c r="U760" i="1"/>
  <c r="Z759" i="1"/>
  <c r="AU758" i="1"/>
  <c r="AU757" i="1"/>
  <c r="F757" i="1"/>
  <c r="J756" i="1"/>
  <c r="S755" i="1"/>
  <c r="C755" i="1"/>
  <c r="H754" i="1"/>
  <c r="L753" i="1"/>
  <c r="S752" i="1"/>
  <c r="AU751" i="1"/>
  <c r="H751" i="1"/>
  <c r="O750" i="1"/>
  <c r="AN749" i="1"/>
  <c r="D749" i="1"/>
  <c r="I748" i="1"/>
  <c r="L747" i="1"/>
  <c r="S746" i="1"/>
  <c r="E746" i="1"/>
  <c r="I745" i="1"/>
  <c r="Q744" i="1"/>
  <c r="AU743" i="1"/>
  <c r="G743" i="1"/>
  <c r="Q742" i="1"/>
  <c r="Z741" i="1"/>
  <c r="E741" i="1"/>
  <c r="L740" i="1"/>
  <c r="S739" i="1"/>
  <c r="C739" i="1"/>
  <c r="G738" i="1"/>
  <c r="O737" i="1"/>
  <c r="Z736" i="1"/>
  <c r="D736" i="1"/>
  <c r="L735" i="1"/>
  <c r="S734" i="1"/>
  <c r="AU733" i="1"/>
  <c r="H733" i="1"/>
  <c r="O732" i="1"/>
  <c r="AN731" i="1"/>
  <c r="AN730" i="1"/>
  <c r="AU729" i="1"/>
  <c r="D729" i="1"/>
  <c r="D728" i="1"/>
  <c r="H727" i="1"/>
  <c r="O726" i="1"/>
  <c r="W725" i="1"/>
  <c r="E725" i="1"/>
  <c r="E724" i="1"/>
  <c r="O723" i="1"/>
  <c r="U722" i="1"/>
  <c r="C722" i="1"/>
  <c r="I721" i="1"/>
  <c r="P720" i="1"/>
  <c r="AU719" i="1"/>
  <c r="AU718" i="1"/>
  <c r="G718" i="1"/>
  <c r="P717" i="1"/>
  <c r="W716" i="1"/>
  <c r="F716" i="1"/>
  <c r="J715" i="1"/>
  <c r="S714" i="1"/>
  <c r="C714" i="1"/>
  <c r="G713" i="1"/>
  <c r="Q712" i="1"/>
  <c r="Z711" i="1"/>
  <c r="E711" i="1"/>
  <c r="L710" i="1"/>
  <c r="S709" i="1"/>
  <c r="D709" i="1"/>
  <c r="H708" i="1"/>
  <c r="U707" i="1"/>
  <c r="E707" i="1"/>
  <c r="H706" i="1"/>
  <c r="U705" i="1"/>
  <c r="I705" i="1"/>
  <c r="AN704" i="1"/>
  <c r="G704" i="1"/>
  <c r="U703" i="1"/>
  <c r="E703" i="1"/>
  <c r="L702" i="1"/>
  <c r="C702" i="1"/>
  <c r="J701" i="1"/>
  <c r="AU700" i="1"/>
  <c r="O700" i="1"/>
  <c r="D700" i="1"/>
  <c r="Q699" i="1"/>
  <c r="F699" i="1"/>
  <c r="S698" i="1"/>
  <c r="D698" i="1"/>
  <c r="Q697" i="1"/>
  <c r="F697" i="1"/>
  <c r="U696" i="1"/>
  <c r="H696" i="1"/>
  <c r="Z695" i="1"/>
  <c r="J695" i="1"/>
  <c r="AU694" i="1"/>
  <c r="L694" i="1"/>
  <c r="C694" i="1"/>
  <c r="P693" i="1"/>
  <c r="E693" i="1"/>
  <c r="L692" i="1"/>
  <c r="C692" i="1"/>
  <c r="Q691" i="1"/>
  <c r="F691" i="1"/>
  <c r="U690" i="1"/>
  <c r="H690" i="1"/>
  <c r="Z689" i="1"/>
  <c r="J689" i="1"/>
  <c r="AU688" i="1"/>
  <c r="O688" i="1"/>
  <c r="D688" i="1"/>
  <c r="Q687" i="1"/>
  <c r="F687" i="1"/>
  <c r="U686" i="1"/>
  <c r="H686" i="1"/>
  <c r="Z685" i="1"/>
  <c r="I685" i="1"/>
  <c r="AN684" i="1"/>
  <c r="L684" i="1"/>
  <c r="C684" i="1"/>
  <c r="P683" i="1"/>
  <c r="E683" i="1"/>
  <c r="S682" i="1"/>
  <c r="G682" i="1"/>
  <c r="W681" i="1"/>
  <c r="I681" i="1"/>
  <c r="AN680" i="1"/>
  <c r="L680" i="1"/>
  <c r="C680" i="1"/>
  <c r="P679" i="1"/>
  <c r="E679" i="1"/>
  <c r="S678" i="1"/>
  <c r="G678" i="1"/>
  <c r="U677" i="1"/>
  <c r="E677" i="1"/>
  <c r="L676" i="1"/>
  <c r="C676" i="1"/>
  <c r="I675" i="1"/>
  <c r="AN674" i="1"/>
  <c r="G674" i="1"/>
  <c r="U673" i="1"/>
  <c r="E673" i="1"/>
  <c r="L672" i="1"/>
  <c r="C672" i="1"/>
  <c r="I671" i="1"/>
  <c r="AN670" i="1"/>
  <c r="G670" i="1"/>
  <c r="U669" i="1"/>
  <c r="E669" i="1"/>
  <c r="L668" i="1"/>
  <c r="C668" i="1"/>
  <c r="Z886" i="1"/>
  <c r="L845" i="1"/>
  <c r="O827" i="1"/>
  <c r="Q821" i="1"/>
  <c r="H815" i="1"/>
  <c r="D809" i="1"/>
  <c r="F803" i="1"/>
  <c r="Q797" i="1"/>
  <c r="E792" i="1"/>
  <c r="U787" i="1"/>
  <c r="F783" i="1"/>
  <c r="J779" i="1"/>
  <c r="R775" i="1"/>
  <c r="E772" i="1"/>
  <c r="L769" i="1"/>
  <c r="J768" i="1"/>
  <c r="E767" i="1"/>
  <c r="AN765" i="1"/>
  <c r="Z764" i="1"/>
  <c r="AU763" i="1"/>
  <c r="D763" i="1"/>
  <c r="D762" i="1"/>
  <c r="J761" i="1"/>
  <c r="S760" i="1"/>
  <c r="S759" i="1"/>
  <c r="AN758" i="1"/>
  <c r="AN757" i="1"/>
  <c r="C757" i="1"/>
  <c r="I756" i="1"/>
  <c r="P755" i="1"/>
  <c r="AU754" i="1"/>
  <c r="G754" i="1"/>
  <c r="H753" i="1"/>
  <c r="Q752" i="1"/>
  <c r="Z751" i="1"/>
  <c r="G751" i="1"/>
  <c r="L750" i="1"/>
  <c r="U749" i="1"/>
  <c r="C749" i="1"/>
  <c r="G748" i="1"/>
  <c r="J747" i="1"/>
  <c r="R746" i="1"/>
  <c r="AU745" i="1"/>
  <c r="H745" i="1"/>
  <c r="O744" i="1"/>
  <c r="AN743" i="1"/>
  <c r="F743" i="1"/>
  <c r="L742" i="1"/>
  <c r="W741" i="1"/>
  <c r="C741" i="1"/>
  <c r="J740" i="1"/>
  <c r="R739" i="1"/>
  <c r="Z738" i="1"/>
  <c r="F738" i="1"/>
  <c r="J737" i="1"/>
  <c r="W736" i="1"/>
  <c r="C736" i="1"/>
  <c r="H735" i="1"/>
  <c r="Q734" i="1"/>
  <c r="Z733" i="1"/>
  <c r="G733" i="1"/>
  <c r="L732" i="1"/>
  <c r="S731" i="1"/>
  <c r="Z730" i="1"/>
  <c r="Z729" i="1"/>
  <c r="C729" i="1"/>
  <c r="C728" i="1"/>
  <c r="E727" i="1"/>
  <c r="L726" i="1"/>
  <c r="S725" i="1"/>
  <c r="D725" i="1"/>
  <c r="D724" i="1"/>
  <c r="I723" i="1"/>
  <c r="S722" i="1"/>
  <c r="AN721" i="1"/>
  <c r="H721" i="1"/>
  <c r="O720" i="1"/>
  <c r="U719" i="1"/>
  <c r="AN718" i="1"/>
  <c r="E718" i="1"/>
  <c r="O717" i="1"/>
  <c r="U716" i="1"/>
  <c r="C716" i="1"/>
  <c r="I715" i="1"/>
  <c r="P714" i="1"/>
  <c r="AU713" i="1"/>
  <c r="F713" i="1"/>
  <c r="L712" i="1"/>
  <c r="W711" i="1"/>
  <c r="C711" i="1"/>
  <c r="J710" i="1"/>
  <c r="Q709" i="1"/>
  <c r="AN708" i="1"/>
  <c r="G708" i="1"/>
  <c r="S707" i="1"/>
  <c r="C707" i="1"/>
  <c r="G706" i="1"/>
  <c r="S705" i="1"/>
  <c r="H705" i="1"/>
  <c r="Z704" i="1"/>
  <c r="F704" i="1"/>
  <c r="S703" i="1"/>
  <c r="D703" i="1"/>
  <c r="J702" i="1"/>
  <c r="AU701" i="1"/>
  <c r="I701" i="1"/>
  <c r="AN700" i="1"/>
  <c r="L700" i="1"/>
  <c r="C700" i="1"/>
  <c r="P699" i="1"/>
  <c r="E699" i="1"/>
  <c r="L698" i="1"/>
  <c r="C698" i="1"/>
  <c r="P697" i="1"/>
  <c r="E697" i="1"/>
  <c r="S696" i="1"/>
  <c r="G696" i="1"/>
  <c r="W695" i="1"/>
  <c r="I695" i="1"/>
  <c r="AN694" i="1"/>
  <c r="J694" i="1"/>
  <c r="AU693" i="1"/>
  <c r="O693" i="1"/>
  <c r="D693" i="1"/>
  <c r="J692" i="1"/>
  <c r="AU691" i="1"/>
  <c r="P691" i="1"/>
  <c r="E691" i="1"/>
  <c r="S690" i="1"/>
  <c r="G690" i="1"/>
  <c r="W689" i="1"/>
  <c r="I689" i="1"/>
  <c r="AN688" i="1"/>
  <c r="L688" i="1"/>
  <c r="C688" i="1"/>
  <c r="P687" i="1"/>
  <c r="E687" i="1"/>
  <c r="S686" i="1"/>
  <c r="G686" i="1"/>
  <c r="W685" i="1"/>
  <c r="H685" i="1"/>
  <c r="Z684" i="1"/>
  <c r="J684" i="1"/>
  <c r="AU683" i="1"/>
  <c r="O683" i="1"/>
  <c r="D683" i="1"/>
  <c r="Q682" i="1"/>
  <c r="F682" i="1"/>
  <c r="U681" i="1"/>
  <c r="H681" i="1"/>
  <c r="Z680" i="1"/>
  <c r="J680" i="1"/>
  <c r="AU679" i="1"/>
  <c r="O679" i="1"/>
  <c r="D679" i="1"/>
  <c r="Q678" i="1"/>
  <c r="F678" i="1"/>
  <c r="S677" i="1"/>
  <c r="D677" i="1"/>
  <c r="J676" i="1"/>
  <c r="AU675" i="1"/>
  <c r="H675" i="1"/>
  <c r="Z674" i="1"/>
  <c r="F674" i="1"/>
  <c r="S673" i="1"/>
  <c r="D673" i="1"/>
  <c r="J672" i="1"/>
  <c r="AU671" i="1"/>
  <c r="H671" i="1"/>
  <c r="Z670" i="1"/>
  <c r="F670" i="1"/>
  <c r="S669" i="1"/>
  <c r="D669" i="1"/>
  <c r="J668" i="1"/>
  <c r="AU667" i="1"/>
  <c r="H667" i="1"/>
  <c r="Z666" i="1"/>
  <c r="F666" i="1"/>
  <c r="S665" i="1"/>
  <c r="D665" i="1"/>
  <c r="J664" i="1"/>
  <c r="AU663" i="1"/>
  <c r="H663" i="1"/>
  <c r="Z662" i="1"/>
  <c r="F662" i="1"/>
  <c r="S661" i="1"/>
  <c r="D661" i="1"/>
  <c r="J660" i="1"/>
  <c r="AU659" i="1"/>
  <c r="H659" i="1"/>
  <c r="Z658" i="1"/>
  <c r="F658" i="1"/>
  <c r="S657" i="1"/>
  <c r="D657" i="1"/>
  <c r="J656" i="1"/>
  <c r="AU655" i="1"/>
  <c r="H655" i="1"/>
  <c r="Z654" i="1"/>
  <c r="F654" i="1"/>
  <c r="S653" i="1"/>
  <c r="D653" i="1"/>
  <c r="J652" i="1"/>
  <c r="AU651" i="1"/>
  <c r="H651" i="1"/>
  <c r="Z650" i="1"/>
  <c r="F650" i="1"/>
  <c r="S649" i="1"/>
  <c r="D649" i="1"/>
  <c r="J648" i="1"/>
  <c r="AU647" i="1"/>
  <c r="H647" i="1"/>
  <c r="Z646" i="1"/>
  <c r="F646" i="1"/>
  <c r="S645" i="1"/>
  <c r="D645" i="1"/>
  <c r="J644" i="1"/>
  <c r="AU643" i="1"/>
  <c r="H643" i="1"/>
  <c r="Z642" i="1"/>
  <c r="F642" i="1"/>
  <c r="S641" i="1"/>
  <c r="D641" i="1"/>
  <c r="J640" i="1"/>
  <c r="AU639" i="1"/>
  <c r="H639" i="1"/>
  <c r="Z638" i="1"/>
  <c r="F638" i="1"/>
  <c r="S637" i="1"/>
  <c r="D637" i="1"/>
  <c r="J636" i="1"/>
  <c r="AU635" i="1"/>
  <c r="H635" i="1"/>
  <c r="Z634" i="1"/>
  <c r="F634" i="1"/>
  <c r="U633" i="1"/>
  <c r="H633" i="1"/>
  <c r="Z632" i="1"/>
  <c r="J632" i="1"/>
  <c r="AU631" i="1"/>
  <c r="O631" i="1"/>
  <c r="D631" i="1"/>
  <c r="Q630" i="1"/>
  <c r="F630" i="1"/>
  <c r="U629" i="1"/>
  <c r="H629" i="1"/>
  <c r="Z628" i="1"/>
  <c r="J628" i="1"/>
  <c r="AU627" i="1"/>
  <c r="O627" i="1"/>
  <c r="D627" i="1"/>
  <c r="Q626" i="1"/>
  <c r="F626" i="1"/>
  <c r="U625" i="1"/>
  <c r="F625" i="1"/>
  <c r="U624" i="1"/>
  <c r="U878" i="1"/>
  <c r="H841" i="1"/>
  <c r="R826" i="1"/>
  <c r="AN820" i="1"/>
  <c r="I814" i="1"/>
  <c r="J808" i="1"/>
  <c r="O802" i="1"/>
  <c r="Z796" i="1"/>
  <c r="P791" i="1"/>
  <c r="D787" i="1"/>
  <c r="U782" i="1"/>
  <c r="AU778" i="1"/>
  <c r="G775" i="1"/>
  <c r="S771" i="1"/>
  <c r="I769" i="1"/>
  <c r="E768" i="1"/>
  <c r="D767" i="1"/>
  <c r="W765" i="1"/>
  <c r="P764" i="1"/>
  <c r="S763" i="1"/>
  <c r="AN762" i="1"/>
  <c r="C762" i="1"/>
  <c r="H761" i="1"/>
  <c r="L760" i="1"/>
  <c r="L759" i="1"/>
  <c r="S758" i="1"/>
  <c r="Z757" i="1"/>
  <c r="AN756" i="1"/>
  <c r="H756" i="1"/>
  <c r="O755" i="1"/>
  <c r="W754" i="1"/>
  <c r="F754" i="1"/>
  <c r="F753" i="1"/>
  <c r="P752" i="1"/>
  <c r="W751" i="1"/>
  <c r="D751" i="1"/>
  <c r="J750" i="1"/>
  <c r="R749" i="1"/>
  <c r="AU748" i="1"/>
  <c r="F748" i="1"/>
  <c r="G747" i="1"/>
  <c r="Q746" i="1"/>
  <c r="Z745" i="1"/>
  <c r="G745" i="1"/>
  <c r="L744" i="1"/>
  <c r="U743" i="1"/>
  <c r="E743" i="1"/>
  <c r="I742" i="1"/>
  <c r="U741" i="1"/>
  <c r="AU740" i="1"/>
  <c r="G740" i="1"/>
  <c r="Q739" i="1"/>
  <c r="U738" i="1"/>
  <c r="E738" i="1"/>
  <c r="I737" i="1"/>
  <c r="Q736" i="1"/>
  <c r="AU735" i="1"/>
  <c r="F735" i="1"/>
  <c r="P734" i="1"/>
  <c r="W733" i="1"/>
  <c r="D733" i="1"/>
  <c r="J732" i="1"/>
  <c r="J731" i="1"/>
  <c r="U730" i="1"/>
  <c r="U729" i="1"/>
  <c r="Z728" i="1"/>
  <c r="AU727" i="1"/>
  <c r="C727" i="1"/>
  <c r="J726" i="1"/>
  <c r="Q725" i="1"/>
  <c r="AN724" i="1"/>
  <c r="C724" i="1"/>
  <c r="G723" i="1"/>
  <c r="Q722" i="1"/>
  <c r="Z721" i="1"/>
  <c r="E721" i="1"/>
  <c r="L720" i="1"/>
  <c r="L719" i="1"/>
  <c r="Z718" i="1"/>
  <c r="D718" i="1"/>
  <c r="I717" i="1"/>
  <c r="S716" i="1"/>
  <c r="AN715" i="1"/>
  <c r="H715" i="1"/>
  <c r="O714" i="1"/>
  <c r="W713" i="1"/>
  <c r="E713" i="1"/>
  <c r="I712" i="1"/>
  <c r="U711" i="1"/>
  <c r="AU710" i="1"/>
  <c r="G710" i="1"/>
  <c r="P709" i="1"/>
  <c r="W708" i="1"/>
  <c r="F708" i="1"/>
  <c r="P707" i="1"/>
  <c r="AU706" i="1"/>
  <c r="F706" i="1"/>
  <c r="R705" i="1"/>
  <c r="G705" i="1"/>
  <c r="U704" i="1"/>
  <c r="E704" i="1"/>
  <c r="L703" i="1"/>
  <c r="C703" i="1"/>
  <c r="I702" i="1"/>
  <c r="AN701" i="1"/>
  <c r="H701" i="1"/>
  <c r="Z700" i="1"/>
  <c r="J700" i="1"/>
  <c r="AU699" i="1"/>
  <c r="O699" i="1"/>
  <c r="D699" i="1"/>
  <c r="J698" i="1"/>
  <c r="AU697" i="1"/>
  <c r="O697" i="1"/>
  <c r="D697" i="1"/>
  <c r="Q696" i="1"/>
  <c r="F696" i="1"/>
  <c r="U695" i="1"/>
  <c r="H695" i="1"/>
  <c r="Z694" i="1"/>
  <c r="I694" i="1"/>
  <c r="AN693" i="1"/>
  <c r="L693" i="1"/>
  <c r="C693" i="1"/>
  <c r="I692" i="1"/>
  <c r="AN691" i="1"/>
  <c r="O691" i="1"/>
  <c r="D691" i="1"/>
  <c r="Q690" i="1"/>
  <c r="F690" i="1"/>
  <c r="U689" i="1"/>
  <c r="H689" i="1"/>
  <c r="Z688" i="1"/>
  <c r="J688" i="1"/>
  <c r="AU687" i="1"/>
  <c r="O687" i="1"/>
  <c r="D687" i="1"/>
  <c r="Q686" i="1"/>
  <c r="F686" i="1"/>
  <c r="U685" i="1"/>
  <c r="G685" i="1"/>
  <c r="W684" i="1"/>
  <c r="I684" i="1"/>
  <c r="AN683" i="1"/>
  <c r="L683" i="1"/>
  <c r="C683" i="1"/>
  <c r="P682" i="1"/>
  <c r="E682" i="1"/>
  <c r="S681" i="1"/>
  <c r="G681" i="1"/>
  <c r="W680" i="1"/>
  <c r="I680" i="1"/>
  <c r="AN679" i="1"/>
  <c r="L679" i="1"/>
  <c r="C679" i="1"/>
  <c r="P678" i="1"/>
  <c r="E678" i="1"/>
  <c r="L677" i="1"/>
  <c r="C677" i="1"/>
  <c r="I676" i="1"/>
  <c r="AN675" i="1"/>
  <c r="G675" i="1"/>
  <c r="U674" i="1"/>
  <c r="E674" i="1"/>
  <c r="L673" i="1"/>
  <c r="C673" i="1"/>
  <c r="I672" i="1"/>
  <c r="AN671" i="1"/>
  <c r="G671" i="1"/>
  <c r="U670" i="1"/>
  <c r="E670" i="1"/>
  <c r="L669" i="1"/>
  <c r="C669" i="1"/>
  <c r="I668" i="1"/>
  <c r="AN667" i="1"/>
  <c r="G667" i="1"/>
  <c r="U666" i="1"/>
  <c r="E666" i="1"/>
  <c r="L665" i="1"/>
  <c r="C665" i="1"/>
  <c r="I664" i="1"/>
  <c r="AN663" i="1"/>
  <c r="G663" i="1"/>
  <c r="U662" i="1"/>
  <c r="E662" i="1"/>
  <c r="L661" i="1"/>
  <c r="C661" i="1"/>
  <c r="I660" i="1"/>
  <c r="AN659" i="1"/>
  <c r="G659" i="1"/>
  <c r="U658" i="1"/>
  <c r="E658" i="1"/>
  <c r="L657" i="1"/>
  <c r="C657" i="1"/>
  <c r="I656" i="1"/>
  <c r="AN655" i="1"/>
  <c r="G655" i="1"/>
  <c r="U654" i="1"/>
  <c r="E654" i="1"/>
  <c r="L653" i="1"/>
  <c r="C653" i="1"/>
  <c r="I652" i="1"/>
  <c r="AN651" i="1"/>
  <c r="G651" i="1"/>
  <c r="U650" i="1"/>
  <c r="E650" i="1"/>
  <c r="L649" i="1"/>
  <c r="C649" i="1"/>
  <c r="I648" i="1"/>
  <c r="AN647" i="1"/>
  <c r="G647" i="1"/>
  <c r="U646" i="1"/>
  <c r="E646" i="1"/>
  <c r="L645" i="1"/>
  <c r="C645" i="1"/>
  <c r="I644" i="1"/>
  <c r="AN643" i="1"/>
  <c r="G643" i="1"/>
  <c r="U642" i="1"/>
  <c r="E642" i="1"/>
  <c r="L641" i="1"/>
  <c r="C641" i="1"/>
  <c r="I640" i="1"/>
  <c r="AN639" i="1"/>
  <c r="G639" i="1"/>
  <c r="U638" i="1"/>
  <c r="E638" i="1"/>
  <c r="L637" i="1"/>
  <c r="C637" i="1"/>
  <c r="I636" i="1"/>
  <c r="AN635" i="1"/>
  <c r="G635" i="1"/>
  <c r="U634" i="1"/>
  <c r="E634" i="1"/>
  <c r="D873" i="1"/>
  <c r="O837" i="1"/>
  <c r="Z825" i="1"/>
  <c r="G820" i="1"/>
  <c r="S813" i="1"/>
  <c r="Q807" i="1"/>
  <c r="W801" i="1"/>
  <c r="E796" i="1"/>
  <c r="C791" i="1"/>
  <c r="I786" i="1"/>
  <c r="H782" i="1"/>
  <c r="O778" i="1"/>
  <c r="W774" i="1"/>
  <c r="G771" i="1"/>
  <c r="H769" i="1"/>
  <c r="C768" i="1"/>
  <c r="W766" i="1"/>
  <c r="U765" i="1"/>
  <c r="O764" i="1"/>
  <c r="Q763" i="1"/>
  <c r="U762" i="1"/>
  <c r="AU761" i="1"/>
  <c r="G761" i="1"/>
  <c r="H760" i="1"/>
  <c r="J759" i="1"/>
  <c r="J758" i="1"/>
  <c r="W757" i="1"/>
  <c r="Z756" i="1"/>
  <c r="E756" i="1"/>
  <c r="L755" i="1"/>
  <c r="S754" i="1"/>
  <c r="E754" i="1"/>
  <c r="E753" i="1"/>
  <c r="J752" i="1"/>
  <c r="U751" i="1"/>
  <c r="AU750" i="1"/>
  <c r="I750" i="1"/>
  <c r="Q749" i="1"/>
  <c r="W748" i="1"/>
  <c r="E748" i="1"/>
  <c r="E747" i="1"/>
  <c r="P746" i="1"/>
  <c r="W745" i="1"/>
  <c r="D745" i="1"/>
  <c r="J744" i="1"/>
  <c r="R743" i="1"/>
  <c r="D743" i="1"/>
  <c r="H742" i="1"/>
  <c r="P741" i="1"/>
  <c r="AN740" i="1"/>
  <c r="E740" i="1"/>
  <c r="L739" i="1"/>
  <c r="S738" i="1"/>
  <c r="AU737" i="1"/>
  <c r="H737" i="1"/>
  <c r="O736" i="1"/>
  <c r="AN735" i="1"/>
  <c r="E735" i="1"/>
  <c r="J734" i="1"/>
  <c r="U733" i="1"/>
  <c r="AU732" i="1"/>
  <c r="I732" i="1"/>
  <c r="I731" i="1"/>
  <c r="J730" i="1"/>
  <c r="S729" i="1"/>
  <c r="S728" i="1"/>
  <c r="AN727" i="1"/>
  <c r="AU726" i="1"/>
  <c r="G726" i="1"/>
  <c r="P725" i="1"/>
  <c r="U724" i="1"/>
  <c r="AU723" i="1"/>
  <c r="F723" i="1"/>
  <c r="L722" i="1"/>
  <c r="W721" i="1"/>
  <c r="C721" i="1"/>
  <c r="J720" i="1"/>
  <c r="J719" i="1"/>
  <c r="S718" i="1"/>
  <c r="C718" i="1"/>
  <c r="G717" i="1"/>
  <c r="Q716" i="1"/>
  <c r="Z715" i="1"/>
  <c r="E715" i="1"/>
  <c r="L714" i="1"/>
  <c r="S713" i="1"/>
  <c r="D713" i="1"/>
  <c r="H712" i="1"/>
  <c r="P711" i="1"/>
  <c r="AN710" i="1"/>
  <c r="E710" i="1"/>
  <c r="O709" i="1"/>
  <c r="U708" i="1"/>
  <c r="E708" i="1"/>
  <c r="L707" i="1"/>
  <c r="AN706" i="1"/>
  <c r="E706" i="1"/>
  <c r="Q705" i="1"/>
  <c r="F705" i="1"/>
  <c r="S704" i="1"/>
  <c r="D704" i="1"/>
  <c r="J703" i="1"/>
  <c r="AU702" i="1"/>
  <c r="H702" i="1"/>
  <c r="Z701" i="1"/>
  <c r="G701" i="1"/>
  <c r="W700" i="1"/>
  <c r="I700" i="1"/>
  <c r="AN699" i="1"/>
  <c r="L699" i="1"/>
  <c r="C699" i="1"/>
  <c r="I698" i="1"/>
  <c r="AN697" i="1"/>
  <c r="L697" i="1"/>
  <c r="C697" i="1"/>
  <c r="P696" i="1"/>
  <c r="E696" i="1"/>
  <c r="S695" i="1"/>
  <c r="G695" i="1"/>
  <c r="W694" i="1"/>
  <c r="H694" i="1"/>
  <c r="Z693" i="1"/>
  <c r="J693" i="1"/>
  <c r="AU692" i="1"/>
  <c r="H692" i="1"/>
  <c r="Z691" i="1"/>
  <c r="L691" i="1"/>
  <c r="C691" i="1"/>
  <c r="P690" i="1"/>
  <c r="E690" i="1"/>
  <c r="S689" i="1"/>
  <c r="G689" i="1"/>
  <c r="W688" i="1"/>
  <c r="I688" i="1"/>
  <c r="AN687" i="1"/>
  <c r="L687" i="1"/>
  <c r="C687" i="1"/>
  <c r="P686" i="1"/>
  <c r="E686" i="1"/>
  <c r="S685" i="1"/>
  <c r="F685" i="1"/>
  <c r="U684" i="1"/>
  <c r="H684" i="1"/>
  <c r="Z683" i="1"/>
  <c r="J683" i="1"/>
  <c r="AU682" i="1"/>
  <c r="O682" i="1"/>
  <c r="D682" i="1"/>
  <c r="Q681" i="1"/>
  <c r="F681" i="1"/>
  <c r="U680" i="1"/>
  <c r="H680" i="1"/>
  <c r="Z679" i="1"/>
  <c r="J679" i="1"/>
  <c r="AU678" i="1"/>
  <c r="O678" i="1"/>
  <c r="D678" i="1"/>
  <c r="J677" i="1"/>
  <c r="AU676" i="1"/>
  <c r="H676" i="1"/>
  <c r="Z675" i="1"/>
  <c r="F675" i="1"/>
  <c r="S674" i="1"/>
  <c r="D674" i="1"/>
  <c r="J673" i="1"/>
  <c r="AU672" i="1"/>
  <c r="H672" i="1"/>
  <c r="Z671" i="1"/>
  <c r="F671" i="1"/>
  <c r="S670" i="1"/>
  <c r="D670" i="1"/>
  <c r="J669" i="1"/>
  <c r="AU668" i="1"/>
  <c r="H668" i="1"/>
  <c r="J866" i="1"/>
  <c r="AN833" i="1"/>
  <c r="F825" i="1"/>
  <c r="L819" i="1"/>
  <c r="W812" i="1"/>
  <c r="AN806" i="1"/>
  <c r="E801" i="1"/>
  <c r="L795" i="1"/>
  <c r="O790" i="1"/>
  <c r="U785" i="1"/>
  <c r="Z781" i="1"/>
  <c r="D778" i="1"/>
  <c r="I774" i="1"/>
  <c r="W770" i="1"/>
  <c r="C769" i="1"/>
  <c r="AU767" i="1"/>
  <c r="S766" i="1"/>
  <c r="L765" i="1"/>
  <c r="L764" i="1"/>
  <c r="P763" i="1"/>
  <c r="S762" i="1"/>
  <c r="W761" i="1"/>
  <c r="F761" i="1"/>
  <c r="F760" i="1"/>
  <c r="I759" i="1"/>
  <c r="I758" i="1"/>
  <c r="L757" i="1"/>
  <c r="W756" i="1"/>
  <c r="C756" i="1"/>
  <c r="J755" i="1"/>
  <c r="R754" i="1"/>
  <c r="AU753" i="1"/>
  <c r="D753" i="1"/>
  <c r="H752" i="1"/>
  <c r="S751" i="1"/>
  <c r="AN750" i="1"/>
  <c r="F750" i="1"/>
  <c r="L749" i="1"/>
  <c r="S748" i="1"/>
  <c r="D748" i="1"/>
  <c r="D747" i="1"/>
  <c r="J746" i="1"/>
  <c r="U745" i="1"/>
  <c r="AU744" i="1"/>
  <c r="I744" i="1"/>
  <c r="Q743" i="1"/>
  <c r="AN742" i="1"/>
  <c r="G742" i="1"/>
  <c r="L741" i="1"/>
  <c r="Z740" i="1"/>
  <c r="D740" i="1"/>
  <c r="H739" i="1"/>
  <c r="Q738" i="1"/>
  <c r="Z737" i="1"/>
  <c r="G737" i="1"/>
  <c r="L736" i="1"/>
  <c r="U735" i="1"/>
  <c r="D735" i="1"/>
  <c r="H734" i="1"/>
  <c r="S733" i="1"/>
  <c r="AN732" i="1"/>
  <c r="F732" i="1"/>
  <c r="H731" i="1"/>
  <c r="H730" i="1"/>
  <c r="L729" i="1"/>
  <c r="L728" i="1"/>
  <c r="U727" i="1"/>
  <c r="AN726" i="1"/>
  <c r="E726" i="1"/>
  <c r="O725" i="1"/>
  <c r="S724" i="1"/>
  <c r="W723" i="1"/>
  <c r="E723" i="1"/>
  <c r="I722" i="1"/>
  <c r="U721" i="1"/>
  <c r="AU720" i="1"/>
  <c r="G720" i="1"/>
  <c r="I719" i="1"/>
  <c r="P718" i="1"/>
  <c r="AU717" i="1"/>
  <c r="F717" i="1"/>
  <c r="L716" i="1"/>
  <c r="W715" i="1"/>
  <c r="C715" i="1"/>
  <c r="J714" i="1"/>
  <c r="Q713" i="1"/>
  <c r="AN712" i="1"/>
  <c r="G712" i="1"/>
  <c r="L711" i="1"/>
  <c r="Z710" i="1"/>
  <c r="D710" i="1"/>
  <c r="I709" i="1"/>
  <c r="S708" i="1"/>
  <c r="C708" i="1"/>
  <c r="J707" i="1"/>
  <c r="Z706" i="1"/>
  <c r="C706" i="1"/>
  <c r="P705" i="1"/>
  <c r="E705" i="1"/>
  <c r="L704" i="1"/>
  <c r="C704" i="1"/>
  <c r="I703" i="1"/>
  <c r="AN702" i="1"/>
  <c r="G702" i="1"/>
  <c r="W701" i="1"/>
  <c r="F701" i="1"/>
  <c r="U700" i="1"/>
  <c r="H700" i="1"/>
  <c r="Z699" i="1"/>
  <c r="J699" i="1"/>
  <c r="AU698" i="1"/>
  <c r="H698" i="1"/>
  <c r="Z697" i="1"/>
  <c r="J697" i="1"/>
  <c r="AU696" i="1"/>
  <c r="O696" i="1"/>
  <c r="D696" i="1"/>
  <c r="Q695" i="1"/>
  <c r="F695" i="1"/>
  <c r="U694" i="1"/>
  <c r="G694" i="1"/>
  <c r="W693" i="1"/>
  <c r="I693" i="1"/>
  <c r="AN692" i="1"/>
  <c r="G692" i="1"/>
  <c r="W691" i="1"/>
  <c r="J691" i="1"/>
  <c r="AU690" i="1"/>
  <c r="O690" i="1"/>
  <c r="D690" i="1"/>
  <c r="Q689" i="1"/>
  <c r="F689" i="1"/>
  <c r="U688" i="1"/>
  <c r="H688" i="1"/>
  <c r="Z687" i="1"/>
  <c r="J687" i="1"/>
  <c r="AU686" i="1"/>
  <c r="O686" i="1"/>
  <c r="D686" i="1"/>
  <c r="R685" i="1"/>
  <c r="E685" i="1"/>
  <c r="S684" i="1"/>
  <c r="G684" i="1"/>
  <c r="W683" i="1"/>
  <c r="I683" i="1"/>
  <c r="AN682" i="1"/>
  <c r="L682" i="1"/>
  <c r="C682" i="1"/>
  <c r="P681" i="1"/>
  <c r="E681" i="1"/>
  <c r="S680" i="1"/>
  <c r="G680" i="1"/>
  <c r="W679" i="1"/>
  <c r="I679" i="1"/>
  <c r="AN678" i="1"/>
  <c r="L678" i="1"/>
  <c r="C678" i="1"/>
  <c r="I677" i="1"/>
  <c r="AN676" i="1"/>
  <c r="G676" i="1"/>
  <c r="U675" i="1"/>
  <c r="E675" i="1"/>
  <c r="L674" i="1"/>
  <c r="C674" i="1"/>
  <c r="I673" i="1"/>
  <c r="AN672" i="1"/>
  <c r="G672" i="1"/>
  <c r="U671" i="1"/>
  <c r="E671" i="1"/>
  <c r="L670" i="1"/>
  <c r="C670" i="1"/>
  <c r="I669" i="1"/>
  <c r="AN668" i="1"/>
  <c r="G668" i="1"/>
  <c r="L860" i="1"/>
  <c r="H832" i="1"/>
  <c r="L824" i="1"/>
  <c r="S818" i="1"/>
  <c r="E812" i="1"/>
  <c r="G806" i="1"/>
  <c r="J800" i="1"/>
  <c r="U794" i="1"/>
  <c r="AU789" i="1"/>
  <c r="E785" i="1"/>
  <c r="F781" i="1"/>
  <c r="Q777" i="1"/>
  <c r="AN773" i="1"/>
  <c r="I770" i="1"/>
  <c r="AN768" i="1"/>
  <c r="S767" i="1"/>
  <c r="Q766" i="1"/>
  <c r="I765" i="1"/>
  <c r="J764" i="1"/>
  <c r="O763" i="1"/>
  <c r="L762" i="1"/>
  <c r="S761" i="1"/>
  <c r="E761" i="1"/>
  <c r="E760" i="1"/>
  <c r="F759" i="1"/>
  <c r="H758" i="1"/>
  <c r="I757" i="1"/>
  <c r="U756" i="1"/>
  <c r="AU755" i="1"/>
  <c r="G755" i="1"/>
  <c r="Q754" i="1"/>
  <c r="Z753" i="1"/>
  <c r="C753" i="1"/>
  <c r="G752" i="1"/>
  <c r="O751" i="1"/>
  <c r="Z750" i="1"/>
  <c r="D750" i="1"/>
  <c r="J749" i="1"/>
  <c r="Q748" i="1"/>
  <c r="AN747" i="1"/>
  <c r="C747" i="1"/>
  <c r="H746" i="1"/>
  <c r="S745" i="1"/>
  <c r="AN744" i="1"/>
  <c r="F744" i="1"/>
  <c r="P743" i="1"/>
  <c r="W742" i="1"/>
  <c r="F742" i="1"/>
  <c r="J741" i="1"/>
  <c r="S740" i="1"/>
  <c r="C740" i="1"/>
  <c r="F739" i="1"/>
  <c r="P738" i="1"/>
  <c r="W737" i="1"/>
  <c r="D737" i="1"/>
  <c r="J736" i="1"/>
  <c r="Q735" i="1"/>
  <c r="C735" i="1"/>
  <c r="G734" i="1"/>
  <c r="O733" i="1"/>
  <c r="Z732" i="1"/>
  <c r="D732" i="1"/>
  <c r="G731" i="1"/>
  <c r="G730" i="1"/>
  <c r="H729" i="1"/>
  <c r="J728" i="1"/>
  <c r="L727" i="1"/>
  <c r="Z726" i="1"/>
  <c r="D726" i="1"/>
  <c r="I725" i="1"/>
  <c r="L724" i="1"/>
  <c r="S723" i="1"/>
  <c r="D723" i="1"/>
  <c r="H722" i="1"/>
  <c r="P721" i="1"/>
  <c r="AN720" i="1"/>
  <c r="E720" i="1"/>
  <c r="H719" i="1"/>
  <c r="O718" i="1"/>
  <c r="W717" i="1"/>
  <c r="E717" i="1"/>
  <c r="I716" i="1"/>
  <c r="U715" i="1"/>
  <c r="AU714" i="1"/>
  <c r="G714" i="1"/>
  <c r="P713" i="1"/>
  <c r="W712" i="1"/>
  <c r="F712" i="1"/>
  <c r="J711" i="1"/>
  <c r="S710" i="1"/>
  <c r="C710" i="1"/>
  <c r="G709" i="1"/>
  <c r="Q708" i="1"/>
  <c r="AN707" i="1"/>
  <c r="I707" i="1"/>
  <c r="U706" i="1"/>
  <c r="AN705" i="1"/>
  <c r="O705" i="1"/>
  <c r="D705" i="1"/>
  <c r="J704" i="1"/>
  <c r="AU703" i="1"/>
  <c r="H703" i="1"/>
  <c r="Z702" i="1"/>
  <c r="F702" i="1"/>
  <c r="U701" i="1"/>
  <c r="E701" i="1"/>
  <c r="S700" i="1"/>
  <c r="G700" i="1"/>
  <c r="W699" i="1"/>
  <c r="I699" i="1"/>
  <c r="AN698" i="1"/>
  <c r="G698" i="1"/>
  <c r="W697" i="1"/>
  <c r="I697" i="1"/>
  <c r="AN696" i="1"/>
  <c r="L696" i="1"/>
  <c r="C696" i="1"/>
  <c r="P695" i="1"/>
  <c r="E695" i="1"/>
  <c r="S694" i="1"/>
  <c r="F694" i="1"/>
  <c r="U693" i="1"/>
  <c r="H693" i="1"/>
  <c r="Z692" i="1"/>
  <c r="F692" i="1"/>
  <c r="U691" i="1"/>
  <c r="I691" i="1"/>
  <c r="AN690" i="1"/>
  <c r="L690" i="1"/>
  <c r="C690" i="1"/>
  <c r="P689" i="1"/>
  <c r="E689" i="1"/>
  <c r="S688" i="1"/>
  <c r="G688" i="1"/>
  <c r="W687" i="1"/>
  <c r="I687" i="1"/>
  <c r="AN686" i="1"/>
  <c r="L686" i="1"/>
  <c r="C686" i="1"/>
  <c r="Q685" i="1"/>
  <c r="D685" i="1"/>
  <c r="Q684" i="1"/>
  <c r="F684" i="1"/>
  <c r="U683" i="1"/>
  <c r="H683" i="1"/>
  <c r="Z682" i="1"/>
  <c r="J682" i="1"/>
  <c r="AU681" i="1"/>
  <c r="O681" i="1"/>
  <c r="D681" i="1"/>
  <c r="Q680" i="1"/>
  <c r="F680" i="1"/>
  <c r="U679" i="1"/>
  <c r="H679" i="1"/>
  <c r="Z678" i="1"/>
  <c r="J678" i="1"/>
  <c r="AU677" i="1"/>
  <c r="H677" i="1"/>
  <c r="Z676" i="1"/>
  <c r="F676" i="1"/>
  <c r="S675" i="1"/>
  <c r="D675" i="1"/>
  <c r="J674" i="1"/>
  <c r="AU673" i="1"/>
  <c r="H673" i="1"/>
  <c r="Z672" i="1"/>
  <c r="F672" i="1"/>
  <c r="S671" i="1"/>
  <c r="D671" i="1"/>
  <c r="J670" i="1"/>
  <c r="AU669" i="1"/>
  <c r="H669" i="1"/>
  <c r="Z668" i="1"/>
  <c r="F668" i="1"/>
  <c r="S667" i="1"/>
  <c r="D667" i="1"/>
  <c r="J666" i="1"/>
  <c r="AU665" i="1"/>
  <c r="H665" i="1"/>
  <c r="Z664" i="1"/>
  <c r="F664" i="1"/>
  <c r="S663" i="1"/>
  <c r="D663" i="1"/>
  <c r="J662" i="1"/>
  <c r="AU661" i="1"/>
  <c r="H661" i="1"/>
  <c r="Z660" i="1"/>
  <c r="F660" i="1"/>
  <c r="S659" i="1"/>
  <c r="D659" i="1"/>
  <c r="J658" i="1"/>
  <c r="AU657" i="1"/>
  <c r="H657" i="1"/>
  <c r="Z656" i="1"/>
  <c r="F656" i="1"/>
  <c r="S655" i="1"/>
  <c r="D655" i="1"/>
  <c r="J654" i="1"/>
  <c r="AU653" i="1"/>
  <c r="H653" i="1"/>
  <c r="Z652" i="1"/>
  <c r="F652" i="1"/>
  <c r="S651" i="1"/>
  <c r="D651" i="1"/>
  <c r="J650" i="1"/>
  <c r="AU649" i="1"/>
  <c r="H649" i="1"/>
  <c r="Z648" i="1"/>
  <c r="F648" i="1"/>
  <c r="S647" i="1"/>
  <c r="D647" i="1"/>
  <c r="J646" i="1"/>
  <c r="AU645" i="1"/>
  <c r="H645" i="1"/>
  <c r="Z644" i="1"/>
  <c r="F644" i="1"/>
  <c r="S643" i="1"/>
  <c r="D643" i="1"/>
  <c r="J642" i="1"/>
  <c r="AU641" i="1"/>
  <c r="H641" i="1"/>
  <c r="Z640" i="1"/>
  <c r="F640" i="1"/>
  <c r="S639" i="1"/>
  <c r="D639" i="1"/>
  <c r="J638" i="1"/>
  <c r="AU637" i="1"/>
  <c r="H637" i="1"/>
  <c r="Z636" i="1"/>
  <c r="F636" i="1"/>
  <c r="S635" i="1"/>
  <c r="D635" i="1"/>
  <c r="J634" i="1"/>
  <c r="AU633" i="1"/>
  <c r="O633" i="1"/>
  <c r="D633" i="1"/>
  <c r="Q632" i="1"/>
  <c r="F632" i="1"/>
  <c r="U631" i="1"/>
  <c r="H631" i="1"/>
  <c r="Z630" i="1"/>
  <c r="J630" i="1"/>
  <c r="AU629" i="1"/>
  <c r="O629" i="1"/>
  <c r="D629" i="1"/>
  <c r="Q628" i="1"/>
  <c r="F628" i="1"/>
  <c r="U627" i="1"/>
  <c r="H627" i="1"/>
  <c r="Z626" i="1"/>
  <c r="J626" i="1"/>
  <c r="AU625" i="1"/>
  <c r="J625" i="1"/>
  <c r="AU624" i="1"/>
  <c r="O856" i="1"/>
  <c r="G789" i="1"/>
  <c r="I766" i="1"/>
  <c r="D759" i="1"/>
  <c r="Z752" i="1"/>
  <c r="AU746" i="1"/>
  <c r="I741" i="1"/>
  <c r="P735" i="1"/>
  <c r="F729" i="1"/>
  <c r="AN722" i="1"/>
  <c r="D717" i="1"/>
  <c r="I711" i="1"/>
  <c r="Z705" i="1"/>
  <c r="S701" i="1"/>
  <c r="U697" i="1"/>
  <c r="E694" i="1"/>
  <c r="J690" i="1"/>
  <c r="Z686" i="1"/>
  <c r="G683" i="1"/>
  <c r="S679" i="1"/>
  <c r="L675" i="1"/>
  <c r="C671" i="1"/>
  <c r="L667" i="1"/>
  <c r="L666" i="1"/>
  <c r="U665" i="1"/>
  <c r="U664" i="1"/>
  <c r="Z663" i="1"/>
  <c r="AU662" i="1"/>
  <c r="C662" i="1"/>
  <c r="E661" i="1"/>
  <c r="E660" i="1"/>
  <c r="F659" i="1"/>
  <c r="H658" i="1"/>
  <c r="I657" i="1"/>
  <c r="L656" i="1"/>
  <c r="L655" i="1"/>
  <c r="S654" i="1"/>
  <c r="Z653" i="1"/>
  <c r="AN652" i="1"/>
  <c r="C652" i="1"/>
  <c r="C651" i="1"/>
  <c r="D650" i="1"/>
  <c r="F649" i="1"/>
  <c r="G648" i="1"/>
  <c r="I647" i="1"/>
  <c r="I646" i="1"/>
  <c r="J645" i="1"/>
  <c r="S644" i="1"/>
  <c r="U643" i="1"/>
  <c r="AN642" i="1"/>
  <c r="AN641" i="1"/>
  <c r="AU640" i="1"/>
  <c r="D640" i="1"/>
  <c r="E639" i="1"/>
  <c r="G638" i="1"/>
  <c r="G637" i="1"/>
  <c r="H636" i="1"/>
  <c r="J635" i="1"/>
  <c r="L634" i="1"/>
  <c r="W633" i="1"/>
  <c r="F633" i="1"/>
  <c r="P632" i="1"/>
  <c r="C632" i="1"/>
  <c r="J631" i="1"/>
  <c r="W630" i="1"/>
  <c r="G630" i="1"/>
  <c r="Q629" i="1"/>
  <c r="C629" i="1"/>
  <c r="L628" i="1"/>
  <c r="Z627" i="1"/>
  <c r="G627" i="1"/>
  <c r="S626" i="1"/>
  <c r="D626" i="1"/>
  <c r="I625" i="1"/>
  <c r="W624" i="1"/>
  <c r="I624" i="1"/>
  <c r="AN623" i="1"/>
  <c r="L623" i="1"/>
  <c r="C623" i="1"/>
  <c r="P622" i="1"/>
  <c r="E622" i="1"/>
  <c r="S621" i="1"/>
  <c r="G621" i="1"/>
  <c r="W620" i="1"/>
  <c r="I620" i="1"/>
  <c r="AN619" i="1"/>
  <c r="L619" i="1"/>
  <c r="C619" i="1"/>
  <c r="Q618" i="1"/>
  <c r="F618" i="1"/>
  <c r="U617" i="1"/>
  <c r="H617" i="1"/>
  <c r="Z616" i="1"/>
  <c r="J616" i="1"/>
  <c r="AU615" i="1"/>
  <c r="O615" i="1"/>
  <c r="D615" i="1"/>
  <c r="Q614" i="1"/>
  <c r="F614" i="1"/>
  <c r="U613" i="1"/>
  <c r="H613" i="1"/>
  <c r="Z612" i="1"/>
  <c r="J612" i="1"/>
  <c r="AU611" i="1"/>
  <c r="O611" i="1"/>
  <c r="D611" i="1"/>
  <c r="Q610" i="1"/>
  <c r="F610" i="1"/>
  <c r="U609" i="1"/>
  <c r="H609" i="1"/>
  <c r="Z608" i="1"/>
  <c r="F608" i="1"/>
  <c r="S607" i="1"/>
  <c r="D607" i="1"/>
  <c r="J606" i="1"/>
  <c r="AU605" i="1"/>
  <c r="I605" i="1"/>
  <c r="AN604" i="1"/>
  <c r="G604" i="1"/>
  <c r="U603" i="1"/>
  <c r="E603" i="1"/>
  <c r="L602" i="1"/>
  <c r="C602" i="1"/>
  <c r="P601" i="1"/>
  <c r="E601" i="1"/>
  <c r="S600" i="1"/>
  <c r="G600" i="1"/>
  <c r="W599" i="1"/>
  <c r="I599" i="1"/>
  <c r="AN598" i="1"/>
  <c r="L598" i="1"/>
  <c r="C598" i="1"/>
  <c r="P597" i="1"/>
  <c r="E597" i="1"/>
  <c r="S596" i="1"/>
  <c r="G596" i="1"/>
  <c r="W595" i="1"/>
  <c r="I595" i="1"/>
  <c r="AN594" i="1"/>
  <c r="L594" i="1"/>
  <c r="C594" i="1"/>
  <c r="P593" i="1"/>
  <c r="E593" i="1"/>
  <c r="S592" i="1"/>
  <c r="G592" i="1"/>
  <c r="W591" i="1"/>
  <c r="I591" i="1"/>
  <c r="AN590" i="1"/>
  <c r="L590" i="1"/>
  <c r="C590" i="1"/>
  <c r="P589" i="1"/>
  <c r="E589" i="1"/>
  <c r="S588" i="1"/>
  <c r="G588" i="1"/>
  <c r="W587" i="1"/>
  <c r="I587" i="1"/>
  <c r="AN586" i="1"/>
  <c r="L586" i="1"/>
  <c r="C586" i="1"/>
  <c r="P585" i="1"/>
  <c r="E585" i="1"/>
  <c r="S584" i="1"/>
  <c r="G584" i="1"/>
  <c r="U583" i="1"/>
  <c r="E583" i="1"/>
  <c r="L582" i="1"/>
  <c r="C582" i="1"/>
  <c r="I581" i="1"/>
  <c r="AN580" i="1"/>
  <c r="H580" i="1"/>
  <c r="Z579" i="1"/>
  <c r="F579" i="1"/>
  <c r="S578" i="1"/>
  <c r="D578" i="1"/>
  <c r="J577" i="1"/>
  <c r="AU576" i="1"/>
  <c r="I576" i="1"/>
  <c r="AN575" i="1"/>
  <c r="D831" i="1"/>
  <c r="S784" i="1"/>
  <c r="H765" i="1"/>
  <c r="G758" i="1"/>
  <c r="F752" i="1"/>
  <c r="G746" i="1"/>
  <c r="P740" i="1"/>
  <c r="Z734" i="1"/>
  <c r="I728" i="1"/>
  <c r="G722" i="1"/>
  <c r="H716" i="1"/>
  <c r="P710" i="1"/>
  <c r="L705" i="1"/>
  <c r="D701" i="1"/>
  <c r="H697" i="1"/>
  <c r="S693" i="1"/>
  <c r="AU689" i="1"/>
  <c r="J686" i="1"/>
  <c r="W682" i="1"/>
  <c r="G679" i="1"/>
  <c r="C675" i="1"/>
  <c r="I670" i="1"/>
  <c r="I667" i="1"/>
  <c r="I666" i="1"/>
  <c r="J665" i="1"/>
  <c r="S664" i="1"/>
  <c r="U663" i="1"/>
  <c r="AN662" i="1"/>
  <c r="AN661" i="1"/>
  <c r="AU660" i="1"/>
  <c r="D660" i="1"/>
  <c r="E659" i="1"/>
  <c r="G658" i="1"/>
  <c r="G657" i="1"/>
  <c r="H656" i="1"/>
  <c r="J655" i="1"/>
  <c r="L654" i="1"/>
  <c r="U653" i="1"/>
  <c r="U652" i="1"/>
  <c r="Z651" i="1"/>
  <c r="AU650" i="1"/>
  <c r="C650" i="1"/>
  <c r="E649" i="1"/>
  <c r="E648" i="1"/>
  <c r="F647" i="1"/>
  <c r="H646" i="1"/>
  <c r="I645" i="1"/>
  <c r="L644" i="1"/>
  <c r="L643" i="1"/>
  <c r="S642" i="1"/>
  <c r="Z641" i="1"/>
  <c r="AN640" i="1"/>
  <c r="C640" i="1"/>
  <c r="C639" i="1"/>
  <c r="D638" i="1"/>
  <c r="F637" i="1"/>
  <c r="G636" i="1"/>
  <c r="I635" i="1"/>
  <c r="I634" i="1"/>
  <c r="S633" i="1"/>
  <c r="E633" i="1"/>
  <c r="O632" i="1"/>
  <c r="AN631" i="1"/>
  <c r="I631" i="1"/>
  <c r="U630" i="1"/>
  <c r="E630" i="1"/>
  <c r="P629" i="1"/>
  <c r="AU628" i="1"/>
  <c r="I628" i="1"/>
  <c r="W627" i="1"/>
  <c r="F627" i="1"/>
  <c r="P626" i="1"/>
  <c r="C626" i="1"/>
  <c r="H625" i="1"/>
  <c r="S624" i="1"/>
  <c r="H624" i="1"/>
  <c r="Z623" i="1"/>
  <c r="J623" i="1"/>
  <c r="AU622" i="1"/>
  <c r="O622" i="1"/>
  <c r="D622" i="1"/>
  <c r="Q621" i="1"/>
  <c r="F621" i="1"/>
  <c r="U620" i="1"/>
  <c r="H620" i="1"/>
  <c r="Z619" i="1"/>
  <c r="J619" i="1"/>
  <c r="AU618" i="1"/>
  <c r="P618" i="1"/>
  <c r="E618" i="1"/>
  <c r="S617" i="1"/>
  <c r="G617" i="1"/>
  <c r="W616" i="1"/>
  <c r="I616" i="1"/>
  <c r="AN615" i="1"/>
  <c r="L615" i="1"/>
  <c r="C615" i="1"/>
  <c r="P614" i="1"/>
  <c r="E614" i="1"/>
  <c r="S613" i="1"/>
  <c r="G613" i="1"/>
  <c r="W612" i="1"/>
  <c r="I612" i="1"/>
  <c r="AN611" i="1"/>
  <c r="L611" i="1"/>
  <c r="C611" i="1"/>
  <c r="P610" i="1"/>
  <c r="E610" i="1"/>
  <c r="S609" i="1"/>
  <c r="G609" i="1"/>
  <c r="U608" i="1"/>
  <c r="E608" i="1"/>
  <c r="L607" i="1"/>
  <c r="C607" i="1"/>
  <c r="I606" i="1"/>
  <c r="AN605" i="1"/>
  <c r="H605" i="1"/>
  <c r="Z604" i="1"/>
  <c r="F604" i="1"/>
  <c r="S603" i="1"/>
  <c r="D603" i="1"/>
  <c r="J602" i="1"/>
  <c r="AU601" i="1"/>
  <c r="O601" i="1"/>
  <c r="D601" i="1"/>
  <c r="Q600" i="1"/>
  <c r="F600" i="1"/>
  <c r="U599" i="1"/>
  <c r="H599" i="1"/>
  <c r="Z598" i="1"/>
  <c r="J598" i="1"/>
  <c r="AU597" i="1"/>
  <c r="O597" i="1"/>
  <c r="D597" i="1"/>
  <c r="Q596" i="1"/>
  <c r="F596" i="1"/>
  <c r="U595" i="1"/>
  <c r="H595" i="1"/>
  <c r="Z594" i="1"/>
  <c r="J594" i="1"/>
  <c r="AU593" i="1"/>
  <c r="O593" i="1"/>
  <c r="D593" i="1"/>
  <c r="Q592" i="1"/>
  <c r="F592" i="1"/>
  <c r="U591" i="1"/>
  <c r="H591" i="1"/>
  <c r="Z590" i="1"/>
  <c r="J590" i="1"/>
  <c r="AU589" i="1"/>
  <c r="O589" i="1"/>
  <c r="D589" i="1"/>
  <c r="Q588" i="1"/>
  <c r="F588" i="1"/>
  <c r="U587" i="1"/>
  <c r="H587" i="1"/>
  <c r="Z586" i="1"/>
  <c r="J586" i="1"/>
  <c r="AU585" i="1"/>
  <c r="O585" i="1"/>
  <c r="D585" i="1"/>
  <c r="Q584" i="1"/>
  <c r="F584" i="1"/>
  <c r="S583" i="1"/>
  <c r="D583" i="1"/>
  <c r="J582" i="1"/>
  <c r="AU581" i="1"/>
  <c r="H581" i="1"/>
  <c r="Z580" i="1"/>
  <c r="G580" i="1"/>
  <c r="W823" i="1"/>
  <c r="U780" i="1"/>
  <c r="E764" i="1"/>
  <c r="H757" i="1"/>
  <c r="J751" i="1"/>
  <c r="O745" i="1"/>
  <c r="AU739" i="1"/>
  <c r="F734" i="1"/>
  <c r="J727" i="1"/>
  <c r="L721" i="1"/>
  <c r="P715" i="1"/>
  <c r="AU709" i="1"/>
  <c r="C705" i="1"/>
  <c r="Q700" i="1"/>
  <c r="Z696" i="1"/>
  <c r="G693" i="1"/>
  <c r="O689" i="1"/>
  <c r="AU685" i="1"/>
  <c r="I682" i="1"/>
  <c r="W678" i="1"/>
  <c r="I674" i="1"/>
  <c r="AN669" i="1"/>
  <c r="F667" i="1"/>
  <c r="H666" i="1"/>
  <c r="I665" i="1"/>
  <c r="L664" i="1"/>
  <c r="L663" i="1"/>
  <c r="S662" i="1"/>
  <c r="Z661" i="1"/>
  <c r="AN660" i="1"/>
  <c r="C660" i="1"/>
  <c r="C659" i="1"/>
  <c r="D658" i="1"/>
  <c r="F657" i="1"/>
  <c r="G656" i="1"/>
  <c r="I655" i="1"/>
  <c r="I654" i="1"/>
  <c r="J653" i="1"/>
  <c r="S652" i="1"/>
  <c r="U651" i="1"/>
  <c r="AN650" i="1"/>
  <c r="AN649" i="1"/>
  <c r="AU648" i="1"/>
  <c r="D648" i="1"/>
  <c r="E647" i="1"/>
  <c r="G646" i="1"/>
  <c r="G645" i="1"/>
  <c r="H644" i="1"/>
  <c r="J643" i="1"/>
  <c r="L642" i="1"/>
  <c r="U641" i="1"/>
  <c r="U640" i="1"/>
  <c r="Z639" i="1"/>
  <c r="AU638" i="1"/>
  <c r="C638" i="1"/>
  <c r="E637" i="1"/>
  <c r="E636" i="1"/>
  <c r="F635" i="1"/>
  <c r="H634" i="1"/>
  <c r="Q633" i="1"/>
  <c r="C633" i="1"/>
  <c r="L632" i="1"/>
  <c r="Z631" i="1"/>
  <c r="G631" i="1"/>
  <c r="S630" i="1"/>
  <c r="D630" i="1"/>
  <c r="L629" i="1"/>
  <c r="AN628" i="1"/>
  <c r="H628" i="1"/>
  <c r="S627" i="1"/>
  <c r="E627" i="1"/>
  <c r="O626" i="1"/>
  <c r="AN625" i="1"/>
  <c r="G625" i="1"/>
  <c r="R624" i="1"/>
  <c r="G624" i="1"/>
  <c r="W623" i="1"/>
  <c r="I623" i="1"/>
  <c r="AN622" i="1"/>
  <c r="L622" i="1"/>
  <c r="C622" i="1"/>
  <c r="P621" i="1"/>
  <c r="E621" i="1"/>
  <c r="S620" i="1"/>
  <c r="G620" i="1"/>
  <c r="W619" i="1"/>
  <c r="I619" i="1"/>
  <c r="AN618" i="1"/>
  <c r="O618" i="1"/>
  <c r="D618" i="1"/>
  <c r="Q617" i="1"/>
  <c r="F617" i="1"/>
  <c r="U616" i="1"/>
  <c r="H616" i="1"/>
  <c r="Z615" i="1"/>
  <c r="J615" i="1"/>
  <c r="AU614" i="1"/>
  <c r="O614" i="1"/>
  <c r="D614" i="1"/>
  <c r="Q613" i="1"/>
  <c r="F613" i="1"/>
  <c r="U612" i="1"/>
  <c r="H612" i="1"/>
  <c r="Z611" i="1"/>
  <c r="J611" i="1"/>
  <c r="AU610" i="1"/>
  <c r="O610" i="1"/>
  <c r="D610" i="1"/>
  <c r="Q609" i="1"/>
  <c r="F609" i="1"/>
  <c r="S608" i="1"/>
  <c r="D608" i="1"/>
  <c r="J607" i="1"/>
  <c r="AU606" i="1"/>
  <c r="H606" i="1"/>
  <c r="Z605" i="1"/>
  <c r="G605" i="1"/>
  <c r="U604" i="1"/>
  <c r="E604" i="1"/>
  <c r="L603" i="1"/>
  <c r="C603" i="1"/>
  <c r="I602" i="1"/>
  <c r="AN601" i="1"/>
  <c r="L601" i="1"/>
  <c r="C601" i="1"/>
  <c r="P600" i="1"/>
  <c r="E600" i="1"/>
  <c r="S599" i="1"/>
  <c r="G599" i="1"/>
  <c r="W598" i="1"/>
  <c r="I598" i="1"/>
  <c r="AN597" i="1"/>
  <c r="L597" i="1"/>
  <c r="C597" i="1"/>
  <c r="P596" i="1"/>
  <c r="E596" i="1"/>
  <c r="S595" i="1"/>
  <c r="G595" i="1"/>
  <c r="W594" i="1"/>
  <c r="I594" i="1"/>
  <c r="AN593" i="1"/>
  <c r="L593" i="1"/>
  <c r="C593" i="1"/>
  <c r="P592" i="1"/>
  <c r="E592" i="1"/>
  <c r="S591" i="1"/>
  <c r="G591" i="1"/>
  <c r="W590" i="1"/>
  <c r="I590" i="1"/>
  <c r="AN589" i="1"/>
  <c r="L589" i="1"/>
  <c r="C589" i="1"/>
  <c r="P588" i="1"/>
  <c r="E588" i="1"/>
  <c r="S587" i="1"/>
  <c r="G587" i="1"/>
  <c r="W586" i="1"/>
  <c r="I586" i="1"/>
  <c r="AN585" i="1"/>
  <c r="L585" i="1"/>
  <c r="C585" i="1"/>
  <c r="P584" i="1"/>
  <c r="E584" i="1"/>
  <c r="L583" i="1"/>
  <c r="C583" i="1"/>
  <c r="I582" i="1"/>
  <c r="AN581" i="1"/>
  <c r="G581" i="1"/>
  <c r="W580" i="1"/>
  <c r="F580" i="1"/>
  <c r="S579" i="1"/>
  <c r="D579" i="1"/>
  <c r="Z817" i="1"/>
  <c r="F777" i="1"/>
  <c r="G763" i="1"/>
  <c r="P756" i="1"/>
  <c r="W750" i="1"/>
  <c r="Z744" i="1"/>
  <c r="E739" i="1"/>
  <c r="J733" i="1"/>
  <c r="S726" i="1"/>
  <c r="Z720" i="1"/>
  <c r="AN714" i="1"/>
  <c r="F709" i="1"/>
  <c r="I704" i="1"/>
  <c r="F700" i="1"/>
  <c r="J696" i="1"/>
  <c r="U692" i="1"/>
  <c r="D689" i="1"/>
  <c r="L685" i="1"/>
  <c r="AN681" i="1"/>
  <c r="I678" i="1"/>
  <c r="AN673" i="1"/>
  <c r="G669" i="1"/>
  <c r="E667" i="1"/>
  <c r="G666" i="1"/>
  <c r="G665" i="1"/>
  <c r="H664" i="1"/>
  <c r="J663" i="1"/>
  <c r="L662" i="1"/>
  <c r="U661" i="1"/>
  <c r="U660" i="1"/>
  <c r="Z659" i="1"/>
  <c r="AU658" i="1"/>
  <c r="C658" i="1"/>
  <c r="E657" i="1"/>
  <c r="E656" i="1"/>
  <c r="F655" i="1"/>
  <c r="H654" i="1"/>
  <c r="I653" i="1"/>
  <c r="L652" i="1"/>
  <c r="L651" i="1"/>
  <c r="S650" i="1"/>
  <c r="Z649" i="1"/>
  <c r="AN648" i="1"/>
  <c r="C648" i="1"/>
  <c r="C647" i="1"/>
  <c r="D646" i="1"/>
  <c r="F645" i="1"/>
  <c r="G644" i="1"/>
  <c r="I643" i="1"/>
  <c r="I642" i="1"/>
  <c r="J641" i="1"/>
  <c r="S640" i="1"/>
  <c r="U639" i="1"/>
  <c r="AN638" i="1"/>
  <c r="AN637" i="1"/>
  <c r="AU636" i="1"/>
  <c r="D636" i="1"/>
  <c r="E635" i="1"/>
  <c r="G634" i="1"/>
  <c r="P633" i="1"/>
  <c r="AU632" i="1"/>
  <c r="I632" i="1"/>
  <c r="W631" i="1"/>
  <c r="F631" i="1"/>
  <c r="P630" i="1"/>
  <c r="C630" i="1"/>
  <c r="J629" i="1"/>
  <c r="W628" i="1"/>
  <c r="G628" i="1"/>
  <c r="Q627" i="1"/>
  <c r="C627" i="1"/>
  <c r="L626" i="1"/>
  <c r="Z625" i="1"/>
  <c r="E625" i="1"/>
  <c r="Q624" i="1"/>
  <c r="F624" i="1"/>
  <c r="U623" i="1"/>
  <c r="H623" i="1"/>
  <c r="Z622" i="1"/>
  <c r="J622" i="1"/>
  <c r="AU621" i="1"/>
  <c r="O621" i="1"/>
  <c r="D621" i="1"/>
  <c r="Q620" i="1"/>
  <c r="F620" i="1"/>
  <c r="U619" i="1"/>
  <c r="H619" i="1"/>
  <c r="Z618" i="1"/>
  <c r="L618" i="1"/>
  <c r="C618" i="1"/>
  <c r="P617" i="1"/>
  <c r="E617" i="1"/>
  <c r="S616" i="1"/>
  <c r="G616" i="1"/>
  <c r="W615" i="1"/>
  <c r="I615" i="1"/>
  <c r="AN614" i="1"/>
  <c r="L614" i="1"/>
  <c r="C614" i="1"/>
  <c r="P613" i="1"/>
  <c r="E613" i="1"/>
  <c r="S612" i="1"/>
  <c r="G612" i="1"/>
  <c r="W611" i="1"/>
  <c r="I611" i="1"/>
  <c r="AN610" i="1"/>
  <c r="L610" i="1"/>
  <c r="C610" i="1"/>
  <c r="P609" i="1"/>
  <c r="E609" i="1"/>
  <c r="L608" i="1"/>
  <c r="C608" i="1"/>
  <c r="I607" i="1"/>
  <c r="AN606" i="1"/>
  <c r="G606" i="1"/>
  <c r="W605" i="1"/>
  <c r="F605" i="1"/>
  <c r="S604" i="1"/>
  <c r="D604" i="1"/>
  <c r="J603" i="1"/>
  <c r="AU602" i="1"/>
  <c r="H602" i="1"/>
  <c r="Z601" i="1"/>
  <c r="J601" i="1"/>
  <c r="AU600" i="1"/>
  <c r="O600" i="1"/>
  <c r="D600" i="1"/>
  <c r="Q599" i="1"/>
  <c r="F599" i="1"/>
  <c r="U598" i="1"/>
  <c r="H598" i="1"/>
  <c r="Z597" i="1"/>
  <c r="J597" i="1"/>
  <c r="AU596" i="1"/>
  <c r="O596" i="1"/>
  <c r="D596" i="1"/>
  <c r="Q595" i="1"/>
  <c r="F595" i="1"/>
  <c r="U594" i="1"/>
  <c r="H594" i="1"/>
  <c r="Z593" i="1"/>
  <c r="J593" i="1"/>
  <c r="AU592" i="1"/>
  <c r="O592" i="1"/>
  <c r="D592" i="1"/>
  <c r="Q591" i="1"/>
  <c r="F591" i="1"/>
  <c r="U590" i="1"/>
  <c r="H590" i="1"/>
  <c r="Z589" i="1"/>
  <c r="J589" i="1"/>
  <c r="AU588" i="1"/>
  <c r="O588" i="1"/>
  <c r="D588" i="1"/>
  <c r="Q587" i="1"/>
  <c r="F587" i="1"/>
  <c r="U586" i="1"/>
  <c r="H586" i="1"/>
  <c r="Z585" i="1"/>
  <c r="J585" i="1"/>
  <c r="AU584" i="1"/>
  <c r="O584" i="1"/>
  <c r="D584" i="1"/>
  <c r="J583" i="1"/>
  <c r="AU582" i="1"/>
  <c r="H582" i="1"/>
  <c r="Z581" i="1"/>
  <c r="F581" i="1"/>
  <c r="U580" i="1"/>
  <c r="E580" i="1"/>
  <c r="L579" i="1"/>
  <c r="C579" i="1"/>
  <c r="I578" i="1"/>
  <c r="AN577" i="1"/>
  <c r="G577" i="1"/>
  <c r="W576" i="1"/>
  <c r="F576" i="1"/>
  <c r="U575" i="1"/>
  <c r="E575" i="1"/>
  <c r="S574" i="1"/>
  <c r="D574" i="1"/>
  <c r="L573" i="1"/>
  <c r="C573" i="1"/>
  <c r="J572" i="1"/>
  <c r="AU571" i="1"/>
  <c r="I571" i="1"/>
  <c r="AN570" i="1"/>
  <c r="H570" i="1"/>
  <c r="Z569" i="1"/>
  <c r="G569" i="1"/>
  <c r="W568" i="1"/>
  <c r="F568" i="1"/>
  <c r="U567" i="1"/>
  <c r="E567" i="1"/>
  <c r="S566" i="1"/>
  <c r="D566" i="1"/>
  <c r="L565" i="1"/>
  <c r="C565" i="1"/>
  <c r="J564" i="1"/>
  <c r="AU563" i="1"/>
  <c r="I563" i="1"/>
  <c r="AN562" i="1"/>
  <c r="H562" i="1"/>
  <c r="Z561" i="1"/>
  <c r="G561" i="1"/>
  <c r="W560" i="1"/>
  <c r="F560" i="1"/>
  <c r="U559" i="1"/>
  <c r="E559" i="1"/>
  <c r="S558" i="1"/>
  <c r="D558" i="1"/>
  <c r="L557" i="1"/>
  <c r="C557" i="1"/>
  <c r="J556" i="1"/>
  <c r="AU555" i="1"/>
  <c r="I555" i="1"/>
  <c r="AN554" i="1"/>
  <c r="H554" i="1"/>
  <c r="Z553" i="1"/>
  <c r="G553" i="1"/>
  <c r="W552" i="1"/>
  <c r="F552" i="1"/>
  <c r="S551" i="1"/>
  <c r="D551" i="1"/>
  <c r="J550" i="1"/>
  <c r="AU549" i="1"/>
  <c r="H549" i="1"/>
  <c r="Z548" i="1"/>
  <c r="G548" i="1"/>
  <c r="W547" i="1"/>
  <c r="I547" i="1"/>
  <c r="AN546" i="1"/>
  <c r="L546" i="1"/>
  <c r="C546" i="1"/>
  <c r="I545" i="1"/>
  <c r="AN544" i="1"/>
  <c r="L544" i="1"/>
  <c r="C544" i="1"/>
  <c r="P543" i="1"/>
  <c r="E543" i="1"/>
  <c r="S542" i="1"/>
  <c r="G542" i="1"/>
  <c r="W541" i="1"/>
  <c r="I541" i="1"/>
  <c r="I811" i="1"/>
  <c r="L773" i="1"/>
  <c r="J762" i="1"/>
  <c r="AN755" i="1"/>
  <c r="C750" i="1"/>
  <c r="D744" i="1"/>
  <c r="J738" i="1"/>
  <c r="W732" i="1"/>
  <c r="C726" i="1"/>
  <c r="D720" i="1"/>
  <c r="E714" i="1"/>
  <c r="L708" i="1"/>
  <c r="AN703" i="1"/>
  <c r="U699" i="1"/>
  <c r="AU695" i="1"/>
  <c r="E692" i="1"/>
  <c r="Q688" i="1"/>
  <c r="C685" i="1"/>
  <c r="L681" i="1"/>
  <c r="AN677" i="1"/>
  <c r="G673" i="1"/>
  <c r="U668" i="1"/>
  <c r="C667" i="1"/>
  <c r="D666" i="1"/>
  <c r="F665" i="1"/>
  <c r="G664" i="1"/>
  <c r="I663" i="1"/>
  <c r="I662" i="1"/>
  <c r="J661" i="1"/>
  <c r="S660" i="1"/>
  <c r="U659" i="1"/>
  <c r="AN658" i="1"/>
  <c r="AN657" i="1"/>
  <c r="AU656" i="1"/>
  <c r="D656" i="1"/>
  <c r="E655" i="1"/>
  <c r="G654" i="1"/>
  <c r="G653" i="1"/>
  <c r="H652" i="1"/>
  <c r="J651" i="1"/>
  <c r="L650" i="1"/>
  <c r="U649" i="1"/>
  <c r="U648" i="1"/>
  <c r="Z647" i="1"/>
  <c r="AU646" i="1"/>
  <c r="C646" i="1"/>
  <c r="E645" i="1"/>
  <c r="E644" i="1"/>
  <c r="F643" i="1"/>
  <c r="H642" i="1"/>
  <c r="I641" i="1"/>
  <c r="L640" i="1"/>
  <c r="L639" i="1"/>
  <c r="S638" i="1"/>
  <c r="Z637" i="1"/>
  <c r="AN636" i="1"/>
  <c r="C636" i="1"/>
  <c r="C635" i="1"/>
  <c r="D634" i="1"/>
  <c r="L633" i="1"/>
  <c r="AN632" i="1"/>
  <c r="H632" i="1"/>
  <c r="S631" i="1"/>
  <c r="E631" i="1"/>
  <c r="O630" i="1"/>
  <c r="AN629" i="1"/>
  <c r="I629" i="1"/>
  <c r="U628" i="1"/>
  <c r="E628" i="1"/>
  <c r="P627" i="1"/>
  <c r="AU626" i="1"/>
  <c r="I626" i="1"/>
  <c r="W625" i="1"/>
  <c r="D625" i="1"/>
  <c r="P624" i="1"/>
  <c r="E624" i="1"/>
  <c r="S623" i="1"/>
  <c r="G623" i="1"/>
  <c r="W622" i="1"/>
  <c r="I622" i="1"/>
  <c r="AN621" i="1"/>
  <c r="L621" i="1"/>
  <c r="C621" i="1"/>
  <c r="P620" i="1"/>
  <c r="E620" i="1"/>
  <c r="S619" i="1"/>
  <c r="G619" i="1"/>
  <c r="W618" i="1"/>
  <c r="J618" i="1"/>
  <c r="AU617" i="1"/>
  <c r="O617" i="1"/>
  <c r="D617" i="1"/>
  <c r="Q616" i="1"/>
  <c r="F616" i="1"/>
  <c r="U615" i="1"/>
  <c r="H615" i="1"/>
  <c r="Z614" i="1"/>
  <c r="J614" i="1"/>
  <c r="AU613" i="1"/>
  <c r="O613" i="1"/>
  <c r="D613" i="1"/>
  <c r="Q612" i="1"/>
  <c r="F612" i="1"/>
  <c r="U611" i="1"/>
  <c r="H611" i="1"/>
  <c r="Z610" i="1"/>
  <c r="J610" i="1"/>
  <c r="AU609" i="1"/>
  <c r="O609" i="1"/>
  <c r="D609" i="1"/>
  <c r="J608" i="1"/>
  <c r="AU607" i="1"/>
  <c r="H607" i="1"/>
  <c r="Z606" i="1"/>
  <c r="F606" i="1"/>
  <c r="U605" i="1"/>
  <c r="E605" i="1"/>
  <c r="L604" i="1"/>
  <c r="C604" i="1"/>
  <c r="I603" i="1"/>
  <c r="AN602" i="1"/>
  <c r="G602" i="1"/>
  <c r="W601" i="1"/>
  <c r="I601" i="1"/>
  <c r="AN600" i="1"/>
  <c r="L600" i="1"/>
  <c r="C600" i="1"/>
  <c r="P599" i="1"/>
  <c r="E599" i="1"/>
  <c r="S598" i="1"/>
  <c r="G598" i="1"/>
  <c r="W597" i="1"/>
  <c r="I597" i="1"/>
  <c r="AN596" i="1"/>
  <c r="L596" i="1"/>
  <c r="C596" i="1"/>
  <c r="P595" i="1"/>
  <c r="E595" i="1"/>
  <c r="S594" i="1"/>
  <c r="G594" i="1"/>
  <c r="W593" i="1"/>
  <c r="I593" i="1"/>
  <c r="AN592" i="1"/>
  <c r="L592" i="1"/>
  <c r="C592" i="1"/>
  <c r="P591" i="1"/>
  <c r="E591" i="1"/>
  <c r="S590" i="1"/>
  <c r="G590" i="1"/>
  <c r="W589" i="1"/>
  <c r="I589" i="1"/>
  <c r="AN588" i="1"/>
  <c r="L588" i="1"/>
  <c r="C588" i="1"/>
  <c r="P587" i="1"/>
  <c r="E587" i="1"/>
  <c r="S586" i="1"/>
  <c r="G586" i="1"/>
  <c r="W585" i="1"/>
  <c r="I585" i="1"/>
  <c r="AN584" i="1"/>
  <c r="L584" i="1"/>
  <c r="C584" i="1"/>
  <c r="I583" i="1"/>
  <c r="AN582" i="1"/>
  <c r="G582" i="1"/>
  <c r="U581" i="1"/>
  <c r="E581" i="1"/>
  <c r="S580" i="1"/>
  <c r="D580" i="1"/>
  <c r="J579" i="1"/>
  <c r="AU578" i="1"/>
  <c r="H578" i="1"/>
  <c r="Z577" i="1"/>
  <c r="F577" i="1"/>
  <c r="U576" i="1"/>
  <c r="E576" i="1"/>
  <c r="S575" i="1"/>
  <c r="D575" i="1"/>
  <c r="L574" i="1"/>
  <c r="C574" i="1"/>
  <c r="J573" i="1"/>
  <c r="AU572" i="1"/>
  <c r="I572" i="1"/>
  <c r="AN571" i="1"/>
  <c r="H571" i="1"/>
  <c r="Z570" i="1"/>
  <c r="G570" i="1"/>
  <c r="W569" i="1"/>
  <c r="F569" i="1"/>
  <c r="U568" i="1"/>
  <c r="E568" i="1"/>
  <c r="S567" i="1"/>
  <c r="D567" i="1"/>
  <c r="L566" i="1"/>
  <c r="C566" i="1"/>
  <c r="J565" i="1"/>
  <c r="AU564" i="1"/>
  <c r="I564" i="1"/>
  <c r="AN563" i="1"/>
  <c r="H563" i="1"/>
  <c r="Z562" i="1"/>
  <c r="G562" i="1"/>
  <c r="W561" i="1"/>
  <c r="F561" i="1"/>
  <c r="U560" i="1"/>
  <c r="E560" i="1"/>
  <c r="S559" i="1"/>
  <c r="D559" i="1"/>
  <c r="L558" i="1"/>
  <c r="C558" i="1"/>
  <c r="J557" i="1"/>
  <c r="AU556" i="1"/>
  <c r="I556" i="1"/>
  <c r="AN555" i="1"/>
  <c r="H555" i="1"/>
  <c r="Z554" i="1"/>
  <c r="G554" i="1"/>
  <c r="W553" i="1"/>
  <c r="F553" i="1"/>
  <c r="U552" i="1"/>
  <c r="E552" i="1"/>
  <c r="L551" i="1"/>
  <c r="C551" i="1"/>
  <c r="I550" i="1"/>
  <c r="AN549" i="1"/>
  <c r="G549" i="1"/>
  <c r="W548" i="1"/>
  <c r="F548" i="1"/>
  <c r="U547" i="1"/>
  <c r="H547" i="1"/>
  <c r="Z546" i="1"/>
  <c r="J546" i="1"/>
  <c r="AU545" i="1"/>
  <c r="H545" i="1"/>
  <c r="Z544" i="1"/>
  <c r="J544" i="1"/>
  <c r="AU543" i="1"/>
  <c r="O543" i="1"/>
  <c r="D543" i="1"/>
  <c r="Q542" i="1"/>
  <c r="F542" i="1"/>
  <c r="U541" i="1"/>
  <c r="H541" i="1"/>
  <c r="Z540" i="1"/>
  <c r="F540" i="1"/>
  <c r="U539" i="1"/>
  <c r="H539" i="1"/>
  <c r="Z538" i="1"/>
  <c r="J538" i="1"/>
  <c r="AU537" i="1"/>
  <c r="O537" i="1"/>
  <c r="D537" i="1"/>
  <c r="Q536" i="1"/>
  <c r="F536" i="1"/>
  <c r="O805" i="1"/>
  <c r="AN769" i="1"/>
  <c r="R761" i="1"/>
  <c r="E755" i="1"/>
  <c r="G749" i="1"/>
  <c r="O743" i="1"/>
  <c r="U737" i="1"/>
  <c r="C732" i="1"/>
  <c r="G725" i="1"/>
  <c r="E719" i="1"/>
  <c r="O713" i="1"/>
  <c r="Z707" i="1"/>
  <c r="G703" i="1"/>
  <c r="H699" i="1"/>
  <c r="O695" i="1"/>
  <c r="S691" i="1"/>
  <c r="F688" i="1"/>
  <c r="P684" i="1"/>
  <c r="C681" i="1"/>
  <c r="G677" i="1"/>
  <c r="U672" i="1"/>
  <c r="E668" i="1"/>
  <c r="AU666" i="1"/>
  <c r="C666" i="1"/>
  <c r="E665" i="1"/>
  <c r="E664" i="1"/>
  <c r="F663" i="1"/>
  <c r="H662" i="1"/>
  <c r="I661" i="1"/>
  <c r="L660" i="1"/>
  <c r="L659" i="1"/>
  <c r="S658" i="1"/>
  <c r="Z657" i="1"/>
  <c r="AN656" i="1"/>
  <c r="C656" i="1"/>
  <c r="C655" i="1"/>
  <c r="D654" i="1"/>
  <c r="F653" i="1"/>
  <c r="G652" i="1"/>
  <c r="I651" i="1"/>
  <c r="I650" i="1"/>
  <c r="J649" i="1"/>
  <c r="S648" i="1"/>
  <c r="U647" i="1"/>
  <c r="AN646" i="1"/>
  <c r="AN645" i="1"/>
  <c r="AU644" i="1"/>
  <c r="D644" i="1"/>
  <c r="E643" i="1"/>
  <c r="G642" i="1"/>
  <c r="G641" i="1"/>
  <c r="H640" i="1"/>
  <c r="J639" i="1"/>
  <c r="L638" i="1"/>
  <c r="U637" i="1"/>
  <c r="U636" i="1"/>
  <c r="Z635" i="1"/>
  <c r="AU634" i="1"/>
  <c r="C634" i="1"/>
  <c r="J633" i="1"/>
  <c r="W632" i="1"/>
  <c r="G632" i="1"/>
  <c r="Q631" i="1"/>
  <c r="C631" i="1"/>
  <c r="L630" i="1"/>
  <c r="Z629" i="1"/>
  <c r="G629" i="1"/>
  <c r="S628" i="1"/>
  <c r="D628" i="1"/>
  <c r="L627" i="1"/>
  <c r="AN626" i="1"/>
  <c r="H626" i="1"/>
  <c r="S625" i="1"/>
  <c r="C625" i="1"/>
  <c r="O624" i="1"/>
  <c r="D624" i="1"/>
  <c r="Q623" i="1"/>
  <c r="F623" i="1"/>
  <c r="U622" i="1"/>
  <c r="H622" i="1"/>
  <c r="Z621" i="1"/>
  <c r="J621" i="1"/>
  <c r="AU620" i="1"/>
  <c r="O620" i="1"/>
  <c r="D620" i="1"/>
  <c r="Q619" i="1"/>
  <c r="F619" i="1"/>
  <c r="U618" i="1"/>
  <c r="I618" i="1"/>
  <c r="AN617" i="1"/>
  <c r="L617" i="1"/>
  <c r="C617" i="1"/>
  <c r="P616" i="1"/>
  <c r="E616" i="1"/>
  <c r="S615" i="1"/>
  <c r="G615" i="1"/>
  <c r="W614" i="1"/>
  <c r="I614" i="1"/>
  <c r="AN613" i="1"/>
  <c r="L613" i="1"/>
  <c r="C613" i="1"/>
  <c r="P612" i="1"/>
  <c r="E612" i="1"/>
  <c r="S611" i="1"/>
  <c r="G611" i="1"/>
  <c r="W610" i="1"/>
  <c r="I610" i="1"/>
  <c r="AN609" i="1"/>
  <c r="L609" i="1"/>
  <c r="C609" i="1"/>
  <c r="I608" i="1"/>
  <c r="AN607" i="1"/>
  <c r="G607" i="1"/>
  <c r="U606" i="1"/>
  <c r="E606" i="1"/>
  <c r="S605" i="1"/>
  <c r="D605" i="1"/>
  <c r="J604" i="1"/>
  <c r="AU603" i="1"/>
  <c r="H603" i="1"/>
  <c r="Z602" i="1"/>
  <c r="F602" i="1"/>
  <c r="U601" i="1"/>
  <c r="H601" i="1"/>
  <c r="Z600" i="1"/>
  <c r="J600" i="1"/>
  <c r="AU599" i="1"/>
  <c r="O599" i="1"/>
  <c r="D599" i="1"/>
  <c r="Q598" i="1"/>
  <c r="F598" i="1"/>
  <c r="U597" i="1"/>
  <c r="H597" i="1"/>
  <c r="Z596" i="1"/>
  <c r="J596" i="1"/>
  <c r="AU595" i="1"/>
  <c r="O595" i="1"/>
  <c r="D595" i="1"/>
  <c r="Q594" i="1"/>
  <c r="F594" i="1"/>
  <c r="U593" i="1"/>
  <c r="H593" i="1"/>
  <c r="Z592" i="1"/>
  <c r="J592" i="1"/>
  <c r="AU591" i="1"/>
  <c r="O591" i="1"/>
  <c r="D591" i="1"/>
  <c r="Q590" i="1"/>
  <c r="F590" i="1"/>
  <c r="U589" i="1"/>
  <c r="H589" i="1"/>
  <c r="Z588" i="1"/>
  <c r="J588" i="1"/>
  <c r="AU587" i="1"/>
  <c r="O587" i="1"/>
  <c r="D587" i="1"/>
  <c r="Q586" i="1"/>
  <c r="F586" i="1"/>
  <c r="U585" i="1"/>
  <c r="H585" i="1"/>
  <c r="Z584" i="1"/>
  <c r="J584" i="1"/>
  <c r="AU583" i="1"/>
  <c r="H583" i="1"/>
  <c r="Z582" i="1"/>
  <c r="F582" i="1"/>
  <c r="S581" i="1"/>
  <c r="D581" i="1"/>
  <c r="L580" i="1"/>
  <c r="C580" i="1"/>
  <c r="I579" i="1"/>
  <c r="AN578" i="1"/>
  <c r="G578" i="1"/>
  <c r="U577" i="1"/>
  <c r="E577" i="1"/>
  <c r="S576" i="1"/>
  <c r="D576" i="1"/>
  <c r="L575" i="1"/>
  <c r="C575" i="1"/>
  <c r="J574" i="1"/>
  <c r="AU573" i="1"/>
  <c r="I573" i="1"/>
  <c r="AN572" i="1"/>
  <c r="H572" i="1"/>
  <c r="Z571" i="1"/>
  <c r="G571" i="1"/>
  <c r="W570" i="1"/>
  <c r="S799" i="1"/>
  <c r="Z768" i="1"/>
  <c r="AU760" i="1"/>
  <c r="P754" i="1"/>
  <c r="P748" i="1"/>
  <c r="U742" i="1"/>
  <c r="AU736" i="1"/>
  <c r="D731" i="1"/>
  <c r="J724" i="1"/>
  <c r="L718" i="1"/>
  <c r="U712" i="1"/>
  <c r="H707" i="1"/>
  <c r="U702" i="1"/>
  <c r="Z698" i="1"/>
  <c r="D695" i="1"/>
  <c r="H691" i="1"/>
  <c r="U687" i="1"/>
  <c r="E684" i="1"/>
  <c r="P680" i="1"/>
  <c r="U676" i="1"/>
  <c r="E672" i="1"/>
  <c r="Z667" i="1"/>
  <c r="AN666" i="1"/>
  <c r="AN665" i="1"/>
  <c r="AU664" i="1"/>
  <c r="D664" i="1"/>
  <c r="E663" i="1"/>
  <c r="G662" i="1"/>
  <c r="G661" i="1"/>
  <c r="H660" i="1"/>
  <c r="J659" i="1"/>
  <c r="L658" i="1"/>
  <c r="U657" i="1"/>
  <c r="U656" i="1"/>
  <c r="Z655" i="1"/>
  <c r="AU654" i="1"/>
  <c r="C654" i="1"/>
  <c r="E653" i="1"/>
  <c r="E652" i="1"/>
  <c r="F651" i="1"/>
  <c r="H650" i="1"/>
  <c r="I649" i="1"/>
  <c r="L648" i="1"/>
  <c r="L647" i="1"/>
  <c r="S646" i="1"/>
  <c r="Z645" i="1"/>
  <c r="AN644" i="1"/>
  <c r="C644" i="1"/>
  <c r="C643" i="1"/>
  <c r="D642" i="1"/>
  <c r="F641" i="1"/>
  <c r="G640" i="1"/>
  <c r="I639" i="1"/>
  <c r="I638" i="1"/>
  <c r="J637" i="1"/>
  <c r="S636" i="1"/>
  <c r="U635" i="1"/>
  <c r="AN634" i="1"/>
  <c r="AN633" i="1"/>
  <c r="I633" i="1"/>
  <c r="U632" i="1"/>
  <c r="E632" i="1"/>
  <c r="P631" i="1"/>
  <c r="AU630" i="1"/>
  <c r="I630" i="1"/>
  <c r="W629" i="1"/>
  <c r="F629" i="1"/>
  <c r="P628" i="1"/>
  <c r="C628" i="1"/>
  <c r="J627" i="1"/>
  <c r="W626" i="1"/>
  <c r="G626" i="1"/>
  <c r="Q625" i="1"/>
  <c r="AN624" i="1"/>
  <c r="L624" i="1"/>
  <c r="C624" i="1"/>
  <c r="P623" i="1"/>
  <c r="E623" i="1"/>
  <c r="S622" i="1"/>
  <c r="G622" i="1"/>
  <c r="W621" i="1"/>
  <c r="I621" i="1"/>
  <c r="AN620" i="1"/>
  <c r="L620" i="1"/>
  <c r="C620" i="1"/>
  <c r="P619" i="1"/>
  <c r="E619" i="1"/>
  <c r="S618" i="1"/>
  <c r="H618" i="1"/>
  <c r="Z617" i="1"/>
  <c r="J617" i="1"/>
  <c r="AU616" i="1"/>
  <c r="O616" i="1"/>
  <c r="D616" i="1"/>
  <c r="Q615" i="1"/>
  <c r="F615" i="1"/>
  <c r="U614" i="1"/>
  <c r="H614" i="1"/>
  <c r="Z613" i="1"/>
  <c r="J613" i="1"/>
  <c r="AU612" i="1"/>
  <c r="O612" i="1"/>
  <c r="D612" i="1"/>
  <c r="Q611" i="1"/>
  <c r="F611" i="1"/>
  <c r="U610" i="1"/>
  <c r="H610" i="1"/>
  <c r="Z609" i="1"/>
  <c r="J609" i="1"/>
  <c r="AU608" i="1"/>
  <c r="H608" i="1"/>
  <c r="Z607" i="1"/>
  <c r="F607" i="1"/>
  <c r="S606" i="1"/>
  <c r="D606" i="1"/>
  <c r="L605" i="1"/>
  <c r="C605" i="1"/>
  <c r="I604" i="1"/>
  <c r="AN603" i="1"/>
  <c r="G603" i="1"/>
  <c r="U602" i="1"/>
  <c r="E602" i="1"/>
  <c r="S601" i="1"/>
  <c r="G601" i="1"/>
  <c r="W600" i="1"/>
  <c r="I600" i="1"/>
  <c r="AN599" i="1"/>
  <c r="L599" i="1"/>
  <c r="C599" i="1"/>
  <c r="P598" i="1"/>
  <c r="E598" i="1"/>
  <c r="S597" i="1"/>
  <c r="G597" i="1"/>
  <c r="W596" i="1"/>
  <c r="I596" i="1"/>
  <c r="AN595" i="1"/>
  <c r="L595" i="1"/>
  <c r="C595" i="1"/>
  <c r="P594" i="1"/>
  <c r="E594" i="1"/>
  <c r="S593" i="1"/>
  <c r="G593" i="1"/>
  <c r="W592" i="1"/>
  <c r="I592" i="1"/>
  <c r="AN591" i="1"/>
  <c r="L591" i="1"/>
  <c r="C591" i="1"/>
  <c r="P590" i="1"/>
  <c r="E590" i="1"/>
  <c r="S589" i="1"/>
  <c r="G589" i="1"/>
  <c r="W588" i="1"/>
  <c r="I588" i="1"/>
  <c r="AN587" i="1"/>
  <c r="L587" i="1"/>
  <c r="C587" i="1"/>
  <c r="P586" i="1"/>
  <c r="E586" i="1"/>
  <c r="S585" i="1"/>
  <c r="G585" i="1"/>
  <c r="W584" i="1"/>
  <c r="I584" i="1"/>
  <c r="AN583" i="1"/>
  <c r="G583" i="1"/>
  <c r="U582" i="1"/>
  <c r="E582" i="1"/>
  <c r="L581" i="1"/>
  <c r="C581" i="1"/>
  <c r="J580" i="1"/>
  <c r="AU579" i="1"/>
  <c r="H579" i="1"/>
  <c r="Z578" i="1"/>
  <c r="F578" i="1"/>
  <c r="S577" i="1"/>
  <c r="D577" i="1"/>
  <c r="L576" i="1"/>
  <c r="C576" i="1"/>
  <c r="J575" i="1"/>
  <c r="AU574" i="1"/>
  <c r="I574" i="1"/>
  <c r="AN573" i="1"/>
  <c r="H573" i="1"/>
  <c r="Z572" i="1"/>
  <c r="G572" i="1"/>
  <c r="W571" i="1"/>
  <c r="F571" i="1"/>
  <c r="U570" i="1"/>
  <c r="E570" i="1"/>
  <c r="S569" i="1"/>
  <c r="D569" i="1"/>
  <c r="L568" i="1"/>
  <c r="C568" i="1"/>
  <c r="J567" i="1"/>
  <c r="AU566" i="1"/>
  <c r="I566" i="1"/>
  <c r="AN565" i="1"/>
  <c r="H565" i="1"/>
  <c r="Z564" i="1"/>
  <c r="G564" i="1"/>
  <c r="W563" i="1"/>
  <c r="F563" i="1"/>
  <c r="U562" i="1"/>
  <c r="E562" i="1"/>
  <c r="S561" i="1"/>
  <c r="D561" i="1"/>
  <c r="L560" i="1"/>
  <c r="C560" i="1"/>
  <c r="J559" i="1"/>
  <c r="AU558" i="1"/>
  <c r="I558" i="1"/>
  <c r="AN557" i="1"/>
  <c r="H557" i="1"/>
  <c r="Z556" i="1"/>
  <c r="G556" i="1"/>
  <c r="W555" i="1"/>
  <c r="F555" i="1"/>
  <c r="U554" i="1"/>
  <c r="E554" i="1"/>
  <c r="S553" i="1"/>
  <c r="D553" i="1"/>
  <c r="L552" i="1"/>
  <c r="C552" i="1"/>
  <c r="I551" i="1"/>
  <c r="AN550" i="1"/>
  <c r="G550" i="1"/>
  <c r="U549" i="1"/>
  <c r="E549" i="1"/>
  <c r="S548" i="1"/>
  <c r="D548" i="1"/>
  <c r="Q547" i="1"/>
  <c r="F547" i="1"/>
  <c r="U546" i="1"/>
  <c r="H546" i="1"/>
  <c r="Z545" i="1"/>
  <c r="F545" i="1"/>
  <c r="U544" i="1"/>
  <c r="H544" i="1"/>
  <c r="Z543" i="1"/>
  <c r="J543" i="1"/>
  <c r="AU542" i="1"/>
  <c r="O542" i="1"/>
  <c r="D542" i="1"/>
  <c r="Q541" i="1"/>
  <c r="F541" i="1"/>
  <c r="S540" i="1"/>
  <c r="D540" i="1"/>
  <c r="Q539" i="1"/>
  <c r="F539" i="1"/>
  <c r="U538" i="1"/>
  <c r="H538" i="1"/>
  <c r="Z537" i="1"/>
  <c r="J537" i="1"/>
  <c r="AU536" i="1"/>
  <c r="O536" i="1"/>
  <c r="D536" i="1"/>
  <c r="D794" i="1"/>
  <c r="Q723" i="1"/>
  <c r="H687" i="1"/>
  <c r="AN664" i="1"/>
  <c r="J657" i="1"/>
  <c r="G650" i="1"/>
  <c r="AU642" i="1"/>
  <c r="L635" i="1"/>
  <c r="H630" i="1"/>
  <c r="L625" i="1"/>
  <c r="U621" i="1"/>
  <c r="G618" i="1"/>
  <c r="S614" i="1"/>
  <c r="E611" i="1"/>
  <c r="E607" i="1"/>
  <c r="S602" i="1"/>
  <c r="AU598" i="1"/>
  <c r="J595" i="1"/>
  <c r="Z591" i="1"/>
  <c r="H588" i="1"/>
  <c r="U584" i="1"/>
  <c r="I580" i="1"/>
  <c r="E578" i="1"/>
  <c r="Z576" i="1"/>
  <c r="H575" i="1"/>
  <c r="G574" i="1"/>
  <c r="F573" i="1"/>
  <c r="E572" i="1"/>
  <c r="D571" i="1"/>
  <c r="D570" i="1"/>
  <c r="H569" i="1"/>
  <c r="I568" i="1"/>
  <c r="L567" i="1"/>
  <c r="W566" i="1"/>
  <c r="Z565" i="1"/>
  <c r="D565" i="1"/>
  <c r="E564" i="1"/>
  <c r="G563" i="1"/>
  <c r="J562" i="1"/>
  <c r="L561" i="1"/>
  <c r="Z560" i="1"/>
  <c r="AN559" i="1"/>
  <c r="C559" i="1"/>
  <c r="F558" i="1"/>
  <c r="G557" i="1"/>
  <c r="L556" i="1"/>
  <c r="S555" i="1"/>
  <c r="W554" i="1"/>
  <c r="AU553" i="1"/>
  <c r="C553" i="1"/>
  <c r="G552" i="1"/>
  <c r="G551" i="1"/>
  <c r="H550" i="1"/>
  <c r="J549" i="1"/>
  <c r="L548" i="1"/>
  <c r="Z547" i="1"/>
  <c r="D547" i="1"/>
  <c r="I546" i="1"/>
  <c r="L545" i="1"/>
  <c r="S544" i="1"/>
  <c r="D544" i="1"/>
  <c r="H543" i="1"/>
  <c r="P542" i="1"/>
  <c r="AN541" i="1"/>
  <c r="E541" i="1"/>
  <c r="I540" i="1"/>
  <c r="W539" i="1"/>
  <c r="E539" i="1"/>
  <c r="P538" i="1"/>
  <c r="C538" i="1"/>
  <c r="I537" i="1"/>
  <c r="W536" i="1"/>
  <c r="G536" i="1"/>
  <c r="S535" i="1"/>
  <c r="G535" i="1"/>
  <c r="W534" i="1"/>
  <c r="I534" i="1"/>
  <c r="AN533" i="1"/>
  <c r="L533" i="1"/>
  <c r="C533" i="1"/>
  <c r="P532" i="1"/>
  <c r="E532" i="1"/>
  <c r="S531" i="1"/>
  <c r="G531" i="1"/>
  <c r="W530" i="1"/>
  <c r="I530" i="1"/>
  <c r="AN529" i="1"/>
  <c r="L529" i="1"/>
  <c r="C529" i="1"/>
  <c r="P528" i="1"/>
  <c r="E528" i="1"/>
  <c r="L527" i="1"/>
  <c r="C527" i="1"/>
  <c r="Q526" i="1"/>
  <c r="F526" i="1"/>
  <c r="U525" i="1"/>
  <c r="H525" i="1"/>
  <c r="Z524" i="1"/>
  <c r="J524" i="1"/>
  <c r="AU523" i="1"/>
  <c r="O523" i="1"/>
  <c r="D523" i="1"/>
  <c r="Q522" i="1"/>
  <c r="F522" i="1"/>
  <c r="U521" i="1"/>
  <c r="G521" i="1"/>
  <c r="W520" i="1"/>
  <c r="I520" i="1"/>
  <c r="AN519" i="1"/>
  <c r="O519" i="1"/>
  <c r="D519" i="1"/>
  <c r="Q518" i="1"/>
  <c r="F518" i="1"/>
  <c r="U517" i="1"/>
  <c r="H517" i="1"/>
  <c r="Z516" i="1"/>
  <c r="J516" i="1"/>
  <c r="AU515" i="1"/>
  <c r="O515" i="1"/>
  <c r="D515" i="1"/>
  <c r="R514" i="1"/>
  <c r="E514" i="1"/>
  <c r="S513" i="1"/>
  <c r="G513" i="1"/>
  <c r="W512" i="1"/>
  <c r="I512" i="1"/>
  <c r="AN511" i="1"/>
  <c r="L511" i="1"/>
  <c r="C511" i="1"/>
  <c r="P510" i="1"/>
  <c r="E510" i="1"/>
  <c r="S509" i="1"/>
  <c r="G509" i="1"/>
  <c r="W508" i="1"/>
  <c r="J508" i="1"/>
  <c r="AU507" i="1"/>
  <c r="H507" i="1"/>
  <c r="Z506" i="1"/>
  <c r="F506" i="1"/>
  <c r="S505" i="1"/>
  <c r="D505" i="1"/>
  <c r="L504" i="1"/>
  <c r="C504" i="1"/>
  <c r="I503" i="1"/>
  <c r="AN502" i="1"/>
  <c r="L502" i="1"/>
  <c r="C502" i="1"/>
  <c r="P501" i="1"/>
  <c r="E501" i="1"/>
  <c r="L500" i="1"/>
  <c r="C500" i="1"/>
  <c r="P499" i="1"/>
  <c r="E499" i="1"/>
  <c r="S498" i="1"/>
  <c r="G498" i="1"/>
  <c r="W497" i="1"/>
  <c r="I497" i="1"/>
  <c r="AN496" i="1"/>
  <c r="J496" i="1"/>
  <c r="AU495" i="1"/>
  <c r="O495" i="1"/>
  <c r="D495" i="1"/>
  <c r="J494" i="1"/>
  <c r="AU493" i="1"/>
  <c r="P493" i="1"/>
  <c r="E493" i="1"/>
  <c r="S492" i="1"/>
  <c r="G492" i="1"/>
  <c r="W491" i="1"/>
  <c r="I491" i="1"/>
  <c r="AN490" i="1"/>
  <c r="L490" i="1"/>
  <c r="C490" i="1"/>
  <c r="P489" i="1"/>
  <c r="E489" i="1"/>
  <c r="S488" i="1"/>
  <c r="G488" i="1"/>
  <c r="W487" i="1"/>
  <c r="H487" i="1"/>
  <c r="Z486" i="1"/>
  <c r="J486" i="1"/>
  <c r="AU485" i="1"/>
  <c r="O485" i="1"/>
  <c r="D485" i="1"/>
  <c r="Q484" i="1"/>
  <c r="F484" i="1"/>
  <c r="U483" i="1"/>
  <c r="H483" i="1"/>
  <c r="Z482" i="1"/>
  <c r="J482" i="1"/>
  <c r="AU481" i="1"/>
  <c r="O481" i="1"/>
  <c r="D481" i="1"/>
  <c r="Q480" i="1"/>
  <c r="F480" i="1"/>
  <c r="S479" i="1"/>
  <c r="D479" i="1"/>
  <c r="R478" i="1"/>
  <c r="G478" i="1"/>
  <c r="U477" i="1"/>
  <c r="E477" i="1"/>
  <c r="L476" i="1"/>
  <c r="C476" i="1"/>
  <c r="I475" i="1"/>
  <c r="P767" i="1"/>
  <c r="S717" i="1"/>
  <c r="S683" i="1"/>
  <c r="C664" i="1"/>
  <c r="S656" i="1"/>
  <c r="G649" i="1"/>
  <c r="C642" i="1"/>
  <c r="S634" i="1"/>
  <c r="S629" i="1"/>
  <c r="Z624" i="1"/>
  <c r="H621" i="1"/>
  <c r="W617" i="1"/>
  <c r="G614" i="1"/>
  <c r="S610" i="1"/>
  <c r="L606" i="1"/>
  <c r="D602" i="1"/>
  <c r="O598" i="1"/>
  <c r="AU594" i="1"/>
  <c r="J591" i="1"/>
  <c r="Z587" i="1"/>
  <c r="H584" i="1"/>
  <c r="AN579" i="1"/>
  <c r="C578" i="1"/>
  <c r="J576" i="1"/>
  <c r="G575" i="1"/>
  <c r="F574" i="1"/>
  <c r="E573" i="1"/>
  <c r="D572" i="1"/>
  <c r="C571" i="1"/>
  <c r="C570" i="1"/>
  <c r="E569" i="1"/>
  <c r="H568" i="1"/>
  <c r="I567" i="1"/>
  <c r="U566" i="1"/>
  <c r="W565" i="1"/>
  <c r="AN564" i="1"/>
  <c r="D564" i="1"/>
  <c r="E563" i="1"/>
  <c r="I562" i="1"/>
  <c r="J561" i="1"/>
  <c r="S560" i="1"/>
  <c r="Z559" i="1"/>
  <c r="AN558" i="1"/>
  <c r="E558" i="1"/>
  <c r="F557" i="1"/>
  <c r="H556" i="1"/>
  <c r="L555" i="1"/>
  <c r="S554" i="1"/>
  <c r="AN553" i="1"/>
  <c r="AU552" i="1"/>
  <c r="D552" i="1"/>
  <c r="F551" i="1"/>
  <c r="F550" i="1"/>
  <c r="I549" i="1"/>
  <c r="J548" i="1"/>
  <c r="S547" i="1"/>
  <c r="C547" i="1"/>
  <c r="G546" i="1"/>
  <c r="J545" i="1"/>
  <c r="Q544" i="1"/>
  <c r="AN543" i="1"/>
  <c r="G543" i="1"/>
  <c r="L542" i="1"/>
  <c r="Z541" i="1"/>
  <c r="D541" i="1"/>
  <c r="H540" i="1"/>
  <c r="S539" i="1"/>
  <c r="D539" i="1"/>
  <c r="O538" i="1"/>
  <c r="AN537" i="1"/>
  <c r="H537" i="1"/>
  <c r="U536" i="1"/>
  <c r="E536" i="1"/>
  <c r="Q535" i="1"/>
  <c r="F535" i="1"/>
  <c r="U534" i="1"/>
  <c r="H534" i="1"/>
  <c r="Z533" i="1"/>
  <c r="J533" i="1"/>
  <c r="AU532" i="1"/>
  <c r="O532" i="1"/>
  <c r="D532" i="1"/>
  <c r="Q531" i="1"/>
  <c r="F531" i="1"/>
  <c r="U530" i="1"/>
  <c r="H530" i="1"/>
  <c r="Z529" i="1"/>
  <c r="J529" i="1"/>
  <c r="AU528" i="1"/>
  <c r="O528" i="1"/>
  <c r="D528" i="1"/>
  <c r="J527" i="1"/>
  <c r="AU526" i="1"/>
  <c r="P526" i="1"/>
  <c r="E526" i="1"/>
  <c r="S525" i="1"/>
  <c r="G525" i="1"/>
  <c r="W524" i="1"/>
  <c r="I524" i="1"/>
  <c r="AN523" i="1"/>
  <c r="L523" i="1"/>
  <c r="C523" i="1"/>
  <c r="P522" i="1"/>
  <c r="E522" i="1"/>
  <c r="S521" i="1"/>
  <c r="F521" i="1"/>
  <c r="U520" i="1"/>
  <c r="H520" i="1"/>
  <c r="Z519" i="1"/>
  <c r="L519" i="1"/>
  <c r="C519" i="1"/>
  <c r="P518" i="1"/>
  <c r="E518" i="1"/>
  <c r="S517" i="1"/>
  <c r="G517" i="1"/>
  <c r="W516" i="1"/>
  <c r="I516" i="1"/>
  <c r="AN515" i="1"/>
  <c r="L515" i="1"/>
  <c r="C515" i="1"/>
  <c r="Q514" i="1"/>
  <c r="D514" i="1"/>
  <c r="Q513" i="1"/>
  <c r="F513" i="1"/>
  <c r="U512" i="1"/>
  <c r="H512" i="1"/>
  <c r="Z511" i="1"/>
  <c r="J511" i="1"/>
  <c r="AU510" i="1"/>
  <c r="O510" i="1"/>
  <c r="D510" i="1"/>
  <c r="Q509" i="1"/>
  <c r="F509" i="1"/>
  <c r="U508" i="1"/>
  <c r="I508" i="1"/>
  <c r="AN507" i="1"/>
  <c r="G507" i="1"/>
  <c r="U506" i="1"/>
  <c r="E506" i="1"/>
  <c r="L505" i="1"/>
  <c r="C505" i="1"/>
  <c r="J504" i="1"/>
  <c r="AU503" i="1"/>
  <c r="H503" i="1"/>
  <c r="Z502" i="1"/>
  <c r="J502" i="1"/>
  <c r="AU501" i="1"/>
  <c r="O501" i="1"/>
  <c r="D501" i="1"/>
  <c r="J500" i="1"/>
  <c r="AU499" i="1"/>
  <c r="O499" i="1"/>
  <c r="D499" i="1"/>
  <c r="Q498" i="1"/>
  <c r="F498" i="1"/>
  <c r="U497" i="1"/>
  <c r="H497" i="1"/>
  <c r="Z496" i="1"/>
  <c r="I496" i="1"/>
  <c r="AN495" i="1"/>
  <c r="L495" i="1"/>
  <c r="C495" i="1"/>
  <c r="I494" i="1"/>
  <c r="AN493" i="1"/>
  <c r="O493" i="1"/>
  <c r="D493" i="1"/>
  <c r="Q492" i="1"/>
  <c r="F492" i="1"/>
  <c r="U491" i="1"/>
  <c r="H491" i="1"/>
  <c r="Z490" i="1"/>
  <c r="J490" i="1"/>
  <c r="AU489" i="1"/>
  <c r="O489" i="1"/>
  <c r="D489" i="1"/>
  <c r="Q488" i="1"/>
  <c r="F488" i="1"/>
  <c r="U487" i="1"/>
  <c r="G487" i="1"/>
  <c r="W486" i="1"/>
  <c r="I486" i="1"/>
  <c r="AN485" i="1"/>
  <c r="L485" i="1"/>
  <c r="C485" i="1"/>
  <c r="P484" i="1"/>
  <c r="E484" i="1"/>
  <c r="S483" i="1"/>
  <c r="G483" i="1"/>
  <c r="W482" i="1"/>
  <c r="I482" i="1"/>
  <c r="AN481" i="1"/>
  <c r="L481" i="1"/>
  <c r="C481" i="1"/>
  <c r="P480" i="1"/>
  <c r="E480" i="1"/>
  <c r="L479" i="1"/>
  <c r="C479" i="1"/>
  <c r="Q478" i="1"/>
  <c r="F478" i="1"/>
  <c r="S477" i="1"/>
  <c r="D477" i="1"/>
  <c r="J476" i="1"/>
  <c r="D760" i="1"/>
  <c r="C712" i="1"/>
  <c r="E680" i="1"/>
  <c r="C663" i="1"/>
  <c r="U655" i="1"/>
  <c r="H648" i="1"/>
  <c r="E641" i="1"/>
  <c r="Z633" i="1"/>
  <c r="E629" i="1"/>
  <c r="J624" i="1"/>
  <c r="Z620" i="1"/>
  <c r="I617" i="1"/>
  <c r="W613" i="1"/>
  <c r="G610" i="1"/>
  <c r="C606" i="1"/>
  <c r="Q601" i="1"/>
  <c r="D598" i="1"/>
  <c r="O594" i="1"/>
  <c r="AU590" i="1"/>
  <c r="J587" i="1"/>
  <c r="Z583" i="1"/>
  <c r="U579" i="1"/>
  <c r="AU577" i="1"/>
  <c r="H576" i="1"/>
  <c r="F575" i="1"/>
  <c r="E574" i="1"/>
  <c r="D573" i="1"/>
  <c r="C572" i="1"/>
  <c r="AU570" i="1"/>
  <c r="AU569" i="1"/>
  <c r="C569" i="1"/>
  <c r="G568" i="1"/>
  <c r="H567" i="1"/>
  <c r="J566" i="1"/>
  <c r="U565" i="1"/>
  <c r="W564" i="1"/>
  <c r="C564" i="1"/>
  <c r="D563" i="1"/>
  <c r="F562" i="1"/>
  <c r="I561" i="1"/>
  <c r="J560" i="1"/>
  <c r="W559" i="1"/>
  <c r="Z558" i="1"/>
  <c r="AU557" i="1"/>
  <c r="E557" i="1"/>
  <c r="F556" i="1"/>
  <c r="J555" i="1"/>
  <c r="L554" i="1"/>
  <c r="U553" i="1"/>
  <c r="AN552" i="1"/>
  <c r="AU551" i="1"/>
  <c r="E551" i="1"/>
  <c r="E550" i="1"/>
  <c r="F549" i="1"/>
  <c r="I548" i="1"/>
  <c r="P547" i="1"/>
  <c r="AU546" i="1"/>
  <c r="F546" i="1"/>
  <c r="G545" i="1"/>
  <c r="P544" i="1"/>
  <c r="W543" i="1"/>
  <c r="F543" i="1"/>
  <c r="J542" i="1"/>
  <c r="S541" i="1"/>
  <c r="C541" i="1"/>
  <c r="G540" i="1"/>
  <c r="P539" i="1"/>
  <c r="C539" i="1"/>
  <c r="L538" i="1"/>
  <c r="W537" i="1"/>
  <c r="G537" i="1"/>
  <c r="S536" i="1"/>
  <c r="C536" i="1"/>
  <c r="P535" i="1"/>
  <c r="E535" i="1"/>
  <c r="S534" i="1"/>
  <c r="G534" i="1"/>
  <c r="W533" i="1"/>
  <c r="I533" i="1"/>
  <c r="AN532" i="1"/>
  <c r="L532" i="1"/>
  <c r="C532" i="1"/>
  <c r="P531" i="1"/>
  <c r="E531" i="1"/>
  <c r="S530" i="1"/>
  <c r="G530" i="1"/>
  <c r="W529" i="1"/>
  <c r="I529" i="1"/>
  <c r="AN528" i="1"/>
  <c r="L528" i="1"/>
  <c r="C528" i="1"/>
  <c r="I527" i="1"/>
  <c r="AN526" i="1"/>
  <c r="O526" i="1"/>
  <c r="D526" i="1"/>
  <c r="Q525" i="1"/>
  <c r="F525" i="1"/>
  <c r="U524" i="1"/>
  <c r="H524" i="1"/>
  <c r="Z523" i="1"/>
  <c r="J523" i="1"/>
  <c r="AU522" i="1"/>
  <c r="O522" i="1"/>
  <c r="D522" i="1"/>
  <c r="R521" i="1"/>
  <c r="E521" i="1"/>
  <c r="S520" i="1"/>
  <c r="G520" i="1"/>
  <c r="W519" i="1"/>
  <c r="J519" i="1"/>
  <c r="AU518" i="1"/>
  <c r="O518" i="1"/>
  <c r="D518" i="1"/>
  <c r="Q517" i="1"/>
  <c r="F517" i="1"/>
  <c r="U516" i="1"/>
  <c r="H516" i="1"/>
  <c r="Z515" i="1"/>
  <c r="J515" i="1"/>
  <c r="AU514" i="1"/>
  <c r="L514" i="1"/>
  <c r="C514" i="1"/>
  <c r="P513" i="1"/>
  <c r="E513" i="1"/>
  <c r="S512" i="1"/>
  <c r="G512" i="1"/>
  <c r="W511" i="1"/>
  <c r="I511" i="1"/>
  <c r="AN510" i="1"/>
  <c r="L510" i="1"/>
  <c r="C510" i="1"/>
  <c r="P509" i="1"/>
  <c r="E509" i="1"/>
  <c r="S508" i="1"/>
  <c r="H508" i="1"/>
  <c r="Z507" i="1"/>
  <c r="F507" i="1"/>
  <c r="S506" i="1"/>
  <c r="D506" i="1"/>
  <c r="J505" i="1"/>
  <c r="AU504" i="1"/>
  <c r="I504" i="1"/>
  <c r="AN503" i="1"/>
  <c r="G503" i="1"/>
  <c r="W502" i="1"/>
  <c r="I502" i="1"/>
  <c r="AN501" i="1"/>
  <c r="L501" i="1"/>
  <c r="C501" i="1"/>
  <c r="I500" i="1"/>
  <c r="AN499" i="1"/>
  <c r="L499" i="1"/>
  <c r="C499" i="1"/>
  <c r="P498" i="1"/>
  <c r="E498" i="1"/>
  <c r="S497" i="1"/>
  <c r="G497" i="1"/>
  <c r="W496" i="1"/>
  <c r="H496" i="1"/>
  <c r="Z495" i="1"/>
  <c r="J495" i="1"/>
  <c r="AU494" i="1"/>
  <c r="H494" i="1"/>
  <c r="Z493" i="1"/>
  <c r="L493" i="1"/>
  <c r="C493" i="1"/>
  <c r="P492" i="1"/>
  <c r="E492" i="1"/>
  <c r="S491" i="1"/>
  <c r="G491" i="1"/>
  <c r="W490" i="1"/>
  <c r="I490" i="1"/>
  <c r="AN489" i="1"/>
  <c r="L489" i="1"/>
  <c r="C489" i="1"/>
  <c r="P488" i="1"/>
  <c r="E488" i="1"/>
  <c r="S487" i="1"/>
  <c r="F487" i="1"/>
  <c r="U486" i="1"/>
  <c r="H486" i="1"/>
  <c r="Z485" i="1"/>
  <c r="J485" i="1"/>
  <c r="AU484" i="1"/>
  <c r="O484" i="1"/>
  <c r="D484" i="1"/>
  <c r="Q483" i="1"/>
  <c r="F483" i="1"/>
  <c r="U482" i="1"/>
  <c r="H482" i="1"/>
  <c r="Z481" i="1"/>
  <c r="J481" i="1"/>
  <c r="AU480" i="1"/>
  <c r="O480" i="1"/>
  <c r="D480" i="1"/>
  <c r="J479" i="1"/>
  <c r="AU478" i="1"/>
  <c r="P478" i="1"/>
  <c r="E478" i="1"/>
  <c r="L477" i="1"/>
  <c r="C477" i="1"/>
  <c r="I476" i="1"/>
  <c r="AN475" i="1"/>
  <c r="G475" i="1"/>
  <c r="W474" i="1"/>
  <c r="F474" i="1"/>
  <c r="U473" i="1"/>
  <c r="H473" i="1"/>
  <c r="Z472" i="1"/>
  <c r="J472" i="1"/>
  <c r="AU471" i="1"/>
  <c r="P471" i="1"/>
  <c r="E471" i="1"/>
  <c r="L470" i="1"/>
  <c r="C470" i="1"/>
  <c r="P469" i="1"/>
  <c r="E469" i="1"/>
  <c r="S468" i="1"/>
  <c r="G468" i="1"/>
  <c r="W467" i="1"/>
  <c r="I467" i="1"/>
  <c r="AN466" i="1"/>
  <c r="J466" i="1"/>
  <c r="AU465" i="1"/>
  <c r="O465" i="1"/>
  <c r="D465" i="1"/>
  <c r="J464" i="1"/>
  <c r="AU463" i="1"/>
  <c r="P463" i="1"/>
  <c r="E463" i="1"/>
  <c r="S462" i="1"/>
  <c r="G462" i="1"/>
  <c r="W461" i="1"/>
  <c r="I461" i="1"/>
  <c r="AN460" i="1"/>
  <c r="O460" i="1"/>
  <c r="D460" i="1"/>
  <c r="Q459" i="1"/>
  <c r="F459" i="1"/>
  <c r="U458" i="1"/>
  <c r="H458" i="1"/>
  <c r="Z457" i="1"/>
  <c r="J457" i="1"/>
  <c r="AU456" i="1"/>
  <c r="L456" i="1"/>
  <c r="C456" i="1"/>
  <c r="P455" i="1"/>
  <c r="E455" i="1"/>
  <c r="S454" i="1"/>
  <c r="G454" i="1"/>
  <c r="W453" i="1"/>
  <c r="I453" i="1"/>
  <c r="AN452" i="1"/>
  <c r="L452" i="1"/>
  <c r="C452" i="1"/>
  <c r="P451" i="1"/>
  <c r="E451" i="1"/>
  <c r="S450" i="1"/>
  <c r="G450" i="1"/>
  <c r="W449" i="1"/>
  <c r="I449" i="1"/>
  <c r="AN448" i="1"/>
  <c r="G448" i="1"/>
  <c r="U447" i="1"/>
  <c r="E447" i="1"/>
  <c r="L446" i="1"/>
  <c r="C446" i="1"/>
  <c r="I445" i="1"/>
  <c r="AN444" i="1"/>
  <c r="U753" i="1"/>
  <c r="L706" i="1"/>
  <c r="E676" i="1"/>
  <c r="D662" i="1"/>
  <c r="AN654" i="1"/>
  <c r="J647" i="1"/>
  <c r="E640" i="1"/>
  <c r="G633" i="1"/>
  <c r="O628" i="1"/>
  <c r="AU623" i="1"/>
  <c r="J620" i="1"/>
  <c r="AN616" i="1"/>
  <c r="I613" i="1"/>
  <c r="W609" i="1"/>
  <c r="J605" i="1"/>
  <c r="F601" i="1"/>
  <c r="Q597" i="1"/>
  <c r="D594" i="1"/>
  <c r="O590" i="1"/>
  <c r="AU586" i="1"/>
  <c r="F583" i="1"/>
  <c r="G579" i="1"/>
  <c r="L577" i="1"/>
  <c r="G576" i="1"/>
  <c r="AN574" i="1"/>
  <c r="Z573" i="1"/>
  <c r="W572" i="1"/>
  <c r="U571" i="1"/>
  <c r="S570" i="1"/>
  <c r="AN569" i="1"/>
  <c r="AU568" i="1"/>
  <c r="D568" i="1"/>
  <c r="G567" i="1"/>
  <c r="H566" i="1"/>
  <c r="S565" i="1"/>
  <c r="U564" i="1"/>
  <c r="Z563" i="1"/>
  <c r="C563" i="1"/>
  <c r="D562" i="1"/>
  <c r="H561" i="1"/>
  <c r="I560" i="1"/>
  <c r="L559" i="1"/>
  <c r="W558" i="1"/>
  <c r="Z557" i="1"/>
  <c r="D557" i="1"/>
  <c r="E556" i="1"/>
  <c r="G555" i="1"/>
  <c r="J554" i="1"/>
  <c r="L553" i="1"/>
  <c r="Z552" i="1"/>
  <c r="AN551" i="1"/>
  <c r="AU550" i="1"/>
  <c r="D550" i="1"/>
  <c r="D549" i="1"/>
  <c r="H548" i="1"/>
  <c r="O547" i="1"/>
  <c r="W546" i="1"/>
  <c r="E546" i="1"/>
  <c r="E545" i="1"/>
  <c r="O544" i="1"/>
  <c r="U543" i="1"/>
  <c r="C543" i="1"/>
  <c r="I542" i="1"/>
  <c r="P541" i="1"/>
  <c r="AU540" i="1"/>
  <c r="E540" i="1"/>
  <c r="O539" i="1"/>
  <c r="AU538" i="1"/>
  <c r="I538" i="1"/>
  <c r="U537" i="1"/>
  <c r="F537" i="1"/>
  <c r="P536" i="1"/>
  <c r="AU535" i="1"/>
  <c r="O535" i="1"/>
  <c r="D535" i="1"/>
  <c r="Q534" i="1"/>
  <c r="F534" i="1"/>
  <c r="U533" i="1"/>
  <c r="H533" i="1"/>
  <c r="Z532" i="1"/>
  <c r="J532" i="1"/>
  <c r="AU531" i="1"/>
  <c r="O531" i="1"/>
  <c r="D531" i="1"/>
  <c r="Q530" i="1"/>
  <c r="F530" i="1"/>
  <c r="U529" i="1"/>
  <c r="H529" i="1"/>
  <c r="Z528" i="1"/>
  <c r="J528" i="1"/>
  <c r="AU527" i="1"/>
  <c r="H527" i="1"/>
  <c r="Z526" i="1"/>
  <c r="L526" i="1"/>
  <c r="C526" i="1"/>
  <c r="P525" i="1"/>
  <c r="E525" i="1"/>
  <c r="S524" i="1"/>
  <c r="G524" i="1"/>
  <c r="W523" i="1"/>
  <c r="I523" i="1"/>
  <c r="AN522" i="1"/>
  <c r="L522" i="1"/>
  <c r="C522" i="1"/>
  <c r="Q521" i="1"/>
  <c r="D521" i="1"/>
  <c r="Q520" i="1"/>
  <c r="F520" i="1"/>
  <c r="U519" i="1"/>
  <c r="I519" i="1"/>
  <c r="AN518" i="1"/>
  <c r="L518" i="1"/>
  <c r="C518" i="1"/>
  <c r="P517" i="1"/>
  <c r="E517" i="1"/>
  <c r="S516" i="1"/>
  <c r="G516" i="1"/>
  <c r="W515" i="1"/>
  <c r="I515" i="1"/>
  <c r="AN514" i="1"/>
  <c r="J514" i="1"/>
  <c r="AU513" i="1"/>
  <c r="O513" i="1"/>
  <c r="D513" i="1"/>
  <c r="Q512" i="1"/>
  <c r="F512" i="1"/>
  <c r="U511" i="1"/>
  <c r="H511" i="1"/>
  <c r="Z510" i="1"/>
  <c r="J510" i="1"/>
  <c r="AU509" i="1"/>
  <c r="O509" i="1"/>
  <c r="D509" i="1"/>
  <c r="R508" i="1"/>
  <c r="G508" i="1"/>
  <c r="U507" i="1"/>
  <c r="E507" i="1"/>
  <c r="L506" i="1"/>
  <c r="C506" i="1"/>
  <c r="I505" i="1"/>
  <c r="AN504" i="1"/>
  <c r="H504" i="1"/>
  <c r="Z503" i="1"/>
  <c r="F503" i="1"/>
  <c r="U502" i="1"/>
  <c r="H502" i="1"/>
  <c r="Z501" i="1"/>
  <c r="J501" i="1"/>
  <c r="AU500" i="1"/>
  <c r="H500" i="1"/>
  <c r="Z499" i="1"/>
  <c r="J499" i="1"/>
  <c r="AU498" i="1"/>
  <c r="O498" i="1"/>
  <c r="D498" i="1"/>
  <c r="Q497" i="1"/>
  <c r="F497" i="1"/>
  <c r="U496" i="1"/>
  <c r="G496" i="1"/>
  <c r="W495" i="1"/>
  <c r="I495" i="1"/>
  <c r="AN494" i="1"/>
  <c r="G494" i="1"/>
  <c r="W493" i="1"/>
  <c r="J493" i="1"/>
  <c r="AU492" i="1"/>
  <c r="O492" i="1"/>
  <c r="D492" i="1"/>
  <c r="Q491" i="1"/>
  <c r="F491" i="1"/>
  <c r="U490" i="1"/>
  <c r="H490" i="1"/>
  <c r="Z489" i="1"/>
  <c r="J489" i="1"/>
  <c r="AU488" i="1"/>
  <c r="O488" i="1"/>
  <c r="D488" i="1"/>
  <c r="R487" i="1"/>
  <c r="E487" i="1"/>
  <c r="S486" i="1"/>
  <c r="G486" i="1"/>
  <c r="W485" i="1"/>
  <c r="I485" i="1"/>
  <c r="AN484" i="1"/>
  <c r="L484" i="1"/>
  <c r="C484" i="1"/>
  <c r="P483" i="1"/>
  <c r="E483" i="1"/>
  <c r="S482" i="1"/>
  <c r="G482" i="1"/>
  <c r="W481" i="1"/>
  <c r="I481" i="1"/>
  <c r="AN480" i="1"/>
  <c r="L480" i="1"/>
  <c r="C480" i="1"/>
  <c r="I479" i="1"/>
  <c r="AN478" i="1"/>
  <c r="O478" i="1"/>
  <c r="D478" i="1"/>
  <c r="J477" i="1"/>
  <c r="AU476" i="1"/>
  <c r="H476" i="1"/>
  <c r="Z475" i="1"/>
  <c r="F475" i="1"/>
  <c r="U474" i="1"/>
  <c r="E474" i="1"/>
  <c r="S473" i="1"/>
  <c r="G473" i="1"/>
  <c r="W472" i="1"/>
  <c r="I472" i="1"/>
  <c r="AN471" i="1"/>
  <c r="O471" i="1"/>
  <c r="D471" i="1"/>
  <c r="J470" i="1"/>
  <c r="AU469" i="1"/>
  <c r="O469" i="1"/>
  <c r="D469" i="1"/>
  <c r="Q468" i="1"/>
  <c r="F468" i="1"/>
  <c r="U467" i="1"/>
  <c r="H467" i="1"/>
  <c r="Z466" i="1"/>
  <c r="I466" i="1"/>
  <c r="AN465" i="1"/>
  <c r="L465" i="1"/>
  <c r="C465" i="1"/>
  <c r="I464" i="1"/>
  <c r="AN463" i="1"/>
  <c r="O463" i="1"/>
  <c r="D463" i="1"/>
  <c r="Q462" i="1"/>
  <c r="F462" i="1"/>
  <c r="U461" i="1"/>
  <c r="H461" i="1"/>
  <c r="Z460" i="1"/>
  <c r="L460" i="1"/>
  <c r="C460" i="1"/>
  <c r="P459" i="1"/>
  <c r="E459" i="1"/>
  <c r="S458" i="1"/>
  <c r="G458" i="1"/>
  <c r="W457" i="1"/>
  <c r="I457" i="1"/>
  <c r="AN456" i="1"/>
  <c r="J456" i="1"/>
  <c r="AU455" i="1"/>
  <c r="O455" i="1"/>
  <c r="D455" i="1"/>
  <c r="Q454" i="1"/>
  <c r="F454" i="1"/>
  <c r="U453" i="1"/>
  <c r="H453" i="1"/>
  <c r="Z452" i="1"/>
  <c r="J452" i="1"/>
  <c r="AU451" i="1"/>
  <c r="U747" i="1"/>
  <c r="E702" i="1"/>
  <c r="L671" i="1"/>
  <c r="F661" i="1"/>
  <c r="AN653" i="1"/>
  <c r="L646" i="1"/>
  <c r="F639" i="1"/>
  <c r="S632" i="1"/>
  <c r="AN627" i="1"/>
  <c r="O623" i="1"/>
  <c r="AU619" i="1"/>
  <c r="L616" i="1"/>
  <c r="AN612" i="1"/>
  <c r="I609" i="1"/>
  <c r="AU604" i="1"/>
  <c r="U600" i="1"/>
  <c r="F597" i="1"/>
  <c r="Q593" i="1"/>
  <c r="D590" i="1"/>
  <c r="O586" i="1"/>
  <c r="S582" i="1"/>
  <c r="E579" i="1"/>
  <c r="I577" i="1"/>
  <c r="AU575" i="1"/>
  <c r="Z574" i="1"/>
  <c r="W573" i="1"/>
  <c r="U572" i="1"/>
  <c r="S571" i="1"/>
  <c r="L570" i="1"/>
  <c r="U569" i="1"/>
  <c r="AN568" i="1"/>
  <c r="AU567" i="1"/>
  <c r="F567" i="1"/>
  <c r="G566" i="1"/>
  <c r="I565" i="1"/>
  <c r="S564" i="1"/>
  <c r="U563" i="1"/>
  <c r="AU562" i="1"/>
  <c r="C562" i="1"/>
  <c r="E561" i="1"/>
  <c r="H560" i="1"/>
  <c r="I559" i="1"/>
  <c r="U558" i="1"/>
  <c r="W557" i="1"/>
  <c r="AN556" i="1"/>
  <c r="D556" i="1"/>
  <c r="E555" i="1"/>
  <c r="I554" i="1"/>
  <c r="J553" i="1"/>
  <c r="S552" i="1"/>
  <c r="Z551" i="1"/>
  <c r="Z550" i="1"/>
  <c r="C550" i="1"/>
  <c r="C549" i="1"/>
  <c r="E548" i="1"/>
  <c r="L547" i="1"/>
  <c r="S546" i="1"/>
  <c r="D546" i="1"/>
  <c r="D545" i="1"/>
  <c r="I544" i="1"/>
  <c r="S543" i="1"/>
  <c r="AN542" i="1"/>
  <c r="H542" i="1"/>
  <c r="O541" i="1"/>
  <c r="AN540" i="1"/>
  <c r="C540" i="1"/>
  <c r="L539" i="1"/>
  <c r="AN538" i="1"/>
  <c r="G538" i="1"/>
  <c r="S537" i="1"/>
  <c r="E537" i="1"/>
  <c r="L536" i="1"/>
  <c r="AN535" i="1"/>
  <c r="L535" i="1"/>
  <c r="C535" i="1"/>
  <c r="P534" i="1"/>
  <c r="E534" i="1"/>
  <c r="S533" i="1"/>
  <c r="G533" i="1"/>
  <c r="W532" i="1"/>
  <c r="I532" i="1"/>
  <c r="AN531" i="1"/>
  <c r="L531" i="1"/>
  <c r="C531" i="1"/>
  <c r="P530" i="1"/>
  <c r="E530" i="1"/>
  <c r="S529" i="1"/>
  <c r="G529" i="1"/>
  <c r="W528" i="1"/>
  <c r="I528" i="1"/>
  <c r="AN527" i="1"/>
  <c r="G527" i="1"/>
  <c r="W526" i="1"/>
  <c r="J526" i="1"/>
  <c r="AU525" i="1"/>
  <c r="O525" i="1"/>
  <c r="D525" i="1"/>
  <c r="Q524" i="1"/>
  <c r="F524" i="1"/>
  <c r="U523" i="1"/>
  <c r="H523" i="1"/>
  <c r="Z522" i="1"/>
  <c r="J522" i="1"/>
  <c r="AU521" i="1"/>
  <c r="L521" i="1"/>
  <c r="C521" i="1"/>
  <c r="P520" i="1"/>
  <c r="E520" i="1"/>
  <c r="S519" i="1"/>
  <c r="H519" i="1"/>
  <c r="Z518" i="1"/>
  <c r="J518" i="1"/>
  <c r="AU517" i="1"/>
  <c r="O517" i="1"/>
  <c r="D517" i="1"/>
  <c r="Q516" i="1"/>
  <c r="F516" i="1"/>
  <c r="U515" i="1"/>
  <c r="H515" i="1"/>
  <c r="Z514" i="1"/>
  <c r="I514" i="1"/>
  <c r="AN513" i="1"/>
  <c r="L513" i="1"/>
  <c r="C513" i="1"/>
  <c r="P512" i="1"/>
  <c r="E512" i="1"/>
  <c r="S511" i="1"/>
  <c r="G511" i="1"/>
  <c r="W510" i="1"/>
  <c r="I510" i="1"/>
  <c r="AN509" i="1"/>
  <c r="L509" i="1"/>
  <c r="C509" i="1"/>
  <c r="Q508" i="1"/>
  <c r="F508" i="1"/>
  <c r="S507" i="1"/>
  <c r="D507" i="1"/>
  <c r="J506" i="1"/>
  <c r="AU505" i="1"/>
  <c r="H505" i="1"/>
  <c r="Z504" i="1"/>
  <c r="G504" i="1"/>
  <c r="U503" i="1"/>
  <c r="E503" i="1"/>
  <c r="S502" i="1"/>
  <c r="G502" i="1"/>
  <c r="W501" i="1"/>
  <c r="I501" i="1"/>
  <c r="AN500" i="1"/>
  <c r="G500" i="1"/>
  <c r="W499" i="1"/>
  <c r="I499" i="1"/>
  <c r="AN498" i="1"/>
  <c r="L498" i="1"/>
  <c r="C498" i="1"/>
  <c r="P497" i="1"/>
  <c r="E497" i="1"/>
  <c r="S496" i="1"/>
  <c r="F496" i="1"/>
  <c r="U495" i="1"/>
  <c r="H495" i="1"/>
  <c r="Z494" i="1"/>
  <c r="F494" i="1"/>
  <c r="U493" i="1"/>
  <c r="I493" i="1"/>
  <c r="AN492" i="1"/>
  <c r="L492" i="1"/>
  <c r="C492" i="1"/>
  <c r="P491" i="1"/>
  <c r="E491" i="1"/>
  <c r="S490" i="1"/>
  <c r="G490" i="1"/>
  <c r="W489" i="1"/>
  <c r="I489" i="1"/>
  <c r="AN488" i="1"/>
  <c r="L488" i="1"/>
  <c r="C488" i="1"/>
  <c r="Q487" i="1"/>
  <c r="D487" i="1"/>
  <c r="Q486" i="1"/>
  <c r="F486" i="1"/>
  <c r="U485" i="1"/>
  <c r="H485" i="1"/>
  <c r="Z484" i="1"/>
  <c r="J484" i="1"/>
  <c r="AU483" i="1"/>
  <c r="O483" i="1"/>
  <c r="D483" i="1"/>
  <c r="Q482" i="1"/>
  <c r="F482" i="1"/>
  <c r="U481" i="1"/>
  <c r="H481" i="1"/>
  <c r="Z480" i="1"/>
  <c r="J480" i="1"/>
  <c r="AU479" i="1"/>
  <c r="H479" i="1"/>
  <c r="Z478" i="1"/>
  <c r="L478" i="1"/>
  <c r="C478" i="1"/>
  <c r="I477" i="1"/>
  <c r="AN476" i="1"/>
  <c r="G476" i="1"/>
  <c r="U475" i="1"/>
  <c r="E475" i="1"/>
  <c r="S474" i="1"/>
  <c r="D474" i="1"/>
  <c r="Q473" i="1"/>
  <c r="C742" i="1"/>
  <c r="F698" i="1"/>
  <c r="U667" i="1"/>
  <c r="G660" i="1"/>
  <c r="AU652" i="1"/>
  <c r="U645" i="1"/>
  <c r="H638" i="1"/>
  <c r="D632" i="1"/>
  <c r="I627" i="1"/>
  <c r="D623" i="1"/>
  <c r="O619" i="1"/>
  <c r="C616" i="1"/>
  <c r="L612" i="1"/>
  <c r="AN608" i="1"/>
  <c r="H604" i="1"/>
  <c r="H600" i="1"/>
  <c r="U596" i="1"/>
  <c r="F593" i="1"/>
  <c r="Q589" i="1"/>
  <c r="D586" i="1"/>
  <c r="D582" i="1"/>
  <c r="U578" i="1"/>
  <c r="H577" i="1"/>
  <c r="Z575" i="1"/>
  <c r="W574" i="1"/>
  <c r="U573" i="1"/>
  <c r="S572" i="1"/>
  <c r="L571" i="1"/>
  <c r="J570" i="1"/>
  <c r="L569" i="1"/>
  <c r="Z568" i="1"/>
  <c r="AN567" i="1"/>
  <c r="C567" i="1"/>
  <c r="F566" i="1"/>
  <c r="G565" i="1"/>
  <c r="L564" i="1"/>
  <c r="S563" i="1"/>
  <c r="W562" i="1"/>
  <c r="AU561" i="1"/>
  <c r="C561" i="1"/>
  <c r="G560" i="1"/>
  <c r="H559" i="1"/>
  <c r="J558" i="1"/>
  <c r="U557" i="1"/>
  <c r="W556" i="1"/>
  <c r="C556" i="1"/>
  <c r="D555" i="1"/>
  <c r="F554" i="1"/>
  <c r="I553" i="1"/>
  <c r="J552" i="1"/>
  <c r="U551" i="1"/>
  <c r="U550" i="1"/>
  <c r="Z549" i="1"/>
  <c r="AU548" i="1"/>
  <c r="C548" i="1"/>
  <c r="J547" i="1"/>
  <c r="Q546" i="1"/>
  <c r="AN545" i="1"/>
  <c r="C545" i="1"/>
  <c r="G544" i="1"/>
  <c r="Q543" i="1"/>
  <c r="Z542" i="1"/>
  <c r="E542" i="1"/>
  <c r="L541" i="1"/>
  <c r="U540" i="1"/>
  <c r="AU539" i="1"/>
  <c r="J539" i="1"/>
  <c r="W538" i="1"/>
  <c r="F538" i="1"/>
  <c r="Q537" i="1"/>
  <c r="C537" i="1"/>
  <c r="J536" i="1"/>
  <c r="Z535" i="1"/>
  <c r="J535" i="1"/>
  <c r="AU534" i="1"/>
  <c r="O534" i="1"/>
  <c r="D534" i="1"/>
  <c r="Q533" i="1"/>
  <c r="F533" i="1"/>
  <c r="U532" i="1"/>
  <c r="H532" i="1"/>
  <c r="Z531" i="1"/>
  <c r="J531" i="1"/>
  <c r="AU530" i="1"/>
  <c r="O530" i="1"/>
  <c r="D530" i="1"/>
  <c r="Q529" i="1"/>
  <c r="F529" i="1"/>
  <c r="U528" i="1"/>
  <c r="H528" i="1"/>
  <c r="Z527" i="1"/>
  <c r="F527" i="1"/>
  <c r="U526" i="1"/>
  <c r="I526" i="1"/>
  <c r="AN525" i="1"/>
  <c r="L525" i="1"/>
  <c r="C525" i="1"/>
  <c r="P524" i="1"/>
  <c r="E524" i="1"/>
  <c r="S523" i="1"/>
  <c r="G523" i="1"/>
  <c r="W522" i="1"/>
  <c r="I522" i="1"/>
  <c r="AN521" i="1"/>
  <c r="J521" i="1"/>
  <c r="AU520" i="1"/>
  <c r="O520" i="1"/>
  <c r="D520" i="1"/>
  <c r="R519" i="1"/>
  <c r="G519" i="1"/>
  <c r="W518" i="1"/>
  <c r="I518" i="1"/>
  <c r="AN517" i="1"/>
  <c r="L517" i="1"/>
  <c r="C517" i="1"/>
  <c r="P516" i="1"/>
  <c r="E516" i="1"/>
  <c r="S515" i="1"/>
  <c r="G515" i="1"/>
  <c r="W514" i="1"/>
  <c r="H514" i="1"/>
  <c r="Z513" i="1"/>
  <c r="J513" i="1"/>
  <c r="AU512" i="1"/>
  <c r="O512" i="1"/>
  <c r="D512" i="1"/>
  <c r="Q511" i="1"/>
  <c r="F511" i="1"/>
  <c r="U510" i="1"/>
  <c r="H510" i="1"/>
  <c r="Z509" i="1"/>
  <c r="J509" i="1"/>
  <c r="AU508" i="1"/>
  <c r="P508" i="1"/>
  <c r="E508" i="1"/>
  <c r="L507" i="1"/>
  <c r="C507" i="1"/>
  <c r="I506" i="1"/>
  <c r="AN505" i="1"/>
  <c r="G505" i="1"/>
  <c r="W504" i="1"/>
  <c r="F504" i="1"/>
  <c r="S503" i="1"/>
  <c r="D503" i="1"/>
  <c r="Q502" i="1"/>
  <c r="F502" i="1"/>
  <c r="U501" i="1"/>
  <c r="H501" i="1"/>
  <c r="Z500" i="1"/>
  <c r="F500" i="1"/>
  <c r="U499" i="1"/>
  <c r="H499" i="1"/>
  <c r="Z498" i="1"/>
  <c r="J498" i="1"/>
  <c r="AU497" i="1"/>
  <c r="O497" i="1"/>
  <c r="D497" i="1"/>
  <c r="R496" i="1"/>
  <c r="E496" i="1"/>
  <c r="S495" i="1"/>
  <c r="G495" i="1"/>
  <c r="U494" i="1"/>
  <c r="E494" i="1"/>
  <c r="S493" i="1"/>
  <c r="H493" i="1"/>
  <c r="Z492" i="1"/>
  <c r="J492" i="1"/>
  <c r="AU491" i="1"/>
  <c r="O491" i="1"/>
  <c r="D491" i="1"/>
  <c r="Q490" i="1"/>
  <c r="F490" i="1"/>
  <c r="U489" i="1"/>
  <c r="H489" i="1"/>
  <c r="Z488" i="1"/>
  <c r="J488" i="1"/>
  <c r="AU487" i="1"/>
  <c r="L487" i="1"/>
  <c r="C487" i="1"/>
  <c r="P486" i="1"/>
  <c r="E486" i="1"/>
  <c r="S485" i="1"/>
  <c r="G485" i="1"/>
  <c r="W484" i="1"/>
  <c r="I484" i="1"/>
  <c r="AN483" i="1"/>
  <c r="L483" i="1"/>
  <c r="C483" i="1"/>
  <c r="P482" i="1"/>
  <c r="E482" i="1"/>
  <c r="S481" i="1"/>
  <c r="G481" i="1"/>
  <c r="W480" i="1"/>
  <c r="I480" i="1"/>
  <c r="AN479" i="1"/>
  <c r="G479" i="1"/>
  <c r="W478" i="1"/>
  <c r="J478" i="1"/>
  <c r="AU477" i="1"/>
  <c r="H477" i="1"/>
  <c r="Z476" i="1"/>
  <c r="I736" i="1"/>
  <c r="R694" i="1"/>
  <c r="S666" i="1"/>
  <c r="I659" i="1"/>
  <c r="D652" i="1"/>
  <c r="U644" i="1"/>
  <c r="I637" i="1"/>
  <c r="L631" i="1"/>
  <c r="U626" i="1"/>
  <c r="Q622" i="1"/>
  <c r="D619" i="1"/>
  <c r="P615" i="1"/>
  <c r="C612" i="1"/>
  <c r="G608" i="1"/>
  <c r="Z603" i="1"/>
  <c r="Z599" i="1"/>
  <c r="H596" i="1"/>
  <c r="U592" i="1"/>
  <c r="F589" i="1"/>
  <c r="Q585" i="1"/>
  <c r="J581" i="1"/>
  <c r="L578" i="1"/>
  <c r="C577" i="1"/>
  <c r="W575" i="1"/>
  <c r="U574" i="1"/>
  <c r="S573" i="1"/>
  <c r="L572" i="1"/>
  <c r="J571" i="1"/>
  <c r="I570" i="1"/>
  <c r="J569" i="1"/>
  <c r="S568" i="1"/>
  <c r="Z567" i="1"/>
  <c r="AN566" i="1"/>
  <c r="E566" i="1"/>
  <c r="F565" i="1"/>
  <c r="H564" i="1"/>
  <c r="L563" i="1"/>
  <c r="S562" i="1"/>
  <c r="AN561" i="1"/>
  <c r="AU560" i="1"/>
  <c r="D560" i="1"/>
  <c r="G559" i="1"/>
  <c r="H558" i="1"/>
  <c r="S557" i="1"/>
  <c r="U556" i="1"/>
  <c r="Z555" i="1"/>
  <c r="C555" i="1"/>
  <c r="D554" i="1"/>
  <c r="H553" i="1"/>
  <c r="I552" i="1"/>
  <c r="J551" i="1"/>
  <c r="S550" i="1"/>
  <c r="S549" i="1"/>
  <c r="AN548" i="1"/>
  <c r="AU547" i="1"/>
  <c r="G547" i="1"/>
  <c r="P546" i="1"/>
  <c r="U545" i="1"/>
  <c r="AU544" i="1"/>
  <c r="F544" i="1"/>
  <c r="L543" i="1"/>
  <c r="W542" i="1"/>
  <c r="C542" i="1"/>
  <c r="J541" i="1"/>
  <c r="L540" i="1"/>
  <c r="AN539" i="1"/>
  <c r="I539" i="1"/>
  <c r="S538" i="1"/>
  <c r="E538" i="1"/>
  <c r="P537" i="1"/>
  <c r="AN536" i="1"/>
  <c r="I536" i="1"/>
  <c r="W535" i="1"/>
  <c r="I535" i="1"/>
  <c r="AN534" i="1"/>
  <c r="L534" i="1"/>
  <c r="C534" i="1"/>
  <c r="P533" i="1"/>
  <c r="E533" i="1"/>
  <c r="S532" i="1"/>
  <c r="G532" i="1"/>
  <c r="W531" i="1"/>
  <c r="I531" i="1"/>
  <c r="AN530" i="1"/>
  <c r="L530" i="1"/>
  <c r="C530" i="1"/>
  <c r="P529" i="1"/>
  <c r="E529" i="1"/>
  <c r="S528" i="1"/>
  <c r="G528" i="1"/>
  <c r="U527" i="1"/>
  <c r="E527" i="1"/>
  <c r="S526" i="1"/>
  <c r="H526" i="1"/>
  <c r="Z525" i="1"/>
  <c r="J525" i="1"/>
  <c r="AU524" i="1"/>
  <c r="O524" i="1"/>
  <c r="D524" i="1"/>
  <c r="Q523" i="1"/>
  <c r="F523" i="1"/>
  <c r="U522" i="1"/>
  <c r="H522" i="1"/>
  <c r="Z521" i="1"/>
  <c r="I521" i="1"/>
  <c r="AN520" i="1"/>
  <c r="L520" i="1"/>
  <c r="C520" i="1"/>
  <c r="Q519" i="1"/>
  <c r="F519" i="1"/>
  <c r="U518" i="1"/>
  <c r="H518" i="1"/>
  <c r="Z517" i="1"/>
  <c r="J517" i="1"/>
  <c r="AU516" i="1"/>
  <c r="O516" i="1"/>
  <c r="D516" i="1"/>
  <c r="Q515" i="1"/>
  <c r="F515" i="1"/>
  <c r="U514" i="1"/>
  <c r="G514" i="1"/>
  <c r="W513" i="1"/>
  <c r="I513" i="1"/>
  <c r="AN512" i="1"/>
  <c r="L512" i="1"/>
  <c r="C512" i="1"/>
  <c r="P511" i="1"/>
  <c r="E511" i="1"/>
  <c r="S510" i="1"/>
  <c r="G510" i="1"/>
  <c r="W509" i="1"/>
  <c r="I509" i="1"/>
  <c r="AN508" i="1"/>
  <c r="O508" i="1"/>
  <c r="D508" i="1"/>
  <c r="J507" i="1"/>
  <c r="AU506" i="1"/>
  <c r="H506" i="1"/>
  <c r="Z505" i="1"/>
  <c r="F505" i="1"/>
  <c r="U504" i="1"/>
  <c r="E504" i="1"/>
  <c r="L503" i="1"/>
  <c r="C503" i="1"/>
  <c r="P502" i="1"/>
  <c r="E502" i="1"/>
  <c r="S501" i="1"/>
  <c r="G501" i="1"/>
  <c r="U500" i="1"/>
  <c r="E500" i="1"/>
  <c r="S499" i="1"/>
  <c r="G499" i="1"/>
  <c r="W498" i="1"/>
  <c r="I498" i="1"/>
  <c r="AN497" i="1"/>
  <c r="L497" i="1"/>
  <c r="C497" i="1"/>
  <c r="Q496" i="1"/>
  <c r="D496" i="1"/>
  <c r="Q495" i="1"/>
  <c r="F495" i="1"/>
  <c r="S494" i="1"/>
  <c r="D494" i="1"/>
  <c r="R493" i="1"/>
  <c r="G493" i="1"/>
  <c r="W492" i="1"/>
  <c r="I492" i="1"/>
  <c r="AN491" i="1"/>
  <c r="L491" i="1"/>
  <c r="C491" i="1"/>
  <c r="P490" i="1"/>
  <c r="E490" i="1"/>
  <c r="S489" i="1"/>
  <c r="G489" i="1"/>
  <c r="W488" i="1"/>
  <c r="I488" i="1"/>
  <c r="AN487" i="1"/>
  <c r="J487" i="1"/>
  <c r="AU486" i="1"/>
  <c r="O486" i="1"/>
  <c r="D486" i="1"/>
  <c r="Q485" i="1"/>
  <c r="F485" i="1"/>
  <c r="U484" i="1"/>
  <c r="H484" i="1"/>
  <c r="Z483" i="1"/>
  <c r="J483" i="1"/>
  <c r="AU482" i="1"/>
  <c r="O482" i="1"/>
  <c r="D482" i="1"/>
  <c r="Q481" i="1"/>
  <c r="F481" i="1"/>
  <c r="U480" i="1"/>
  <c r="H480" i="1"/>
  <c r="Z479" i="1"/>
  <c r="F479" i="1"/>
  <c r="U478" i="1"/>
  <c r="I478" i="1"/>
  <c r="AN477" i="1"/>
  <c r="G477" i="1"/>
  <c r="U476" i="1"/>
  <c r="E476" i="1"/>
  <c r="L475" i="1"/>
  <c r="C475" i="1"/>
  <c r="J474" i="1"/>
  <c r="AU473" i="1"/>
  <c r="O473" i="1"/>
  <c r="D473" i="1"/>
  <c r="Q472" i="1"/>
  <c r="F472" i="1"/>
  <c r="U471" i="1"/>
  <c r="I471" i="1"/>
  <c r="AN470" i="1"/>
  <c r="G470" i="1"/>
  <c r="W469" i="1"/>
  <c r="I469" i="1"/>
  <c r="AN468" i="1"/>
  <c r="L468" i="1"/>
  <c r="C468" i="1"/>
  <c r="P467" i="1"/>
  <c r="E467" i="1"/>
  <c r="S466" i="1"/>
  <c r="F466" i="1"/>
  <c r="U465" i="1"/>
  <c r="H465" i="1"/>
  <c r="Z464" i="1"/>
  <c r="F464" i="1"/>
  <c r="U463" i="1"/>
  <c r="I463" i="1"/>
  <c r="AN462" i="1"/>
  <c r="L462" i="1"/>
  <c r="C462" i="1"/>
  <c r="P461" i="1"/>
  <c r="E461" i="1"/>
  <c r="S460" i="1"/>
  <c r="H460" i="1"/>
  <c r="Z459" i="1"/>
  <c r="J459" i="1"/>
  <c r="AU458" i="1"/>
  <c r="O458" i="1"/>
  <c r="D458" i="1"/>
  <c r="Q457" i="1"/>
  <c r="F457" i="1"/>
  <c r="U456" i="1"/>
  <c r="G456" i="1"/>
  <c r="W455" i="1"/>
  <c r="I455" i="1"/>
  <c r="AN454" i="1"/>
  <c r="L454" i="1"/>
  <c r="C454" i="1"/>
  <c r="P453" i="1"/>
  <c r="E453" i="1"/>
  <c r="S452" i="1"/>
  <c r="G452" i="1"/>
  <c r="W451" i="1"/>
  <c r="I451" i="1"/>
  <c r="AN450" i="1"/>
  <c r="L450" i="1"/>
  <c r="C450" i="1"/>
  <c r="P449" i="1"/>
  <c r="E449" i="1"/>
  <c r="L448" i="1"/>
  <c r="C448" i="1"/>
  <c r="F730" i="1"/>
  <c r="E626" i="1"/>
  <c r="Z595" i="1"/>
  <c r="H574" i="1"/>
  <c r="Z566" i="1"/>
  <c r="AU559" i="1"/>
  <c r="E553" i="1"/>
  <c r="O546" i="1"/>
  <c r="J540" i="1"/>
  <c r="U535" i="1"/>
  <c r="F532" i="1"/>
  <c r="Q528" i="1"/>
  <c r="AN524" i="1"/>
  <c r="H521" i="1"/>
  <c r="W517" i="1"/>
  <c r="F514" i="1"/>
  <c r="Q510" i="1"/>
  <c r="AN506" i="1"/>
  <c r="O502" i="1"/>
  <c r="U498" i="1"/>
  <c r="E495" i="1"/>
  <c r="J491" i="1"/>
  <c r="Z487" i="1"/>
  <c r="G484" i="1"/>
  <c r="S480" i="1"/>
  <c r="S476" i="1"/>
  <c r="AU474" i="1"/>
  <c r="AN473" i="1"/>
  <c r="E473" i="1"/>
  <c r="L472" i="1"/>
  <c r="S471" i="1"/>
  <c r="C471" i="1"/>
  <c r="E470" i="1"/>
  <c r="J469" i="1"/>
  <c r="U468" i="1"/>
  <c r="AU467" i="1"/>
  <c r="G467" i="1"/>
  <c r="Q466" i="1"/>
  <c r="W465" i="1"/>
  <c r="E465" i="1"/>
  <c r="E464" i="1"/>
  <c r="L463" i="1"/>
  <c r="W462" i="1"/>
  <c r="D462" i="1"/>
  <c r="J461" i="1"/>
  <c r="R460" i="1"/>
  <c r="AU459" i="1"/>
  <c r="H459" i="1"/>
  <c r="P458" i="1"/>
  <c r="AN457" i="1"/>
  <c r="E457" i="1"/>
  <c r="I456" i="1"/>
  <c r="S455" i="1"/>
  <c r="AU454" i="1"/>
  <c r="H454" i="1"/>
  <c r="O453" i="1"/>
  <c r="W452" i="1"/>
  <c r="E452" i="1"/>
  <c r="L451" i="1"/>
  <c r="Z450" i="1"/>
  <c r="H450" i="1"/>
  <c r="S449" i="1"/>
  <c r="D449" i="1"/>
  <c r="H448" i="1"/>
  <c r="L447" i="1"/>
  <c r="AU446" i="1"/>
  <c r="G446" i="1"/>
  <c r="S445" i="1"/>
  <c r="C445" i="1"/>
  <c r="I444" i="1"/>
  <c r="AN443" i="1"/>
  <c r="L443" i="1"/>
  <c r="C443" i="1"/>
  <c r="P442" i="1"/>
  <c r="E442" i="1"/>
  <c r="L441" i="1"/>
  <c r="C441" i="1"/>
  <c r="P440" i="1"/>
  <c r="E440" i="1"/>
  <c r="S439" i="1"/>
  <c r="G439" i="1"/>
  <c r="W438" i="1"/>
  <c r="I438" i="1"/>
  <c r="AN437" i="1"/>
  <c r="L437" i="1"/>
  <c r="C437" i="1"/>
  <c r="I436" i="1"/>
  <c r="AN435" i="1"/>
  <c r="L435" i="1"/>
  <c r="C435" i="1"/>
  <c r="P434" i="1"/>
  <c r="E434" i="1"/>
  <c r="S433" i="1"/>
  <c r="G433" i="1"/>
  <c r="W432" i="1"/>
  <c r="I432" i="1"/>
  <c r="AN431" i="1"/>
  <c r="L431" i="1"/>
  <c r="C431" i="1"/>
  <c r="P430" i="1"/>
  <c r="E430" i="1"/>
  <c r="S429" i="1"/>
  <c r="G429" i="1"/>
  <c r="W428" i="1"/>
  <c r="I428" i="1"/>
  <c r="AN427" i="1"/>
  <c r="L427" i="1"/>
  <c r="C427" i="1"/>
  <c r="P426" i="1"/>
  <c r="E426" i="1"/>
  <c r="S425" i="1"/>
  <c r="G425" i="1"/>
  <c r="W424" i="1"/>
  <c r="I424" i="1"/>
  <c r="AN423" i="1"/>
  <c r="G423" i="1"/>
  <c r="U422" i="1"/>
  <c r="Z690" i="1"/>
  <c r="F622" i="1"/>
  <c r="H592" i="1"/>
  <c r="G573" i="1"/>
  <c r="AU565" i="1"/>
  <c r="F559" i="1"/>
  <c r="H552" i="1"/>
  <c r="S545" i="1"/>
  <c r="Z539" i="1"/>
  <c r="H535" i="1"/>
  <c r="U531" i="1"/>
  <c r="F528" i="1"/>
  <c r="L524" i="1"/>
  <c r="Z520" i="1"/>
  <c r="I517" i="1"/>
  <c r="U513" i="1"/>
  <c r="F510" i="1"/>
  <c r="G506" i="1"/>
  <c r="D502" i="1"/>
  <c r="H498" i="1"/>
  <c r="L494" i="1"/>
  <c r="AU490" i="1"/>
  <c r="I487" i="1"/>
  <c r="W483" i="1"/>
  <c r="G480" i="1"/>
  <c r="F476" i="1"/>
  <c r="AN474" i="1"/>
  <c r="Z473" i="1"/>
  <c r="C473" i="1"/>
  <c r="H472" i="1"/>
  <c r="R471" i="1"/>
  <c r="AU470" i="1"/>
  <c r="D470" i="1"/>
  <c r="H469" i="1"/>
  <c r="P468" i="1"/>
  <c r="AN467" i="1"/>
  <c r="F467" i="1"/>
  <c r="L466" i="1"/>
  <c r="S465" i="1"/>
  <c r="AU464" i="1"/>
  <c r="D464" i="1"/>
  <c r="J463" i="1"/>
  <c r="U462" i="1"/>
  <c r="AU461" i="1"/>
  <c r="G461" i="1"/>
  <c r="Q460" i="1"/>
  <c r="AN459" i="1"/>
  <c r="G459" i="1"/>
  <c r="L458" i="1"/>
  <c r="U457" i="1"/>
  <c r="D457" i="1"/>
  <c r="H456" i="1"/>
  <c r="Q455" i="1"/>
  <c r="Z454" i="1"/>
  <c r="E454" i="1"/>
  <c r="L453" i="1"/>
  <c r="U452" i="1"/>
  <c r="D452" i="1"/>
  <c r="J451" i="1"/>
  <c r="W450" i="1"/>
  <c r="F450" i="1"/>
  <c r="Q449" i="1"/>
  <c r="C449" i="1"/>
  <c r="F448" i="1"/>
  <c r="J447" i="1"/>
  <c r="AN446" i="1"/>
  <c r="F446" i="1"/>
  <c r="L445" i="1"/>
  <c r="AU444" i="1"/>
  <c r="H444" i="1"/>
  <c r="Z443" i="1"/>
  <c r="J443" i="1"/>
  <c r="AU442" i="1"/>
  <c r="O442" i="1"/>
  <c r="D442" i="1"/>
  <c r="J441" i="1"/>
  <c r="AU440" i="1"/>
  <c r="O440" i="1"/>
  <c r="D440" i="1"/>
  <c r="Q439" i="1"/>
  <c r="F439" i="1"/>
  <c r="U438" i="1"/>
  <c r="H438" i="1"/>
  <c r="Z437" i="1"/>
  <c r="J437" i="1"/>
  <c r="AU436" i="1"/>
  <c r="H436" i="1"/>
  <c r="Z435" i="1"/>
  <c r="J435" i="1"/>
  <c r="AU434" i="1"/>
  <c r="O434" i="1"/>
  <c r="D434" i="1"/>
  <c r="Q433" i="1"/>
  <c r="F433" i="1"/>
  <c r="U432" i="1"/>
  <c r="H432" i="1"/>
  <c r="Z431" i="1"/>
  <c r="J431" i="1"/>
  <c r="AU430" i="1"/>
  <c r="O430" i="1"/>
  <c r="D430" i="1"/>
  <c r="Q429" i="1"/>
  <c r="F429" i="1"/>
  <c r="U428" i="1"/>
  <c r="H428" i="1"/>
  <c r="Z427" i="1"/>
  <c r="J427" i="1"/>
  <c r="AU426" i="1"/>
  <c r="O426" i="1"/>
  <c r="D426" i="1"/>
  <c r="Q425" i="1"/>
  <c r="F425" i="1"/>
  <c r="U424" i="1"/>
  <c r="H424" i="1"/>
  <c r="Z423" i="1"/>
  <c r="F423" i="1"/>
  <c r="S422" i="1"/>
  <c r="D422" i="1"/>
  <c r="J421" i="1"/>
  <c r="AU420" i="1"/>
  <c r="H420" i="1"/>
  <c r="Z419" i="1"/>
  <c r="G419" i="1"/>
  <c r="W418" i="1"/>
  <c r="I418" i="1"/>
  <c r="AN417" i="1"/>
  <c r="L417" i="1"/>
  <c r="C417" i="1"/>
  <c r="I416" i="1"/>
  <c r="AN415" i="1"/>
  <c r="L415" i="1"/>
  <c r="C415" i="1"/>
  <c r="P414" i="1"/>
  <c r="E414" i="1"/>
  <c r="S413" i="1"/>
  <c r="G413" i="1"/>
  <c r="W412" i="1"/>
  <c r="I412" i="1"/>
  <c r="AN411" i="1"/>
  <c r="G411" i="1"/>
  <c r="W410" i="1"/>
  <c r="I410" i="1"/>
  <c r="AN409" i="1"/>
  <c r="L409" i="1"/>
  <c r="C409" i="1"/>
  <c r="P408" i="1"/>
  <c r="E408" i="1"/>
  <c r="S407" i="1"/>
  <c r="G407" i="1"/>
  <c r="W406" i="1"/>
  <c r="I406" i="1"/>
  <c r="AN405" i="1"/>
  <c r="L405" i="1"/>
  <c r="C405" i="1"/>
  <c r="P404" i="1"/>
  <c r="E404" i="1"/>
  <c r="S403" i="1"/>
  <c r="G403" i="1"/>
  <c r="W402" i="1"/>
  <c r="I402" i="1"/>
  <c r="AN401" i="1"/>
  <c r="L401" i="1"/>
  <c r="C401" i="1"/>
  <c r="P400" i="1"/>
  <c r="E400" i="1"/>
  <c r="S399" i="1"/>
  <c r="G399" i="1"/>
  <c r="U398" i="1"/>
  <c r="E398" i="1"/>
  <c r="S397" i="1"/>
  <c r="H397" i="1"/>
  <c r="Z396" i="1"/>
  <c r="J396" i="1"/>
  <c r="AU395" i="1"/>
  <c r="O395" i="1"/>
  <c r="D395" i="1"/>
  <c r="Q394" i="1"/>
  <c r="F394" i="1"/>
  <c r="U393" i="1"/>
  <c r="H393" i="1"/>
  <c r="Z392" i="1"/>
  <c r="J392" i="1"/>
  <c r="AU391" i="1"/>
  <c r="O391" i="1"/>
  <c r="D391" i="1"/>
  <c r="R390" i="1"/>
  <c r="E390" i="1"/>
  <c r="S389" i="1"/>
  <c r="G389" i="1"/>
  <c r="W388" i="1"/>
  <c r="J388" i="1"/>
  <c r="AU387" i="1"/>
  <c r="N387" i="1"/>
  <c r="D387" i="1"/>
  <c r="Q386" i="1"/>
  <c r="F386" i="1"/>
  <c r="U385" i="1"/>
  <c r="H385" i="1"/>
  <c r="Z384" i="1"/>
  <c r="J384" i="1"/>
  <c r="AU383" i="1"/>
  <c r="O383" i="1"/>
  <c r="D383" i="1"/>
  <c r="Q382" i="1"/>
  <c r="F382" i="1"/>
  <c r="U381" i="1"/>
  <c r="G381" i="1"/>
  <c r="W380" i="1"/>
  <c r="I380" i="1"/>
  <c r="AN379" i="1"/>
  <c r="L379" i="1"/>
  <c r="C379" i="1"/>
  <c r="P378" i="1"/>
  <c r="E378" i="1"/>
  <c r="S377" i="1"/>
  <c r="G377" i="1"/>
  <c r="W376" i="1"/>
  <c r="I376" i="1"/>
  <c r="AN375" i="1"/>
  <c r="L375" i="1"/>
  <c r="C375" i="1"/>
  <c r="P374" i="1"/>
  <c r="E374" i="1"/>
  <c r="S373" i="1"/>
  <c r="H373" i="1"/>
  <c r="Z372" i="1"/>
  <c r="Z665" i="1"/>
  <c r="R618" i="1"/>
  <c r="U588" i="1"/>
  <c r="F572" i="1"/>
  <c r="E565" i="1"/>
  <c r="G558" i="1"/>
  <c r="H551" i="1"/>
  <c r="W544" i="1"/>
  <c r="G539" i="1"/>
  <c r="Z534" i="1"/>
  <c r="H531" i="1"/>
  <c r="S527" i="1"/>
  <c r="C524" i="1"/>
  <c r="J520" i="1"/>
  <c r="AN516" i="1"/>
  <c r="H513" i="1"/>
  <c r="U509" i="1"/>
  <c r="U505" i="1"/>
  <c r="Q501" i="1"/>
  <c r="Z497" i="1"/>
  <c r="C494" i="1"/>
  <c r="O490" i="1"/>
  <c r="AN486" i="1"/>
  <c r="I483" i="1"/>
  <c r="U479" i="1"/>
  <c r="D476" i="1"/>
  <c r="Z474" i="1"/>
  <c r="W473" i="1"/>
  <c r="AU472" i="1"/>
  <c r="G472" i="1"/>
  <c r="Q471" i="1"/>
  <c r="Z470" i="1"/>
  <c r="AN469" i="1"/>
  <c r="G469" i="1"/>
  <c r="O468" i="1"/>
  <c r="Z467" i="1"/>
  <c r="D467" i="1"/>
  <c r="H466" i="1"/>
  <c r="Q465" i="1"/>
  <c r="AN464" i="1"/>
  <c r="C464" i="1"/>
  <c r="H463" i="1"/>
  <c r="P462" i="1"/>
  <c r="AN461" i="1"/>
  <c r="F461" i="1"/>
  <c r="P460" i="1"/>
  <c r="W459" i="1"/>
  <c r="D459" i="1"/>
  <c r="J458" i="1"/>
  <c r="S457" i="1"/>
  <c r="C457" i="1"/>
  <c r="F456" i="1"/>
  <c r="L455" i="1"/>
  <c r="W454" i="1"/>
  <c r="D454" i="1"/>
  <c r="J453" i="1"/>
  <c r="Q452" i="1"/>
  <c r="AN451" i="1"/>
  <c r="H451" i="1"/>
  <c r="U450" i="1"/>
  <c r="E450" i="1"/>
  <c r="O449" i="1"/>
  <c r="AU448" i="1"/>
  <c r="E448" i="1"/>
  <c r="I447" i="1"/>
  <c r="Z446" i="1"/>
  <c r="E446" i="1"/>
  <c r="J445" i="1"/>
  <c r="Z444" i="1"/>
  <c r="G444" i="1"/>
  <c r="W443" i="1"/>
  <c r="I443" i="1"/>
  <c r="AN442" i="1"/>
  <c r="L442" i="1"/>
  <c r="C442" i="1"/>
  <c r="I441" i="1"/>
  <c r="AN440" i="1"/>
  <c r="L440" i="1"/>
  <c r="C440" i="1"/>
  <c r="P439" i="1"/>
  <c r="E439" i="1"/>
  <c r="S438" i="1"/>
  <c r="G438" i="1"/>
  <c r="W437" i="1"/>
  <c r="I437" i="1"/>
  <c r="AN436" i="1"/>
  <c r="G436" i="1"/>
  <c r="W435" i="1"/>
  <c r="I435" i="1"/>
  <c r="AN434" i="1"/>
  <c r="L434" i="1"/>
  <c r="C434" i="1"/>
  <c r="P433" i="1"/>
  <c r="E433" i="1"/>
  <c r="S432" i="1"/>
  <c r="G432" i="1"/>
  <c r="W431" i="1"/>
  <c r="I431" i="1"/>
  <c r="AN430" i="1"/>
  <c r="L430" i="1"/>
  <c r="C430" i="1"/>
  <c r="P429" i="1"/>
  <c r="E429" i="1"/>
  <c r="S428" i="1"/>
  <c r="G428" i="1"/>
  <c r="W427" i="1"/>
  <c r="I427" i="1"/>
  <c r="AN426" i="1"/>
  <c r="L426" i="1"/>
  <c r="C426" i="1"/>
  <c r="P425" i="1"/>
  <c r="E425" i="1"/>
  <c r="S424" i="1"/>
  <c r="G424" i="1"/>
  <c r="U423" i="1"/>
  <c r="E423" i="1"/>
  <c r="L422" i="1"/>
  <c r="C422" i="1"/>
  <c r="I421" i="1"/>
  <c r="AN420" i="1"/>
  <c r="G420" i="1"/>
  <c r="W419" i="1"/>
  <c r="F419" i="1"/>
  <c r="U418" i="1"/>
  <c r="H418" i="1"/>
  <c r="Z417" i="1"/>
  <c r="J417" i="1"/>
  <c r="AU416" i="1"/>
  <c r="H416" i="1"/>
  <c r="Z415" i="1"/>
  <c r="J415" i="1"/>
  <c r="AU414" i="1"/>
  <c r="O414" i="1"/>
  <c r="D414" i="1"/>
  <c r="Q413" i="1"/>
  <c r="F413" i="1"/>
  <c r="U412" i="1"/>
  <c r="H412" i="1"/>
  <c r="Z411" i="1"/>
  <c r="F411" i="1"/>
  <c r="U410" i="1"/>
  <c r="H410" i="1"/>
  <c r="Z409" i="1"/>
  <c r="J409" i="1"/>
  <c r="AU408" i="1"/>
  <c r="O408" i="1"/>
  <c r="D408" i="1"/>
  <c r="Q407" i="1"/>
  <c r="F407" i="1"/>
  <c r="U406" i="1"/>
  <c r="H406" i="1"/>
  <c r="Z405" i="1"/>
  <c r="J405" i="1"/>
  <c r="AU404" i="1"/>
  <c r="O404" i="1"/>
  <c r="D404" i="1"/>
  <c r="Q403" i="1"/>
  <c r="F403" i="1"/>
  <c r="U402" i="1"/>
  <c r="H402" i="1"/>
  <c r="Z401" i="1"/>
  <c r="J401" i="1"/>
  <c r="AU400" i="1"/>
  <c r="O400" i="1"/>
  <c r="D400" i="1"/>
  <c r="Q399" i="1"/>
  <c r="F399" i="1"/>
  <c r="S398" i="1"/>
  <c r="D398" i="1"/>
  <c r="R397" i="1"/>
  <c r="G397" i="1"/>
  <c r="W396" i="1"/>
  <c r="I396" i="1"/>
  <c r="AN395" i="1"/>
  <c r="L395" i="1"/>
  <c r="C395" i="1"/>
  <c r="P394" i="1"/>
  <c r="E394" i="1"/>
  <c r="S393" i="1"/>
  <c r="G393" i="1"/>
  <c r="W392" i="1"/>
  <c r="I392" i="1"/>
  <c r="AN391" i="1"/>
  <c r="L391" i="1"/>
  <c r="C391" i="1"/>
  <c r="Q390" i="1"/>
  <c r="D390" i="1"/>
  <c r="Q389" i="1"/>
  <c r="F389" i="1"/>
  <c r="U388" i="1"/>
  <c r="I388" i="1"/>
  <c r="AN387" i="1"/>
  <c r="L387" i="1"/>
  <c r="C387" i="1"/>
  <c r="P386" i="1"/>
  <c r="E386" i="1"/>
  <c r="S385" i="1"/>
  <c r="G385" i="1"/>
  <c r="W384" i="1"/>
  <c r="I384" i="1"/>
  <c r="AN383" i="1"/>
  <c r="L383" i="1"/>
  <c r="C383" i="1"/>
  <c r="P382" i="1"/>
  <c r="E382" i="1"/>
  <c r="S381" i="1"/>
  <c r="F381" i="1"/>
  <c r="U380" i="1"/>
  <c r="H380" i="1"/>
  <c r="Z379" i="1"/>
  <c r="J379" i="1"/>
  <c r="AU378" i="1"/>
  <c r="O378" i="1"/>
  <c r="D378" i="1"/>
  <c r="Q377" i="1"/>
  <c r="F377" i="1"/>
  <c r="U376" i="1"/>
  <c r="H376" i="1"/>
  <c r="Z375" i="1"/>
  <c r="J375" i="1"/>
  <c r="AU374" i="1"/>
  <c r="O374" i="1"/>
  <c r="D374" i="1"/>
  <c r="R373" i="1"/>
  <c r="G373" i="1"/>
  <c r="I658" i="1"/>
  <c r="E615" i="1"/>
  <c r="F585" i="1"/>
  <c r="E571" i="1"/>
  <c r="F564" i="1"/>
  <c r="I557" i="1"/>
  <c r="L550" i="1"/>
  <c r="E544" i="1"/>
  <c r="Q538" i="1"/>
  <c r="J534" i="1"/>
  <c r="Z530" i="1"/>
  <c r="D527" i="1"/>
  <c r="P523" i="1"/>
  <c r="AU519" i="1"/>
  <c r="L516" i="1"/>
  <c r="Z512" i="1"/>
  <c r="H509" i="1"/>
  <c r="E505" i="1"/>
  <c r="F501" i="1"/>
  <c r="J497" i="1"/>
  <c r="Q493" i="1"/>
  <c r="D490" i="1"/>
  <c r="L486" i="1"/>
  <c r="AN482" i="1"/>
  <c r="E479" i="1"/>
  <c r="AU475" i="1"/>
  <c r="L474" i="1"/>
  <c r="P473" i="1"/>
  <c r="AN472" i="1"/>
  <c r="E472" i="1"/>
  <c r="L471" i="1"/>
  <c r="U470" i="1"/>
  <c r="Z469" i="1"/>
  <c r="F469" i="1"/>
  <c r="J468" i="1"/>
  <c r="S467" i="1"/>
  <c r="C467" i="1"/>
  <c r="G466" i="1"/>
  <c r="P465" i="1"/>
  <c r="U464" i="1"/>
  <c r="Z463" i="1"/>
  <c r="G463" i="1"/>
  <c r="O462" i="1"/>
  <c r="Z461" i="1"/>
  <c r="D461" i="1"/>
  <c r="J460" i="1"/>
  <c r="U459" i="1"/>
  <c r="C459" i="1"/>
  <c r="I458" i="1"/>
  <c r="P457" i="1"/>
  <c r="Z456" i="1"/>
  <c r="E456" i="1"/>
  <c r="J455" i="1"/>
  <c r="U454" i="1"/>
  <c r="AU453" i="1"/>
  <c r="G453" i="1"/>
  <c r="P452" i="1"/>
  <c r="Z451" i="1"/>
  <c r="G451" i="1"/>
  <c r="Q450" i="1"/>
  <c r="D450" i="1"/>
  <c r="L449" i="1"/>
  <c r="Z448" i="1"/>
  <c r="D448" i="1"/>
  <c r="H447" i="1"/>
  <c r="U446" i="1"/>
  <c r="D446" i="1"/>
  <c r="H445" i="1"/>
  <c r="W444" i="1"/>
  <c r="F444" i="1"/>
  <c r="U443" i="1"/>
  <c r="H443" i="1"/>
  <c r="Z442" i="1"/>
  <c r="J442" i="1"/>
  <c r="AU441" i="1"/>
  <c r="H441" i="1"/>
  <c r="Z440" i="1"/>
  <c r="J440" i="1"/>
  <c r="AU439" i="1"/>
  <c r="O439" i="1"/>
  <c r="D439" i="1"/>
  <c r="Q438" i="1"/>
  <c r="F438" i="1"/>
  <c r="U437" i="1"/>
  <c r="H437" i="1"/>
  <c r="Z436" i="1"/>
  <c r="F436" i="1"/>
  <c r="U435" i="1"/>
  <c r="H435" i="1"/>
  <c r="Z434" i="1"/>
  <c r="J434" i="1"/>
  <c r="AU433" i="1"/>
  <c r="O433" i="1"/>
  <c r="D433" i="1"/>
  <c r="Q432" i="1"/>
  <c r="F432" i="1"/>
  <c r="U431" i="1"/>
  <c r="H431" i="1"/>
  <c r="Z430" i="1"/>
  <c r="J430" i="1"/>
  <c r="AU429" i="1"/>
  <c r="O429" i="1"/>
  <c r="D429" i="1"/>
  <c r="Q428" i="1"/>
  <c r="F428" i="1"/>
  <c r="U427" i="1"/>
  <c r="H427" i="1"/>
  <c r="Z426" i="1"/>
  <c r="J426" i="1"/>
  <c r="AU425" i="1"/>
  <c r="O425" i="1"/>
  <c r="D425" i="1"/>
  <c r="Q424" i="1"/>
  <c r="F424" i="1"/>
  <c r="S423" i="1"/>
  <c r="D423" i="1"/>
  <c r="J422" i="1"/>
  <c r="AU421" i="1"/>
  <c r="H421" i="1"/>
  <c r="Z420" i="1"/>
  <c r="F420" i="1"/>
  <c r="U419" i="1"/>
  <c r="E419" i="1"/>
  <c r="S418" i="1"/>
  <c r="G418" i="1"/>
  <c r="W417" i="1"/>
  <c r="I417" i="1"/>
  <c r="AN416" i="1"/>
  <c r="G416" i="1"/>
  <c r="W415" i="1"/>
  <c r="I415" i="1"/>
  <c r="AN414" i="1"/>
  <c r="L414" i="1"/>
  <c r="C414" i="1"/>
  <c r="P413" i="1"/>
  <c r="E413" i="1"/>
  <c r="S412" i="1"/>
  <c r="G412" i="1"/>
  <c r="U411" i="1"/>
  <c r="E411" i="1"/>
  <c r="S410" i="1"/>
  <c r="G410" i="1"/>
  <c r="W409" i="1"/>
  <c r="I409" i="1"/>
  <c r="AN408" i="1"/>
  <c r="L408" i="1"/>
  <c r="C408" i="1"/>
  <c r="P407" i="1"/>
  <c r="E407" i="1"/>
  <c r="S406" i="1"/>
  <c r="G406" i="1"/>
  <c r="W405" i="1"/>
  <c r="I405" i="1"/>
  <c r="AN404" i="1"/>
  <c r="L404" i="1"/>
  <c r="C404" i="1"/>
  <c r="P403" i="1"/>
  <c r="E403" i="1"/>
  <c r="S402" i="1"/>
  <c r="G402" i="1"/>
  <c r="W401" i="1"/>
  <c r="I401" i="1"/>
  <c r="AN400" i="1"/>
  <c r="L400" i="1"/>
  <c r="C400" i="1"/>
  <c r="P399" i="1"/>
  <c r="E399" i="1"/>
  <c r="L398" i="1"/>
  <c r="C398" i="1"/>
  <c r="Q397" i="1"/>
  <c r="F397" i="1"/>
  <c r="U396" i="1"/>
  <c r="H396" i="1"/>
  <c r="Z395" i="1"/>
  <c r="J395" i="1"/>
  <c r="AU394" i="1"/>
  <c r="O394" i="1"/>
  <c r="D394" i="1"/>
  <c r="Q393" i="1"/>
  <c r="F393" i="1"/>
  <c r="U392" i="1"/>
  <c r="H392" i="1"/>
  <c r="Z391" i="1"/>
  <c r="J391" i="1"/>
  <c r="AU390" i="1"/>
  <c r="L390" i="1"/>
  <c r="C390" i="1"/>
  <c r="P389" i="1"/>
  <c r="E389" i="1"/>
  <c r="S388" i="1"/>
  <c r="H388" i="1"/>
  <c r="Z387" i="1"/>
  <c r="J387" i="1"/>
  <c r="AU386" i="1"/>
  <c r="O386" i="1"/>
  <c r="D386" i="1"/>
  <c r="Q385" i="1"/>
  <c r="F385" i="1"/>
  <c r="U384" i="1"/>
  <c r="H384" i="1"/>
  <c r="Z383" i="1"/>
  <c r="J383" i="1"/>
  <c r="AU382" i="1"/>
  <c r="O382" i="1"/>
  <c r="D382" i="1"/>
  <c r="R381" i="1"/>
  <c r="E381" i="1"/>
  <c r="S380" i="1"/>
  <c r="G380" i="1"/>
  <c r="W379" i="1"/>
  <c r="I379" i="1"/>
  <c r="AN378" i="1"/>
  <c r="L378" i="1"/>
  <c r="C378" i="1"/>
  <c r="P377" i="1"/>
  <c r="E377" i="1"/>
  <c r="S376" i="1"/>
  <c r="G376" i="1"/>
  <c r="W375" i="1"/>
  <c r="I375" i="1"/>
  <c r="AN374" i="1"/>
  <c r="L374" i="1"/>
  <c r="C374" i="1"/>
  <c r="Q373" i="1"/>
  <c r="F373" i="1"/>
  <c r="U372" i="1"/>
  <c r="H372" i="1"/>
  <c r="Z371" i="1"/>
  <c r="E651" i="1"/>
  <c r="P611" i="1"/>
  <c r="AU580" i="1"/>
  <c r="F570" i="1"/>
  <c r="J563" i="1"/>
  <c r="S556" i="1"/>
  <c r="L549" i="1"/>
  <c r="I543" i="1"/>
  <c r="D538" i="1"/>
  <c r="AU533" i="1"/>
  <c r="J530" i="1"/>
  <c r="R526" i="1"/>
  <c r="E523" i="1"/>
  <c r="P519" i="1"/>
  <c r="C516" i="1"/>
  <c r="J512" i="1"/>
  <c r="Z508" i="1"/>
  <c r="S504" i="1"/>
  <c r="S500" i="1"/>
  <c r="AU496" i="1"/>
  <c r="F493" i="1"/>
  <c r="Q489" i="1"/>
  <c r="C486" i="1"/>
  <c r="L482" i="1"/>
  <c r="S478" i="1"/>
  <c r="S475" i="1"/>
  <c r="I474" i="1"/>
  <c r="L473" i="1"/>
  <c r="U472" i="1"/>
  <c r="D472" i="1"/>
  <c r="J471" i="1"/>
  <c r="S470" i="1"/>
  <c r="U469" i="1"/>
  <c r="C469" i="1"/>
  <c r="I468" i="1"/>
  <c r="Q467" i="1"/>
  <c r="AU466" i="1"/>
  <c r="E466" i="1"/>
  <c r="J465" i="1"/>
  <c r="S464" i="1"/>
  <c r="W463" i="1"/>
  <c r="F463" i="1"/>
  <c r="J462" i="1"/>
  <c r="S461" i="1"/>
  <c r="C461" i="1"/>
  <c r="I460" i="1"/>
  <c r="S459" i="1"/>
  <c r="AN458" i="1"/>
  <c r="F458" i="1"/>
  <c r="O457" i="1"/>
  <c r="W456" i="1"/>
  <c r="D456" i="1"/>
  <c r="H455" i="1"/>
  <c r="P454" i="1"/>
  <c r="AN453" i="1"/>
  <c r="F453" i="1"/>
  <c r="O452" i="1"/>
  <c r="U451" i="1"/>
  <c r="F451" i="1"/>
  <c r="P450" i="1"/>
  <c r="AU449" i="1"/>
  <c r="J449" i="1"/>
  <c r="U448" i="1"/>
  <c r="AU447" i="1"/>
  <c r="G447" i="1"/>
  <c r="S446" i="1"/>
  <c r="AU445" i="1"/>
  <c r="G445" i="1"/>
  <c r="U444" i="1"/>
  <c r="E444" i="1"/>
  <c r="S443" i="1"/>
  <c r="G443" i="1"/>
  <c r="W442" i="1"/>
  <c r="I442" i="1"/>
  <c r="AN441" i="1"/>
  <c r="G441" i="1"/>
  <c r="W440" i="1"/>
  <c r="I440" i="1"/>
  <c r="AN439" i="1"/>
  <c r="L439" i="1"/>
  <c r="C439" i="1"/>
  <c r="P438" i="1"/>
  <c r="E438" i="1"/>
  <c r="S437" i="1"/>
  <c r="G437" i="1"/>
  <c r="U436" i="1"/>
  <c r="E436" i="1"/>
  <c r="S435" i="1"/>
  <c r="G435" i="1"/>
  <c r="W434" i="1"/>
  <c r="I434" i="1"/>
  <c r="AN433" i="1"/>
  <c r="L433" i="1"/>
  <c r="C433" i="1"/>
  <c r="P432" i="1"/>
  <c r="E432" i="1"/>
  <c r="S431" i="1"/>
  <c r="G431" i="1"/>
  <c r="W430" i="1"/>
  <c r="I430" i="1"/>
  <c r="AN429" i="1"/>
  <c r="L429" i="1"/>
  <c r="C429" i="1"/>
  <c r="P428" i="1"/>
  <c r="E428" i="1"/>
  <c r="S427" i="1"/>
  <c r="G427" i="1"/>
  <c r="W426" i="1"/>
  <c r="I426" i="1"/>
  <c r="AN425" i="1"/>
  <c r="L425" i="1"/>
  <c r="C425" i="1"/>
  <c r="P424" i="1"/>
  <c r="E424" i="1"/>
  <c r="L423" i="1"/>
  <c r="C423" i="1"/>
  <c r="I422" i="1"/>
  <c r="AN421" i="1"/>
  <c r="G421" i="1"/>
  <c r="U420" i="1"/>
  <c r="E420" i="1"/>
  <c r="S419" i="1"/>
  <c r="D419" i="1"/>
  <c r="Q418" i="1"/>
  <c r="F418" i="1"/>
  <c r="U417" i="1"/>
  <c r="H417" i="1"/>
  <c r="Z416" i="1"/>
  <c r="F416" i="1"/>
  <c r="U415" i="1"/>
  <c r="H415" i="1"/>
  <c r="Z414" i="1"/>
  <c r="J414" i="1"/>
  <c r="AU413" i="1"/>
  <c r="O413" i="1"/>
  <c r="D413" i="1"/>
  <c r="Q412" i="1"/>
  <c r="F412" i="1"/>
  <c r="S411" i="1"/>
  <c r="D411" i="1"/>
  <c r="Q410" i="1"/>
  <c r="F410" i="1"/>
  <c r="U409" i="1"/>
  <c r="H409" i="1"/>
  <c r="Z408" i="1"/>
  <c r="J408" i="1"/>
  <c r="AU407" i="1"/>
  <c r="O407" i="1"/>
  <c r="D407" i="1"/>
  <c r="Q406" i="1"/>
  <c r="F406" i="1"/>
  <c r="U405" i="1"/>
  <c r="H405" i="1"/>
  <c r="Z404" i="1"/>
  <c r="J404" i="1"/>
  <c r="AU403" i="1"/>
  <c r="O403" i="1"/>
  <c r="D403" i="1"/>
  <c r="Q402" i="1"/>
  <c r="F402" i="1"/>
  <c r="U401" i="1"/>
  <c r="H401" i="1"/>
  <c r="Z400" i="1"/>
  <c r="J400" i="1"/>
  <c r="AU399" i="1"/>
  <c r="O399" i="1"/>
  <c r="D399" i="1"/>
  <c r="J398" i="1"/>
  <c r="AU397" i="1"/>
  <c r="P397" i="1"/>
  <c r="E397" i="1"/>
  <c r="S396" i="1"/>
  <c r="G396" i="1"/>
  <c r="W395" i="1"/>
  <c r="I395" i="1"/>
  <c r="AN394" i="1"/>
  <c r="L394" i="1"/>
  <c r="C394" i="1"/>
  <c r="P393" i="1"/>
  <c r="E393" i="1"/>
  <c r="S392" i="1"/>
  <c r="G392" i="1"/>
  <c r="W391" i="1"/>
  <c r="I391" i="1"/>
  <c r="AN390" i="1"/>
  <c r="J390" i="1"/>
  <c r="AU389" i="1"/>
  <c r="O389" i="1"/>
  <c r="D389" i="1"/>
  <c r="R388" i="1"/>
  <c r="G388" i="1"/>
  <c r="W387" i="1"/>
  <c r="I387" i="1"/>
  <c r="AN386" i="1"/>
  <c r="L386" i="1"/>
  <c r="C386" i="1"/>
  <c r="P385" i="1"/>
  <c r="E385" i="1"/>
  <c r="S384" i="1"/>
  <c r="G384" i="1"/>
  <c r="W383" i="1"/>
  <c r="I383" i="1"/>
  <c r="AN382" i="1"/>
  <c r="L382" i="1"/>
  <c r="C382" i="1"/>
  <c r="Q381" i="1"/>
  <c r="D381" i="1"/>
  <c r="Q380" i="1"/>
  <c r="F380" i="1"/>
  <c r="U379" i="1"/>
  <c r="H379" i="1"/>
  <c r="Z378" i="1"/>
  <c r="J378" i="1"/>
  <c r="AU377" i="1"/>
  <c r="O377" i="1"/>
  <c r="D377" i="1"/>
  <c r="Q376" i="1"/>
  <c r="F376" i="1"/>
  <c r="U375" i="1"/>
  <c r="H375" i="1"/>
  <c r="Z374" i="1"/>
  <c r="J374" i="1"/>
  <c r="AU373" i="1"/>
  <c r="P373" i="1"/>
  <c r="E373" i="1"/>
  <c r="S372" i="1"/>
  <c r="G372" i="1"/>
  <c r="W371" i="1"/>
  <c r="I371" i="1"/>
  <c r="Z643" i="1"/>
  <c r="U607" i="1"/>
  <c r="J578" i="1"/>
  <c r="I569" i="1"/>
  <c r="L562" i="1"/>
  <c r="U555" i="1"/>
  <c r="U548" i="1"/>
  <c r="U542" i="1"/>
  <c r="L537" i="1"/>
  <c r="O533" i="1"/>
  <c r="AU529" i="1"/>
  <c r="G526" i="1"/>
  <c r="S522" i="1"/>
  <c r="E519" i="1"/>
  <c r="P515" i="1"/>
  <c r="AU511" i="1"/>
  <c r="L508" i="1"/>
  <c r="D504" i="1"/>
  <c r="D500" i="1"/>
  <c r="L496" i="1"/>
  <c r="U492" i="1"/>
  <c r="F489" i="1"/>
  <c r="P485" i="1"/>
  <c r="C482" i="1"/>
  <c r="H478" i="1"/>
  <c r="J475" i="1"/>
  <c r="H474" i="1"/>
  <c r="J473" i="1"/>
  <c r="S472" i="1"/>
  <c r="C472" i="1"/>
  <c r="H471" i="1"/>
  <c r="I470" i="1"/>
  <c r="S469" i="1"/>
  <c r="AU468" i="1"/>
  <c r="H468" i="1"/>
  <c r="O467" i="1"/>
  <c r="W466" i="1"/>
  <c r="D466" i="1"/>
  <c r="I465" i="1"/>
  <c r="L464" i="1"/>
  <c r="S463" i="1"/>
  <c r="C463" i="1"/>
  <c r="I462" i="1"/>
  <c r="Q461" i="1"/>
  <c r="AU460" i="1"/>
  <c r="G460" i="1"/>
  <c r="O459" i="1"/>
  <c r="Z458" i="1"/>
  <c r="E458" i="1"/>
  <c r="L457" i="1"/>
  <c r="S456" i="1"/>
  <c r="AN455" i="1"/>
  <c r="G455" i="1"/>
  <c r="O454" i="1"/>
  <c r="Z453" i="1"/>
  <c r="D453" i="1"/>
  <c r="I452" i="1"/>
  <c r="S451" i="1"/>
  <c r="D451" i="1"/>
  <c r="O450" i="1"/>
  <c r="AN449" i="1"/>
  <c r="H449" i="1"/>
  <c r="S448" i="1"/>
  <c r="AN447" i="1"/>
  <c r="F447" i="1"/>
  <c r="J446" i="1"/>
  <c r="AN445" i="1"/>
  <c r="F445" i="1"/>
  <c r="S444" i="1"/>
  <c r="D444" i="1"/>
  <c r="Q443" i="1"/>
  <c r="F443" i="1"/>
  <c r="U442" i="1"/>
  <c r="H442" i="1"/>
  <c r="Z441" i="1"/>
  <c r="F441" i="1"/>
  <c r="U440" i="1"/>
  <c r="H440" i="1"/>
  <c r="Z439" i="1"/>
  <c r="J439" i="1"/>
  <c r="AU438" i="1"/>
  <c r="O438" i="1"/>
  <c r="D438" i="1"/>
  <c r="Q437" i="1"/>
  <c r="F437" i="1"/>
  <c r="S436" i="1"/>
  <c r="D436" i="1"/>
  <c r="Q435" i="1"/>
  <c r="F435" i="1"/>
  <c r="U434" i="1"/>
  <c r="H434" i="1"/>
  <c r="Z433" i="1"/>
  <c r="J433" i="1"/>
  <c r="AU432" i="1"/>
  <c r="O432" i="1"/>
  <c r="D432" i="1"/>
  <c r="Q431" i="1"/>
  <c r="F431" i="1"/>
  <c r="U430" i="1"/>
  <c r="H430" i="1"/>
  <c r="Z429" i="1"/>
  <c r="J429" i="1"/>
  <c r="AU428" i="1"/>
  <c r="O428" i="1"/>
  <c r="D428" i="1"/>
  <c r="Q427" i="1"/>
  <c r="F427" i="1"/>
  <c r="U426" i="1"/>
  <c r="H426" i="1"/>
  <c r="Z425" i="1"/>
  <c r="J425" i="1"/>
  <c r="AU424" i="1"/>
  <c r="O424" i="1"/>
  <c r="D424" i="1"/>
  <c r="J423" i="1"/>
  <c r="AU422" i="1"/>
  <c r="L636" i="1"/>
  <c r="F603" i="1"/>
  <c r="AN576" i="1"/>
  <c r="J568" i="1"/>
  <c r="U561" i="1"/>
  <c r="AU554" i="1"/>
  <c r="AN547" i="1"/>
  <c r="AU541" i="1"/>
  <c r="Z536" i="1"/>
  <c r="D533" i="1"/>
  <c r="O529" i="1"/>
  <c r="W525" i="1"/>
  <c r="G522" i="1"/>
  <c r="S518" i="1"/>
  <c r="E515" i="1"/>
  <c r="O511" i="1"/>
  <c r="C508" i="1"/>
  <c r="J503" i="1"/>
  <c r="Q499" i="1"/>
  <c r="C496" i="1"/>
  <c r="H492" i="1"/>
  <c r="U488" i="1"/>
  <c r="E485" i="1"/>
  <c r="P481" i="1"/>
  <c r="Z477" i="1"/>
  <c r="H475" i="1"/>
  <c r="G474" i="1"/>
  <c r="I473" i="1"/>
  <c r="P472" i="1"/>
  <c r="Z471" i="1"/>
  <c r="G471" i="1"/>
  <c r="H470" i="1"/>
  <c r="Q469" i="1"/>
  <c r="Z468" i="1"/>
  <c r="E468" i="1"/>
  <c r="L467" i="1"/>
  <c r="U466" i="1"/>
  <c r="C466" i="1"/>
  <c r="G465" i="1"/>
  <c r="H464" i="1"/>
  <c r="R463" i="1"/>
  <c r="AU462" i="1"/>
  <c r="H462" i="1"/>
  <c r="O461" i="1"/>
  <c r="W460" i="1"/>
  <c r="F460" i="1"/>
  <c r="L459" i="1"/>
  <c r="W458" i="1"/>
  <c r="C458" i="1"/>
  <c r="H457" i="1"/>
  <c r="R456" i="1"/>
  <c r="Z455" i="1"/>
  <c r="F455" i="1"/>
  <c r="J454" i="1"/>
  <c r="S453" i="1"/>
  <c r="C453" i="1"/>
  <c r="H452" i="1"/>
  <c r="Q451" i="1"/>
  <c r="C451" i="1"/>
  <c r="J450" i="1"/>
  <c r="Z449" i="1"/>
  <c r="G449" i="1"/>
  <c r="J448" i="1"/>
  <c r="Z447" i="1"/>
  <c r="D447" i="1"/>
  <c r="I446" i="1"/>
  <c r="Z445" i="1"/>
  <c r="E445" i="1"/>
  <c r="L444" i="1"/>
  <c r="C444" i="1"/>
  <c r="P443" i="1"/>
  <c r="E443" i="1"/>
  <c r="S442" i="1"/>
  <c r="G442" i="1"/>
  <c r="U441" i="1"/>
  <c r="E441" i="1"/>
  <c r="S440" i="1"/>
  <c r="G440" i="1"/>
  <c r="W439" i="1"/>
  <c r="I439" i="1"/>
  <c r="AN438" i="1"/>
  <c r="L438" i="1"/>
  <c r="C438" i="1"/>
  <c r="P437" i="1"/>
  <c r="E437" i="1"/>
  <c r="L436" i="1"/>
  <c r="C436" i="1"/>
  <c r="P435" i="1"/>
  <c r="E435" i="1"/>
  <c r="S434" i="1"/>
  <c r="G434" i="1"/>
  <c r="W433" i="1"/>
  <c r="I433" i="1"/>
  <c r="AN432" i="1"/>
  <c r="L432" i="1"/>
  <c r="C432" i="1"/>
  <c r="P431" i="1"/>
  <c r="E431" i="1"/>
  <c r="S430" i="1"/>
  <c r="G430" i="1"/>
  <c r="W429" i="1"/>
  <c r="I429" i="1"/>
  <c r="AN428" i="1"/>
  <c r="L428" i="1"/>
  <c r="C428" i="1"/>
  <c r="P427" i="1"/>
  <c r="E427" i="1"/>
  <c r="S426" i="1"/>
  <c r="G426" i="1"/>
  <c r="W425" i="1"/>
  <c r="I425" i="1"/>
  <c r="AN424" i="1"/>
  <c r="L424" i="1"/>
  <c r="C424" i="1"/>
  <c r="I423" i="1"/>
  <c r="AN422" i="1"/>
  <c r="G422" i="1"/>
  <c r="U421" i="1"/>
  <c r="E421" i="1"/>
  <c r="L420" i="1"/>
  <c r="C420" i="1"/>
  <c r="J419" i="1"/>
  <c r="AU418" i="1"/>
  <c r="O418" i="1"/>
  <c r="D418" i="1"/>
  <c r="Q417" i="1"/>
  <c r="F417" i="1"/>
  <c r="S416" i="1"/>
  <c r="D416" i="1"/>
  <c r="Q415" i="1"/>
  <c r="F415" i="1"/>
  <c r="U414" i="1"/>
  <c r="H414" i="1"/>
  <c r="Z413" i="1"/>
  <c r="J413" i="1"/>
  <c r="AU412" i="1"/>
  <c r="O412" i="1"/>
  <c r="D412" i="1"/>
  <c r="J411" i="1"/>
  <c r="AU410" i="1"/>
  <c r="O410" i="1"/>
  <c r="D410" i="1"/>
  <c r="Q409" i="1"/>
  <c r="F409" i="1"/>
  <c r="U408" i="1"/>
  <c r="H408" i="1"/>
  <c r="Z407" i="1"/>
  <c r="J407" i="1"/>
  <c r="AU406" i="1"/>
  <c r="O406" i="1"/>
  <c r="D406" i="1"/>
  <c r="Q405" i="1"/>
  <c r="F405" i="1"/>
  <c r="U404" i="1"/>
  <c r="H404" i="1"/>
  <c r="Z403" i="1"/>
  <c r="J403" i="1"/>
  <c r="AU402" i="1"/>
  <c r="O402" i="1"/>
  <c r="D402" i="1"/>
  <c r="Q401" i="1"/>
  <c r="F401" i="1"/>
  <c r="U400" i="1"/>
  <c r="H400" i="1"/>
  <c r="Z399" i="1"/>
  <c r="J399" i="1"/>
  <c r="AU398" i="1"/>
  <c r="H398" i="1"/>
  <c r="Z397" i="1"/>
  <c r="L397" i="1"/>
  <c r="C397" i="1"/>
  <c r="Q396" i="1"/>
  <c r="E396" i="1"/>
  <c r="S395" i="1"/>
  <c r="G395" i="1"/>
  <c r="W394" i="1"/>
  <c r="I394" i="1"/>
  <c r="AN393" i="1"/>
  <c r="L393" i="1"/>
  <c r="C393" i="1"/>
  <c r="P392" i="1"/>
  <c r="E392" i="1"/>
  <c r="S391" i="1"/>
  <c r="G391" i="1"/>
  <c r="W390" i="1"/>
  <c r="H390" i="1"/>
  <c r="Z389" i="1"/>
  <c r="J389" i="1"/>
  <c r="AU388" i="1"/>
  <c r="P388" i="1"/>
  <c r="E388" i="1"/>
  <c r="S387" i="1"/>
  <c r="G387" i="1"/>
  <c r="W386" i="1"/>
  <c r="I386" i="1"/>
  <c r="AN385" i="1"/>
  <c r="L385" i="1"/>
  <c r="C385" i="1"/>
  <c r="P384" i="1"/>
  <c r="E384" i="1"/>
  <c r="S383" i="1"/>
  <c r="G383" i="1"/>
  <c r="W382" i="1"/>
  <c r="I382" i="1"/>
  <c r="AN381" i="1"/>
  <c r="J381" i="1"/>
  <c r="AU380" i="1"/>
  <c r="O380" i="1"/>
  <c r="D380" i="1"/>
  <c r="Q379" i="1"/>
  <c r="F379" i="1"/>
  <c r="U378" i="1"/>
  <c r="H378" i="1"/>
  <c r="Z377" i="1"/>
  <c r="J377" i="1"/>
  <c r="AU376" i="1"/>
  <c r="O376" i="1"/>
  <c r="D376" i="1"/>
  <c r="Q375" i="1"/>
  <c r="F375" i="1"/>
  <c r="U374" i="1"/>
  <c r="H374" i="1"/>
  <c r="Z373" i="1"/>
  <c r="L373" i="1"/>
  <c r="C373" i="1"/>
  <c r="Q372" i="1"/>
  <c r="E372" i="1"/>
  <c r="S371" i="1"/>
  <c r="AN630" i="1"/>
  <c r="J599" i="1"/>
  <c r="I575" i="1"/>
  <c r="W567" i="1"/>
  <c r="AN560" i="1"/>
  <c r="C554" i="1"/>
  <c r="E547" i="1"/>
  <c r="G541" i="1"/>
  <c r="H536" i="1"/>
  <c r="Q532" i="1"/>
  <c r="D529" i="1"/>
  <c r="I525" i="1"/>
  <c r="W521" i="1"/>
  <c r="G518" i="1"/>
  <c r="S514" i="1"/>
  <c r="D511" i="1"/>
  <c r="I507" i="1"/>
  <c r="AU502" i="1"/>
  <c r="F499" i="1"/>
  <c r="P495" i="1"/>
  <c r="Z491" i="1"/>
  <c r="H488" i="1"/>
  <c r="S484" i="1"/>
  <c r="E481" i="1"/>
  <c r="F477" i="1"/>
  <c r="D475" i="1"/>
  <c r="C474" i="1"/>
  <c r="F473" i="1"/>
  <c r="O472" i="1"/>
  <c r="W471" i="1"/>
  <c r="F471" i="1"/>
  <c r="F470" i="1"/>
  <c r="L469" i="1"/>
  <c r="W468" i="1"/>
  <c r="D468" i="1"/>
  <c r="J467" i="1"/>
  <c r="R466" i="1"/>
  <c r="Z465" i="1"/>
  <c r="F465" i="1"/>
  <c r="G464" i="1"/>
  <c r="Q463" i="1"/>
  <c r="Z462" i="1"/>
  <c r="E462" i="1"/>
  <c r="L461" i="1"/>
  <c r="U460" i="1"/>
  <c r="E460" i="1"/>
  <c r="I459" i="1"/>
  <c r="Q458" i="1"/>
  <c r="AU457" i="1"/>
  <c r="G457" i="1"/>
  <c r="Q456" i="1"/>
  <c r="U455" i="1"/>
  <c r="C455" i="1"/>
  <c r="I454" i="1"/>
  <c r="Q453" i="1"/>
  <c r="AU452" i="1"/>
  <c r="F452" i="1"/>
  <c r="O451" i="1"/>
  <c r="AU450" i="1"/>
  <c r="I450" i="1"/>
  <c r="U449" i="1"/>
  <c r="F449" i="1"/>
  <c r="I448" i="1"/>
  <c r="S447" i="1"/>
  <c r="C447" i="1"/>
  <c r="H446" i="1"/>
  <c r="U445" i="1"/>
  <c r="D445" i="1"/>
  <c r="J444" i="1"/>
  <c r="AU443" i="1"/>
  <c r="O443" i="1"/>
  <c r="D443" i="1"/>
  <c r="Q442" i="1"/>
  <c r="F442" i="1"/>
  <c r="S441" i="1"/>
  <c r="D441" i="1"/>
  <c r="Q440" i="1"/>
  <c r="F440" i="1"/>
  <c r="U439" i="1"/>
  <c r="H439" i="1"/>
  <c r="Z438" i="1"/>
  <c r="J438" i="1"/>
  <c r="AU437" i="1"/>
  <c r="O437" i="1"/>
  <c r="D437" i="1"/>
  <c r="J436" i="1"/>
  <c r="AU435" i="1"/>
  <c r="O435" i="1"/>
  <c r="D435" i="1"/>
  <c r="Q434" i="1"/>
  <c r="F434" i="1"/>
  <c r="U433" i="1"/>
  <c r="H433" i="1"/>
  <c r="Z432" i="1"/>
  <c r="J432" i="1"/>
  <c r="AU431" i="1"/>
  <c r="O431" i="1"/>
  <c r="D431" i="1"/>
  <c r="Q430" i="1"/>
  <c r="F430" i="1"/>
  <c r="U429" i="1"/>
  <c r="H429" i="1"/>
  <c r="Z428" i="1"/>
  <c r="J428" i="1"/>
  <c r="AU427" i="1"/>
  <c r="O427" i="1"/>
  <c r="D427" i="1"/>
  <c r="Q426" i="1"/>
  <c r="F426" i="1"/>
  <c r="U425" i="1"/>
  <c r="H425" i="1"/>
  <c r="Z424" i="1"/>
  <c r="J424" i="1"/>
  <c r="AU423" i="1"/>
  <c r="H423" i="1"/>
  <c r="Z422" i="1"/>
  <c r="F422" i="1"/>
  <c r="S421" i="1"/>
  <c r="D421" i="1"/>
  <c r="J420" i="1"/>
  <c r="AU419" i="1"/>
  <c r="I419" i="1"/>
  <c r="AN418" i="1"/>
  <c r="L418" i="1"/>
  <c r="C418" i="1"/>
  <c r="P417" i="1"/>
  <c r="E417" i="1"/>
  <c r="H422" i="1"/>
  <c r="D420" i="1"/>
  <c r="E418" i="1"/>
  <c r="J416" i="1"/>
  <c r="E415" i="1"/>
  <c r="AN413" i="1"/>
  <c r="Z412" i="1"/>
  <c r="I411" i="1"/>
  <c r="E410" i="1"/>
  <c r="D409" i="1"/>
  <c r="W407" i="1"/>
  <c r="P406" i="1"/>
  <c r="O405" i="1"/>
  <c r="G404" i="1"/>
  <c r="C403" i="1"/>
  <c r="AU401" i="1"/>
  <c r="S400" i="1"/>
  <c r="L399" i="1"/>
  <c r="F398" i="1"/>
  <c r="AU396" i="1"/>
  <c r="U395" i="1"/>
  <c r="S394" i="1"/>
  <c r="J393" i="1"/>
  <c r="F392" i="1"/>
  <c r="E391" i="1"/>
  <c r="W389" i="1"/>
  <c r="Q388" i="1"/>
  <c r="Q387" i="1"/>
  <c r="H386" i="1"/>
  <c r="D385" i="1"/>
  <c r="C384" i="1"/>
  <c r="U382" i="1"/>
  <c r="L381" i="1"/>
  <c r="J380" i="1"/>
  <c r="E379" i="1"/>
  <c r="AN377" i="1"/>
  <c r="Z376" i="1"/>
  <c r="P375" i="1"/>
  <c r="I374" i="1"/>
  <c r="I373" i="1"/>
  <c r="J372" i="1"/>
  <c r="Q371" i="1"/>
  <c r="E371" i="1"/>
  <c r="S370" i="1"/>
  <c r="G370" i="1"/>
  <c r="W369" i="1"/>
  <c r="I369" i="1"/>
  <c r="AN368" i="1"/>
  <c r="L368" i="1"/>
  <c r="C368" i="1"/>
  <c r="P367" i="1"/>
  <c r="E367" i="1"/>
  <c r="S366" i="1"/>
  <c r="F366" i="1"/>
  <c r="U365" i="1"/>
  <c r="H365" i="1"/>
  <c r="Z364" i="1"/>
  <c r="L364" i="1"/>
  <c r="C364" i="1"/>
  <c r="Q363" i="1"/>
  <c r="E363" i="1"/>
  <c r="S362" i="1"/>
  <c r="G362" i="1"/>
  <c r="W361" i="1"/>
  <c r="I361" i="1"/>
  <c r="AN360" i="1"/>
  <c r="L360" i="1"/>
  <c r="C360" i="1"/>
  <c r="P359" i="1"/>
  <c r="E359" i="1"/>
  <c r="S358" i="1"/>
  <c r="G358" i="1"/>
  <c r="W357" i="1"/>
  <c r="H357" i="1"/>
  <c r="Z356" i="1"/>
  <c r="J356" i="1"/>
  <c r="AU355" i="1"/>
  <c r="O355" i="1"/>
  <c r="D355" i="1"/>
  <c r="Q354" i="1"/>
  <c r="F354" i="1"/>
  <c r="U353" i="1"/>
  <c r="H353" i="1"/>
  <c r="Z352" i="1"/>
  <c r="J352" i="1"/>
  <c r="AU351" i="1"/>
  <c r="O351" i="1"/>
  <c r="D351" i="1"/>
  <c r="Q350" i="1"/>
  <c r="F350" i="1"/>
  <c r="U349" i="1"/>
  <c r="I349" i="1"/>
  <c r="AN348" i="1"/>
  <c r="L348" i="1"/>
  <c r="C348" i="1"/>
  <c r="P347" i="1"/>
  <c r="E347" i="1"/>
  <c r="S346" i="1"/>
  <c r="G346" i="1"/>
  <c r="W345" i="1"/>
  <c r="I345" i="1"/>
  <c r="AN344" i="1"/>
  <c r="L344" i="1"/>
  <c r="C344" i="1"/>
  <c r="P343" i="1"/>
  <c r="E343" i="1"/>
  <c r="S342" i="1"/>
  <c r="F342" i="1"/>
  <c r="U341" i="1"/>
  <c r="H341" i="1"/>
  <c r="Z340" i="1"/>
  <c r="L340" i="1"/>
  <c r="C340" i="1"/>
  <c r="Q339" i="1"/>
  <c r="E339" i="1"/>
  <c r="S338" i="1"/>
  <c r="G338" i="1"/>
  <c r="W337" i="1"/>
  <c r="I337" i="1"/>
  <c r="AN336" i="1"/>
  <c r="L336" i="1"/>
  <c r="C336" i="1"/>
  <c r="P335" i="1"/>
  <c r="E335" i="1"/>
  <c r="S334" i="1"/>
  <c r="G334" i="1"/>
  <c r="W333" i="1"/>
  <c r="H333" i="1"/>
  <c r="Z332" i="1"/>
  <c r="J332" i="1"/>
  <c r="AU331" i="1"/>
  <c r="O331" i="1"/>
  <c r="D331" i="1"/>
  <c r="Q330" i="1"/>
  <c r="F330" i="1"/>
  <c r="U329" i="1"/>
  <c r="H329" i="1"/>
  <c r="Z328" i="1"/>
  <c r="J328" i="1"/>
  <c r="AU327" i="1"/>
  <c r="O327" i="1"/>
  <c r="D327" i="1"/>
  <c r="Q326" i="1"/>
  <c r="F326" i="1"/>
  <c r="U325" i="1"/>
  <c r="I325" i="1"/>
  <c r="AN324" i="1"/>
  <c r="L324" i="1"/>
  <c r="C324" i="1"/>
  <c r="P323" i="1"/>
  <c r="E323" i="1"/>
  <c r="S322" i="1"/>
  <c r="G322" i="1"/>
  <c r="W321" i="1"/>
  <c r="I321" i="1"/>
  <c r="AN320" i="1"/>
  <c r="L320" i="1"/>
  <c r="C320" i="1"/>
  <c r="P319" i="1"/>
  <c r="E319" i="1"/>
  <c r="S318" i="1"/>
  <c r="G318" i="1"/>
  <c r="W317" i="1"/>
  <c r="J317" i="1"/>
  <c r="AU316" i="1"/>
  <c r="N316" i="1"/>
  <c r="D316" i="1"/>
  <c r="Q315" i="1"/>
  <c r="F315" i="1"/>
  <c r="U314" i="1"/>
  <c r="H314" i="1"/>
  <c r="Z313" i="1"/>
  <c r="J313" i="1"/>
  <c r="AU312" i="1"/>
  <c r="O312" i="1"/>
  <c r="D312" i="1"/>
  <c r="Q311" i="1"/>
  <c r="F311" i="1"/>
  <c r="U310" i="1"/>
  <c r="H310" i="1"/>
  <c r="Z309" i="1"/>
  <c r="J309" i="1"/>
  <c r="AU308" i="1"/>
  <c r="O308" i="1"/>
  <c r="D308" i="1"/>
  <c r="Q307" i="1"/>
  <c r="F307" i="1"/>
  <c r="U306" i="1"/>
  <c r="H306" i="1"/>
  <c r="Z305" i="1"/>
  <c r="J305" i="1"/>
  <c r="AU304" i="1"/>
  <c r="O304" i="1"/>
  <c r="D304" i="1"/>
  <c r="I303" i="1"/>
  <c r="AN302" i="1"/>
  <c r="O302" i="1"/>
  <c r="E422" i="1"/>
  <c r="AN419" i="1"/>
  <c r="AU417" i="1"/>
  <c r="E416" i="1"/>
  <c r="D415" i="1"/>
  <c r="W413" i="1"/>
  <c r="P412" i="1"/>
  <c r="H411" i="1"/>
  <c r="C410" i="1"/>
  <c r="W408" i="1"/>
  <c r="U407" i="1"/>
  <c r="L406" i="1"/>
  <c r="G405" i="1"/>
  <c r="F404" i="1"/>
  <c r="AN402" i="1"/>
  <c r="S401" i="1"/>
  <c r="Q400" i="1"/>
  <c r="I399" i="1"/>
  <c r="AN397" i="1"/>
  <c r="AN396" i="1"/>
  <c r="Q395" i="1"/>
  <c r="J394" i="1"/>
  <c r="I393" i="1"/>
  <c r="D392" i="1"/>
  <c r="Z390" i="1"/>
  <c r="U389" i="1"/>
  <c r="O388" i="1"/>
  <c r="H387" i="1"/>
  <c r="G386" i="1"/>
  <c r="AU384" i="1"/>
  <c r="U383" i="1"/>
  <c r="S382" i="1"/>
  <c r="I381" i="1"/>
  <c r="E380" i="1"/>
  <c r="D379" i="1"/>
  <c r="W377" i="1"/>
  <c r="P376" i="1"/>
  <c r="O375" i="1"/>
  <c r="G374" i="1"/>
  <c r="D373" i="1"/>
  <c r="I372" i="1"/>
  <c r="P371" i="1"/>
  <c r="D371" i="1"/>
  <c r="Q370" i="1"/>
  <c r="F370" i="1"/>
  <c r="U369" i="1"/>
  <c r="H369" i="1"/>
  <c r="Z368" i="1"/>
  <c r="J368" i="1"/>
  <c r="AU367" i="1"/>
  <c r="O367" i="1"/>
  <c r="D367" i="1"/>
  <c r="R366" i="1"/>
  <c r="E366" i="1"/>
  <c r="S365" i="1"/>
  <c r="G365" i="1"/>
  <c r="W364" i="1"/>
  <c r="J364" i="1"/>
  <c r="AU363" i="1"/>
  <c r="N363" i="1"/>
  <c r="D363" i="1"/>
  <c r="Q362" i="1"/>
  <c r="F362" i="1"/>
  <c r="U361" i="1"/>
  <c r="H361" i="1"/>
  <c r="Z360" i="1"/>
  <c r="J360" i="1"/>
  <c r="AU359" i="1"/>
  <c r="O359" i="1"/>
  <c r="D359" i="1"/>
  <c r="Q358" i="1"/>
  <c r="F358" i="1"/>
  <c r="U357" i="1"/>
  <c r="G357" i="1"/>
  <c r="W356" i="1"/>
  <c r="I356" i="1"/>
  <c r="AN355" i="1"/>
  <c r="L355" i="1"/>
  <c r="C355" i="1"/>
  <c r="P354" i="1"/>
  <c r="E354" i="1"/>
  <c r="S353" i="1"/>
  <c r="G353" i="1"/>
  <c r="W352" i="1"/>
  <c r="I352" i="1"/>
  <c r="AN351" i="1"/>
  <c r="L351" i="1"/>
  <c r="C351" i="1"/>
  <c r="P350" i="1"/>
  <c r="E350" i="1"/>
  <c r="S349" i="1"/>
  <c r="H349" i="1"/>
  <c r="Z348" i="1"/>
  <c r="J348" i="1"/>
  <c r="AU347" i="1"/>
  <c r="O347" i="1"/>
  <c r="D347" i="1"/>
  <c r="Q346" i="1"/>
  <c r="F346" i="1"/>
  <c r="U345" i="1"/>
  <c r="H345" i="1"/>
  <c r="Z344" i="1"/>
  <c r="J344" i="1"/>
  <c r="AU343" i="1"/>
  <c r="O343" i="1"/>
  <c r="D343" i="1"/>
  <c r="R342" i="1"/>
  <c r="E342" i="1"/>
  <c r="S341" i="1"/>
  <c r="G341" i="1"/>
  <c r="W340" i="1"/>
  <c r="J340" i="1"/>
  <c r="AU339" i="1"/>
  <c r="N339" i="1"/>
  <c r="D339" i="1"/>
  <c r="Q338" i="1"/>
  <c r="F338" i="1"/>
  <c r="U337" i="1"/>
  <c r="H337" i="1"/>
  <c r="Z336" i="1"/>
  <c r="J336" i="1"/>
  <c r="AU335" i="1"/>
  <c r="O335" i="1"/>
  <c r="D335" i="1"/>
  <c r="Q334" i="1"/>
  <c r="F334" i="1"/>
  <c r="U333" i="1"/>
  <c r="G333" i="1"/>
  <c r="W332" i="1"/>
  <c r="I332" i="1"/>
  <c r="AN331" i="1"/>
  <c r="L331" i="1"/>
  <c r="C331" i="1"/>
  <c r="P330" i="1"/>
  <c r="E330" i="1"/>
  <c r="S329" i="1"/>
  <c r="G329" i="1"/>
  <c r="W328" i="1"/>
  <c r="I328" i="1"/>
  <c r="AN327" i="1"/>
  <c r="L327" i="1"/>
  <c r="C327" i="1"/>
  <c r="P326" i="1"/>
  <c r="E326" i="1"/>
  <c r="S325" i="1"/>
  <c r="H325" i="1"/>
  <c r="Z324" i="1"/>
  <c r="J324" i="1"/>
  <c r="AU323" i="1"/>
  <c r="O323" i="1"/>
  <c r="D323" i="1"/>
  <c r="Q322" i="1"/>
  <c r="F322" i="1"/>
  <c r="U321" i="1"/>
  <c r="H321" i="1"/>
  <c r="Z320" i="1"/>
  <c r="J320" i="1"/>
  <c r="AU319" i="1"/>
  <c r="O319" i="1"/>
  <c r="D319" i="1"/>
  <c r="Q318" i="1"/>
  <c r="F318" i="1"/>
  <c r="U317" i="1"/>
  <c r="I317" i="1"/>
  <c r="AN316" i="1"/>
  <c r="L316" i="1"/>
  <c r="C316" i="1"/>
  <c r="P315" i="1"/>
  <c r="E315" i="1"/>
  <c r="S314" i="1"/>
  <c r="G314" i="1"/>
  <c r="W313" i="1"/>
  <c r="I313" i="1"/>
  <c r="AN312" i="1"/>
  <c r="L312" i="1"/>
  <c r="C312" i="1"/>
  <c r="P311" i="1"/>
  <c r="E311" i="1"/>
  <c r="S310" i="1"/>
  <c r="G310" i="1"/>
  <c r="W309" i="1"/>
  <c r="I309" i="1"/>
  <c r="AN308" i="1"/>
  <c r="L308" i="1"/>
  <c r="C308" i="1"/>
  <c r="P307" i="1"/>
  <c r="E307" i="1"/>
  <c r="S306" i="1"/>
  <c r="G306" i="1"/>
  <c r="W305" i="1"/>
  <c r="I305" i="1"/>
  <c r="AN304" i="1"/>
  <c r="L304" i="1"/>
  <c r="C304" i="1"/>
  <c r="H303" i="1"/>
  <c r="Z302" i="1"/>
  <c r="L302" i="1"/>
  <c r="C302" i="1"/>
  <c r="J301" i="1"/>
  <c r="AU300" i="1"/>
  <c r="I300" i="1"/>
  <c r="AN299" i="1"/>
  <c r="G299" i="1"/>
  <c r="U298" i="1"/>
  <c r="E298" i="1"/>
  <c r="S297" i="1"/>
  <c r="G297" i="1"/>
  <c r="U296" i="1"/>
  <c r="E296" i="1"/>
  <c r="S295" i="1"/>
  <c r="G295" i="1"/>
  <c r="W294" i="1"/>
  <c r="I294" i="1"/>
  <c r="AN293" i="1"/>
  <c r="L293" i="1"/>
  <c r="C293" i="1"/>
  <c r="P292" i="1"/>
  <c r="E292" i="1"/>
  <c r="S291" i="1"/>
  <c r="G291" i="1"/>
  <c r="W290" i="1"/>
  <c r="H290" i="1"/>
  <c r="Z289" i="1"/>
  <c r="F289" i="1"/>
  <c r="U288" i="1"/>
  <c r="H288" i="1"/>
  <c r="Z287" i="1"/>
  <c r="L287" i="1"/>
  <c r="C287" i="1"/>
  <c r="Q286" i="1"/>
  <c r="E286" i="1"/>
  <c r="S285" i="1"/>
  <c r="G285" i="1"/>
  <c r="W284" i="1"/>
  <c r="I284" i="1"/>
  <c r="AN283" i="1"/>
  <c r="L283" i="1"/>
  <c r="C283" i="1"/>
  <c r="P282" i="1"/>
  <c r="E282" i="1"/>
  <c r="S281" i="1"/>
  <c r="G281" i="1"/>
  <c r="W280" i="1"/>
  <c r="H280" i="1"/>
  <c r="Z279" i="1"/>
  <c r="J279" i="1"/>
  <c r="AU278" i="1"/>
  <c r="O278" i="1"/>
  <c r="D278" i="1"/>
  <c r="Q277" i="1"/>
  <c r="F277" i="1"/>
  <c r="U276" i="1"/>
  <c r="H276" i="1"/>
  <c r="Z275" i="1"/>
  <c r="J275" i="1"/>
  <c r="Z421" i="1"/>
  <c r="L419" i="1"/>
  <c r="S417" i="1"/>
  <c r="C416" i="1"/>
  <c r="W414" i="1"/>
  <c r="U413" i="1"/>
  <c r="L412" i="1"/>
  <c r="C411" i="1"/>
  <c r="AU409" i="1"/>
  <c r="S408" i="1"/>
  <c r="L407" i="1"/>
  <c r="J406" i="1"/>
  <c r="E405" i="1"/>
  <c r="AN403" i="1"/>
  <c r="Z402" i="1"/>
  <c r="P401" i="1"/>
  <c r="I400" i="1"/>
  <c r="H399" i="1"/>
  <c r="W397" i="1"/>
  <c r="R396" i="1"/>
  <c r="P395" i="1"/>
  <c r="H394" i="1"/>
  <c r="D393" i="1"/>
  <c r="C392" i="1"/>
  <c r="U390" i="1"/>
  <c r="L389" i="1"/>
  <c r="L388" i="1"/>
  <c r="F387" i="1"/>
  <c r="AU385" i="1"/>
  <c r="AN384" i="1"/>
  <c r="Q383" i="1"/>
  <c r="J382" i="1"/>
  <c r="H381" i="1"/>
  <c r="C380" i="1"/>
  <c r="W378" i="1"/>
  <c r="U377" i="1"/>
  <c r="L376" i="1"/>
  <c r="G375" i="1"/>
  <c r="F374" i="1"/>
  <c r="AU372" i="1"/>
  <c r="F372" i="1"/>
  <c r="O371" i="1"/>
  <c r="C371" i="1"/>
  <c r="P370" i="1"/>
  <c r="E370" i="1"/>
  <c r="S369" i="1"/>
  <c r="G369" i="1"/>
  <c r="W368" i="1"/>
  <c r="I368" i="1"/>
  <c r="AN367" i="1"/>
  <c r="L367" i="1"/>
  <c r="C367" i="1"/>
  <c r="Q366" i="1"/>
  <c r="D366" i="1"/>
  <c r="Q365" i="1"/>
  <c r="F365" i="1"/>
  <c r="U364" i="1"/>
  <c r="I364" i="1"/>
  <c r="AN363" i="1"/>
  <c r="L363" i="1"/>
  <c r="C363" i="1"/>
  <c r="P362" i="1"/>
  <c r="E362" i="1"/>
  <c r="S361" i="1"/>
  <c r="G361" i="1"/>
  <c r="W360" i="1"/>
  <c r="I360" i="1"/>
  <c r="AN359" i="1"/>
  <c r="L359" i="1"/>
  <c r="C359" i="1"/>
  <c r="P358" i="1"/>
  <c r="E358" i="1"/>
  <c r="S357" i="1"/>
  <c r="F357" i="1"/>
  <c r="U356" i="1"/>
  <c r="H356" i="1"/>
  <c r="Z355" i="1"/>
  <c r="J355" i="1"/>
  <c r="AU354" i="1"/>
  <c r="O354" i="1"/>
  <c r="D354" i="1"/>
  <c r="Q353" i="1"/>
  <c r="F353" i="1"/>
  <c r="U352" i="1"/>
  <c r="H352" i="1"/>
  <c r="Z351" i="1"/>
  <c r="J351" i="1"/>
  <c r="AU350" i="1"/>
  <c r="O350" i="1"/>
  <c r="D350" i="1"/>
  <c r="R349" i="1"/>
  <c r="G349" i="1"/>
  <c r="W348" i="1"/>
  <c r="I348" i="1"/>
  <c r="AN347" i="1"/>
  <c r="L347" i="1"/>
  <c r="C347" i="1"/>
  <c r="P346" i="1"/>
  <c r="E346" i="1"/>
  <c r="S345" i="1"/>
  <c r="G345" i="1"/>
  <c r="W344" i="1"/>
  <c r="I344" i="1"/>
  <c r="AN343" i="1"/>
  <c r="L343" i="1"/>
  <c r="C343" i="1"/>
  <c r="Q342" i="1"/>
  <c r="D342" i="1"/>
  <c r="Q341" i="1"/>
  <c r="F341" i="1"/>
  <c r="U340" i="1"/>
  <c r="I340" i="1"/>
  <c r="AN339" i="1"/>
  <c r="L339" i="1"/>
  <c r="C339" i="1"/>
  <c r="P338" i="1"/>
  <c r="E338" i="1"/>
  <c r="S337" i="1"/>
  <c r="G337" i="1"/>
  <c r="W336" i="1"/>
  <c r="I336" i="1"/>
  <c r="AN335" i="1"/>
  <c r="L335" i="1"/>
  <c r="C335" i="1"/>
  <c r="P334" i="1"/>
  <c r="E334" i="1"/>
  <c r="S333" i="1"/>
  <c r="F333" i="1"/>
  <c r="U332" i="1"/>
  <c r="H332" i="1"/>
  <c r="Z331" i="1"/>
  <c r="J331" i="1"/>
  <c r="AU330" i="1"/>
  <c r="O330" i="1"/>
  <c r="D330" i="1"/>
  <c r="Q329" i="1"/>
  <c r="F329" i="1"/>
  <c r="U328" i="1"/>
  <c r="H328" i="1"/>
  <c r="Z327" i="1"/>
  <c r="J327" i="1"/>
  <c r="AU326" i="1"/>
  <c r="O326" i="1"/>
  <c r="D326" i="1"/>
  <c r="R325" i="1"/>
  <c r="G325" i="1"/>
  <c r="W324" i="1"/>
  <c r="I324" i="1"/>
  <c r="AN323" i="1"/>
  <c r="L323" i="1"/>
  <c r="C323" i="1"/>
  <c r="P322" i="1"/>
  <c r="E322" i="1"/>
  <c r="S321" i="1"/>
  <c r="G321" i="1"/>
  <c r="W320" i="1"/>
  <c r="I320" i="1"/>
  <c r="AN319" i="1"/>
  <c r="L319" i="1"/>
  <c r="C319" i="1"/>
  <c r="P318" i="1"/>
  <c r="E318" i="1"/>
  <c r="S317" i="1"/>
  <c r="H317" i="1"/>
  <c r="Z316" i="1"/>
  <c r="J316" i="1"/>
  <c r="AU315" i="1"/>
  <c r="O315" i="1"/>
  <c r="D315" i="1"/>
  <c r="Q314" i="1"/>
  <c r="F314" i="1"/>
  <c r="U313" i="1"/>
  <c r="H313" i="1"/>
  <c r="Z312" i="1"/>
  <c r="J312" i="1"/>
  <c r="AU311" i="1"/>
  <c r="O311" i="1"/>
  <c r="D311" i="1"/>
  <c r="Q310" i="1"/>
  <c r="F310" i="1"/>
  <c r="U309" i="1"/>
  <c r="H309" i="1"/>
  <c r="Z308" i="1"/>
  <c r="J308" i="1"/>
  <c r="AU307" i="1"/>
  <c r="L421" i="1"/>
  <c r="H419" i="1"/>
  <c r="O417" i="1"/>
  <c r="AU415" i="1"/>
  <c r="S414" i="1"/>
  <c r="L413" i="1"/>
  <c r="J412" i="1"/>
  <c r="AN410" i="1"/>
  <c r="S409" i="1"/>
  <c r="Q408" i="1"/>
  <c r="I407" i="1"/>
  <c r="E406" i="1"/>
  <c r="D405" i="1"/>
  <c r="W403" i="1"/>
  <c r="P402" i="1"/>
  <c r="O401" i="1"/>
  <c r="G400" i="1"/>
  <c r="C399" i="1"/>
  <c r="U397" i="1"/>
  <c r="N396" i="1"/>
  <c r="H395" i="1"/>
  <c r="G394" i="1"/>
  <c r="AU392" i="1"/>
  <c r="U391" i="1"/>
  <c r="S390" i="1"/>
  <c r="I389" i="1"/>
  <c r="F388" i="1"/>
  <c r="E387" i="1"/>
  <c r="Z385" i="1"/>
  <c r="Q384" i="1"/>
  <c r="P383" i="1"/>
  <c r="H382" i="1"/>
  <c r="C381" i="1"/>
  <c r="AU379" i="1"/>
  <c r="S378" i="1"/>
  <c r="L377" i="1"/>
  <c r="J376" i="1"/>
  <c r="E375" i="1"/>
  <c r="AN373" i="1"/>
  <c r="AN372" i="1"/>
  <c r="D372" i="1"/>
  <c r="L371" i="1"/>
  <c r="AU370" i="1"/>
  <c r="O370" i="1"/>
  <c r="D370" i="1"/>
  <c r="Q369" i="1"/>
  <c r="F369" i="1"/>
  <c r="U368" i="1"/>
  <c r="H368" i="1"/>
  <c r="Z367" i="1"/>
  <c r="J367" i="1"/>
  <c r="AU366" i="1"/>
  <c r="L366" i="1"/>
  <c r="C366" i="1"/>
  <c r="P365" i="1"/>
  <c r="E365" i="1"/>
  <c r="S364" i="1"/>
  <c r="H364" i="1"/>
  <c r="Z363" i="1"/>
  <c r="J363" i="1"/>
  <c r="AU362" i="1"/>
  <c r="O362" i="1"/>
  <c r="D362" i="1"/>
  <c r="Q361" i="1"/>
  <c r="F361" i="1"/>
  <c r="U360" i="1"/>
  <c r="H360" i="1"/>
  <c r="Z359" i="1"/>
  <c r="J359" i="1"/>
  <c r="AU358" i="1"/>
  <c r="O358" i="1"/>
  <c r="D358" i="1"/>
  <c r="R357" i="1"/>
  <c r="E357" i="1"/>
  <c r="S356" i="1"/>
  <c r="G356" i="1"/>
  <c r="W355" i="1"/>
  <c r="I355" i="1"/>
  <c r="AN354" i="1"/>
  <c r="L354" i="1"/>
  <c r="C354" i="1"/>
  <c r="P353" i="1"/>
  <c r="E353" i="1"/>
  <c r="S352" i="1"/>
  <c r="G352" i="1"/>
  <c r="W351" i="1"/>
  <c r="I351" i="1"/>
  <c r="AN350" i="1"/>
  <c r="L350" i="1"/>
  <c r="C350" i="1"/>
  <c r="Q349" i="1"/>
  <c r="F349" i="1"/>
  <c r="U348" i="1"/>
  <c r="H348" i="1"/>
  <c r="Z347" i="1"/>
  <c r="J347" i="1"/>
  <c r="AU346" i="1"/>
  <c r="O346" i="1"/>
  <c r="D346" i="1"/>
  <c r="Q345" i="1"/>
  <c r="F345" i="1"/>
  <c r="U344" i="1"/>
  <c r="H344" i="1"/>
  <c r="Z343" i="1"/>
  <c r="J343" i="1"/>
  <c r="AU342" i="1"/>
  <c r="L342" i="1"/>
  <c r="C342" i="1"/>
  <c r="P341" i="1"/>
  <c r="E341" i="1"/>
  <c r="S340" i="1"/>
  <c r="H340" i="1"/>
  <c r="Z339" i="1"/>
  <c r="J339" i="1"/>
  <c r="AU338" i="1"/>
  <c r="O338" i="1"/>
  <c r="D338" i="1"/>
  <c r="Q337" i="1"/>
  <c r="F337" i="1"/>
  <c r="U336" i="1"/>
  <c r="H336" i="1"/>
  <c r="Z335" i="1"/>
  <c r="J335" i="1"/>
  <c r="AU334" i="1"/>
  <c r="O334" i="1"/>
  <c r="D334" i="1"/>
  <c r="R333" i="1"/>
  <c r="E333" i="1"/>
  <c r="S332" i="1"/>
  <c r="G332" i="1"/>
  <c r="W331" i="1"/>
  <c r="I331" i="1"/>
  <c r="AN330" i="1"/>
  <c r="L330" i="1"/>
  <c r="C330" i="1"/>
  <c r="P329" i="1"/>
  <c r="E329" i="1"/>
  <c r="S328" i="1"/>
  <c r="G328" i="1"/>
  <c r="W327" i="1"/>
  <c r="I327" i="1"/>
  <c r="AN326" i="1"/>
  <c r="L326" i="1"/>
  <c r="C326" i="1"/>
  <c r="Q325" i="1"/>
  <c r="F325" i="1"/>
  <c r="U324" i="1"/>
  <c r="H324" i="1"/>
  <c r="Z323" i="1"/>
  <c r="J323" i="1"/>
  <c r="AU322" i="1"/>
  <c r="O322" i="1"/>
  <c r="D322" i="1"/>
  <c r="Q321" i="1"/>
  <c r="F321" i="1"/>
  <c r="U320" i="1"/>
  <c r="H320" i="1"/>
  <c r="Z319" i="1"/>
  <c r="J319" i="1"/>
  <c r="AU318" i="1"/>
  <c r="O318" i="1"/>
  <c r="D318" i="1"/>
  <c r="R317" i="1"/>
  <c r="G317" i="1"/>
  <c r="W316" i="1"/>
  <c r="I316" i="1"/>
  <c r="AN315" i="1"/>
  <c r="L315" i="1"/>
  <c r="C315" i="1"/>
  <c r="P314" i="1"/>
  <c r="E314" i="1"/>
  <c r="S313" i="1"/>
  <c r="G313" i="1"/>
  <c r="W312" i="1"/>
  <c r="I312" i="1"/>
  <c r="AN311" i="1"/>
  <c r="L311" i="1"/>
  <c r="C311" i="1"/>
  <c r="P310" i="1"/>
  <c r="E310" i="1"/>
  <c r="S309" i="1"/>
  <c r="G309" i="1"/>
  <c r="W308" i="1"/>
  <c r="I308" i="1"/>
  <c r="AN307" i="1"/>
  <c r="L307" i="1"/>
  <c r="C307" i="1"/>
  <c r="P306" i="1"/>
  <c r="E306" i="1"/>
  <c r="S305" i="1"/>
  <c r="G305" i="1"/>
  <c r="W304" i="1"/>
  <c r="I304" i="1"/>
  <c r="AN303" i="1"/>
  <c r="F303" i="1"/>
  <c r="U302" i="1"/>
  <c r="I302" i="1"/>
  <c r="AN301" i="1"/>
  <c r="H301" i="1"/>
  <c r="Z300" i="1"/>
  <c r="G300" i="1"/>
  <c r="U299" i="1"/>
  <c r="E299" i="1"/>
  <c r="Q298" i="1"/>
  <c r="C298" i="1"/>
  <c r="Q297" i="1"/>
  <c r="E297" i="1"/>
  <c r="L296" i="1"/>
  <c r="C296" i="1"/>
  <c r="P295" i="1"/>
  <c r="E295" i="1"/>
  <c r="S294" i="1"/>
  <c r="G294" i="1"/>
  <c r="W293" i="1"/>
  <c r="I293" i="1"/>
  <c r="AN292" i="1"/>
  <c r="L292" i="1"/>
  <c r="C292" i="1"/>
  <c r="P291" i="1"/>
  <c r="E291" i="1"/>
  <c r="S290" i="1"/>
  <c r="F290" i="1"/>
  <c r="S289" i="1"/>
  <c r="D289" i="1"/>
  <c r="Q288" i="1"/>
  <c r="F288" i="1"/>
  <c r="U287" i="1"/>
  <c r="I287" i="1"/>
  <c r="AN286" i="1"/>
  <c r="L286" i="1"/>
  <c r="C286" i="1"/>
  <c r="P285" i="1"/>
  <c r="E285" i="1"/>
  <c r="S284" i="1"/>
  <c r="G284" i="1"/>
  <c r="W283" i="1"/>
  <c r="I283" i="1"/>
  <c r="AN282" i="1"/>
  <c r="L282" i="1"/>
  <c r="C282" i="1"/>
  <c r="P281" i="1"/>
  <c r="E281" i="1"/>
  <c r="S280" i="1"/>
  <c r="F280" i="1"/>
  <c r="U279" i="1"/>
  <c r="H279" i="1"/>
  <c r="Z278" i="1"/>
  <c r="J278" i="1"/>
  <c r="AU277" i="1"/>
  <c r="O277" i="1"/>
  <c r="D277" i="1"/>
  <c r="Q276" i="1"/>
  <c r="F276" i="1"/>
  <c r="U275" i="1"/>
  <c r="H275" i="1"/>
  <c r="F421" i="1"/>
  <c r="C419" i="1"/>
  <c r="G417" i="1"/>
  <c r="S415" i="1"/>
  <c r="Q414" i="1"/>
  <c r="I413" i="1"/>
  <c r="E412" i="1"/>
  <c r="Z410" i="1"/>
  <c r="P409" i="1"/>
  <c r="I408" i="1"/>
  <c r="H407" i="1"/>
  <c r="C406" i="1"/>
  <c r="W404" i="1"/>
  <c r="U403" i="1"/>
  <c r="L402" i="1"/>
  <c r="G401" i="1"/>
  <c r="F400" i="1"/>
  <c r="AN398" i="1"/>
  <c r="O397" i="1"/>
  <c r="L396" i="1"/>
  <c r="F395" i="1"/>
  <c r="AU393" i="1"/>
  <c r="AN392" i="1"/>
  <c r="Q391" i="1"/>
  <c r="I390" i="1"/>
  <c r="H389" i="1"/>
  <c r="D388" i="1"/>
  <c r="Z386" i="1"/>
  <c r="W385" i="1"/>
  <c r="O384" i="1"/>
  <c r="H383" i="1"/>
  <c r="G382" i="1"/>
  <c r="AN380" i="1"/>
  <c r="S379" i="1"/>
  <c r="Q378" i="1"/>
  <c r="I377" i="1"/>
  <c r="E376" i="1"/>
  <c r="D375" i="1"/>
  <c r="W373" i="1"/>
  <c r="W372" i="1"/>
  <c r="C372" i="1"/>
  <c r="J371" i="1"/>
  <c r="AN370" i="1"/>
  <c r="L370" i="1"/>
  <c r="C370" i="1"/>
  <c r="P369" i="1"/>
  <c r="E369" i="1"/>
  <c r="S368" i="1"/>
  <c r="G368" i="1"/>
  <c r="W367" i="1"/>
  <c r="I367" i="1"/>
  <c r="AN366" i="1"/>
  <c r="J366" i="1"/>
  <c r="AU365" i="1"/>
  <c r="O365" i="1"/>
  <c r="D365" i="1"/>
  <c r="R364" i="1"/>
  <c r="G364" i="1"/>
  <c r="W363" i="1"/>
  <c r="I363" i="1"/>
  <c r="AN362" i="1"/>
  <c r="L362" i="1"/>
  <c r="C362" i="1"/>
  <c r="P361" i="1"/>
  <c r="E361" i="1"/>
  <c r="S360" i="1"/>
  <c r="G360" i="1"/>
  <c r="W359" i="1"/>
  <c r="I359" i="1"/>
  <c r="AN358" i="1"/>
  <c r="L358" i="1"/>
  <c r="C358" i="1"/>
  <c r="Q357" i="1"/>
  <c r="D357" i="1"/>
  <c r="Q356" i="1"/>
  <c r="F356" i="1"/>
  <c r="U355" i="1"/>
  <c r="H355" i="1"/>
  <c r="Z354" i="1"/>
  <c r="J354" i="1"/>
  <c r="AU353" i="1"/>
  <c r="O353" i="1"/>
  <c r="D353" i="1"/>
  <c r="Q352" i="1"/>
  <c r="F352" i="1"/>
  <c r="U351" i="1"/>
  <c r="H351" i="1"/>
  <c r="Z350" i="1"/>
  <c r="J350" i="1"/>
  <c r="AU349" i="1"/>
  <c r="P349" i="1"/>
  <c r="E349" i="1"/>
  <c r="S348" i="1"/>
  <c r="G348" i="1"/>
  <c r="W347" i="1"/>
  <c r="I347" i="1"/>
  <c r="AN346" i="1"/>
  <c r="L346" i="1"/>
  <c r="C346" i="1"/>
  <c r="P345" i="1"/>
  <c r="E345" i="1"/>
  <c r="S344" i="1"/>
  <c r="G344" i="1"/>
  <c r="W343" i="1"/>
  <c r="I343" i="1"/>
  <c r="AN342" i="1"/>
  <c r="J342" i="1"/>
  <c r="AU341" i="1"/>
  <c r="O341" i="1"/>
  <c r="D341" i="1"/>
  <c r="R340" i="1"/>
  <c r="G340" i="1"/>
  <c r="W339" i="1"/>
  <c r="I339" i="1"/>
  <c r="AN338" i="1"/>
  <c r="L338" i="1"/>
  <c r="C338" i="1"/>
  <c r="P337" i="1"/>
  <c r="E337" i="1"/>
  <c r="S336" i="1"/>
  <c r="G336" i="1"/>
  <c r="W335" i="1"/>
  <c r="I335" i="1"/>
  <c r="AN334" i="1"/>
  <c r="L334" i="1"/>
  <c r="C334" i="1"/>
  <c r="Q333" i="1"/>
  <c r="D333" i="1"/>
  <c r="Q332" i="1"/>
  <c r="F332" i="1"/>
  <c r="U331" i="1"/>
  <c r="H331" i="1"/>
  <c r="Z330" i="1"/>
  <c r="J330" i="1"/>
  <c r="AU329" i="1"/>
  <c r="O329" i="1"/>
  <c r="D329" i="1"/>
  <c r="Q328" i="1"/>
  <c r="F328" i="1"/>
  <c r="U327" i="1"/>
  <c r="H327" i="1"/>
  <c r="Z326" i="1"/>
  <c r="J326" i="1"/>
  <c r="AU325" i="1"/>
  <c r="P325" i="1"/>
  <c r="E325" i="1"/>
  <c r="S324" i="1"/>
  <c r="G324" i="1"/>
  <c r="W323" i="1"/>
  <c r="I323" i="1"/>
  <c r="AN322" i="1"/>
  <c r="L322" i="1"/>
  <c r="C322" i="1"/>
  <c r="P321" i="1"/>
  <c r="E321" i="1"/>
  <c r="S320" i="1"/>
  <c r="G320" i="1"/>
  <c r="W319" i="1"/>
  <c r="I319" i="1"/>
  <c r="AN318" i="1"/>
  <c r="L318" i="1"/>
  <c r="C318" i="1"/>
  <c r="Q317" i="1"/>
  <c r="F317" i="1"/>
  <c r="U316" i="1"/>
  <c r="H316" i="1"/>
  <c r="Z315" i="1"/>
  <c r="J315" i="1"/>
  <c r="AU314" i="1"/>
  <c r="O314" i="1"/>
  <c r="D314" i="1"/>
  <c r="Q313" i="1"/>
  <c r="F313" i="1"/>
  <c r="U312" i="1"/>
  <c r="H312" i="1"/>
  <c r="Z311" i="1"/>
  <c r="J311" i="1"/>
  <c r="AU310" i="1"/>
  <c r="O310" i="1"/>
  <c r="D310" i="1"/>
  <c r="Q309" i="1"/>
  <c r="F309" i="1"/>
  <c r="U308" i="1"/>
  <c r="H308" i="1"/>
  <c r="Z307" i="1"/>
  <c r="J307" i="1"/>
  <c r="AU306" i="1"/>
  <c r="O306" i="1"/>
  <c r="D306" i="1"/>
  <c r="Q305" i="1"/>
  <c r="F305" i="1"/>
  <c r="U304" i="1"/>
  <c r="H304" i="1"/>
  <c r="Z303" i="1"/>
  <c r="E303" i="1"/>
  <c r="S302" i="1"/>
  <c r="H302" i="1"/>
  <c r="C421" i="1"/>
  <c r="Z418" i="1"/>
  <c r="D417" i="1"/>
  <c r="P415" i="1"/>
  <c r="I414" i="1"/>
  <c r="H413" i="1"/>
  <c r="C412" i="1"/>
  <c r="P410" i="1"/>
  <c r="O409" i="1"/>
  <c r="G408" i="1"/>
  <c r="C407" i="1"/>
  <c r="AU405" i="1"/>
  <c r="S404" i="1"/>
  <c r="L403" i="1"/>
  <c r="J402" i="1"/>
  <c r="E401" i="1"/>
  <c r="AN399" i="1"/>
  <c r="Z398" i="1"/>
  <c r="J397" i="1"/>
  <c r="F396" i="1"/>
  <c r="E395" i="1"/>
  <c r="Z393" i="1"/>
  <c r="Q392" i="1"/>
  <c r="P391" i="1"/>
  <c r="G390" i="1"/>
  <c r="C389" i="1"/>
  <c r="C388" i="1"/>
  <c r="U386" i="1"/>
  <c r="O385" i="1"/>
  <c r="L384" i="1"/>
  <c r="F383" i="1"/>
  <c r="AU381" i="1"/>
  <c r="Z380" i="1"/>
  <c r="P379" i="1"/>
  <c r="I378" i="1"/>
  <c r="H377" i="1"/>
  <c r="C376" i="1"/>
  <c r="W374" i="1"/>
  <c r="U373" i="1"/>
  <c r="R372" i="1"/>
  <c r="AU371" i="1"/>
  <c r="H371" i="1"/>
  <c r="Z370" i="1"/>
  <c r="J370" i="1"/>
  <c r="AU369" i="1"/>
  <c r="O369" i="1"/>
  <c r="D369" i="1"/>
  <c r="Q368" i="1"/>
  <c r="F368" i="1"/>
  <c r="U367" i="1"/>
  <c r="H367" i="1"/>
  <c r="Z366" i="1"/>
  <c r="I366" i="1"/>
  <c r="AN365" i="1"/>
  <c r="L365" i="1"/>
  <c r="C365" i="1"/>
  <c r="Q364" i="1"/>
  <c r="F364" i="1"/>
  <c r="U363" i="1"/>
  <c r="H363" i="1"/>
  <c r="Z362" i="1"/>
  <c r="J362" i="1"/>
  <c r="AU361" i="1"/>
  <c r="O361" i="1"/>
  <c r="D361" i="1"/>
  <c r="Q360" i="1"/>
  <c r="F360" i="1"/>
  <c r="U359" i="1"/>
  <c r="H359" i="1"/>
  <c r="Z358" i="1"/>
  <c r="J358" i="1"/>
  <c r="AU357" i="1"/>
  <c r="L357" i="1"/>
  <c r="C357" i="1"/>
  <c r="P356" i="1"/>
  <c r="E356" i="1"/>
  <c r="S355" i="1"/>
  <c r="G355" i="1"/>
  <c r="W354" i="1"/>
  <c r="I354" i="1"/>
  <c r="AN353" i="1"/>
  <c r="L353" i="1"/>
  <c r="C353" i="1"/>
  <c r="P352" i="1"/>
  <c r="E352" i="1"/>
  <c r="S351" i="1"/>
  <c r="G351" i="1"/>
  <c r="W350" i="1"/>
  <c r="I350" i="1"/>
  <c r="AN349" i="1"/>
  <c r="O349" i="1"/>
  <c r="D349" i="1"/>
  <c r="R348" i="1"/>
  <c r="F348" i="1"/>
  <c r="U347" i="1"/>
  <c r="H347" i="1"/>
  <c r="Z346" i="1"/>
  <c r="J346" i="1"/>
  <c r="AU345" i="1"/>
  <c r="O345" i="1"/>
  <c r="D345" i="1"/>
  <c r="Q344" i="1"/>
  <c r="F344" i="1"/>
  <c r="U343" i="1"/>
  <c r="H343" i="1"/>
  <c r="Z342" i="1"/>
  <c r="I342" i="1"/>
  <c r="AN341" i="1"/>
  <c r="L341" i="1"/>
  <c r="C341" i="1"/>
  <c r="Q340" i="1"/>
  <c r="F340" i="1"/>
  <c r="U339" i="1"/>
  <c r="H339" i="1"/>
  <c r="Z338" i="1"/>
  <c r="J338" i="1"/>
  <c r="AU337" i="1"/>
  <c r="O337" i="1"/>
  <c r="D337" i="1"/>
  <c r="Q336" i="1"/>
  <c r="F336" i="1"/>
  <c r="U335" i="1"/>
  <c r="H335" i="1"/>
  <c r="Z334" i="1"/>
  <c r="J334" i="1"/>
  <c r="AU333" i="1"/>
  <c r="L333" i="1"/>
  <c r="C333" i="1"/>
  <c r="P332" i="1"/>
  <c r="E332" i="1"/>
  <c r="S331" i="1"/>
  <c r="G331" i="1"/>
  <c r="W330" i="1"/>
  <c r="I330" i="1"/>
  <c r="AN329" i="1"/>
  <c r="L329" i="1"/>
  <c r="C329" i="1"/>
  <c r="P328" i="1"/>
  <c r="E328" i="1"/>
  <c r="S327" i="1"/>
  <c r="G327" i="1"/>
  <c r="W326" i="1"/>
  <c r="I326" i="1"/>
  <c r="AN325" i="1"/>
  <c r="O325" i="1"/>
  <c r="D325" i="1"/>
  <c r="R324" i="1"/>
  <c r="F324" i="1"/>
  <c r="U323" i="1"/>
  <c r="H323" i="1"/>
  <c r="Z322" i="1"/>
  <c r="J322" i="1"/>
  <c r="AU321" i="1"/>
  <c r="O321" i="1"/>
  <c r="D321" i="1"/>
  <c r="Q320" i="1"/>
  <c r="F320" i="1"/>
  <c r="U319" i="1"/>
  <c r="H319" i="1"/>
  <c r="Z318" i="1"/>
  <c r="J318" i="1"/>
  <c r="AU317" i="1"/>
  <c r="P317" i="1"/>
  <c r="E317" i="1"/>
  <c r="S316" i="1"/>
  <c r="G316" i="1"/>
  <c r="W315" i="1"/>
  <c r="I315" i="1"/>
  <c r="AN314" i="1"/>
  <c r="L314" i="1"/>
  <c r="C314" i="1"/>
  <c r="P313" i="1"/>
  <c r="E313" i="1"/>
  <c r="S312" i="1"/>
  <c r="G312" i="1"/>
  <c r="W311" i="1"/>
  <c r="I311" i="1"/>
  <c r="AN310" i="1"/>
  <c r="L310" i="1"/>
  <c r="C310" i="1"/>
  <c r="P309" i="1"/>
  <c r="E309" i="1"/>
  <c r="S308" i="1"/>
  <c r="G308" i="1"/>
  <c r="W307" i="1"/>
  <c r="I307" i="1"/>
  <c r="AN306" i="1"/>
  <c r="L306" i="1"/>
  <c r="C306" i="1"/>
  <c r="P305" i="1"/>
  <c r="E305" i="1"/>
  <c r="S304" i="1"/>
  <c r="G304" i="1"/>
  <c r="U303" i="1"/>
  <c r="D303" i="1"/>
  <c r="R302" i="1"/>
  <c r="G302" i="1"/>
  <c r="U301" i="1"/>
  <c r="F301" i="1"/>
  <c r="S300" i="1"/>
  <c r="E300" i="1"/>
  <c r="L299" i="1"/>
  <c r="C299" i="1"/>
  <c r="I298" i="1"/>
  <c r="AN297" i="1"/>
  <c r="L297" i="1"/>
  <c r="C297" i="1"/>
  <c r="I296" i="1"/>
  <c r="AN295" i="1"/>
  <c r="L295" i="1"/>
  <c r="C295" i="1"/>
  <c r="P294" i="1"/>
  <c r="E294" i="1"/>
  <c r="S293" i="1"/>
  <c r="G293" i="1"/>
  <c r="W292" i="1"/>
  <c r="I292" i="1"/>
  <c r="AN291" i="1"/>
  <c r="L291" i="1"/>
  <c r="C291" i="1"/>
  <c r="Q290" i="1"/>
  <c r="D290" i="1"/>
  <c r="J289" i="1"/>
  <c r="AU288" i="1"/>
  <c r="O288" i="1"/>
  <c r="D288" i="1"/>
  <c r="R287" i="1"/>
  <c r="G287" i="1"/>
  <c r="W286" i="1"/>
  <c r="I286" i="1"/>
  <c r="AN285" i="1"/>
  <c r="L285" i="1"/>
  <c r="C285" i="1"/>
  <c r="P284" i="1"/>
  <c r="E284" i="1"/>
  <c r="S283" i="1"/>
  <c r="G283" i="1"/>
  <c r="W282" i="1"/>
  <c r="I282" i="1"/>
  <c r="AN281" i="1"/>
  <c r="L281" i="1"/>
  <c r="C281" i="1"/>
  <c r="Q280" i="1"/>
  <c r="D280" i="1"/>
  <c r="Q279" i="1"/>
  <c r="F279" i="1"/>
  <c r="S420" i="1"/>
  <c r="P418" i="1"/>
  <c r="U416" i="1"/>
  <c r="O415" i="1"/>
  <c r="G414" i="1"/>
  <c r="C413" i="1"/>
  <c r="AU411" i="1"/>
  <c r="L410" i="1"/>
  <c r="G409" i="1"/>
  <c r="F408" i="1"/>
  <c r="AN406" i="1"/>
  <c r="S405" i="1"/>
  <c r="Q404" i="1"/>
  <c r="I403" i="1"/>
  <c r="E402" i="1"/>
  <c r="D401" i="1"/>
  <c r="W399" i="1"/>
  <c r="I398" i="1"/>
  <c r="I397" i="1"/>
  <c r="D396" i="1"/>
  <c r="Z394" i="1"/>
  <c r="W393" i="1"/>
  <c r="O392" i="1"/>
  <c r="H391" i="1"/>
  <c r="F390" i="1"/>
  <c r="AN388" i="1"/>
  <c r="U387" i="1"/>
  <c r="S386" i="1"/>
  <c r="J385" i="1"/>
  <c r="F384" i="1"/>
  <c r="E383" i="1"/>
  <c r="Z381" i="1"/>
  <c r="P380" i="1"/>
  <c r="O379" i="1"/>
  <c r="G378" i="1"/>
  <c r="C377" i="1"/>
  <c r="AU375" i="1"/>
  <c r="S374" i="1"/>
  <c r="O373" i="1"/>
  <c r="N372" i="1"/>
  <c r="AN371" i="1"/>
  <c r="G371" i="1"/>
  <c r="W370" i="1"/>
  <c r="I370" i="1"/>
  <c r="AN369" i="1"/>
  <c r="L369" i="1"/>
  <c r="C369" i="1"/>
  <c r="P368" i="1"/>
  <c r="E368" i="1"/>
  <c r="S367" i="1"/>
  <c r="G367" i="1"/>
  <c r="W366" i="1"/>
  <c r="H366" i="1"/>
  <c r="Z365" i="1"/>
  <c r="J365" i="1"/>
  <c r="AU364" i="1"/>
  <c r="P364" i="1"/>
  <c r="E364" i="1"/>
  <c r="S363" i="1"/>
  <c r="G363" i="1"/>
  <c r="W362" i="1"/>
  <c r="I362" i="1"/>
  <c r="AN361" i="1"/>
  <c r="L361" i="1"/>
  <c r="C361" i="1"/>
  <c r="P360" i="1"/>
  <c r="E360" i="1"/>
  <c r="S359" i="1"/>
  <c r="G359" i="1"/>
  <c r="W358" i="1"/>
  <c r="I358" i="1"/>
  <c r="AN357" i="1"/>
  <c r="J357" i="1"/>
  <c r="AU356" i="1"/>
  <c r="O356" i="1"/>
  <c r="D356" i="1"/>
  <c r="Q355" i="1"/>
  <c r="F355" i="1"/>
  <c r="U354" i="1"/>
  <c r="H354" i="1"/>
  <c r="Z353" i="1"/>
  <c r="J353" i="1"/>
  <c r="AU352" i="1"/>
  <c r="O352" i="1"/>
  <c r="D352" i="1"/>
  <c r="Q351" i="1"/>
  <c r="F351" i="1"/>
  <c r="U350" i="1"/>
  <c r="H350" i="1"/>
  <c r="Z349" i="1"/>
  <c r="L349" i="1"/>
  <c r="C349" i="1"/>
  <c r="Q348" i="1"/>
  <c r="E348" i="1"/>
  <c r="S347" i="1"/>
  <c r="G347" i="1"/>
  <c r="W346" i="1"/>
  <c r="I346" i="1"/>
  <c r="AN345" i="1"/>
  <c r="L345" i="1"/>
  <c r="C345" i="1"/>
  <c r="P344" i="1"/>
  <c r="E344" i="1"/>
  <c r="S343" i="1"/>
  <c r="G343" i="1"/>
  <c r="W342" i="1"/>
  <c r="H342" i="1"/>
  <c r="Z341" i="1"/>
  <c r="J341" i="1"/>
  <c r="AU340" i="1"/>
  <c r="P340" i="1"/>
  <c r="E340" i="1"/>
  <c r="S339" i="1"/>
  <c r="G339" i="1"/>
  <c r="W338" i="1"/>
  <c r="I338" i="1"/>
  <c r="AN337" i="1"/>
  <c r="L337" i="1"/>
  <c r="C337" i="1"/>
  <c r="P336" i="1"/>
  <c r="E336" i="1"/>
  <c r="S335" i="1"/>
  <c r="G335" i="1"/>
  <c r="W334" i="1"/>
  <c r="I334" i="1"/>
  <c r="AN333" i="1"/>
  <c r="J333" i="1"/>
  <c r="AU332" i="1"/>
  <c r="O332" i="1"/>
  <c r="D332" i="1"/>
  <c r="Q331" i="1"/>
  <c r="F331" i="1"/>
  <c r="U330" i="1"/>
  <c r="H330" i="1"/>
  <c r="Z329" i="1"/>
  <c r="J329" i="1"/>
  <c r="AU328" i="1"/>
  <c r="O328" i="1"/>
  <c r="D328" i="1"/>
  <c r="Q327" i="1"/>
  <c r="F327" i="1"/>
  <c r="U326" i="1"/>
  <c r="H326" i="1"/>
  <c r="Z325" i="1"/>
  <c r="L325" i="1"/>
  <c r="C325" i="1"/>
  <c r="Q324" i="1"/>
  <c r="E324" i="1"/>
  <c r="S323" i="1"/>
  <c r="G323" i="1"/>
  <c r="W322" i="1"/>
  <c r="I322" i="1"/>
  <c r="AN321" i="1"/>
  <c r="L321" i="1"/>
  <c r="C321" i="1"/>
  <c r="P320" i="1"/>
  <c r="E320" i="1"/>
  <c r="S319" i="1"/>
  <c r="G319" i="1"/>
  <c r="W318" i="1"/>
  <c r="I318" i="1"/>
  <c r="AN317" i="1"/>
  <c r="O317" i="1"/>
  <c r="D317" i="1"/>
  <c r="R316" i="1"/>
  <c r="F316" i="1"/>
  <c r="U315" i="1"/>
  <c r="H315" i="1"/>
  <c r="Z314" i="1"/>
  <c r="J314" i="1"/>
  <c r="AU313" i="1"/>
  <c r="O313" i="1"/>
  <c r="D313" i="1"/>
  <c r="Q312" i="1"/>
  <c r="F312" i="1"/>
  <c r="U311" i="1"/>
  <c r="H311" i="1"/>
  <c r="I420" i="1"/>
  <c r="J418" i="1"/>
  <c r="L416" i="1"/>
  <c r="G415" i="1"/>
  <c r="F414" i="1"/>
  <c r="AN412" i="1"/>
  <c r="L411" i="1"/>
  <c r="J410" i="1"/>
  <c r="E409" i="1"/>
  <c r="AN407" i="1"/>
  <c r="Z406" i="1"/>
  <c r="P405" i="1"/>
  <c r="I404" i="1"/>
  <c r="H403" i="1"/>
  <c r="C402" i="1"/>
  <c r="W400" i="1"/>
  <c r="U399" i="1"/>
  <c r="G398" i="1"/>
  <c r="D397" i="1"/>
  <c r="C396" i="1"/>
  <c r="U394" i="1"/>
  <c r="O393" i="1"/>
  <c r="L392" i="1"/>
  <c r="F391" i="1"/>
  <c r="AN389" i="1"/>
  <c r="Z388" i="1"/>
  <c r="R387" i="1"/>
  <c r="J386" i="1"/>
  <c r="I385" i="1"/>
  <c r="D384" i="1"/>
  <c r="Z382" i="1"/>
  <c r="W381" i="1"/>
  <c r="L380" i="1"/>
  <c r="G379" i="1"/>
  <c r="F378" i="1"/>
  <c r="AN376" i="1"/>
  <c r="S375" i="1"/>
  <c r="Q374" i="1"/>
  <c r="J373" i="1"/>
  <c r="L372" i="1"/>
  <c r="U371" i="1"/>
  <c r="F371" i="1"/>
  <c r="U370" i="1"/>
  <c r="H370" i="1"/>
  <c r="Z369" i="1"/>
  <c r="J369" i="1"/>
  <c r="AU368" i="1"/>
  <c r="O368" i="1"/>
  <c r="D368" i="1"/>
  <c r="Q367" i="1"/>
  <c r="F367" i="1"/>
  <c r="U366" i="1"/>
  <c r="G366" i="1"/>
  <c r="W365" i="1"/>
  <c r="I365" i="1"/>
  <c r="AN364" i="1"/>
  <c r="O364" i="1"/>
  <c r="D364" i="1"/>
  <c r="R363" i="1"/>
  <c r="F363" i="1"/>
  <c r="U362" i="1"/>
  <c r="H362" i="1"/>
  <c r="Z361" i="1"/>
  <c r="J361" i="1"/>
  <c r="AU360" i="1"/>
  <c r="O360" i="1"/>
  <c r="D360" i="1"/>
  <c r="Q359" i="1"/>
  <c r="F359" i="1"/>
  <c r="U358" i="1"/>
  <c r="H358" i="1"/>
  <c r="Z357" i="1"/>
  <c r="I357" i="1"/>
  <c r="AN356" i="1"/>
  <c r="L356" i="1"/>
  <c r="C356" i="1"/>
  <c r="P355" i="1"/>
  <c r="E355" i="1"/>
  <c r="S354" i="1"/>
  <c r="G354" i="1"/>
  <c r="W353" i="1"/>
  <c r="I353" i="1"/>
  <c r="AN352" i="1"/>
  <c r="L352" i="1"/>
  <c r="C352" i="1"/>
  <c r="P351" i="1"/>
  <c r="E351" i="1"/>
  <c r="S350" i="1"/>
  <c r="G350" i="1"/>
  <c r="W349" i="1"/>
  <c r="J349" i="1"/>
  <c r="AU348" i="1"/>
  <c r="N348" i="1"/>
  <c r="D348" i="1"/>
  <c r="Q347" i="1"/>
  <c r="F347" i="1"/>
  <c r="U346" i="1"/>
  <c r="H346" i="1"/>
  <c r="Z345" i="1"/>
  <c r="J345" i="1"/>
  <c r="AU344" i="1"/>
  <c r="O344" i="1"/>
  <c r="D344" i="1"/>
  <c r="Q343" i="1"/>
  <c r="F343" i="1"/>
  <c r="U342" i="1"/>
  <c r="G342" i="1"/>
  <c r="W341" i="1"/>
  <c r="I341" i="1"/>
  <c r="AN340" i="1"/>
  <c r="O340" i="1"/>
  <c r="D340" i="1"/>
  <c r="R339" i="1"/>
  <c r="F339" i="1"/>
  <c r="U338" i="1"/>
  <c r="H338" i="1"/>
  <c r="Z337" i="1"/>
  <c r="J337" i="1"/>
  <c r="AU336" i="1"/>
  <c r="O336" i="1"/>
  <c r="D336" i="1"/>
  <c r="Q335" i="1"/>
  <c r="F335" i="1"/>
  <c r="U334" i="1"/>
  <c r="H334" i="1"/>
  <c r="Z333" i="1"/>
  <c r="I333" i="1"/>
  <c r="AN332" i="1"/>
  <c r="L332" i="1"/>
  <c r="C332" i="1"/>
  <c r="P331" i="1"/>
  <c r="E331" i="1"/>
  <c r="S330" i="1"/>
  <c r="G330" i="1"/>
  <c r="W329" i="1"/>
  <c r="I329" i="1"/>
  <c r="AN328" i="1"/>
  <c r="L328" i="1"/>
  <c r="C328" i="1"/>
  <c r="P327" i="1"/>
  <c r="E327" i="1"/>
  <c r="S326" i="1"/>
  <c r="G326" i="1"/>
  <c r="W325" i="1"/>
  <c r="J325" i="1"/>
  <c r="AU324" i="1"/>
  <c r="N324" i="1"/>
  <c r="D324" i="1"/>
  <c r="Q323" i="1"/>
  <c r="F323" i="1"/>
  <c r="U322" i="1"/>
  <c r="H322" i="1"/>
  <c r="Z321" i="1"/>
  <c r="J321" i="1"/>
  <c r="AU320" i="1"/>
  <c r="O320" i="1"/>
  <c r="D320" i="1"/>
  <c r="Q319" i="1"/>
  <c r="F319" i="1"/>
  <c r="U318" i="1"/>
  <c r="H318" i="1"/>
  <c r="Z317" i="1"/>
  <c r="L317" i="1"/>
  <c r="C317" i="1"/>
  <c r="Q316" i="1"/>
  <c r="E316" i="1"/>
  <c r="S315" i="1"/>
  <c r="G315" i="1"/>
  <c r="W314" i="1"/>
  <c r="I314" i="1"/>
  <c r="AN313" i="1"/>
  <c r="L313" i="1"/>
  <c r="C313" i="1"/>
  <c r="P312" i="1"/>
  <c r="E312" i="1"/>
  <c r="S311" i="1"/>
  <c r="G311" i="1"/>
  <c r="W310" i="1"/>
  <c r="I310" i="1"/>
  <c r="AN309" i="1"/>
  <c r="L309" i="1"/>
  <c r="C309" i="1"/>
  <c r="P308" i="1"/>
  <c r="E308" i="1"/>
  <c r="S307" i="1"/>
  <c r="G307" i="1"/>
  <c r="W306" i="1"/>
  <c r="I306" i="1"/>
  <c r="AN305" i="1"/>
  <c r="L305" i="1"/>
  <c r="C305" i="1"/>
  <c r="P304" i="1"/>
  <c r="E304" i="1"/>
  <c r="L303" i="1"/>
  <c r="AU302" i="1"/>
  <c r="P302" i="1"/>
  <c r="E302" i="1"/>
  <c r="R301" i="1"/>
  <c r="D301" i="1"/>
  <c r="L300" i="1"/>
  <c r="C300" i="1"/>
  <c r="I299" i="1"/>
  <c r="AN298" i="1"/>
  <c r="G298" i="1"/>
  <c r="W297" i="1"/>
  <c r="I297" i="1"/>
  <c r="AN296" i="1"/>
  <c r="G296" i="1"/>
  <c r="W295" i="1"/>
  <c r="I295" i="1"/>
  <c r="AN294" i="1"/>
  <c r="L294" i="1"/>
  <c r="C294" i="1"/>
  <c r="P293" i="1"/>
  <c r="E293" i="1"/>
  <c r="S292" i="1"/>
  <c r="G292" i="1"/>
  <c r="W291" i="1"/>
  <c r="I291" i="1"/>
  <c r="AN290" i="1"/>
  <c r="J290" i="1"/>
  <c r="AU289" i="1"/>
  <c r="H289" i="1"/>
  <c r="Z288" i="1"/>
  <c r="J288" i="1"/>
  <c r="AU287" i="1"/>
  <c r="P287" i="1"/>
  <c r="E287" i="1"/>
  <c r="S286" i="1"/>
  <c r="G286" i="1"/>
  <c r="W285" i="1"/>
  <c r="I285" i="1"/>
  <c r="AN284" i="1"/>
  <c r="L284" i="1"/>
  <c r="C284" i="1"/>
  <c r="P283" i="1"/>
  <c r="E283" i="1"/>
  <c r="S282" i="1"/>
  <c r="G282" i="1"/>
  <c r="W281" i="1"/>
  <c r="I281" i="1"/>
  <c r="AN280" i="1"/>
  <c r="J280" i="1"/>
  <c r="AU279" i="1"/>
  <c r="Z310" i="1"/>
  <c r="O307" i="1"/>
  <c r="U305" i="1"/>
  <c r="AU303" i="1"/>
  <c r="D302" i="1"/>
  <c r="C301" i="1"/>
  <c r="AU299" i="1"/>
  <c r="Z298" i="1"/>
  <c r="U297" i="1"/>
  <c r="Z296" i="1"/>
  <c r="U295" i="1"/>
  <c r="Z294" i="1"/>
  <c r="AU293" i="1"/>
  <c r="D293" i="1"/>
  <c r="F292" i="1"/>
  <c r="H291" i="1"/>
  <c r="I290" i="1"/>
  <c r="G289" i="1"/>
  <c r="I288" i="1"/>
  <c r="O287" i="1"/>
  <c r="R286" i="1"/>
  <c r="U285" i="1"/>
  <c r="Z284" i="1"/>
  <c r="AU283" i="1"/>
  <c r="D283" i="1"/>
  <c r="F282" i="1"/>
  <c r="H281" i="1"/>
  <c r="I280" i="1"/>
  <c r="O279" i="1"/>
  <c r="W278" i="1"/>
  <c r="G278" i="1"/>
  <c r="S277" i="1"/>
  <c r="C277" i="1"/>
  <c r="L276" i="1"/>
  <c r="AN275" i="1"/>
  <c r="G275" i="1"/>
  <c r="W274" i="1"/>
  <c r="I274" i="1"/>
  <c r="AN273" i="1"/>
  <c r="L273" i="1"/>
  <c r="C273" i="1"/>
  <c r="Q272" i="1"/>
  <c r="F272" i="1"/>
  <c r="U271" i="1"/>
  <c r="H271" i="1"/>
  <c r="Z270" i="1"/>
  <c r="J270" i="1"/>
  <c r="AU269" i="1"/>
  <c r="O269" i="1"/>
  <c r="D269" i="1"/>
  <c r="Q268" i="1"/>
  <c r="F268" i="1"/>
  <c r="U267" i="1"/>
  <c r="H267" i="1"/>
  <c r="Z266" i="1"/>
  <c r="J266" i="1"/>
  <c r="AU265" i="1"/>
  <c r="L265" i="1"/>
  <c r="C265" i="1"/>
  <c r="P264" i="1"/>
  <c r="E264" i="1"/>
  <c r="S263" i="1"/>
  <c r="H263" i="1"/>
  <c r="Z262" i="1"/>
  <c r="J262" i="1"/>
  <c r="AU261" i="1"/>
  <c r="O261" i="1"/>
  <c r="D261" i="1"/>
  <c r="Q260" i="1"/>
  <c r="F260" i="1"/>
  <c r="U259" i="1"/>
  <c r="H259" i="1"/>
  <c r="Z258" i="1"/>
  <c r="J258" i="1"/>
  <c r="AU257" i="1"/>
  <c r="O257" i="1"/>
  <c r="D257" i="1"/>
  <c r="R256" i="1"/>
  <c r="E256" i="1"/>
  <c r="S255" i="1"/>
  <c r="G255" i="1"/>
  <c r="W254" i="1"/>
  <c r="I254" i="1"/>
  <c r="AN253" i="1"/>
  <c r="L253" i="1"/>
  <c r="C253" i="1"/>
  <c r="P252" i="1"/>
  <c r="E252" i="1"/>
  <c r="S251" i="1"/>
  <c r="G251" i="1"/>
  <c r="W250" i="1"/>
  <c r="I250" i="1"/>
  <c r="AN249" i="1"/>
  <c r="L249" i="1"/>
  <c r="C249" i="1"/>
  <c r="Q248" i="1"/>
  <c r="F248" i="1"/>
  <c r="S247" i="1"/>
  <c r="D247" i="1"/>
  <c r="J246" i="1"/>
  <c r="AU245" i="1"/>
  <c r="H245" i="1"/>
  <c r="Z244" i="1"/>
  <c r="G244" i="1"/>
  <c r="W243" i="1"/>
  <c r="I243" i="1"/>
  <c r="AN242" i="1"/>
  <c r="L242" i="1"/>
  <c r="C242" i="1"/>
  <c r="Q241" i="1"/>
  <c r="F241" i="1"/>
  <c r="S240" i="1"/>
  <c r="D240" i="1"/>
  <c r="Q239" i="1"/>
  <c r="F239" i="1"/>
  <c r="U238" i="1"/>
  <c r="H238" i="1"/>
  <c r="Z237" i="1"/>
  <c r="J237" i="1"/>
  <c r="AU236" i="1"/>
  <c r="L236" i="1"/>
  <c r="C236" i="1"/>
  <c r="P235" i="1"/>
  <c r="E235" i="1"/>
  <c r="L234" i="1"/>
  <c r="C234" i="1"/>
  <c r="Q233" i="1"/>
  <c r="F233" i="1"/>
  <c r="U232" i="1"/>
  <c r="H232" i="1"/>
  <c r="Z231" i="1"/>
  <c r="J231" i="1"/>
  <c r="AU230" i="1"/>
  <c r="P230" i="1"/>
  <c r="E230" i="1"/>
  <c r="S229" i="1"/>
  <c r="G229" i="1"/>
  <c r="W228" i="1"/>
  <c r="I228" i="1"/>
  <c r="AN227" i="1"/>
  <c r="L227" i="1"/>
  <c r="C227" i="1"/>
  <c r="Q226" i="1"/>
  <c r="D226" i="1"/>
  <c r="Q225" i="1"/>
  <c r="F225" i="1"/>
  <c r="U224" i="1"/>
  <c r="H224" i="1"/>
  <c r="Z223" i="1"/>
  <c r="J223" i="1"/>
  <c r="AU222" i="1"/>
  <c r="O222" i="1"/>
  <c r="D222" i="1"/>
  <c r="Q221" i="1"/>
  <c r="F221" i="1"/>
  <c r="U220" i="1"/>
  <c r="H220" i="1"/>
  <c r="Z219" i="1"/>
  <c r="J219" i="1"/>
  <c r="AU218" i="1"/>
  <c r="H218" i="1"/>
  <c r="Z217" i="1"/>
  <c r="J217" i="1"/>
  <c r="AU216" i="1"/>
  <c r="O216" i="1"/>
  <c r="D216" i="1"/>
  <c r="Q215" i="1"/>
  <c r="F215" i="1"/>
  <c r="U214" i="1"/>
  <c r="H214" i="1"/>
  <c r="Z213" i="1"/>
  <c r="J213" i="1"/>
  <c r="AU212" i="1"/>
  <c r="O212" i="1"/>
  <c r="D212" i="1"/>
  <c r="Q211" i="1"/>
  <c r="F211" i="1"/>
  <c r="U210" i="1"/>
  <c r="H210" i="1"/>
  <c r="Z209" i="1"/>
  <c r="L209" i="1"/>
  <c r="C209" i="1"/>
  <c r="Q208" i="1"/>
  <c r="E208" i="1"/>
  <c r="S207" i="1"/>
  <c r="G207" i="1"/>
  <c r="W206" i="1"/>
  <c r="I206" i="1"/>
  <c r="AN205" i="1"/>
  <c r="L205" i="1"/>
  <c r="C205" i="1"/>
  <c r="P204" i="1"/>
  <c r="E204" i="1"/>
  <c r="S203" i="1"/>
  <c r="G203" i="1"/>
  <c r="W202" i="1"/>
  <c r="H202" i="1"/>
  <c r="Z201" i="1"/>
  <c r="J201" i="1"/>
  <c r="AU200" i="1"/>
  <c r="P200" i="1"/>
  <c r="E200" i="1"/>
  <c r="S199" i="1"/>
  <c r="G199" i="1"/>
  <c r="W198" i="1"/>
  <c r="I198" i="1"/>
  <c r="AN197" i="1"/>
  <c r="L197" i="1"/>
  <c r="C197" i="1"/>
  <c r="P196" i="1"/>
  <c r="E196" i="1"/>
  <c r="S195" i="1"/>
  <c r="G195" i="1"/>
  <c r="W194" i="1"/>
  <c r="I194" i="1"/>
  <c r="AN193" i="1"/>
  <c r="J193" i="1"/>
  <c r="AU192" i="1"/>
  <c r="O192" i="1"/>
  <c r="D192" i="1"/>
  <c r="Q191" i="1"/>
  <c r="F191" i="1"/>
  <c r="U190" i="1"/>
  <c r="H190" i="1"/>
  <c r="Z189" i="1"/>
  <c r="J189" i="1"/>
  <c r="AU188" i="1"/>
  <c r="O188" i="1"/>
  <c r="D188" i="1"/>
  <c r="Q187" i="1"/>
  <c r="F187" i="1"/>
  <c r="U186" i="1"/>
  <c r="H186" i="1"/>
  <c r="Z185" i="1"/>
  <c r="F185" i="1"/>
  <c r="S184" i="1"/>
  <c r="D184" i="1"/>
  <c r="J183" i="1"/>
  <c r="AU182" i="1"/>
  <c r="I182" i="1"/>
  <c r="AN181" i="1"/>
  <c r="L181" i="1"/>
  <c r="C181" i="1"/>
  <c r="I180" i="1"/>
  <c r="AN179" i="1"/>
  <c r="G179" i="1"/>
  <c r="W178" i="1"/>
  <c r="I178" i="1"/>
  <c r="AN177" i="1"/>
  <c r="G177" i="1"/>
  <c r="U176" i="1"/>
  <c r="E176" i="1"/>
  <c r="L175" i="1"/>
  <c r="C175" i="1"/>
  <c r="I174" i="1"/>
  <c r="J310" i="1"/>
  <c r="H307" i="1"/>
  <c r="O305" i="1"/>
  <c r="S303" i="1"/>
  <c r="AU301" i="1"/>
  <c r="AN300" i="1"/>
  <c r="Z299" i="1"/>
  <c r="S298" i="1"/>
  <c r="R297" i="1"/>
  <c r="S296" i="1"/>
  <c r="Q295" i="1"/>
  <c r="U294" i="1"/>
  <c r="Z293" i="1"/>
  <c r="AU292" i="1"/>
  <c r="D292" i="1"/>
  <c r="F291" i="1"/>
  <c r="G290" i="1"/>
  <c r="E289" i="1"/>
  <c r="G288" i="1"/>
  <c r="J287" i="1"/>
  <c r="N286" i="1"/>
  <c r="Q285" i="1"/>
  <c r="U284" i="1"/>
  <c r="Z283" i="1"/>
  <c r="AU282" i="1"/>
  <c r="D282" i="1"/>
  <c r="F281" i="1"/>
  <c r="G280" i="1"/>
  <c r="L279" i="1"/>
  <c r="U278" i="1"/>
  <c r="F278" i="1"/>
  <c r="P277" i="1"/>
  <c r="AU276" i="1"/>
  <c r="J276" i="1"/>
  <c r="W275" i="1"/>
  <c r="F275" i="1"/>
  <c r="U274" i="1"/>
  <c r="H274" i="1"/>
  <c r="Z273" i="1"/>
  <c r="J273" i="1"/>
  <c r="AU272" i="1"/>
  <c r="P272" i="1"/>
  <c r="E272" i="1"/>
  <c r="S271" i="1"/>
  <c r="G271" i="1"/>
  <c r="W270" i="1"/>
  <c r="I270" i="1"/>
  <c r="AN269" i="1"/>
  <c r="L269" i="1"/>
  <c r="C269" i="1"/>
  <c r="P268" i="1"/>
  <c r="E268" i="1"/>
  <c r="S267" i="1"/>
  <c r="G267" i="1"/>
  <c r="W266" i="1"/>
  <c r="I266" i="1"/>
  <c r="AN265" i="1"/>
  <c r="J265" i="1"/>
  <c r="AU264" i="1"/>
  <c r="O264" i="1"/>
  <c r="D264" i="1"/>
  <c r="R263" i="1"/>
  <c r="G263" i="1"/>
  <c r="W262" i="1"/>
  <c r="I262" i="1"/>
  <c r="AN261" i="1"/>
  <c r="L261" i="1"/>
  <c r="C261" i="1"/>
  <c r="P260" i="1"/>
  <c r="E260" i="1"/>
  <c r="S259" i="1"/>
  <c r="G259" i="1"/>
  <c r="W258" i="1"/>
  <c r="I258" i="1"/>
  <c r="AN257" i="1"/>
  <c r="L257" i="1"/>
  <c r="C257" i="1"/>
  <c r="Q256" i="1"/>
  <c r="D256" i="1"/>
  <c r="Q255" i="1"/>
  <c r="F255" i="1"/>
  <c r="U254" i="1"/>
  <c r="H254" i="1"/>
  <c r="Z253" i="1"/>
  <c r="J253" i="1"/>
  <c r="AU252" i="1"/>
  <c r="O252" i="1"/>
  <c r="D252" i="1"/>
  <c r="Q251" i="1"/>
  <c r="F251" i="1"/>
  <c r="U250" i="1"/>
  <c r="H250" i="1"/>
  <c r="Z249" i="1"/>
  <c r="J249" i="1"/>
  <c r="AU248" i="1"/>
  <c r="P248" i="1"/>
  <c r="E248" i="1"/>
  <c r="L247" i="1"/>
  <c r="C247" i="1"/>
  <c r="I246" i="1"/>
  <c r="AN245" i="1"/>
  <c r="G245" i="1"/>
  <c r="W244" i="1"/>
  <c r="F244" i="1"/>
  <c r="U243" i="1"/>
  <c r="H243" i="1"/>
  <c r="Z242" i="1"/>
  <c r="J242" i="1"/>
  <c r="AU241" i="1"/>
  <c r="P241" i="1"/>
  <c r="E241" i="1"/>
  <c r="L240" i="1"/>
  <c r="C240" i="1"/>
  <c r="P239" i="1"/>
  <c r="E239" i="1"/>
  <c r="S238" i="1"/>
  <c r="G238" i="1"/>
  <c r="W237" i="1"/>
  <c r="I237" i="1"/>
  <c r="AN236" i="1"/>
  <c r="J236" i="1"/>
  <c r="AU235" i="1"/>
  <c r="O235" i="1"/>
  <c r="D235" i="1"/>
  <c r="J234" i="1"/>
  <c r="AU233" i="1"/>
  <c r="P233" i="1"/>
  <c r="E233" i="1"/>
  <c r="S232" i="1"/>
  <c r="G232" i="1"/>
  <c r="W231" i="1"/>
  <c r="I231" i="1"/>
  <c r="AN230" i="1"/>
  <c r="O230" i="1"/>
  <c r="D230" i="1"/>
  <c r="Q229" i="1"/>
  <c r="F229" i="1"/>
  <c r="U228" i="1"/>
  <c r="H228" i="1"/>
  <c r="Z227" i="1"/>
  <c r="J227" i="1"/>
  <c r="AU226" i="1"/>
  <c r="L226" i="1"/>
  <c r="C226" i="1"/>
  <c r="P225" i="1"/>
  <c r="E225" i="1"/>
  <c r="S224" i="1"/>
  <c r="G224" i="1"/>
  <c r="W223" i="1"/>
  <c r="I223" i="1"/>
  <c r="AN222" i="1"/>
  <c r="L222" i="1"/>
  <c r="C222" i="1"/>
  <c r="P221" i="1"/>
  <c r="E221" i="1"/>
  <c r="S220" i="1"/>
  <c r="G220" i="1"/>
  <c r="W219" i="1"/>
  <c r="I219" i="1"/>
  <c r="AN218" i="1"/>
  <c r="G218" i="1"/>
  <c r="W217" i="1"/>
  <c r="I217" i="1"/>
  <c r="AU309" i="1"/>
  <c r="D307" i="1"/>
  <c r="H305" i="1"/>
  <c r="G303" i="1"/>
  <c r="Z301" i="1"/>
  <c r="U300" i="1"/>
  <c r="S299" i="1"/>
  <c r="L298" i="1"/>
  <c r="N297" i="1"/>
  <c r="J296" i="1"/>
  <c r="O295" i="1"/>
  <c r="Q294" i="1"/>
  <c r="U293" i="1"/>
  <c r="Z292" i="1"/>
  <c r="AU291" i="1"/>
  <c r="D291" i="1"/>
  <c r="E290" i="1"/>
  <c r="C289" i="1"/>
  <c r="E288" i="1"/>
  <c r="H287" i="1"/>
  <c r="J286" i="1"/>
  <c r="O285" i="1"/>
  <c r="Q284" i="1"/>
  <c r="U283" i="1"/>
  <c r="Z282" i="1"/>
  <c r="AU281" i="1"/>
  <c r="D281" i="1"/>
  <c r="E280" i="1"/>
  <c r="I279" i="1"/>
  <c r="S278" i="1"/>
  <c r="E278" i="1"/>
  <c r="L277" i="1"/>
  <c r="AN276" i="1"/>
  <c r="I276" i="1"/>
  <c r="S275" i="1"/>
  <c r="E275" i="1"/>
  <c r="S274" i="1"/>
  <c r="G274" i="1"/>
  <c r="W273" i="1"/>
  <c r="I273" i="1"/>
  <c r="AN272" i="1"/>
  <c r="O272" i="1"/>
  <c r="D272" i="1"/>
  <c r="R271" i="1"/>
  <c r="F271" i="1"/>
  <c r="U270" i="1"/>
  <c r="H270" i="1"/>
  <c r="Z269" i="1"/>
  <c r="J269" i="1"/>
  <c r="AU268" i="1"/>
  <c r="O268" i="1"/>
  <c r="D268" i="1"/>
  <c r="Q267" i="1"/>
  <c r="F267" i="1"/>
  <c r="U266" i="1"/>
  <c r="H266" i="1"/>
  <c r="Z265" i="1"/>
  <c r="I265" i="1"/>
  <c r="AN264" i="1"/>
  <c r="L264" i="1"/>
  <c r="C264" i="1"/>
  <c r="Q263" i="1"/>
  <c r="F263" i="1"/>
  <c r="U262" i="1"/>
  <c r="H262" i="1"/>
  <c r="Z261" i="1"/>
  <c r="J261" i="1"/>
  <c r="AU260" i="1"/>
  <c r="O260" i="1"/>
  <c r="D260" i="1"/>
  <c r="Q259" i="1"/>
  <c r="F259" i="1"/>
  <c r="U258" i="1"/>
  <c r="H258" i="1"/>
  <c r="Z257" i="1"/>
  <c r="J257" i="1"/>
  <c r="AU256" i="1"/>
  <c r="L256" i="1"/>
  <c r="C256" i="1"/>
  <c r="P255" i="1"/>
  <c r="E255" i="1"/>
  <c r="S254" i="1"/>
  <c r="G254" i="1"/>
  <c r="W253" i="1"/>
  <c r="I253" i="1"/>
  <c r="AN252" i="1"/>
  <c r="L252" i="1"/>
  <c r="C252" i="1"/>
  <c r="P251" i="1"/>
  <c r="E251" i="1"/>
  <c r="S250" i="1"/>
  <c r="G250" i="1"/>
  <c r="W249" i="1"/>
  <c r="I249" i="1"/>
  <c r="AN248" i="1"/>
  <c r="O248" i="1"/>
  <c r="D248" i="1"/>
  <c r="J247" i="1"/>
  <c r="AU246" i="1"/>
  <c r="H246" i="1"/>
  <c r="Z245" i="1"/>
  <c r="F245" i="1"/>
  <c r="U244" i="1"/>
  <c r="E244" i="1"/>
  <c r="S243" i="1"/>
  <c r="G243" i="1"/>
  <c r="W242" i="1"/>
  <c r="I242" i="1"/>
  <c r="AN241" i="1"/>
  <c r="O241" i="1"/>
  <c r="D241" i="1"/>
  <c r="J240" i="1"/>
  <c r="AU239" i="1"/>
  <c r="O239" i="1"/>
  <c r="D239" i="1"/>
  <c r="Q238" i="1"/>
  <c r="F238" i="1"/>
  <c r="U237" i="1"/>
  <c r="H237" i="1"/>
  <c r="Z236" i="1"/>
  <c r="I236" i="1"/>
  <c r="AN235" i="1"/>
  <c r="L235" i="1"/>
  <c r="C235" i="1"/>
  <c r="I234" i="1"/>
  <c r="AN233" i="1"/>
  <c r="O233" i="1"/>
  <c r="D233" i="1"/>
  <c r="Q232" i="1"/>
  <c r="F232" i="1"/>
  <c r="U231" i="1"/>
  <c r="H231" i="1"/>
  <c r="Z230" i="1"/>
  <c r="L230" i="1"/>
  <c r="C230" i="1"/>
  <c r="P229" i="1"/>
  <c r="E229" i="1"/>
  <c r="S228" i="1"/>
  <c r="G228" i="1"/>
  <c r="W227" i="1"/>
  <c r="I227" i="1"/>
  <c r="AN226" i="1"/>
  <c r="J226" i="1"/>
  <c r="AU225" i="1"/>
  <c r="O225" i="1"/>
  <c r="D225" i="1"/>
  <c r="Q224" i="1"/>
  <c r="F224" i="1"/>
  <c r="U223" i="1"/>
  <c r="H223" i="1"/>
  <c r="Z222" i="1"/>
  <c r="J222" i="1"/>
  <c r="AU221" i="1"/>
  <c r="O221" i="1"/>
  <c r="D221" i="1"/>
  <c r="Q220" i="1"/>
  <c r="F220" i="1"/>
  <c r="U219" i="1"/>
  <c r="H219" i="1"/>
  <c r="Z218" i="1"/>
  <c r="F218" i="1"/>
  <c r="U217" i="1"/>
  <c r="H217" i="1"/>
  <c r="Z216" i="1"/>
  <c r="J216" i="1"/>
  <c r="AU215" i="1"/>
  <c r="O215" i="1"/>
  <c r="D215" i="1"/>
  <c r="Q214" i="1"/>
  <c r="F214" i="1"/>
  <c r="U213" i="1"/>
  <c r="H213" i="1"/>
  <c r="Z212" i="1"/>
  <c r="J212" i="1"/>
  <c r="AU211" i="1"/>
  <c r="O211" i="1"/>
  <c r="D211" i="1"/>
  <c r="Q210" i="1"/>
  <c r="F210" i="1"/>
  <c r="U209" i="1"/>
  <c r="I209" i="1"/>
  <c r="AN208" i="1"/>
  <c r="L208" i="1"/>
  <c r="C208" i="1"/>
  <c r="P207" i="1"/>
  <c r="E207" i="1"/>
  <c r="S206" i="1"/>
  <c r="G206" i="1"/>
  <c r="W205" i="1"/>
  <c r="I205" i="1"/>
  <c r="AN204" i="1"/>
  <c r="L204" i="1"/>
  <c r="C204" i="1"/>
  <c r="P203" i="1"/>
  <c r="E203" i="1"/>
  <c r="S202" i="1"/>
  <c r="F202" i="1"/>
  <c r="U201" i="1"/>
  <c r="H201" i="1"/>
  <c r="Z200" i="1"/>
  <c r="L200" i="1"/>
  <c r="C200" i="1"/>
  <c r="Q199" i="1"/>
  <c r="E199" i="1"/>
  <c r="S198" i="1"/>
  <c r="G198" i="1"/>
  <c r="W197" i="1"/>
  <c r="I197" i="1"/>
  <c r="AN196" i="1"/>
  <c r="L196" i="1"/>
  <c r="C196" i="1"/>
  <c r="P195" i="1"/>
  <c r="E195" i="1"/>
  <c r="S194" i="1"/>
  <c r="G194" i="1"/>
  <c r="W193" i="1"/>
  <c r="H193" i="1"/>
  <c r="Z192" i="1"/>
  <c r="J192" i="1"/>
  <c r="AU191" i="1"/>
  <c r="O191" i="1"/>
  <c r="D191" i="1"/>
  <c r="Q190" i="1"/>
  <c r="F190" i="1"/>
  <c r="U189" i="1"/>
  <c r="H189" i="1"/>
  <c r="Z188" i="1"/>
  <c r="J188" i="1"/>
  <c r="AU187" i="1"/>
  <c r="O187" i="1"/>
  <c r="D187" i="1"/>
  <c r="Q186" i="1"/>
  <c r="F186" i="1"/>
  <c r="S185" i="1"/>
  <c r="D185" i="1"/>
  <c r="J184" i="1"/>
  <c r="AU183" i="1"/>
  <c r="H183" i="1"/>
  <c r="O309" i="1"/>
  <c r="Z306" i="1"/>
  <c r="D305" i="1"/>
  <c r="C303" i="1"/>
  <c r="S301" i="1"/>
  <c r="R300" i="1"/>
  <c r="J299" i="1"/>
  <c r="H298" i="1"/>
  <c r="J297" i="1"/>
  <c r="H296" i="1"/>
  <c r="J295" i="1"/>
  <c r="O294" i="1"/>
  <c r="Q293" i="1"/>
  <c r="U292" i="1"/>
  <c r="Z291" i="1"/>
  <c r="AU290" i="1"/>
  <c r="C290" i="1"/>
  <c r="AN288" i="1"/>
  <c r="C288" i="1"/>
  <c r="F287" i="1"/>
  <c r="H286" i="1"/>
  <c r="J285" i="1"/>
  <c r="O284" i="1"/>
  <c r="Q283" i="1"/>
  <c r="U282" i="1"/>
  <c r="Z281" i="1"/>
  <c r="AU280" i="1"/>
  <c r="C280" i="1"/>
  <c r="G279" i="1"/>
  <c r="Q278" i="1"/>
  <c r="C278" i="1"/>
  <c r="J277" i="1"/>
  <c r="Z276" i="1"/>
  <c r="G276" i="1"/>
  <c r="Q275" i="1"/>
  <c r="D275" i="1"/>
  <c r="Q274" i="1"/>
  <c r="F274" i="1"/>
  <c r="U273" i="1"/>
  <c r="H273" i="1"/>
  <c r="Z272" i="1"/>
  <c r="L272" i="1"/>
  <c r="C272" i="1"/>
  <c r="Q271" i="1"/>
  <c r="E271" i="1"/>
  <c r="S270" i="1"/>
  <c r="G270" i="1"/>
  <c r="W269" i="1"/>
  <c r="I269" i="1"/>
  <c r="AN268" i="1"/>
  <c r="L268" i="1"/>
  <c r="C268" i="1"/>
  <c r="P267" i="1"/>
  <c r="E267" i="1"/>
  <c r="S266" i="1"/>
  <c r="G266" i="1"/>
  <c r="W265" i="1"/>
  <c r="H265" i="1"/>
  <c r="Z264" i="1"/>
  <c r="J264" i="1"/>
  <c r="AU263" i="1"/>
  <c r="P263" i="1"/>
  <c r="E263" i="1"/>
  <c r="S262" i="1"/>
  <c r="G262" i="1"/>
  <c r="W261" i="1"/>
  <c r="I261" i="1"/>
  <c r="AN260" i="1"/>
  <c r="L260" i="1"/>
  <c r="C260" i="1"/>
  <c r="P259" i="1"/>
  <c r="E259" i="1"/>
  <c r="S258" i="1"/>
  <c r="G258" i="1"/>
  <c r="W257" i="1"/>
  <c r="I257" i="1"/>
  <c r="AN256" i="1"/>
  <c r="J256" i="1"/>
  <c r="AU255" i="1"/>
  <c r="O255" i="1"/>
  <c r="D255" i="1"/>
  <c r="Q254" i="1"/>
  <c r="F254" i="1"/>
  <c r="U253" i="1"/>
  <c r="H253" i="1"/>
  <c r="Z252" i="1"/>
  <c r="J252" i="1"/>
  <c r="AU251" i="1"/>
  <c r="O251" i="1"/>
  <c r="D251" i="1"/>
  <c r="Q250" i="1"/>
  <c r="F250" i="1"/>
  <c r="U249" i="1"/>
  <c r="H249" i="1"/>
  <c r="Z248" i="1"/>
  <c r="L248" i="1"/>
  <c r="C248" i="1"/>
  <c r="I247" i="1"/>
  <c r="AN246" i="1"/>
  <c r="G246" i="1"/>
  <c r="U245" i="1"/>
  <c r="E245" i="1"/>
  <c r="S244" i="1"/>
  <c r="D244" i="1"/>
  <c r="Q243" i="1"/>
  <c r="F243" i="1"/>
  <c r="U242" i="1"/>
  <c r="H242" i="1"/>
  <c r="Z241" i="1"/>
  <c r="L241" i="1"/>
  <c r="C241" i="1"/>
  <c r="I240" i="1"/>
  <c r="AN239" i="1"/>
  <c r="L239" i="1"/>
  <c r="C239" i="1"/>
  <c r="P238" i="1"/>
  <c r="E238" i="1"/>
  <c r="S237" i="1"/>
  <c r="G237" i="1"/>
  <c r="W236" i="1"/>
  <c r="H236" i="1"/>
  <c r="Z235" i="1"/>
  <c r="J235" i="1"/>
  <c r="AU234" i="1"/>
  <c r="H234" i="1"/>
  <c r="Z233" i="1"/>
  <c r="L233" i="1"/>
  <c r="C233" i="1"/>
  <c r="P232" i="1"/>
  <c r="E232" i="1"/>
  <c r="S231" i="1"/>
  <c r="G231" i="1"/>
  <c r="W230" i="1"/>
  <c r="J230" i="1"/>
  <c r="AU229" i="1"/>
  <c r="O229" i="1"/>
  <c r="D229" i="1"/>
  <c r="Q228" i="1"/>
  <c r="F228" i="1"/>
  <c r="U227" i="1"/>
  <c r="H227" i="1"/>
  <c r="Z226" i="1"/>
  <c r="I226" i="1"/>
  <c r="AN225" i="1"/>
  <c r="L225" i="1"/>
  <c r="C225" i="1"/>
  <c r="P224" i="1"/>
  <c r="E224" i="1"/>
  <c r="S223" i="1"/>
  <c r="G223" i="1"/>
  <c r="W222" i="1"/>
  <c r="I222" i="1"/>
  <c r="AN221" i="1"/>
  <c r="L221" i="1"/>
  <c r="C221" i="1"/>
  <c r="P220" i="1"/>
  <c r="E220" i="1"/>
  <c r="S219" i="1"/>
  <c r="G219" i="1"/>
  <c r="U218" i="1"/>
  <c r="E218" i="1"/>
  <c r="S217" i="1"/>
  <c r="G217" i="1"/>
  <c r="W216" i="1"/>
  <c r="I216" i="1"/>
  <c r="AN215" i="1"/>
  <c r="L215" i="1"/>
  <c r="C215" i="1"/>
  <c r="P214" i="1"/>
  <c r="E214" i="1"/>
  <c r="S213" i="1"/>
  <c r="G213" i="1"/>
  <c r="W212" i="1"/>
  <c r="I212" i="1"/>
  <c r="AN211" i="1"/>
  <c r="L211" i="1"/>
  <c r="C211" i="1"/>
  <c r="P210" i="1"/>
  <c r="E210" i="1"/>
  <c r="S209" i="1"/>
  <c r="H209" i="1"/>
  <c r="Z208" i="1"/>
  <c r="J208" i="1"/>
  <c r="AU207" i="1"/>
  <c r="O207" i="1"/>
  <c r="D207" i="1"/>
  <c r="Q206" i="1"/>
  <c r="F206" i="1"/>
  <c r="U205" i="1"/>
  <c r="H205" i="1"/>
  <c r="Z204" i="1"/>
  <c r="J204" i="1"/>
  <c r="AU203" i="1"/>
  <c r="O203" i="1"/>
  <c r="D203" i="1"/>
  <c r="R202" i="1"/>
  <c r="E202" i="1"/>
  <c r="S201" i="1"/>
  <c r="G201" i="1"/>
  <c r="W200" i="1"/>
  <c r="J200" i="1"/>
  <c r="AU199" i="1"/>
  <c r="N199" i="1"/>
  <c r="D199" i="1"/>
  <c r="Q198" i="1"/>
  <c r="F198" i="1"/>
  <c r="U197" i="1"/>
  <c r="H197" i="1"/>
  <c r="Z196" i="1"/>
  <c r="J196" i="1"/>
  <c r="AU195" i="1"/>
  <c r="O195" i="1"/>
  <c r="D195" i="1"/>
  <c r="Q194" i="1"/>
  <c r="F194" i="1"/>
  <c r="U193" i="1"/>
  <c r="G193" i="1"/>
  <c r="W192" i="1"/>
  <c r="I192" i="1"/>
  <c r="AN191" i="1"/>
  <c r="L191" i="1"/>
  <c r="C191" i="1"/>
  <c r="P190" i="1"/>
  <c r="E190" i="1"/>
  <c r="S189" i="1"/>
  <c r="G189" i="1"/>
  <c r="W188" i="1"/>
  <c r="I188" i="1"/>
  <c r="AN187" i="1"/>
  <c r="L187" i="1"/>
  <c r="C187" i="1"/>
  <c r="P186" i="1"/>
  <c r="E186" i="1"/>
  <c r="L185" i="1"/>
  <c r="C185" i="1"/>
  <c r="I184" i="1"/>
  <c r="AN183" i="1"/>
  <c r="G183" i="1"/>
  <c r="W182" i="1"/>
  <c r="F182" i="1"/>
  <c r="U181" i="1"/>
  <c r="H181" i="1"/>
  <c r="Z180" i="1"/>
  <c r="D309" i="1"/>
  <c r="Q306" i="1"/>
  <c r="Z304" i="1"/>
  <c r="W302" i="1"/>
  <c r="L301" i="1"/>
  <c r="J300" i="1"/>
  <c r="H299" i="1"/>
  <c r="F298" i="1"/>
  <c r="H297" i="1"/>
  <c r="F296" i="1"/>
  <c r="H295" i="1"/>
  <c r="J294" i="1"/>
  <c r="O293" i="1"/>
  <c r="Q292" i="1"/>
  <c r="U291" i="1"/>
  <c r="Z290" i="1"/>
  <c r="AN289" i="1"/>
  <c r="W288" i="1"/>
  <c r="AN287" i="1"/>
  <c r="D287" i="1"/>
  <c r="F286" i="1"/>
  <c r="H285" i="1"/>
  <c r="J284" i="1"/>
  <c r="O283" i="1"/>
  <c r="Q282" i="1"/>
  <c r="U281" i="1"/>
  <c r="Z280" i="1"/>
  <c r="AN279" i="1"/>
  <c r="E279" i="1"/>
  <c r="P278" i="1"/>
  <c r="AN277" i="1"/>
  <c r="I277" i="1"/>
  <c r="W276" i="1"/>
  <c r="E276" i="1"/>
  <c r="P275" i="1"/>
  <c r="C275" i="1"/>
  <c r="P274" i="1"/>
  <c r="E274" i="1"/>
  <c r="S273" i="1"/>
  <c r="G273" i="1"/>
  <c r="W272" i="1"/>
  <c r="J272" i="1"/>
  <c r="AU271" i="1"/>
  <c r="N271" i="1"/>
  <c r="D271" i="1"/>
  <c r="Q270" i="1"/>
  <c r="F270" i="1"/>
  <c r="U269" i="1"/>
  <c r="H269" i="1"/>
  <c r="Z268" i="1"/>
  <c r="J268" i="1"/>
  <c r="AU267" i="1"/>
  <c r="O267" i="1"/>
  <c r="D267" i="1"/>
  <c r="Q266" i="1"/>
  <c r="F266" i="1"/>
  <c r="U265" i="1"/>
  <c r="G265" i="1"/>
  <c r="W264" i="1"/>
  <c r="I264" i="1"/>
  <c r="AN263" i="1"/>
  <c r="O263" i="1"/>
  <c r="D263" i="1"/>
  <c r="R262" i="1"/>
  <c r="F262" i="1"/>
  <c r="U261" i="1"/>
  <c r="H261" i="1"/>
  <c r="Z260" i="1"/>
  <c r="J260" i="1"/>
  <c r="AU259" i="1"/>
  <c r="O259" i="1"/>
  <c r="D259" i="1"/>
  <c r="Q258" i="1"/>
  <c r="F258" i="1"/>
  <c r="U257" i="1"/>
  <c r="H257" i="1"/>
  <c r="Z256" i="1"/>
  <c r="I256" i="1"/>
  <c r="AN255" i="1"/>
  <c r="L255" i="1"/>
  <c r="C255" i="1"/>
  <c r="P254" i="1"/>
  <c r="E254" i="1"/>
  <c r="S253" i="1"/>
  <c r="G253" i="1"/>
  <c r="W252" i="1"/>
  <c r="I252" i="1"/>
  <c r="AN251" i="1"/>
  <c r="L251" i="1"/>
  <c r="C251" i="1"/>
  <c r="P250" i="1"/>
  <c r="E250" i="1"/>
  <c r="S249" i="1"/>
  <c r="G249" i="1"/>
  <c r="W248" i="1"/>
  <c r="J248" i="1"/>
  <c r="AU247" i="1"/>
  <c r="H247" i="1"/>
  <c r="Z246" i="1"/>
  <c r="F246" i="1"/>
  <c r="S245" i="1"/>
  <c r="D245" i="1"/>
  <c r="L244" i="1"/>
  <c r="C244" i="1"/>
  <c r="P243" i="1"/>
  <c r="E243" i="1"/>
  <c r="S242" i="1"/>
  <c r="G242" i="1"/>
  <c r="W241" i="1"/>
  <c r="J241" i="1"/>
  <c r="AU240" i="1"/>
  <c r="H240" i="1"/>
  <c r="Z239" i="1"/>
  <c r="J239" i="1"/>
  <c r="AU238" i="1"/>
  <c r="O238" i="1"/>
  <c r="D238" i="1"/>
  <c r="Q237" i="1"/>
  <c r="F237" i="1"/>
  <c r="U236" i="1"/>
  <c r="G236" i="1"/>
  <c r="W235" i="1"/>
  <c r="I235" i="1"/>
  <c r="AN234" i="1"/>
  <c r="G234" i="1"/>
  <c r="W233" i="1"/>
  <c r="J233" i="1"/>
  <c r="AU232" i="1"/>
  <c r="O232" i="1"/>
  <c r="D232" i="1"/>
  <c r="Q231" i="1"/>
  <c r="F231" i="1"/>
  <c r="U230" i="1"/>
  <c r="I230" i="1"/>
  <c r="AN229" i="1"/>
  <c r="L229" i="1"/>
  <c r="C229" i="1"/>
  <c r="P228" i="1"/>
  <c r="E228" i="1"/>
  <c r="S227" i="1"/>
  <c r="G227" i="1"/>
  <c r="W226" i="1"/>
  <c r="H226" i="1"/>
  <c r="Z225" i="1"/>
  <c r="J225" i="1"/>
  <c r="AU224" i="1"/>
  <c r="O224" i="1"/>
  <c r="D224" i="1"/>
  <c r="Q223" i="1"/>
  <c r="F223" i="1"/>
  <c r="U222" i="1"/>
  <c r="H222" i="1"/>
  <c r="Z221" i="1"/>
  <c r="J221" i="1"/>
  <c r="AU220" i="1"/>
  <c r="O220" i="1"/>
  <c r="D220" i="1"/>
  <c r="Q219" i="1"/>
  <c r="F219" i="1"/>
  <c r="S218" i="1"/>
  <c r="D218" i="1"/>
  <c r="Q217" i="1"/>
  <c r="F217" i="1"/>
  <c r="U216" i="1"/>
  <c r="H216" i="1"/>
  <c r="Z215" i="1"/>
  <c r="J215" i="1"/>
  <c r="AU214" i="1"/>
  <c r="O214" i="1"/>
  <c r="D214" i="1"/>
  <c r="Q213" i="1"/>
  <c r="F213" i="1"/>
  <c r="U212" i="1"/>
  <c r="H212" i="1"/>
  <c r="Z211" i="1"/>
  <c r="J211" i="1"/>
  <c r="AU210" i="1"/>
  <c r="O210" i="1"/>
  <c r="D210" i="1"/>
  <c r="R209" i="1"/>
  <c r="G209" i="1"/>
  <c r="W208" i="1"/>
  <c r="I208" i="1"/>
  <c r="AN207" i="1"/>
  <c r="L207" i="1"/>
  <c r="C207" i="1"/>
  <c r="P206" i="1"/>
  <c r="E206" i="1"/>
  <c r="S205" i="1"/>
  <c r="G205" i="1"/>
  <c r="W204" i="1"/>
  <c r="I204" i="1"/>
  <c r="AN203" i="1"/>
  <c r="L203" i="1"/>
  <c r="C203" i="1"/>
  <c r="Q202" i="1"/>
  <c r="D202" i="1"/>
  <c r="Q201" i="1"/>
  <c r="F201" i="1"/>
  <c r="U200" i="1"/>
  <c r="I200" i="1"/>
  <c r="AN199" i="1"/>
  <c r="L199" i="1"/>
  <c r="C199" i="1"/>
  <c r="P198" i="1"/>
  <c r="E198" i="1"/>
  <c r="S197" i="1"/>
  <c r="G197" i="1"/>
  <c r="W196" i="1"/>
  <c r="I196" i="1"/>
  <c r="AN195" i="1"/>
  <c r="L195" i="1"/>
  <c r="C195" i="1"/>
  <c r="P194" i="1"/>
  <c r="E194" i="1"/>
  <c r="S193" i="1"/>
  <c r="F193" i="1"/>
  <c r="U192" i="1"/>
  <c r="H192" i="1"/>
  <c r="Z191" i="1"/>
  <c r="J191" i="1"/>
  <c r="AU190" i="1"/>
  <c r="O190" i="1"/>
  <c r="D190" i="1"/>
  <c r="Q189" i="1"/>
  <c r="F189" i="1"/>
  <c r="U188" i="1"/>
  <c r="H188" i="1"/>
  <c r="Z187" i="1"/>
  <c r="J187" i="1"/>
  <c r="AU186" i="1"/>
  <c r="O186" i="1"/>
  <c r="D186" i="1"/>
  <c r="J185" i="1"/>
  <c r="AU184" i="1"/>
  <c r="H184" i="1"/>
  <c r="Z183" i="1"/>
  <c r="F183" i="1"/>
  <c r="Q308" i="1"/>
  <c r="J306" i="1"/>
  <c r="Q304" i="1"/>
  <c r="Q302" i="1"/>
  <c r="I301" i="1"/>
  <c r="H300" i="1"/>
  <c r="F299" i="1"/>
  <c r="D298" i="1"/>
  <c r="F297" i="1"/>
  <c r="D296" i="1"/>
  <c r="F295" i="1"/>
  <c r="H294" i="1"/>
  <c r="J293" i="1"/>
  <c r="O292" i="1"/>
  <c r="Q291" i="1"/>
  <c r="U290" i="1"/>
  <c r="U289" i="1"/>
  <c r="S288" i="1"/>
  <c r="W287" i="1"/>
  <c r="AU286" i="1"/>
  <c r="D286" i="1"/>
  <c r="F285" i="1"/>
  <c r="H284" i="1"/>
  <c r="J283" i="1"/>
  <c r="O282" i="1"/>
  <c r="Q281" i="1"/>
  <c r="U280" i="1"/>
  <c r="W279" i="1"/>
  <c r="D279" i="1"/>
  <c r="L278" i="1"/>
  <c r="Z277" i="1"/>
  <c r="H277" i="1"/>
  <c r="S276" i="1"/>
  <c r="D276" i="1"/>
  <c r="O275" i="1"/>
  <c r="AU274" i="1"/>
  <c r="O274" i="1"/>
  <c r="D274" i="1"/>
  <c r="Q273" i="1"/>
  <c r="F273" i="1"/>
  <c r="U272" i="1"/>
  <c r="I272" i="1"/>
  <c r="AN271" i="1"/>
  <c r="L271" i="1"/>
  <c r="C271" i="1"/>
  <c r="P270" i="1"/>
  <c r="E270" i="1"/>
  <c r="S269" i="1"/>
  <c r="G269" i="1"/>
  <c r="W268" i="1"/>
  <c r="I268" i="1"/>
  <c r="AN267" i="1"/>
  <c r="L267" i="1"/>
  <c r="C267" i="1"/>
  <c r="P266" i="1"/>
  <c r="E266" i="1"/>
  <c r="S265" i="1"/>
  <c r="F265" i="1"/>
  <c r="U264" i="1"/>
  <c r="H264" i="1"/>
  <c r="Z263" i="1"/>
  <c r="L263" i="1"/>
  <c r="C263" i="1"/>
  <c r="Q262" i="1"/>
  <c r="E262" i="1"/>
  <c r="S261" i="1"/>
  <c r="G261" i="1"/>
  <c r="W260" i="1"/>
  <c r="I260" i="1"/>
  <c r="AN259" i="1"/>
  <c r="L259" i="1"/>
  <c r="C259" i="1"/>
  <c r="P258" i="1"/>
  <c r="E258" i="1"/>
  <c r="S257" i="1"/>
  <c r="G257" i="1"/>
  <c r="W256" i="1"/>
  <c r="H256" i="1"/>
  <c r="Z255" i="1"/>
  <c r="J255" i="1"/>
  <c r="AU254" i="1"/>
  <c r="O254" i="1"/>
  <c r="D254" i="1"/>
  <c r="Q253" i="1"/>
  <c r="F253" i="1"/>
  <c r="U252" i="1"/>
  <c r="H252" i="1"/>
  <c r="Z251" i="1"/>
  <c r="J251" i="1"/>
  <c r="AU250" i="1"/>
  <c r="O250" i="1"/>
  <c r="D250" i="1"/>
  <c r="Q249" i="1"/>
  <c r="F249" i="1"/>
  <c r="U248" i="1"/>
  <c r="I248" i="1"/>
  <c r="AN247" i="1"/>
  <c r="G247" i="1"/>
  <c r="U246" i="1"/>
  <c r="E246" i="1"/>
  <c r="L245" i="1"/>
  <c r="C245" i="1"/>
  <c r="J244" i="1"/>
  <c r="AU243" i="1"/>
  <c r="O243" i="1"/>
  <c r="D243" i="1"/>
  <c r="Q242" i="1"/>
  <c r="F242" i="1"/>
  <c r="U241" i="1"/>
  <c r="I241" i="1"/>
  <c r="AN240" i="1"/>
  <c r="G240" i="1"/>
  <c r="W239" i="1"/>
  <c r="I239" i="1"/>
  <c r="AN238" i="1"/>
  <c r="L238" i="1"/>
  <c r="C238" i="1"/>
  <c r="P237" i="1"/>
  <c r="E237" i="1"/>
  <c r="S236" i="1"/>
  <c r="F236" i="1"/>
  <c r="U235" i="1"/>
  <c r="H235" i="1"/>
  <c r="Z234" i="1"/>
  <c r="F234" i="1"/>
  <c r="U233" i="1"/>
  <c r="I233" i="1"/>
  <c r="AN232" i="1"/>
  <c r="L232" i="1"/>
  <c r="C232" i="1"/>
  <c r="P231" i="1"/>
  <c r="E231" i="1"/>
  <c r="S230" i="1"/>
  <c r="H230" i="1"/>
  <c r="Z229" i="1"/>
  <c r="J229" i="1"/>
  <c r="AU228" i="1"/>
  <c r="O228" i="1"/>
  <c r="D228" i="1"/>
  <c r="Q227" i="1"/>
  <c r="F227" i="1"/>
  <c r="U226" i="1"/>
  <c r="G226" i="1"/>
  <c r="W225" i="1"/>
  <c r="I225" i="1"/>
  <c r="AN224" i="1"/>
  <c r="L224" i="1"/>
  <c r="C224" i="1"/>
  <c r="P223" i="1"/>
  <c r="E223" i="1"/>
  <c r="S222" i="1"/>
  <c r="G222" i="1"/>
  <c r="W221" i="1"/>
  <c r="I221" i="1"/>
  <c r="F308" i="1"/>
  <c r="F306" i="1"/>
  <c r="J304" i="1"/>
  <c r="J302" i="1"/>
  <c r="G301" i="1"/>
  <c r="F300" i="1"/>
  <c r="D299" i="1"/>
  <c r="AU297" i="1"/>
  <c r="D297" i="1"/>
  <c r="AU295" i="1"/>
  <c r="D295" i="1"/>
  <c r="F294" i="1"/>
  <c r="H293" i="1"/>
  <c r="J292" i="1"/>
  <c r="O291" i="1"/>
  <c r="R290" i="1"/>
  <c r="L289" i="1"/>
  <c r="P288" i="1"/>
  <c r="S287" i="1"/>
  <c r="Z286" i="1"/>
  <c r="AU285" i="1"/>
  <c r="D285" i="1"/>
  <c r="F284" i="1"/>
  <c r="H283" i="1"/>
  <c r="J282" i="1"/>
  <c r="O281" i="1"/>
  <c r="R280" i="1"/>
  <c r="S279" i="1"/>
  <c r="C279" i="1"/>
  <c r="I278" i="1"/>
  <c r="W277" i="1"/>
  <c r="G277" i="1"/>
  <c r="P276" i="1"/>
  <c r="C276" i="1"/>
  <c r="L275" i="1"/>
  <c r="AN274" i="1"/>
  <c r="L274" i="1"/>
  <c r="C274" i="1"/>
  <c r="P273" i="1"/>
  <c r="E273" i="1"/>
  <c r="S272" i="1"/>
  <c r="H272" i="1"/>
  <c r="Z271" i="1"/>
  <c r="J271" i="1"/>
  <c r="AU270" i="1"/>
  <c r="O270" i="1"/>
  <c r="D270" i="1"/>
  <c r="Q269" i="1"/>
  <c r="F269" i="1"/>
  <c r="U268" i="1"/>
  <c r="H268" i="1"/>
  <c r="Z267" i="1"/>
  <c r="J267" i="1"/>
  <c r="AU266" i="1"/>
  <c r="O266" i="1"/>
  <c r="D266" i="1"/>
  <c r="R265" i="1"/>
  <c r="E265" i="1"/>
  <c r="S264" i="1"/>
  <c r="G264" i="1"/>
  <c r="W263" i="1"/>
  <c r="J263" i="1"/>
  <c r="AU262" i="1"/>
  <c r="N262" i="1"/>
  <c r="D262" i="1"/>
  <c r="Q261" i="1"/>
  <c r="F261" i="1"/>
  <c r="U260" i="1"/>
  <c r="H260" i="1"/>
  <c r="Z259" i="1"/>
  <c r="J259" i="1"/>
  <c r="AU258" i="1"/>
  <c r="O258" i="1"/>
  <c r="D258" i="1"/>
  <c r="Q257" i="1"/>
  <c r="F257" i="1"/>
  <c r="U256" i="1"/>
  <c r="G256" i="1"/>
  <c r="W255" i="1"/>
  <c r="I255" i="1"/>
  <c r="AN254" i="1"/>
  <c r="L254" i="1"/>
  <c r="C254" i="1"/>
  <c r="P253" i="1"/>
  <c r="E253" i="1"/>
  <c r="S252" i="1"/>
  <c r="G252" i="1"/>
  <c r="W251" i="1"/>
  <c r="I251" i="1"/>
  <c r="AN250" i="1"/>
  <c r="L250" i="1"/>
  <c r="C250" i="1"/>
  <c r="P249" i="1"/>
  <c r="E249" i="1"/>
  <c r="S248" i="1"/>
  <c r="H248" i="1"/>
  <c r="Z247" i="1"/>
  <c r="F247" i="1"/>
  <c r="S246" i="1"/>
  <c r="D246" i="1"/>
  <c r="J245" i="1"/>
  <c r="AU244" i="1"/>
  <c r="I244" i="1"/>
  <c r="AN243" i="1"/>
  <c r="L243" i="1"/>
  <c r="C243" i="1"/>
  <c r="P242" i="1"/>
  <c r="E242" i="1"/>
  <c r="S241" i="1"/>
  <c r="H241" i="1"/>
  <c r="Z240" i="1"/>
  <c r="F240" i="1"/>
  <c r="U239" i="1"/>
  <c r="H239" i="1"/>
  <c r="Z238" i="1"/>
  <c r="J238" i="1"/>
  <c r="AU237" i="1"/>
  <c r="O237" i="1"/>
  <c r="D237" i="1"/>
  <c r="R236" i="1"/>
  <c r="E236" i="1"/>
  <c r="S235" i="1"/>
  <c r="G235" i="1"/>
  <c r="U234" i="1"/>
  <c r="E234" i="1"/>
  <c r="S233" i="1"/>
  <c r="H233" i="1"/>
  <c r="Z232" i="1"/>
  <c r="J232" i="1"/>
  <c r="AU231" i="1"/>
  <c r="O231" i="1"/>
  <c r="D231" i="1"/>
  <c r="R230" i="1"/>
  <c r="G230" i="1"/>
  <c r="W229" i="1"/>
  <c r="I229" i="1"/>
  <c r="AN228" i="1"/>
  <c r="L228" i="1"/>
  <c r="C228" i="1"/>
  <c r="P227" i="1"/>
  <c r="E227" i="1"/>
  <c r="S226" i="1"/>
  <c r="F226" i="1"/>
  <c r="U225" i="1"/>
  <c r="H225" i="1"/>
  <c r="Z224" i="1"/>
  <c r="J224" i="1"/>
  <c r="AU223" i="1"/>
  <c r="O223" i="1"/>
  <c r="D223" i="1"/>
  <c r="Q222" i="1"/>
  <c r="F222" i="1"/>
  <c r="U221" i="1"/>
  <c r="H221" i="1"/>
  <c r="Z220" i="1"/>
  <c r="J220" i="1"/>
  <c r="AU219" i="1"/>
  <c r="O219" i="1"/>
  <c r="D219" i="1"/>
  <c r="J218" i="1"/>
  <c r="AU217" i="1"/>
  <c r="O217" i="1"/>
  <c r="D217" i="1"/>
  <c r="Q216" i="1"/>
  <c r="F216" i="1"/>
  <c r="U215" i="1"/>
  <c r="H215" i="1"/>
  <c r="Z214" i="1"/>
  <c r="J214" i="1"/>
  <c r="AU213" i="1"/>
  <c r="O213" i="1"/>
  <c r="D213" i="1"/>
  <c r="Q212" i="1"/>
  <c r="F212" i="1"/>
  <c r="U211" i="1"/>
  <c r="H211" i="1"/>
  <c r="Z210" i="1"/>
  <c r="J210" i="1"/>
  <c r="AU209" i="1"/>
  <c r="P209" i="1"/>
  <c r="E209" i="1"/>
  <c r="S208" i="1"/>
  <c r="G208" i="1"/>
  <c r="W207" i="1"/>
  <c r="I207" i="1"/>
  <c r="AN206" i="1"/>
  <c r="L206" i="1"/>
  <c r="C206" i="1"/>
  <c r="P205" i="1"/>
  <c r="E205" i="1"/>
  <c r="S204" i="1"/>
  <c r="G204" i="1"/>
  <c r="W203" i="1"/>
  <c r="I203" i="1"/>
  <c r="AN202" i="1"/>
  <c r="J202" i="1"/>
  <c r="AU201" i="1"/>
  <c r="O201" i="1"/>
  <c r="D201" i="1"/>
  <c r="R200" i="1"/>
  <c r="G200" i="1"/>
  <c r="W199" i="1"/>
  <c r="I199" i="1"/>
  <c r="AN198" i="1"/>
  <c r="L198" i="1"/>
  <c r="C198" i="1"/>
  <c r="P197" i="1"/>
  <c r="E197" i="1"/>
  <c r="S196" i="1"/>
  <c r="G196" i="1"/>
  <c r="W195" i="1"/>
  <c r="I195" i="1"/>
  <c r="AN194" i="1"/>
  <c r="L194" i="1"/>
  <c r="C194" i="1"/>
  <c r="Q193" i="1"/>
  <c r="D193" i="1"/>
  <c r="Q192" i="1"/>
  <c r="F192" i="1"/>
  <c r="U191" i="1"/>
  <c r="H191" i="1"/>
  <c r="Z190" i="1"/>
  <c r="J190" i="1"/>
  <c r="AU189" i="1"/>
  <c r="O189" i="1"/>
  <c r="D189" i="1"/>
  <c r="Q188" i="1"/>
  <c r="F188" i="1"/>
  <c r="U187" i="1"/>
  <c r="H187" i="1"/>
  <c r="Z186" i="1"/>
  <c r="J186" i="1"/>
  <c r="AU185" i="1"/>
  <c r="H185" i="1"/>
  <c r="Z184" i="1"/>
  <c r="F184" i="1"/>
  <c r="S183" i="1"/>
  <c r="D183" i="1"/>
  <c r="U307" i="1"/>
  <c r="AU305" i="1"/>
  <c r="F304" i="1"/>
  <c r="F302" i="1"/>
  <c r="E301" i="1"/>
  <c r="D300" i="1"/>
  <c r="AU298" i="1"/>
  <c r="Z297" i="1"/>
  <c r="AU296" i="1"/>
  <c r="Z295" i="1"/>
  <c r="AU294" i="1"/>
  <c r="D294" i="1"/>
  <c r="F293" i="1"/>
  <c r="H292" i="1"/>
  <c r="J291" i="1"/>
  <c r="L290" i="1"/>
  <c r="I289" i="1"/>
  <c r="L288" i="1"/>
  <c r="Q287" i="1"/>
  <c r="U286" i="1"/>
  <c r="Z285" i="1"/>
  <c r="AU284" i="1"/>
  <c r="D284" i="1"/>
  <c r="F283" i="1"/>
  <c r="H282" i="1"/>
  <c r="J281" i="1"/>
  <c r="L280" i="1"/>
  <c r="P279" i="1"/>
  <c r="AN278" i="1"/>
  <c r="H278" i="1"/>
  <c r="U277" i="1"/>
  <c r="E277" i="1"/>
  <c r="O276" i="1"/>
  <c r="AU275" i="1"/>
  <c r="I275" i="1"/>
  <c r="Z274" i="1"/>
  <c r="J274" i="1"/>
  <c r="AU273" i="1"/>
  <c r="O273" i="1"/>
  <c r="D273" i="1"/>
  <c r="R272" i="1"/>
  <c r="G272" i="1"/>
  <c r="W271" i="1"/>
  <c r="I271" i="1"/>
  <c r="AN270" i="1"/>
  <c r="L270" i="1"/>
  <c r="C270" i="1"/>
  <c r="P269" i="1"/>
  <c r="E269" i="1"/>
  <c r="S268" i="1"/>
  <c r="G268" i="1"/>
  <c r="W267" i="1"/>
  <c r="I267" i="1"/>
  <c r="AN266" i="1"/>
  <c r="L266" i="1"/>
  <c r="C266" i="1"/>
  <c r="Q265" i="1"/>
  <c r="D265" i="1"/>
  <c r="Q264" i="1"/>
  <c r="F264" i="1"/>
  <c r="U263" i="1"/>
  <c r="I263" i="1"/>
  <c r="AN262" i="1"/>
  <c r="L262" i="1"/>
  <c r="C262" i="1"/>
  <c r="P261" i="1"/>
  <c r="E261" i="1"/>
  <c r="S260" i="1"/>
  <c r="G260" i="1"/>
  <c r="W259" i="1"/>
  <c r="I259" i="1"/>
  <c r="AN258" i="1"/>
  <c r="L258" i="1"/>
  <c r="C258" i="1"/>
  <c r="P257" i="1"/>
  <c r="E257" i="1"/>
  <c r="S256" i="1"/>
  <c r="F256" i="1"/>
  <c r="U255" i="1"/>
  <c r="H255" i="1"/>
  <c r="Z254" i="1"/>
  <c r="J254" i="1"/>
  <c r="AU253" i="1"/>
  <c r="O253" i="1"/>
  <c r="D253" i="1"/>
  <c r="Q252" i="1"/>
  <c r="F252" i="1"/>
  <c r="U251" i="1"/>
  <c r="H251" i="1"/>
  <c r="Z250" i="1"/>
  <c r="J250" i="1"/>
  <c r="AU249" i="1"/>
  <c r="O249" i="1"/>
  <c r="D249" i="1"/>
  <c r="R248" i="1"/>
  <c r="G248" i="1"/>
  <c r="U247" i="1"/>
  <c r="E247" i="1"/>
  <c r="L246" i="1"/>
  <c r="C246" i="1"/>
  <c r="I245" i="1"/>
  <c r="AN244" i="1"/>
  <c r="H244" i="1"/>
  <c r="Z243" i="1"/>
  <c r="J243" i="1"/>
  <c r="AU242" i="1"/>
  <c r="O242" i="1"/>
  <c r="D242" i="1"/>
  <c r="R241" i="1"/>
  <c r="G241" i="1"/>
  <c r="U240" i="1"/>
  <c r="E240" i="1"/>
  <c r="S239" i="1"/>
  <c r="G239" i="1"/>
  <c r="W238" i="1"/>
  <c r="I238" i="1"/>
  <c r="AN237" i="1"/>
  <c r="L237" i="1"/>
  <c r="C237" i="1"/>
  <c r="Q236" i="1"/>
  <c r="D236" i="1"/>
  <c r="Q235" i="1"/>
  <c r="F235" i="1"/>
  <c r="S234" i="1"/>
  <c r="D234" i="1"/>
  <c r="R233" i="1"/>
  <c r="G233" i="1"/>
  <c r="W232" i="1"/>
  <c r="I232" i="1"/>
  <c r="AN231" i="1"/>
  <c r="L231" i="1"/>
  <c r="C231" i="1"/>
  <c r="Q230" i="1"/>
  <c r="F230" i="1"/>
  <c r="U229" i="1"/>
  <c r="H229" i="1"/>
  <c r="Z228" i="1"/>
  <c r="J228" i="1"/>
  <c r="AU227" i="1"/>
  <c r="O227" i="1"/>
  <c r="D227" i="1"/>
  <c r="R226" i="1"/>
  <c r="E226" i="1"/>
  <c r="S225" i="1"/>
  <c r="G225" i="1"/>
  <c r="W224" i="1"/>
  <c r="I224" i="1"/>
  <c r="AN223" i="1"/>
  <c r="L223" i="1"/>
  <c r="C223" i="1"/>
  <c r="P222" i="1"/>
  <c r="E222" i="1"/>
  <c r="S221" i="1"/>
  <c r="G221" i="1"/>
  <c r="W220" i="1"/>
  <c r="I220" i="1"/>
  <c r="AN219" i="1"/>
  <c r="L219" i="1"/>
  <c r="C219" i="1"/>
  <c r="I218" i="1"/>
  <c r="AN217" i="1"/>
  <c r="L217" i="1"/>
  <c r="C217" i="1"/>
  <c r="P216" i="1"/>
  <c r="E216" i="1"/>
  <c r="S215" i="1"/>
  <c r="G215" i="1"/>
  <c r="W214" i="1"/>
  <c r="I214" i="1"/>
  <c r="AN213" i="1"/>
  <c r="L213" i="1"/>
  <c r="C213" i="1"/>
  <c r="P212" i="1"/>
  <c r="E212" i="1"/>
  <c r="S211" i="1"/>
  <c r="G211" i="1"/>
  <c r="W210" i="1"/>
  <c r="I210" i="1"/>
  <c r="AN209" i="1"/>
  <c r="O209" i="1"/>
  <c r="D209" i="1"/>
  <c r="R208" i="1"/>
  <c r="F208" i="1"/>
  <c r="U207" i="1"/>
  <c r="H207" i="1"/>
  <c r="Z206" i="1"/>
  <c r="J206" i="1"/>
  <c r="AU205" i="1"/>
  <c r="O205" i="1"/>
  <c r="D205" i="1"/>
  <c r="Q204" i="1"/>
  <c r="F204" i="1"/>
  <c r="U203" i="1"/>
  <c r="H203" i="1"/>
  <c r="Z202" i="1"/>
  <c r="I202" i="1"/>
  <c r="AN201" i="1"/>
  <c r="L201" i="1"/>
  <c r="C201" i="1"/>
  <c r="Q200" i="1"/>
  <c r="F200" i="1"/>
  <c r="U199" i="1"/>
  <c r="H199" i="1"/>
  <c r="Z198" i="1"/>
  <c r="J198" i="1"/>
  <c r="AU197" i="1"/>
  <c r="O197" i="1"/>
  <c r="D197" i="1"/>
  <c r="Q196" i="1"/>
  <c r="F196" i="1"/>
  <c r="U195" i="1"/>
  <c r="H195" i="1"/>
  <c r="Z194" i="1"/>
  <c r="J194" i="1"/>
  <c r="AU193" i="1"/>
  <c r="L193" i="1"/>
  <c r="C193" i="1"/>
  <c r="P192" i="1"/>
  <c r="E192" i="1"/>
  <c r="S191" i="1"/>
  <c r="G191" i="1"/>
  <c r="W190" i="1"/>
  <c r="I190" i="1"/>
  <c r="AN189" i="1"/>
  <c r="L189" i="1"/>
  <c r="C189" i="1"/>
  <c r="P188" i="1"/>
  <c r="E188" i="1"/>
  <c r="S187" i="1"/>
  <c r="G187" i="1"/>
  <c r="AN220" i="1"/>
  <c r="E217" i="1"/>
  <c r="I215" i="1"/>
  <c r="P213" i="1"/>
  <c r="W211" i="1"/>
  <c r="C210" i="1"/>
  <c r="H208" i="1"/>
  <c r="O206" i="1"/>
  <c r="U204" i="1"/>
  <c r="AU202" i="1"/>
  <c r="E201" i="1"/>
  <c r="J199" i="1"/>
  <c r="Q197" i="1"/>
  <c r="Z195" i="1"/>
  <c r="D194" i="1"/>
  <c r="G192" i="1"/>
  <c r="L190" i="1"/>
  <c r="S188" i="1"/>
  <c r="AN186" i="1"/>
  <c r="U185" i="1"/>
  <c r="E184" i="1"/>
  <c r="Z182" i="1"/>
  <c r="D182" i="1"/>
  <c r="O181" i="1"/>
  <c r="AN180" i="1"/>
  <c r="E180" i="1"/>
  <c r="J179" i="1"/>
  <c r="AN178" i="1"/>
  <c r="J178" i="1"/>
  <c r="Z177" i="1"/>
  <c r="E177" i="1"/>
  <c r="J176" i="1"/>
  <c r="AN175" i="1"/>
  <c r="F175" i="1"/>
  <c r="L174" i="1"/>
  <c r="AU173" i="1"/>
  <c r="I173" i="1"/>
  <c r="AN172" i="1"/>
  <c r="L172" i="1"/>
  <c r="C172" i="1"/>
  <c r="P171" i="1"/>
  <c r="E171" i="1"/>
  <c r="L170" i="1"/>
  <c r="C170" i="1"/>
  <c r="P169" i="1"/>
  <c r="E169" i="1"/>
  <c r="S168" i="1"/>
  <c r="G168" i="1"/>
  <c r="W167" i="1"/>
  <c r="I167" i="1"/>
  <c r="AN166" i="1"/>
  <c r="L166" i="1"/>
  <c r="C166" i="1"/>
  <c r="I165" i="1"/>
  <c r="AN164" i="1"/>
  <c r="L164" i="1"/>
  <c r="C164" i="1"/>
  <c r="P163" i="1"/>
  <c r="E163" i="1"/>
  <c r="S162" i="1"/>
  <c r="G162" i="1"/>
  <c r="W161" i="1"/>
  <c r="I161" i="1"/>
  <c r="AN160" i="1"/>
  <c r="L160" i="1"/>
  <c r="C160" i="1"/>
  <c r="P159" i="1"/>
  <c r="E159" i="1"/>
  <c r="S158" i="1"/>
  <c r="G158" i="1"/>
  <c r="W157" i="1"/>
  <c r="I157" i="1"/>
  <c r="AN156" i="1"/>
  <c r="L156" i="1"/>
  <c r="C156" i="1"/>
  <c r="P155" i="1"/>
  <c r="E155" i="1"/>
  <c r="S154" i="1"/>
  <c r="G154" i="1"/>
  <c r="W153" i="1"/>
  <c r="I153" i="1"/>
  <c r="AN152" i="1"/>
  <c r="G152" i="1"/>
  <c r="W151" i="1"/>
  <c r="J151" i="1"/>
  <c r="AU150" i="1"/>
  <c r="H150" i="1"/>
  <c r="Z149" i="1"/>
  <c r="F149" i="1"/>
  <c r="S148" i="1"/>
  <c r="D148" i="1"/>
  <c r="L147" i="1"/>
  <c r="C147" i="1"/>
  <c r="P146" i="1"/>
  <c r="E146" i="1"/>
  <c r="S145" i="1"/>
  <c r="G145" i="1"/>
  <c r="W144" i="1"/>
  <c r="J144" i="1"/>
  <c r="AU143" i="1"/>
  <c r="H143" i="1"/>
  <c r="Z142" i="1"/>
  <c r="J142" i="1"/>
  <c r="AU141" i="1"/>
  <c r="O141" i="1"/>
  <c r="D141" i="1"/>
  <c r="Q140" i="1"/>
  <c r="F140" i="1"/>
  <c r="U139" i="1"/>
  <c r="H139" i="1"/>
  <c r="Z138" i="1"/>
  <c r="F138" i="1"/>
  <c r="U137" i="1"/>
  <c r="I137" i="1"/>
  <c r="AN136" i="1"/>
  <c r="L136" i="1"/>
  <c r="C136" i="1"/>
  <c r="P135" i="1"/>
  <c r="E135" i="1"/>
  <c r="S134" i="1"/>
  <c r="H134" i="1"/>
  <c r="Z133" i="1"/>
  <c r="J133" i="1"/>
  <c r="AU132" i="1"/>
  <c r="O132" i="1"/>
  <c r="D132" i="1"/>
  <c r="Q131" i="1"/>
  <c r="F131" i="1"/>
  <c r="U130" i="1"/>
  <c r="H130" i="1"/>
  <c r="Z129" i="1"/>
  <c r="J129" i="1"/>
  <c r="AU128" i="1"/>
  <c r="O128" i="1"/>
  <c r="D128" i="1"/>
  <c r="Q127" i="1"/>
  <c r="F127" i="1"/>
  <c r="U126" i="1"/>
  <c r="H126" i="1"/>
  <c r="Z125" i="1"/>
  <c r="J125" i="1"/>
  <c r="AU124" i="1"/>
  <c r="O124" i="1"/>
  <c r="D124" i="1"/>
  <c r="J123" i="1"/>
  <c r="AU122" i="1"/>
  <c r="P122" i="1"/>
  <c r="E122" i="1"/>
  <c r="L121" i="1"/>
  <c r="C121" i="1"/>
  <c r="I120" i="1"/>
  <c r="AN119" i="1"/>
  <c r="G119" i="1"/>
  <c r="W118" i="1"/>
  <c r="F118" i="1"/>
  <c r="U117" i="1"/>
  <c r="H117" i="1"/>
  <c r="Z116" i="1"/>
  <c r="J116" i="1"/>
  <c r="AU115" i="1"/>
  <c r="P115" i="1"/>
  <c r="E115" i="1"/>
  <c r="L114" i="1"/>
  <c r="C114" i="1"/>
  <c r="P113" i="1"/>
  <c r="E113" i="1"/>
  <c r="S112" i="1"/>
  <c r="G112" i="1"/>
  <c r="W111" i="1"/>
  <c r="I111" i="1"/>
  <c r="AN110" i="1"/>
  <c r="J110" i="1"/>
  <c r="AU109" i="1"/>
  <c r="O109" i="1"/>
  <c r="D109" i="1"/>
  <c r="J108" i="1"/>
  <c r="AU107" i="1"/>
  <c r="P107" i="1"/>
  <c r="E107" i="1"/>
  <c r="S106" i="1"/>
  <c r="G106" i="1"/>
  <c r="W105" i="1"/>
  <c r="I105" i="1"/>
  <c r="AN104" i="1"/>
  <c r="O104" i="1"/>
  <c r="D104" i="1"/>
  <c r="Q103" i="1"/>
  <c r="F103" i="1"/>
  <c r="U102" i="1"/>
  <c r="H102" i="1"/>
  <c r="Z101" i="1"/>
  <c r="J101" i="1"/>
  <c r="AU100" i="1"/>
  <c r="L100" i="1"/>
  <c r="C100" i="1"/>
  <c r="P99" i="1"/>
  <c r="E99" i="1"/>
  <c r="S98" i="1"/>
  <c r="G98" i="1"/>
  <c r="W97" i="1"/>
  <c r="I97" i="1"/>
  <c r="AN96" i="1"/>
  <c r="L96" i="1"/>
  <c r="C96" i="1"/>
  <c r="P95" i="1"/>
  <c r="E95" i="1"/>
  <c r="S94" i="1"/>
  <c r="G94" i="1"/>
  <c r="W93" i="1"/>
  <c r="I93" i="1"/>
  <c r="AN92" i="1"/>
  <c r="G92" i="1"/>
  <c r="W91" i="1"/>
  <c r="J91" i="1"/>
  <c r="AU90" i="1"/>
  <c r="H90" i="1"/>
  <c r="Z89" i="1"/>
  <c r="F89" i="1"/>
  <c r="L220" i="1"/>
  <c r="AN216" i="1"/>
  <c r="E215" i="1"/>
  <c r="I213" i="1"/>
  <c r="P211" i="1"/>
  <c r="W209" i="1"/>
  <c r="D208" i="1"/>
  <c r="H206" i="1"/>
  <c r="O204" i="1"/>
  <c r="U202" i="1"/>
  <c r="AN200" i="1"/>
  <c r="F199" i="1"/>
  <c r="J197" i="1"/>
  <c r="Q195" i="1"/>
  <c r="Z193" i="1"/>
  <c r="C192" i="1"/>
  <c r="G190" i="1"/>
  <c r="L188" i="1"/>
  <c r="W186" i="1"/>
  <c r="I185" i="1"/>
  <c r="C184" i="1"/>
  <c r="U182" i="1"/>
  <c r="C182" i="1"/>
  <c r="J181" i="1"/>
  <c r="U180" i="1"/>
  <c r="D180" i="1"/>
  <c r="I179" i="1"/>
  <c r="Z178" i="1"/>
  <c r="H178" i="1"/>
  <c r="U177" i="1"/>
  <c r="D177" i="1"/>
  <c r="I176" i="1"/>
  <c r="Z175" i="1"/>
  <c r="E175" i="1"/>
  <c r="J174" i="1"/>
  <c r="AN173" i="1"/>
  <c r="H173" i="1"/>
  <c r="Z172" i="1"/>
  <c r="J172" i="1"/>
  <c r="AU171" i="1"/>
  <c r="O171" i="1"/>
  <c r="D171" i="1"/>
  <c r="J170" i="1"/>
  <c r="AU169" i="1"/>
  <c r="O169" i="1"/>
  <c r="D169" i="1"/>
  <c r="Q168" i="1"/>
  <c r="F168" i="1"/>
  <c r="U167" i="1"/>
  <c r="H167" i="1"/>
  <c r="Z166" i="1"/>
  <c r="J166" i="1"/>
  <c r="AU165" i="1"/>
  <c r="H165" i="1"/>
  <c r="Z164" i="1"/>
  <c r="J164" i="1"/>
  <c r="AU163" i="1"/>
  <c r="O163" i="1"/>
  <c r="D163" i="1"/>
  <c r="Q162" i="1"/>
  <c r="F162" i="1"/>
  <c r="U161" i="1"/>
  <c r="H161" i="1"/>
  <c r="Z160" i="1"/>
  <c r="J160" i="1"/>
  <c r="AU159" i="1"/>
  <c r="O159" i="1"/>
  <c r="D159" i="1"/>
  <c r="Q158" i="1"/>
  <c r="F158" i="1"/>
  <c r="U157" i="1"/>
  <c r="H157" i="1"/>
  <c r="Z156" i="1"/>
  <c r="J156" i="1"/>
  <c r="AU155" i="1"/>
  <c r="O155" i="1"/>
  <c r="D155" i="1"/>
  <c r="Q154" i="1"/>
  <c r="F154" i="1"/>
  <c r="U153" i="1"/>
  <c r="H153" i="1"/>
  <c r="Z152" i="1"/>
  <c r="F152" i="1"/>
  <c r="U151" i="1"/>
  <c r="I151" i="1"/>
  <c r="AN150" i="1"/>
  <c r="G150" i="1"/>
  <c r="U149" i="1"/>
  <c r="E149" i="1"/>
  <c r="L148" i="1"/>
  <c r="C148" i="1"/>
  <c r="J147" i="1"/>
  <c r="AU146" i="1"/>
  <c r="O146" i="1"/>
  <c r="D146" i="1"/>
  <c r="Q145" i="1"/>
  <c r="F145" i="1"/>
  <c r="U144" i="1"/>
  <c r="I144" i="1"/>
  <c r="AN143" i="1"/>
  <c r="G143" i="1"/>
  <c r="W142" i="1"/>
  <c r="I142" i="1"/>
  <c r="AN141" i="1"/>
  <c r="L141" i="1"/>
  <c r="C141" i="1"/>
  <c r="P140" i="1"/>
  <c r="E140" i="1"/>
  <c r="S139" i="1"/>
  <c r="G139" i="1"/>
  <c r="U138" i="1"/>
  <c r="E138" i="1"/>
  <c r="S137" i="1"/>
  <c r="H137" i="1"/>
  <c r="Z136" i="1"/>
  <c r="J136" i="1"/>
  <c r="AU135" i="1"/>
  <c r="O135" i="1"/>
  <c r="D135" i="1"/>
  <c r="R134" i="1"/>
  <c r="G134" i="1"/>
  <c r="W133" i="1"/>
  <c r="I133" i="1"/>
  <c r="AN132" i="1"/>
  <c r="L132" i="1"/>
  <c r="C132" i="1"/>
  <c r="P131" i="1"/>
  <c r="E131" i="1"/>
  <c r="S130" i="1"/>
  <c r="G130" i="1"/>
  <c r="W129" i="1"/>
  <c r="I129" i="1"/>
  <c r="AN128" i="1"/>
  <c r="L128" i="1"/>
  <c r="C128" i="1"/>
  <c r="P127" i="1"/>
  <c r="E127" i="1"/>
  <c r="S126" i="1"/>
  <c r="G126" i="1"/>
  <c r="W125" i="1"/>
  <c r="I125" i="1"/>
  <c r="AN124" i="1"/>
  <c r="L124" i="1"/>
  <c r="C124" i="1"/>
  <c r="I123" i="1"/>
  <c r="AN122" i="1"/>
  <c r="O122" i="1"/>
  <c r="D122" i="1"/>
  <c r="J121" i="1"/>
  <c r="AU120" i="1"/>
  <c r="H120" i="1"/>
  <c r="Z119" i="1"/>
  <c r="F119" i="1"/>
  <c r="U118" i="1"/>
  <c r="E118" i="1"/>
  <c r="S117" i="1"/>
  <c r="G117" i="1"/>
  <c r="W116" i="1"/>
  <c r="I116" i="1"/>
  <c r="AN115" i="1"/>
  <c r="O115" i="1"/>
  <c r="D115" i="1"/>
  <c r="J114" i="1"/>
  <c r="AU113" i="1"/>
  <c r="O113" i="1"/>
  <c r="D113" i="1"/>
  <c r="Q112" i="1"/>
  <c r="F112" i="1"/>
  <c r="U111" i="1"/>
  <c r="H111" i="1"/>
  <c r="Z110" i="1"/>
  <c r="I110" i="1"/>
  <c r="AN109" i="1"/>
  <c r="L109" i="1"/>
  <c r="C109" i="1"/>
  <c r="I108" i="1"/>
  <c r="AN107" i="1"/>
  <c r="O107" i="1"/>
  <c r="D107" i="1"/>
  <c r="Q106" i="1"/>
  <c r="F106" i="1"/>
  <c r="U105" i="1"/>
  <c r="H105" i="1"/>
  <c r="Z104" i="1"/>
  <c r="L104" i="1"/>
  <c r="C104" i="1"/>
  <c r="P103" i="1"/>
  <c r="E103" i="1"/>
  <c r="S102" i="1"/>
  <c r="G102" i="1"/>
  <c r="W101" i="1"/>
  <c r="I101" i="1"/>
  <c r="AN100" i="1"/>
  <c r="J100" i="1"/>
  <c r="AU99" i="1"/>
  <c r="O99" i="1"/>
  <c r="D99" i="1"/>
  <c r="Q98" i="1"/>
  <c r="F98" i="1"/>
  <c r="U97" i="1"/>
  <c r="H97" i="1"/>
  <c r="Z96" i="1"/>
  <c r="J96" i="1"/>
  <c r="AU95" i="1"/>
  <c r="O95" i="1"/>
  <c r="D95" i="1"/>
  <c r="Q94" i="1"/>
  <c r="F94" i="1"/>
  <c r="U93" i="1"/>
  <c r="H93" i="1"/>
  <c r="Z92" i="1"/>
  <c r="F92" i="1"/>
  <c r="U91" i="1"/>
  <c r="I91" i="1"/>
  <c r="AN90" i="1"/>
  <c r="G90" i="1"/>
  <c r="U89" i="1"/>
  <c r="E89" i="1"/>
  <c r="L88" i="1"/>
  <c r="C88" i="1"/>
  <c r="J87" i="1"/>
  <c r="AU86" i="1"/>
  <c r="O86" i="1"/>
  <c r="D86" i="1"/>
  <c r="Q85" i="1"/>
  <c r="F85" i="1"/>
  <c r="U84" i="1"/>
  <c r="I84" i="1"/>
  <c r="AN83" i="1"/>
  <c r="G83" i="1"/>
  <c r="W82" i="1"/>
  <c r="I82" i="1"/>
  <c r="AN81" i="1"/>
  <c r="L81" i="1"/>
  <c r="C81" i="1"/>
  <c r="P80" i="1"/>
  <c r="E80" i="1"/>
  <c r="S79" i="1"/>
  <c r="G79" i="1"/>
  <c r="U78" i="1"/>
  <c r="E78" i="1"/>
  <c r="S77" i="1"/>
  <c r="H77" i="1"/>
  <c r="Z76" i="1"/>
  <c r="J76" i="1"/>
  <c r="AU75" i="1"/>
  <c r="O75" i="1"/>
  <c r="D75" i="1"/>
  <c r="R74" i="1"/>
  <c r="G74" i="1"/>
  <c r="W73" i="1"/>
  <c r="I73" i="1"/>
  <c r="AN72" i="1"/>
  <c r="L72" i="1"/>
  <c r="C72" i="1"/>
  <c r="P71" i="1"/>
  <c r="E71" i="1"/>
  <c r="S70" i="1"/>
  <c r="G70" i="1"/>
  <c r="W69" i="1"/>
  <c r="C220" i="1"/>
  <c r="S216" i="1"/>
  <c r="AN214" i="1"/>
  <c r="E213" i="1"/>
  <c r="I211" i="1"/>
  <c r="Q209" i="1"/>
  <c r="Z207" i="1"/>
  <c r="D206" i="1"/>
  <c r="H204" i="1"/>
  <c r="L202" i="1"/>
  <c r="S200" i="1"/>
  <c r="AU198" i="1"/>
  <c r="F197" i="1"/>
  <c r="J195" i="1"/>
  <c r="R193" i="1"/>
  <c r="W191" i="1"/>
  <c r="C190" i="1"/>
  <c r="G188" i="1"/>
  <c r="S186" i="1"/>
  <c r="G185" i="1"/>
  <c r="U183" i="1"/>
  <c r="S182" i="1"/>
  <c r="AU181" i="1"/>
  <c r="I181" i="1"/>
  <c r="S180" i="1"/>
  <c r="C180" i="1"/>
  <c r="H179" i="1"/>
  <c r="U178" i="1"/>
  <c r="G178" i="1"/>
  <c r="S177" i="1"/>
  <c r="C177" i="1"/>
  <c r="H176" i="1"/>
  <c r="U175" i="1"/>
  <c r="D175" i="1"/>
  <c r="H174" i="1"/>
  <c r="Z173" i="1"/>
  <c r="G173" i="1"/>
  <c r="W172" i="1"/>
  <c r="I172" i="1"/>
  <c r="AN171" i="1"/>
  <c r="L171" i="1"/>
  <c r="C171" i="1"/>
  <c r="I170" i="1"/>
  <c r="AN169" i="1"/>
  <c r="L169" i="1"/>
  <c r="C169" i="1"/>
  <c r="P168" i="1"/>
  <c r="E168" i="1"/>
  <c r="S167" i="1"/>
  <c r="G167" i="1"/>
  <c r="W166" i="1"/>
  <c r="I166" i="1"/>
  <c r="AN165" i="1"/>
  <c r="G165" i="1"/>
  <c r="W164" i="1"/>
  <c r="I164" i="1"/>
  <c r="AN163" i="1"/>
  <c r="L163" i="1"/>
  <c r="C163" i="1"/>
  <c r="P162" i="1"/>
  <c r="E162" i="1"/>
  <c r="S161" i="1"/>
  <c r="G161" i="1"/>
  <c r="W160" i="1"/>
  <c r="I160" i="1"/>
  <c r="AN159" i="1"/>
  <c r="L159" i="1"/>
  <c r="C159" i="1"/>
  <c r="P158" i="1"/>
  <c r="E158" i="1"/>
  <c r="S157" i="1"/>
  <c r="G157" i="1"/>
  <c r="W156" i="1"/>
  <c r="I156" i="1"/>
  <c r="AN155" i="1"/>
  <c r="L155" i="1"/>
  <c r="C155" i="1"/>
  <c r="P154" i="1"/>
  <c r="E154" i="1"/>
  <c r="S153" i="1"/>
  <c r="G153" i="1"/>
  <c r="U152" i="1"/>
  <c r="E152" i="1"/>
  <c r="S151" i="1"/>
  <c r="H151" i="1"/>
  <c r="Z150" i="1"/>
  <c r="F150" i="1"/>
  <c r="S149" i="1"/>
  <c r="D149" i="1"/>
  <c r="J148" i="1"/>
  <c r="AU147" i="1"/>
  <c r="I147" i="1"/>
  <c r="AN146" i="1"/>
  <c r="L146" i="1"/>
  <c r="C146" i="1"/>
  <c r="P145" i="1"/>
  <c r="E145" i="1"/>
  <c r="S144" i="1"/>
  <c r="H144" i="1"/>
  <c r="Z143" i="1"/>
  <c r="F143" i="1"/>
  <c r="U142" i="1"/>
  <c r="H142" i="1"/>
  <c r="Z141" i="1"/>
  <c r="J141" i="1"/>
  <c r="AU140" i="1"/>
  <c r="O140" i="1"/>
  <c r="D140" i="1"/>
  <c r="Q139" i="1"/>
  <c r="F139" i="1"/>
  <c r="S138" i="1"/>
  <c r="D138" i="1"/>
  <c r="R137" i="1"/>
  <c r="G137" i="1"/>
  <c r="W136" i="1"/>
  <c r="I136" i="1"/>
  <c r="AN135" i="1"/>
  <c r="L135" i="1"/>
  <c r="C135" i="1"/>
  <c r="Q134" i="1"/>
  <c r="F134" i="1"/>
  <c r="U133" i="1"/>
  <c r="H133" i="1"/>
  <c r="Z132" i="1"/>
  <c r="J132" i="1"/>
  <c r="AU131" i="1"/>
  <c r="O131" i="1"/>
  <c r="D131" i="1"/>
  <c r="Q130" i="1"/>
  <c r="F130" i="1"/>
  <c r="U129" i="1"/>
  <c r="H129" i="1"/>
  <c r="Z128" i="1"/>
  <c r="J128" i="1"/>
  <c r="AU127" i="1"/>
  <c r="O127" i="1"/>
  <c r="D127" i="1"/>
  <c r="Q126" i="1"/>
  <c r="F126" i="1"/>
  <c r="U125" i="1"/>
  <c r="H125" i="1"/>
  <c r="Z124" i="1"/>
  <c r="J124" i="1"/>
  <c r="AU123" i="1"/>
  <c r="H123" i="1"/>
  <c r="Z122" i="1"/>
  <c r="L122" i="1"/>
  <c r="C122" i="1"/>
  <c r="I121" i="1"/>
  <c r="AN120" i="1"/>
  <c r="G120" i="1"/>
  <c r="U119" i="1"/>
  <c r="E119" i="1"/>
  <c r="S118" i="1"/>
  <c r="D118" i="1"/>
  <c r="Q117" i="1"/>
  <c r="F117" i="1"/>
  <c r="U116" i="1"/>
  <c r="H116" i="1"/>
  <c r="Z115" i="1"/>
  <c r="L115" i="1"/>
  <c r="C115" i="1"/>
  <c r="I114" i="1"/>
  <c r="AN113" i="1"/>
  <c r="L113" i="1"/>
  <c r="C113" i="1"/>
  <c r="P112" i="1"/>
  <c r="E112" i="1"/>
  <c r="S111" i="1"/>
  <c r="G111" i="1"/>
  <c r="W110" i="1"/>
  <c r="H110" i="1"/>
  <c r="Z109" i="1"/>
  <c r="J109" i="1"/>
  <c r="AU108" i="1"/>
  <c r="H108" i="1"/>
  <c r="Z107" i="1"/>
  <c r="L107" i="1"/>
  <c r="C107" i="1"/>
  <c r="P106" i="1"/>
  <c r="E106" i="1"/>
  <c r="S105" i="1"/>
  <c r="G105" i="1"/>
  <c r="W104" i="1"/>
  <c r="J104" i="1"/>
  <c r="AU103" i="1"/>
  <c r="O103" i="1"/>
  <c r="D103" i="1"/>
  <c r="Q102" i="1"/>
  <c r="F102" i="1"/>
  <c r="U101" i="1"/>
  <c r="H101" i="1"/>
  <c r="Z100" i="1"/>
  <c r="I100" i="1"/>
  <c r="AN99" i="1"/>
  <c r="L99" i="1"/>
  <c r="C99" i="1"/>
  <c r="P98" i="1"/>
  <c r="E98" i="1"/>
  <c r="S97" i="1"/>
  <c r="G97" i="1"/>
  <c r="W96" i="1"/>
  <c r="I96" i="1"/>
  <c r="AN95" i="1"/>
  <c r="P219" i="1"/>
  <c r="L216" i="1"/>
  <c r="S214" i="1"/>
  <c r="AN212" i="1"/>
  <c r="E211" i="1"/>
  <c r="J209" i="1"/>
  <c r="Q207" i="1"/>
  <c r="Z205" i="1"/>
  <c r="D204" i="1"/>
  <c r="G202" i="1"/>
  <c r="O200" i="1"/>
  <c r="U198" i="1"/>
  <c r="AU196" i="1"/>
  <c r="F195" i="1"/>
  <c r="I193" i="1"/>
  <c r="P191" i="1"/>
  <c r="W189" i="1"/>
  <c r="C188" i="1"/>
  <c r="L186" i="1"/>
  <c r="E185" i="1"/>
  <c r="L183" i="1"/>
  <c r="L182" i="1"/>
  <c r="Z181" i="1"/>
  <c r="G181" i="1"/>
  <c r="L180" i="1"/>
  <c r="AU179" i="1"/>
  <c r="F179" i="1"/>
  <c r="S178" i="1"/>
  <c r="F178" i="1"/>
  <c r="L177" i="1"/>
  <c r="AU176" i="1"/>
  <c r="G176" i="1"/>
  <c r="S175" i="1"/>
  <c r="AU174" i="1"/>
  <c r="G174" i="1"/>
  <c r="W173" i="1"/>
  <c r="F173" i="1"/>
  <c r="U172" i="1"/>
  <c r="H172" i="1"/>
  <c r="Z171" i="1"/>
  <c r="J171" i="1"/>
  <c r="AU170" i="1"/>
  <c r="H170" i="1"/>
  <c r="Z169" i="1"/>
  <c r="J169" i="1"/>
  <c r="AU168" i="1"/>
  <c r="O168" i="1"/>
  <c r="D168" i="1"/>
  <c r="Q167" i="1"/>
  <c r="F167" i="1"/>
  <c r="U166" i="1"/>
  <c r="H166" i="1"/>
  <c r="Z165" i="1"/>
  <c r="F165" i="1"/>
  <c r="U164" i="1"/>
  <c r="H164" i="1"/>
  <c r="Z163" i="1"/>
  <c r="J163" i="1"/>
  <c r="AU162" i="1"/>
  <c r="O162" i="1"/>
  <c r="D162" i="1"/>
  <c r="Q161" i="1"/>
  <c r="F161" i="1"/>
  <c r="U160" i="1"/>
  <c r="H160" i="1"/>
  <c r="Z159" i="1"/>
  <c r="J159" i="1"/>
  <c r="AU158" i="1"/>
  <c r="O158" i="1"/>
  <c r="D158" i="1"/>
  <c r="Q157" i="1"/>
  <c r="F157" i="1"/>
  <c r="U156" i="1"/>
  <c r="H156" i="1"/>
  <c r="Z155" i="1"/>
  <c r="J155" i="1"/>
  <c r="AU154" i="1"/>
  <c r="O154" i="1"/>
  <c r="D154" i="1"/>
  <c r="Q153" i="1"/>
  <c r="F153" i="1"/>
  <c r="S152" i="1"/>
  <c r="D152" i="1"/>
  <c r="R151" i="1"/>
  <c r="G151" i="1"/>
  <c r="U150" i="1"/>
  <c r="E150" i="1"/>
  <c r="L149" i="1"/>
  <c r="C149" i="1"/>
  <c r="I148" i="1"/>
  <c r="AN147" i="1"/>
  <c r="H147" i="1"/>
  <c r="Z146" i="1"/>
  <c r="J146" i="1"/>
  <c r="AU145" i="1"/>
  <c r="O145" i="1"/>
  <c r="D145" i="1"/>
  <c r="R144" i="1"/>
  <c r="G144" i="1"/>
  <c r="U143" i="1"/>
  <c r="E143" i="1"/>
  <c r="S142" i="1"/>
  <c r="G142" i="1"/>
  <c r="W141" i="1"/>
  <c r="I141" i="1"/>
  <c r="AN140" i="1"/>
  <c r="L140" i="1"/>
  <c r="C140" i="1"/>
  <c r="P139" i="1"/>
  <c r="E139" i="1"/>
  <c r="L138" i="1"/>
  <c r="C138" i="1"/>
  <c r="Q137" i="1"/>
  <c r="F137" i="1"/>
  <c r="U136" i="1"/>
  <c r="H136" i="1"/>
  <c r="Z135" i="1"/>
  <c r="J135" i="1"/>
  <c r="AU134" i="1"/>
  <c r="P134" i="1"/>
  <c r="E134" i="1"/>
  <c r="S133" i="1"/>
  <c r="G133" i="1"/>
  <c r="W132" i="1"/>
  <c r="I132" i="1"/>
  <c r="AN131" i="1"/>
  <c r="L131" i="1"/>
  <c r="C131" i="1"/>
  <c r="P130" i="1"/>
  <c r="E130" i="1"/>
  <c r="S129" i="1"/>
  <c r="G129" i="1"/>
  <c r="W128" i="1"/>
  <c r="I128" i="1"/>
  <c r="AN127" i="1"/>
  <c r="L127" i="1"/>
  <c r="C127" i="1"/>
  <c r="P126" i="1"/>
  <c r="E126" i="1"/>
  <c r="S125" i="1"/>
  <c r="G125" i="1"/>
  <c r="W124" i="1"/>
  <c r="I124" i="1"/>
  <c r="AN123" i="1"/>
  <c r="G123" i="1"/>
  <c r="W122" i="1"/>
  <c r="J122" i="1"/>
  <c r="AU121" i="1"/>
  <c r="H121" i="1"/>
  <c r="Z120" i="1"/>
  <c r="F120" i="1"/>
  <c r="S119" i="1"/>
  <c r="D119" i="1"/>
  <c r="L118" i="1"/>
  <c r="C118" i="1"/>
  <c r="P117" i="1"/>
  <c r="E117" i="1"/>
  <c r="S116" i="1"/>
  <c r="G116" i="1"/>
  <c r="W115" i="1"/>
  <c r="J115" i="1"/>
  <c r="AU114" i="1"/>
  <c r="H114" i="1"/>
  <c r="Z113" i="1"/>
  <c r="J113" i="1"/>
  <c r="AU112" i="1"/>
  <c r="O112" i="1"/>
  <c r="D112" i="1"/>
  <c r="Q111" i="1"/>
  <c r="F111" i="1"/>
  <c r="U110" i="1"/>
  <c r="G110" i="1"/>
  <c r="W109" i="1"/>
  <c r="I109" i="1"/>
  <c r="AN108" i="1"/>
  <c r="G108" i="1"/>
  <c r="W107" i="1"/>
  <c r="J107" i="1"/>
  <c r="AU106" i="1"/>
  <c r="O106" i="1"/>
  <c r="D106" i="1"/>
  <c r="Q105" i="1"/>
  <c r="F105" i="1"/>
  <c r="U104" i="1"/>
  <c r="I104" i="1"/>
  <c r="AN103" i="1"/>
  <c r="L103" i="1"/>
  <c r="C103" i="1"/>
  <c r="P102" i="1"/>
  <c r="E102" i="1"/>
  <c r="S101" i="1"/>
  <c r="G101" i="1"/>
  <c r="W100" i="1"/>
  <c r="H100" i="1"/>
  <c r="Z99" i="1"/>
  <c r="J99" i="1"/>
  <c r="AU98" i="1"/>
  <c r="O98" i="1"/>
  <c r="D98" i="1"/>
  <c r="Q97" i="1"/>
  <c r="F97" i="1"/>
  <c r="U96" i="1"/>
  <c r="H96" i="1"/>
  <c r="Z95" i="1"/>
  <c r="J95" i="1"/>
  <c r="AU94" i="1"/>
  <c r="O94" i="1"/>
  <c r="D94" i="1"/>
  <c r="Q93" i="1"/>
  <c r="F93" i="1"/>
  <c r="S92" i="1"/>
  <c r="D92" i="1"/>
  <c r="R91" i="1"/>
  <c r="G91" i="1"/>
  <c r="U90" i="1"/>
  <c r="E90" i="1"/>
  <c r="L89" i="1"/>
  <c r="C89" i="1"/>
  <c r="I88" i="1"/>
  <c r="AN87" i="1"/>
  <c r="H87" i="1"/>
  <c r="Z86" i="1"/>
  <c r="J86" i="1"/>
  <c r="AU85" i="1"/>
  <c r="O85" i="1"/>
  <c r="D85" i="1"/>
  <c r="R84" i="1"/>
  <c r="G84" i="1"/>
  <c r="U83" i="1"/>
  <c r="E83" i="1"/>
  <c r="S82" i="1"/>
  <c r="G82" i="1"/>
  <c r="W81" i="1"/>
  <c r="I81" i="1"/>
  <c r="AN80" i="1"/>
  <c r="L80" i="1"/>
  <c r="C80" i="1"/>
  <c r="P79" i="1"/>
  <c r="E79" i="1"/>
  <c r="L78" i="1"/>
  <c r="C78" i="1"/>
  <c r="Q77" i="1"/>
  <c r="F77" i="1"/>
  <c r="U76" i="1"/>
  <c r="H76" i="1"/>
  <c r="Z75" i="1"/>
  <c r="J75" i="1"/>
  <c r="AU74" i="1"/>
  <c r="P74" i="1"/>
  <c r="E74" i="1"/>
  <c r="S73" i="1"/>
  <c r="G73" i="1"/>
  <c r="W72" i="1"/>
  <c r="I72" i="1"/>
  <c r="AN71" i="1"/>
  <c r="L71" i="1"/>
  <c r="C71" i="1"/>
  <c r="P70" i="1"/>
  <c r="E70" i="1"/>
  <c r="S69" i="1"/>
  <c r="G69" i="1"/>
  <c r="W68" i="1"/>
  <c r="E219" i="1"/>
  <c r="G216" i="1"/>
  <c r="L214" i="1"/>
  <c r="S212" i="1"/>
  <c r="AN210" i="1"/>
  <c r="F209" i="1"/>
  <c r="J207" i="1"/>
  <c r="Q205" i="1"/>
  <c r="Z203" i="1"/>
  <c r="C202" i="1"/>
  <c r="H200" i="1"/>
  <c r="O198" i="1"/>
  <c r="U196" i="1"/>
  <c r="AU194" i="1"/>
  <c r="E193" i="1"/>
  <c r="I191" i="1"/>
  <c r="P189" i="1"/>
  <c r="W187" i="1"/>
  <c r="I186" i="1"/>
  <c r="AN184" i="1"/>
  <c r="I183" i="1"/>
  <c r="J182" i="1"/>
  <c r="W181" i="1"/>
  <c r="F181" i="1"/>
  <c r="J180" i="1"/>
  <c r="Z179" i="1"/>
  <c r="E179" i="1"/>
  <c r="Q178" i="1"/>
  <c r="E178" i="1"/>
  <c r="J177" i="1"/>
  <c r="AN176" i="1"/>
  <c r="F176" i="1"/>
  <c r="J175" i="1"/>
  <c r="AN174" i="1"/>
  <c r="F174" i="1"/>
  <c r="U173" i="1"/>
  <c r="E173" i="1"/>
  <c r="S172" i="1"/>
  <c r="G172" i="1"/>
  <c r="W171" i="1"/>
  <c r="I171" i="1"/>
  <c r="AN170" i="1"/>
  <c r="G170" i="1"/>
  <c r="W169" i="1"/>
  <c r="I169" i="1"/>
  <c r="AN168" i="1"/>
  <c r="L168" i="1"/>
  <c r="C168" i="1"/>
  <c r="P167" i="1"/>
  <c r="E167" i="1"/>
  <c r="S166" i="1"/>
  <c r="G166" i="1"/>
  <c r="U165" i="1"/>
  <c r="E165" i="1"/>
  <c r="S164" i="1"/>
  <c r="G164" i="1"/>
  <c r="W163" i="1"/>
  <c r="I163" i="1"/>
  <c r="AN162" i="1"/>
  <c r="L162" i="1"/>
  <c r="C162" i="1"/>
  <c r="P161" i="1"/>
  <c r="E161" i="1"/>
  <c r="S160" i="1"/>
  <c r="G160" i="1"/>
  <c r="W159" i="1"/>
  <c r="I159" i="1"/>
  <c r="AN158" i="1"/>
  <c r="L158" i="1"/>
  <c r="C158" i="1"/>
  <c r="P157" i="1"/>
  <c r="E157" i="1"/>
  <c r="S156" i="1"/>
  <c r="G156" i="1"/>
  <c r="W155" i="1"/>
  <c r="I155" i="1"/>
  <c r="AN154" i="1"/>
  <c r="L154" i="1"/>
  <c r="C154" i="1"/>
  <c r="P153" i="1"/>
  <c r="E153" i="1"/>
  <c r="L152" i="1"/>
  <c r="C152" i="1"/>
  <c r="Q151" i="1"/>
  <c r="F151" i="1"/>
  <c r="S150" i="1"/>
  <c r="D150" i="1"/>
  <c r="J149" i="1"/>
  <c r="AU148" i="1"/>
  <c r="H148" i="1"/>
  <c r="Z147" i="1"/>
  <c r="G147" i="1"/>
  <c r="W146" i="1"/>
  <c r="I146" i="1"/>
  <c r="AN145" i="1"/>
  <c r="L145" i="1"/>
  <c r="C145" i="1"/>
  <c r="Q144" i="1"/>
  <c r="F144" i="1"/>
  <c r="S143" i="1"/>
  <c r="D143" i="1"/>
  <c r="Q142" i="1"/>
  <c r="F142" i="1"/>
  <c r="U141" i="1"/>
  <c r="H141" i="1"/>
  <c r="Z140" i="1"/>
  <c r="J140" i="1"/>
  <c r="AU139" i="1"/>
  <c r="O139" i="1"/>
  <c r="D139" i="1"/>
  <c r="J138" i="1"/>
  <c r="AU137" i="1"/>
  <c r="P137" i="1"/>
  <c r="E137" i="1"/>
  <c r="S136" i="1"/>
  <c r="G136" i="1"/>
  <c r="W135" i="1"/>
  <c r="I135" i="1"/>
  <c r="AN134" i="1"/>
  <c r="O134" i="1"/>
  <c r="D134" i="1"/>
  <c r="Q133" i="1"/>
  <c r="F133" i="1"/>
  <c r="U132" i="1"/>
  <c r="H132" i="1"/>
  <c r="Z131" i="1"/>
  <c r="J131" i="1"/>
  <c r="AU130" i="1"/>
  <c r="O130" i="1"/>
  <c r="D130" i="1"/>
  <c r="Q129" i="1"/>
  <c r="F129" i="1"/>
  <c r="U128" i="1"/>
  <c r="H128" i="1"/>
  <c r="Z127" i="1"/>
  <c r="J127" i="1"/>
  <c r="AU126" i="1"/>
  <c r="O126" i="1"/>
  <c r="D126" i="1"/>
  <c r="Q125" i="1"/>
  <c r="F125" i="1"/>
  <c r="U124" i="1"/>
  <c r="H124" i="1"/>
  <c r="Z123" i="1"/>
  <c r="F123" i="1"/>
  <c r="U122" i="1"/>
  <c r="I122" i="1"/>
  <c r="AN121" i="1"/>
  <c r="G121" i="1"/>
  <c r="U120" i="1"/>
  <c r="E120" i="1"/>
  <c r="L119" i="1"/>
  <c r="C119" i="1"/>
  <c r="J118" i="1"/>
  <c r="AU117" i="1"/>
  <c r="O117" i="1"/>
  <c r="D117" i="1"/>
  <c r="Q116" i="1"/>
  <c r="F116" i="1"/>
  <c r="U115" i="1"/>
  <c r="I115" i="1"/>
  <c r="AN114" i="1"/>
  <c r="G114" i="1"/>
  <c r="W113" i="1"/>
  <c r="I113" i="1"/>
  <c r="AN112" i="1"/>
  <c r="L112" i="1"/>
  <c r="C112" i="1"/>
  <c r="P111" i="1"/>
  <c r="E111" i="1"/>
  <c r="S110" i="1"/>
  <c r="F110" i="1"/>
  <c r="U109" i="1"/>
  <c r="H109" i="1"/>
  <c r="Z108" i="1"/>
  <c r="F108" i="1"/>
  <c r="U107" i="1"/>
  <c r="I107" i="1"/>
  <c r="AN106" i="1"/>
  <c r="L106" i="1"/>
  <c r="C106" i="1"/>
  <c r="P105" i="1"/>
  <c r="E105" i="1"/>
  <c r="S104" i="1"/>
  <c r="H104" i="1"/>
  <c r="Z103" i="1"/>
  <c r="J103" i="1"/>
  <c r="AU102" i="1"/>
  <c r="O102" i="1"/>
  <c r="D102" i="1"/>
  <c r="Q101" i="1"/>
  <c r="F101" i="1"/>
  <c r="U100" i="1"/>
  <c r="G100" i="1"/>
  <c r="W99" i="1"/>
  <c r="I99" i="1"/>
  <c r="AN98" i="1"/>
  <c r="L98" i="1"/>
  <c r="C98" i="1"/>
  <c r="P97" i="1"/>
  <c r="E97" i="1"/>
  <c r="S96" i="1"/>
  <c r="G96" i="1"/>
  <c r="W95" i="1"/>
  <c r="I95" i="1"/>
  <c r="AN94" i="1"/>
  <c r="L94" i="1"/>
  <c r="C94" i="1"/>
  <c r="P93" i="1"/>
  <c r="E93" i="1"/>
  <c r="L92" i="1"/>
  <c r="C92" i="1"/>
  <c r="Q91" i="1"/>
  <c r="F91" i="1"/>
  <c r="S90" i="1"/>
  <c r="D90" i="1"/>
  <c r="J89" i="1"/>
  <c r="AU88" i="1"/>
  <c r="L218" i="1"/>
  <c r="C216" i="1"/>
  <c r="G214" i="1"/>
  <c r="L212" i="1"/>
  <c r="S210" i="1"/>
  <c r="AU208" i="1"/>
  <c r="F207" i="1"/>
  <c r="J205" i="1"/>
  <c r="Q203" i="1"/>
  <c r="W201" i="1"/>
  <c r="D200" i="1"/>
  <c r="H198" i="1"/>
  <c r="O196" i="1"/>
  <c r="U194" i="1"/>
  <c r="AN192" i="1"/>
  <c r="E191" i="1"/>
  <c r="I189" i="1"/>
  <c r="P187" i="1"/>
  <c r="G186" i="1"/>
  <c r="U184" i="1"/>
  <c r="E183" i="1"/>
  <c r="H182" i="1"/>
  <c r="S181" i="1"/>
  <c r="E181" i="1"/>
  <c r="H180" i="1"/>
  <c r="U179" i="1"/>
  <c r="D179" i="1"/>
  <c r="P178" i="1"/>
  <c r="D178" i="1"/>
  <c r="I177" i="1"/>
  <c r="Z176" i="1"/>
  <c r="D176" i="1"/>
  <c r="I175" i="1"/>
  <c r="Z174" i="1"/>
  <c r="E174" i="1"/>
  <c r="S173" i="1"/>
  <c r="D173" i="1"/>
  <c r="Q172" i="1"/>
  <c r="F172" i="1"/>
  <c r="U171" i="1"/>
  <c r="H171" i="1"/>
  <c r="Z170" i="1"/>
  <c r="F170" i="1"/>
  <c r="U169" i="1"/>
  <c r="H169" i="1"/>
  <c r="Z168" i="1"/>
  <c r="J168" i="1"/>
  <c r="AU167" i="1"/>
  <c r="O167" i="1"/>
  <c r="D167" i="1"/>
  <c r="Q166" i="1"/>
  <c r="F166" i="1"/>
  <c r="S165" i="1"/>
  <c r="D165" i="1"/>
  <c r="Q164" i="1"/>
  <c r="F164" i="1"/>
  <c r="U163" i="1"/>
  <c r="H163" i="1"/>
  <c r="Z162" i="1"/>
  <c r="J162" i="1"/>
  <c r="AU161" i="1"/>
  <c r="O161" i="1"/>
  <c r="D161" i="1"/>
  <c r="Q160" i="1"/>
  <c r="F160" i="1"/>
  <c r="U159" i="1"/>
  <c r="H159" i="1"/>
  <c r="Z158" i="1"/>
  <c r="J158" i="1"/>
  <c r="AU157" i="1"/>
  <c r="O157" i="1"/>
  <c r="D157" i="1"/>
  <c r="Q156" i="1"/>
  <c r="F156" i="1"/>
  <c r="U155" i="1"/>
  <c r="H155" i="1"/>
  <c r="Z154" i="1"/>
  <c r="J154" i="1"/>
  <c r="AU153" i="1"/>
  <c r="O153" i="1"/>
  <c r="D153" i="1"/>
  <c r="J152" i="1"/>
  <c r="AU151" i="1"/>
  <c r="P151" i="1"/>
  <c r="E151" i="1"/>
  <c r="L150" i="1"/>
  <c r="C150" i="1"/>
  <c r="I149" i="1"/>
  <c r="AN148" i="1"/>
  <c r="G148" i="1"/>
  <c r="W147" i="1"/>
  <c r="F147" i="1"/>
  <c r="U146" i="1"/>
  <c r="H146" i="1"/>
  <c r="Z145" i="1"/>
  <c r="J145" i="1"/>
  <c r="AU144" i="1"/>
  <c r="P144" i="1"/>
  <c r="E144" i="1"/>
  <c r="L143" i="1"/>
  <c r="C143" i="1"/>
  <c r="P142" i="1"/>
  <c r="E142" i="1"/>
  <c r="S141" i="1"/>
  <c r="G141" i="1"/>
  <c r="W140" i="1"/>
  <c r="I140" i="1"/>
  <c r="AN139" i="1"/>
  <c r="L139" i="1"/>
  <c r="C139" i="1"/>
  <c r="I138" i="1"/>
  <c r="AN137" i="1"/>
  <c r="O137" i="1"/>
  <c r="D137" i="1"/>
  <c r="Q136" i="1"/>
  <c r="F136" i="1"/>
  <c r="U135" i="1"/>
  <c r="H135" i="1"/>
  <c r="Z134" i="1"/>
  <c r="L134" i="1"/>
  <c r="C134" i="1"/>
  <c r="P133" i="1"/>
  <c r="E133" i="1"/>
  <c r="S132" i="1"/>
  <c r="G132" i="1"/>
  <c r="W131" i="1"/>
  <c r="I131" i="1"/>
  <c r="AN130" i="1"/>
  <c r="L130" i="1"/>
  <c r="C130" i="1"/>
  <c r="P129" i="1"/>
  <c r="E129" i="1"/>
  <c r="S128" i="1"/>
  <c r="G128" i="1"/>
  <c r="W127" i="1"/>
  <c r="I127" i="1"/>
  <c r="AN126" i="1"/>
  <c r="L126" i="1"/>
  <c r="C126" i="1"/>
  <c r="P125" i="1"/>
  <c r="E125" i="1"/>
  <c r="S124" i="1"/>
  <c r="G124" i="1"/>
  <c r="U123" i="1"/>
  <c r="E123" i="1"/>
  <c r="S122" i="1"/>
  <c r="H122" i="1"/>
  <c r="Z121" i="1"/>
  <c r="F121" i="1"/>
  <c r="S120" i="1"/>
  <c r="D120" i="1"/>
  <c r="J119" i="1"/>
  <c r="AU118" i="1"/>
  <c r="I118" i="1"/>
  <c r="AN117" i="1"/>
  <c r="L117" i="1"/>
  <c r="C117" i="1"/>
  <c r="P116" i="1"/>
  <c r="E116" i="1"/>
  <c r="S115" i="1"/>
  <c r="H115" i="1"/>
  <c r="Z114" i="1"/>
  <c r="F114" i="1"/>
  <c r="U113" i="1"/>
  <c r="H113" i="1"/>
  <c r="Z112" i="1"/>
  <c r="J112" i="1"/>
  <c r="AU111" i="1"/>
  <c r="O111" i="1"/>
  <c r="D111" i="1"/>
  <c r="R110" i="1"/>
  <c r="E110" i="1"/>
  <c r="S109" i="1"/>
  <c r="G109" i="1"/>
  <c r="U108" i="1"/>
  <c r="E108" i="1"/>
  <c r="S107" i="1"/>
  <c r="H107" i="1"/>
  <c r="Z106" i="1"/>
  <c r="J106" i="1"/>
  <c r="AU105" i="1"/>
  <c r="O105" i="1"/>
  <c r="D105" i="1"/>
  <c r="R104" i="1"/>
  <c r="G104" i="1"/>
  <c r="W103" i="1"/>
  <c r="I103" i="1"/>
  <c r="AN102" i="1"/>
  <c r="L102" i="1"/>
  <c r="C102" i="1"/>
  <c r="P101" i="1"/>
  <c r="E101" i="1"/>
  <c r="S100" i="1"/>
  <c r="F100" i="1"/>
  <c r="U99" i="1"/>
  <c r="H99" i="1"/>
  <c r="Z98" i="1"/>
  <c r="J98" i="1"/>
  <c r="AU97" i="1"/>
  <c r="O97" i="1"/>
  <c r="D97" i="1"/>
  <c r="Q96" i="1"/>
  <c r="F96" i="1"/>
  <c r="U95" i="1"/>
  <c r="H95" i="1"/>
  <c r="Z94" i="1"/>
  <c r="J94" i="1"/>
  <c r="AU93" i="1"/>
  <c r="O93" i="1"/>
  <c r="D93" i="1"/>
  <c r="J92" i="1"/>
  <c r="AU91" i="1"/>
  <c r="P91" i="1"/>
  <c r="E91" i="1"/>
  <c r="L90" i="1"/>
  <c r="C90" i="1"/>
  <c r="I89" i="1"/>
  <c r="AN88" i="1"/>
  <c r="G88" i="1"/>
  <c r="W87" i="1"/>
  <c r="F87" i="1"/>
  <c r="U86" i="1"/>
  <c r="H86" i="1"/>
  <c r="Z85" i="1"/>
  <c r="J85" i="1"/>
  <c r="AU84" i="1"/>
  <c r="P84" i="1"/>
  <c r="E84" i="1"/>
  <c r="L83" i="1"/>
  <c r="C83" i="1"/>
  <c r="P82" i="1"/>
  <c r="E82" i="1"/>
  <c r="S81" i="1"/>
  <c r="G81" i="1"/>
  <c r="W80" i="1"/>
  <c r="I80" i="1"/>
  <c r="AN79" i="1"/>
  <c r="L79" i="1"/>
  <c r="C79" i="1"/>
  <c r="I78" i="1"/>
  <c r="AN77" i="1"/>
  <c r="O77" i="1"/>
  <c r="D77" i="1"/>
  <c r="Q76" i="1"/>
  <c r="F76" i="1"/>
  <c r="U75" i="1"/>
  <c r="H75" i="1"/>
  <c r="Z74" i="1"/>
  <c r="L74" i="1"/>
  <c r="C74" i="1"/>
  <c r="P73" i="1"/>
  <c r="E73" i="1"/>
  <c r="S72" i="1"/>
  <c r="G72" i="1"/>
  <c r="W71" i="1"/>
  <c r="C218" i="1"/>
  <c r="W215" i="1"/>
  <c r="C214" i="1"/>
  <c r="G212" i="1"/>
  <c r="L210" i="1"/>
  <c r="U208" i="1"/>
  <c r="AU206" i="1"/>
  <c r="F205" i="1"/>
  <c r="J203" i="1"/>
  <c r="P201" i="1"/>
  <c r="Z199" i="1"/>
  <c r="D198" i="1"/>
  <c r="H196" i="1"/>
  <c r="O194" i="1"/>
  <c r="S192" i="1"/>
  <c r="AN190" i="1"/>
  <c r="E189" i="1"/>
  <c r="I187" i="1"/>
  <c r="C186" i="1"/>
  <c r="L184" i="1"/>
  <c r="C183" i="1"/>
  <c r="G182" i="1"/>
  <c r="Q181" i="1"/>
  <c r="D181" i="1"/>
  <c r="G180" i="1"/>
  <c r="S179" i="1"/>
  <c r="C179" i="1"/>
  <c r="O178" i="1"/>
  <c r="C178" i="1"/>
  <c r="H177" i="1"/>
  <c r="S176" i="1"/>
  <c r="C176" i="1"/>
  <c r="H175" i="1"/>
  <c r="U174" i="1"/>
  <c r="D174" i="1"/>
  <c r="L173" i="1"/>
  <c r="C173" i="1"/>
  <c r="P172" i="1"/>
  <c r="E172" i="1"/>
  <c r="S171" i="1"/>
  <c r="G171" i="1"/>
  <c r="U170" i="1"/>
  <c r="E170" i="1"/>
  <c r="S169" i="1"/>
  <c r="G169" i="1"/>
  <c r="W168" i="1"/>
  <c r="I168" i="1"/>
  <c r="AN167" i="1"/>
  <c r="L167" i="1"/>
  <c r="C167" i="1"/>
  <c r="P166" i="1"/>
  <c r="E166" i="1"/>
  <c r="L165" i="1"/>
  <c r="C165" i="1"/>
  <c r="P164" i="1"/>
  <c r="E164" i="1"/>
  <c r="S163" i="1"/>
  <c r="G163" i="1"/>
  <c r="W162" i="1"/>
  <c r="I162" i="1"/>
  <c r="AN161" i="1"/>
  <c r="L161" i="1"/>
  <c r="C161" i="1"/>
  <c r="P160" i="1"/>
  <c r="E160" i="1"/>
  <c r="S159" i="1"/>
  <c r="G159" i="1"/>
  <c r="W158" i="1"/>
  <c r="I158" i="1"/>
  <c r="AN157" i="1"/>
  <c r="L157" i="1"/>
  <c r="C157" i="1"/>
  <c r="P156" i="1"/>
  <c r="E156" i="1"/>
  <c r="S155" i="1"/>
  <c r="G155" i="1"/>
  <c r="W154" i="1"/>
  <c r="I154" i="1"/>
  <c r="AN153" i="1"/>
  <c r="L153" i="1"/>
  <c r="C153" i="1"/>
  <c r="I152" i="1"/>
  <c r="AN151" i="1"/>
  <c r="O151" i="1"/>
  <c r="D151" i="1"/>
  <c r="J150" i="1"/>
  <c r="AU149" i="1"/>
  <c r="H149" i="1"/>
  <c r="Z148" i="1"/>
  <c r="F148" i="1"/>
  <c r="U147" i="1"/>
  <c r="E147" i="1"/>
  <c r="S146" i="1"/>
  <c r="G146" i="1"/>
  <c r="W145" i="1"/>
  <c r="I145" i="1"/>
  <c r="AN144" i="1"/>
  <c r="O144" i="1"/>
  <c r="D144" i="1"/>
  <c r="J143" i="1"/>
  <c r="AU142" i="1"/>
  <c r="O142" i="1"/>
  <c r="D142" i="1"/>
  <c r="Q141" i="1"/>
  <c r="F141" i="1"/>
  <c r="U140" i="1"/>
  <c r="H140" i="1"/>
  <c r="Z139" i="1"/>
  <c r="J139" i="1"/>
  <c r="AU138" i="1"/>
  <c r="H138" i="1"/>
  <c r="Z137" i="1"/>
  <c r="L137" i="1"/>
  <c r="C137" i="1"/>
  <c r="P136" i="1"/>
  <c r="E136" i="1"/>
  <c r="S135" i="1"/>
  <c r="G135" i="1"/>
  <c r="W134" i="1"/>
  <c r="J134" i="1"/>
  <c r="AU133" i="1"/>
  <c r="O133" i="1"/>
  <c r="D133" i="1"/>
  <c r="Q132" i="1"/>
  <c r="F132" i="1"/>
  <c r="U131" i="1"/>
  <c r="H131" i="1"/>
  <c r="Z130" i="1"/>
  <c r="J130" i="1"/>
  <c r="AU129" i="1"/>
  <c r="O129" i="1"/>
  <c r="D129" i="1"/>
  <c r="Q128" i="1"/>
  <c r="F128" i="1"/>
  <c r="U127" i="1"/>
  <c r="H127" i="1"/>
  <c r="Z126" i="1"/>
  <c r="J126" i="1"/>
  <c r="AU125" i="1"/>
  <c r="O125" i="1"/>
  <c r="D125" i="1"/>
  <c r="Q124" i="1"/>
  <c r="F124" i="1"/>
  <c r="S123" i="1"/>
  <c r="D123" i="1"/>
  <c r="R122" i="1"/>
  <c r="G122" i="1"/>
  <c r="U121" i="1"/>
  <c r="E121" i="1"/>
  <c r="L120" i="1"/>
  <c r="C120" i="1"/>
  <c r="I119" i="1"/>
  <c r="AN118" i="1"/>
  <c r="H118" i="1"/>
  <c r="Z117" i="1"/>
  <c r="J117" i="1"/>
  <c r="AU116" i="1"/>
  <c r="O116" i="1"/>
  <c r="D116" i="1"/>
  <c r="R115" i="1"/>
  <c r="G115" i="1"/>
  <c r="U114" i="1"/>
  <c r="E114" i="1"/>
  <c r="S113" i="1"/>
  <c r="G113" i="1"/>
  <c r="W112" i="1"/>
  <c r="I112" i="1"/>
  <c r="AN111" i="1"/>
  <c r="L111" i="1"/>
  <c r="C111" i="1"/>
  <c r="Q110" i="1"/>
  <c r="D110" i="1"/>
  <c r="Q109" i="1"/>
  <c r="F109" i="1"/>
  <c r="S108" i="1"/>
  <c r="D108" i="1"/>
  <c r="R107" i="1"/>
  <c r="G107" i="1"/>
  <c r="W106" i="1"/>
  <c r="I106" i="1"/>
  <c r="AN105" i="1"/>
  <c r="L105" i="1"/>
  <c r="C105" i="1"/>
  <c r="Q104" i="1"/>
  <c r="F104" i="1"/>
  <c r="U103" i="1"/>
  <c r="H103" i="1"/>
  <c r="Z102" i="1"/>
  <c r="J102" i="1"/>
  <c r="P217" i="1"/>
  <c r="P215" i="1"/>
  <c r="W213" i="1"/>
  <c r="C212" i="1"/>
  <c r="G210" i="1"/>
  <c r="N208" i="1"/>
  <c r="U206" i="1"/>
  <c r="AU204" i="1"/>
  <c r="F203" i="1"/>
  <c r="I201" i="1"/>
  <c r="R199" i="1"/>
  <c r="Z197" i="1"/>
  <c r="D196" i="1"/>
  <c r="H194" i="1"/>
  <c r="L192" i="1"/>
  <c r="S190" i="1"/>
  <c r="AN188" i="1"/>
  <c r="E187" i="1"/>
  <c r="AN185" i="1"/>
  <c r="G184" i="1"/>
  <c r="AN182" i="1"/>
  <c r="E182" i="1"/>
  <c r="P181" i="1"/>
  <c r="AU180" i="1"/>
  <c r="F180" i="1"/>
  <c r="L179" i="1"/>
  <c r="AU178" i="1"/>
  <c r="L178" i="1"/>
  <c r="AU177" i="1"/>
  <c r="F177" i="1"/>
  <c r="L176" i="1"/>
  <c r="AU175" i="1"/>
  <c r="G175" i="1"/>
  <c r="S174" i="1"/>
  <c r="C174" i="1"/>
  <c r="J173" i="1"/>
  <c r="AU172" i="1"/>
  <c r="O172" i="1"/>
  <c r="D172" i="1"/>
  <c r="Q171" i="1"/>
  <c r="F171" i="1"/>
  <c r="S170" i="1"/>
  <c r="D170" i="1"/>
  <c r="Q169" i="1"/>
  <c r="F169" i="1"/>
  <c r="U168" i="1"/>
  <c r="H168" i="1"/>
  <c r="Z167" i="1"/>
  <c r="J167" i="1"/>
  <c r="AU166" i="1"/>
  <c r="O166" i="1"/>
  <c r="D166" i="1"/>
  <c r="J165" i="1"/>
  <c r="AU164" i="1"/>
  <c r="O164" i="1"/>
  <c r="D164" i="1"/>
  <c r="Q163" i="1"/>
  <c r="F163" i="1"/>
  <c r="U162" i="1"/>
  <c r="H162" i="1"/>
  <c r="Z161" i="1"/>
  <c r="J161" i="1"/>
  <c r="AU160" i="1"/>
  <c r="O160" i="1"/>
  <c r="D160" i="1"/>
  <c r="Q159" i="1"/>
  <c r="F159" i="1"/>
  <c r="U158" i="1"/>
  <c r="H158" i="1"/>
  <c r="Z157" i="1"/>
  <c r="J157" i="1"/>
  <c r="AU156" i="1"/>
  <c r="O156" i="1"/>
  <c r="D156" i="1"/>
  <c r="Q155" i="1"/>
  <c r="F155" i="1"/>
  <c r="U154" i="1"/>
  <c r="H154" i="1"/>
  <c r="Z153" i="1"/>
  <c r="J153" i="1"/>
  <c r="AU152" i="1"/>
  <c r="H152" i="1"/>
  <c r="Z151" i="1"/>
  <c r="L151" i="1"/>
  <c r="C151" i="1"/>
  <c r="I150" i="1"/>
  <c r="AN149" i="1"/>
  <c r="G149" i="1"/>
  <c r="U148" i="1"/>
  <c r="E148" i="1"/>
  <c r="S147" i="1"/>
  <c r="D147" i="1"/>
  <c r="Q146" i="1"/>
  <c r="F146" i="1"/>
  <c r="U145" i="1"/>
  <c r="H145" i="1"/>
  <c r="Z144" i="1"/>
  <c r="L144" i="1"/>
  <c r="C144" i="1"/>
  <c r="I143" i="1"/>
  <c r="AN142" i="1"/>
  <c r="L142" i="1"/>
  <c r="C142" i="1"/>
  <c r="P141" i="1"/>
  <c r="E141" i="1"/>
  <c r="S140" i="1"/>
  <c r="G140" i="1"/>
  <c r="W139" i="1"/>
  <c r="I139" i="1"/>
  <c r="AN138" i="1"/>
  <c r="G138" i="1"/>
  <c r="W137" i="1"/>
  <c r="J137" i="1"/>
  <c r="AU136" i="1"/>
  <c r="O136" i="1"/>
  <c r="D136" i="1"/>
  <c r="Q135" i="1"/>
  <c r="F135" i="1"/>
  <c r="U134" i="1"/>
  <c r="I134" i="1"/>
  <c r="AN133" i="1"/>
  <c r="L133" i="1"/>
  <c r="C133" i="1"/>
  <c r="P132" i="1"/>
  <c r="E132" i="1"/>
  <c r="S131" i="1"/>
  <c r="G131" i="1"/>
  <c r="W130" i="1"/>
  <c r="I130" i="1"/>
  <c r="AN129" i="1"/>
  <c r="L129" i="1"/>
  <c r="C129" i="1"/>
  <c r="P128" i="1"/>
  <c r="E128" i="1"/>
  <c r="S127" i="1"/>
  <c r="G127" i="1"/>
  <c r="W126" i="1"/>
  <c r="I126" i="1"/>
  <c r="AN125" i="1"/>
  <c r="L125" i="1"/>
  <c r="C125" i="1"/>
  <c r="P124" i="1"/>
  <c r="E124" i="1"/>
  <c r="L123" i="1"/>
  <c r="C123" i="1"/>
  <c r="Q122" i="1"/>
  <c r="F122" i="1"/>
  <c r="S121" i="1"/>
  <c r="D121" i="1"/>
  <c r="J120" i="1"/>
  <c r="AU119" i="1"/>
  <c r="H119" i="1"/>
  <c r="Z118" i="1"/>
  <c r="G118" i="1"/>
  <c r="W117" i="1"/>
  <c r="I117" i="1"/>
  <c r="AN116" i="1"/>
  <c r="L116" i="1"/>
  <c r="C116" i="1"/>
  <c r="Q115" i="1"/>
  <c r="F115" i="1"/>
  <c r="S114" i="1"/>
  <c r="D114" i="1"/>
  <c r="Q113" i="1"/>
  <c r="F113" i="1"/>
  <c r="U112" i="1"/>
  <c r="H112" i="1"/>
  <c r="Z111" i="1"/>
  <c r="J111" i="1"/>
  <c r="AU110" i="1"/>
  <c r="L110" i="1"/>
  <c r="C110" i="1"/>
  <c r="P109" i="1"/>
  <c r="E109" i="1"/>
  <c r="L108" i="1"/>
  <c r="C108" i="1"/>
  <c r="Q107" i="1"/>
  <c r="F107" i="1"/>
  <c r="U106" i="1"/>
  <c r="H106" i="1"/>
  <c r="Z105" i="1"/>
  <c r="J105" i="1"/>
  <c r="AU104" i="1"/>
  <c r="P104" i="1"/>
  <c r="E104" i="1"/>
  <c r="S103" i="1"/>
  <c r="G103" i="1"/>
  <c r="W102" i="1"/>
  <c r="I102" i="1"/>
  <c r="AN101" i="1"/>
  <c r="L101" i="1"/>
  <c r="C101" i="1"/>
  <c r="Q100" i="1"/>
  <c r="D100" i="1"/>
  <c r="Q99" i="1"/>
  <c r="F99" i="1"/>
  <c r="U98" i="1"/>
  <c r="H98" i="1"/>
  <c r="Z97" i="1"/>
  <c r="J97" i="1"/>
  <c r="AU96" i="1"/>
  <c r="O96" i="1"/>
  <c r="D96" i="1"/>
  <c r="Q95" i="1"/>
  <c r="F95" i="1"/>
  <c r="U94" i="1"/>
  <c r="H94" i="1"/>
  <c r="Z93" i="1"/>
  <c r="J93" i="1"/>
  <c r="AU92" i="1"/>
  <c r="H92" i="1"/>
  <c r="Z91" i="1"/>
  <c r="L91" i="1"/>
  <c r="C91" i="1"/>
  <c r="I90" i="1"/>
  <c r="AN89" i="1"/>
  <c r="G89" i="1"/>
  <c r="U88" i="1"/>
  <c r="E88" i="1"/>
  <c r="S87" i="1"/>
  <c r="D87" i="1"/>
  <c r="Q86" i="1"/>
  <c r="F86" i="1"/>
  <c r="U85" i="1"/>
  <c r="H85" i="1"/>
  <c r="Z84" i="1"/>
  <c r="L84" i="1"/>
  <c r="C84" i="1"/>
  <c r="I83" i="1"/>
  <c r="AN82" i="1"/>
  <c r="L82" i="1"/>
  <c r="C82" i="1"/>
  <c r="P81" i="1"/>
  <c r="E81" i="1"/>
  <c r="S80" i="1"/>
  <c r="G80" i="1"/>
  <c r="W79" i="1"/>
  <c r="I79" i="1"/>
  <c r="AN78" i="1"/>
  <c r="G78" i="1"/>
  <c r="W77" i="1"/>
  <c r="J77" i="1"/>
  <c r="AU76" i="1"/>
  <c r="O76" i="1"/>
  <c r="D76" i="1"/>
  <c r="Q75" i="1"/>
  <c r="F75" i="1"/>
  <c r="U74" i="1"/>
  <c r="AU101" i="1"/>
  <c r="I98" i="1"/>
  <c r="G95" i="1"/>
  <c r="L93" i="1"/>
  <c r="O91" i="1"/>
  <c r="H89" i="1"/>
  <c r="AU87" i="1"/>
  <c r="AN86" i="1"/>
  <c r="C86" i="1"/>
  <c r="E85" i="1"/>
  <c r="H84" i="1"/>
  <c r="F83" i="1"/>
  <c r="H82" i="1"/>
  <c r="J81" i="1"/>
  <c r="O80" i="1"/>
  <c r="Q79" i="1"/>
  <c r="S78" i="1"/>
  <c r="R77" i="1"/>
  <c r="W76" i="1"/>
  <c r="AN75" i="1"/>
  <c r="C75" i="1"/>
  <c r="H74" i="1"/>
  <c r="O73" i="1"/>
  <c r="Z72" i="1"/>
  <c r="E72" i="1"/>
  <c r="J71" i="1"/>
  <c r="Z70" i="1"/>
  <c r="H70" i="1"/>
  <c r="Q69" i="1"/>
  <c r="E69" i="1"/>
  <c r="Q68" i="1"/>
  <c r="F68" i="1"/>
  <c r="U67" i="1"/>
  <c r="H67" i="1"/>
  <c r="Z66" i="1"/>
  <c r="J66" i="1"/>
  <c r="AU65" i="1"/>
  <c r="O65" i="1"/>
  <c r="D65" i="1"/>
  <c r="Q64" i="1"/>
  <c r="F64" i="1"/>
  <c r="S63" i="1"/>
  <c r="D63" i="1"/>
  <c r="L62" i="1"/>
  <c r="C62" i="1"/>
  <c r="J61" i="1"/>
  <c r="AU60" i="1"/>
  <c r="I60" i="1"/>
  <c r="AN59" i="1"/>
  <c r="H59" i="1"/>
  <c r="Z58" i="1"/>
  <c r="G58" i="1"/>
  <c r="W57" i="1"/>
  <c r="F57" i="1"/>
  <c r="U56" i="1"/>
  <c r="E56" i="1"/>
  <c r="S55" i="1"/>
  <c r="H55" i="1"/>
  <c r="Z54" i="1"/>
  <c r="F54" i="1"/>
  <c r="S53" i="1"/>
  <c r="D53" i="1"/>
  <c r="J52" i="1"/>
  <c r="AU51" i="1"/>
  <c r="I51" i="1"/>
  <c r="AN50" i="1"/>
  <c r="L50" i="1"/>
  <c r="C50" i="1"/>
  <c r="P49" i="1"/>
  <c r="E49" i="1"/>
  <c r="S48" i="1"/>
  <c r="H48" i="1"/>
  <c r="Z47" i="1"/>
  <c r="F47" i="1"/>
  <c r="U46" i="1"/>
  <c r="H46" i="1"/>
  <c r="Z45" i="1"/>
  <c r="J45" i="1"/>
  <c r="AU44" i="1"/>
  <c r="O44" i="1"/>
  <c r="D44" i="1"/>
  <c r="Q43" i="1"/>
  <c r="F43" i="1"/>
  <c r="S42" i="1"/>
  <c r="D42" i="1"/>
  <c r="R41" i="1"/>
  <c r="G41" i="1"/>
  <c r="W40" i="1"/>
  <c r="I40" i="1"/>
  <c r="AN39" i="1"/>
  <c r="L39" i="1"/>
  <c r="C39" i="1"/>
  <c r="Q38" i="1"/>
  <c r="F38" i="1"/>
  <c r="U37" i="1"/>
  <c r="H37" i="1"/>
  <c r="Z36" i="1"/>
  <c r="J36" i="1"/>
  <c r="AU35" i="1"/>
  <c r="O35" i="1"/>
  <c r="D35" i="1"/>
  <c r="Q34" i="1"/>
  <c r="F34" i="1"/>
  <c r="U33" i="1"/>
  <c r="H33" i="1"/>
  <c r="Z32" i="1"/>
  <c r="J32" i="1"/>
  <c r="AU31" i="1"/>
  <c r="O31" i="1"/>
  <c r="D31" i="1"/>
  <c r="Q30" i="1"/>
  <c r="F30" i="1"/>
  <c r="U29" i="1"/>
  <c r="H29" i="1"/>
  <c r="Z28" i="1"/>
  <c r="J28" i="1"/>
  <c r="AU27" i="1"/>
  <c r="H27" i="1"/>
  <c r="Z26" i="1"/>
  <c r="F26" i="1"/>
  <c r="S25" i="1"/>
  <c r="D25" i="1"/>
  <c r="O101" i="1"/>
  <c r="AN97" i="1"/>
  <c r="C95" i="1"/>
  <c r="G93" i="1"/>
  <c r="H91" i="1"/>
  <c r="D89" i="1"/>
  <c r="Z87" i="1"/>
  <c r="W86" i="1"/>
  <c r="AN85" i="1"/>
  <c r="C85" i="1"/>
  <c r="F84" i="1"/>
  <c r="D83" i="1"/>
  <c r="F82" i="1"/>
  <c r="H81" i="1"/>
  <c r="J80" i="1"/>
  <c r="O79" i="1"/>
  <c r="J78" i="1"/>
  <c r="P77" i="1"/>
  <c r="S76" i="1"/>
  <c r="W75" i="1"/>
  <c r="AN74" i="1"/>
  <c r="F74" i="1"/>
  <c r="L73" i="1"/>
  <c r="U72" i="1"/>
  <c r="D72" i="1"/>
  <c r="I71" i="1"/>
  <c r="W70" i="1"/>
  <c r="F70" i="1"/>
  <c r="P69" i="1"/>
  <c r="D69" i="1"/>
  <c r="P68" i="1"/>
  <c r="E68" i="1"/>
  <c r="S67" i="1"/>
  <c r="G67" i="1"/>
  <c r="W66" i="1"/>
  <c r="I66" i="1"/>
  <c r="AN65" i="1"/>
  <c r="L65" i="1"/>
  <c r="C65" i="1"/>
  <c r="P64" i="1"/>
  <c r="E64" i="1"/>
  <c r="L63" i="1"/>
  <c r="C63" i="1"/>
  <c r="J62" i="1"/>
  <c r="AU61" i="1"/>
  <c r="I61" i="1"/>
  <c r="AN60" i="1"/>
  <c r="H60" i="1"/>
  <c r="Z59" i="1"/>
  <c r="G59" i="1"/>
  <c r="W58" i="1"/>
  <c r="F58" i="1"/>
  <c r="U57" i="1"/>
  <c r="E57" i="1"/>
  <c r="S56" i="1"/>
  <c r="D56" i="1"/>
  <c r="R55" i="1"/>
  <c r="G55" i="1"/>
  <c r="U54" i="1"/>
  <c r="E54" i="1"/>
  <c r="L53" i="1"/>
  <c r="C53" i="1"/>
  <c r="I52" i="1"/>
  <c r="AN51" i="1"/>
  <c r="H51" i="1"/>
  <c r="Z50" i="1"/>
  <c r="J50" i="1"/>
  <c r="AU49" i="1"/>
  <c r="O49" i="1"/>
  <c r="D49" i="1"/>
  <c r="R48" i="1"/>
  <c r="G48" i="1"/>
  <c r="U47" i="1"/>
  <c r="E47" i="1"/>
  <c r="S46" i="1"/>
  <c r="G46" i="1"/>
  <c r="W45" i="1"/>
  <c r="I45" i="1"/>
  <c r="AN44" i="1"/>
  <c r="L44" i="1"/>
  <c r="C44" i="1"/>
  <c r="P43" i="1"/>
  <c r="E43" i="1"/>
  <c r="L42" i="1"/>
  <c r="C42" i="1"/>
  <c r="Q41" i="1"/>
  <c r="F41" i="1"/>
  <c r="U40" i="1"/>
  <c r="H40" i="1"/>
  <c r="Z39" i="1"/>
  <c r="J39" i="1"/>
  <c r="AU38" i="1"/>
  <c r="P38" i="1"/>
  <c r="E38" i="1"/>
  <c r="S37" i="1"/>
  <c r="G37" i="1"/>
  <c r="W36" i="1"/>
  <c r="I36" i="1"/>
  <c r="AN35" i="1"/>
  <c r="L35" i="1"/>
  <c r="C35" i="1"/>
  <c r="P34" i="1"/>
  <c r="E34" i="1"/>
  <c r="S33" i="1"/>
  <c r="G33" i="1"/>
  <c r="W32" i="1"/>
  <c r="I32" i="1"/>
  <c r="AN31" i="1"/>
  <c r="L31" i="1"/>
  <c r="C31" i="1"/>
  <c r="P30" i="1"/>
  <c r="E30" i="1"/>
  <c r="S29" i="1"/>
  <c r="G29" i="1"/>
  <c r="W28" i="1"/>
  <c r="I28" i="1"/>
  <c r="AN27" i="1"/>
  <c r="G27" i="1"/>
  <c r="U26" i="1"/>
  <c r="E26" i="1"/>
  <c r="L25" i="1"/>
  <c r="C25" i="1"/>
  <c r="I24" i="1"/>
  <c r="AN23" i="1"/>
  <c r="H23" i="1"/>
  <c r="Z22" i="1"/>
  <c r="J22" i="1"/>
  <c r="AU21" i="1"/>
  <c r="O21" i="1"/>
  <c r="D21" i="1"/>
  <c r="J20" i="1"/>
  <c r="AU19" i="1"/>
  <c r="O19" i="1"/>
  <c r="D19" i="1"/>
  <c r="Q18" i="1"/>
  <c r="F18" i="1"/>
  <c r="U17" i="1"/>
  <c r="H17" i="1"/>
  <c r="Z16" i="1"/>
  <c r="J16" i="1"/>
  <c r="AU15" i="1"/>
  <c r="H15" i="1"/>
  <c r="Z14" i="1"/>
  <c r="J14" i="1"/>
  <c r="AU13" i="1"/>
  <c r="O13" i="1"/>
  <c r="D13" i="1"/>
  <c r="Q12" i="1"/>
  <c r="F12" i="1"/>
  <c r="U11" i="1"/>
  <c r="H11" i="1"/>
  <c r="Z10" i="1"/>
  <c r="J10" i="1"/>
  <c r="AU9" i="1"/>
  <c r="O9" i="1"/>
  <c r="D9" i="1"/>
  <c r="Q8" i="1"/>
  <c r="F8" i="1"/>
  <c r="U7" i="1"/>
  <c r="H7" i="1"/>
  <c r="Z6" i="1"/>
  <c r="J6" i="1"/>
  <c r="AU5" i="1"/>
  <c r="O5" i="1"/>
  <c r="D5" i="1"/>
  <c r="Q4" i="1"/>
  <c r="F4" i="1"/>
  <c r="U3" i="1"/>
  <c r="H3" i="1"/>
  <c r="Z2" i="1"/>
  <c r="F2" i="1"/>
  <c r="D101" i="1"/>
  <c r="L97" i="1"/>
  <c r="W94" i="1"/>
  <c r="C93" i="1"/>
  <c r="D91" i="1"/>
  <c r="Z88" i="1"/>
  <c r="U87" i="1"/>
  <c r="S86" i="1"/>
  <c r="W85" i="1"/>
  <c r="AN84" i="1"/>
  <c r="D84" i="1"/>
  <c r="AU82" i="1"/>
  <c r="D82" i="1"/>
  <c r="F81" i="1"/>
  <c r="H80" i="1"/>
  <c r="J79" i="1"/>
  <c r="H78" i="1"/>
  <c r="L77" i="1"/>
  <c r="P76" i="1"/>
  <c r="S75" i="1"/>
  <c r="W74" i="1"/>
  <c r="D74" i="1"/>
  <c r="J73" i="1"/>
  <c r="Q72" i="1"/>
  <c r="AU71" i="1"/>
  <c r="H71" i="1"/>
  <c r="U70" i="1"/>
  <c r="D70" i="1"/>
  <c r="O69" i="1"/>
  <c r="C69" i="1"/>
  <c r="O68" i="1"/>
  <c r="D68" i="1"/>
  <c r="Q67" i="1"/>
  <c r="F67" i="1"/>
  <c r="U66" i="1"/>
  <c r="H66" i="1"/>
  <c r="Z65" i="1"/>
  <c r="J65" i="1"/>
  <c r="AU64" i="1"/>
  <c r="O64" i="1"/>
  <c r="D64" i="1"/>
  <c r="J63" i="1"/>
  <c r="AU62" i="1"/>
  <c r="I62" i="1"/>
  <c r="AN61" i="1"/>
  <c r="H61" i="1"/>
  <c r="Z60" i="1"/>
  <c r="G60" i="1"/>
  <c r="W59" i="1"/>
  <c r="F59" i="1"/>
  <c r="U58" i="1"/>
  <c r="E58" i="1"/>
  <c r="S57" i="1"/>
  <c r="D57" i="1"/>
  <c r="L56" i="1"/>
  <c r="C56" i="1"/>
  <c r="Q55" i="1"/>
  <c r="F55" i="1"/>
  <c r="S54" i="1"/>
  <c r="D54" i="1"/>
  <c r="J53" i="1"/>
  <c r="AU52" i="1"/>
  <c r="H52" i="1"/>
  <c r="Z51" i="1"/>
  <c r="G51" i="1"/>
  <c r="W50" i="1"/>
  <c r="I50" i="1"/>
  <c r="AN49" i="1"/>
  <c r="L49" i="1"/>
  <c r="C49" i="1"/>
  <c r="Q48" i="1"/>
  <c r="F48" i="1"/>
  <c r="S47" i="1"/>
  <c r="D47" i="1"/>
  <c r="Q46" i="1"/>
  <c r="F46" i="1"/>
  <c r="U45" i="1"/>
  <c r="H45" i="1"/>
  <c r="Z44" i="1"/>
  <c r="J44" i="1"/>
  <c r="AU43" i="1"/>
  <c r="O43" i="1"/>
  <c r="D43" i="1"/>
  <c r="J42" i="1"/>
  <c r="AU41" i="1"/>
  <c r="P41" i="1"/>
  <c r="E41" i="1"/>
  <c r="S40" i="1"/>
  <c r="G40" i="1"/>
  <c r="W39" i="1"/>
  <c r="I39" i="1"/>
  <c r="AN38" i="1"/>
  <c r="O38" i="1"/>
  <c r="D38" i="1"/>
  <c r="Q37" i="1"/>
  <c r="F37" i="1"/>
  <c r="U36" i="1"/>
  <c r="H36" i="1"/>
  <c r="Z35" i="1"/>
  <c r="J35" i="1"/>
  <c r="AU34" i="1"/>
  <c r="O34" i="1"/>
  <c r="D34" i="1"/>
  <c r="Q33" i="1"/>
  <c r="F33" i="1"/>
  <c r="U32" i="1"/>
  <c r="H32" i="1"/>
  <c r="Z31" i="1"/>
  <c r="J31" i="1"/>
  <c r="AU30" i="1"/>
  <c r="O30" i="1"/>
  <c r="D30" i="1"/>
  <c r="R100" i="1"/>
  <c r="C97" i="1"/>
  <c r="P94" i="1"/>
  <c r="U92" i="1"/>
  <c r="Z90" i="1"/>
  <c r="S88" i="1"/>
  <c r="L87" i="1"/>
  <c r="P86" i="1"/>
  <c r="S85" i="1"/>
  <c r="W84" i="1"/>
  <c r="AU83" i="1"/>
  <c r="Z82" i="1"/>
  <c r="AU81" i="1"/>
  <c r="D81" i="1"/>
  <c r="F80" i="1"/>
  <c r="H79" i="1"/>
  <c r="F78" i="1"/>
  <c r="I77" i="1"/>
  <c r="L76" i="1"/>
  <c r="P75" i="1"/>
  <c r="S74" i="1"/>
  <c r="AU73" i="1"/>
  <c r="H73" i="1"/>
  <c r="P72" i="1"/>
  <c r="Z71" i="1"/>
  <c r="G71" i="1"/>
  <c r="Q70" i="1"/>
  <c r="C70" i="1"/>
  <c r="L69" i="1"/>
  <c r="AU68" i="1"/>
  <c r="L68" i="1"/>
  <c r="C68" i="1"/>
  <c r="P67" i="1"/>
  <c r="E67" i="1"/>
  <c r="S66" i="1"/>
  <c r="G66" i="1"/>
  <c r="W65" i="1"/>
  <c r="I65" i="1"/>
  <c r="AN64" i="1"/>
  <c r="L64" i="1"/>
  <c r="C64" i="1"/>
  <c r="I63" i="1"/>
  <c r="AN62" i="1"/>
  <c r="H62" i="1"/>
  <c r="Z61" i="1"/>
  <c r="G61" i="1"/>
  <c r="W60" i="1"/>
  <c r="F60" i="1"/>
  <c r="U59" i="1"/>
  <c r="E59" i="1"/>
  <c r="S58" i="1"/>
  <c r="D58" i="1"/>
  <c r="L57" i="1"/>
  <c r="C57" i="1"/>
  <c r="J56" i="1"/>
  <c r="AU55" i="1"/>
  <c r="P55" i="1"/>
  <c r="E55" i="1"/>
  <c r="L54" i="1"/>
  <c r="C54" i="1"/>
  <c r="I53" i="1"/>
  <c r="AN52" i="1"/>
  <c r="G52" i="1"/>
  <c r="W51" i="1"/>
  <c r="F51" i="1"/>
  <c r="U50" i="1"/>
  <c r="H50" i="1"/>
  <c r="Z49" i="1"/>
  <c r="J49" i="1"/>
  <c r="AU48" i="1"/>
  <c r="P48" i="1"/>
  <c r="E48" i="1"/>
  <c r="L47" i="1"/>
  <c r="C47" i="1"/>
  <c r="P46" i="1"/>
  <c r="E46" i="1"/>
  <c r="S45" i="1"/>
  <c r="G45" i="1"/>
  <c r="W44" i="1"/>
  <c r="I44" i="1"/>
  <c r="AN43" i="1"/>
  <c r="L43" i="1"/>
  <c r="C43" i="1"/>
  <c r="I42" i="1"/>
  <c r="AN41" i="1"/>
  <c r="O41" i="1"/>
  <c r="D41" i="1"/>
  <c r="Q40" i="1"/>
  <c r="F40" i="1"/>
  <c r="U39" i="1"/>
  <c r="H39" i="1"/>
  <c r="Z38" i="1"/>
  <c r="L38" i="1"/>
  <c r="C38" i="1"/>
  <c r="P37" i="1"/>
  <c r="E37" i="1"/>
  <c r="S36" i="1"/>
  <c r="G36" i="1"/>
  <c r="W35" i="1"/>
  <c r="I35" i="1"/>
  <c r="AN34" i="1"/>
  <c r="L34" i="1"/>
  <c r="C34" i="1"/>
  <c r="P33" i="1"/>
  <c r="E33" i="1"/>
  <c r="S32" i="1"/>
  <c r="G32" i="1"/>
  <c r="W31" i="1"/>
  <c r="I31" i="1"/>
  <c r="AN30" i="1"/>
  <c r="L30" i="1"/>
  <c r="C30" i="1"/>
  <c r="P29" i="1"/>
  <c r="E29" i="1"/>
  <c r="S28" i="1"/>
  <c r="G28" i="1"/>
  <c r="U27" i="1"/>
  <c r="E27" i="1"/>
  <c r="L26" i="1"/>
  <c r="C26" i="1"/>
  <c r="I25" i="1"/>
  <c r="AN24" i="1"/>
  <c r="G24" i="1"/>
  <c r="W23" i="1"/>
  <c r="F23" i="1"/>
  <c r="U22" i="1"/>
  <c r="H22" i="1"/>
  <c r="Z21" i="1"/>
  <c r="J21" i="1"/>
  <c r="AU20" i="1"/>
  <c r="H20" i="1"/>
  <c r="Z19" i="1"/>
  <c r="J19" i="1"/>
  <c r="AU18" i="1"/>
  <c r="O18" i="1"/>
  <c r="D18" i="1"/>
  <c r="Q17" i="1"/>
  <c r="F17" i="1"/>
  <c r="U16" i="1"/>
  <c r="H16" i="1"/>
  <c r="Z15" i="1"/>
  <c r="F15" i="1"/>
  <c r="U14" i="1"/>
  <c r="H14" i="1"/>
  <c r="Z13" i="1"/>
  <c r="J13" i="1"/>
  <c r="AU12" i="1"/>
  <c r="O12" i="1"/>
  <c r="D12" i="1"/>
  <c r="Q11" i="1"/>
  <c r="F11" i="1"/>
  <c r="U10" i="1"/>
  <c r="H10" i="1"/>
  <c r="Z9" i="1"/>
  <c r="J9" i="1"/>
  <c r="AU8" i="1"/>
  <c r="O8" i="1"/>
  <c r="D8" i="1"/>
  <c r="Q7" i="1"/>
  <c r="F7" i="1"/>
  <c r="U6" i="1"/>
  <c r="H6" i="1"/>
  <c r="Z5" i="1"/>
  <c r="J5" i="1"/>
  <c r="AU4" i="1"/>
  <c r="O4" i="1"/>
  <c r="D4" i="1"/>
  <c r="Q3" i="1"/>
  <c r="F3" i="1"/>
  <c r="S2" i="1"/>
  <c r="D2" i="1"/>
  <c r="E100" i="1"/>
  <c r="P96" i="1"/>
  <c r="I94" i="1"/>
  <c r="I92" i="1"/>
  <c r="J90" i="1"/>
  <c r="J88" i="1"/>
  <c r="I87" i="1"/>
  <c r="L86" i="1"/>
  <c r="P85" i="1"/>
  <c r="S84" i="1"/>
  <c r="Z83" i="1"/>
  <c r="U82" i="1"/>
  <c r="Z81" i="1"/>
  <c r="AU80" i="1"/>
  <c r="D80" i="1"/>
  <c r="F79" i="1"/>
  <c r="D78" i="1"/>
  <c r="G77" i="1"/>
  <c r="I76" i="1"/>
  <c r="L75" i="1"/>
  <c r="Q74" i="1"/>
  <c r="AN73" i="1"/>
  <c r="F73" i="1"/>
  <c r="O72" i="1"/>
  <c r="U71" i="1"/>
  <c r="F71" i="1"/>
  <c r="O70" i="1"/>
  <c r="AU69" i="1"/>
  <c r="J69" i="1"/>
  <c r="AN68" i="1"/>
  <c r="J68" i="1"/>
  <c r="AU67" i="1"/>
  <c r="O67" i="1"/>
  <c r="D67" i="1"/>
  <c r="Q66" i="1"/>
  <c r="F66" i="1"/>
  <c r="U65" i="1"/>
  <c r="H65" i="1"/>
  <c r="Z64" i="1"/>
  <c r="J64" i="1"/>
  <c r="AU63" i="1"/>
  <c r="H63" i="1"/>
  <c r="Z62" i="1"/>
  <c r="G62" i="1"/>
  <c r="W61" i="1"/>
  <c r="F61" i="1"/>
  <c r="U60" i="1"/>
  <c r="E60" i="1"/>
  <c r="S59" i="1"/>
  <c r="D59" i="1"/>
  <c r="L58" i="1"/>
  <c r="C58" i="1"/>
  <c r="J57" i="1"/>
  <c r="AU56" i="1"/>
  <c r="I56" i="1"/>
  <c r="AN55" i="1"/>
  <c r="O55" i="1"/>
  <c r="D55" i="1"/>
  <c r="J54" i="1"/>
  <c r="AU53" i="1"/>
  <c r="H53" i="1"/>
  <c r="Z52" i="1"/>
  <c r="F52" i="1"/>
  <c r="U51" i="1"/>
  <c r="E51" i="1"/>
  <c r="S50" i="1"/>
  <c r="G50" i="1"/>
  <c r="W49" i="1"/>
  <c r="I49" i="1"/>
  <c r="AN48" i="1"/>
  <c r="O48" i="1"/>
  <c r="D48" i="1"/>
  <c r="J47" i="1"/>
  <c r="AU46" i="1"/>
  <c r="O46" i="1"/>
  <c r="D46" i="1"/>
  <c r="Q45" i="1"/>
  <c r="F45" i="1"/>
  <c r="U44" i="1"/>
  <c r="H44" i="1"/>
  <c r="Z43" i="1"/>
  <c r="J43" i="1"/>
  <c r="AU42" i="1"/>
  <c r="H42" i="1"/>
  <c r="Z41" i="1"/>
  <c r="L41" i="1"/>
  <c r="C41" i="1"/>
  <c r="P40" i="1"/>
  <c r="E40" i="1"/>
  <c r="S39" i="1"/>
  <c r="G39" i="1"/>
  <c r="W38" i="1"/>
  <c r="J38" i="1"/>
  <c r="AU37" i="1"/>
  <c r="O37" i="1"/>
  <c r="D37" i="1"/>
  <c r="Q36" i="1"/>
  <c r="F36" i="1"/>
  <c r="U35" i="1"/>
  <c r="H35" i="1"/>
  <c r="Z34" i="1"/>
  <c r="J34" i="1"/>
  <c r="AU33" i="1"/>
  <c r="O33" i="1"/>
  <c r="D33" i="1"/>
  <c r="Q32" i="1"/>
  <c r="F32" i="1"/>
  <c r="U31" i="1"/>
  <c r="H31" i="1"/>
  <c r="Z30" i="1"/>
  <c r="J30" i="1"/>
  <c r="AU29" i="1"/>
  <c r="O29" i="1"/>
  <c r="D29" i="1"/>
  <c r="Q28" i="1"/>
  <c r="F28" i="1"/>
  <c r="S27" i="1"/>
  <c r="D27" i="1"/>
  <c r="J26" i="1"/>
  <c r="AU25" i="1"/>
  <c r="H25" i="1"/>
  <c r="S99" i="1"/>
  <c r="E96" i="1"/>
  <c r="E94" i="1"/>
  <c r="E92" i="1"/>
  <c r="F90" i="1"/>
  <c r="H88" i="1"/>
  <c r="G87" i="1"/>
  <c r="I86" i="1"/>
  <c r="L85" i="1"/>
  <c r="Q84" i="1"/>
  <c r="S83" i="1"/>
  <c r="Q82" i="1"/>
  <c r="U81" i="1"/>
  <c r="Z80" i="1"/>
  <c r="AU79" i="1"/>
  <c r="D79" i="1"/>
  <c r="AU77" i="1"/>
  <c r="E77" i="1"/>
  <c r="G76" i="1"/>
  <c r="I75" i="1"/>
  <c r="O74" i="1"/>
  <c r="Z73" i="1"/>
  <c r="D73" i="1"/>
  <c r="J72" i="1"/>
  <c r="S71" i="1"/>
  <c r="D71" i="1"/>
  <c r="L70" i="1"/>
  <c r="AN69" i="1"/>
  <c r="I69" i="1"/>
  <c r="Z68" i="1"/>
  <c r="I68" i="1"/>
  <c r="AN67" i="1"/>
  <c r="L67" i="1"/>
  <c r="C67" i="1"/>
  <c r="P66" i="1"/>
  <c r="E66" i="1"/>
  <c r="S65" i="1"/>
  <c r="G65" i="1"/>
  <c r="W64" i="1"/>
  <c r="I64" i="1"/>
  <c r="AN63" i="1"/>
  <c r="G63" i="1"/>
  <c r="W62" i="1"/>
  <c r="F62" i="1"/>
  <c r="U61" i="1"/>
  <c r="E61" i="1"/>
  <c r="S60" i="1"/>
  <c r="D60" i="1"/>
  <c r="L59" i="1"/>
  <c r="C59" i="1"/>
  <c r="J58" i="1"/>
  <c r="AU57" i="1"/>
  <c r="I57" i="1"/>
  <c r="AN56" i="1"/>
  <c r="H56" i="1"/>
  <c r="Z55" i="1"/>
  <c r="L55" i="1"/>
  <c r="C55" i="1"/>
  <c r="I54" i="1"/>
  <c r="AN53" i="1"/>
  <c r="G53" i="1"/>
  <c r="U52" i="1"/>
  <c r="E52" i="1"/>
  <c r="S51" i="1"/>
  <c r="D51" i="1"/>
  <c r="Q50" i="1"/>
  <c r="F50" i="1"/>
  <c r="U49" i="1"/>
  <c r="H49" i="1"/>
  <c r="Z48" i="1"/>
  <c r="L48" i="1"/>
  <c r="C48" i="1"/>
  <c r="I47" i="1"/>
  <c r="AN46" i="1"/>
  <c r="L46" i="1"/>
  <c r="C46" i="1"/>
  <c r="P45" i="1"/>
  <c r="E45" i="1"/>
  <c r="S44" i="1"/>
  <c r="G44" i="1"/>
  <c r="W43" i="1"/>
  <c r="I43" i="1"/>
  <c r="AN42" i="1"/>
  <c r="G42" i="1"/>
  <c r="W41" i="1"/>
  <c r="J41" i="1"/>
  <c r="AU40" i="1"/>
  <c r="O40" i="1"/>
  <c r="D40" i="1"/>
  <c r="Q39" i="1"/>
  <c r="F39" i="1"/>
  <c r="U38" i="1"/>
  <c r="I38" i="1"/>
  <c r="AN37" i="1"/>
  <c r="L37" i="1"/>
  <c r="C37" i="1"/>
  <c r="P36" i="1"/>
  <c r="E36" i="1"/>
  <c r="S35" i="1"/>
  <c r="G35" i="1"/>
  <c r="W34" i="1"/>
  <c r="I34" i="1"/>
  <c r="AN33" i="1"/>
  <c r="L33" i="1"/>
  <c r="C33" i="1"/>
  <c r="P32" i="1"/>
  <c r="E32" i="1"/>
  <c r="S31" i="1"/>
  <c r="G31" i="1"/>
  <c r="W30" i="1"/>
  <c r="I30" i="1"/>
  <c r="AN29" i="1"/>
  <c r="L29" i="1"/>
  <c r="C29" i="1"/>
  <c r="P28" i="1"/>
  <c r="E28" i="1"/>
  <c r="L27" i="1"/>
  <c r="C27" i="1"/>
  <c r="I26" i="1"/>
  <c r="AN25" i="1"/>
  <c r="G25" i="1"/>
  <c r="U24" i="1"/>
  <c r="E24" i="1"/>
  <c r="S23" i="1"/>
  <c r="D23" i="1"/>
  <c r="Q22" i="1"/>
  <c r="F22" i="1"/>
  <c r="U21" i="1"/>
  <c r="H21" i="1"/>
  <c r="Z20" i="1"/>
  <c r="F20" i="1"/>
  <c r="U19" i="1"/>
  <c r="H19" i="1"/>
  <c r="Z18" i="1"/>
  <c r="J18" i="1"/>
  <c r="AU17" i="1"/>
  <c r="O17" i="1"/>
  <c r="D17" i="1"/>
  <c r="Q16" i="1"/>
  <c r="F16" i="1"/>
  <c r="S15" i="1"/>
  <c r="D15" i="1"/>
  <c r="Q14" i="1"/>
  <c r="F14" i="1"/>
  <c r="U13" i="1"/>
  <c r="H13" i="1"/>
  <c r="Z12" i="1"/>
  <c r="J12" i="1"/>
  <c r="AU11" i="1"/>
  <c r="O11" i="1"/>
  <c r="D11" i="1"/>
  <c r="Q10" i="1"/>
  <c r="F10" i="1"/>
  <c r="U9" i="1"/>
  <c r="H9" i="1"/>
  <c r="Z8" i="1"/>
  <c r="J8" i="1"/>
  <c r="AU7" i="1"/>
  <c r="O7" i="1"/>
  <c r="D7" i="1"/>
  <c r="Q6" i="1"/>
  <c r="F6" i="1"/>
  <c r="U5" i="1"/>
  <c r="H5" i="1"/>
  <c r="Z4" i="1"/>
  <c r="J4" i="1"/>
  <c r="AU3" i="1"/>
  <c r="O3" i="1"/>
  <c r="D3" i="1"/>
  <c r="J2" i="1"/>
  <c r="G99" i="1"/>
  <c r="S95" i="1"/>
  <c r="AN93" i="1"/>
  <c r="AN91" i="1"/>
  <c r="AU89" i="1"/>
  <c r="F88" i="1"/>
  <c r="E87" i="1"/>
  <c r="G86" i="1"/>
  <c r="I85" i="1"/>
  <c r="O84" i="1"/>
  <c r="J83" i="1"/>
  <c r="O82" i="1"/>
  <c r="Q81" i="1"/>
  <c r="U80" i="1"/>
  <c r="Z79" i="1"/>
  <c r="AU78" i="1"/>
  <c r="Z77" i="1"/>
  <c r="C77" i="1"/>
  <c r="E76" i="1"/>
  <c r="G75" i="1"/>
  <c r="J74" i="1"/>
  <c r="U73" i="1"/>
  <c r="C73" i="1"/>
  <c r="H72" i="1"/>
  <c r="Q71" i="1"/>
  <c r="AU70" i="1"/>
  <c r="J70" i="1"/>
  <c r="Z69" i="1"/>
  <c r="H69" i="1"/>
  <c r="U68" i="1"/>
  <c r="H68" i="1"/>
  <c r="Z67" i="1"/>
  <c r="J67" i="1"/>
  <c r="AU66" i="1"/>
  <c r="O66" i="1"/>
  <c r="D66" i="1"/>
  <c r="Q65" i="1"/>
  <c r="F65" i="1"/>
  <c r="U64" i="1"/>
  <c r="H64" i="1"/>
  <c r="Z63" i="1"/>
  <c r="F63" i="1"/>
  <c r="U62" i="1"/>
  <c r="E62" i="1"/>
  <c r="S61" i="1"/>
  <c r="D61" i="1"/>
  <c r="L60" i="1"/>
  <c r="C60" i="1"/>
  <c r="J59" i="1"/>
  <c r="AU58" i="1"/>
  <c r="I58" i="1"/>
  <c r="AN57" i="1"/>
  <c r="H57" i="1"/>
  <c r="Z56" i="1"/>
  <c r="G56" i="1"/>
  <c r="W55" i="1"/>
  <c r="J55" i="1"/>
  <c r="AU54" i="1"/>
  <c r="H54" i="1"/>
  <c r="Z53" i="1"/>
  <c r="F53" i="1"/>
  <c r="S52" i="1"/>
  <c r="D52" i="1"/>
  <c r="L51" i="1"/>
  <c r="C51" i="1"/>
  <c r="P50" i="1"/>
  <c r="E50" i="1"/>
  <c r="S49" i="1"/>
  <c r="G49" i="1"/>
  <c r="W48" i="1"/>
  <c r="J48" i="1"/>
  <c r="AU47" i="1"/>
  <c r="H47" i="1"/>
  <c r="Z46" i="1"/>
  <c r="J46" i="1"/>
  <c r="AU45" i="1"/>
  <c r="O45" i="1"/>
  <c r="D45" i="1"/>
  <c r="Q44" i="1"/>
  <c r="F44" i="1"/>
  <c r="U43" i="1"/>
  <c r="H43" i="1"/>
  <c r="Z42" i="1"/>
  <c r="F42" i="1"/>
  <c r="U41" i="1"/>
  <c r="I41" i="1"/>
  <c r="AN40" i="1"/>
  <c r="L40" i="1"/>
  <c r="C40" i="1"/>
  <c r="P39" i="1"/>
  <c r="E39" i="1"/>
  <c r="S38" i="1"/>
  <c r="H38" i="1"/>
  <c r="Z37" i="1"/>
  <c r="J37" i="1"/>
  <c r="AU36" i="1"/>
  <c r="O36" i="1"/>
  <c r="D36" i="1"/>
  <c r="Q35" i="1"/>
  <c r="F35" i="1"/>
  <c r="U34" i="1"/>
  <c r="H34" i="1"/>
  <c r="Z33" i="1"/>
  <c r="J33" i="1"/>
  <c r="AU32" i="1"/>
  <c r="O32" i="1"/>
  <c r="W98" i="1"/>
  <c r="L95" i="1"/>
  <c r="S93" i="1"/>
  <c r="S91" i="1"/>
  <c r="S89" i="1"/>
  <c r="D88" i="1"/>
  <c r="C87" i="1"/>
  <c r="E86" i="1"/>
  <c r="G85" i="1"/>
  <c r="J84" i="1"/>
  <c r="H83" i="1"/>
  <c r="J82" i="1"/>
  <c r="O81" i="1"/>
  <c r="Q80" i="1"/>
  <c r="U79" i="1"/>
  <c r="Z78" i="1"/>
  <c r="U77" i="1"/>
  <c r="AN76" i="1"/>
  <c r="C76" i="1"/>
  <c r="E75" i="1"/>
  <c r="I74" i="1"/>
  <c r="Q73" i="1"/>
  <c r="AU72" i="1"/>
  <c r="F72" i="1"/>
  <c r="O71" i="1"/>
  <c r="AN70" i="1"/>
  <c r="I70" i="1"/>
  <c r="U69" i="1"/>
  <c r="F69" i="1"/>
  <c r="S68" i="1"/>
  <c r="G68" i="1"/>
  <c r="W67" i="1"/>
  <c r="I67" i="1"/>
  <c r="AN66" i="1"/>
  <c r="L66" i="1"/>
  <c r="C66" i="1"/>
  <c r="P65" i="1"/>
  <c r="E65" i="1"/>
  <c r="S64" i="1"/>
  <c r="G64" i="1"/>
  <c r="U63" i="1"/>
  <c r="E63" i="1"/>
  <c r="S62" i="1"/>
  <c r="D62" i="1"/>
  <c r="L61" i="1"/>
  <c r="C61" i="1"/>
  <c r="J60" i="1"/>
  <c r="AU59" i="1"/>
  <c r="I59" i="1"/>
  <c r="AN58" i="1"/>
  <c r="H58" i="1"/>
  <c r="Z57" i="1"/>
  <c r="G57" i="1"/>
  <c r="W56" i="1"/>
  <c r="F56" i="1"/>
  <c r="U55" i="1"/>
  <c r="I55" i="1"/>
  <c r="AN54" i="1"/>
  <c r="G54" i="1"/>
  <c r="U53" i="1"/>
  <c r="E53" i="1"/>
  <c r="L52" i="1"/>
  <c r="C52" i="1"/>
  <c r="J51" i="1"/>
  <c r="AU50" i="1"/>
  <c r="O50" i="1"/>
  <c r="D50" i="1"/>
  <c r="Q49" i="1"/>
  <c r="F49" i="1"/>
  <c r="U48" i="1"/>
  <c r="I48" i="1"/>
  <c r="AN47" i="1"/>
  <c r="G47" i="1"/>
  <c r="W46" i="1"/>
  <c r="I46" i="1"/>
  <c r="AN45" i="1"/>
  <c r="L45" i="1"/>
  <c r="C45" i="1"/>
  <c r="P44" i="1"/>
  <c r="E44" i="1"/>
  <c r="S43" i="1"/>
  <c r="G43" i="1"/>
  <c r="U42" i="1"/>
  <c r="E42" i="1"/>
  <c r="S41" i="1"/>
  <c r="H41" i="1"/>
  <c r="Z40" i="1"/>
  <c r="J40" i="1"/>
  <c r="AU39" i="1"/>
  <c r="O39" i="1"/>
  <c r="D39" i="1"/>
  <c r="R38" i="1"/>
  <c r="G38" i="1"/>
  <c r="W37" i="1"/>
  <c r="I37" i="1"/>
  <c r="AN36" i="1"/>
  <c r="L36" i="1"/>
  <c r="C36" i="1"/>
  <c r="P35" i="1"/>
  <c r="E35" i="1"/>
  <c r="S34" i="1"/>
  <c r="G34" i="1"/>
  <c r="W33" i="1"/>
  <c r="I33" i="1"/>
  <c r="AN32" i="1"/>
  <c r="L32" i="1"/>
  <c r="C32" i="1"/>
  <c r="P31" i="1"/>
  <c r="E31" i="1"/>
  <c r="S30" i="1"/>
  <c r="G30" i="1"/>
  <c r="W29" i="1"/>
  <c r="I29" i="1"/>
  <c r="AN28" i="1"/>
  <c r="L28" i="1"/>
  <c r="C28" i="1"/>
  <c r="I27" i="1"/>
  <c r="AN26" i="1"/>
  <c r="G26" i="1"/>
  <c r="U25" i="1"/>
  <c r="E25" i="1"/>
  <c r="L24" i="1"/>
  <c r="C24" i="1"/>
  <c r="J23" i="1"/>
  <c r="AU22" i="1"/>
  <c r="O22" i="1"/>
  <c r="D22" i="1"/>
  <c r="Q21" i="1"/>
  <c r="F21" i="1"/>
  <c r="S20" i="1"/>
  <c r="D20" i="1"/>
  <c r="Q19" i="1"/>
  <c r="F19" i="1"/>
  <c r="U18" i="1"/>
  <c r="H18" i="1"/>
  <c r="Z17" i="1"/>
  <c r="J17" i="1"/>
  <c r="AU16" i="1"/>
  <c r="O16" i="1"/>
  <c r="D16" i="1"/>
  <c r="J15" i="1"/>
  <c r="AU14" i="1"/>
  <c r="O14" i="1"/>
  <c r="D14" i="1"/>
  <c r="Q13" i="1"/>
  <c r="F13" i="1"/>
  <c r="U12" i="1"/>
  <c r="H12" i="1"/>
  <c r="Z11" i="1"/>
  <c r="J11" i="1"/>
  <c r="AU10" i="1"/>
  <c r="O10" i="1"/>
  <c r="D10" i="1"/>
  <c r="Q9" i="1"/>
  <c r="F9" i="1"/>
  <c r="U8" i="1"/>
  <c r="H8" i="1"/>
  <c r="Z7" i="1"/>
  <c r="J7" i="1"/>
  <c r="AU6" i="1"/>
  <c r="O6" i="1"/>
  <c r="D6" i="1"/>
  <c r="Q5" i="1"/>
  <c r="F5" i="1"/>
  <c r="U4" i="1"/>
  <c r="H4" i="1"/>
  <c r="Z3" i="1"/>
  <c r="J3" i="1"/>
  <c r="AU2" i="1"/>
  <c r="H2" i="1"/>
  <c r="D32" i="1"/>
  <c r="F29" i="1"/>
  <c r="F27" i="1"/>
  <c r="AU24" i="1"/>
  <c r="Z23" i="1"/>
  <c r="W22" i="1"/>
  <c r="AN21" i="1"/>
  <c r="C21" i="1"/>
  <c r="AN19" i="1"/>
  <c r="C19" i="1"/>
  <c r="E18" i="1"/>
  <c r="G17" i="1"/>
  <c r="I16" i="1"/>
  <c r="G15" i="1"/>
  <c r="I14" i="1"/>
  <c r="L13" i="1"/>
  <c r="P12" i="1"/>
  <c r="S11" i="1"/>
  <c r="W10" i="1"/>
  <c r="AN9" i="1"/>
  <c r="C9" i="1"/>
  <c r="E8" i="1"/>
  <c r="G7" i="1"/>
  <c r="I6" i="1"/>
  <c r="L5" i="1"/>
  <c r="P4" i="1"/>
  <c r="S3" i="1"/>
  <c r="U2" i="1"/>
  <c r="Q31" i="1"/>
  <c r="AU28" i="1"/>
  <c r="AU26" i="1"/>
  <c r="Z24" i="1"/>
  <c r="U23" i="1"/>
  <c r="S22" i="1"/>
  <c r="W21" i="1"/>
  <c r="AN20" i="1"/>
  <c r="W19" i="1"/>
  <c r="AN18" i="1"/>
  <c r="C18" i="1"/>
  <c r="E17" i="1"/>
  <c r="G16" i="1"/>
  <c r="E15" i="1"/>
  <c r="G14" i="1"/>
  <c r="I13" i="1"/>
  <c r="L12" i="1"/>
  <c r="P11" i="1"/>
  <c r="S10" i="1"/>
  <c r="W9" i="1"/>
  <c r="AN8" i="1"/>
  <c r="C8" i="1"/>
  <c r="E7" i="1"/>
  <c r="G6" i="1"/>
  <c r="I5" i="1"/>
  <c r="L4" i="1"/>
  <c r="P3" i="1"/>
  <c r="L2" i="1"/>
  <c r="AO1" i="1"/>
  <c r="AG1" i="1"/>
  <c r="Y1" i="1"/>
  <c r="Q1" i="1"/>
  <c r="I1" i="1"/>
  <c r="F31" i="1"/>
  <c r="U28" i="1"/>
  <c r="S26" i="1"/>
  <c r="S24" i="1"/>
  <c r="L23" i="1"/>
  <c r="P22" i="1"/>
  <c r="S21" i="1"/>
  <c r="U20" i="1"/>
  <c r="S19" i="1"/>
  <c r="W18" i="1"/>
  <c r="AN17" i="1"/>
  <c r="C17" i="1"/>
  <c r="E16" i="1"/>
  <c r="C15" i="1"/>
  <c r="E14" i="1"/>
  <c r="G13" i="1"/>
  <c r="I12" i="1"/>
  <c r="L11" i="1"/>
  <c r="P10" i="1"/>
  <c r="S9" i="1"/>
  <c r="W8" i="1"/>
  <c r="AN7" i="1"/>
  <c r="C7" i="1"/>
  <c r="E6" i="1"/>
  <c r="G5" i="1"/>
  <c r="I4" i="1"/>
  <c r="L3" i="1"/>
  <c r="I2" i="1"/>
  <c r="U30" i="1"/>
  <c r="O28" i="1"/>
  <c r="H26" i="1"/>
  <c r="J24" i="1"/>
  <c r="I23" i="1"/>
  <c r="L22" i="1"/>
  <c r="P21" i="1"/>
  <c r="L20" i="1"/>
  <c r="P19" i="1"/>
  <c r="S18" i="1"/>
  <c r="W17" i="1"/>
  <c r="AN16" i="1"/>
  <c r="C16" i="1"/>
  <c r="AN14" i="1"/>
  <c r="C14" i="1"/>
  <c r="E13" i="1"/>
  <c r="G12" i="1"/>
  <c r="I11" i="1"/>
  <c r="L10" i="1"/>
  <c r="P9" i="1"/>
  <c r="S8" i="1"/>
  <c r="W7" i="1"/>
  <c r="AN6" i="1"/>
  <c r="C6" i="1"/>
  <c r="E5" i="1"/>
  <c r="G4" i="1"/>
  <c r="I3" i="1"/>
  <c r="G2" i="1"/>
  <c r="AU1" i="1"/>
  <c r="AM1" i="1"/>
  <c r="AE1" i="1"/>
  <c r="W1" i="1"/>
  <c r="O1" i="1"/>
  <c r="G1" i="1"/>
  <c r="H30" i="1"/>
  <c r="H28" i="1"/>
  <c r="D26" i="1"/>
  <c r="H24" i="1"/>
  <c r="G23" i="1"/>
  <c r="I22" i="1"/>
  <c r="L21" i="1"/>
  <c r="I20" i="1"/>
  <c r="L19" i="1"/>
  <c r="P18" i="1"/>
  <c r="S17" i="1"/>
  <c r="W16" i="1"/>
  <c r="AN15" i="1"/>
  <c r="W14" i="1"/>
  <c r="AN13" i="1"/>
  <c r="C13" i="1"/>
  <c r="E12" i="1"/>
  <c r="G11" i="1"/>
  <c r="I10" i="1"/>
  <c r="L9" i="1"/>
  <c r="P8" i="1"/>
  <c r="S7" i="1"/>
  <c r="W6" i="1"/>
  <c r="AN5" i="1"/>
  <c r="C5" i="1"/>
  <c r="E4" i="1"/>
  <c r="G3" i="1"/>
  <c r="E2" i="1"/>
  <c r="Z29" i="1"/>
  <c r="D28" i="1"/>
  <c r="Z25" i="1"/>
  <c r="F24" i="1"/>
  <c r="E23" i="1"/>
  <c r="G22" i="1"/>
  <c r="I21" i="1"/>
  <c r="G20" i="1"/>
  <c r="I19" i="1"/>
  <c r="L18" i="1"/>
  <c r="P17" i="1"/>
  <c r="S16" i="1"/>
  <c r="U15" i="1"/>
  <c r="S14" i="1"/>
  <c r="W13" i="1"/>
  <c r="AN12" i="1"/>
  <c r="C12" i="1"/>
  <c r="E11" i="1"/>
  <c r="G10" i="1"/>
  <c r="I9" i="1"/>
  <c r="L8" i="1"/>
  <c r="P7" i="1"/>
  <c r="S6" i="1"/>
  <c r="W5" i="1"/>
  <c r="AN4" i="1"/>
  <c r="C4" i="1"/>
  <c r="E3" i="1"/>
  <c r="C2" i="1"/>
  <c r="AS1" i="1"/>
  <c r="AK1" i="1"/>
  <c r="AC1" i="1"/>
  <c r="U1" i="1"/>
  <c r="M1" i="1"/>
  <c r="E1" i="1"/>
  <c r="Q29" i="1"/>
  <c r="Z27" i="1"/>
  <c r="J25" i="1"/>
  <c r="D24" i="1"/>
  <c r="C23" i="1"/>
  <c r="E22" i="1"/>
  <c r="G21" i="1"/>
  <c r="E20" i="1"/>
  <c r="G19" i="1"/>
  <c r="I18" i="1"/>
  <c r="L17" i="1"/>
  <c r="P16" i="1"/>
  <c r="L15" i="1"/>
  <c r="P14" i="1"/>
  <c r="S13" i="1"/>
  <c r="W12" i="1"/>
  <c r="AN11" i="1"/>
  <c r="C11" i="1"/>
  <c r="E10" i="1"/>
  <c r="G9" i="1"/>
  <c r="I8" i="1"/>
  <c r="L7" i="1"/>
  <c r="P6" i="1"/>
  <c r="S5" i="1"/>
  <c r="W4" i="1"/>
  <c r="AN3" i="1"/>
  <c r="C3" i="1"/>
  <c r="J29" i="1"/>
  <c r="J27" i="1"/>
  <c r="F25" i="1"/>
  <c r="AU23" i="1"/>
  <c r="AN22" i="1"/>
  <c r="C22" i="1"/>
  <c r="E21" i="1"/>
  <c r="C20" i="1"/>
  <c r="E19" i="1"/>
  <c r="G18" i="1"/>
  <c r="I17" i="1"/>
  <c r="L16" i="1"/>
  <c r="I15" i="1"/>
  <c r="L14" i="1"/>
  <c r="P13" i="1"/>
  <c r="S12" i="1"/>
  <c r="W11" i="1"/>
  <c r="AN10" i="1"/>
  <c r="C10" i="1"/>
  <c r="E9" i="1"/>
  <c r="G8" i="1"/>
  <c r="I7" i="1"/>
  <c r="L6" i="1"/>
  <c r="P5" i="1"/>
  <c r="S4" i="1"/>
  <c r="W3" i="1"/>
  <c r="AN2" i="1"/>
  <c r="AQ1" i="1"/>
  <c r="AI1" i="1"/>
  <c r="AA1" i="1"/>
  <c r="S1" i="1"/>
  <c r="K1" i="1"/>
  <c r="C1" i="1"/>
  <c r="P1" i="1"/>
  <c r="AT1" i="1"/>
  <c r="AD1" i="1"/>
  <c r="N1" i="1"/>
  <c r="L1" i="1"/>
  <c r="AR1" i="1"/>
  <c r="AB1" i="1"/>
  <c r="AP1" i="1"/>
  <c r="Z1" i="1"/>
  <c r="J1" i="1"/>
  <c r="X1" i="1"/>
  <c r="AN1" i="1"/>
  <c r="H1" i="1"/>
  <c r="AL1" i="1"/>
  <c r="V1" i="1"/>
  <c r="F1" i="1"/>
  <c r="D1" i="1"/>
  <c r="AJ1" i="1"/>
  <c r="T1" i="1"/>
  <c r="AH1" i="1"/>
  <c r="R1" i="1"/>
  <c r="AF1" i="1"/>
  <c r="B2" i="3" l="1" a="1"/>
  <c r="A2" i="3" a="1"/>
  <c r="A2" i="2" a="1"/>
  <c r="B2" i="2" a="1"/>
  <c r="B2" i="1" a="1"/>
  <c r="A2" i="1" a="1"/>
  <c r="A1071" i="3" l="1"/>
  <c r="A1007" i="3"/>
  <c r="A943" i="3"/>
  <c r="A879" i="3"/>
  <c r="A815" i="3"/>
  <c r="A751" i="3"/>
  <c r="A687" i="3"/>
  <c r="A623" i="3"/>
  <c r="A559" i="3"/>
  <c r="A495" i="3"/>
  <c r="A431" i="3"/>
  <c r="A367" i="3"/>
  <c r="A303" i="3"/>
  <c r="A239" i="3"/>
  <c r="A175" i="3"/>
  <c r="A111" i="3"/>
  <c r="A47" i="3"/>
  <c r="A1054" i="3"/>
  <c r="A990" i="3"/>
  <c r="A926" i="3"/>
  <c r="A862" i="3"/>
  <c r="A798" i="3"/>
  <c r="A734" i="3"/>
  <c r="A670" i="3"/>
  <c r="A606" i="3"/>
  <c r="A542" i="3"/>
  <c r="A478" i="3"/>
  <c r="A414" i="3"/>
  <c r="A350" i="3"/>
  <c r="A286" i="3"/>
  <c r="A222" i="3"/>
  <c r="A158" i="3"/>
  <c r="A94" i="3"/>
  <c r="A30" i="3"/>
  <c r="A1037" i="3"/>
  <c r="A973" i="3"/>
  <c r="A909" i="3"/>
  <c r="A845" i="3"/>
  <c r="A781" i="3"/>
  <c r="A717" i="3"/>
  <c r="A653" i="3"/>
  <c r="A589" i="3"/>
  <c r="A525" i="3"/>
  <c r="A461" i="3"/>
  <c r="A397" i="3"/>
  <c r="A333" i="3"/>
  <c r="A269" i="3"/>
  <c r="A205" i="3"/>
  <c r="A141" i="3"/>
  <c r="A77" i="3"/>
  <c r="A13" i="3"/>
  <c r="A1020" i="3"/>
  <c r="A956" i="3"/>
  <c r="A892" i="3"/>
  <c r="A828" i="3"/>
  <c r="A764" i="3"/>
  <c r="A700" i="3"/>
  <c r="A636" i="3"/>
  <c r="A572" i="3"/>
  <c r="A508" i="3"/>
  <c r="A444" i="3"/>
  <c r="A380" i="3"/>
  <c r="A316" i="3"/>
  <c r="A252" i="3"/>
  <c r="A188" i="3"/>
  <c r="A124" i="3"/>
  <c r="A60" i="3"/>
  <c r="A1074" i="3"/>
  <c r="A1010" i="3"/>
  <c r="A946" i="3"/>
  <c r="A882" i="3"/>
  <c r="A818" i="3"/>
  <c r="A754" i="3"/>
  <c r="A690" i="3"/>
  <c r="A626" i="3"/>
  <c r="A562" i="3"/>
  <c r="A498" i="3"/>
  <c r="A434" i="3"/>
  <c r="A370" i="3"/>
  <c r="A306" i="3"/>
  <c r="A242" i="3"/>
  <c r="A178" i="3"/>
  <c r="A114" i="3"/>
  <c r="A1073" i="3"/>
  <c r="A1009" i="3"/>
  <c r="A945" i="3"/>
  <c r="A881" i="3"/>
  <c r="A817" i="3"/>
  <c r="A753" i="3"/>
  <c r="A689" i="3"/>
  <c r="A625" i="3"/>
  <c r="A561" i="3"/>
  <c r="A497" i="3"/>
  <c r="A433" i="3"/>
  <c r="A369" i="3"/>
  <c r="A305" i="3"/>
  <c r="A241" i="3"/>
  <c r="A1048" i="3"/>
  <c r="A792" i="3"/>
  <c r="A536" i="3"/>
  <c r="A280" i="3"/>
  <c r="A75" i="3"/>
  <c r="A947" i="3"/>
  <c r="A691" i="3"/>
  <c r="A435" i="3"/>
  <c r="A179" i="3"/>
  <c r="A19" i="3"/>
  <c r="A880" i="3"/>
  <c r="A624" i="3"/>
  <c r="A368" i="3"/>
  <c r="A136" i="3"/>
  <c r="A1067" i="3"/>
  <c r="A811" i="3"/>
  <c r="A555" i="3"/>
  <c r="A299" i="3"/>
  <c r="A89" i="3"/>
  <c r="A968" i="3"/>
  <c r="A712" i="3"/>
  <c r="A456" i="3"/>
  <c r="A200" i="3"/>
  <c r="A32" i="3"/>
  <c r="A867" i="3"/>
  <c r="A611" i="3"/>
  <c r="A355" i="3"/>
  <c r="A128" i="3"/>
  <c r="A1024" i="3"/>
  <c r="A768" i="3"/>
  <c r="A512" i="3"/>
  <c r="A256" i="3"/>
  <c r="A59" i="3"/>
  <c r="A923" i="3"/>
  <c r="A667" i="3"/>
  <c r="A411" i="3"/>
  <c r="A163" i="3"/>
  <c r="A9" i="3"/>
  <c r="B1012" i="3"/>
  <c r="B1019" i="3"/>
  <c r="B955" i="3"/>
  <c r="B1066" i="3"/>
  <c r="B1002" i="3"/>
  <c r="B938" i="3"/>
  <c r="B1049" i="3"/>
  <c r="B985" i="3"/>
  <c r="B1056" i="3"/>
  <c r="B992" i="3"/>
  <c r="B928" i="3"/>
  <c r="B1015" i="3"/>
  <c r="B926" i="3"/>
  <c r="B856" i="3"/>
  <c r="B792" i="3"/>
  <c r="B728" i="3"/>
  <c r="B664" i="3"/>
  <c r="B600" i="3"/>
  <c r="B536" i="3"/>
  <c r="B472" i="3"/>
  <c r="B408" i="3"/>
  <c r="B344" i="3"/>
  <c r="B280" i="3"/>
  <c r="B216" i="3"/>
  <c r="B152" i="3"/>
  <c r="B88" i="3"/>
  <c r="B967" i="3"/>
  <c r="B879" i="3"/>
  <c r="B815" i="3"/>
  <c r="B751" i="3"/>
  <c r="B687" i="3"/>
  <c r="B623" i="3"/>
  <c r="B559" i="3"/>
  <c r="B495" i="3"/>
  <c r="B431" i="3"/>
  <c r="B1054" i="3"/>
  <c r="B912" i="3"/>
  <c r="B846" i="3"/>
  <c r="B782" i="3"/>
  <c r="B718" i="3"/>
  <c r="B654" i="3"/>
  <c r="B590" i="3"/>
  <c r="B526" i="3"/>
  <c r="B462" i="3"/>
  <c r="B398" i="3"/>
  <c r="B965" i="3"/>
  <c r="B877" i="3"/>
  <c r="B813" i="3"/>
  <c r="B749" i="3"/>
  <c r="B685" i="3"/>
  <c r="B621" i="3"/>
  <c r="B557" i="3"/>
  <c r="B493" i="3"/>
  <c r="B429" i="3"/>
  <c r="B964" i="3"/>
  <c r="B876" i="3"/>
  <c r="B812" i="3"/>
  <c r="B748" i="3"/>
  <c r="B684" i="3"/>
  <c r="B620" i="3"/>
  <c r="B556" i="3"/>
  <c r="B492" i="3"/>
  <c r="B428" i="3"/>
  <c r="B364" i="3"/>
  <c r="B300" i="3"/>
  <c r="B236" i="3"/>
  <c r="B172" i="3"/>
  <c r="B108" i="3"/>
  <c r="B1013" i="3"/>
  <c r="B899" i="3"/>
  <c r="B835" i="3"/>
  <c r="B771" i="3"/>
  <c r="B958" i="3"/>
  <c r="B874" i="3"/>
  <c r="B1069" i="3"/>
  <c r="B809" i="3"/>
  <c r="B618" i="3"/>
  <c r="B449" i="3"/>
  <c r="B329" i="3"/>
  <c r="B243" i="3"/>
  <c r="B158" i="3"/>
  <c r="B73" i="3"/>
  <c r="B5" i="3"/>
  <c r="B681" i="3"/>
  <c r="B507" i="3"/>
  <c r="B359" i="3"/>
  <c r="B274" i="3"/>
  <c r="B189" i="3"/>
  <c r="B103" i="3"/>
  <c r="B28" i="3"/>
  <c r="B739" i="3"/>
  <c r="B570" i="3"/>
  <c r="B401" i="3"/>
  <c r="B305" i="3"/>
  <c r="B219" i="3"/>
  <c r="B134" i="3"/>
  <c r="B51" i="3"/>
  <c r="B841" i="3"/>
  <c r="B633" i="3"/>
  <c r="B459" i="3"/>
  <c r="B335" i="3"/>
  <c r="B250" i="3"/>
  <c r="B165" i="3"/>
  <c r="B79" i="3"/>
  <c r="B10" i="3"/>
  <c r="B691" i="3"/>
  <c r="B522" i="3"/>
  <c r="B366" i="3"/>
  <c r="B281" i="3"/>
  <c r="B195" i="3"/>
  <c r="B110" i="3"/>
  <c r="B33" i="3"/>
  <c r="B731" i="3"/>
  <c r="B562" i="3"/>
  <c r="B394" i="3"/>
  <c r="B301" i="3"/>
  <c r="B215" i="3"/>
  <c r="B130" i="3"/>
  <c r="B48" i="3"/>
  <c r="B785" i="3"/>
  <c r="B602" i="3"/>
  <c r="B433" i="3"/>
  <c r="B321" i="3"/>
  <c r="B235" i="3"/>
  <c r="B150" i="3"/>
  <c r="B65" i="3"/>
  <c r="A1063" i="3"/>
  <c r="A999" i="3"/>
  <c r="A935" i="3"/>
  <c r="A871" i="3"/>
  <c r="A807" i="3"/>
  <c r="A743" i="3"/>
  <c r="A679" i="3"/>
  <c r="A615" i="3"/>
  <c r="A551" i="3"/>
  <c r="A487" i="3"/>
  <c r="A423" i="3"/>
  <c r="A359" i="3"/>
  <c r="A295" i="3"/>
  <c r="A231" i="3"/>
  <c r="A167" i="3"/>
  <c r="A103" i="3"/>
  <c r="A39" i="3"/>
  <c r="A1046" i="3"/>
  <c r="A982" i="3"/>
  <c r="A918" i="3"/>
  <c r="A854" i="3"/>
  <c r="A790" i="3"/>
  <c r="A726" i="3"/>
  <c r="A662" i="3"/>
  <c r="A598" i="3"/>
  <c r="A534" i="3"/>
  <c r="A470" i="3"/>
  <c r="A406" i="3"/>
  <c r="A342" i="3"/>
  <c r="A278" i="3"/>
  <c r="A214" i="3"/>
  <c r="A150" i="3"/>
  <c r="A86" i="3"/>
  <c r="A22" i="3"/>
  <c r="A1029" i="3"/>
  <c r="A965" i="3"/>
  <c r="A901" i="3"/>
  <c r="A837" i="3"/>
  <c r="A773" i="3"/>
  <c r="A709" i="3"/>
  <c r="A645" i="3"/>
  <c r="A581" i="3"/>
  <c r="A517" i="3"/>
  <c r="A453" i="3"/>
  <c r="A389" i="3"/>
  <c r="A325" i="3"/>
  <c r="A261" i="3"/>
  <c r="A197" i="3"/>
  <c r="A133" i="3"/>
  <c r="A69" i="3"/>
  <c r="A5" i="3"/>
  <c r="A1012" i="3"/>
  <c r="A948" i="3"/>
  <c r="A884" i="3"/>
  <c r="A820" i="3"/>
  <c r="A756" i="3"/>
  <c r="A692" i="3"/>
  <c r="A628" i="3"/>
  <c r="A564" i="3"/>
  <c r="A500" i="3"/>
  <c r="A436" i="3"/>
  <c r="A372" i="3"/>
  <c r="A308" i="3"/>
  <c r="A244" i="3"/>
  <c r="A180" i="3"/>
  <c r="A116" i="3"/>
  <c r="A52" i="3"/>
  <c r="A1066" i="3"/>
  <c r="A1002" i="3"/>
  <c r="A938" i="3"/>
  <c r="A874" i="3"/>
  <c r="A810" i="3"/>
  <c r="A746" i="3"/>
  <c r="A682" i="3"/>
  <c r="A618" i="3"/>
  <c r="A554" i="3"/>
  <c r="A490" i="3"/>
  <c r="A426" i="3"/>
  <c r="A362" i="3"/>
  <c r="A298" i="3"/>
  <c r="A234" i="3"/>
  <c r="A170" i="3"/>
  <c r="A106" i="3"/>
  <c r="A1065" i="3"/>
  <c r="A1001" i="3"/>
  <c r="A937" i="3"/>
  <c r="A873" i="3"/>
  <c r="A809" i="3"/>
  <c r="A745" i="3"/>
  <c r="A681" i="3"/>
  <c r="A617" i="3"/>
  <c r="A553" i="3"/>
  <c r="A489" i="3"/>
  <c r="A425" i="3"/>
  <c r="A361" i="3"/>
  <c r="A297" i="3"/>
  <c r="A233" i="3"/>
  <c r="A1016" i="3"/>
  <c r="A760" i="3"/>
  <c r="A504" i="3"/>
  <c r="A248" i="3"/>
  <c r="A56" i="3"/>
  <c r="A915" i="3"/>
  <c r="A659" i="3"/>
  <c r="A403" i="3"/>
  <c r="A160" i="3"/>
  <c r="A3" i="3"/>
  <c r="A848" i="3"/>
  <c r="A592" i="3"/>
  <c r="A336" i="3"/>
  <c r="A113" i="3"/>
  <c r="A1035" i="3"/>
  <c r="A779" i="3"/>
  <c r="A523" i="3"/>
  <c r="A267" i="3"/>
  <c r="A67" i="3"/>
  <c r="A936" i="3"/>
  <c r="A680" i="3"/>
  <c r="A424" i="3"/>
  <c r="A171" i="3"/>
  <c r="A16" i="3"/>
  <c r="A835" i="3"/>
  <c r="A579" i="3"/>
  <c r="A323" i="3"/>
  <c r="A105" i="3"/>
  <c r="A992" i="3"/>
  <c r="A736" i="3"/>
  <c r="A480" i="3"/>
  <c r="A224" i="3"/>
  <c r="A42" i="3"/>
  <c r="A891" i="3"/>
  <c r="A635" i="3"/>
  <c r="A379" i="3"/>
  <c r="A144" i="3"/>
  <c r="B1068" i="3"/>
  <c r="B1004" i="3"/>
  <c r="B1011" i="3"/>
  <c r="B947" i="3"/>
  <c r="B1058" i="3"/>
  <c r="B994" i="3"/>
  <c r="B930" i="3"/>
  <c r="B1041" i="3"/>
  <c r="B977" i="3"/>
  <c r="B1048" i="3"/>
  <c r="B984" i="3"/>
  <c r="B1071" i="3"/>
  <c r="B1062" i="3"/>
  <c r="B916" i="3"/>
  <c r="B848" i="3"/>
  <c r="B784" i="3"/>
  <c r="B720" i="3"/>
  <c r="B656" i="3"/>
  <c r="B592" i="3"/>
  <c r="B528" i="3"/>
  <c r="B464" i="3"/>
  <c r="B400" i="3"/>
  <c r="B336" i="3"/>
  <c r="B272" i="3"/>
  <c r="B208" i="3"/>
  <c r="B144" i="3"/>
  <c r="B80" i="3"/>
  <c r="B951" i="3"/>
  <c r="B871" i="3"/>
  <c r="B807" i="3"/>
  <c r="B743" i="3"/>
  <c r="B679" i="3"/>
  <c r="B615" i="3"/>
  <c r="B551" i="3"/>
  <c r="B487" i="3"/>
  <c r="B423" i="3"/>
  <c r="B1022" i="3"/>
  <c r="B902" i="3"/>
  <c r="B838" i="3"/>
  <c r="B774" i="3"/>
  <c r="B710" i="3"/>
  <c r="B646" i="3"/>
  <c r="B582" i="3"/>
  <c r="B518" i="3"/>
  <c r="B454" i="3"/>
  <c r="B390" i="3"/>
  <c r="B949" i="3"/>
  <c r="B869" i="3"/>
  <c r="B805" i="3"/>
  <c r="B741" i="3"/>
  <c r="B677" i="3"/>
  <c r="B613" i="3"/>
  <c r="B549" i="3"/>
  <c r="B485" i="3"/>
  <c r="B421" i="3"/>
  <c r="B948" i="3"/>
  <c r="B868" i="3"/>
  <c r="B804" i="3"/>
  <c r="B740" i="3"/>
  <c r="B676" i="3"/>
  <c r="B612" i="3"/>
  <c r="B548" i="3"/>
  <c r="B484" i="3"/>
  <c r="B420" i="3"/>
  <c r="B356" i="3"/>
  <c r="B292" i="3"/>
  <c r="B228" i="3"/>
  <c r="B164" i="3"/>
  <c r="B100" i="3"/>
  <c r="B991" i="3"/>
  <c r="B891" i="3"/>
  <c r="B827" i="3"/>
  <c r="B763" i="3"/>
  <c r="B942" i="3"/>
  <c r="B866" i="3"/>
  <c r="B1037" i="3"/>
  <c r="B777" i="3"/>
  <c r="B595" i="3"/>
  <c r="B426" i="3"/>
  <c r="B318" i="3"/>
  <c r="B233" i="3"/>
  <c r="B147" i="3"/>
  <c r="B62" i="3"/>
  <c r="B927" i="3"/>
  <c r="B658" i="3"/>
  <c r="B489" i="3"/>
  <c r="B349" i="3"/>
  <c r="B263" i="3"/>
  <c r="B178" i="3"/>
  <c r="B93" i="3"/>
  <c r="B20" i="3"/>
  <c r="B721" i="3"/>
  <c r="B547" i="3"/>
  <c r="B385" i="3"/>
  <c r="B294" i="3"/>
  <c r="B209" i="3"/>
  <c r="B123" i="3"/>
  <c r="B43" i="3"/>
  <c r="B794" i="3"/>
  <c r="B610" i="3"/>
  <c r="B441" i="3"/>
  <c r="B325" i="3"/>
  <c r="B239" i="3"/>
  <c r="B154" i="3"/>
  <c r="B69" i="3"/>
  <c r="B2" i="3"/>
  <c r="B673" i="3"/>
  <c r="B499" i="3"/>
  <c r="B355" i="3"/>
  <c r="B270" i="3"/>
  <c r="B185" i="3"/>
  <c r="B99" i="3"/>
  <c r="B25" i="3"/>
  <c r="B713" i="3"/>
  <c r="B539" i="3"/>
  <c r="B378" i="3"/>
  <c r="B290" i="3"/>
  <c r="B205" i="3"/>
  <c r="B119" i="3"/>
  <c r="B40" i="3"/>
  <c r="B753" i="3"/>
  <c r="B579" i="3"/>
  <c r="B410" i="3"/>
  <c r="B310" i="3"/>
  <c r="B225" i="3"/>
  <c r="B139" i="3"/>
  <c r="A1055" i="3"/>
  <c r="A991" i="3"/>
  <c r="A927" i="3"/>
  <c r="A863" i="3"/>
  <c r="A799" i="3"/>
  <c r="A735" i="3"/>
  <c r="A671" i="3"/>
  <c r="A607" i="3"/>
  <c r="A543" i="3"/>
  <c r="A479" i="3"/>
  <c r="A415" i="3"/>
  <c r="A351" i="3"/>
  <c r="A287" i="3"/>
  <c r="A223" i="3"/>
  <c r="A159" i="3"/>
  <c r="A95" i="3"/>
  <c r="A31" i="3"/>
  <c r="A1038" i="3"/>
  <c r="A974" i="3"/>
  <c r="A910" i="3"/>
  <c r="A846" i="3"/>
  <c r="A782" i="3"/>
  <c r="A718" i="3"/>
  <c r="A654" i="3"/>
  <c r="A590" i="3"/>
  <c r="A526" i="3"/>
  <c r="A462" i="3"/>
  <c r="A398" i="3"/>
  <c r="A334" i="3"/>
  <c r="A270" i="3"/>
  <c r="A206" i="3"/>
  <c r="A142" i="3"/>
  <c r="A78" i="3"/>
  <c r="A14" i="3"/>
  <c r="A1021" i="3"/>
  <c r="A957" i="3"/>
  <c r="A893" i="3"/>
  <c r="A829" i="3"/>
  <c r="A765" i="3"/>
  <c r="A701" i="3"/>
  <c r="A637" i="3"/>
  <c r="A573" i="3"/>
  <c r="A509" i="3"/>
  <c r="A445" i="3"/>
  <c r="A381" i="3"/>
  <c r="A317" i="3"/>
  <c r="A253" i="3"/>
  <c r="A189" i="3"/>
  <c r="A125" i="3"/>
  <c r="A61" i="3"/>
  <c r="A1068" i="3"/>
  <c r="A1004" i="3"/>
  <c r="A940" i="3"/>
  <c r="A876" i="3"/>
  <c r="A812" i="3"/>
  <c r="A748" i="3"/>
  <c r="A684" i="3"/>
  <c r="A620" i="3"/>
  <c r="A556" i="3"/>
  <c r="A492" i="3"/>
  <c r="A428" i="3"/>
  <c r="A364" i="3"/>
  <c r="A300" i="3"/>
  <c r="A236" i="3"/>
  <c r="A172" i="3"/>
  <c r="A108" i="3"/>
  <c r="A44" i="3"/>
  <c r="A1058" i="3"/>
  <c r="A994" i="3"/>
  <c r="A930" i="3"/>
  <c r="A866" i="3"/>
  <c r="A802" i="3"/>
  <c r="A738" i="3"/>
  <c r="A674" i="3"/>
  <c r="A610" i="3"/>
  <c r="A546" i="3"/>
  <c r="A482" i="3"/>
  <c r="A418" i="3"/>
  <c r="A354" i="3"/>
  <c r="A290" i="3"/>
  <c r="A226" i="3"/>
  <c r="A162" i="3"/>
  <c r="A98" i="3"/>
  <c r="A1057" i="3"/>
  <c r="A993" i="3"/>
  <c r="A929" i="3"/>
  <c r="A865" i="3"/>
  <c r="A801" i="3"/>
  <c r="A737" i="3"/>
  <c r="A673" i="3"/>
  <c r="A609" i="3"/>
  <c r="A545" i="3"/>
  <c r="A481" i="3"/>
  <c r="A417" i="3"/>
  <c r="A353" i="3"/>
  <c r="A289" i="3"/>
  <c r="A225" i="3"/>
  <c r="A984" i="3"/>
  <c r="A728" i="3"/>
  <c r="A472" i="3"/>
  <c r="A216" i="3"/>
  <c r="A40" i="3"/>
  <c r="A883" i="3"/>
  <c r="A627" i="3"/>
  <c r="A371" i="3"/>
  <c r="A137" i="3"/>
  <c r="A1072" i="3"/>
  <c r="A816" i="3"/>
  <c r="A560" i="3"/>
  <c r="A304" i="3"/>
  <c r="A91" i="3"/>
  <c r="A1003" i="3"/>
  <c r="A747" i="3"/>
  <c r="A491" i="3"/>
  <c r="A235" i="3"/>
  <c r="A49" i="3"/>
  <c r="A904" i="3"/>
  <c r="A648" i="3"/>
  <c r="A392" i="3"/>
  <c r="A152" i="3"/>
  <c r="A1059" i="3"/>
  <c r="A803" i="3"/>
  <c r="A547" i="3"/>
  <c r="A291" i="3"/>
  <c r="A83" i="3"/>
  <c r="A960" i="3"/>
  <c r="A704" i="3"/>
  <c r="A448" i="3"/>
  <c r="A192" i="3"/>
  <c r="A26" i="3"/>
  <c r="A859" i="3"/>
  <c r="A603" i="3"/>
  <c r="A347" i="3"/>
  <c r="A121" i="3"/>
  <c r="B1060" i="3"/>
  <c r="B1067" i="3"/>
  <c r="B1003" i="3"/>
  <c r="B939" i="3"/>
  <c r="B1050" i="3"/>
  <c r="B986" i="3"/>
  <c r="B922" i="3"/>
  <c r="B1033" i="3"/>
  <c r="B969" i="3"/>
  <c r="B1040" i="3"/>
  <c r="B976" i="3"/>
  <c r="B1063" i="3"/>
  <c r="B1030" i="3"/>
  <c r="B904" i="3"/>
  <c r="B840" i="3"/>
  <c r="B776" i="3"/>
  <c r="B712" i="3"/>
  <c r="B648" i="3"/>
  <c r="B584" i="3"/>
  <c r="B520" i="3"/>
  <c r="B456" i="3"/>
  <c r="B392" i="3"/>
  <c r="B328" i="3"/>
  <c r="B264" i="3"/>
  <c r="B200" i="3"/>
  <c r="B136" i="3"/>
  <c r="B72" i="3"/>
  <c r="B937" i="3"/>
  <c r="B863" i="3"/>
  <c r="B799" i="3"/>
  <c r="B735" i="3"/>
  <c r="B671" i="3"/>
  <c r="B607" i="3"/>
  <c r="B543" i="3"/>
  <c r="B479" i="3"/>
  <c r="B415" i="3"/>
  <c r="B998" i="3"/>
  <c r="B894" i="3"/>
  <c r="B830" i="3"/>
  <c r="B766" i="3"/>
  <c r="B702" i="3"/>
  <c r="B638" i="3"/>
  <c r="B574" i="3"/>
  <c r="B510" i="3"/>
  <c r="B446" i="3"/>
  <c r="B382" i="3"/>
  <c r="B934" i="3"/>
  <c r="B861" i="3"/>
  <c r="B797" i="3"/>
  <c r="B733" i="3"/>
  <c r="B669" i="3"/>
  <c r="B605" i="3"/>
  <c r="B541" i="3"/>
  <c r="B477" i="3"/>
  <c r="B413" i="3"/>
  <c r="B933" i="3"/>
  <c r="B860" i="3"/>
  <c r="B796" i="3"/>
  <c r="B732" i="3"/>
  <c r="B668" i="3"/>
  <c r="B604" i="3"/>
  <c r="B540" i="3"/>
  <c r="B476" i="3"/>
  <c r="B412" i="3"/>
  <c r="B348" i="3"/>
  <c r="B284" i="3"/>
  <c r="B220" i="3"/>
  <c r="B156" i="3"/>
  <c r="B92" i="3"/>
  <c r="B975" i="3"/>
  <c r="B883" i="3"/>
  <c r="B819" i="3"/>
  <c r="B755" i="3"/>
  <c r="B929" i="3"/>
  <c r="B858" i="3"/>
  <c r="B1006" i="3"/>
  <c r="B746" i="3"/>
  <c r="B577" i="3"/>
  <c r="B403" i="3"/>
  <c r="B307" i="3"/>
  <c r="B222" i="3"/>
  <c r="B137" i="3"/>
  <c r="B53" i="3"/>
  <c r="B857" i="3"/>
  <c r="B635" i="3"/>
  <c r="B466" i="3"/>
  <c r="B338" i="3"/>
  <c r="B253" i="3"/>
  <c r="B167" i="3"/>
  <c r="B82" i="3"/>
  <c r="B12" i="3"/>
  <c r="B698" i="3"/>
  <c r="B529" i="3"/>
  <c r="B369" i="3"/>
  <c r="B283" i="3"/>
  <c r="B198" i="3"/>
  <c r="B113" i="3"/>
  <c r="B35" i="3"/>
  <c r="B762" i="3"/>
  <c r="B587" i="3"/>
  <c r="B418" i="3"/>
  <c r="B314" i="3"/>
  <c r="B229" i="3"/>
  <c r="B143" i="3"/>
  <c r="B58" i="3"/>
  <c r="B897" i="3"/>
  <c r="B650" i="3"/>
  <c r="B481" i="3"/>
  <c r="B345" i="3"/>
  <c r="B259" i="3"/>
  <c r="B174" i="3"/>
  <c r="B89" i="3"/>
  <c r="B17" i="3"/>
  <c r="B690" i="3"/>
  <c r="B521" i="3"/>
  <c r="B365" i="3"/>
  <c r="B279" i="3"/>
  <c r="B194" i="3"/>
  <c r="B109" i="3"/>
  <c r="B32" i="3"/>
  <c r="B730" i="3"/>
  <c r="B561" i="3"/>
  <c r="B393" i="3"/>
  <c r="B299" i="3"/>
  <c r="B214" i="3"/>
  <c r="A1047" i="3"/>
  <c r="A983" i="3"/>
  <c r="A919" i="3"/>
  <c r="A855" i="3"/>
  <c r="A791" i="3"/>
  <c r="A727" i="3"/>
  <c r="A663" i="3"/>
  <c r="A599" i="3"/>
  <c r="A535" i="3"/>
  <c r="A471" i="3"/>
  <c r="A407" i="3"/>
  <c r="A343" i="3"/>
  <c r="A279" i="3"/>
  <c r="A215" i="3"/>
  <c r="A151" i="3"/>
  <c r="A87" i="3"/>
  <c r="A23" i="3"/>
  <c r="A1030" i="3"/>
  <c r="A966" i="3"/>
  <c r="A902" i="3"/>
  <c r="A838" i="3"/>
  <c r="A774" i="3"/>
  <c r="A710" i="3"/>
  <c r="A646" i="3"/>
  <c r="A582" i="3"/>
  <c r="A518" i="3"/>
  <c r="A454" i="3"/>
  <c r="A390" i="3"/>
  <c r="A326" i="3"/>
  <c r="A262" i="3"/>
  <c r="A198" i="3"/>
  <c r="A134" i="3"/>
  <c r="A70" i="3"/>
  <c r="A6" i="3"/>
  <c r="A1013" i="3"/>
  <c r="A949" i="3"/>
  <c r="A885" i="3"/>
  <c r="A821" i="3"/>
  <c r="A757" i="3"/>
  <c r="A693" i="3"/>
  <c r="A629" i="3"/>
  <c r="A565" i="3"/>
  <c r="A501" i="3"/>
  <c r="A437" i="3"/>
  <c r="A373" i="3"/>
  <c r="A309" i="3"/>
  <c r="A245" i="3"/>
  <c r="A181" i="3"/>
  <c r="A117" i="3"/>
  <c r="A53" i="3"/>
  <c r="A1060" i="3"/>
  <c r="A996" i="3"/>
  <c r="A932" i="3"/>
  <c r="A868" i="3"/>
  <c r="A804" i="3"/>
  <c r="A740" i="3"/>
  <c r="A676" i="3"/>
  <c r="A612" i="3"/>
  <c r="A548" i="3"/>
  <c r="A484" i="3"/>
  <c r="A420" i="3"/>
  <c r="A356" i="3"/>
  <c r="A292" i="3"/>
  <c r="A228" i="3"/>
  <c r="A164" i="3"/>
  <c r="A100" i="3"/>
  <c r="A36" i="3"/>
  <c r="A1050" i="3"/>
  <c r="A986" i="3"/>
  <c r="A922" i="3"/>
  <c r="A858" i="3"/>
  <c r="A794" i="3"/>
  <c r="A730" i="3"/>
  <c r="A666" i="3"/>
  <c r="A602" i="3"/>
  <c r="A538" i="3"/>
  <c r="A474" i="3"/>
  <c r="A410" i="3"/>
  <c r="A346" i="3"/>
  <c r="A282" i="3"/>
  <c r="A218" i="3"/>
  <c r="A154" i="3"/>
  <c r="A90" i="3"/>
  <c r="A1049" i="3"/>
  <c r="A985" i="3"/>
  <c r="A921" i="3"/>
  <c r="A857" i="3"/>
  <c r="A793" i="3"/>
  <c r="A729" i="3"/>
  <c r="A665" i="3"/>
  <c r="A601" i="3"/>
  <c r="A537" i="3"/>
  <c r="A473" i="3"/>
  <c r="A409" i="3"/>
  <c r="A345" i="3"/>
  <c r="A281" i="3"/>
  <c r="A217" i="3"/>
  <c r="A952" i="3"/>
  <c r="A696" i="3"/>
  <c r="A440" i="3"/>
  <c r="A184" i="3"/>
  <c r="A24" i="3"/>
  <c r="A851" i="3"/>
  <c r="A595" i="3"/>
  <c r="A339" i="3"/>
  <c r="A115" i="3"/>
  <c r="A1040" i="3"/>
  <c r="A784" i="3"/>
  <c r="A528" i="3"/>
  <c r="A272" i="3"/>
  <c r="A72" i="3"/>
  <c r="A971" i="3"/>
  <c r="A715" i="3"/>
  <c r="A459" i="3"/>
  <c r="A203" i="3"/>
  <c r="A33" i="3"/>
  <c r="A872" i="3"/>
  <c r="A616" i="3"/>
  <c r="A360" i="3"/>
  <c r="A129" i="3"/>
  <c r="A1027" i="3"/>
  <c r="A771" i="3"/>
  <c r="A515" i="3"/>
  <c r="A259" i="3"/>
  <c r="A64" i="3"/>
  <c r="A928" i="3"/>
  <c r="A672" i="3"/>
  <c r="A416" i="3"/>
  <c r="A168" i="3"/>
  <c r="A10" i="3"/>
  <c r="A827" i="3"/>
  <c r="A571" i="3"/>
  <c r="A315" i="3"/>
  <c r="A99" i="3"/>
  <c r="B1052" i="3"/>
  <c r="B1059" i="3"/>
  <c r="B995" i="3"/>
  <c r="B931" i="3"/>
  <c r="B1042" i="3"/>
  <c r="B978" i="3"/>
  <c r="B914" i="3"/>
  <c r="B1025" i="3"/>
  <c r="B961" i="3"/>
  <c r="B1032" i="3"/>
  <c r="B968" i="3"/>
  <c r="B1055" i="3"/>
  <c r="B1005" i="3"/>
  <c r="B896" i="3"/>
  <c r="B832" i="3"/>
  <c r="B768" i="3"/>
  <c r="B704" i="3"/>
  <c r="B640" i="3"/>
  <c r="B576" i="3"/>
  <c r="B512" i="3"/>
  <c r="B448" i="3"/>
  <c r="B384" i="3"/>
  <c r="B320" i="3"/>
  <c r="B256" i="3"/>
  <c r="B192" i="3"/>
  <c r="B128" i="3"/>
  <c r="B64" i="3"/>
  <c r="B925" i="3"/>
  <c r="B855" i="3"/>
  <c r="B791" i="3"/>
  <c r="B727" i="3"/>
  <c r="B663" i="3"/>
  <c r="B599" i="3"/>
  <c r="B535" i="3"/>
  <c r="B471" i="3"/>
  <c r="B407" i="3"/>
  <c r="B982" i="3"/>
  <c r="B886" i="3"/>
  <c r="B822" i="3"/>
  <c r="B758" i="3"/>
  <c r="B694" i="3"/>
  <c r="B630" i="3"/>
  <c r="B566" i="3"/>
  <c r="B502" i="3"/>
  <c r="B438" i="3"/>
  <c r="B374" i="3"/>
  <c r="B921" i="3"/>
  <c r="B853" i="3"/>
  <c r="B789" i="3"/>
  <c r="B725" i="3"/>
  <c r="B661" i="3"/>
  <c r="B597" i="3"/>
  <c r="B533" i="3"/>
  <c r="B469" i="3"/>
  <c r="B405" i="3"/>
  <c r="B920" i="3"/>
  <c r="B852" i="3"/>
  <c r="B788" i="3"/>
  <c r="B724" i="3"/>
  <c r="B660" i="3"/>
  <c r="B596" i="3"/>
  <c r="B532" i="3"/>
  <c r="B468" i="3"/>
  <c r="B404" i="3"/>
  <c r="B340" i="3"/>
  <c r="B276" i="3"/>
  <c r="B212" i="3"/>
  <c r="B148" i="3"/>
  <c r="B84" i="3"/>
  <c r="B959" i="3"/>
  <c r="B875" i="3"/>
  <c r="B811" i="3"/>
  <c r="B1070" i="3"/>
  <c r="B918" i="3"/>
  <c r="B850" i="3"/>
  <c r="B989" i="3"/>
  <c r="B723" i="3"/>
  <c r="B554" i="3"/>
  <c r="B387" i="3"/>
  <c r="B297" i="3"/>
  <c r="B211" i="3"/>
  <c r="B126" i="3"/>
  <c r="B45" i="3"/>
  <c r="B802" i="3"/>
  <c r="B617" i="3"/>
  <c r="B443" i="3"/>
  <c r="B327" i="3"/>
  <c r="B242" i="3"/>
  <c r="B157" i="3"/>
  <c r="B71" i="3"/>
  <c r="B4" i="3"/>
  <c r="B675" i="3"/>
  <c r="B506" i="3"/>
  <c r="B358" i="3"/>
  <c r="B273" i="3"/>
  <c r="B187" i="3"/>
  <c r="B102" i="3"/>
  <c r="B27" i="3"/>
  <c r="B738" i="3"/>
  <c r="B569" i="3"/>
  <c r="B397" i="3"/>
  <c r="B303" i="3"/>
  <c r="B218" i="3"/>
  <c r="B133" i="3"/>
  <c r="B50" i="3"/>
  <c r="B833" i="3"/>
  <c r="B627" i="3"/>
  <c r="B458" i="3"/>
  <c r="B334" i="3"/>
  <c r="B249" i="3"/>
  <c r="B163" i="3"/>
  <c r="B78" i="3"/>
  <c r="B9" i="3"/>
  <c r="B667" i="3"/>
  <c r="B498" i="3"/>
  <c r="B354" i="3"/>
  <c r="B269" i="3"/>
  <c r="B183" i="3"/>
  <c r="B98" i="3"/>
  <c r="B24" i="3"/>
  <c r="B707" i="3"/>
  <c r="B538" i="3"/>
  <c r="B377" i="3"/>
  <c r="B289" i="3"/>
  <c r="B203" i="3"/>
  <c r="B118" i="3"/>
  <c r="A1039" i="3"/>
  <c r="A975" i="3"/>
  <c r="A911" i="3"/>
  <c r="A847" i="3"/>
  <c r="A783" i="3"/>
  <c r="A719" i="3"/>
  <c r="A655" i="3"/>
  <c r="A591" i="3"/>
  <c r="A527" i="3"/>
  <c r="A463" i="3"/>
  <c r="A399" i="3"/>
  <c r="A335" i="3"/>
  <c r="A271" i="3"/>
  <c r="A207" i="3"/>
  <c r="A143" i="3"/>
  <c r="A79" i="3"/>
  <c r="A15" i="3"/>
  <c r="A1022" i="3"/>
  <c r="A958" i="3"/>
  <c r="A894" i="3"/>
  <c r="A830" i="3"/>
  <c r="A766" i="3"/>
  <c r="A702" i="3"/>
  <c r="A638" i="3"/>
  <c r="A574" i="3"/>
  <c r="A510" i="3"/>
  <c r="A446" i="3"/>
  <c r="A382" i="3"/>
  <c r="A318" i="3"/>
  <c r="A254" i="3"/>
  <c r="A190" i="3"/>
  <c r="A126" i="3"/>
  <c r="A62" i="3"/>
  <c r="A1069" i="3"/>
  <c r="A1005" i="3"/>
  <c r="A941" i="3"/>
  <c r="A877" i="3"/>
  <c r="A813" i="3"/>
  <c r="A749" i="3"/>
  <c r="A685" i="3"/>
  <c r="A621" i="3"/>
  <c r="A557" i="3"/>
  <c r="A493" i="3"/>
  <c r="A429" i="3"/>
  <c r="A365" i="3"/>
  <c r="A301" i="3"/>
  <c r="A237" i="3"/>
  <c r="A173" i="3"/>
  <c r="A109" i="3"/>
  <c r="A45" i="3"/>
  <c r="A1052" i="3"/>
  <c r="A988" i="3"/>
  <c r="A924" i="3"/>
  <c r="A860" i="3"/>
  <c r="A796" i="3"/>
  <c r="A732" i="3"/>
  <c r="A668" i="3"/>
  <c r="A604" i="3"/>
  <c r="A540" i="3"/>
  <c r="A476" i="3"/>
  <c r="A412" i="3"/>
  <c r="A348" i="3"/>
  <c r="A284" i="3"/>
  <c r="A220" i="3"/>
  <c r="A156" i="3"/>
  <c r="A92" i="3"/>
  <c r="A28" i="3"/>
  <c r="A1042" i="3"/>
  <c r="A978" i="3"/>
  <c r="A914" i="3"/>
  <c r="A850" i="3"/>
  <c r="A786" i="3"/>
  <c r="A722" i="3"/>
  <c r="A658" i="3"/>
  <c r="A594" i="3"/>
  <c r="A530" i="3"/>
  <c r="A466" i="3"/>
  <c r="A402" i="3"/>
  <c r="A338" i="3"/>
  <c r="A274" i="3"/>
  <c r="A210" i="3"/>
  <c r="A146" i="3"/>
  <c r="A82" i="3"/>
  <c r="A1041" i="3"/>
  <c r="A977" i="3"/>
  <c r="A913" i="3"/>
  <c r="A849" i="3"/>
  <c r="A785" i="3"/>
  <c r="A721" i="3"/>
  <c r="A657" i="3"/>
  <c r="A593" i="3"/>
  <c r="A529" i="3"/>
  <c r="A465" i="3"/>
  <c r="A401" i="3"/>
  <c r="A337" i="3"/>
  <c r="A273" i="3"/>
  <c r="A209" i="3"/>
  <c r="A920" i="3"/>
  <c r="A664" i="3"/>
  <c r="A408" i="3"/>
  <c r="A161" i="3"/>
  <c r="A8" i="3"/>
  <c r="A819" i="3"/>
  <c r="A563" i="3"/>
  <c r="A307" i="3"/>
  <c r="A96" i="3"/>
  <c r="A1008" i="3"/>
  <c r="A752" i="3"/>
  <c r="A496" i="3"/>
  <c r="A240" i="3"/>
  <c r="A50" i="3"/>
  <c r="A939" i="3"/>
  <c r="A683" i="3"/>
  <c r="A427" i="3"/>
  <c r="A176" i="3"/>
  <c r="A17" i="3"/>
  <c r="A840" i="3"/>
  <c r="A584" i="3"/>
  <c r="A328" i="3"/>
  <c r="A107" i="3"/>
  <c r="A995" i="3"/>
  <c r="A739" i="3"/>
  <c r="A483" i="3"/>
  <c r="A227" i="3"/>
  <c r="A43" i="3"/>
  <c r="A896" i="3"/>
  <c r="A640" i="3"/>
  <c r="A384" i="3"/>
  <c r="A145" i="3"/>
  <c r="A1051" i="3"/>
  <c r="A795" i="3"/>
  <c r="A539" i="3"/>
  <c r="A283" i="3"/>
  <c r="A80" i="3"/>
  <c r="B1044" i="3"/>
  <c r="B1051" i="3"/>
  <c r="B987" i="3"/>
  <c r="B923" i="3"/>
  <c r="B1034" i="3"/>
  <c r="B970" i="3"/>
  <c r="B906" i="3"/>
  <c r="B1017" i="3"/>
  <c r="B953" i="3"/>
  <c r="B1024" i="3"/>
  <c r="B960" i="3"/>
  <c r="B1047" i="3"/>
  <c r="B988" i="3"/>
  <c r="B888" i="3"/>
  <c r="B824" i="3"/>
  <c r="B760" i="3"/>
  <c r="B696" i="3"/>
  <c r="B632" i="3"/>
  <c r="B568" i="3"/>
  <c r="B504" i="3"/>
  <c r="B440" i="3"/>
  <c r="B376" i="3"/>
  <c r="B312" i="3"/>
  <c r="B248" i="3"/>
  <c r="B184" i="3"/>
  <c r="B120" i="3"/>
  <c r="B1061" i="3"/>
  <c r="B913" i="3"/>
  <c r="B847" i="3"/>
  <c r="B783" i="3"/>
  <c r="B719" i="3"/>
  <c r="B655" i="3"/>
  <c r="B591" i="3"/>
  <c r="B527" i="3"/>
  <c r="B463" i="3"/>
  <c r="B399" i="3"/>
  <c r="B966" i="3"/>
  <c r="B878" i="3"/>
  <c r="B814" i="3"/>
  <c r="B750" i="3"/>
  <c r="B686" i="3"/>
  <c r="B622" i="3"/>
  <c r="B558" i="3"/>
  <c r="B494" i="3"/>
  <c r="B430" i="3"/>
  <c r="B1053" i="3"/>
  <c r="B911" i="3"/>
  <c r="B845" i="3"/>
  <c r="B781" i="3"/>
  <c r="B717" i="3"/>
  <c r="B653" i="3"/>
  <c r="B589" i="3"/>
  <c r="B525" i="3"/>
  <c r="B461" i="3"/>
  <c r="B1046" i="3"/>
  <c r="B910" i="3"/>
  <c r="B844" i="3"/>
  <c r="B780" i="3"/>
  <c r="B716" i="3"/>
  <c r="B652" i="3"/>
  <c r="B588" i="3"/>
  <c r="B524" i="3"/>
  <c r="B460" i="3"/>
  <c r="B396" i="3"/>
  <c r="B332" i="3"/>
  <c r="B268" i="3"/>
  <c r="B204" i="3"/>
  <c r="B140" i="3"/>
  <c r="B76" i="3"/>
  <c r="B943" i="3"/>
  <c r="B867" i="3"/>
  <c r="B803" i="3"/>
  <c r="B1038" i="3"/>
  <c r="B908" i="3"/>
  <c r="B842" i="3"/>
  <c r="B973" i="3"/>
  <c r="B705" i="3"/>
  <c r="B531" i="3"/>
  <c r="B371" i="3"/>
  <c r="B286" i="3"/>
  <c r="B201" i="3"/>
  <c r="B115" i="3"/>
  <c r="B37" i="3"/>
  <c r="B770" i="3"/>
  <c r="B594" i="3"/>
  <c r="B425" i="3"/>
  <c r="B317" i="3"/>
  <c r="B231" i="3"/>
  <c r="B146" i="3"/>
  <c r="B61" i="3"/>
  <c r="B917" i="3"/>
  <c r="B657" i="3"/>
  <c r="B483" i="3"/>
  <c r="B347" i="3"/>
  <c r="B262" i="3"/>
  <c r="B177" i="3"/>
  <c r="B91" i="3"/>
  <c r="B19" i="3"/>
  <c r="B715" i="3"/>
  <c r="B546" i="3"/>
  <c r="B381" i="3"/>
  <c r="B293" i="3"/>
  <c r="B207" i="3"/>
  <c r="B122" i="3"/>
  <c r="B42" i="3"/>
  <c r="B793" i="3"/>
  <c r="B609" i="3"/>
  <c r="B435" i="3"/>
  <c r="B323" i="3"/>
  <c r="B238" i="3"/>
  <c r="B153" i="3"/>
  <c r="B67" i="3"/>
  <c r="B889" i="3"/>
  <c r="B649" i="3"/>
  <c r="B475" i="3"/>
  <c r="B343" i="3"/>
  <c r="B258" i="3"/>
  <c r="B173" i="3"/>
  <c r="B87" i="3"/>
  <c r="B16" i="3"/>
  <c r="B689" i="3"/>
  <c r="B515" i="3"/>
  <c r="B363" i="3"/>
  <c r="B278" i="3"/>
  <c r="B193" i="3"/>
  <c r="B107" i="3"/>
  <c r="B31" i="3"/>
  <c r="A1031" i="3"/>
  <c r="A967" i="3"/>
  <c r="A903" i="3"/>
  <c r="A839" i="3"/>
  <c r="A775" i="3"/>
  <c r="A711" i="3"/>
  <c r="A647" i="3"/>
  <c r="A583" i="3"/>
  <c r="A519" i="3"/>
  <c r="A455" i="3"/>
  <c r="A391" i="3"/>
  <c r="A327" i="3"/>
  <c r="A263" i="3"/>
  <c r="A199" i="3"/>
  <c r="A135" i="3"/>
  <c r="A71" i="3"/>
  <c r="A7" i="3"/>
  <c r="A1014" i="3"/>
  <c r="A950" i="3"/>
  <c r="A886" i="3"/>
  <c r="A822" i="3"/>
  <c r="A758" i="3"/>
  <c r="A694" i="3"/>
  <c r="A630" i="3"/>
  <c r="A566" i="3"/>
  <c r="A502" i="3"/>
  <c r="A438" i="3"/>
  <c r="A374" i="3"/>
  <c r="A310" i="3"/>
  <c r="A246" i="3"/>
  <c r="A182" i="3"/>
  <c r="A118" i="3"/>
  <c r="A54" i="3"/>
  <c r="A1061" i="3"/>
  <c r="A997" i="3"/>
  <c r="A933" i="3"/>
  <c r="A869" i="3"/>
  <c r="A805" i="3"/>
  <c r="A741" i="3"/>
  <c r="A677" i="3"/>
  <c r="A613" i="3"/>
  <c r="A549" i="3"/>
  <c r="A485" i="3"/>
  <c r="A421" i="3"/>
  <c r="A357" i="3"/>
  <c r="A293" i="3"/>
  <c r="A229" i="3"/>
  <c r="A165" i="3"/>
  <c r="A101" i="3"/>
  <c r="A37" i="3"/>
  <c r="A1044" i="3"/>
  <c r="A980" i="3"/>
  <c r="A916" i="3"/>
  <c r="A852" i="3"/>
  <c r="A788" i="3"/>
  <c r="A724" i="3"/>
  <c r="A660" i="3"/>
  <c r="A596" i="3"/>
  <c r="A532" i="3"/>
  <c r="A468" i="3"/>
  <c r="A404" i="3"/>
  <c r="A340" i="3"/>
  <c r="A276" i="3"/>
  <c r="A212" i="3"/>
  <c r="A148" i="3"/>
  <c r="A84" i="3"/>
  <c r="A20" i="3"/>
  <c r="A1034" i="3"/>
  <c r="A970" i="3"/>
  <c r="A906" i="3"/>
  <c r="A842" i="3"/>
  <c r="A778" i="3"/>
  <c r="A714" i="3"/>
  <c r="A650" i="3"/>
  <c r="A586" i="3"/>
  <c r="A522" i="3"/>
  <c r="A458" i="3"/>
  <c r="A394" i="3"/>
  <c r="A330" i="3"/>
  <c r="A266" i="3"/>
  <c r="A202" i="3"/>
  <c r="A138" i="3"/>
  <c r="A74" i="3"/>
  <c r="A1033" i="3"/>
  <c r="A969" i="3"/>
  <c r="A905" i="3"/>
  <c r="A841" i="3"/>
  <c r="A777" i="3"/>
  <c r="A713" i="3"/>
  <c r="A649" i="3"/>
  <c r="A585" i="3"/>
  <c r="A521" i="3"/>
  <c r="A457" i="3"/>
  <c r="A393" i="3"/>
  <c r="A329" i="3"/>
  <c r="A265" i="3"/>
  <c r="A201" i="3"/>
  <c r="A888" i="3"/>
  <c r="A632" i="3"/>
  <c r="A376" i="3"/>
  <c r="A139" i="3"/>
  <c r="A1043" i="3"/>
  <c r="A787" i="3"/>
  <c r="A531" i="3"/>
  <c r="A275" i="3"/>
  <c r="A73" i="3"/>
  <c r="A976" i="3"/>
  <c r="A720" i="3"/>
  <c r="A464" i="3"/>
  <c r="A208" i="3"/>
  <c r="A34" i="3"/>
  <c r="A907" i="3"/>
  <c r="A651" i="3"/>
  <c r="A395" i="3"/>
  <c r="A153" i="3"/>
  <c r="A1064" i="3"/>
  <c r="A808" i="3"/>
  <c r="A552" i="3"/>
  <c r="A296" i="3"/>
  <c r="A88" i="3"/>
  <c r="A963" i="3"/>
  <c r="A707" i="3"/>
  <c r="A451" i="3"/>
  <c r="A195" i="3"/>
  <c r="A27" i="3"/>
  <c r="A864" i="3"/>
  <c r="A608" i="3"/>
  <c r="A352" i="3"/>
  <c r="A123" i="3"/>
  <c r="A1019" i="3"/>
  <c r="A763" i="3"/>
  <c r="A507" i="3"/>
  <c r="A251" i="3"/>
  <c r="A57" i="3"/>
  <c r="B1036" i="3"/>
  <c r="B1043" i="3"/>
  <c r="B979" i="3"/>
  <c r="B915" i="3"/>
  <c r="B1026" i="3"/>
  <c r="B962" i="3"/>
  <c r="B1073" i="3"/>
  <c r="B1009" i="3"/>
  <c r="B945" i="3"/>
  <c r="B1016" i="3"/>
  <c r="B952" i="3"/>
  <c r="B1039" i="3"/>
  <c r="B972" i="3"/>
  <c r="B880" i="3"/>
  <c r="B816" i="3"/>
  <c r="B752" i="3"/>
  <c r="B688" i="3"/>
  <c r="B624" i="3"/>
  <c r="B560" i="3"/>
  <c r="B496" i="3"/>
  <c r="B432" i="3"/>
  <c r="B368" i="3"/>
  <c r="B304" i="3"/>
  <c r="B240" i="3"/>
  <c r="B176" i="3"/>
  <c r="B112" i="3"/>
  <c r="B1029" i="3"/>
  <c r="B903" i="3"/>
  <c r="B839" i="3"/>
  <c r="B775" i="3"/>
  <c r="B711" i="3"/>
  <c r="B647" i="3"/>
  <c r="B583" i="3"/>
  <c r="B519" i="3"/>
  <c r="B455" i="3"/>
  <c r="B391" i="3"/>
  <c r="B950" i="3"/>
  <c r="B870" i="3"/>
  <c r="B806" i="3"/>
  <c r="B742" i="3"/>
  <c r="B678" i="3"/>
  <c r="B614" i="3"/>
  <c r="B550" i="3"/>
  <c r="B486" i="3"/>
  <c r="B422" i="3"/>
  <c r="B1021" i="3"/>
  <c r="B901" i="3"/>
  <c r="B837" i="3"/>
  <c r="B773" i="3"/>
  <c r="B709" i="3"/>
  <c r="B645" i="3"/>
  <c r="B581" i="3"/>
  <c r="B517" i="3"/>
  <c r="B453" i="3"/>
  <c r="B1014" i="3"/>
  <c r="B900" i="3"/>
  <c r="B836" i="3"/>
  <c r="B772" i="3"/>
  <c r="B708" i="3"/>
  <c r="B644" i="3"/>
  <c r="B580" i="3"/>
  <c r="B516" i="3"/>
  <c r="B452" i="3"/>
  <c r="B388" i="3"/>
  <c r="B324" i="3"/>
  <c r="B260" i="3"/>
  <c r="B196" i="3"/>
  <c r="B132" i="3"/>
  <c r="B68" i="3"/>
  <c r="B932" i="3"/>
  <c r="B859" i="3"/>
  <c r="B795" i="3"/>
  <c r="B1007" i="3"/>
  <c r="B898" i="3"/>
  <c r="B834" i="3"/>
  <c r="B957" i="3"/>
  <c r="B682" i="3"/>
  <c r="B513" i="3"/>
  <c r="B361" i="3"/>
  <c r="B275" i="3"/>
  <c r="B190" i="3"/>
  <c r="B105" i="3"/>
  <c r="B29" i="3"/>
  <c r="B745" i="3"/>
  <c r="B571" i="3"/>
  <c r="B402" i="3"/>
  <c r="B306" i="3"/>
  <c r="B221" i="3"/>
  <c r="B135" i="3"/>
  <c r="B52" i="3"/>
  <c r="B849" i="3"/>
  <c r="B634" i="3"/>
  <c r="B465" i="3"/>
  <c r="B337" i="3"/>
  <c r="B251" i="3"/>
  <c r="B166" i="3"/>
  <c r="B81" i="3"/>
  <c r="B11" i="3"/>
  <c r="B697" i="3"/>
  <c r="B523" i="3"/>
  <c r="B367" i="3"/>
  <c r="B282" i="3"/>
  <c r="B197" i="3"/>
  <c r="B111" i="3"/>
  <c r="B34" i="3"/>
  <c r="B761" i="3"/>
  <c r="B586" i="3"/>
  <c r="B417" i="3"/>
  <c r="B313" i="3"/>
  <c r="B227" i="3"/>
  <c r="B142" i="3"/>
  <c r="B57" i="3"/>
  <c r="B825" i="3"/>
  <c r="B626" i="3"/>
  <c r="B457" i="3"/>
  <c r="B333" i="3"/>
  <c r="B247" i="3"/>
  <c r="B162" i="3"/>
  <c r="B77" i="3"/>
  <c r="B8" i="3"/>
  <c r="B666" i="3"/>
  <c r="B497" i="3"/>
  <c r="B353" i="3"/>
  <c r="B267" i="3"/>
  <c r="B182" i="3"/>
  <c r="B97" i="3"/>
  <c r="B23" i="3"/>
  <c r="A1023" i="3"/>
  <c r="A959" i="3"/>
  <c r="A895" i="3"/>
  <c r="A831" i="3"/>
  <c r="A767" i="3"/>
  <c r="A703" i="3"/>
  <c r="A639" i="3"/>
  <c r="A575" i="3"/>
  <c r="A511" i="3"/>
  <c r="A447" i="3"/>
  <c r="A383" i="3"/>
  <c r="A319" i="3"/>
  <c r="A255" i="3"/>
  <c r="A191" i="3"/>
  <c r="A127" i="3"/>
  <c r="A63" i="3"/>
  <c r="A1070" i="3"/>
  <c r="A1006" i="3"/>
  <c r="A942" i="3"/>
  <c r="A878" i="3"/>
  <c r="A814" i="3"/>
  <c r="A750" i="3"/>
  <c r="A686" i="3"/>
  <c r="A622" i="3"/>
  <c r="A558" i="3"/>
  <c r="A494" i="3"/>
  <c r="A430" i="3"/>
  <c r="A366" i="3"/>
  <c r="A302" i="3"/>
  <c r="A238" i="3"/>
  <c r="A174" i="3"/>
  <c r="A110" i="3"/>
  <c r="A46" i="3"/>
  <c r="A1053" i="3"/>
  <c r="A989" i="3"/>
  <c r="A925" i="3"/>
  <c r="A861" i="3"/>
  <c r="A797" i="3"/>
  <c r="A733" i="3"/>
  <c r="A669" i="3"/>
  <c r="A605" i="3"/>
  <c r="A541" i="3"/>
  <c r="A477" i="3"/>
  <c r="A413" i="3"/>
  <c r="A349" i="3"/>
  <c r="A285" i="3"/>
  <c r="A221" i="3"/>
  <c r="A157" i="3"/>
  <c r="A93" i="3"/>
  <c r="A29" i="3"/>
  <c r="A1036" i="3"/>
  <c r="A972" i="3"/>
  <c r="A908" i="3"/>
  <c r="A844" i="3"/>
  <c r="A780" i="3"/>
  <c r="A716" i="3"/>
  <c r="A652" i="3"/>
  <c r="A588" i="3"/>
  <c r="A524" i="3"/>
  <c r="A460" i="3"/>
  <c r="A396" i="3"/>
  <c r="A332" i="3"/>
  <c r="A268" i="3"/>
  <c r="A204" i="3"/>
  <c r="A140" i="3"/>
  <c r="A76" i="3"/>
  <c r="A12" i="3"/>
  <c r="A1026" i="3"/>
  <c r="A962" i="3"/>
  <c r="A898" i="3"/>
  <c r="A834" i="3"/>
  <c r="A770" i="3"/>
  <c r="A706" i="3"/>
  <c r="A642" i="3"/>
  <c r="A578" i="3"/>
  <c r="A514" i="3"/>
  <c r="A450" i="3"/>
  <c r="A386" i="3"/>
  <c r="A322" i="3"/>
  <c r="A258" i="3"/>
  <c r="A194" i="3"/>
  <c r="A130" i="3"/>
  <c r="A66" i="3"/>
  <c r="A1025" i="3"/>
  <c r="A961" i="3"/>
  <c r="A897" i="3"/>
  <c r="A833" i="3"/>
  <c r="A769" i="3"/>
  <c r="A705" i="3"/>
  <c r="A641" i="3"/>
  <c r="A577" i="3"/>
  <c r="A513" i="3"/>
  <c r="A449" i="3"/>
  <c r="A385" i="3"/>
  <c r="A321" i="3"/>
  <c r="A257" i="3"/>
  <c r="A193" i="3"/>
  <c r="A856" i="3"/>
  <c r="A600" i="3"/>
  <c r="A344" i="3"/>
  <c r="A120" i="3"/>
  <c r="A1011" i="3"/>
  <c r="A755" i="3"/>
  <c r="A499" i="3"/>
  <c r="A243" i="3"/>
  <c r="A51" i="3"/>
  <c r="A944" i="3"/>
  <c r="A688" i="3"/>
  <c r="A432" i="3"/>
  <c r="A177" i="3"/>
  <c r="A18" i="3"/>
  <c r="A875" i="3"/>
  <c r="A619" i="3"/>
  <c r="A363" i="3"/>
  <c r="A131" i="3"/>
  <c r="A1032" i="3"/>
  <c r="A776" i="3"/>
  <c r="A520" i="3"/>
  <c r="A264" i="3"/>
  <c r="A65" i="3"/>
  <c r="A931" i="3"/>
  <c r="A675" i="3"/>
  <c r="A419" i="3"/>
  <c r="A169" i="3"/>
  <c r="A11" i="3"/>
  <c r="A832" i="3"/>
  <c r="A576" i="3"/>
  <c r="A320" i="3"/>
  <c r="A104" i="3"/>
  <c r="A987" i="3"/>
  <c r="A731" i="3"/>
  <c r="A475" i="3"/>
  <c r="A219" i="3"/>
  <c r="A41" i="3"/>
  <c r="B1028" i="3"/>
  <c r="B1035" i="3"/>
  <c r="B971" i="3"/>
  <c r="B907" i="3"/>
  <c r="B1018" i="3"/>
  <c r="B954" i="3"/>
  <c r="B1065" i="3"/>
  <c r="B1001" i="3"/>
  <c r="B1072" i="3"/>
  <c r="B1008" i="3"/>
  <c r="B944" i="3"/>
  <c r="B1031" i="3"/>
  <c r="B956" i="3"/>
  <c r="B872" i="3"/>
  <c r="B808" i="3"/>
  <c r="B744" i="3"/>
  <c r="B680" i="3"/>
  <c r="B616" i="3"/>
  <c r="B552" i="3"/>
  <c r="B488" i="3"/>
  <c r="B424" i="3"/>
  <c r="B360" i="3"/>
  <c r="B296" i="3"/>
  <c r="B232" i="3"/>
  <c r="B168" i="3"/>
  <c r="B104" i="3"/>
  <c r="B999" i="3"/>
  <c r="B895" i="3"/>
  <c r="B831" i="3"/>
  <c r="B767" i="3"/>
  <c r="B703" i="3"/>
  <c r="B639" i="3"/>
  <c r="B575" i="3"/>
  <c r="B511" i="3"/>
  <c r="B447" i="3"/>
  <c r="B383" i="3"/>
  <c r="B935" i="3"/>
  <c r="B862" i="3"/>
  <c r="B798" i="3"/>
  <c r="B734" i="3"/>
  <c r="B670" i="3"/>
  <c r="B606" i="3"/>
  <c r="B542" i="3"/>
  <c r="B478" i="3"/>
  <c r="B414" i="3"/>
  <c r="B997" i="3"/>
  <c r="B893" i="3"/>
  <c r="B829" i="3"/>
  <c r="B765" i="3"/>
  <c r="B701" i="3"/>
  <c r="B637" i="3"/>
  <c r="B573" i="3"/>
  <c r="B509" i="3"/>
  <c r="B445" i="3"/>
  <c r="B996" i="3"/>
  <c r="B892" i="3"/>
  <c r="B828" i="3"/>
  <c r="B764" i="3"/>
  <c r="B700" i="3"/>
  <c r="B636" i="3"/>
  <c r="B572" i="3"/>
  <c r="B508" i="3"/>
  <c r="B444" i="3"/>
  <c r="B380" i="3"/>
  <c r="B316" i="3"/>
  <c r="B252" i="3"/>
  <c r="B188" i="3"/>
  <c r="B124" i="3"/>
  <c r="B60" i="3"/>
  <c r="B919" i="3"/>
  <c r="B851" i="3"/>
  <c r="B787" i="3"/>
  <c r="B990" i="3"/>
  <c r="B890" i="3"/>
  <c r="B826" i="3"/>
  <c r="B941" i="3"/>
  <c r="B659" i="3"/>
  <c r="B490" i="3"/>
  <c r="B350" i="3"/>
  <c r="B265" i="3"/>
  <c r="B179" i="3"/>
  <c r="B94" i="3"/>
  <c r="B21" i="3"/>
  <c r="B722" i="3"/>
  <c r="B553" i="3"/>
  <c r="B386" i="3"/>
  <c r="B295" i="3"/>
  <c r="B210" i="3"/>
  <c r="B125" i="3"/>
  <c r="B44" i="3"/>
  <c r="B801" i="3"/>
  <c r="B611" i="3"/>
  <c r="B442" i="3"/>
  <c r="B326" i="3"/>
  <c r="B241" i="3"/>
  <c r="B155" i="3"/>
  <c r="B70" i="3"/>
  <c r="B3" i="3"/>
  <c r="B674" i="3"/>
  <c r="B505" i="3"/>
  <c r="B357" i="3"/>
  <c r="B271" i="3"/>
  <c r="B186" i="3"/>
  <c r="B101" i="3"/>
  <c r="B26" i="3"/>
  <c r="B737" i="3"/>
  <c r="B563" i="3"/>
  <c r="B395" i="3"/>
  <c r="B302" i="3"/>
  <c r="B217" i="3"/>
  <c r="B131" i="3"/>
  <c r="B49" i="3"/>
  <c r="B786" i="3"/>
  <c r="B603" i="3"/>
  <c r="B434" i="3"/>
  <c r="B322" i="3"/>
  <c r="B237" i="3"/>
  <c r="B151" i="3"/>
  <c r="B66" i="3"/>
  <c r="B881" i="3"/>
  <c r="B643" i="3"/>
  <c r="B474" i="3"/>
  <c r="B342" i="3"/>
  <c r="B257" i="3"/>
  <c r="B171" i="3"/>
  <c r="B86" i="3"/>
  <c r="A1015" i="3"/>
  <c r="A951" i="3"/>
  <c r="A887" i="3"/>
  <c r="A823" i="3"/>
  <c r="A759" i="3"/>
  <c r="A695" i="3"/>
  <c r="A631" i="3"/>
  <c r="A567" i="3"/>
  <c r="A503" i="3"/>
  <c r="A439" i="3"/>
  <c r="A375" i="3"/>
  <c r="A311" i="3"/>
  <c r="A247" i="3"/>
  <c r="A183" i="3"/>
  <c r="A119" i="3"/>
  <c r="A55" i="3"/>
  <c r="A1062" i="3"/>
  <c r="A998" i="3"/>
  <c r="A934" i="3"/>
  <c r="A870" i="3"/>
  <c r="A806" i="3"/>
  <c r="A742" i="3"/>
  <c r="A678" i="3"/>
  <c r="A614" i="3"/>
  <c r="A550" i="3"/>
  <c r="A486" i="3"/>
  <c r="A422" i="3"/>
  <c r="A358" i="3"/>
  <c r="A294" i="3"/>
  <c r="A230" i="3"/>
  <c r="A166" i="3"/>
  <c r="A102" i="3"/>
  <c r="A38" i="3"/>
  <c r="A1045" i="3"/>
  <c r="A981" i="3"/>
  <c r="A917" i="3"/>
  <c r="A853" i="3"/>
  <c r="A789" i="3"/>
  <c r="A725" i="3"/>
  <c r="A661" i="3"/>
  <c r="A597" i="3"/>
  <c r="A533" i="3"/>
  <c r="A469" i="3"/>
  <c r="A405" i="3"/>
  <c r="A341" i="3"/>
  <c r="A277" i="3"/>
  <c r="A213" i="3"/>
  <c r="A149" i="3"/>
  <c r="A85" i="3"/>
  <c r="A21" i="3"/>
  <c r="A1028" i="3"/>
  <c r="A964" i="3"/>
  <c r="A900" i="3"/>
  <c r="A836" i="3"/>
  <c r="A772" i="3"/>
  <c r="A708" i="3"/>
  <c r="A644" i="3"/>
  <c r="A580" i="3"/>
  <c r="A516" i="3"/>
  <c r="A452" i="3"/>
  <c r="A388" i="3"/>
  <c r="A324" i="3"/>
  <c r="A260" i="3"/>
  <c r="A196" i="3"/>
  <c r="A132" i="3"/>
  <c r="A68" i="3"/>
  <c r="A4" i="3"/>
  <c r="A1018" i="3"/>
  <c r="A954" i="3"/>
  <c r="A890" i="3"/>
  <c r="A826" i="3"/>
  <c r="A762" i="3"/>
  <c r="A698" i="3"/>
  <c r="A634" i="3"/>
  <c r="A570" i="3"/>
  <c r="A506" i="3"/>
  <c r="A442" i="3"/>
  <c r="A378" i="3"/>
  <c r="A314" i="3"/>
  <c r="A250" i="3"/>
  <c r="A186" i="3"/>
  <c r="A122" i="3"/>
  <c r="A58" i="3"/>
  <c r="A1017" i="3"/>
  <c r="A953" i="3"/>
  <c r="A889" i="3"/>
  <c r="A825" i="3"/>
  <c r="A761" i="3"/>
  <c r="A697" i="3"/>
  <c r="A633" i="3"/>
  <c r="A569" i="3"/>
  <c r="A505" i="3"/>
  <c r="A441" i="3"/>
  <c r="A377" i="3"/>
  <c r="A313" i="3"/>
  <c r="A249" i="3"/>
  <c r="A185" i="3"/>
  <c r="A824" i="3"/>
  <c r="A568" i="3"/>
  <c r="A312" i="3"/>
  <c r="A97" i="3"/>
  <c r="A979" i="3"/>
  <c r="A723" i="3"/>
  <c r="A467" i="3"/>
  <c r="A211" i="3"/>
  <c r="A35" i="3"/>
  <c r="A912" i="3"/>
  <c r="A656" i="3"/>
  <c r="A400" i="3"/>
  <c r="A155" i="3"/>
  <c r="A2" i="3"/>
  <c r="A843" i="3"/>
  <c r="A587" i="3"/>
  <c r="A331" i="3"/>
  <c r="A112" i="3"/>
  <c r="A1000" i="3"/>
  <c r="A744" i="3"/>
  <c r="A488" i="3"/>
  <c r="A232" i="3"/>
  <c r="A48" i="3"/>
  <c r="A899" i="3"/>
  <c r="A643" i="3"/>
  <c r="A387" i="3"/>
  <c r="A147" i="3"/>
  <c r="A1056" i="3"/>
  <c r="A800" i="3"/>
  <c r="A544" i="3"/>
  <c r="A288" i="3"/>
  <c r="A81" i="3"/>
  <c r="A955" i="3"/>
  <c r="A699" i="3"/>
  <c r="A443" i="3"/>
  <c r="A187" i="3"/>
  <c r="A25" i="3"/>
  <c r="B1020" i="3"/>
  <c r="B1027" i="3"/>
  <c r="B963" i="3"/>
  <c r="B1074" i="3"/>
  <c r="B1010" i="3"/>
  <c r="B946" i="3"/>
  <c r="B1057" i="3"/>
  <c r="B993" i="3"/>
  <c r="B1064" i="3"/>
  <c r="B1000" i="3"/>
  <c r="B936" i="3"/>
  <c r="B1023" i="3"/>
  <c r="B940" i="3"/>
  <c r="B864" i="3"/>
  <c r="B800" i="3"/>
  <c r="B736" i="3"/>
  <c r="B672" i="3"/>
  <c r="B608" i="3"/>
  <c r="B544" i="3"/>
  <c r="B480" i="3"/>
  <c r="B416" i="3"/>
  <c r="B352" i="3"/>
  <c r="B288" i="3"/>
  <c r="B224" i="3"/>
  <c r="B160" i="3"/>
  <c r="B96" i="3"/>
  <c r="B983" i="3"/>
  <c r="B887" i="3"/>
  <c r="B823" i="3"/>
  <c r="B759" i="3"/>
  <c r="B695" i="3"/>
  <c r="B631" i="3"/>
  <c r="B567" i="3"/>
  <c r="B503" i="3"/>
  <c r="B439" i="3"/>
  <c r="B375" i="3"/>
  <c r="B924" i="3"/>
  <c r="B854" i="3"/>
  <c r="B790" i="3"/>
  <c r="B726" i="3"/>
  <c r="B662" i="3"/>
  <c r="B598" i="3"/>
  <c r="B534" i="3"/>
  <c r="B470" i="3"/>
  <c r="B406" i="3"/>
  <c r="B981" i="3"/>
  <c r="B885" i="3"/>
  <c r="B821" i="3"/>
  <c r="B757" i="3"/>
  <c r="B693" i="3"/>
  <c r="B629" i="3"/>
  <c r="B565" i="3"/>
  <c r="B501" i="3"/>
  <c r="B437" i="3"/>
  <c r="B980" i="3"/>
  <c r="B884" i="3"/>
  <c r="B820" i="3"/>
  <c r="B756" i="3"/>
  <c r="B692" i="3"/>
  <c r="B628" i="3"/>
  <c r="B564" i="3"/>
  <c r="B500" i="3"/>
  <c r="B436" i="3"/>
  <c r="B372" i="3"/>
  <c r="B308" i="3"/>
  <c r="B244" i="3"/>
  <c r="B180" i="3"/>
  <c r="B116" i="3"/>
  <c r="B1045" i="3"/>
  <c r="B909" i="3"/>
  <c r="B843" i="3"/>
  <c r="B779" i="3"/>
  <c r="B974" i="3"/>
  <c r="B882" i="3"/>
  <c r="B818" i="3"/>
  <c r="B865" i="3"/>
  <c r="B641" i="3"/>
  <c r="B467" i="3"/>
  <c r="B339" i="3"/>
  <c r="B254" i="3"/>
  <c r="B169" i="3"/>
  <c r="B83" i="3"/>
  <c r="B13" i="3"/>
  <c r="B699" i="3"/>
  <c r="B530" i="3"/>
  <c r="B370" i="3"/>
  <c r="B285" i="3"/>
  <c r="B199" i="3"/>
  <c r="B114" i="3"/>
  <c r="B36" i="3"/>
  <c r="B769" i="3"/>
  <c r="B593" i="3"/>
  <c r="B419" i="3"/>
  <c r="B315" i="3"/>
  <c r="B230" i="3"/>
  <c r="B145" i="3"/>
  <c r="B59" i="3"/>
  <c r="B905" i="3"/>
  <c r="B651" i="3"/>
  <c r="B482" i="3"/>
  <c r="B346" i="3"/>
  <c r="B261" i="3"/>
  <c r="B175" i="3"/>
  <c r="B90" i="3"/>
  <c r="B18" i="3"/>
  <c r="B714" i="3"/>
  <c r="B545" i="3"/>
  <c r="B379" i="3"/>
  <c r="B291" i="3"/>
  <c r="B206" i="3"/>
  <c r="B121" i="3"/>
  <c r="B41" i="3"/>
  <c r="B754" i="3"/>
  <c r="B585" i="3"/>
  <c r="B411" i="3"/>
  <c r="B311" i="3"/>
  <c r="B226" i="3"/>
  <c r="B141" i="3"/>
  <c r="B56" i="3"/>
  <c r="B817" i="3"/>
  <c r="B625" i="3"/>
  <c r="B451" i="3"/>
  <c r="B39" i="3"/>
  <c r="B170" i="3"/>
  <c r="B159" i="3"/>
  <c r="B149" i="3"/>
  <c r="B54" i="3"/>
  <c r="B706" i="3"/>
  <c r="B514" i="3"/>
  <c r="B351" i="3"/>
  <c r="B331" i="3"/>
  <c r="B15" i="3"/>
  <c r="B85" i="3"/>
  <c r="B74" i="3"/>
  <c r="B63" i="3"/>
  <c r="B729" i="3"/>
  <c r="B537" i="3"/>
  <c r="B362" i="3"/>
  <c r="B266" i="3"/>
  <c r="B246" i="3"/>
  <c r="B7" i="3"/>
  <c r="B14" i="3"/>
  <c r="B6" i="3"/>
  <c r="B747" i="3"/>
  <c r="B555" i="3"/>
  <c r="B373" i="3"/>
  <c r="B277" i="3"/>
  <c r="B181" i="3"/>
  <c r="B161" i="3"/>
  <c r="B873" i="3"/>
  <c r="B810" i="3"/>
  <c r="B778" i="3"/>
  <c r="B578" i="3"/>
  <c r="B389" i="3"/>
  <c r="B287" i="3"/>
  <c r="B191" i="3"/>
  <c r="B95" i="3"/>
  <c r="B129" i="3"/>
  <c r="B642" i="3"/>
  <c r="B619" i="3"/>
  <c r="B601" i="3"/>
  <c r="B409" i="3"/>
  <c r="B298" i="3"/>
  <c r="B202" i="3"/>
  <c r="B106" i="3"/>
  <c r="B22" i="3"/>
  <c r="B75" i="3"/>
  <c r="B473" i="3"/>
  <c r="B450" i="3"/>
  <c r="B427" i="3"/>
  <c r="B309" i="3"/>
  <c r="B213" i="3"/>
  <c r="B117" i="3"/>
  <c r="B30" i="3"/>
  <c r="B55" i="3"/>
  <c r="B341" i="3"/>
  <c r="B330" i="3"/>
  <c r="B319" i="3"/>
  <c r="B223" i="3"/>
  <c r="B127" i="3"/>
  <c r="B38" i="3"/>
  <c r="B665" i="3"/>
  <c r="B47" i="3"/>
  <c r="B255" i="3"/>
  <c r="B245" i="3"/>
  <c r="B234" i="3"/>
  <c r="B138" i="3"/>
  <c r="B46" i="3"/>
  <c r="B683" i="3"/>
  <c r="B491" i="3"/>
  <c r="B1074" i="2"/>
  <c r="B1010" i="2"/>
  <c r="B946" i="2"/>
  <c r="B1073" i="2"/>
  <c r="B1009" i="2"/>
  <c r="B1062" i="2"/>
  <c r="B998" i="2"/>
  <c r="B934" i="2"/>
  <c r="B1053" i="2"/>
  <c r="B989" i="2"/>
  <c r="B1036" i="2"/>
  <c r="B972" i="2"/>
  <c r="B1027" i="2"/>
  <c r="B1055" i="2"/>
  <c r="B905" i="2"/>
  <c r="B837" i="2"/>
  <c r="B773" i="2"/>
  <c r="B709" i="2"/>
  <c r="B645" i="2"/>
  <c r="B581" i="2"/>
  <c r="B517" i="2"/>
  <c r="B453" i="2"/>
  <c r="B389" i="2"/>
  <c r="B325" i="2"/>
  <c r="B261" i="2"/>
  <c r="B197" i="2"/>
  <c r="B133" i="2"/>
  <c r="B69" i="2"/>
  <c r="B5" i="2"/>
  <c r="B925" i="2"/>
  <c r="B852" i="2"/>
  <c r="B788" i="2"/>
  <c r="B724" i="2"/>
  <c r="B660" i="2"/>
  <c r="B596" i="2"/>
  <c r="B532" i="2"/>
  <c r="B468" i="2"/>
  <c r="B404" i="2"/>
  <c r="B340" i="2"/>
  <c r="B276" i="2"/>
  <c r="B212" i="2"/>
  <c r="B148" i="2"/>
  <c r="B84" i="2"/>
  <c r="B20" i="2"/>
  <c r="B945" i="2"/>
  <c r="B867" i="2"/>
  <c r="B803" i="2"/>
  <c r="B739" i="2"/>
  <c r="B675" i="2"/>
  <c r="B611" i="2"/>
  <c r="B547" i="2"/>
  <c r="B483" i="2"/>
  <c r="B419" i="2"/>
  <c r="B331" i="2"/>
  <c r="B267" i="2"/>
  <c r="B203" i="2"/>
  <c r="B139" i="2"/>
  <c r="B75" i="2"/>
  <c r="B11" i="2"/>
  <c r="B933" i="2"/>
  <c r="B858" i="2"/>
  <c r="B794" i="2"/>
  <c r="B730" i="2"/>
  <c r="B666" i="2"/>
  <c r="B602" i="2"/>
  <c r="B538" i="2"/>
  <c r="B474" i="2"/>
  <c r="B410" i="2"/>
  <c r="B346" i="2"/>
  <c r="B282" i="2"/>
  <c r="B218" i="2"/>
  <c r="B154" i="2"/>
  <c r="B90" i="2"/>
  <c r="B26" i="2"/>
  <c r="B975" i="2"/>
  <c r="B881" i="2"/>
  <c r="B817" i="2"/>
  <c r="B753" i="2"/>
  <c r="B689" i="2"/>
  <c r="B625" i="2"/>
  <c r="B561" i="2"/>
  <c r="B497" i="2"/>
  <c r="B433" i="2"/>
  <c r="B369" i="2"/>
  <c r="B305" i="2"/>
  <c r="B241" i="2"/>
  <c r="B177" i="2"/>
  <c r="B113" i="2"/>
  <c r="B49" i="2"/>
  <c r="B1032" i="2"/>
  <c r="B899" i="2"/>
  <c r="B832" i="2"/>
  <c r="B768" i="2"/>
  <c r="B704" i="2"/>
  <c r="B640" i="2"/>
  <c r="B576" i="2"/>
  <c r="B512" i="2"/>
  <c r="B448" i="2"/>
  <c r="B384" i="2"/>
  <c r="B320" i="2"/>
  <c r="B256" i="2"/>
  <c r="B192" i="2"/>
  <c r="B128" i="2"/>
  <c r="B64" i="2"/>
  <c r="B391" i="2"/>
  <c r="B919" i="2"/>
  <c r="B847" i="2"/>
  <c r="B783" i="2"/>
  <c r="B719" i="2"/>
  <c r="B655" i="2"/>
  <c r="B591" i="2"/>
  <c r="B527" i="2"/>
  <c r="B463" i="2"/>
  <c r="B399" i="2"/>
  <c r="B311" i="2"/>
  <c r="B247" i="2"/>
  <c r="B183" i="2"/>
  <c r="B119" i="2"/>
  <c r="B55" i="2"/>
  <c r="B1024" i="2"/>
  <c r="B896" i="2"/>
  <c r="B830" i="2"/>
  <c r="B766" i="2"/>
  <c r="B702" i="2"/>
  <c r="B638" i="2"/>
  <c r="B574" i="2"/>
  <c r="B510" i="2"/>
  <c r="B446" i="2"/>
  <c r="B382" i="2"/>
  <c r="B318" i="2"/>
  <c r="B254" i="2"/>
  <c r="B190" i="2"/>
  <c r="B126" i="2"/>
  <c r="B62" i="2"/>
  <c r="B371" i="2"/>
  <c r="A1015" i="2"/>
  <c r="A951" i="2"/>
  <c r="A887" i="2"/>
  <c r="A823" i="2"/>
  <c r="A759" i="2"/>
  <c r="A695" i="2"/>
  <c r="A631" i="2"/>
  <c r="A567" i="2"/>
  <c r="A503" i="2"/>
  <c r="A439" i="2"/>
  <c r="A375" i="2"/>
  <c r="A311" i="2"/>
  <c r="A247" i="2"/>
  <c r="A183" i="2"/>
  <c r="A119" i="2"/>
  <c r="A55" i="2"/>
  <c r="A549" i="2"/>
  <c r="A237" i="2"/>
  <c r="A21" i="2"/>
  <c r="A1014" i="2"/>
  <c r="A950" i="2"/>
  <c r="A886" i="2"/>
  <c r="A822" i="2"/>
  <c r="A758" i="2"/>
  <c r="A694" i="2"/>
  <c r="A630" i="2"/>
  <c r="A566" i="2"/>
  <c r="A502" i="2"/>
  <c r="A438" i="2"/>
  <c r="A374" i="2"/>
  <c r="A310" i="2"/>
  <c r="A246" i="2"/>
  <c r="A182" i="2"/>
  <c r="A118" i="2"/>
  <c r="A54" i="2"/>
  <c r="A573" i="2"/>
  <c r="A357" i="2"/>
  <c r="A117" i="2"/>
  <c r="A1045" i="2"/>
  <c r="A981" i="2"/>
  <c r="A917" i="2"/>
  <c r="A853" i="2"/>
  <c r="A789" i="2"/>
  <c r="A701" i="2"/>
  <c r="A637" i="2"/>
  <c r="A565" i="2"/>
  <c r="A429" i="2"/>
  <c r="A13" i="2"/>
  <c r="A1012" i="2"/>
  <c r="A948" i="2"/>
  <c r="A884" i="2"/>
  <c r="A820" i="2"/>
  <c r="A756" i="2"/>
  <c r="A692" i="2"/>
  <c r="A628" i="2"/>
  <c r="A564" i="2"/>
  <c r="A500" i="2"/>
  <c r="A436" i="2"/>
  <c r="A372" i="2"/>
  <c r="A308" i="2"/>
  <c r="A244" i="2"/>
  <c r="A180" i="2"/>
  <c r="A116" i="2"/>
  <c r="A52" i="2"/>
  <c r="A569" i="2"/>
  <c r="A321" i="2"/>
  <c r="A153" i="2"/>
  <c r="A1051" i="2"/>
  <c r="A987" i="2"/>
  <c r="A923" i="2"/>
  <c r="A859" i="2"/>
  <c r="A795" i="2"/>
  <c r="A731" i="2"/>
  <c r="A667" i="2"/>
  <c r="A603" i="2"/>
  <c r="A539" i="2"/>
  <c r="A475" i="2"/>
  <c r="A411" i="2"/>
  <c r="A347" i="2"/>
  <c r="A283" i="2"/>
  <c r="A219" i="2"/>
  <c r="A155" i="2"/>
  <c r="A91" i="2"/>
  <c r="A27" i="2"/>
  <c r="A449" i="2"/>
  <c r="A201" i="2"/>
  <c r="A1066" i="2"/>
  <c r="A1002" i="2"/>
  <c r="A938" i="2"/>
  <c r="A874" i="2"/>
  <c r="A810" i="2"/>
  <c r="A746" i="2"/>
  <c r="A682" i="2"/>
  <c r="A618" i="2"/>
  <c r="A554" i="2"/>
  <c r="A490" i="2"/>
  <c r="A426" i="2"/>
  <c r="A362" i="2"/>
  <c r="A298" i="2"/>
  <c r="A234" i="2"/>
  <c r="A170" i="2"/>
  <c r="A106" i="2"/>
  <c r="A42" i="2"/>
  <c r="A481" i="2"/>
  <c r="A209" i="2"/>
  <c r="A1073" i="2"/>
  <c r="A1009" i="2"/>
  <c r="A945" i="2"/>
  <c r="A881" i="2"/>
  <c r="A817" i="2"/>
  <c r="A729" i="2"/>
  <c r="A665" i="2"/>
  <c r="A601" i="2"/>
  <c r="A513" i="2"/>
  <c r="A121" i="2"/>
  <c r="A1024" i="2"/>
  <c r="A960" i="2"/>
  <c r="A896" i="2"/>
  <c r="A832" i="2"/>
  <c r="A768" i="2"/>
  <c r="A704" i="2"/>
  <c r="A640" i="2"/>
  <c r="A576" i="2"/>
  <c r="A512" i="2"/>
  <c r="A448" i="2"/>
  <c r="A384" i="2"/>
  <c r="A320" i="2"/>
  <c r="A256" i="2"/>
  <c r="A192" i="2"/>
  <c r="A128" i="2"/>
  <c r="A64" i="2"/>
  <c r="A749" i="2"/>
  <c r="A269" i="2"/>
  <c r="A53" i="2"/>
  <c r="B1066" i="2"/>
  <c r="B1002" i="2"/>
  <c r="B938" i="2"/>
  <c r="B1065" i="2"/>
  <c r="B1001" i="2"/>
  <c r="B1054" i="2"/>
  <c r="B990" i="2"/>
  <c r="B926" i="2"/>
  <c r="B1045" i="2"/>
  <c r="B981" i="2"/>
  <c r="B1028" i="2"/>
  <c r="B964" i="2"/>
  <c r="B1019" i="2"/>
  <c r="B1023" i="2"/>
  <c r="B895" i="2"/>
  <c r="B829" i="2"/>
  <c r="B765" i="2"/>
  <c r="B701" i="2"/>
  <c r="B637" i="2"/>
  <c r="B573" i="2"/>
  <c r="B509" i="2"/>
  <c r="B445" i="2"/>
  <c r="B381" i="2"/>
  <c r="B317" i="2"/>
  <c r="B253" i="2"/>
  <c r="B189" i="2"/>
  <c r="B125" i="2"/>
  <c r="B61" i="2"/>
  <c r="B387" i="2"/>
  <c r="B915" i="2"/>
  <c r="B844" i="2"/>
  <c r="B780" i="2"/>
  <c r="B716" i="2"/>
  <c r="B652" i="2"/>
  <c r="B588" i="2"/>
  <c r="B524" i="2"/>
  <c r="B460" i="2"/>
  <c r="B396" i="2"/>
  <c r="B332" i="2"/>
  <c r="B268" i="2"/>
  <c r="B204" i="2"/>
  <c r="B140" i="2"/>
  <c r="B76" i="2"/>
  <c r="B12" i="2"/>
  <c r="B935" i="2"/>
  <c r="B859" i="2"/>
  <c r="B795" i="2"/>
  <c r="B731" i="2"/>
  <c r="B667" i="2"/>
  <c r="B603" i="2"/>
  <c r="B539" i="2"/>
  <c r="B475" i="2"/>
  <c r="B411" i="2"/>
  <c r="B323" i="2"/>
  <c r="B259" i="2"/>
  <c r="B195" i="2"/>
  <c r="B131" i="2"/>
  <c r="B67" i="2"/>
  <c r="B3" i="2"/>
  <c r="B923" i="2"/>
  <c r="B850" i="2"/>
  <c r="B786" i="2"/>
  <c r="B722" i="2"/>
  <c r="B658" i="2"/>
  <c r="B594" i="2"/>
  <c r="B530" i="2"/>
  <c r="B466" i="2"/>
  <c r="B402" i="2"/>
  <c r="B338" i="2"/>
  <c r="B274" i="2"/>
  <c r="B210" i="2"/>
  <c r="B146" i="2"/>
  <c r="B82" i="2"/>
  <c r="B18" i="2"/>
  <c r="B953" i="2"/>
  <c r="B873" i="2"/>
  <c r="B809" i="2"/>
  <c r="B745" i="2"/>
  <c r="B681" i="2"/>
  <c r="B617" i="2"/>
  <c r="B553" i="2"/>
  <c r="B489" i="2"/>
  <c r="B425" i="2"/>
  <c r="B361" i="2"/>
  <c r="B297" i="2"/>
  <c r="B233" i="2"/>
  <c r="B169" i="2"/>
  <c r="B105" i="2"/>
  <c r="B41" i="2"/>
  <c r="B1000" i="2"/>
  <c r="B888" i="2"/>
  <c r="B824" i="2"/>
  <c r="B760" i="2"/>
  <c r="B696" i="2"/>
  <c r="B632" i="2"/>
  <c r="B568" i="2"/>
  <c r="B504" i="2"/>
  <c r="B440" i="2"/>
  <c r="B376" i="2"/>
  <c r="B312" i="2"/>
  <c r="B248" i="2"/>
  <c r="B184" i="2"/>
  <c r="B120" i="2"/>
  <c r="B56" i="2"/>
  <c r="B1063" i="2"/>
  <c r="B908" i="2"/>
  <c r="B839" i="2"/>
  <c r="B775" i="2"/>
  <c r="B711" i="2"/>
  <c r="B647" i="2"/>
  <c r="B583" i="2"/>
  <c r="B519" i="2"/>
  <c r="B455" i="2"/>
  <c r="B375" i="2"/>
  <c r="B303" i="2"/>
  <c r="B239" i="2"/>
  <c r="B175" i="2"/>
  <c r="B111" i="2"/>
  <c r="B47" i="2"/>
  <c r="B992" i="2"/>
  <c r="B886" i="2"/>
  <c r="B822" i="2"/>
  <c r="B758" i="2"/>
  <c r="B694" i="2"/>
  <c r="B630" i="2"/>
  <c r="B566" i="2"/>
  <c r="B502" i="2"/>
  <c r="B438" i="2"/>
  <c r="B374" i="2"/>
  <c r="B310" i="2"/>
  <c r="B246" i="2"/>
  <c r="B182" i="2"/>
  <c r="B118" i="2"/>
  <c r="B54" i="2"/>
  <c r="A1071" i="2"/>
  <c r="A1007" i="2"/>
  <c r="A943" i="2"/>
  <c r="A879" i="2"/>
  <c r="A815" i="2"/>
  <c r="A751" i="2"/>
  <c r="A687" i="2"/>
  <c r="A623" i="2"/>
  <c r="A559" i="2"/>
  <c r="A495" i="2"/>
  <c r="A431" i="2"/>
  <c r="A367" i="2"/>
  <c r="A303" i="2"/>
  <c r="A239" i="2"/>
  <c r="A175" i="2"/>
  <c r="A111" i="2"/>
  <c r="A47" i="2"/>
  <c r="A485" i="2"/>
  <c r="A213" i="2"/>
  <c r="A1070" i="2"/>
  <c r="A1006" i="2"/>
  <c r="A942" i="2"/>
  <c r="A878" i="2"/>
  <c r="A814" i="2"/>
  <c r="A750" i="2"/>
  <c r="A686" i="2"/>
  <c r="A622" i="2"/>
  <c r="A558" i="2"/>
  <c r="A494" i="2"/>
  <c r="A430" i="2"/>
  <c r="A366" i="2"/>
  <c r="A302" i="2"/>
  <c r="A238" i="2"/>
  <c r="A174" i="2"/>
  <c r="A110" i="2"/>
  <c r="A46" i="2"/>
  <c r="A509" i="2"/>
  <c r="A333" i="2"/>
  <c r="A93" i="2"/>
  <c r="A1037" i="2"/>
  <c r="A973" i="2"/>
  <c r="A909" i="2"/>
  <c r="A845" i="2"/>
  <c r="A781" i="2"/>
  <c r="A693" i="2"/>
  <c r="A629" i="2"/>
  <c r="A557" i="2"/>
  <c r="A389" i="2"/>
  <c r="A1068" i="2"/>
  <c r="A1004" i="2"/>
  <c r="A940" i="2"/>
  <c r="A876" i="2"/>
  <c r="A812" i="2"/>
  <c r="A748" i="2"/>
  <c r="A684" i="2"/>
  <c r="A620" i="2"/>
  <c r="A556" i="2"/>
  <c r="A492" i="2"/>
  <c r="A428" i="2"/>
  <c r="A364" i="2"/>
  <c r="A300" i="2"/>
  <c r="A236" i="2"/>
  <c r="A172" i="2"/>
  <c r="A108" i="2"/>
  <c r="A44" i="2"/>
  <c r="A497" i="2"/>
  <c r="A297" i="2"/>
  <c r="A129" i="2"/>
  <c r="A1043" i="2"/>
  <c r="A979" i="2"/>
  <c r="A915" i="2"/>
  <c r="A851" i="2"/>
  <c r="A787" i="2"/>
  <c r="A723" i="2"/>
  <c r="A659" i="2"/>
  <c r="A595" i="2"/>
  <c r="A531" i="2"/>
  <c r="A467" i="2"/>
  <c r="A403" i="2"/>
  <c r="A339" i="2"/>
  <c r="A275" i="2"/>
  <c r="A211" i="2"/>
  <c r="A147" i="2"/>
  <c r="A83" i="2"/>
  <c r="A19" i="2"/>
  <c r="A425" i="2"/>
  <c r="A177" i="2"/>
  <c r="A1058" i="2"/>
  <c r="A994" i="2"/>
  <c r="A930" i="2"/>
  <c r="A866" i="2"/>
  <c r="A802" i="2"/>
  <c r="A738" i="2"/>
  <c r="A674" i="2"/>
  <c r="A610" i="2"/>
  <c r="A546" i="2"/>
  <c r="A482" i="2"/>
  <c r="A418" i="2"/>
  <c r="A354" i="2"/>
  <c r="A290" i="2"/>
  <c r="A226" i="2"/>
  <c r="A162" i="2"/>
  <c r="A98" i="2"/>
  <c r="A34" i="2"/>
  <c r="A433" i="2"/>
  <c r="A169" i="2"/>
  <c r="A1065" i="2"/>
  <c r="A1001" i="2"/>
  <c r="A937" i="2"/>
  <c r="A873" i="2"/>
  <c r="A809" i="2"/>
  <c r="A721" i="2"/>
  <c r="A657" i="2"/>
  <c r="A593" i="2"/>
  <c r="A489" i="2"/>
  <c r="A41" i="2"/>
  <c r="A1016" i="2"/>
  <c r="A952" i="2"/>
  <c r="A888" i="2"/>
  <c r="A824" i="2"/>
  <c r="A760" i="2"/>
  <c r="A696" i="2"/>
  <c r="A632" i="2"/>
  <c r="A568" i="2"/>
  <c r="A504" i="2"/>
  <c r="A440" i="2"/>
  <c r="A376" i="2"/>
  <c r="A312" i="2"/>
  <c r="A248" i="2"/>
  <c r="A184" i="2"/>
  <c r="A120" i="2"/>
  <c r="A56" i="2"/>
  <c r="A533" i="2"/>
  <c r="A229" i="2"/>
  <c r="A29" i="2"/>
  <c r="B1058" i="2"/>
  <c r="B994" i="2"/>
  <c r="B930" i="2"/>
  <c r="B1057" i="2"/>
  <c r="B993" i="2"/>
  <c r="B1046" i="2"/>
  <c r="B982" i="2"/>
  <c r="B918" i="2"/>
  <c r="B1037" i="2"/>
  <c r="B973" i="2"/>
  <c r="B1020" i="2"/>
  <c r="B956" i="2"/>
  <c r="B1011" i="2"/>
  <c r="B991" i="2"/>
  <c r="B885" i="2"/>
  <c r="B821" i="2"/>
  <c r="B757" i="2"/>
  <c r="B693" i="2"/>
  <c r="B629" i="2"/>
  <c r="B565" i="2"/>
  <c r="B501" i="2"/>
  <c r="B437" i="2"/>
  <c r="B373" i="2"/>
  <c r="B309" i="2"/>
  <c r="B245" i="2"/>
  <c r="B181" i="2"/>
  <c r="B117" i="2"/>
  <c r="B53" i="2"/>
  <c r="B1048" i="2"/>
  <c r="B904" i="2"/>
  <c r="B836" i="2"/>
  <c r="B772" i="2"/>
  <c r="B708" i="2"/>
  <c r="B644" i="2"/>
  <c r="B580" i="2"/>
  <c r="B516" i="2"/>
  <c r="B452" i="2"/>
  <c r="B388" i="2"/>
  <c r="B324" i="2"/>
  <c r="B260" i="2"/>
  <c r="B196" i="2"/>
  <c r="B132" i="2"/>
  <c r="B68" i="2"/>
  <c r="B4" i="2"/>
  <c r="B924" i="2"/>
  <c r="B851" i="2"/>
  <c r="B787" i="2"/>
  <c r="B723" i="2"/>
  <c r="B659" i="2"/>
  <c r="B595" i="2"/>
  <c r="B531" i="2"/>
  <c r="B467" i="2"/>
  <c r="B403" i="2"/>
  <c r="B315" i="2"/>
  <c r="B251" i="2"/>
  <c r="B187" i="2"/>
  <c r="B123" i="2"/>
  <c r="B59" i="2"/>
  <c r="B1072" i="2"/>
  <c r="B912" i="2"/>
  <c r="B842" i="2"/>
  <c r="B778" i="2"/>
  <c r="B714" i="2"/>
  <c r="B650" i="2"/>
  <c r="B586" i="2"/>
  <c r="B522" i="2"/>
  <c r="B458" i="2"/>
  <c r="B394" i="2"/>
  <c r="B330" i="2"/>
  <c r="B266" i="2"/>
  <c r="B202" i="2"/>
  <c r="B138" i="2"/>
  <c r="B74" i="2"/>
  <c r="B10" i="2"/>
  <c r="B943" i="2"/>
  <c r="B865" i="2"/>
  <c r="B801" i="2"/>
  <c r="B737" i="2"/>
  <c r="B673" i="2"/>
  <c r="B609" i="2"/>
  <c r="B545" i="2"/>
  <c r="B481" i="2"/>
  <c r="B417" i="2"/>
  <c r="B353" i="2"/>
  <c r="B289" i="2"/>
  <c r="B225" i="2"/>
  <c r="B161" i="2"/>
  <c r="B97" i="2"/>
  <c r="B33" i="2"/>
  <c r="B968" i="2"/>
  <c r="B880" i="2"/>
  <c r="B816" i="2"/>
  <c r="B752" i="2"/>
  <c r="B688" i="2"/>
  <c r="B624" i="2"/>
  <c r="B560" i="2"/>
  <c r="B496" i="2"/>
  <c r="B432" i="2"/>
  <c r="B368" i="2"/>
  <c r="B304" i="2"/>
  <c r="B240" i="2"/>
  <c r="B176" i="2"/>
  <c r="B112" i="2"/>
  <c r="B48" i="2"/>
  <c r="B1031" i="2"/>
  <c r="B897" i="2"/>
  <c r="B831" i="2"/>
  <c r="B767" i="2"/>
  <c r="B703" i="2"/>
  <c r="B639" i="2"/>
  <c r="B575" i="2"/>
  <c r="B511" i="2"/>
  <c r="B447" i="2"/>
  <c r="B359" i="2"/>
  <c r="B295" i="2"/>
  <c r="B231" i="2"/>
  <c r="B167" i="2"/>
  <c r="B103" i="2"/>
  <c r="B39" i="2"/>
  <c r="B963" i="2"/>
  <c r="B878" i="2"/>
  <c r="B814" i="2"/>
  <c r="B750" i="2"/>
  <c r="B686" i="2"/>
  <c r="B622" i="2"/>
  <c r="B558" i="2"/>
  <c r="B494" i="2"/>
  <c r="B430" i="2"/>
  <c r="B366" i="2"/>
  <c r="B302" i="2"/>
  <c r="B238" i="2"/>
  <c r="B174" i="2"/>
  <c r="B110" i="2"/>
  <c r="B46" i="2"/>
  <c r="A1063" i="2"/>
  <c r="A999" i="2"/>
  <c r="A935" i="2"/>
  <c r="A871" i="2"/>
  <c r="A807" i="2"/>
  <c r="A743" i="2"/>
  <c r="A679" i="2"/>
  <c r="A615" i="2"/>
  <c r="A551" i="2"/>
  <c r="A487" i="2"/>
  <c r="A423" i="2"/>
  <c r="A359" i="2"/>
  <c r="A295" i="2"/>
  <c r="A231" i="2"/>
  <c r="A167" i="2"/>
  <c r="A103" i="2"/>
  <c r="A39" i="2"/>
  <c r="A445" i="2"/>
  <c r="A181" i="2"/>
  <c r="A1062" i="2"/>
  <c r="A998" i="2"/>
  <c r="A934" i="2"/>
  <c r="A870" i="2"/>
  <c r="A806" i="2"/>
  <c r="A742" i="2"/>
  <c r="A678" i="2"/>
  <c r="A614" i="2"/>
  <c r="A550" i="2"/>
  <c r="A486" i="2"/>
  <c r="A422" i="2"/>
  <c r="A358" i="2"/>
  <c r="A294" i="2"/>
  <c r="A230" i="2"/>
  <c r="A166" i="2"/>
  <c r="A102" i="2"/>
  <c r="A38" i="2"/>
  <c r="A477" i="2"/>
  <c r="A309" i="2"/>
  <c r="A61" i="2"/>
  <c r="A1029" i="2"/>
  <c r="A965" i="2"/>
  <c r="A901" i="2"/>
  <c r="A837" i="2"/>
  <c r="A765" i="2"/>
  <c r="A685" i="2"/>
  <c r="A621" i="2"/>
  <c r="A541" i="2"/>
  <c r="A349" i="2"/>
  <c r="A1060" i="2"/>
  <c r="A996" i="2"/>
  <c r="A932" i="2"/>
  <c r="A868" i="2"/>
  <c r="A804" i="2"/>
  <c r="A740" i="2"/>
  <c r="A676" i="2"/>
  <c r="A612" i="2"/>
  <c r="A548" i="2"/>
  <c r="A484" i="2"/>
  <c r="A420" i="2"/>
  <c r="A356" i="2"/>
  <c r="A292" i="2"/>
  <c r="A228" i="2"/>
  <c r="A164" i="2"/>
  <c r="A100" i="2"/>
  <c r="A36" i="2"/>
  <c r="A465" i="2"/>
  <c r="A281" i="2"/>
  <c r="A97" i="2"/>
  <c r="A1035" i="2"/>
  <c r="A971" i="2"/>
  <c r="A907" i="2"/>
  <c r="A843" i="2"/>
  <c r="A779" i="2"/>
  <c r="A715" i="2"/>
  <c r="A651" i="2"/>
  <c r="A587" i="2"/>
  <c r="A523" i="2"/>
  <c r="A459" i="2"/>
  <c r="A395" i="2"/>
  <c r="A331" i="2"/>
  <c r="A267" i="2"/>
  <c r="A203" i="2"/>
  <c r="A139" i="2"/>
  <c r="A75" i="2"/>
  <c r="A11" i="2"/>
  <c r="A393" i="2"/>
  <c r="A137" i="2"/>
  <c r="A1050" i="2"/>
  <c r="A986" i="2"/>
  <c r="A922" i="2"/>
  <c r="A858" i="2"/>
  <c r="A794" i="2"/>
  <c r="A730" i="2"/>
  <c r="A666" i="2"/>
  <c r="A602" i="2"/>
  <c r="A538" i="2"/>
  <c r="A474" i="2"/>
  <c r="A410" i="2"/>
  <c r="A346" i="2"/>
  <c r="A282" i="2"/>
  <c r="A218" i="2"/>
  <c r="A154" i="2"/>
  <c r="A90" i="2"/>
  <c r="A26" i="2"/>
  <c r="A401" i="2"/>
  <c r="A145" i="2"/>
  <c r="A1057" i="2"/>
  <c r="A993" i="2"/>
  <c r="A929" i="2"/>
  <c r="A865" i="2"/>
  <c r="A801" i="2"/>
  <c r="A713" i="2"/>
  <c r="A649" i="2"/>
  <c r="A585" i="2"/>
  <c r="A457" i="2"/>
  <c r="A1072" i="2"/>
  <c r="A1008" i="2"/>
  <c r="A944" i="2"/>
  <c r="A880" i="2"/>
  <c r="A816" i="2"/>
  <c r="A752" i="2"/>
  <c r="A688" i="2"/>
  <c r="A624" i="2"/>
  <c r="A560" i="2"/>
  <c r="A496" i="2"/>
  <c r="A432" i="2"/>
  <c r="A368" i="2"/>
  <c r="A304" i="2"/>
  <c r="A240" i="2"/>
  <c r="A176" i="2"/>
  <c r="A112" i="2"/>
  <c r="A48" i="2"/>
  <c r="A461" i="2"/>
  <c r="A205" i="2"/>
  <c r="B1050" i="2"/>
  <c r="B986" i="2"/>
  <c r="B922" i="2"/>
  <c r="B1049" i="2"/>
  <c r="B985" i="2"/>
  <c r="B1038" i="2"/>
  <c r="B974" i="2"/>
  <c r="B910" i="2"/>
  <c r="B1029" i="2"/>
  <c r="B965" i="2"/>
  <c r="B1012" i="2"/>
  <c r="B1067" i="2"/>
  <c r="B1003" i="2"/>
  <c r="B960" i="2"/>
  <c r="B877" i="2"/>
  <c r="B813" i="2"/>
  <c r="B749" i="2"/>
  <c r="B685" i="2"/>
  <c r="B621" i="2"/>
  <c r="B557" i="2"/>
  <c r="B493" i="2"/>
  <c r="B429" i="2"/>
  <c r="B365" i="2"/>
  <c r="B301" i="2"/>
  <c r="B237" i="2"/>
  <c r="B173" i="2"/>
  <c r="B109" i="2"/>
  <c r="B45" i="2"/>
  <c r="B1016" i="2"/>
  <c r="B893" i="2"/>
  <c r="B828" i="2"/>
  <c r="B764" i="2"/>
  <c r="B700" i="2"/>
  <c r="B636" i="2"/>
  <c r="B572" i="2"/>
  <c r="B508" i="2"/>
  <c r="B444" i="2"/>
  <c r="B380" i="2"/>
  <c r="B316" i="2"/>
  <c r="B252" i="2"/>
  <c r="B188" i="2"/>
  <c r="B124" i="2"/>
  <c r="B60" i="2"/>
  <c r="B395" i="2"/>
  <c r="B913" i="2"/>
  <c r="B843" i="2"/>
  <c r="B779" i="2"/>
  <c r="B715" i="2"/>
  <c r="B651" i="2"/>
  <c r="B587" i="2"/>
  <c r="B523" i="2"/>
  <c r="B459" i="2"/>
  <c r="B379" i="2"/>
  <c r="B307" i="2"/>
  <c r="B243" i="2"/>
  <c r="B179" i="2"/>
  <c r="B115" i="2"/>
  <c r="B51" i="2"/>
  <c r="B1040" i="2"/>
  <c r="B901" i="2"/>
  <c r="B834" i="2"/>
  <c r="B770" i="2"/>
  <c r="B706" i="2"/>
  <c r="B642" i="2"/>
  <c r="B578" i="2"/>
  <c r="B514" i="2"/>
  <c r="B450" i="2"/>
  <c r="B386" i="2"/>
  <c r="B322" i="2"/>
  <c r="B258" i="2"/>
  <c r="B194" i="2"/>
  <c r="B130" i="2"/>
  <c r="B66" i="2"/>
  <c r="B2" i="2"/>
  <c r="B932" i="2"/>
  <c r="B857" i="2"/>
  <c r="B793" i="2"/>
  <c r="B729" i="2"/>
  <c r="B665" i="2"/>
  <c r="B601" i="2"/>
  <c r="B537" i="2"/>
  <c r="B473" i="2"/>
  <c r="B409" i="2"/>
  <c r="B345" i="2"/>
  <c r="B281" i="2"/>
  <c r="B217" i="2"/>
  <c r="B153" i="2"/>
  <c r="B89" i="2"/>
  <c r="B25" i="2"/>
  <c r="B952" i="2"/>
  <c r="B872" i="2"/>
  <c r="B808" i="2"/>
  <c r="B744" i="2"/>
  <c r="B680" i="2"/>
  <c r="B616" i="2"/>
  <c r="B552" i="2"/>
  <c r="B488" i="2"/>
  <c r="B424" i="2"/>
  <c r="B360" i="2"/>
  <c r="B296" i="2"/>
  <c r="B232" i="2"/>
  <c r="B168" i="2"/>
  <c r="B104" i="2"/>
  <c r="B40" i="2"/>
  <c r="B999" i="2"/>
  <c r="B887" i="2"/>
  <c r="B823" i="2"/>
  <c r="B759" i="2"/>
  <c r="B695" i="2"/>
  <c r="B631" i="2"/>
  <c r="B567" i="2"/>
  <c r="B503" i="2"/>
  <c r="B439" i="2"/>
  <c r="B351" i="2"/>
  <c r="B287" i="2"/>
  <c r="B223" i="2"/>
  <c r="B159" i="2"/>
  <c r="B95" i="2"/>
  <c r="B31" i="2"/>
  <c r="B949" i="2"/>
  <c r="B870" i="2"/>
  <c r="B806" i="2"/>
  <c r="B742" i="2"/>
  <c r="B678" i="2"/>
  <c r="B614" i="2"/>
  <c r="B550" i="2"/>
  <c r="B486" i="2"/>
  <c r="B422" i="2"/>
  <c r="B358" i="2"/>
  <c r="B294" i="2"/>
  <c r="B230" i="2"/>
  <c r="B166" i="2"/>
  <c r="B102" i="2"/>
  <c r="B38" i="2"/>
  <c r="A1055" i="2"/>
  <c r="A991" i="2"/>
  <c r="A927" i="2"/>
  <c r="A863" i="2"/>
  <c r="A799" i="2"/>
  <c r="A735" i="2"/>
  <c r="A671" i="2"/>
  <c r="A607" i="2"/>
  <c r="A543" i="2"/>
  <c r="A479" i="2"/>
  <c r="A415" i="2"/>
  <c r="A351" i="2"/>
  <c r="A287" i="2"/>
  <c r="A223" i="2"/>
  <c r="A159" i="2"/>
  <c r="A95" i="2"/>
  <c r="A31" i="2"/>
  <c r="A413" i="2"/>
  <c r="A157" i="2"/>
  <c r="A1054" i="2"/>
  <c r="A990" i="2"/>
  <c r="A926" i="2"/>
  <c r="A862" i="2"/>
  <c r="A798" i="2"/>
  <c r="A734" i="2"/>
  <c r="A670" i="2"/>
  <c r="A606" i="2"/>
  <c r="A542" i="2"/>
  <c r="A478" i="2"/>
  <c r="A414" i="2"/>
  <c r="A350" i="2"/>
  <c r="A286" i="2"/>
  <c r="A222" i="2"/>
  <c r="A158" i="2"/>
  <c r="A94" i="2"/>
  <c r="A30" i="2"/>
  <c r="A453" i="2"/>
  <c r="A277" i="2"/>
  <c r="A37" i="2"/>
  <c r="A1021" i="2"/>
  <c r="A957" i="2"/>
  <c r="A893" i="2"/>
  <c r="A829" i="2"/>
  <c r="A741" i="2"/>
  <c r="A677" i="2"/>
  <c r="A613" i="2"/>
  <c r="A525" i="2"/>
  <c r="A301" i="2"/>
  <c r="A1052" i="2"/>
  <c r="A988" i="2"/>
  <c r="A924" i="2"/>
  <c r="A860" i="2"/>
  <c r="A796" i="2"/>
  <c r="A732" i="2"/>
  <c r="A668" i="2"/>
  <c r="A604" i="2"/>
  <c r="A540" i="2"/>
  <c r="A476" i="2"/>
  <c r="A412" i="2"/>
  <c r="A348" i="2"/>
  <c r="A284" i="2"/>
  <c r="A220" i="2"/>
  <c r="A156" i="2"/>
  <c r="A92" i="2"/>
  <c r="A28" i="2"/>
  <c r="A441" i="2"/>
  <c r="A265" i="2"/>
  <c r="A73" i="2"/>
  <c r="A1027" i="2"/>
  <c r="A963" i="2"/>
  <c r="A899" i="2"/>
  <c r="A835" i="2"/>
  <c r="A771" i="2"/>
  <c r="A707" i="2"/>
  <c r="A643" i="2"/>
  <c r="A579" i="2"/>
  <c r="A515" i="2"/>
  <c r="A451" i="2"/>
  <c r="A387" i="2"/>
  <c r="A323" i="2"/>
  <c r="A259" i="2"/>
  <c r="A195" i="2"/>
  <c r="A131" i="2"/>
  <c r="A67" i="2"/>
  <c r="A3" i="2"/>
  <c r="A369" i="2"/>
  <c r="A105" i="2"/>
  <c r="A1042" i="2"/>
  <c r="A978" i="2"/>
  <c r="A914" i="2"/>
  <c r="A850" i="2"/>
  <c r="A786" i="2"/>
  <c r="A722" i="2"/>
  <c r="A658" i="2"/>
  <c r="A594" i="2"/>
  <c r="A530" i="2"/>
  <c r="A466" i="2"/>
  <c r="A402" i="2"/>
  <c r="A338" i="2"/>
  <c r="A274" i="2"/>
  <c r="A210" i="2"/>
  <c r="A146" i="2"/>
  <c r="A82" i="2"/>
  <c r="A18" i="2"/>
  <c r="A377" i="2"/>
  <c r="A113" i="2"/>
  <c r="A1049" i="2"/>
  <c r="A985" i="2"/>
  <c r="A921" i="2"/>
  <c r="A857" i="2"/>
  <c r="A793" i="2"/>
  <c r="A705" i="2"/>
  <c r="A641" i="2"/>
  <c r="A561" i="2"/>
  <c r="A409" i="2"/>
  <c r="A1064" i="2"/>
  <c r="A1000" i="2"/>
  <c r="A936" i="2"/>
  <c r="A872" i="2"/>
  <c r="A808" i="2"/>
  <c r="A744" i="2"/>
  <c r="A680" i="2"/>
  <c r="A616" i="2"/>
  <c r="A552" i="2"/>
  <c r="A488" i="2"/>
  <c r="A424" i="2"/>
  <c r="A360" i="2"/>
  <c r="A296" i="2"/>
  <c r="A232" i="2"/>
  <c r="A168" i="2"/>
  <c r="A104" i="2"/>
  <c r="A40" i="2"/>
  <c r="A405" i="2"/>
  <c r="A173" i="2"/>
  <c r="B1042" i="2"/>
  <c r="B978" i="2"/>
  <c r="B914" i="2"/>
  <c r="B1041" i="2"/>
  <c r="B977" i="2"/>
  <c r="B1030" i="2"/>
  <c r="B966" i="2"/>
  <c r="B902" i="2"/>
  <c r="B1021" i="2"/>
  <c r="B1068" i="2"/>
  <c r="B1004" i="2"/>
  <c r="B1059" i="2"/>
  <c r="B995" i="2"/>
  <c r="B948" i="2"/>
  <c r="B869" i="2"/>
  <c r="B805" i="2"/>
  <c r="B741" i="2"/>
  <c r="B677" i="2"/>
  <c r="B613" i="2"/>
  <c r="B549" i="2"/>
  <c r="B485" i="2"/>
  <c r="B421" i="2"/>
  <c r="B357" i="2"/>
  <c r="B293" i="2"/>
  <c r="B229" i="2"/>
  <c r="B165" i="2"/>
  <c r="B101" i="2"/>
  <c r="B37" i="2"/>
  <c r="B984" i="2"/>
  <c r="B884" i="2"/>
  <c r="B820" i="2"/>
  <c r="B756" i="2"/>
  <c r="B692" i="2"/>
  <c r="B628" i="2"/>
  <c r="B564" i="2"/>
  <c r="B500" i="2"/>
  <c r="B436" i="2"/>
  <c r="B372" i="2"/>
  <c r="B308" i="2"/>
  <c r="B244" i="2"/>
  <c r="B180" i="2"/>
  <c r="B116" i="2"/>
  <c r="B52" i="2"/>
  <c r="B1047" i="2"/>
  <c r="B903" i="2"/>
  <c r="B835" i="2"/>
  <c r="B771" i="2"/>
  <c r="B707" i="2"/>
  <c r="B643" i="2"/>
  <c r="B579" i="2"/>
  <c r="B515" i="2"/>
  <c r="B451" i="2"/>
  <c r="B363" i="2"/>
  <c r="B299" i="2"/>
  <c r="B235" i="2"/>
  <c r="B171" i="2"/>
  <c r="B107" i="2"/>
  <c r="B43" i="2"/>
  <c r="B1008" i="2"/>
  <c r="B891" i="2"/>
  <c r="B826" i="2"/>
  <c r="B762" i="2"/>
  <c r="B698" i="2"/>
  <c r="B634" i="2"/>
  <c r="B570" i="2"/>
  <c r="B506" i="2"/>
  <c r="B442" i="2"/>
  <c r="B378" i="2"/>
  <c r="B314" i="2"/>
  <c r="B250" i="2"/>
  <c r="B186" i="2"/>
  <c r="B122" i="2"/>
  <c r="B58" i="2"/>
  <c r="B367" i="2"/>
  <c r="B921" i="2"/>
  <c r="B849" i="2"/>
  <c r="B785" i="2"/>
  <c r="B721" i="2"/>
  <c r="B657" i="2"/>
  <c r="B593" i="2"/>
  <c r="B529" i="2"/>
  <c r="B465" i="2"/>
  <c r="B401" i="2"/>
  <c r="B337" i="2"/>
  <c r="B273" i="2"/>
  <c r="B209" i="2"/>
  <c r="B145" i="2"/>
  <c r="B81" i="2"/>
  <c r="B17" i="2"/>
  <c r="B941" i="2"/>
  <c r="B864" i="2"/>
  <c r="B800" i="2"/>
  <c r="B736" i="2"/>
  <c r="B672" i="2"/>
  <c r="B608" i="2"/>
  <c r="B544" i="2"/>
  <c r="B480" i="2"/>
  <c r="B416" i="2"/>
  <c r="B352" i="2"/>
  <c r="B288" i="2"/>
  <c r="B224" i="2"/>
  <c r="B160" i="2"/>
  <c r="B96" i="2"/>
  <c r="B32" i="2"/>
  <c r="B967" i="2"/>
  <c r="B879" i="2"/>
  <c r="B815" i="2"/>
  <c r="B751" i="2"/>
  <c r="B687" i="2"/>
  <c r="B623" i="2"/>
  <c r="B559" i="2"/>
  <c r="B495" i="2"/>
  <c r="B431" i="2"/>
  <c r="B343" i="2"/>
  <c r="B279" i="2"/>
  <c r="B215" i="2"/>
  <c r="B151" i="2"/>
  <c r="B87" i="2"/>
  <c r="B23" i="2"/>
  <c r="B939" i="2"/>
  <c r="B862" i="2"/>
  <c r="B798" i="2"/>
  <c r="B734" i="2"/>
  <c r="B670" i="2"/>
  <c r="B606" i="2"/>
  <c r="B542" i="2"/>
  <c r="B478" i="2"/>
  <c r="B414" i="2"/>
  <c r="B350" i="2"/>
  <c r="B286" i="2"/>
  <c r="B222" i="2"/>
  <c r="B158" i="2"/>
  <c r="B94" i="2"/>
  <c r="B30" i="2"/>
  <c r="A1047" i="2"/>
  <c r="A983" i="2"/>
  <c r="A919" i="2"/>
  <c r="A855" i="2"/>
  <c r="A791" i="2"/>
  <c r="A727" i="2"/>
  <c r="A663" i="2"/>
  <c r="A599" i="2"/>
  <c r="A535" i="2"/>
  <c r="A471" i="2"/>
  <c r="A407" i="2"/>
  <c r="A343" i="2"/>
  <c r="A279" i="2"/>
  <c r="A215" i="2"/>
  <c r="A151" i="2"/>
  <c r="A87" i="2"/>
  <c r="A23" i="2"/>
  <c r="A381" i="2"/>
  <c r="A125" i="2"/>
  <c r="A1046" i="2"/>
  <c r="A982" i="2"/>
  <c r="A918" i="2"/>
  <c r="A854" i="2"/>
  <c r="A790" i="2"/>
  <c r="A726" i="2"/>
  <c r="A662" i="2"/>
  <c r="A598" i="2"/>
  <c r="A534" i="2"/>
  <c r="A470" i="2"/>
  <c r="A406" i="2"/>
  <c r="A342" i="2"/>
  <c r="A278" i="2"/>
  <c r="A214" i="2"/>
  <c r="A150" i="2"/>
  <c r="A86" i="2"/>
  <c r="A22" i="2"/>
  <c r="A437" i="2"/>
  <c r="A245" i="2"/>
  <c r="A5" i="2"/>
  <c r="A1013" i="2"/>
  <c r="A949" i="2"/>
  <c r="A885" i="2"/>
  <c r="A821" i="2"/>
  <c r="A733" i="2"/>
  <c r="A669" i="2"/>
  <c r="A605" i="2"/>
  <c r="A517" i="2"/>
  <c r="A253" i="2"/>
  <c r="A1044" i="2"/>
  <c r="A980" i="2"/>
  <c r="A916" i="2"/>
  <c r="A852" i="2"/>
  <c r="A788" i="2"/>
  <c r="A724" i="2"/>
  <c r="A660" i="2"/>
  <c r="A596" i="2"/>
  <c r="A532" i="2"/>
  <c r="A468" i="2"/>
  <c r="A404" i="2"/>
  <c r="A340" i="2"/>
  <c r="A276" i="2"/>
  <c r="A212" i="2"/>
  <c r="A148" i="2"/>
  <c r="A84" i="2"/>
  <c r="A20" i="2"/>
  <c r="A417" i="2"/>
  <c r="A249" i="2"/>
  <c r="A57" i="2"/>
  <c r="A1019" i="2"/>
  <c r="A955" i="2"/>
  <c r="A891" i="2"/>
  <c r="A827" i="2"/>
  <c r="A763" i="2"/>
  <c r="A699" i="2"/>
  <c r="A635" i="2"/>
  <c r="A571" i="2"/>
  <c r="A507" i="2"/>
  <c r="A443" i="2"/>
  <c r="A379" i="2"/>
  <c r="A315" i="2"/>
  <c r="A251" i="2"/>
  <c r="A187" i="2"/>
  <c r="A123" i="2"/>
  <c r="A59" i="2"/>
  <c r="A777" i="2"/>
  <c r="A329" i="2"/>
  <c r="A81" i="2"/>
  <c r="A1034" i="2"/>
  <c r="A970" i="2"/>
  <c r="A906" i="2"/>
  <c r="A842" i="2"/>
  <c r="A778" i="2"/>
  <c r="A714" i="2"/>
  <c r="A650" i="2"/>
  <c r="A586" i="2"/>
  <c r="A522" i="2"/>
  <c r="A458" i="2"/>
  <c r="A394" i="2"/>
  <c r="A330" i="2"/>
  <c r="A266" i="2"/>
  <c r="A202" i="2"/>
  <c r="A138" i="2"/>
  <c r="A74" i="2"/>
  <c r="A10" i="2"/>
  <c r="A345" i="2"/>
  <c r="A89" i="2"/>
  <c r="A1041" i="2"/>
  <c r="A977" i="2"/>
  <c r="A913" i="2"/>
  <c r="A849" i="2"/>
  <c r="A785" i="2"/>
  <c r="A697" i="2"/>
  <c r="A633" i="2"/>
  <c r="A553" i="2"/>
  <c r="A353" i="2"/>
  <c r="A1056" i="2"/>
  <c r="A992" i="2"/>
  <c r="A928" i="2"/>
  <c r="A864" i="2"/>
  <c r="A800" i="2"/>
  <c r="A736" i="2"/>
  <c r="A672" i="2"/>
  <c r="A608" i="2"/>
  <c r="A544" i="2"/>
  <c r="A480" i="2"/>
  <c r="A416" i="2"/>
  <c r="A352" i="2"/>
  <c r="A288" i="2"/>
  <c r="A224" i="2"/>
  <c r="A160" i="2"/>
  <c r="A96" i="2"/>
  <c r="A32" i="2"/>
  <c r="A365" i="2"/>
  <c r="A149" i="2"/>
  <c r="B1034" i="2"/>
  <c r="B970" i="2"/>
  <c r="B906" i="2"/>
  <c r="B1033" i="2"/>
  <c r="B969" i="2"/>
  <c r="B1022" i="2"/>
  <c r="B958" i="2"/>
  <c r="B894" i="2"/>
  <c r="B1013" i="2"/>
  <c r="B1060" i="2"/>
  <c r="B996" i="2"/>
  <c r="B1051" i="2"/>
  <c r="B987" i="2"/>
  <c r="B937" i="2"/>
  <c r="B861" i="2"/>
  <c r="B797" i="2"/>
  <c r="B733" i="2"/>
  <c r="B669" i="2"/>
  <c r="B605" i="2"/>
  <c r="B541" i="2"/>
  <c r="B477" i="2"/>
  <c r="B413" i="2"/>
  <c r="B349" i="2"/>
  <c r="B285" i="2"/>
  <c r="B221" i="2"/>
  <c r="B157" i="2"/>
  <c r="B93" i="2"/>
  <c r="B29" i="2"/>
  <c r="B959" i="2"/>
  <c r="B876" i="2"/>
  <c r="B812" i="2"/>
  <c r="B748" i="2"/>
  <c r="B684" i="2"/>
  <c r="B620" i="2"/>
  <c r="B556" i="2"/>
  <c r="B492" i="2"/>
  <c r="B428" i="2"/>
  <c r="B364" i="2"/>
  <c r="B300" i="2"/>
  <c r="B236" i="2"/>
  <c r="B172" i="2"/>
  <c r="B108" i="2"/>
  <c r="B44" i="2"/>
  <c r="B1015" i="2"/>
  <c r="B892" i="2"/>
  <c r="B827" i="2"/>
  <c r="B763" i="2"/>
  <c r="B699" i="2"/>
  <c r="B635" i="2"/>
  <c r="B571" i="2"/>
  <c r="B507" i="2"/>
  <c r="B443" i="2"/>
  <c r="B355" i="2"/>
  <c r="B291" i="2"/>
  <c r="B227" i="2"/>
  <c r="B163" i="2"/>
  <c r="B99" i="2"/>
  <c r="B35" i="2"/>
  <c r="B976" i="2"/>
  <c r="B882" i="2"/>
  <c r="B818" i="2"/>
  <c r="B754" i="2"/>
  <c r="B690" i="2"/>
  <c r="B626" i="2"/>
  <c r="B562" i="2"/>
  <c r="B498" i="2"/>
  <c r="B434" i="2"/>
  <c r="B370" i="2"/>
  <c r="B306" i="2"/>
  <c r="B242" i="2"/>
  <c r="B178" i="2"/>
  <c r="B114" i="2"/>
  <c r="B50" i="2"/>
  <c r="B1071" i="2"/>
  <c r="B911" i="2"/>
  <c r="B841" i="2"/>
  <c r="B777" i="2"/>
  <c r="B713" i="2"/>
  <c r="B649" i="2"/>
  <c r="B585" i="2"/>
  <c r="B521" i="2"/>
  <c r="B457" i="2"/>
  <c r="B393" i="2"/>
  <c r="B329" i="2"/>
  <c r="B265" i="2"/>
  <c r="B201" i="2"/>
  <c r="B137" i="2"/>
  <c r="B73" i="2"/>
  <c r="B9" i="2"/>
  <c r="B931" i="2"/>
  <c r="B856" i="2"/>
  <c r="B792" i="2"/>
  <c r="B728" i="2"/>
  <c r="B664" i="2"/>
  <c r="B600" i="2"/>
  <c r="B536" i="2"/>
  <c r="B472" i="2"/>
  <c r="B408" i="2"/>
  <c r="B344" i="2"/>
  <c r="B280" i="2"/>
  <c r="B216" i="2"/>
  <c r="B152" i="2"/>
  <c r="B88" i="2"/>
  <c r="B24" i="2"/>
  <c r="B951" i="2"/>
  <c r="B871" i="2"/>
  <c r="B807" i="2"/>
  <c r="B743" i="2"/>
  <c r="B679" i="2"/>
  <c r="B615" i="2"/>
  <c r="B551" i="2"/>
  <c r="B487" i="2"/>
  <c r="B423" i="2"/>
  <c r="B335" i="2"/>
  <c r="B271" i="2"/>
  <c r="B207" i="2"/>
  <c r="B143" i="2"/>
  <c r="B79" i="2"/>
  <c r="B15" i="2"/>
  <c r="B928" i="2"/>
  <c r="B854" i="2"/>
  <c r="B790" i="2"/>
  <c r="B726" i="2"/>
  <c r="B662" i="2"/>
  <c r="B598" i="2"/>
  <c r="B534" i="2"/>
  <c r="B470" i="2"/>
  <c r="B406" i="2"/>
  <c r="B342" i="2"/>
  <c r="B278" i="2"/>
  <c r="B214" i="2"/>
  <c r="B150" i="2"/>
  <c r="B86" i="2"/>
  <c r="B22" i="2"/>
  <c r="A1039" i="2"/>
  <c r="A975" i="2"/>
  <c r="A911" i="2"/>
  <c r="A847" i="2"/>
  <c r="A783" i="2"/>
  <c r="A719" i="2"/>
  <c r="A655" i="2"/>
  <c r="A591" i="2"/>
  <c r="A527" i="2"/>
  <c r="A463" i="2"/>
  <c r="A399" i="2"/>
  <c r="A335" i="2"/>
  <c r="A271" i="2"/>
  <c r="A207" i="2"/>
  <c r="A143" i="2"/>
  <c r="A79" i="2"/>
  <c r="A15" i="2"/>
  <c r="A325" i="2"/>
  <c r="A101" i="2"/>
  <c r="A1038" i="2"/>
  <c r="A974" i="2"/>
  <c r="A910" i="2"/>
  <c r="A846" i="2"/>
  <c r="A782" i="2"/>
  <c r="A718" i="2"/>
  <c r="A654" i="2"/>
  <c r="A590" i="2"/>
  <c r="A526" i="2"/>
  <c r="A462" i="2"/>
  <c r="A398" i="2"/>
  <c r="A334" i="2"/>
  <c r="A270" i="2"/>
  <c r="A206" i="2"/>
  <c r="A142" i="2"/>
  <c r="A78" i="2"/>
  <c r="A14" i="2"/>
  <c r="A421" i="2"/>
  <c r="A221" i="2"/>
  <c r="A1069" i="2"/>
  <c r="A1005" i="2"/>
  <c r="A941" i="2"/>
  <c r="A877" i="2"/>
  <c r="A813" i="2"/>
  <c r="A725" i="2"/>
  <c r="A661" i="2"/>
  <c r="A597" i="2"/>
  <c r="A501" i="2"/>
  <c r="A189" i="2"/>
  <c r="A1036" i="2"/>
  <c r="A972" i="2"/>
  <c r="A908" i="2"/>
  <c r="A844" i="2"/>
  <c r="A780" i="2"/>
  <c r="A716" i="2"/>
  <c r="A652" i="2"/>
  <c r="A588" i="2"/>
  <c r="A524" i="2"/>
  <c r="A460" i="2"/>
  <c r="A396" i="2"/>
  <c r="A332" i="2"/>
  <c r="A268" i="2"/>
  <c r="A204" i="2"/>
  <c r="A140" i="2"/>
  <c r="A76" i="2"/>
  <c r="A12" i="2"/>
  <c r="A385" i="2"/>
  <c r="A217" i="2"/>
  <c r="A25" i="2"/>
  <c r="A1011" i="2"/>
  <c r="A947" i="2"/>
  <c r="A883" i="2"/>
  <c r="A819" i="2"/>
  <c r="A755" i="2"/>
  <c r="A691" i="2"/>
  <c r="A627" i="2"/>
  <c r="A563" i="2"/>
  <c r="A499" i="2"/>
  <c r="A435" i="2"/>
  <c r="A371" i="2"/>
  <c r="A307" i="2"/>
  <c r="A243" i="2"/>
  <c r="A179" i="2"/>
  <c r="A115" i="2"/>
  <c r="A51" i="2"/>
  <c r="A577" i="2"/>
  <c r="A289" i="2"/>
  <c r="A49" i="2"/>
  <c r="A1026" i="2"/>
  <c r="A962" i="2"/>
  <c r="A898" i="2"/>
  <c r="A834" i="2"/>
  <c r="A770" i="2"/>
  <c r="A706" i="2"/>
  <c r="A642" i="2"/>
  <c r="A578" i="2"/>
  <c r="A514" i="2"/>
  <c r="A450" i="2"/>
  <c r="A386" i="2"/>
  <c r="A322" i="2"/>
  <c r="A258" i="2"/>
  <c r="A194" i="2"/>
  <c r="A130" i="2"/>
  <c r="A66" i="2"/>
  <c r="A2" i="2"/>
  <c r="A313" i="2"/>
  <c r="A65" i="2"/>
  <c r="A1033" i="2"/>
  <c r="A969" i="2"/>
  <c r="A905" i="2"/>
  <c r="A841" i="2"/>
  <c r="A769" i="2"/>
  <c r="A689" i="2"/>
  <c r="A625" i="2"/>
  <c r="A537" i="2"/>
  <c r="A305" i="2"/>
  <c r="A1048" i="2"/>
  <c r="A984" i="2"/>
  <c r="A920" i="2"/>
  <c r="A856" i="2"/>
  <c r="A792" i="2"/>
  <c r="A728" i="2"/>
  <c r="A664" i="2"/>
  <c r="A600" i="2"/>
  <c r="A536" i="2"/>
  <c r="A472" i="2"/>
  <c r="A408" i="2"/>
  <c r="A344" i="2"/>
  <c r="A280" i="2"/>
  <c r="A216" i="2"/>
  <c r="A152" i="2"/>
  <c r="A88" i="2"/>
  <c r="A24" i="2"/>
  <c r="A341" i="2"/>
  <c r="A133" i="2"/>
  <c r="B1026" i="2"/>
  <c r="B962" i="2"/>
  <c r="B898" i="2"/>
  <c r="B1025" i="2"/>
  <c r="B961" i="2"/>
  <c r="B1014" i="2"/>
  <c r="B950" i="2"/>
  <c r="B1069" i="2"/>
  <c r="B1005" i="2"/>
  <c r="B1052" i="2"/>
  <c r="B988" i="2"/>
  <c r="B1043" i="2"/>
  <c r="B979" i="2"/>
  <c r="B927" i="2"/>
  <c r="B853" i="2"/>
  <c r="B789" i="2"/>
  <c r="B725" i="2"/>
  <c r="B661" i="2"/>
  <c r="B597" i="2"/>
  <c r="B533" i="2"/>
  <c r="B469" i="2"/>
  <c r="B405" i="2"/>
  <c r="B341" i="2"/>
  <c r="B277" i="2"/>
  <c r="B213" i="2"/>
  <c r="B149" i="2"/>
  <c r="B85" i="2"/>
  <c r="B21" i="2"/>
  <c r="B947" i="2"/>
  <c r="B868" i="2"/>
  <c r="B804" i="2"/>
  <c r="B740" i="2"/>
  <c r="B676" i="2"/>
  <c r="B612" i="2"/>
  <c r="B548" i="2"/>
  <c r="B484" i="2"/>
  <c r="B420" i="2"/>
  <c r="B356" i="2"/>
  <c r="B292" i="2"/>
  <c r="B228" i="2"/>
  <c r="B164" i="2"/>
  <c r="B100" i="2"/>
  <c r="B36" i="2"/>
  <c r="B983" i="2"/>
  <c r="B883" i="2"/>
  <c r="B819" i="2"/>
  <c r="B755" i="2"/>
  <c r="B691" i="2"/>
  <c r="B627" i="2"/>
  <c r="B563" i="2"/>
  <c r="B499" i="2"/>
  <c r="B435" i="2"/>
  <c r="B347" i="2"/>
  <c r="B283" i="2"/>
  <c r="B219" i="2"/>
  <c r="B155" i="2"/>
  <c r="B91" i="2"/>
  <c r="B27" i="2"/>
  <c r="B955" i="2"/>
  <c r="B874" i="2"/>
  <c r="B810" i="2"/>
  <c r="B746" i="2"/>
  <c r="B682" i="2"/>
  <c r="B618" i="2"/>
  <c r="B554" i="2"/>
  <c r="B490" i="2"/>
  <c r="B426" i="2"/>
  <c r="B362" i="2"/>
  <c r="B298" i="2"/>
  <c r="B234" i="2"/>
  <c r="B170" i="2"/>
  <c r="B106" i="2"/>
  <c r="B42" i="2"/>
  <c r="B1039" i="2"/>
  <c r="B900" i="2"/>
  <c r="B833" i="2"/>
  <c r="B769" i="2"/>
  <c r="B705" i="2"/>
  <c r="B641" i="2"/>
  <c r="B577" i="2"/>
  <c r="B513" i="2"/>
  <c r="B449" i="2"/>
  <c r="B385" i="2"/>
  <c r="B321" i="2"/>
  <c r="B257" i="2"/>
  <c r="B193" i="2"/>
  <c r="B129" i="2"/>
  <c r="B65" i="2"/>
  <c r="B383" i="2"/>
  <c r="B920" i="2"/>
  <c r="B848" i="2"/>
  <c r="B784" i="2"/>
  <c r="B720" i="2"/>
  <c r="B656" i="2"/>
  <c r="B592" i="2"/>
  <c r="B528" i="2"/>
  <c r="B464" i="2"/>
  <c r="B400" i="2"/>
  <c r="B336" i="2"/>
  <c r="B272" i="2"/>
  <c r="B208" i="2"/>
  <c r="B144" i="2"/>
  <c r="B80" i="2"/>
  <c r="B16" i="2"/>
  <c r="B940" i="2"/>
  <c r="B863" i="2"/>
  <c r="B799" i="2"/>
  <c r="B735" i="2"/>
  <c r="B671" i="2"/>
  <c r="B607" i="2"/>
  <c r="B543" i="2"/>
  <c r="B479" i="2"/>
  <c r="B415" i="2"/>
  <c r="B327" i="2"/>
  <c r="B263" i="2"/>
  <c r="B199" i="2"/>
  <c r="B135" i="2"/>
  <c r="B71" i="2"/>
  <c r="B7" i="2"/>
  <c r="B917" i="2"/>
  <c r="B846" i="2"/>
  <c r="B782" i="2"/>
  <c r="B718" i="2"/>
  <c r="B654" i="2"/>
  <c r="B590" i="2"/>
  <c r="B526" i="2"/>
  <c r="B462" i="2"/>
  <c r="B398" i="2"/>
  <c r="B334" i="2"/>
  <c r="B270" i="2"/>
  <c r="B206" i="2"/>
  <c r="B142" i="2"/>
  <c r="B78" i="2"/>
  <c r="B14" i="2"/>
  <c r="A1031" i="2"/>
  <c r="A967" i="2"/>
  <c r="A903" i="2"/>
  <c r="A839" i="2"/>
  <c r="A775" i="2"/>
  <c r="A711" i="2"/>
  <c r="A647" i="2"/>
  <c r="A583" i="2"/>
  <c r="A519" i="2"/>
  <c r="A455" i="2"/>
  <c r="A391" i="2"/>
  <c r="A327" i="2"/>
  <c r="A263" i="2"/>
  <c r="A199" i="2"/>
  <c r="A135" i="2"/>
  <c r="A71" i="2"/>
  <c r="A7" i="2"/>
  <c r="A285" i="2"/>
  <c r="A77" i="2"/>
  <c r="A1030" i="2"/>
  <c r="A966" i="2"/>
  <c r="A902" i="2"/>
  <c r="A838" i="2"/>
  <c r="A774" i="2"/>
  <c r="A710" i="2"/>
  <c r="A646" i="2"/>
  <c r="A582" i="2"/>
  <c r="A518" i="2"/>
  <c r="A454" i="2"/>
  <c r="A390" i="2"/>
  <c r="A326" i="2"/>
  <c r="A262" i="2"/>
  <c r="A198" i="2"/>
  <c r="A134" i="2"/>
  <c r="A70" i="2"/>
  <c r="A6" i="2"/>
  <c r="A397" i="2"/>
  <c r="A197" i="2"/>
  <c r="A1061" i="2"/>
  <c r="A997" i="2"/>
  <c r="A933" i="2"/>
  <c r="A869" i="2"/>
  <c r="A805" i="2"/>
  <c r="A717" i="2"/>
  <c r="A653" i="2"/>
  <c r="A589" i="2"/>
  <c r="A493" i="2"/>
  <c r="A141" i="2"/>
  <c r="A1028" i="2"/>
  <c r="A964" i="2"/>
  <c r="A900" i="2"/>
  <c r="A836" i="2"/>
  <c r="A772" i="2"/>
  <c r="A708" i="2"/>
  <c r="A644" i="2"/>
  <c r="A580" i="2"/>
  <c r="A516" i="2"/>
  <c r="A452" i="2"/>
  <c r="A388" i="2"/>
  <c r="A324" i="2"/>
  <c r="A260" i="2"/>
  <c r="A196" i="2"/>
  <c r="A132" i="2"/>
  <c r="A68" i="2"/>
  <c r="A4" i="2"/>
  <c r="A361" i="2"/>
  <c r="A193" i="2"/>
  <c r="A1067" i="2"/>
  <c r="A1003" i="2"/>
  <c r="A939" i="2"/>
  <c r="A875" i="2"/>
  <c r="A811" i="2"/>
  <c r="A747" i="2"/>
  <c r="A683" i="2"/>
  <c r="A619" i="2"/>
  <c r="A555" i="2"/>
  <c r="A491" i="2"/>
  <c r="A427" i="2"/>
  <c r="A363" i="2"/>
  <c r="A299" i="2"/>
  <c r="A235" i="2"/>
  <c r="A171" i="2"/>
  <c r="A107" i="2"/>
  <c r="A43" i="2"/>
  <c r="A505" i="2"/>
  <c r="A257" i="2"/>
  <c r="A17" i="2"/>
  <c r="A1018" i="2"/>
  <c r="A954" i="2"/>
  <c r="A890" i="2"/>
  <c r="A826" i="2"/>
  <c r="A762" i="2"/>
  <c r="A698" i="2"/>
  <c r="A634" i="2"/>
  <c r="A570" i="2"/>
  <c r="A506" i="2"/>
  <c r="A442" i="2"/>
  <c r="A378" i="2"/>
  <c r="A314" i="2"/>
  <c r="A250" i="2"/>
  <c r="A186" i="2"/>
  <c r="A122" i="2"/>
  <c r="A58" i="2"/>
  <c r="A745" i="2"/>
  <c r="A273" i="2"/>
  <c r="A33" i="2"/>
  <c r="A1025" i="2"/>
  <c r="A961" i="2"/>
  <c r="A897" i="2"/>
  <c r="A833" i="2"/>
  <c r="A753" i="2"/>
  <c r="A681" i="2"/>
  <c r="A617" i="2"/>
  <c r="A529" i="2"/>
  <c r="A233" i="2"/>
  <c r="A1040" i="2"/>
  <c r="A976" i="2"/>
  <c r="A912" i="2"/>
  <c r="A848" i="2"/>
  <c r="A784" i="2"/>
  <c r="A720" i="2"/>
  <c r="A656" i="2"/>
  <c r="A592" i="2"/>
  <c r="A528" i="2"/>
  <c r="A464" i="2"/>
  <c r="A400" i="2"/>
  <c r="A336" i="2"/>
  <c r="A272" i="2"/>
  <c r="A208" i="2"/>
  <c r="A144" i="2"/>
  <c r="A80" i="2"/>
  <c r="A16" i="2"/>
  <c r="A317" i="2"/>
  <c r="A109" i="2"/>
  <c r="B1018" i="2"/>
  <c r="B954" i="2"/>
  <c r="B890" i="2"/>
  <c r="B1017" i="2"/>
  <c r="B1070" i="2"/>
  <c r="B1006" i="2"/>
  <c r="B942" i="2"/>
  <c r="B1061" i="2"/>
  <c r="B997" i="2"/>
  <c r="B1044" i="2"/>
  <c r="B980" i="2"/>
  <c r="B1035" i="2"/>
  <c r="B971" i="2"/>
  <c r="B916" i="2"/>
  <c r="B845" i="2"/>
  <c r="B781" i="2"/>
  <c r="B717" i="2"/>
  <c r="B653" i="2"/>
  <c r="B589" i="2"/>
  <c r="B525" i="2"/>
  <c r="B461" i="2"/>
  <c r="B397" i="2"/>
  <c r="B333" i="2"/>
  <c r="B269" i="2"/>
  <c r="B205" i="2"/>
  <c r="B141" i="2"/>
  <c r="B77" i="2"/>
  <c r="B13" i="2"/>
  <c r="B936" i="2"/>
  <c r="B860" i="2"/>
  <c r="B796" i="2"/>
  <c r="B732" i="2"/>
  <c r="B668" i="2"/>
  <c r="B604" i="2"/>
  <c r="B540" i="2"/>
  <c r="B476" i="2"/>
  <c r="B412" i="2"/>
  <c r="B348" i="2"/>
  <c r="B284" i="2"/>
  <c r="B220" i="2"/>
  <c r="B156" i="2"/>
  <c r="B92" i="2"/>
  <c r="B28" i="2"/>
  <c r="B957" i="2"/>
  <c r="B875" i="2"/>
  <c r="B811" i="2"/>
  <c r="B747" i="2"/>
  <c r="B683" i="2"/>
  <c r="B619" i="2"/>
  <c r="B555" i="2"/>
  <c r="B491" i="2"/>
  <c r="B427" i="2"/>
  <c r="B339" i="2"/>
  <c r="B275" i="2"/>
  <c r="B211" i="2"/>
  <c r="B147" i="2"/>
  <c r="B83" i="2"/>
  <c r="B19" i="2"/>
  <c r="B944" i="2"/>
  <c r="B866" i="2"/>
  <c r="B802" i="2"/>
  <c r="B738" i="2"/>
  <c r="B674" i="2"/>
  <c r="B610" i="2"/>
  <c r="B546" i="2"/>
  <c r="B482" i="2"/>
  <c r="B418" i="2"/>
  <c r="B354" i="2"/>
  <c r="B290" i="2"/>
  <c r="B226" i="2"/>
  <c r="B162" i="2"/>
  <c r="B98" i="2"/>
  <c r="B34" i="2"/>
  <c r="B1007" i="2"/>
  <c r="B889" i="2"/>
  <c r="B825" i="2"/>
  <c r="B761" i="2"/>
  <c r="B697" i="2"/>
  <c r="B633" i="2"/>
  <c r="B569" i="2"/>
  <c r="B505" i="2"/>
  <c r="B441" i="2"/>
  <c r="B377" i="2"/>
  <c r="B313" i="2"/>
  <c r="B249" i="2"/>
  <c r="B185" i="2"/>
  <c r="B121" i="2"/>
  <c r="B57" i="2"/>
  <c r="B1064" i="2"/>
  <c r="B909" i="2"/>
  <c r="B840" i="2"/>
  <c r="B776" i="2"/>
  <c r="B712" i="2"/>
  <c r="B648" i="2"/>
  <c r="B584" i="2"/>
  <c r="B520" i="2"/>
  <c r="B456" i="2"/>
  <c r="B392" i="2"/>
  <c r="B328" i="2"/>
  <c r="B264" i="2"/>
  <c r="B200" i="2"/>
  <c r="B136" i="2"/>
  <c r="B72" i="2"/>
  <c r="B8" i="2"/>
  <c r="B929" i="2"/>
  <c r="B855" i="2"/>
  <c r="B791" i="2"/>
  <c r="B727" i="2"/>
  <c r="B663" i="2"/>
  <c r="B599" i="2"/>
  <c r="B535" i="2"/>
  <c r="B471" i="2"/>
  <c r="B407" i="2"/>
  <c r="B319" i="2"/>
  <c r="B255" i="2"/>
  <c r="B191" i="2"/>
  <c r="B127" i="2"/>
  <c r="B63" i="2"/>
  <c r="B1056" i="2"/>
  <c r="B907" i="2"/>
  <c r="B838" i="2"/>
  <c r="B774" i="2"/>
  <c r="B710" i="2"/>
  <c r="B646" i="2"/>
  <c r="B582" i="2"/>
  <c r="B518" i="2"/>
  <c r="B454" i="2"/>
  <c r="B390" i="2"/>
  <c r="B326" i="2"/>
  <c r="B262" i="2"/>
  <c r="B198" i="2"/>
  <c r="B134" i="2"/>
  <c r="B70" i="2"/>
  <c r="B6" i="2"/>
  <c r="A1023" i="2"/>
  <c r="A959" i="2"/>
  <c r="A895" i="2"/>
  <c r="A831" i="2"/>
  <c r="A767" i="2"/>
  <c r="A703" i="2"/>
  <c r="A639" i="2"/>
  <c r="A575" i="2"/>
  <c r="A511" i="2"/>
  <c r="A447" i="2"/>
  <c r="A383" i="2"/>
  <c r="A319" i="2"/>
  <c r="A255" i="2"/>
  <c r="A191" i="2"/>
  <c r="A127" i="2"/>
  <c r="A63" i="2"/>
  <c r="A757" i="2"/>
  <c r="A261" i="2"/>
  <c r="A45" i="2"/>
  <c r="A1022" i="2"/>
  <c r="A958" i="2"/>
  <c r="A894" i="2"/>
  <c r="A830" i="2"/>
  <c r="A766" i="2"/>
  <c r="A702" i="2"/>
  <c r="A638" i="2"/>
  <c r="A574" i="2"/>
  <c r="A510" i="2"/>
  <c r="A446" i="2"/>
  <c r="A382" i="2"/>
  <c r="A318" i="2"/>
  <c r="A254" i="2"/>
  <c r="A190" i="2"/>
  <c r="A126" i="2"/>
  <c r="A62" i="2"/>
  <c r="A773" i="2"/>
  <c r="A373" i="2"/>
  <c r="A165" i="2"/>
  <c r="A1053" i="2"/>
  <c r="A989" i="2"/>
  <c r="A925" i="2"/>
  <c r="A861" i="2"/>
  <c r="A797" i="2"/>
  <c r="A709" i="2"/>
  <c r="A645" i="2"/>
  <c r="A581" i="2"/>
  <c r="A469" i="2"/>
  <c r="A69" i="2"/>
  <c r="A1020" i="2"/>
  <c r="A956" i="2"/>
  <c r="A892" i="2"/>
  <c r="A828" i="2"/>
  <c r="A764" i="2"/>
  <c r="A700" i="2"/>
  <c r="A636" i="2"/>
  <c r="A572" i="2"/>
  <c r="A508" i="2"/>
  <c r="A444" i="2"/>
  <c r="A380" i="2"/>
  <c r="A316" i="2"/>
  <c r="A252" i="2"/>
  <c r="A188" i="2"/>
  <c r="A124" i="2"/>
  <c r="A60" i="2"/>
  <c r="A761" i="2"/>
  <c r="A337" i="2"/>
  <c r="A161" i="2"/>
  <c r="A1059" i="2"/>
  <c r="A995" i="2"/>
  <c r="A931" i="2"/>
  <c r="A867" i="2"/>
  <c r="A803" i="2"/>
  <c r="A739" i="2"/>
  <c r="A675" i="2"/>
  <c r="A611" i="2"/>
  <c r="A547" i="2"/>
  <c r="A483" i="2"/>
  <c r="A419" i="2"/>
  <c r="A355" i="2"/>
  <c r="A291" i="2"/>
  <c r="A227" i="2"/>
  <c r="A163" i="2"/>
  <c r="A99" i="2"/>
  <c r="A35" i="2"/>
  <c r="A473" i="2"/>
  <c r="A225" i="2"/>
  <c r="A1074" i="2"/>
  <c r="A1010" i="2"/>
  <c r="A946" i="2"/>
  <c r="A882" i="2"/>
  <c r="A818" i="2"/>
  <c r="A754" i="2"/>
  <c r="A690" i="2"/>
  <c r="A626" i="2"/>
  <c r="A562" i="2"/>
  <c r="A498" i="2"/>
  <c r="A434" i="2"/>
  <c r="A370" i="2"/>
  <c r="A306" i="2"/>
  <c r="A242" i="2"/>
  <c r="A178" i="2"/>
  <c r="A114" i="2"/>
  <c r="A50" i="2"/>
  <c r="A545" i="2"/>
  <c r="A241" i="2"/>
  <c r="A9" i="2"/>
  <c r="A1017" i="2"/>
  <c r="A953" i="2"/>
  <c r="A889" i="2"/>
  <c r="A825" i="2"/>
  <c r="A737" i="2"/>
  <c r="A673" i="2"/>
  <c r="A609" i="2"/>
  <c r="A521" i="2"/>
  <c r="A185" i="2"/>
  <c r="A1032" i="2"/>
  <c r="A968" i="2"/>
  <c r="A904" i="2"/>
  <c r="A840" i="2"/>
  <c r="A776" i="2"/>
  <c r="A712" i="2"/>
  <c r="A648" i="2"/>
  <c r="A584" i="2"/>
  <c r="A520" i="2"/>
  <c r="A456" i="2"/>
  <c r="A392" i="2"/>
  <c r="A328" i="2"/>
  <c r="A264" i="2"/>
  <c r="A200" i="2"/>
  <c r="A136" i="2"/>
  <c r="A72" i="2"/>
  <c r="A8" i="2"/>
  <c r="A293" i="2"/>
  <c r="A85" i="2"/>
  <c r="A1074" i="1"/>
  <c r="A1010" i="1"/>
  <c r="A946" i="1"/>
  <c r="A882" i="1"/>
  <c r="A818" i="1"/>
  <c r="A754" i="1"/>
  <c r="A690" i="1"/>
  <c r="A626" i="1"/>
  <c r="A562" i="1"/>
  <c r="A498" i="1"/>
  <c r="A434" i="1"/>
  <c r="A370" i="1"/>
  <c r="A306" i="1"/>
  <c r="A242" i="1"/>
  <c r="A178" i="1"/>
  <c r="A114" i="1"/>
  <c r="A50" i="1"/>
  <c r="A1065" i="1"/>
  <c r="A1048" i="1"/>
  <c r="A984" i="1"/>
  <c r="A920" i="1"/>
  <c r="A856" i="1"/>
  <c r="A792" i="1"/>
  <c r="A728" i="1"/>
  <c r="A664" i="1"/>
  <c r="A600" i="1"/>
  <c r="A536" i="1"/>
  <c r="A472" i="1"/>
  <c r="A408" i="1"/>
  <c r="A344" i="1"/>
  <c r="A280" i="1"/>
  <c r="A216" i="1"/>
  <c r="A152" i="1"/>
  <c r="A88" i="1"/>
  <c r="A24" i="1"/>
  <c r="A1031" i="1"/>
  <c r="A967" i="1"/>
  <c r="A903" i="1"/>
  <c r="A839" i="1"/>
  <c r="A775" i="1"/>
  <c r="A711" i="1"/>
  <c r="A647" i="1"/>
  <c r="A583" i="1"/>
  <c r="A1014" i="1"/>
  <c r="A950" i="1"/>
  <c r="A886" i="1"/>
  <c r="A822" i="1"/>
  <c r="A758" i="1"/>
  <c r="A694" i="1"/>
  <c r="A630" i="1"/>
  <c r="A566" i="1"/>
  <c r="A502" i="1"/>
  <c r="A438" i="1"/>
  <c r="A374" i="1"/>
  <c r="A310" i="1"/>
  <c r="A246" i="1"/>
  <c r="A182" i="1"/>
  <c r="A118" i="1"/>
  <c r="A54" i="1"/>
  <c r="A1061" i="1"/>
  <c r="A1028" i="1"/>
  <c r="A964" i="1"/>
  <c r="A900" i="1"/>
  <c r="A836" i="1"/>
  <c r="A772" i="1"/>
  <c r="A708" i="1"/>
  <c r="A644" i="1"/>
  <c r="A580" i="1"/>
  <c r="A516" i="1"/>
  <c r="A452" i="1"/>
  <c r="A388" i="1"/>
  <c r="A324" i="1"/>
  <c r="A260" i="1"/>
  <c r="A196" i="1"/>
  <c r="A132" i="1"/>
  <c r="A68" i="1"/>
  <c r="A4" i="1"/>
  <c r="A897" i="1"/>
  <c r="A725" i="1"/>
  <c r="A561" i="1"/>
  <c r="A433" i="1"/>
  <c r="A305" i="1"/>
  <c r="A177" i="1"/>
  <c r="A49" i="1"/>
  <c r="A937" i="1"/>
  <c r="A765" i="1"/>
  <c r="A595" i="1"/>
  <c r="A463" i="1"/>
  <c r="A335" i="1"/>
  <c r="A207" i="1"/>
  <c r="A79" i="1"/>
  <c r="A997" i="1"/>
  <c r="A827" i="1"/>
  <c r="A657" i="1"/>
  <c r="A493" i="1"/>
  <c r="A365" i="1"/>
  <c r="A237" i="1"/>
  <c r="A109" i="1"/>
  <c r="A1017" i="1"/>
  <c r="A845" i="1"/>
  <c r="A675" i="1"/>
  <c r="A523" i="1"/>
  <c r="A395" i="1"/>
  <c r="A267" i="1"/>
  <c r="A139" i="1"/>
  <c r="A11" i="1"/>
  <c r="A885" i="1"/>
  <c r="A715" i="1"/>
  <c r="A553" i="1"/>
  <c r="A425" i="1"/>
  <c r="A297" i="1"/>
  <c r="A169" i="1"/>
  <c r="A41" i="1"/>
  <c r="A925" i="1"/>
  <c r="A755" i="1"/>
  <c r="A585" i="1"/>
  <c r="A455" i="1"/>
  <c r="A327" i="1"/>
  <c r="A199" i="1"/>
  <c r="A71" i="1"/>
  <c r="A987" i="1"/>
  <c r="A817" i="1"/>
  <c r="A645" i="1"/>
  <c r="A485" i="1"/>
  <c r="A357" i="1"/>
  <c r="A229" i="1"/>
  <c r="A101" i="1"/>
  <c r="A1005" i="1"/>
  <c r="A835" i="1"/>
  <c r="A665" i="1"/>
  <c r="A515" i="1"/>
  <c r="A387" i="1"/>
  <c r="A259" i="1"/>
  <c r="A131" i="1"/>
  <c r="A3" i="1"/>
  <c r="B1014" i="1"/>
  <c r="B950" i="1"/>
  <c r="B886" i="1"/>
  <c r="B822" i="1"/>
  <c r="B758" i="1"/>
  <c r="B694" i="1"/>
  <c r="B630" i="1"/>
  <c r="B566" i="1"/>
  <c r="B502" i="1"/>
  <c r="B438" i="1"/>
  <c r="B374" i="1"/>
  <c r="B310" i="1"/>
  <c r="B246" i="1"/>
  <c r="B182" i="1"/>
  <c r="B1020" i="1"/>
  <c r="B956" i="1"/>
  <c r="B892" i="1"/>
  <c r="B828" i="1"/>
  <c r="B764" i="1"/>
  <c r="B700" i="1"/>
  <c r="B636" i="1"/>
  <c r="B572" i="1"/>
  <c r="B508" i="1"/>
  <c r="B444" i="1"/>
  <c r="B380" i="1"/>
  <c r="B316" i="1"/>
  <c r="B252" i="1"/>
  <c r="B188" i="1"/>
  <c r="B1034" i="1"/>
  <c r="B970" i="1"/>
  <c r="B906" i="1"/>
  <c r="B842" i="1"/>
  <c r="B778" i="1"/>
  <c r="B714" i="1"/>
  <c r="B650" i="1"/>
  <c r="B586" i="1"/>
  <c r="B1064" i="1"/>
  <c r="B1000" i="1"/>
  <c r="B936" i="1"/>
  <c r="B872" i="1"/>
  <c r="B808" i="1"/>
  <c r="B744" i="1"/>
  <c r="B680" i="1"/>
  <c r="B1069" i="1"/>
  <c r="B941" i="1"/>
  <c r="B813" i="1"/>
  <c r="B685" i="1"/>
  <c r="B569" i="1"/>
  <c r="B479" i="1"/>
  <c r="B393" i="1"/>
  <c r="B307" i="1"/>
  <c r="B223" i="1"/>
  <c r="B145" i="1"/>
  <c r="B81" i="1"/>
  <c r="B17" i="1"/>
  <c r="B971" i="1"/>
  <c r="B843" i="1"/>
  <c r="B715" i="1"/>
  <c r="B593" i="1"/>
  <c r="B498" i="1"/>
  <c r="B413" i="1"/>
  <c r="B328" i="1"/>
  <c r="B242" i="1"/>
  <c r="B160" i="1"/>
  <c r="B96" i="1"/>
  <c r="B32" i="1"/>
  <c r="B1001" i="1"/>
  <c r="B873" i="1"/>
  <c r="B745" i="1"/>
  <c r="B617" i="1"/>
  <c r="B519" i="1"/>
  <c r="B433" i="1"/>
  <c r="B347" i="1"/>
  <c r="B263" i="1"/>
  <c r="B177" i="1"/>
  <c r="B111" i="1"/>
  <c r="B47" i="1"/>
  <c r="B1031" i="1"/>
  <c r="B903" i="1"/>
  <c r="B775" i="1"/>
  <c r="B647" i="1"/>
  <c r="B539" i="1"/>
  <c r="B453" i="1"/>
  <c r="B368" i="1"/>
  <c r="B282" i="1"/>
  <c r="B197" i="1"/>
  <c r="B126" i="1"/>
  <c r="B62" i="1"/>
  <c r="B1061" i="1"/>
  <c r="B933" i="1"/>
  <c r="B805" i="1"/>
  <c r="B677" i="1"/>
  <c r="B563" i="1"/>
  <c r="B473" i="1"/>
  <c r="B387" i="1"/>
  <c r="B303" i="1"/>
  <c r="B217" i="1"/>
  <c r="B141" i="1"/>
  <c r="B77" i="1"/>
  <c r="B13" i="1"/>
  <c r="B963" i="1"/>
  <c r="B835" i="1"/>
  <c r="B707" i="1"/>
  <c r="B587" i="1"/>
  <c r="B493" i="1"/>
  <c r="B408" i="1"/>
  <c r="B322" i="1"/>
  <c r="B237" i="1"/>
  <c r="B156" i="1"/>
  <c r="B92" i="1"/>
  <c r="B28" i="1"/>
  <c r="B1009" i="1"/>
  <c r="B881" i="1"/>
  <c r="B753" i="1"/>
  <c r="B625" i="1"/>
  <c r="B523" i="1"/>
  <c r="B439" i="1"/>
  <c r="B353" i="1"/>
  <c r="B267" i="1"/>
  <c r="B183" i="1"/>
  <c r="B115" i="1"/>
  <c r="B51" i="1"/>
  <c r="B1055" i="1"/>
  <c r="B927" i="1"/>
  <c r="B799" i="1"/>
  <c r="B671" i="1"/>
  <c r="B559" i="1"/>
  <c r="B469" i="1"/>
  <c r="B384" i="1"/>
  <c r="B298" i="1"/>
  <c r="B213" i="1"/>
  <c r="B138" i="1"/>
  <c r="B74" i="1"/>
  <c r="B10" i="1"/>
  <c r="A1066" i="1"/>
  <c r="A1002" i="1"/>
  <c r="A938" i="1"/>
  <c r="A874" i="1"/>
  <c r="A810" i="1"/>
  <c r="A746" i="1"/>
  <c r="A682" i="1"/>
  <c r="A618" i="1"/>
  <c r="A554" i="1"/>
  <c r="A490" i="1"/>
  <c r="A426" i="1"/>
  <c r="A362" i="1"/>
  <c r="A298" i="1"/>
  <c r="A234" i="1"/>
  <c r="A170" i="1"/>
  <c r="A106" i="1"/>
  <c r="A42" i="1"/>
  <c r="A1057" i="1"/>
  <c r="A1040" i="1"/>
  <c r="A976" i="1"/>
  <c r="A912" i="1"/>
  <c r="A848" i="1"/>
  <c r="A784" i="1"/>
  <c r="A720" i="1"/>
  <c r="A656" i="1"/>
  <c r="A592" i="1"/>
  <c r="A528" i="1"/>
  <c r="A464" i="1"/>
  <c r="A400" i="1"/>
  <c r="A336" i="1"/>
  <c r="A272" i="1"/>
  <c r="A208" i="1"/>
  <c r="A144" i="1"/>
  <c r="A80" i="1"/>
  <c r="A16" i="1"/>
  <c r="A1023" i="1"/>
  <c r="A959" i="1"/>
  <c r="A895" i="1"/>
  <c r="A831" i="1"/>
  <c r="A767" i="1"/>
  <c r="A703" i="1"/>
  <c r="A639" i="1"/>
  <c r="A1070" i="1"/>
  <c r="A1006" i="1"/>
  <c r="A942" i="1"/>
  <c r="A878" i="1"/>
  <c r="A814" i="1"/>
  <c r="A750" i="1"/>
  <c r="A686" i="1"/>
  <c r="A622" i="1"/>
  <c r="A558" i="1"/>
  <c r="A494" i="1"/>
  <c r="A430" i="1"/>
  <c r="A366" i="1"/>
  <c r="A302" i="1"/>
  <c r="A238" i="1"/>
  <c r="A174" i="1"/>
  <c r="A110" i="1"/>
  <c r="A46" i="1"/>
  <c r="A1053" i="1"/>
  <c r="A1020" i="1"/>
  <c r="A956" i="1"/>
  <c r="A892" i="1"/>
  <c r="A828" i="1"/>
  <c r="A764" i="1"/>
  <c r="A700" i="1"/>
  <c r="A636" i="1"/>
  <c r="A572" i="1"/>
  <c r="A508" i="1"/>
  <c r="A444" i="1"/>
  <c r="A380" i="1"/>
  <c r="A316" i="1"/>
  <c r="A252" i="1"/>
  <c r="A188" i="1"/>
  <c r="A124" i="1"/>
  <c r="A60" i="1"/>
  <c r="A1067" i="1"/>
  <c r="A875" i="1"/>
  <c r="A705" i="1"/>
  <c r="A545" i="1"/>
  <c r="A417" i="1"/>
  <c r="A289" i="1"/>
  <c r="A161" i="1"/>
  <c r="A33" i="1"/>
  <c r="A915" i="1"/>
  <c r="A745" i="1"/>
  <c r="A575" i="1"/>
  <c r="A447" i="1"/>
  <c r="A319" i="1"/>
  <c r="A191" i="1"/>
  <c r="A63" i="1"/>
  <c r="A977" i="1"/>
  <c r="A805" i="1"/>
  <c r="A635" i="1"/>
  <c r="A477" i="1"/>
  <c r="A349" i="1"/>
  <c r="A221" i="1"/>
  <c r="A93" i="1"/>
  <c r="A995" i="1"/>
  <c r="A825" i="1"/>
  <c r="A653" i="1"/>
  <c r="A507" i="1"/>
  <c r="A379" i="1"/>
  <c r="A251" i="1"/>
  <c r="A123" i="1"/>
  <c r="A1037" i="1"/>
  <c r="A865" i="1"/>
  <c r="A693" i="1"/>
  <c r="A537" i="1"/>
  <c r="A409" i="1"/>
  <c r="A281" i="1"/>
  <c r="A153" i="1"/>
  <c r="A25" i="1"/>
  <c r="A905" i="1"/>
  <c r="A733" i="1"/>
  <c r="A567" i="1"/>
  <c r="A439" i="1"/>
  <c r="A311" i="1"/>
  <c r="A183" i="1"/>
  <c r="A55" i="1"/>
  <c r="A965" i="1"/>
  <c r="A795" i="1"/>
  <c r="A625" i="1"/>
  <c r="A469" i="1"/>
  <c r="A341" i="1"/>
  <c r="A213" i="1"/>
  <c r="A85" i="1"/>
  <c r="A985" i="1"/>
  <c r="A813" i="1"/>
  <c r="A643" i="1"/>
  <c r="A499" i="1"/>
  <c r="A371" i="1"/>
  <c r="A243" i="1"/>
  <c r="A115" i="1"/>
  <c r="B1070" i="1"/>
  <c r="B1006" i="1"/>
  <c r="B942" i="1"/>
  <c r="B878" i="1"/>
  <c r="B814" i="1"/>
  <c r="B750" i="1"/>
  <c r="B686" i="1"/>
  <c r="B622" i="1"/>
  <c r="B558" i="1"/>
  <c r="B494" i="1"/>
  <c r="B430" i="1"/>
  <c r="B366" i="1"/>
  <c r="B302" i="1"/>
  <c r="B238" i="1"/>
  <c r="B174" i="1"/>
  <c r="B1012" i="1"/>
  <c r="B948" i="1"/>
  <c r="B884" i="1"/>
  <c r="B820" i="1"/>
  <c r="B756" i="1"/>
  <c r="B692" i="1"/>
  <c r="B628" i="1"/>
  <c r="B564" i="1"/>
  <c r="B500" i="1"/>
  <c r="B436" i="1"/>
  <c r="B372" i="1"/>
  <c r="B308" i="1"/>
  <c r="B244" i="1"/>
  <c r="B180" i="1"/>
  <c r="B1026" i="1"/>
  <c r="B962" i="1"/>
  <c r="B898" i="1"/>
  <c r="B834" i="1"/>
  <c r="B770" i="1"/>
  <c r="B706" i="1"/>
  <c r="B642" i="1"/>
  <c r="B578" i="1"/>
  <c r="B1056" i="1"/>
  <c r="B992" i="1"/>
  <c r="B928" i="1"/>
  <c r="B864" i="1"/>
  <c r="B800" i="1"/>
  <c r="B736" i="1"/>
  <c r="B672" i="1"/>
  <c r="B1053" i="1"/>
  <c r="B925" i="1"/>
  <c r="B797" i="1"/>
  <c r="B669" i="1"/>
  <c r="B557" i="1"/>
  <c r="B467" i="1"/>
  <c r="B383" i="1"/>
  <c r="B297" i="1"/>
  <c r="B211" i="1"/>
  <c r="B137" i="1"/>
  <c r="B73" i="1"/>
  <c r="B9" i="1"/>
  <c r="B955" i="1"/>
  <c r="B827" i="1"/>
  <c r="B699" i="1"/>
  <c r="B581" i="1"/>
  <c r="B488" i="1"/>
  <c r="B402" i="1"/>
  <c r="B317" i="1"/>
  <c r="B232" i="1"/>
  <c r="B152" i="1"/>
  <c r="B88" i="1"/>
  <c r="B24" i="1"/>
  <c r="B985" i="1"/>
  <c r="B857" i="1"/>
  <c r="B729" i="1"/>
  <c r="B605" i="1"/>
  <c r="B507" i="1"/>
  <c r="B423" i="1"/>
  <c r="B337" i="1"/>
  <c r="B251" i="1"/>
  <c r="B167" i="1"/>
  <c r="B103" i="1"/>
  <c r="B39" i="1"/>
  <c r="B1015" i="1"/>
  <c r="B887" i="1"/>
  <c r="B759" i="1"/>
  <c r="B631" i="1"/>
  <c r="B528" i="1"/>
  <c r="B442" i="1"/>
  <c r="B357" i="1"/>
  <c r="B272" i="1"/>
  <c r="B186" i="1"/>
  <c r="B118" i="1"/>
  <c r="B54" i="1"/>
  <c r="B1045" i="1"/>
  <c r="B917" i="1"/>
  <c r="B789" i="1"/>
  <c r="B661" i="1"/>
  <c r="B551" i="1"/>
  <c r="B463" i="1"/>
  <c r="B377" i="1"/>
  <c r="B291" i="1"/>
  <c r="B207" i="1"/>
  <c r="B133" i="1"/>
  <c r="B69" i="1"/>
  <c r="B5" i="1"/>
  <c r="B947" i="1"/>
  <c r="B819" i="1"/>
  <c r="B691" i="1"/>
  <c r="B575" i="1"/>
  <c r="B482" i="1"/>
  <c r="B397" i="1"/>
  <c r="B312" i="1"/>
  <c r="B226" i="1"/>
  <c r="B148" i="1"/>
  <c r="B84" i="1"/>
  <c r="B20" i="1"/>
  <c r="B993" i="1"/>
  <c r="B865" i="1"/>
  <c r="B737" i="1"/>
  <c r="B611" i="1"/>
  <c r="B513" i="1"/>
  <c r="B427" i="1"/>
  <c r="B343" i="1"/>
  <c r="B257" i="1"/>
  <c r="B171" i="1"/>
  <c r="B107" i="1"/>
  <c r="B43" i="1"/>
  <c r="B1039" i="1"/>
  <c r="B911" i="1"/>
  <c r="B783" i="1"/>
  <c r="B655" i="1"/>
  <c r="B545" i="1"/>
  <c r="B458" i="1"/>
  <c r="B373" i="1"/>
  <c r="B288" i="1"/>
  <c r="B202" i="1"/>
  <c r="B130" i="1"/>
  <c r="B66" i="1"/>
  <c r="B2" i="1"/>
  <c r="A1058" i="1"/>
  <c r="A994" i="1"/>
  <c r="A930" i="1"/>
  <c r="A866" i="1"/>
  <c r="A802" i="1"/>
  <c r="A738" i="1"/>
  <c r="A674" i="1"/>
  <c r="A610" i="1"/>
  <c r="A546" i="1"/>
  <c r="A482" i="1"/>
  <c r="A418" i="1"/>
  <c r="A354" i="1"/>
  <c r="A290" i="1"/>
  <c r="A226" i="1"/>
  <c r="A162" i="1"/>
  <c r="A98" i="1"/>
  <c r="A34" i="1"/>
  <c r="A1049" i="1"/>
  <c r="A1032" i="1"/>
  <c r="A968" i="1"/>
  <c r="A904" i="1"/>
  <c r="A840" i="1"/>
  <c r="A776" i="1"/>
  <c r="A712" i="1"/>
  <c r="A648" i="1"/>
  <c r="A584" i="1"/>
  <c r="A520" i="1"/>
  <c r="A456" i="1"/>
  <c r="A392" i="1"/>
  <c r="A328" i="1"/>
  <c r="A264" i="1"/>
  <c r="A200" i="1"/>
  <c r="A136" i="1"/>
  <c r="A72" i="1"/>
  <c r="A8" i="1"/>
  <c r="A1015" i="1"/>
  <c r="A951" i="1"/>
  <c r="A887" i="1"/>
  <c r="A823" i="1"/>
  <c r="A759" i="1"/>
  <c r="A695" i="1"/>
  <c r="A631" i="1"/>
  <c r="A1062" i="1"/>
  <c r="A998" i="1"/>
  <c r="A934" i="1"/>
  <c r="A870" i="1"/>
  <c r="A806" i="1"/>
  <c r="A742" i="1"/>
  <c r="A678" i="1"/>
  <c r="A614" i="1"/>
  <c r="A550" i="1"/>
  <c r="A486" i="1"/>
  <c r="A422" i="1"/>
  <c r="A358" i="1"/>
  <c r="A294" i="1"/>
  <c r="A230" i="1"/>
  <c r="A166" i="1"/>
  <c r="A102" i="1"/>
  <c r="A38" i="1"/>
  <c r="A1045" i="1"/>
  <c r="A1012" i="1"/>
  <c r="A948" i="1"/>
  <c r="A884" i="1"/>
  <c r="A820" i="1"/>
  <c r="A756" i="1"/>
  <c r="A692" i="1"/>
  <c r="A628" i="1"/>
  <c r="A564" i="1"/>
  <c r="A500" i="1"/>
  <c r="A436" i="1"/>
  <c r="A372" i="1"/>
  <c r="A308" i="1"/>
  <c r="A244" i="1"/>
  <c r="A180" i="1"/>
  <c r="A116" i="1"/>
  <c r="A52" i="1"/>
  <c r="A1025" i="1"/>
  <c r="A853" i="1"/>
  <c r="A683" i="1"/>
  <c r="A529" i="1"/>
  <c r="A401" i="1"/>
  <c r="A273" i="1"/>
  <c r="A145" i="1"/>
  <c r="A17" i="1"/>
  <c r="A893" i="1"/>
  <c r="A723" i="1"/>
  <c r="A559" i="1"/>
  <c r="A431" i="1"/>
  <c r="A303" i="1"/>
  <c r="A175" i="1"/>
  <c r="A47" i="1"/>
  <c r="A955" i="1"/>
  <c r="A785" i="1"/>
  <c r="A613" i="1"/>
  <c r="A461" i="1"/>
  <c r="A333" i="1"/>
  <c r="A205" i="1"/>
  <c r="A77" i="1"/>
  <c r="A973" i="1"/>
  <c r="A803" i="1"/>
  <c r="A633" i="1"/>
  <c r="A491" i="1"/>
  <c r="A363" i="1"/>
  <c r="A235" i="1"/>
  <c r="A107" i="1"/>
  <c r="A1013" i="1"/>
  <c r="A843" i="1"/>
  <c r="A673" i="1"/>
  <c r="A521" i="1"/>
  <c r="A393" i="1"/>
  <c r="A265" i="1"/>
  <c r="A137" i="1"/>
  <c r="A9" i="1"/>
  <c r="A883" i="1"/>
  <c r="A713" i="1"/>
  <c r="A551" i="1"/>
  <c r="A423" i="1"/>
  <c r="A295" i="1"/>
  <c r="A167" i="1"/>
  <c r="A39" i="1"/>
  <c r="A945" i="1"/>
  <c r="A773" i="1"/>
  <c r="A603" i="1"/>
  <c r="A453" i="1"/>
  <c r="A325" i="1"/>
  <c r="A197" i="1"/>
  <c r="A69" i="1"/>
  <c r="A963" i="1"/>
  <c r="A793" i="1"/>
  <c r="A621" i="1"/>
  <c r="A483" i="1"/>
  <c r="A355" i="1"/>
  <c r="A227" i="1"/>
  <c r="A99" i="1"/>
  <c r="B1062" i="1"/>
  <c r="B998" i="1"/>
  <c r="B934" i="1"/>
  <c r="B870" i="1"/>
  <c r="B806" i="1"/>
  <c r="B742" i="1"/>
  <c r="B678" i="1"/>
  <c r="B614" i="1"/>
  <c r="B550" i="1"/>
  <c r="B486" i="1"/>
  <c r="B422" i="1"/>
  <c r="B358" i="1"/>
  <c r="B294" i="1"/>
  <c r="B230" i="1"/>
  <c r="B1068" i="1"/>
  <c r="B1004" i="1"/>
  <c r="B940" i="1"/>
  <c r="B876" i="1"/>
  <c r="B812" i="1"/>
  <c r="B748" i="1"/>
  <c r="B684" i="1"/>
  <c r="B620" i="1"/>
  <c r="B556" i="1"/>
  <c r="B492" i="1"/>
  <c r="B428" i="1"/>
  <c r="B364" i="1"/>
  <c r="B300" i="1"/>
  <c r="B236" i="1"/>
  <c r="B172" i="1"/>
  <c r="B1018" i="1"/>
  <c r="B954" i="1"/>
  <c r="B890" i="1"/>
  <c r="B826" i="1"/>
  <c r="B762" i="1"/>
  <c r="B698" i="1"/>
  <c r="B634" i="1"/>
  <c r="B570" i="1"/>
  <c r="B1048" i="1"/>
  <c r="B984" i="1"/>
  <c r="B920" i="1"/>
  <c r="B856" i="1"/>
  <c r="B792" i="1"/>
  <c r="B728" i="1"/>
  <c r="B664" i="1"/>
  <c r="B1037" i="1"/>
  <c r="B909" i="1"/>
  <c r="B781" i="1"/>
  <c r="B653" i="1"/>
  <c r="B544" i="1"/>
  <c r="B457" i="1"/>
  <c r="B371" i="1"/>
  <c r="B287" i="1"/>
  <c r="B201" i="1"/>
  <c r="B129" i="1"/>
  <c r="B65" i="1"/>
  <c r="B1067" i="1"/>
  <c r="B939" i="1"/>
  <c r="B811" i="1"/>
  <c r="B683" i="1"/>
  <c r="B568" i="1"/>
  <c r="B477" i="1"/>
  <c r="B392" i="1"/>
  <c r="B306" i="1"/>
  <c r="B221" i="1"/>
  <c r="B144" i="1"/>
  <c r="B80" i="1"/>
  <c r="B16" i="1"/>
  <c r="B969" i="1"/>
  <c r="B841" i="1"/>
  <c r="B713" i="1"/>
  <c r="B592" i="1"/>
  <c r="B497" i="1"/>
  <c r="B411" i="1"/>
  <c r="B327" i="1"/>
  <c r="B241" i="1"/>
  <c r="B159" i="1"/>
  <c r="B95" i="1"/>
  <c r="B31" i="1"/>
  <c r="B999" i="1"/>
  <c r="B871" i="1"/>
  <c r="B743" i="1"/>
  <c r="B616" i="1"/>
  <c r="B517" i="1"/>
  <c r="B432" i="1"/>
  <c r="B346" i="1"/>
  <c r="B261" i="1"/>
  <c r="B176" i="1"/>
  <c r="B110" i="1"/>
  <c r="B46" i="1"/>
  <c r="B1029" i="1"/>
  <c r="B901" i="1"/>
  <c r="B773" i="1"/>
  <c r="B645" i="1"/>
  <c r="B537" i="1"/>
  <c r="B451" i="1"/>
  <c r="B367" i="1"/>
  <c r="B281" i="1"/>
  <c r="B195" i="1"/>
  <c r="B125" i="1"/>
  <c r="B61" i="1"/>
  <c r="B1059" i="1"/>
  <c r="B931" i="1"/>
  <c r="B803" i="1"/>
  <c r="B675" i="1"/>
  <c r="B561" i="1"/>
  <c r="B472" i="1"/>
  <c r="B386" i="1"/>
  <c r="B301" i="1"/>
  <c r="B216" i="1"/>
  <c r="B140" i="1"/>
  <c r="B76" i="1"/>
  <c r="B12" i="1"/>
  <c r="B977" i="1"/>
  <c r="B849" i="1"/>
  <c r="B721" i="1"/>
  <c r="B599" i="1"/>
  <c r="B503" i="1"/>
  <c r="B417" i="1"/>
  <c r="B331" i="1"/>
  <c r="B247" i="1"/>
  <c r="B163" i="1"/>
  <c r="B99" i="1"/>
  <c r="B35" i="1"/>
  <c r="B1023" i="1"/>
  <c r="B895" i="1"/>
  <c r="B767" i="1"/>
  <c r="B639" i="1"/>
  <c r="B533" i="1"/>
  <c r="B448" i="1"/>
  <c r="B362" i="1"/>
  <c r="B277" i="1"/>
  <c r="B192" i="1"/>
  <c r="B122" i="1"/>
  <c r="B58" i="1"/>
  <c r="A1050" i="1"/>
  <c r="A986" i="1"/>
  <c r="A922" i="1"/>
  <c r="A858" i="1"/>
  <c r="A794" i="1"/>
  <c r="A730" i="1"/>
  <c r="A666" i="1"/>
  <c r="A602" i="1"/>
  <c r="A538" i="1"/>
  <c r="A474" i="1"/>
  <c r="A410" i="1"/>
  <c r="A346" i="1"/>
  <c r="A282" i="1"/>
  <c r="A218" i="1"/>
  <c r="A154" i="1"/>
  <c r="A90" i="1"/>
  <c r="A26" i="1"/>
  <c r="A1041" i="1"/>
  <c r="A1024" i="1"/>
  <c r="A960" i="1"/>
  <c r="A896" i="1"/>
  <c r="A832" i="1"/>
  <c r="A768" i="1"/>
  <c r="A704" i="1"/>
  <c r="A640" i="1"/>
  <c r="A576" i="1"/>
  <c r="A512" i="1"/>
  <c r="A448" i="1"/>
  <c r="A384" i="1"/>
  <c r="A320" i="1"/>
  <c r="A256" i="1"/>
  <c r="A192" i="1"/>
  <c r="A128" i="1"/>
  <c r="A64" i="1"/>
  <c r="A1071" i="1"/>
  <c r="A1007" i="1"/>
  <c r="A943" i="1"/>
  <c r="A879" i="1"/>
  <c r="A815" i="1"/>
  <c r="A751" i="1"/>
  <c r="A687" i="1"/>
  <c r="A623" i="1"/>
  <c r="A1054" i="1"/>
  <c r="A990" i="1"/>
  <c r="A926" i="1"/>
  <c r="A862" i="1"/>
  <c r="A798" i="1"/>
  <c r="A734" i="1"/>
  <c r="A670" i="1"/>
  <c r="A606" i="1"/>
  <c r="A542" i="1"/>
  <c r="A478" i="1"/>
  <c r="A414" i="1"/>
  <c r="A350" i="1"/>
  <c r="A286" i="1"/>
  <c r="A222" i="1"/>
  <c r="A158" i="1"/>
  <c r="A94" i="1"/>
  <c r="A30" i="1"/>
  <c r="A1068" i="1"/>
  <c r="A1004" i="1"/>
  <c r="A940" i="1"/>
  <c r="A876" i="1"/>
  <c r="A812" i="1"/>
  <c r="A748" i="1"/>
  <c r="A684" i="1"/>
  <c r="A620" i="1"/>
  <c r="A556" i="1"/>
  <c r="A492" i="1"/>
  <c r="A428" i="1"/>
  <c r="A364" i="1"/>
  <c r="A300" i="1"/>
  <c r="A236" i="1"/>
  <c r="A172" i="1"/>
  <c r="A108" i="1"/>
  <c r="A44" i="1"/>
  <c r="A1003" i="1"/>
  <c r="A833" i="1"/>
  <c r="A661" i="1"/>
  <c r="A513" i="1"/>
  <c r="A385" i="1"/>
  <c r="A257" i="1"/>
  <c r="A129" i="1"/>
  <c r="A1059" i="1"/>
  <c r="A873" i="1"/>
  <c r="A701" i="1"/>
  <c r="A543" i="1"/>
  <c r="A415" i="1"/>
  <c r="A287" i="1"/>
  <c r="A159" i="1"/>
  <c r="A31" i="1"/>
  <c r="A933" i="1"/>
  <c r="A763" i="1"/>
  <c r="A593" i="1"/>
  <c r="A445" i="1"/>
  <c r="A317" i="1"/>
  <c r="A189" i="1"/>
  <c r="A61" i="1"/>
  <c r="A953" i="1"/>
  <c r="A781" i="1"/>
  <c r="A611" i="1"/>
  <c r="A475" i="1"/>
  <c r="A347" i="1"/>
  <c r="A219" i="1"/>
  <c r="A91" i="1"/>
  <c r="A993" i="1"/>
  <c r="A821" i="1"/>
  <c r="A651" i="1"/>
  <c r="A505" i="1"/>
  <c r="A377" i="1"/>
  <c r="A249" i="1"/>
  <c r="A121" i="1"/>
  <c r="A1035" i="1"/>
  <c r="A861" i="1"/>
  <c r="A691" i="1"/>
  <c r="A535" i="1"/>
  <c r="A407" i="1"/>
  <c r="A279" i="1"/>
  <c r="A151" i="1"/>
  <c r="A23" i="1"/>
  <c r="A923" i="1"/>
  <c r="A753" i="1"/>
  <c r="A581" i="1"/>
  <c r="A437" i="1"/>
  <c r="A309" i="1"/>
  <c r="A181" i="1"/>
  <c r="A53" i="1"/>
  <c r="A941" i="1"/>
  <c r="A771" i="1"/>
  <c r="A601" i="1"/>
  <c r="A467" i="1"/>
  <c r="A339" i="1"/>
  <c r="A211" i="1"/>
  <c r="A83" i="1"/>
  <c r="B1054" i="1"/>
  <c r="B990" i="1"/>
  <c r="B926" i="1"/>
  <c r="B862" i="1"/>
  <c r="B798" i="1"/>
  <c r="B734" i="1"/>
  <c r="B670" i="1"/>
  <c r="B606" i="1"/>
  <c r="B542" i="1"/>
  <c r="B478" i="1"/>
  <c r="B414" i="1"/>
  <c r="B350" i="1"/>
  <c r="B286" i="1"/>
  <c r="B222" i="1"/>
  <c r="B1060" i="1"/>
  <c r="B996" i="1"/>
  <c r="B932" i="1"/>
  <c r="B868" i="1"/>
  <c r="B804" i="1"/>
  <c r="B740" i="1"/>
  <c r="B676" i="1"/>
  <c r="B612" i="1"/>
  <c r="B548" i="1"/>
  <c r="B484" i="1"/>
  <c r="B420" i="1"/>
  <c r="B356" i="1"/>
  <c r="B292" i="1"/>
  <c r="B228" i="1"/>
  <c r="B1074" i="1"/>
  <c r="B1010" i="1"/>
  <c r="B946" i="1"/>
  <c r="B882" i="1"/>
  <c r="B818" i="1"/>
  <c r="B754" i="1"/>
  <c r="B690" i="1"/>
  <c r="B626" i="1"/>
  <c r="B562" i="1"/>
  <c r="B1040" i="1"/>
  <c r="B976" i="1"/>
  <c r="B912" i="1"/>
  <c r="B848" i="1"/>
  <c r="B784" i="1"/>
  <c r="B720" i="1"/>
  <c r="B656" i="1"/>
  <c r="B1021" i="1"/>
  <c r="B893" i="1"/>
  <c r="B765" i="1"/>
  <c r="B637" i="1"/>
  <c r="B531" i="1"/>
  <c r="B447" i="1"/>
  <c r="B361" i="1"/>
  <c r="B275" i="1"/>
  <c r="B191" i="1"/>
  <c r="B121" i="1"/>
  <c r="B57" i="1"/>
  <c r="B1051" i="1"/>
  <c r="B923" i="1"/>
  <c r="B795" i="1"/>
  <c r="B667" i="1"/>
  <c r="B555" i="1"/>
  <c r="B466" i="1"/>
  <c r="B381" i="1"/>
  <c r="B296" i="1"/>
  <c r="B210" i="1"/>
  <c r="B136" i="1"/>
  <c r="B72" i="1"/>
  <c r="B8" i="1"/>
  <c r="B953" i="1"/>
  <c r="B825" i="1"/>
  <c r="B697" i="1"/>
  <c r="B579" i="1"/>
  <c r="B487" i="1"/>
  <c r="B401" i="1"/>
  <c r="B315" i="1"/>
  <c r="B231" i="1"/>
  <c r="B151" i="1"/>
  <c r="B87" i="1"/>
  <c r="B23" i="1"/>
  <c r="B983" i="1"/>
  <c r="B855" i="1"/>
  <c r="B727" i="1"/>
  <c r="B603" i="1"/>
  <c r="B506" i="1"/>
  <c r="B421" i="1"/>
  <c r="B336" i="1"/>
  <c r="B250" i="1"/>
  <c r="B166" i="1"/>
  <c r="B102" i="1"/>
  <c r="B38" i="1"/>
  <c r="B1013" i="1"/>
  <c r="B885" i="1"/>
  <c r="B757" i="1"/>
  <c r="B629" i="1"/>
  <c r="B527" i="1"/>
  <c r="B441" i="1"/>
  <c r="B355" i="1"/>
  <c r="B271" i="1"/>
  <c r="B185" i="1"/>
  <c r="B117" i="1"/>
  <c r="B53" i="1"/>
  <c r="B1043" i="1"/>
  <c r="B915" i="1"/>
  <c r="B787" i="1"/>
  <c r="B659" i="1"/>
  <c r="B549" i="1"/>
  <c r="B461" i="1"/>
  <c r="B376" i="1"/>
  <c r="B290" i="1"/>
  <c r="B205" i="1"/>
  <c r="B132" i="1"/>
  <c r="B68" i="1"/>
  <c r="B4" i="1"/>
  <c r="B961" i="1"/>
  <c r="B833" i="1"/>
  <c r="B705" i="1"/>
  <c r="B585" i="1"/>
  <c r="B491" i="1"/>
  <c r="B407" i="1"/>
  <c r="B321" i="1"/>
  <c r="B235" i="1"/>
  <c r="B155" i="1"/>
  <c r="B91" i="1"/>
  <c r="B27" i="1"/>
  <c r="B1007" i="1"/>
  <c r="B879" i="1"/>
  <c r="B751" i="1"/>
  <c r="B623" i="1"/>
  <c r="B522" i="1"/>
  <c r="B437" i="1"/>
  <c r="B352" i="1"/>
  <c r="B266" i="1"/>
  <c r="B181" i="1"/>
  <c r="B114" i="1"/>
  <c r="B50" i="1"/>
  <c r="A1042" i="1"/>
  <c r="A978" i="1"/>
  <c r="A914" i="1"/>
  <c r="A850" i="1"/>
  <c r="A786" i="1"/>
  <c r="A722" i="1"/>
  <c r="A658" i="1"/>
  <c r="A594" i="1"/>
  <c r="A530" i="1"/>
  <c r="A466" i="1"/>
  <c r="A402" i="1"/>
  <c r="A338" i="1"/>
  <c r="A274" i="1"/>
  <c r="A210" i="1"/>
  <c r="A146" i="1"/>
  <c r="A82" i="1"/>
  <c r="A18" i="1"/>
  <c r="A1033" i="1"/>
  <c r="A1016" i="1"/>
  <c r="A952" i="1"/>
  <c r="A888" i="1"/>
  <c r="A824" i="1"/>
  <c r="A760" i="1"/>
  <c r="A696" i="1"/>
  <c r="A632" i="1"/>
  <c r="A568" i="1"/>
  <c r="A504" i="1"/>
  <c r="A440" i="1"/>
  <c r="A376" i="1"/>
  <c r="A312" i="1"/>
  <c r="A248" i="1"/>
  <c r="A184" i="1"/>
  <c r="A120" i="1"/>
  <c r="A56" i="1"/>
  <c r="A1063" i="1"/>
  <c r="A999" i="1"/>
  <c r="A935" i="1"/>
  <c r="A871" i="1"/>
  <c r="A807" i="1"/>
  <c r="A743" i="1"/>
  <c r="A679" i="1"/>
  <c r="A615" i="1"/>
  <c r="A1046" i="1"/>
  <c r="A982" i="1"/>
  <c r="A918" i="1"/>
  <c r="A854" i="1"/>
  <c r="A790" i="1"/>
  <c r="A726" i="1"/>
  <c r="A662" i="1"/>
  <c r="A598" i="1"/>
  <c r="A534" i="1"/>
  <c r="A470" i="1"/>
  <c r="A406" i="1"/>
  <c r="A342" i="1"/>
  <c r="A278" i="1"/>
  <c r="A214" i="1"/>
  <c r="A150" i="1"/>
  <c r="A86" i="1"/>
  <c r="A22" i="1"/>
  <c r="A1060" i="1"/>
  <c r="A996" i="1"/>
  <c r="A932" i="1"/>
  <c r="A868" i="1"/>
  <c r="A804" i="1"/>
  <c r="A740" i="1"/>
  <c r="A676" i="1"/>
  <c r="A612" i="1"/>
  <c r="A548" i="1"/>
  <c r="A484" i="1"/>
  <c r="A420" i="1"/>
  <c r="A356" i="1"/>
  <c r="A292" i="1"/>
  <c r="A228" i="1"/>
  <c r="A164" i="1"/>
  <c r="A100" i="1"/>
  <c r="A36" i="1"/>
  <c r="A981" i="1"/>
  <c r="A811" i="1"/>
  <c r="A641" i="1"/>
  <c r="A497" i="1"/>
  <c r="A369" i="1"/>
  <c r="A241" i="1"/>
  <c r="A113" i="1"/>
  <c r="A1021" i="1"/>
  <c r="A851" i="1"/>
  <c r="A681" i="1"/>
  <c r="A527" i="1"/>
  <c r="A399" i="1"/>
  <c r="A271" i="1"/>
  <c r="A143" i="1"/>
  <c r="A15" i="1"/>
  <c r="A913" i="1"/>
  <c r="A741" i="1"/>
  <c r="A573" i="1"/>
  <c r="A429" i="1"/>
  <c r="A301" i="1"/>
  <c r="A173" i="1"/>
  <c r="A45" i="1"/>
  <c r="A931" i="1"/>
  <c r="A761" i="1"/>
  <c r="A589" i="1"/>
  <c r="A459" i="1"/>
  <c r="A331" i="1"/>
  <c r="A203" i="1"/>
  <c r="A75" i="1"/>
  <c r="A971" i="1"/>
  <c r="A801" i="1"/>
  <c r="A629" i="1"/>
  <c r="A489" i="1"/>
  <c r="A361" i="1"/>
  <c r="A233" i="1"/>
  <c r="A105" i="1"/>
  <c r="A1011" i="1"/>
  <c r="A841" i="1"/>
  <c r="A669" i="1"/>
  <c r="A519" i="1"/>
  <c r="A391" i="1"/>
  <c r="A263" i="1"/>
  <c r="A135" i="1"/>
  <c r="A7" i="1"/>
  <c r="A901" i="1"/>
  <c r="A731" i="1"/>
  <c r="A565" i="1"/>
  <c r="A421" i="1"/>
  <c r="A293" i="1"/>
  <c r="A165" i="1"/>
  <c r="A37" i="1"/>
  <c r="A921" i="1"/>
  <c r="A749" i="1"/>
  <c r="A579" i="1"/>
  <c r="A451" i="1"/>
  <c r="A323" i="1"/>
  <c r="A195" i="1"/>
  <c r="A67" i="1"/>
  <c r="B1046" i="1"/>
  <c r="B982" i="1"/>
  <c r="B918" i="1"/>
  <c r="B854" i="1"/>
  <c r="B790" i="1"/>
  <c r="B726" i="1"/>
  <c r="B662" i="1"/>
  <c r="B598" i="1"/>
  <c r="B534" i="1"/>
  <c r="B470" i="1"/>
  <c r="B406" i="1"/>
  <c r="B342" i="1"/>
  <c r="B278" i="1"/>
  <c r="B214" i="1"/>
  <c r="B1052" i="1"/>
  <c r="B988" i="1"/>
  <c r="B924" i="1"/>
  <c r="B860" i="1"/>
  <c r="B796" i="1"/>
  <c r="B732" i="1"/>
  <c r="B668" i="1"/>
  <c r="B604" i="1"/>
  <c r="B540" i="1"/>
  <c r="B476" i="1"/>
  <c r="B412" i="1"/>
  <c r="B348" i="1"/>
  <c r="B284" i="1"/>
  <c r="B220" i="1"/>
  <c r="B1066" i="1"/>
  <c r="B1002" i="1"/>
  <c r="B938" i="1"/>
  <c r="B874" i="1"/>
  <c r="B810" i="1"/>
  <c r="B746" i="1"/>
  <c r="B682" i="1"/>
  <c r="B618" i="1"/>
  <c r="B554" i="1"/>
  <c r="B1032" i="1"/>
  <c r="B968" i="1"/>
  <c r="B904" i="1"/>
  <c r="B840" i="1"/>
  <c r="B776" i="1"/>
  <c r="B712" i="1"/>
  <c r="B648" i="1"/>
  <c r="B1005" i="1"/>
  <c r="B877" i="1"/>
  <c r="B749" i="1"/>
  <c r="B621" i="1"/>
  <c r="B521" i="1"/>
  <c r="B435" i="1"/>
  <c r="B351" i="1"/>
  <c r="B265" i="1"/>
  <c r="B179" i="1"/>
  <c r="B113" i="1"/>
  <c r="B49" i="1"/>
  <c r="B1035" i="1"/>
  <c r="B907" i="1"/>
  <c r="B779" i="1"/>
  <c r="B651" i="1"/>
  <c r="B543" i="1"/>
  <c r="B456" i="1"/>
  <c r="B370" i="1"/>
  <c r="B285" i="1"/>
  <c r="B200" i="1"/>
  <c r="B128" i="1"/>
  <c r="B64" i="1"/>
  <c r="B1065" i="1"/>
  <c r="B937" i="1"/>
  <c r="B809" i="1"/>
  <c r="B681" i="1"/>
  <c r="B567" i="1"/>
  <c r="B475" i="1"/>
  <c r="B391" i="1"/>
  <c r="B305" i="1"/>
  <c r="B219" i="1"/>
  <c r="B143" i="1"/>
  <c r="B79" i="1"/>
  <c r="B15" i="1"/>
  <c r="B967" i="1"/>
  <c r="B839" i="1"/>
  <c r="B711" i="1"/>
  <c r="B591" i="1"/>
  <c r="B496" i="1"/>
  <c r="B410" i="1"/>
  <c r="B325" i="1"/>
  <c r="B240" i="1"/>
  <c r="B158" i="1"/>
  <c r="B94" i="1"/>
  <c r="B30" i="1"/>
  <c r="B997" i="1"/>
  <c r="B869" i="1"/>
  <c r="B741" i="1"/>
  <c r="B615" i="1"/>
  <c r="B515" i="1"/>
  <c r="B431" i="1"/>
  <c r="B345" i="1"/>
  <c r="B259" i="1"/>
  <c r="B175" i="1"/>
  <c r="B109" i="1"/>
  <c r="B45" i="1"/>
  <c r="B1027" i="1"/>
  <c r="B899" i="1"/>
  <c r="B771" i="1"/>
  <c r="B643" i="1"/>
  <c r="B536" i="1"/>
  <c r="B450" i="1"/>
  <c r="B365" i="1"/>
  <c r="B280" i="1"/>
  <c r="B194" i="1"/>
  <c r="B124" i="1"/>
  <c r="B60" i="1"/>
  <c r="B1073" i="1"/>
  <c r="B945" i="1"/>
  <c r="B817" i="1"/>
  <c r="B689" i="1"/>
  <c r="B573" i="1"/>
  <c r="B481" i="1"/>
  <c r="B395" i="1"/>
  <c r="B311" i="1"/>
  <c r="B225" i="1"/>
  <c r="B147" i="1"/>
  <c r="B83" i="1"/>
  <c r="B19" i="1"/>
  <c r="B991" i="1"/>
  <c r="B863" i="1"/>
  <c r="B735" i="1"/>
  <c r="B609" i="1"/>
  <c r="B512" i="1"/>
  <c r="B426" i="1"/>
  <c r="B341" i="1"/>
  <c r="B256" i="1"/>
  <c r="B170" i="1"/>
  <c r="B106" i="1"/>
  <c r="B42" i="1"/>
  <c r="A1034" i="1"/>
  <c r="A970" i="1"/>
  <c r="A906" i="1"/>
  <c r="A842" i="1"/>
  <c r="A778" i="1"/>
  <c r="A714" i="1"/>
  <c r="A650" i="1"/>
  <c r="A586" i="1"/>
  <c r="A522" i="1"/>
  <c r="A458" i="1"/>
  <c r="A394" i="1"/>
  <c r="A330" i="1"/>
  <c r="A266" i="1"/>
  <c r="A202" i="1"/>
  <c r="A138" i="1"/>
  <c r="A74" i="1"/>
  <c r="A10" i="1"/>
  <c r="A1072" i="1"/>
  <c r="A1008" i="1"/>
  <c r="A944" i="1"/>
  <c r="A880" i="1"/>
  <c r="A816" i="1"/>
  <c r="A752" i="1"/>
  <c r="A688" i="1"/>
  <c r="A624" i="1"/>
  <c r="A560" i="1"/>
  <c r="A496" i="1"/>
  <c r="A432" i="1"/>
  <c r="A368" i="1"/>
  <c r="A304" i="1"/>
  <c r="A240" i="1"/>
  <c r="A176" i="1"/>
  <c r="A112" i="1"/>
  <c r="A48" i="1"/>
  <c r="A1055" i="1"/>
  <c r="A991" i="1"/>
  <c r="A927" i="1"/>
  <c r="A863" i="1"/>
  <c r="A799" i="1"/>
  <c r="A735" i="1"/>
  <c r="A671" i="1"/>
  <c r="A607" i="1"/>
  <c r="A1038" i="1"/>
  <c r="A974" i="1"/>
  <c r="A910" i="1"/>
  <c r="A846" i="1"/>
  <c r="A782" i="1"/>
  <c r="A718" i="1"/>
  <c r="A654" i="1"/>
  <c r="A590" i="1"/>
  <c r="A526" i="1"/>
  <c r="A462" i="1"/>
  <c r="A398" i="1"/>
  <c r="A334" i="1"/>
  <c r="A270" i="1"/>
  <c r="A206" i="1"/>
  <c r="A142" i="1"/>
  <c r="A78" i="1"/>
  <c r="A14" i="1"/>
  <c r="A1052" i="1"/>
  <c r="A988" i="1"/>
  <c r="A924" i="1"/>
  <c r="A860" i="1"/>
  <c r="A796" i="1"/>
  <c r="A732" i="1"/>
  <c r="A668" i="1"/>
  <c r="A604" i="1"/>
  <c r="A540" i="1"/>
  <c r="A476" i="1"/>
  <c r="A412" i="1"/>
  <c r="A348" i="1"/>
  <c r="A284" i="1"/>
  <c r="A220" i="1"/>
  <c r="A156" i="1"/>
  <c r="A92" i="1"/>
  <c r="A28" i="1"/>
  <c r="A961" i="1"/>
  <c r="A789" i="1"/>
  <c r="A619" i="1"/>
  <c r="A481" i="1"/>
  <c r="A353" i="1"/>
  <c r="A225" i="1"/>
  <c r="A97" i="1"/>
  <c r="A1001" i="1"/>
  <c r="A829" i="1"/>
  <c r="A659" i="1"/>
  <c r="A511" i="1"/>
  <c r="A383" i="1"/>
  <c r="A255" i="1"/>
  <c r="A127" i="1"/>
  <c r="A525" i="1"/>
  <c r="A891" i="1"/>
  <c r="A721" i="1"/>
  <c r="A557" i="1"/>
  <c r="A413" i="1"/>
  <c r="A285" i="1"/>
  <c r="A157" i="1"/>
  <c r="A29" i="1"/>
  <c r="A909" i="1"/>
  <c r="A739" i="1"/>
  <c r="A571" i="1"/>
  <c r="A443" i="1"/>
  <c r="A315" i="1"/>
  <c r="A187" i="1"/>
  <c r="A59" i="1"/>
  <c r="A949" i="1"/>
  <c r="A779" i="1"/>
  <c r="A609" i="1"/>
  <c r="A473" i="1"/>
  <c r="A345" i="1"/>
  <c r="A217" i="1"/>
  <c r="A89" i="1"/>
  <c r="A989" i="1"/>
  <c r="A819" i="1"/>
  <c r="A649" i="1"/>
  <c r="A503" i="1"/>
  <c r="A375" i="1"/>
  <c r="A247" i="1"/>
  <c r="A119" i="1"/>
  <c r="A517" i="1"/>
  <c r="A881" i="1"/>
  <c r="A709" i="1"/>
  <c r="A549" i="1"/>
  <c r="A405" i="1"/>
  <c r="A277" i="1"/>
  <c r="A149" i="1"/>
  <c r="A21" i="1"/>
  <c r="A899" i="1"/>
  <c r="A729" i="1"/>
  <c r="A563" i="1"/>
  <c r="A435" i="1"/>
  <c r="A307" i="1"/>
  <c r="A179" i="1"/>
  <c r="A51" i="1"/>
  <c r="B1038" i="1"/>
  <c r="B974" i="1"/>
  <c r="B910" i="1"/>
  <c r="B846" i="1"/>
  <c r="B782" i="1"/>
  <c r="B718" i="1"/>
  <c r="B654" i="1"/>
  <c r="B590" i="1"/>
  <c r="B526" i="1"/>
  <c r="B462" i="1"/>
  <c r="B398" i="1"/>
  <c r="B334" i="1"/>
  <c r="B270" i="1"/>
  <c r="B206" i="1"/>
  <c r="B1044" i="1"/>
  <c r="B980" i="1"/>
  <c r="B916" i="1"/>
  <c r="B852" i="1"/>
  <c r="B788" i="1"/>
  <c r="B724" i="1"/>
  <c r="B660" i="1"/>
  <c r="B596" i="1"/>
  <c r="B532" i="1"/>
  <c r="B468" i="1"/>
  <c r="B404" i="1"/>
  <c r="B340" i="1"/>
  <c r="B276" i="1"/>
  <c r="B212" i="1"/>
  <c r="B1058" i="1"/>
  <c r="B994" i="1"/>
  <c r="B930" i="1"/>
  <c r="B866" i="1"/>
  <c r="B802" i="1"/>
  <c r="B738" i="1"/>
  <c r="B674" i="1"/>
  <c r="B610" i="1"/>
  <c r="B546" i="1"/>
  <c r="B1024" i="1"/>
  <c r="B960" i="1"/>
  <c r="B896" i="1"/>
  <c r="B832" i="1"/>
  <c r="B768" i="1"/>
  <c r="B704" i="1"/>
  <c r="B640" i="1"/>
  <c r="B989" i="1"/>
  <c r="B861" i="1"/>
  <c r="B733" i="1"/>
  <c r="B608" i="1"/>
  <c r="B511" i="1"/>
  <c r="B425" i="1"/>
  <c r="B339" i="1"/>
  <c r="B255" i="1"/>
  <c r="B169" i="1"/>
  <c r="B105" i="1"/>
  <c r="B41" i="1"/>
  <c r="B1019" i="1"/>
  <c r="B891" i="1"/>
  <c r="B763" i="1"/>
  <c r="B635" i="1"/>
  <c r="B530" i="1"/>
  <c r="B445" i="1"/>
  <c r="B360" i="1"/>
  <c r="B274" i="1"/>
  <c r="B189" i="1"/>
  <c r="B120" i="1"/>
  <c r="B56" i="1"/>
  <c r="B1049" i="1"/>
  <c r="B921" i="1"/>
  <c r="B793" i="1"/>
  <c r="B665" i="1"/>
  <c r="B553" i="1"/>
  <c r="B465" i="1"/>
  <c r="B379" i="1"/>
  <c r="B295" i="1"/>
  <c r="B209" i="1"/>
  <c r="B135" i="1"/>
  <c r="B71" i="1"/>
  <c r="B7" i="1"/>
  <c r="B951" i="1"/>
  <c r="B823" i="1"/>
  <c r="B695" i="1"/>
  <c r="B577" i="1"/>
  <c r="B485" i="1"/>
  <c r="B400" i="1"/>
  <c r="B314" i="1"/>
  <c r="B229" i="1"/>
  <c r="B150" i="1"/>
  <c r="B86" i="1"/>
  <c r="B22" i="1"/>
  <c r="B981" i="1"/>
  <c r="B853" i="1"/>
  <c r="B725" i="1"/>
  <c r="B601" i="1"/>
  <c r="B505" i="1"/>
  <c r="B419" i="1"/>
  <c r="B335" i="1"/>
  <c r="B249" i="1"/>
  <c r="B165" i="1"/>
  <c r="B101" i="1"/>
  <c r="B37" i="1"/>
  <c r="B1011" i="1"/>
  <c r="B883" i="1"/>
  <c r="B755" i="1"/>
  <c r="B627" i="1"/>
  <c r="B525" i="1"/>
  <c r="B440" i="1"/>
  <c r="B354" i="1"/>
  <c r="B269" i="1"/>
  <c r="B184" i="1"/>
  <c r="B116" i="1"/>
  <c r="B52" i="1"/>
  <c r="B1057" i="1"/>
  <c r="B929" i="1"/>
  <c r="B801" i="1"/>
  <c r="B673" i="1"/>
  <c r="B560" i="1"/>
  <c r="B471" i="1"/>
  <c r="B385" i="1"/>
  <c r="B299" i="1"/>
  <c r="B215" i="1"/>
  <c r="B139" i="1"/>
  <c r="B75" i="1"/>
  <c r="B11" i="1"/>
  <c r="B975" i="1"/>
  <c r="B847" i="1"/>
  <c r="B719" i="1"/>
  <c r="B597" i="1"/>
  <c r="B501" i="1"/>
  <c r="B416" i="1"/>
  <c r="B330" i="1"/>
  <c r="B245" i="1"/>
  <c r="B162" i="1"/>
  <c r="B98" i="1"/>
  <c r="B34" i="1"/>
  <c r="A1026" i="1"/>
  <c r="A962" i="1"/>
  <c r="A898" i="1"/>
  <c r="A834" i="1"/>
  <c r="A770" i="1"/>
  <c r="A706" i="1"/>
  <c r="A642" i="1"/>
  <c r="A578" i="1"/>
  <c r="A514" i="1"/>
  <c r="A450" i="1"/>
  <c r="A386" i="1"/>
  <c r="A322" i="1"/>
  <c r="A258" i="1"/>
  <c r="A194" i="1"/>
  <c r="A130" i="1"/>
  <c r="A66" i="1"/>
  <c r="A2" i="1"/>
  <c r="A1064" i="1"/>
  <c r="A1000" i="1"/>
  <c r="A936" i="1"/>
  <c r="A872" i="1"/>
  <c r="A808" i="1"/>
  <c r="A744" i="1"/>
  <c r="A680" i="1"/>
  <c r="A616" i="1"/>
  <c r="A552" i="1"/>
  <c r="A488" i="1"/>
  <c r="A424" i="1"/>
  <c r="A360" i="1"/>
  <c r="A296" i="1"/>
  <c r="A232" i="1"/>
  <c r="A168" i="1"/>
  <c r="A104" i="1"/>
  <c r="A40" i="1"/>
  <c r="A1047" i="1"/>
  <c r="A983" i="1"/>
  <c r="A919" i="1"/>
  <c r="A855" i="1"/>
  <c r="A791" i="1"/>
  <c r="A727" i="1"/>
  <c r="A663" i="1"/>
  <c r="A599" i="1"/>
  <c r="A1030" i="1"/>
  <c r="A966" i="1"/>
  <c r="A902" i="1"/>
  <c r="A838" i="1"/>
  <c r="A774" i="1"/>
  <c r="A710" i="1"/>
  <c r="A646" i="1"/>
  <c r="A582" i="1"/>
  <c r="A518" i="1"/>
  <c r="A454" i="1"/>
  <c r="A390" i="1"/>
  <c r="A326" i="1"/>
  <c r="A262" i="1"/>
  <c r="A198" i="1"/>
  <c r="A134" i="1"/>
  <c r="A70" i="1"/>
  <c r="A6" i="1"/>
  <c r="A1044" i="1"/>
  <c r="A980" i="1"/>
  <c r="A916" i="1"/>
  <c r="A852" i="1"/>
  <c r="A788" i="1"/>
  <c r="A724" i="1"/>
  <c r="A660" i="1"/>
  <c r="A596" i="1"/>
  <c r="A532" i="1"/>
  <c r="A468" i="1"/>
  <c r="A404" i="1"/>
  <c r="A340" i="1"/>
  <c r="A276" i="1"/>
  <c r="A212" i="1"/>
  <c r="A148" i="1"/>
  <c r="A84" i="1"/>
  <c r="A20" i="1"/>
  <c r="A939" i="1"/>
  <c r="A769" i="1"/>
  <c r="A597" i="1"/>
  <c r="A465" i="1"/>
  <c r="A337" i="1"/>
  <c r="A209" i="1"/>
  <c r="A81" i="1"/>
  <c r="A979" i="1"/>
  <c r="A809" i="1"/>
  <c r="A637" i="1"/>
  <c r="A495" i="1"/>
  <c r="A367" i="1"/>
  <c r="A239" i="1"/>
  <c r="A111" i="1"/>
  <c r="A1051" i="1"/>
  <c r="A869" i="1"/>
  <c r="A699" i="1"/>
  <c r="A541" i="1"/>
  <c r="A397" i="1"/>
  <c r="A269" i="1"/>
  <c r="A141" i="1"/>
  <c r="A13" i="1"/>
  <c r="A889" i="1"/>
  <c r="A717" i="1"/>
  <c r="A555" i="1"/>
  <c r="A427" i="1"/>
  <c r="A299" i="1"/>
  <c r="A171" i="1"/>
  <c r="A43" i="1"/>
  <c r="A929" i="1"/>
  <c r="A757" i="1"/>
  <c r="A587" i="1"/>
  <c r="A457" i="1"/>
  <c r="A329" i="1"/>
  <c r="A201" i="1"/>
  <c r="A73" i="1"/>
  <c r="A969" i="1"/>
  <c r="A797" i="1"/>
  <c r="A627" i="1"/>
  <c r="A487" i="1"/>
  <c r="A359" i="1"/>
  <c r="A231" i="1"/>
  <c r="A103" i="1"/>
  <c r="A1029" i="1"/>
  <c r="A859" i="1"/>
  <c r="A689" i="1"/>
  <c r="A533" i="1"/>
  <c r="A389" i="1"/>
  <c r="A261" i="1"/>
  <c r="A133" i="1"/>
  <c r="A5" i="1"/>
  <c r="A877" i="1"/>
  <c r="A707" i="1"/>
  <c r="A547" i="1"/>
  <c r="A419" i="1"/>
  <c r="A291" i="1"/>
  <c r="A163" i="1"/>
  <c r="A35" i="1"/>
  <c r="B1030" i="1"/>
  <c r="B966" i="1"/>
  <c r="B902" i="1"/>
  <c r="B838" i="1"/>
  <c r="B774" i="1"/>
  <c r="B710" i="1"/>
  <c r="B646" i="1"/>
  <c r="B582" i="1"/>
  <c r="B518" i="1"/>
  <c r="B454" i="1"/>
  <c r="B390" i="1"/>
  <c r="B326" i="1"/>
  <c r="B262" i="1"/>
  <c r="B198" i="1"/>
  <c r="B1036" i="1"/>
  <c r="B972" i="1"/>
  <c r="B908" i="1"/>
  <c r="B844" i="1"/>
  <c r="B780" i="1"/>
  <c r="B716" i="1"/>
  <c r="B652" i="1"/>
  <c r="B588" i="1"/>
  <c r="B524" i="1"/>
  <c r="B460" i="1"/>
  <c r="B396" i="1"/>
  <c r="B332" i="1"/>
  <c r="B268" i="1"/>
  <c r="B204" i="1"/>
  <c r="B1050" i="1"/>
  <c r="B986" i="1"/>
  <c r="B922" i="1"/>
  <c r="B858" i="1"/>
  <c r="B794" i="1"/>
  <c r="B730" i="1"/>
  <c r="B666" i="1"/>
  <c r="B602" i="1"/>
  <c r="B538" i="1"/>
  <c r="B1016" i="1"/>
  <c r="B952" i="1"/>
  <c r="B888" i="1"/>
  <c r="B824" i="1"/>
  <c r="B760" i="1"/>
  <c r="B696" i="1"/>
  <c r="B632" i="1"/>
  <c r="B973" i="1"/>
  <c r="B845" i="1"/>
  <c r="B717" i="1"/>
  <c r="B595" i="1"/>
  <c r="B499" i="1"/>
  <c r="B415" i="1"/>
  <c r="B329" i="1"/>
  <c r="B243" i="1"/>
  <c r="B161" i="1"/>
  <c r="B97" i="1"/>
  <c r="B33" i="1"/>
  <c r="B1003" i="1"/>
  <c r="B875" i="1"/>
  <c r="B747" i="1"/>
  <c r="B619" i="1"/>
  <c r="B520" i="1"/>
  <c r="B434" i="1"/>
  <c r="B349" i="1"/>
  <c r="B264" i="1"/>
  <c r="B178" i="1"/>
  <c r="B112" i="1"/>
  <c r="B48" i="1"/>
  <c r="B1033" i="1"/>
  <c r="B905" i="1"/>
  <c r="B777" i="1"/>
  <c r="B649" i="1"/>
  <c r="B541" i="1"/>
  <c r="B455" i="1"/>
  <c r="B369" i="1"/>
  <c r="B283" i="1"/>
  <c r="B199" i="1"/>
  <c r="B127" i="1"/>
  <c r="B63" i="1"/>
  <c r="B1063" i="1"/>
  <c r="B935" i="1"/>
  <c r="B807" i="1"/>
  <c r="B679" i="1"/>
  <c r="B565" i="1"/>
  <c r="B474" i="1"/>
  <c r="B389" i="1"/>
  <c r="B304" i="1"/>
  <c r="B218" i="1"/>
  <c r="B142" i="1"/>
  <c r="B78" i="1"/>
  <c r="B14" i="1"/>
  <c r="B965" i="1"/>
  <c r="B837" i="1"/>
  <c r="B709" i="1"/>
  <c r="B589" i="1"/>
  <c r="B495" i="1"/>
  <c r="B409" i="1"/>
  <c r="B323" i="1"/>
  <c r="B239" i="1"/>
  <c r="B157" i="1"/>
  <c r="B93" i="1"/>
  <c r="B29" i="1"/>
  <c r="B995" i="1"/>
  <c r="B867" i="1"/>
  <c r="B739" i="1"/>
  <c r="B613" i="1"/>
  <c r="B514" i="1"/>
  <c r="B429" i="1"/>
  <c r="B344" i="1"/>
  <c r="B258" i="1"/>
  <c r="B173" i="1"/>
  <c r="B108" i="1"/>
  <c r="B44" i="1"/>
  <c r="B1041" i="1"/>
  <c r="B913" i="1"/>
  <c r="B785" i="1"/>
  <c r="B657" i="1"/>
  <c r="B547" i="1"/>
  <c r="B459" i="1"/>
  <c r="B375" i="1"/>
  <c r="B289" i="1"/>
  <c r="B203" i="1"/>
  <c r="B131" i="1"/>
  <c r="B67" i="1"/>
  <c r="B3" i="1"/>
  <c r="B959" i="1"/>
  <c r="B831" i="1"/>
  <c r="B703" i="1"/>
  <c r="B584" i="1"/>
  <c r="B490" i="1"/>
  <c r="B405" i="1"/>
  <c r="B320" i="1"/>
  <c r="B234" i="1"/>
  <c r="B154" i="1"/>
  <c r="B90" i="1"/>
  <c r="B26" i="1"/>
  <c r="A1018" i="1"/>
  <c r="A954" i="1"/>
  <c r="A890" i="1"/>
  <c r="A826" i="1"/>
  <c r="A762" i="1"/>
  <c r="A698" i="1"/>
  <c r="A634" i="1"/>
  <c r="A570" i="1"/>
  <c r="A506" i="1"/>
  <c r="A442" i="1"/>
  <c r="A378" i="1"/>
  <c r="A314" i="1"/>
  <c r="A250" i="1"/>
  <c r="A186" i="1"/>
  <c r="A122" i="1"/>
  <c r="A58" i="1"/>
  <c r="A1073" i="1"/>
  <c r="A1056" i="1"/>
  <c r="A992" i="1"/>
  <c r="A928" i="1"/>
  <c r="A864" i="1"/>
  <c r="A800" i="1"/>
  <c r="A736" i="1"/>
  <c r="A672" i="1"/>
  <c r="A608" i="1"/>
  <c r="A544" i="1"/>
  <c r="A480" i="1"/>
  <c r="A416" i="1"/>
  <c r="A352" i="1"/>
  <c r="A288" i="1"/>
  <c r="A224" i="1"/>
  <c r="A160" i="1"/>
  <c r="A96" i="1"/>
  <c r="A32" i="1"/>
  <c r="A1039" i="1"/>
  <c r="A975" i="1"/>
  <c r="A911" i="1"/>
  <c r="A847" i="1"/>
  <c r="A783" i="1"/>
  <c r="A719" i="1"/>
  <c r="A655" i="1"/>
  <c r="A591" i="1"/>
  <c r="A1022" i="1"/>
  <c r="A958" i="1"/>
  <c r="A894" i="1"/>
  <c r="A830" i="1"/>
  <c r="A766" i="1"/>
  <c r="A702" i="1"/>
  <c r="A638" i="1"/>
  <c r="A574" i="1"/>
  <c r="A510" i="1"/>
  <c r="A446" i="1"/>
  <c r="A382" i="1"/>
  <c r="A318" i="1"/>
  <c r="A254" i="1"/>
  <c r="A190" i="1"/>
  <c r="A126" i="1"/>
  <c r="A62" i="1"/>
  <c r="A1069" i="1"/>
  <c r="A1036" i="1"/>
  <c r="A972" i="1"/>
  <c r="A908" i="1"/>
  <c r="A844" i="1"/>
  <c r="A780" i="1"/>
  <c r="A716" i="1"/>
  <c r="A652" i="1"/>
  <c r="A588" i="1"/>
  <c r="A524" i="1"/>
  <c r="A460" i="1"/>
  <c r="A396" i="1"/>
  <c r="A332" i="1"/>
  <c r="A268" i="1"/>
  <c r="A204" i="1"/>
  <c r="A140" i="1"/>
  <c r="A76" i="1"/>
  <c r="A12" i="1"/>
  <c r="A917" i="1"/>
  <c r="A747" i="1"/>
  <c r="A577" i="1"/>
  <c r="A449" i="1"/>
  <c r="A321" i="1"/>
  <c r="A193" i="1"/>
  <c r="A65" i="1"/>
  <c r="A957" i="1"/>
  <c r="A787" i="1"/>
  <c r="A617" i="1"/>
  <c r="A479" i="1"/>
  <c r="A351" i="1"/>
  <c r="A223" i="1"/>
  <c r="A95" i="1"/>
  <c r="A1019" i="1"/>
  <c r="A849" i="1"/>
  <c r="A677" i="1"/>
  <c r="A509" i="1"/>
  <c r="A381" i="1"/>
  <c r="A253" i="1"/>
  <c r="A125" i="1"/>
  <c r="A1043" i="1"/>
  <c r="A867" i="1"/>
  <c r="A697" i="1"/>
  <c r="A539" i="1"/>
  <c r="A411" i="1"/>
  <c r="A283" i="1"/>
  <c r="A155" i="1"/>
  <c r="A27" i="1"/>
  <c r="A907" i="1"/>
  <c r="A737" i="1"/>
  <c r="A569" i="1"/>
  <c r="A441" i="1"/>
  <c r="A313" i="1"/>
  <c r="A185" i="1"/>
  <c r="A57" i="1"/>
  <c r="A947" i="1"/>
  <c r="A777" i="1"/>
  <c r="A605" i="1"/>
  <c r="A471" i="1"/>
  <c r="A343" i="1"/>
  <c r="A215" i="1"/>
  <c r="A87" i="1"/>
  <c r="A1009" i="1"/>
  <c r="A837" i="1"/>
  <c r="A667" i="1"/>
  <c r="A501" i="1"/>
  <c r="A373" i="1"/>
  <c r="A245" i="1"/>
  <c r="A117" i="1"/>
  <c r="A1027" i="1"/>
  <c r="A857" i="1"/>
  <c r="A685" i="1"/>
  <c r="A531" i="1"/>
  <c r="A403" i="1"/>
  <c r="A275" i="1"/>
  <c r="A147" i="1"/>
  <c r="A19" i="1"/>
  <c r="B1022" i="1"/>
  <c r="B958" i="1"/>
  <c r="B894" i="1"/>
  <c r="B830" i="1"/>
  <c r="B766" i="1"/>
  <c r="B702" i="1"/>
  <c r="B638" i="1"/>
  <c r="B574" i="1"/>
  <c r="B510" i="1"/>
  <c r="B446" i="1"/>
  <c r="B382" i="1"/>
  <c r="B318" i="1"/>
  <c r="B254" i="1"/>
  <c r="B190" i="1"/>
  <c r="B1028" i="1"/>
  <c r="B964" i="1"/>
  <c r="B900" i="1"/>
  <c r="B836" i="1"/>
  <c r="B772" i="1"/>
  <c r="B708" i="1"/>
  <c r="B644" i="1"/>
  <c r="B580" i="1"/>
  <c r="B516" i="1"/>
  <c r="B452" i="1"/>
  <c r="B388" i="1"/>
  <c r="B324" i="1"/>
  <c r="B260" i="1"/>
  <c r="B196" i="1"/>
  <c r="B1042" i="1"/>
  <c r="B978" i="1"/>
  <c r="B914" i="1"/>
  <c r="B850" i="1"/>
  <c r="B786" i="1"/>
  <c r="B722" i="1"/>
  <c r="B658" i="1"/>
  <c r="B594" i="1"/>
  <c r="B1072" i="1"/>
  <c r="B1008" i="1"/>
  <c r="B944" i="1"/>
  <c r="B880" i="1"/>
  <c r="B816" i="1"/>
  <c r="B752" i="1"/>
  <c r="B688" i="1"/>
  <c r="B624" i="1"/>
  <c r="B957" i="1"/>
  <c r="B829" i="1"/>
  <c r="B701" i="1"/>
  <c r="B583" i="1"/>
  <c r="B489" i="1"/>
  <c r="B403" i="1"/>
  <c r="B319" i="1"/>
  <c r="B233" i="1"/>
  <c r="B153" i="1"/>
  <c r="B89" i="1"/>
  <c r="B25" i="1"/>
  <c r="B987" i="1"/>
  <c r="B859" i="1"/>
  <c r="B731" i="1"/>
  <c r="B607" i="1"/>
  <c r="B509" i="1"/>
  <c r="B424" i="1"/>
  <c r="B338" i="1"/>
  <c r="B253" i="1"/>
  <c r="B168" i="1"/>
  <c r="B104" i="1"/>
  <c r="B40" i="1"/>
  <c r="B1017" i="1"/>
  <c r="B889" i="1"/>
  <c r="B761" i="1"/>
  <c r="B633" i="1"/>
  <c r="B529" i="1"/>
  <c r="B443" i="1"/>
  <c r="B359" i="1"/>
  <c r="B273" i="1"/>
  <c r="B187" i="1"/>
  <c r="B119" i="1"/>
  <c r="B55" i="1"/>
  <c r="B1047" i="1"/>
  <c r="B919" i="1"/>
  <c r="B791" i="1"/>
  <c r="B663" i="1"/>
  <c r="B552" i="1"/>
  <c r="B464" i="1"/>
  <c r="B378" i="1"/>
  <c r="B293" i="1"/>
  <c r="B208" i="1"/>
  <c r="B134" i="1"/>
  <c r="B70" i="1"/>
  <c r="B6" i="1"/>
  <c r="B949" i="1"/>
  <c r="B821" i="1"/>
  <c r="B693" i="1"/>
  <c r="B576" i="1"/>
  <c r="B483" i="1"/>
  <c r="B399" i="1"/>
  <c r="B313" i="1"/>
  <c r="B227" i="1"/>
  <c r="B149" i="1"/>
  <c r="B85" i="1"/>
  <c r="B21" i="1"/>
  <c r="B979" i="1"/>
  <c r="B851" i="1"/>
  <c r="B723" i="1"/>
  <c r="B600" i="1"/>
  <c r="B504" i="1"/>
  <c r="B418" i="1"/>
  <c r="B333" i="1"/>
  <c r="B248" i="1"/>
  <c r="B164" i="1"/>
  <c r="B100" i="1"/>
  <c r="B36" i="1"/>
  <c r="B1025" i="1"/>
  <c r="B897" i="1"/>
  <c r="B769" i="1"/>
  <c r="B641" i="1"/>
  <c r="B535" i="1"/>
  <c r="B449" i="1"/>
  <c r="B363" i="1"/>
  <c r="B279" i="1"/>
  <c r="B193" i="1"/>
  <c r="B123" i="1"/>
  <c r="B59" i="1"/>
  <c r="B1071" i="1"/>
  <c r="B943" i="1"/>
  <c r="B815" i="1"/>
  <c r="B687" i="1"/>
  <c r="B571" i="1"/>
  <c r="B480" i="1"/>
  <c r="B394" i="1"/>
  <c r="B309" i="1"/>
  <c r="B224" i="1"/>
  <c r="B146" i="1"/>
  <c r="B82" i="1"/>
  <c r="B18" i="1"/>
</calcChain>
</file>

<file path=xl/sharedStrings.xml><?xml version="1.0" encoding="utf-8"?>
<sst xmlns="http://schemas.openxmlformats.org/spreadsheetml/2006/main" count="6" uniqueCount="2">
  <si>
    <t>seller_ic</t>
  </si>
  <si>
    <t>seller_name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</si>
</sst>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scheme val="minor"/>
    </font>
    <font>
      <u/>
      <sz val="10"/>
      <color rgb="FF0000FF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1" fontId="1" fillId="0" borderId="0" xfId="0" applyNumberFormat="1" applyFon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ppolzerova/Downloads/H3.0%20zdrojov&#233;_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on mid season"/>
      <sheetName val="AdMon low season"/>
      <sheetName val="AdMon high season"/>
      <sheetName val="vse_v_jednom"/>
      <sheetName val="vse_v_jednom_II"/>
      <sheetName val="H3.0 low season"/>
      <sheetName val="H3.0 mid season"/>
      <sheetName val="H3.0 high season"/>
      <sheetName val="weby  packy sprava"/>
      <sheetName val="default web pricing setup_II"/>
      <sheetName val="default web pricing setup_2026"/>
      <sheetName val="formats setup"/>
      <sheetName val="kvizuj sprava"/>
      <sheetName val="heureka sprava"/>
      <sheetName val="idvert sprava"/>
      <sheetName val="tivio sprava"/>
      <sheetName val="pr produkty sprava"/>
      <sheetName val="active radio sprava"/>
      <sheetName val="SoMe site sprava"/>
      <sheetName val="packs&amp;webs setup"/>
      <sheetName val="Produkty_II"/>
      <sheetName val="unique_item"/>
      <sheetName val="temp"/>
      <sheetName val="zdroj_pro_modry_cenik_2026"/>
      <sheetName val="Marian cenik planovac_2026"/>
      <sheetName val="Marian cenik planovac_2026_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X2">
            <v>2346826</v>
          </cell>
        </row>
        <row r="3">
          <cell r="X3" t="str">
            <v>CZECH NEWS CENTER a. s.</v>
          </cell>
        </row>
      </sheetData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s://reklama.cncenter.cz/Online/nativni-rectangle-cross-device" TargetMode="External"/><Relationship Id="rId1827" Type="http://schemas.openxmlformats.org/officeDocument/2006/relationships/hyperlink" Target="https://motogpsport.cz/" TargetMode="External"/><Relationship Id="rId21" Type="http://schemas.openxmlformats.org/officeDocument/2006/relationships/hyperlink" Target="https://abecedazahrady.dama.cz/" TargetMode="External"/><Relationship Id="rId2089" Type="http://schemas.openxmlformats.org/officeDocument/2006/relationships/hyperlink" Target="https://recepty.cz/" TargetMode="External"/><Relationship Id="rId170" Type="http://schemas.openxmlformats.org/officeDocument/2006/relationships/hyperlink" Target="https://ahaonline.cz/" TargetMode="External"/><Relationship Id="rId2296" Type="http://schemas.openxmlformats.org/officeDocument/2006/relationships/hyperlink" Target="https://vtm.zive.cz/" TargetMode="External"/><Relationship Id="rId268" Type="http://schemas.openxmlformats.org/officeDocument/2006/relationships/hyperlink" Target="https://auto.cz/" TargetMode="External"/><Relationship Id="rId475" Type="http://schemas.openxmlformats.org/officeDocument/2006/relationships/hyperlink" Target="https://avmania.zive.cz/" TargetMode="External"/><Relationship Id="rId682" Type="http://schemas.openxmlformats.org/officeDocument/2006/relationships/hyperlink" Target="https://reklama.cncenter.cz/Online/branding" TargetMode="External"/><Relationship Id="rId2156" Type="http://schemas.openxmlformats.org/officeDocument/2006/relationships/hyperlink" Target="https://reflex.cz/" TargetMode="External"/><Relationship Id="rId2363" Type="http://schemas.openxmlformats.org/officeDocument/2006/relationships/hyperlink" Target="https://zeny.cz/" TargetMode="External"/><Relationship Id="rId128" Type="http://schemas.openxmlformats.org/officeDocument/2006/relationships/hyperlink" Target="https://abicko.cz/" TargetMode="External"/><Relationship Id="rId335" Type="http://schemas.openxmlformats.org/officeDocument/2006/relationships/hyperlink" Target="https://autorevue.cz/" TargetMode="External"/><Relationship Id="rId542" Type="http://schemas.openxmlformats.org/officeDocument/2006/relationships/hyperlink" Target="https://blesk.cz/" TargetMode="External"/><Relationship Id="rId987" Type="http://schemas.openxmlformats.org/officeDocument/2006/relationships/hyperlink" Target="https://dama.cz/" TargetMode="External"/><Relationship Id="rId1172" Type="http://schemas.openxmlformats.org/officeDocument/2006/relationships/hyperlink" Target="http://www.facebook.com/" TargetMode="External"/><Relationship Id="rId2016" Type="http://schemas.openxmlformats.org/officeDocument/2006/relationships/hyperlink" Target="https://reklama.cncenter.cz/Online/branding" TargetMode="External"/><Relationship Id="rId2223" Type="http://schemas.openxmlformats.org/officeDocument/2006/relationships/hyperlink" Target="https://reflex.cz/" TargetMode="External"/><Relationship Id="rId2430" Type="http://schemas.openxmlformats.org/officeDocument/2006/relationships/hyperlink" Target="https://reklama.cncenter.cz/Online/mobilni-slide-up" TargetMode="External"/><Relationship Id="rId402" Type="http://schemas.openxmlformats.org/officeDocument/2006/relationships/hyperlink" Target="https://autorevue.cz/" TargetMode="External"/><Relationship Id="rId847" Type="http://schemas.openxmlformats.org/officeDocument/2006/relationships/hyperlink" Target="https://reklama.cncenter.cz/Online/billboard-bottom" TargetMode="External"/><Relationship Id="rId1032" Type="http://schemas.openxmlformats.org/officeDocument/2006/relationships/hyperlink" Target="https://evropa2.cz/" TargetMode="External"/><Relationship Id="rId1477" Type="http://schemas.openxmlformats.org/officeDocument/2006/relationships/hyperlink" Target="https://reklama.cncenter.cz/Online/Outstream" TargetMode="External"/><Relationship Id="rId1684" Type="http://schemas.openxmlformats.org/officeDocument/2006/relationships/hyperlink" Target="https://reklama.cncenter.cz/Online/branding" TargetMode="External"/><Relationship Id="rId1891" Type="http://schemas.openxmlformats.org/officeDocument/2006/relationships/hyperlink" Target="https://motogpsport.cz/" TargetMode="External"/><Relationship Id="rId707" Type="http://schemas.openxmlformats.org/officeDocument/2006/relationships/hyperlink" Target="https://reklama.cncenter.cz/Online/branding" TargetMode="External"/><Relationship Id="rId914" Type="http://schemas.openxmlformats.org/officeDocument/2006/relationships/hyperlink" Target="https://dama.cz/" TargetMode="External"/><Relationship Id="rId1337" Type="http://schemas.openxmlformats.org/officeDocument/2006/relationships/hyperlink" Target="https://frekvence1.cz/" TargetMode="External"/><Relationship Id="rId1544" Type="http://schemas.openxmlformats.org/officeDocument/2006/relationships/hyperlink" Target="https://reklama.cncenter.cz/Online/nativni-rectangle-cross-device" TargetMode="External"/><Relationship Id="rId1751" Type="http://schemas.openxmlformats.org/officeDocument/2006/relationships/hyperlink" Target="https://mojezdravi.cz/" TargetMode="External"/><Relationship Id="rId1989" Type="http://schemas.openxmlformats.org/officeDocument/2006/relationships/hyperlink" Target="https://www.poggers.cz/" TargetMode="External"/><Relationship Id="rId43" Type="http://schemas.openxmlformats.org/officeDocument/2006/relationships/hyperlink" Target="https://reklama.cncenter.cz/Online/double-skyscraper" TargetMode="External"/><Relationship Id="rId1404" Type="http://schemas.openxmlformats.org/officeDocument/2006/relationships/hyperlink" Target="http://www.instagram.com/" TargetMode="External"/><Relationship Id="rId1611" Type="http://schemas.openxmlformats.org/officeDocument/2006/relationships/hyperlink" Target="https://reklama.cncenter.cz/Online/Videospot" TargetMode="External"/><Relationship Id="rId1849" Type="http://schemas.openxmlformats.org/officeDocument/2006/relationships/hyperlink" Target="https://reklama.cncenter.cz/Online/double-skyscraper" TargetMode="External"/><Relationship Id="rId192" Type="http://schemas.openxmlformats.org/officeDocument/2006/relationships/hyperlink" Target="https://reklama.cncenter.cz/Online/nativni-PR-premium" TargetMode="External"/><Relationship Id="rId1709" Type="http://schemas.openxmlformats.org/officeDocument/2006/relationships/hyperlink" Target="https://mobilmania.cz/" TargetMode="External"/><Relationship Id="rId1916" Type="http://schemas.openxmlformats.org/officeDocument/2006/relationships/hyperlink" Target="https://nemovitosti.blesk.cz/" TargetMode="External"/><Relationship Id="rId497" Type="http://schemas.openxmlformats.org/officeDocument/2006/relationships/hyperlink" Target="https://reklama.cncenter.cz/Online/billboard-bottom" TargetMode="External"/><Relationship Id="rId2080" Type="http://schemas.openxmlformats.org/officeDocument/2006/relationships/hyperlink" Target="https://recepty.cz/" TargetMode="External"/><Relationship Id="rId2178" Type="http://schemas.openxmlformats.org/officeDocument/2006/relationships/hyperlink" Target="https://reklama.cncenter.cz/Online/mobilni-slide-up" TargetMode="External"/><Relationship Id="rId2385" Type="http://schemas.openxmlformats.org/officeDocument/2006/relationships/hyperlink" Target="https://zeny.cz/" TargetMode="External"/><Relationship Id="rId357" Type="http://schemas.openxmlformats.org/officeDocument/2006/relationships/hyperlink" Target="https://reklama.cncenter.cz/Online/mobilni-vineta" TargetMode="External"/><Relationship Id="rId1194" Type="http://schemas.openxmlformats.org/officeDocument/2006/relationships/hyperlink" Target="http://www.facebook.com/" TargetMode="External"/><Relationship Id="rId2038" Type="http://schemas.openxmlformats.org/officeDocument/2006/relationships/hyperlink" Target="https://www.realitnitrh.cz/" TargetMode="External"/><Relationship Id="rId217" Type="http://schemas.openxmlformats.org/officeDocument/2006/relationships/hyperlink" Target="https://ahaonline.cz/" TargetMode="External"/><Relationship Id="rId564" Type="http://schemas.openxmlformats.org/officeDocument/2006/relationships/hyperlink" Target="https://reklama.cncenter.cz/Online/branding" TargetMode="External"/><Relationship Id="rId771" Type="http://schemas.openxmlformats.org/officeDocument/2006/relationships/hyperlink" Target="https://reklama.cncenter.cz/Online/Outstream" TargetMode="External"/><Relationship Id="rId869" Type="http://schemas.openxmlformats.org/officeDocument/2006/relationships/hyperlink" Target="https://doupe.zive.cz/" TargetMode="External"/><Relationship Id="rId1499" Type="http://schemas.openxmlformats.org/officeDocument/2006/relationships/hyperlink" Target="https://lideazeme.cz/" TargetMode="External"/><Relationship Id="rId2245" Type="http://schemas.openxmlformats.org/officeDocument/2006/relationships/hyperlink" Target="https://sportrevue.cz/" TargetMode="External"/><Relationship Id="rId2452" Type="http://schemas.openxmlformats.org/officeDocument/2006/relationships/hyperlink" Target="https://zive.cz/" TargetMode="External"/><Relationship Id="rId424" Type="http://schemas.openxmlformats.org/officeDocument/2006/relationships/hyperlink" Target="https://avmania.zive.cz/" TargetMode="External"/><Relationship Id="rId631" Type="http://schemas.openxmlformats.org/officeDocument/2006/relationships/hyperlink" Target="https://reklama.cncenter.cz/Online/Bumper" TargetMode="External"/><Relationship Id="rId729" Type="http://schemas.openxmlformats.org/officeDocument/2006/relationships/hyperlink" Target="https://reklama.cncenter.cz/Online/billboard-bottom" TargetMode="External"/><Relationship Id="rId1054" Type="http://schemas.openxmlformats.org/officeDocument/2006/relationships/hyperlink" Target="https://reklama.cncenter.cz/Online/Bumper" TargetMode="External"/><Relationship Id="rId1261" Type="http://schemas.openxmlformats.org/officeDocument/2006/relationships/hyperlink" Target="https://reklama.cncenter.cz/Online/mobilni-slide-up" TargetMode="External"/><Relationship Id="rId1359" Type="http://schemas.openxmlformats.org/officeDocument/2006/relationships/hyperlink" Target="https://hledejceny.cz/" TargetMode="External"/><Relationship Id="rId2105" Type="http://schemas.openxmlformats.org/officeDocument/2006/relationships/hyperlink" Target="https://recepty.cz/" TargetMode="External"/><Relationship Id="rId2312" Type="http://schemas.openxmlformats.org/officeDocument/2006/relationships/hyperlink" Target="https://youradio.cz/" TargetMode="External"/><Relationship Id="rId936" Type="http://schemas.openxmlformats.org/officeDocument/2006/relationships/hyperlink" Target="https://dama.cz/" TargetMode="External"/><Relationship Id="rId1121" Type="http://schemas.openxmlformats.org/officeDocument/2006/relationships/hyperlink" Target="https://reklama.cncenter.cz/Online/mobilni-interscroller" TargetMode="External"/><Relationship Id="rId1219" Type="http://schemas.openxmlformats.org/officeDocument/2006/relationships/hyperlink" Target="https://www.facebook.com/business/ads-guide/image/facebook-feed" TargetMode="External"/><Relationship Id="rId1566" Type="http://schemas.openxmlformats.org/officeDocument/2006/relationships/hyperlink" Target="https://maminka.cz/" TargetMode="External"/><Relationship Id="rId1773" Type="http://schemas.openxmlformats.org/officeDocument/2006/relationships/hyperlink" Target="https://mojezdravi.cz/" TargetMode="External"/><Relationship Id="rId1980" Type="http://schemas.openxmlformats.org/officeDocument/2006/relationships/hyperlink" Target="https://nemovitosti.blesk.cz/" TargetMode="External"/><Relationship Id="rId65" Type="http://schemas.openxmlformats.org/officeDocument/2006/relationships/hyperlink" Target="https://abecedazahrady.dama.cz/" TargetMode="External"/><Relationship Id="rId1426" Type="http://schemas.openxmlformats.org/officeDocument/2006/relationships/hyperlink" Target="http://www.instagram.com/" TargetMode="External"/><Relationship Id="rId1633" Type="http://schemas.openxmlformats.org/officeDocument/2006/relationships/hyperlink" Target="https://maminka.cz/" TargetMode="External"/><Relationship Id="rId1840" Type="http://schemas.openxmlformats.org/officeDocument/2006/relationships/hyperlink" Target="https://reklama.cncenter.cz/Online/billboard-bottom" TargetMode="External"/><Relationship Id="rId1700" Type="http://schemas.openxmlformats.org/officeDocument/2006/relationships/hyperlink" Target="https://mobilmania.cz/" TargetMode="External"/><Relationship Id="rId1938" Type="http://schemas.openxmlformats.org/officeDocument/2006/relationships/hyperlink" Target="https://reklama.cncenter.cz/Online/nativni-rectangle-cross-device" TargetMode="External"/><Relationship Id="rId281" Type="http://schemas.openxmlformats.org/officeDocument/2006/relationships/hyperlink" Target="https://auto.cz/" TargetMode="External"/><Relationship Id="rId141" Type="http://schemas.openxmlformats.org/officeDocument/2006/relationships/hyperlink" Target="https://reklama.cncenter.cz/?ads=PR%2520%25C4%258Dl%25C3%25A1nky" TargetMode="External"/><Relationship Id="rId379" Type="http://schemas.openxmlformats.org/officeDocument/2006/relationships/hyperlink" Target="https://autorevue.cz/" TargetMode="External"/><Relationship Id="rId586" Type="http://schemas.openxmlformats.org/officeDocument/2006/relationships/hyperlink" Target="https://bleskprozeny.cz/" TargetMode="External"/><Relationship Id="rId793" Type="http://schemas.openxmlformats.org/officeDocument/2006/relationships/hyperlink" Target="https://reklama.cncenter.cz/Online/branding" TargetMode="External"/><Relationship Id="rId2267" Type="http://schemas.openxmlformats.org/officeDocument/2006/relationships/hyperlink" Target="https://vtm.zive.cz/" TargetMode="External"/><Relationship Id="rId2474" Type="http://schemas.openxmlformats.org/officeDocument/2006/relationships/hyperlink" Target="https://zive.cz/" TargetMode="External"/><Relationship Id="rId7" Type="http://schemas.openxmlformats.org/officeDocument/2006/relationships/hyperlink" Target="https://abecedazahrady.dama.cz/" TargetMode="External"/><Relationship Id="rId239" Type="http://schemas.openxmlformats.org/officeDocument/2006/relationships/hyperlink" Target="https://auto.cz/" TargetMode="External"/><Relationship Id="rId446" Type="http://schemas.openxmlformats.org/officeDocument/2006/relationships/hyperlink" Target="https://avmania.zive.cz/" TargetMode="External"/><Relationship Id="rId653" Type="http://schemas.openxmlformats.org/officeDocument/2006/relationships/hyperlink" Target="https://reklama.cncenter.cz/Online/Outstream" TargetMode="External"/><Relationship Id="rId1076" Type="http://schemas.openxmlformats.org/officeDocument/2006/relationships/hyperlink" Target="https://f1sport.auto.cz/" TargetMode="External"/><Relationship Id="rId1283" Type="http://schemas.openxmlformats.org/officeDocument/2006/relationships/hyperlink" Target="https://fitweb.cz/" TargetMode="External"/><Relationship Id="rId1490" Type="http://schemas.openxmlformats.org/officeDocument/2006/relationships/hyperlink" Target="https://lideazeme.cz/" TargetMode="External"/><Relationship Id="rId2127" Type="http://schemas.openxmlformats.org/officeDocument/2006/relationships/hyperlink" Target="https://recepty.cz/" TargetMode="External"/><Relationship Id="rId2334" Type="http://schemas.openxmlformats.org/officeDocument/2006/relationships/hyperlink" Target="https://reklama.cncenter.cz/Online/branding" TargetMode="External"/><Relationship Id="rId306" Type="http://schemas.openxmlformats.org/officeDocument/2006/relationships/hyperlink" Target="https://auto.cz/" TargetMode="External"/><Relationship Id="rId860" Type="http://schemas.openxmlformats.org/officeDocument/2006/relationships/hyperlink" Target="https://doupe.zive.cz/" TargetMode="External"/><Relationship Id="rId958" Type="http://schemas.openxmlformats.org/officeDocument/2006/relationships/hyperlink" Target="https://reklama.cncenter.cz/Online/Bumper" TargetMode="External"/><Relationship Id="rId1143" Type="http://schemas.openxmlformats.org/officeDocument/2006/relationships/hyperlink" Target="https://f1sport.auto.cz/" TargetMode="External"/><Relationship Id="rId1588" Type="http://schemas.openxmlformats.org/officeDocument/2006/relationships/hyperlink" Target="https://reklama.cncenter.cz/Online/mobilni-slide-up" TargetMode="External"/><Relationship Id="rId1795" Type="http://schemas.openxmlformats.org/officeDocument/2006/relationships/hyperlink" Target="https://mojezdravi.cz/" TargetMode="External"/><Relationship Id="rId87" Type="http://schemas.openxmlformats.org/officeDocument/2006/relationships/hyperlink" Target="https://abicko.cz/" TargetMode="External"/><Relationship Id="rId513" Type="http://schemas.openxmlformats.org/officeDocument/2006/relationships/hyperlink" Target="https://reklama.cncenter.cz/Online/Videospot" TargetMode="External"/><Relationship Id="rId720" Type="http://schemas.openxmlformats.org/officeDocument/2006/relationships/hyperlink" Target="https://reklama.cncenter.cz/Online/mobilni-slide-up" TargetMode="External"/><Relationship Id="rId818" Type="http://schemas.openxmlformats.org/officeDocument/2006/relationships/hyperlink" Target="https://digiarena.zive.cz/" TargetMode="External"/><Relationship Id="rId1350" Type="http://schemas.openxmlformats.org/officeDocument/2006/relationships/hyperlink" Target="https://frekvence1.cz/" TargetMode="External"/><Relationship Id="rId1448" Type="http://schemas.openxmlformats.org/officeDocument/2006/relationships/hyperlink" Target="http://www.instagram.com/" TargetMode="External"/><Relationship Id="rId1655" Type="http://schemas.openxmlformats.org/officeDocument/2006/relationships/hyperlink" Target="https://reklama.cncenter.cz/Online/Outstream" TargetMode="External"/><Relationship Id="rId2401" Type="http://schemas.openxmlformats.org/officeDocument/2006/relationships/hyperlink" Target="https://reklama.cncenter.cz/Online/Bumper" TargetMode="External"/><Relationship Id="rId1003" Type="http://schemas.openxmlformats.org/officeDocument/2006/relationships/hyperlink" Target="https://reklama.cncenter.cz/Online/branding-cross-device" TargetMode="External"/><Relationship Id="rId1210" Type="http://schemas.openxmlformats.org/officeDocument/2006/relationships/hyperlink" Target="https://www.facebook.com/business/ads-guide/image/facebook-feed" TargetMode="External"/><Relationship Id="rId1308" Type="http://schemas.openxmlformats.org/officeDocument/2006/relationships/hyperlink" Target="https://frekvence1.cz/" TargetMode="External"/><Relationship Id="rId1862" Type="http://schemas.openxmlformats.org/officeDocument/2006/relationships/hyperlink" Target="https://motogpsport.cz/" TargetMode="External"/><Relationship Id="rId1515" Type="http://schemas.openxmlformats.org/officeDocument/2006/relationships/hyperlink" Target="https://lideazeme.cz/" TargetMode="External"/><Relationship Id="rId1722" Type="http://schemas.openxmlformats.org/officeDocument/2006/relationships/hyperlink" Target="https://reklama.cncenter.cz/Online/mobilni-vineta" TargetMode="External"/><Relationship Id="rId14" Type="http://schemas.openxmlformats.org/officeDocument/2006/relationships/hyperlink" Target="https://reklama.cncenter.cz/Online/billboard-bottom" TargetMode="External"/><Relationship Id="rId2191" Type="http://schemas.openxmlformats.org/officeDocument/2006/relationships/hyperlink" Target="https://reflex.cz/" TargetMode="External"/><Relationship Id="rId163" Type="http://schemas.openxmlformats.org/officeDocument/2006/relationships/hyperlink" Target="https://ahaonline.cz/" TargetMode="External"/><Relationship Id="rId370" Type="http://schemas.openxmlformats.org/officeDocument/2006/relationships/hyperlink" Target="https://autorevue.cz/" TargetMode="External"/><Relationship Id="rId2051" Type="http://schemas.openxmlformats.org/officeDocument/2006/relationships/hyperlink" Target="https://www.realitnitrh.cz/" TargetMode="External"/><Relationship Id="rId2289" Type="http://schemas.openxmlformats.org/officeDocument/2006/relationships/hyperlink" Target="https://reklama.cncenter.cz/Online/double-skyscraper" TargetMode="External"/><Relationship Id="rId230" Type="http://schemas.openxmlformats.org/officeDocument/2006/relationships/hyperlink" Target="https://ahaonline.cz/" TargetMode="External"/><Relationship Id="rId468" Type="http://schemas.openxmlformats.org/officeDocument/2006/relationships/hyperlink" Target="https://avmania.zive.cz/" TargetMode="External"/><Relationship Id="rId675" Type="http://schemas.openxmlformats.org/officeDocument/2006/relationships/hyperlink" Target="https://reklama.cncenter.cz/Online/mobilni-vineta" TargetMode="External"/><Relationship Id="rId882" Type="http://schemas.openxmlformats.org/officeDocument/2006/relationships/hyperlink" Target="https://doupe.zive.cz/" TargetMode="External"/><Relationship Id="rId1098" Type="http://schemas.openxmlformats.org/officeDocument/2006/relationships/hyperlink" Target="https://reklama.cncenter.cz/Online/double-skyscraper" TargetMode="External"/><Relationship Id="rId2149" Type="http://schemas.openxmlformats.org/officeDocument/2006/relationships/hyperlink" Target="https://reflex.cz/" TargetMode="External"/><Relationship Id="rId2356" Type="http://schemas.openxmlformats.org/officeDocument/2006/relationships/hyperlink" Target="https://zeny.cz/" TargetMode="External"/><Relationship Id="rId328" Type="http://schemas.openxmlformats.org/officeDocument/2006/relationships/hyperlink" Target="https://autorevue.cz/" TargetMode="External"/><Relationship Id="rId535" Type="http://schemas.openxmlformats.org/officeDocument/2006/relationships/hyperlink" Target="https://reklama.cncenter.cz/Online/mobilni-interscroller" TargetMode="External"/><Relationship Id="rId742" Type="http://schemas.openxmlformats.org/officeDocument/2006/relationships/hyperlink" Target="https://reklama.cncenter.cz/Online/Videospot" TargetMode="External"/><Relationship Id="rId1165" Type="http://schemas.openxmlformats.org/officeDocument/2006/relationships/hyperlink" Target="https://www.facebook.com/business/ads-guide/image/facebook-feed" TargetMode="External"/><Relationship Id="rId1372" Type="http://schemas.openxmlformats.org/officeDocument/2006/relationships/hyperlink" Target="https://reklama.cncenter.cz/Online/branding" TargetMode="External"/><Relationship Id="rId2009" Type="http://schemas.openxmlformats.org/officeDocument/2006/relationships/hyperlink" Target="https://www.realitnitrh.cz/" TargetMode="External"/><Relationship Id="rId2216" Type="http://schemas.openxmlformats.org/officeDocument/2006/relationships/hyperlink" Target="https://reflex.cz/" TargetMode="External"/><Relationship Id="rId2423" Type="http://schemas.openxmlformats.org/officeDocument/2006/relationships/hyperlink" Target="https://zive.cz/" TargetMode="External"/><Relationship Id="rId602" Type="http://schemas.openxmlformats.org/officeDocument/2006/relationships/hyperlink" Target="https://reklama.cncenter.cz/Online/mobilni-interscroller" TargetMode="External"/><Relationship Id="rId1025" Type="http://schemas.openxmlformats.org/officeDocument/2006/relationships/hyperlink" Target="https://evropa2.cz/" TargetMode="External"/><Relationship Id="rId1232" Type="http://schemas.openxmlformats.org/officeDocument/2006/relationships/hyperlink" Target="https://finexpert.cz/" TargetMode="External"/><Relationship Id="rId1677" Type="http://schemas.openxmlformats.org/officeDocument/2006/relationships/hyperlink" Target="https://mobilmania.cz/" TargetMode="External"/><Relationship Id="rId1884" Type="http://schemas.openxmlformats.org/officeDocument/2006/relationships/hyperlink" Target="https://motogpsport.cz/" TargetMode="External"/><Relationship Id="rId907" Type="http://schemas.openxmlformats.org/officeDocument/2006/relationships/hyperlink" Target="https://doupe.zive.cz/" TargetMode="External"/><Relationship Id="rId1537" Type="http://schemas.openxmlformats.org/officeDocument/2006/relationships/hyperlink" Target="https://lideazeme.cz/" TargetMode="External"/><Relationship Id="rId1744" Type="http://schemas.openxmlformats.org/officeDocument/2006/relationships/hyperlink" Target="https://mobilmania.cz/" TargetMode="External"/><Relationship Id="rId1951" Type="http://schemas.openxmlformats.org/officeDocument/2006/relationships/hyperlink" Target="https://nemovitosti.blesk.cz/" TargetMode="External"/><Relationship Id="rId36" Type="http://schemas.openxmlformats.org/officeDocument/2006/relationships/hyperlink" Target="https://abecedazahrady.dama.cz/" TargetMode="External"/><Relationship Id="rId1604" Type="http://schemas.openxmlformats.org/officeDocument/2006/relationships/hyperlink" Target="https://maminka.cz/" TargetMode="External"/><Relationship Id="rId185" Type="http://schemas.openxmlformats.org/officeDocument/2006/relationships/hyperlink" Target="https://ahaonline.cz/" TargetMode="External"/><Relationship Id="rId1811" Type="http://schemas.openxmlformats.org/officeDocument/2006/relationships/hyperlink" Target="https://reklama.cncenter.cz/Online/nativni-rectangle-cross-device" TargetMode="External"/><Relationship Id="rId1909" Type="http://schemas.openxmlformats.org/officeDocument/2006/relationships/hyperlink" Target="https://nemovitosti.blesk.cz/" TargetMode="External"/><Relationship Id="rId392" Type="http://schemas.openxmlformats.org/officeDocument/2006/relationships/hyperlink" Target="https://autorevue.cz/" TargetMode="External"/><Relationship Id="rId697" Type="http://schemas.openxmlformats.org/officeDocument/2006/relationships/hyperlink" Target="https://reklama.cncenter.cz/Online/mobilni-vineta" TargetMode="External"/><Relationship Id="rId2073" Type="http://schemas.openxmlformats.org/officeDocument/2006/relationships/hyperlink" Target="https://reklama.cncenter.cz/Online/billboard-bottom" TargetMode="External"/><Relationship Id="rId2280" Type="http://schemas.openxmlformats.org/officeDocument/2006/relationships/hyperlink" Target="https://reklama.cncenter.cz/Online/mobilni-vineta" TargetMode="External"/><Relationship Id="rId2378" Type="http://schemas.openxmlformats.org/officeDocument/2006/relationships/hyperlink" Target="https://reklama.cncenter.cz/Online/mobilni-vineta" TargetMode="External"/><Relationship Id="rId252" Type="http://schemas.openxmlformats.org/officeDocument/2006/relationships/hyperlink" Target="https://reklama.cncenter.cz/Online/billboard-bottom" TargetMode="External"/><Relationship Id="rId1187" Type="http://schemas.openxmlformats.org/officeDocument/2006/relationships/hyperlink" Target="http://www.facebook.com/" TargetMode="External"/><Relationship Id="rId2140" Type="http://schemas.openxmlformats.org/officeDocument/2006/relationships/hyperlink" Target="https://recepty.cz/" TargetMode="External"/><Relationship Id="rId112" Type="http://schemas.openxmlformats.org/officeDocument/2006/relationships/hyperlink" Target="https://abicko.cz/" TargetMode="External"/><Relationship Id="rId557" Type="http://schemas.openxmlformats.org/officeDocument/2006/relationships/hyperlink" Target="https://bleskprozeny.cz/" TargetMode="External"/><Relationship Id="rId764" Type="http://schemas.openxmlformats.org/officeDocument/2006/relationships/hyperlink" Target="https://reklama.cncenter.cz/Online/Bumper" TargetMode="External"/><Relationship Id="rId971" Type="http://schemas.openxmlformats.org/officeDocument/2006/relationships/hyperlink" Target="https://dama.cz/" TargetMode="External"/><Relationship Id="rId1394" Type="http://schemas.openxmlformats.org/officeDocument/2006/relationships/hyperlink" Target="http://www.instagram.com/" TargetMode="External"/><Relationship Id="rId1699" Type="http://schemas.openxmlformats.org/officeDocument/2006/relationships/hyperlink" Target="https://reklama.cncenter.cz/Online/nativni-PR-premium" TargetMode="External"/><Relationship Id="rId2000" Type="http://schemas.openxmlformats.org/officeDocument/2006/relationships/hyperlink" Target="https://www.realitnitrh.cz/" TargetMode="External"/><Relationship Id="rId2238" Type="http://schemas.openxmlformats.org/officeDocument/2006/relationships/hyperlink" Target="https://sportrevue.cz/" TargetMode="External"/><Relationship Id="rId2445" Type="http://schemas.openxmlformats.org/officeDocument/2006/relationships/hyperlink" Target="https://reklama.cncenter.cz/Online/Bumper" TargetMode="External"/><Relationship Id="rId417" Type="http://schemas.openxmlformats.org/officeDocument/2006/relationships/hyperlink" Target="https://reklama.cncenter.cz/Online/branding" TargetMode="External"/><Relationship Id="rId624" Type="http://schemas.openxmlformats.org/officeDocument/2006/relationships/hyperlink" Target="https://bleskprozeny.cz/" TargetMode="External"/><Relationship Id="rId831" Type="http://schemas.openxmlformats.org/officeDocument/2006/relationships/hyperlink" Target="https://digiarena.zive.cz/" TargetMode="External"/><Relationship Id="rId1047" Type="http://schemas.openxmlformats.org/officeDocument/2006/relationships/hyperlink" Target="https://evropa2.cz/" TargetMode="External"/><Relationship Id="rId1254" Type="http://schemas.openxmlformats.org/officeDocument/2006/relationships/hyperlink" Target="https://fitweb.cz/" TargetMode="External"/><Relationship Id="rId1461" Type="http://schemas.openxmlformats.org/officeDocument/2006/relationships/hyperlink" Target="http://www.instagram.com/" TargetMode="External"/><Relationship Id="rId2305" Type="http://schemas.openxmlformats.org/officeDocument/2006/relationships/hyperlink" Target="https://x.com/" TargetMode="External"/><Relationship Id="rId929" Type="http://schemas.openxmlformats.org/officeDocument/2006/relationships/hyperlink" Target="https://dama.cz/" TargetMode="External"/><Relationship Id="rId1114" Type="http://schemas.openxmlformats.org/officeDocument/2006/relationships/hyperlink" Target="https://f1sport.auto.cz/" TargetMode="External"/><Relationship Id="rId1321" Type="http://schemas.openxmlformats.org/officeDocument/2006/relationships/hyperlink" Target="https://reklama.cncenter.cz/Online/mobilni-interscroller" TargetMode="External"/><Relationship Id="rId1559" Type="http://schemas.openxmlformats.org/officeDocument/2006/relationships/hyperlink" Target="https://maminka.cz/" TargetMode="External"/><Relationship Id="rId1766" Type="http://schemas.openxmlformats.org/officeDocument/2006/relationships/hyperlink" Target="https://mojezdravi.cz/" TargetMode="External"/><Relationship Id="rId1973" Type="http://schemas.openxmlformats.org/officeDocument/2006/relationships/hyperlink" Target="https://nemovitosti.blesk.cz/" TargetMode="External"/><Relationship Id="rId58" Type="http://schemas.openxmlformats.org/officeDocument/2006/relationships/hyperlink" Target="https://abecedazahrady.dama.cz/" TargetMode="External"/><Relationship Id="rId1419" Type="http://schemas.openxmlformats.org/officeDocument/2006/relationships/hyperlink" Target="http://www.instagram.com/" TargetMode="External"/><Relationship Id="rId1626" Type="http://schemas.openxmlformats.org/officeDocument/2006/relationships/hyperlink" Target="https://maminka.cz/" TargetMode="External"/><Relationship Id="rId1833" Type="http://schemas.openxmlformats.org/officeDocument/2006/relationships/hyperlink" Target="https://motogpsport.cz/" TargetMode="External"/><Relationship Id="rId1900" Type="http://schemas.openxmlformats.org/officeDocument/2006/relationships/hyperlink" Target="https://nemovitosti.blesk.cz/" TargetMode="External"/><Relationship Id="rId2095" Type="http://schemas.openxmlformats.org/officeDocument/2006/relationships/hyperlink" Target="https://recepty.cz/" TargetMode="External"/><Relationship Id="rId274" Type="http://schemas.openxmlformats.org/officeDocument/2006/relationships/hyperlink" Target="https://auto.cz/" TargetMode="External"/><Relationship Id="rId481" Type="http://schemas.openxmlformats.org/officeDocument/2006/relationships/hyperlink" Target="https://blesk.cz/" TargetMode="External"/><Relationship Id="rId2162" Type="http://schemas.openxmlformats.org/officeDocument/2006/relationships/hyperlink" Target="https://reflex.cz/" TargetMode="External"/><Relationship Id="rId134" Type="http://schemas.openxmlformats.org/officeDocument/2006/relationships/hyperlink" Target="https://abicko.cz/" TargetMode="External"/><Relationship Id="rId579" Type="http://schemas.openxmlformats.org/officeDocument/2006/relationships/hyperlink" Target="https://reklama.cncenter.cz/Online/mobilni-vineta" TargetMode="External"/><Relationship Id="rId786" Type="http://schemas.openxmlformats.org/officeDocument/2006/relationships/hyperlink" Target="https://digiarena.zive.cz/" TargetMode="External"/><Relationship Id="rId993" Type="http://schemas.openxmlformats.org/officeDocument/2006/relationships/hyperlink" Target="https://dama.cz/" TargetMode="External"/><Relationship Id="rId2467" Type="http://schemas.openxmlformats.org/officeDocument/2006/relationships/hyperlink" Target="https://reklama.cncenter.cz/Online/nativni-rectangle-cross-device" TargetMode="External"/><Relationship Id="rId341" Type="http://schemas.openxmlformats.org/officeDocument/2006/relationships/hyperlink" Target="https://autorevue.cz/" TargetMode="External"/><Relationship Id="rId439" Type="http://schemas.openxmlformats.org/officeDocument/2006/relationships/hyperlink" Target="https://avmania.zive.cz/" TargetMode="External"/><Relationship Id="rId646" Type="http://schemas.openxmlformats.org/officeDocument/2006/relationships/hyperlink" Target="https://reklama.cncenter.cz/Online/Bumper" TargetMode="External"/><Relationship Id="rId1069" Type="http://schemas.openxmlformats.org/officeDocument/2006/relationships/hyperlink" Target="https://reklama.cncenter.cz/Online/mobilni-vineta" TargetMode="External"/><Relationship Id="rId1276" Type="http://schemas.openxmlformats.org/officeDocument/2006/relationships/hyperlink" Target="https://reklama.cncenter.cz/Online/mobilni-interscroller" TargetMode="External"/><Relationship Id="rId1483" Type="http://schemas.openxmlformats.org/officeDocument/2006/relationships/hyperlink" Target="https://reklama.cncenter.cz/Online/mobilni-vineta" TargetMode="External"/><Relationship Id="rId2022" Type="http://schemas.openxmlformats.org/officeDocument/2006/relationships/hyperlink" Target="https://reklama.cncenter.cz/Online/mobilni-interscroller" TargetMode="External"/><Relationship Id="rId2327" Type="http://schemas.openxmlformats.org/officeDocument/2006/relationships/hyperlink" Target="https://zeny.cz/" TargetMode="External"/><Relationship Id="rId201" Type="http://schemas.openxmlformats.org/officeDocument/2006/relationships/hyperlink" Target="https://reklama.cncenter.cz/Online/Bumper" TargetMode="External"/><Relationship Id="rId506" Type="http://schemas.openxmlformats.org/officeDocument/2006/relationships/hyperlink" Target="https://reklama.cncenter.cz/Online/mobilni-slide-up" TargetMode="External"/><Relationship Id="rId853" Type="http://schemas.openxmlformats.org/officeDocument/2006/relationships/hyperlink" Target="https://reklama.cncenter.cz/Online/branding" TargetMode="External"/><Relationship Id="rId1136" Type="http://schemas.openxmlformats.org/officeDocument/2006/relationships/hyperlink" Target="https://f1sport.auto.cz/" TargetMode="External"/><Relationship Id="rId1690" Type="http://schemas.openxmlformats.org/officeDocument/2006/relationships/hyperlink" Target="https://reklama.cncenter.cz/Online/mobilni-interscroller" TargetMode="External"/><Relationship Id="rId1788" Type="http://schemas.openxmlformats.org/officeDocument/2006/relationships/hyperlink" Target="https://mojezdravi.cz/" TargetMode="External"/><Relationship Id="rId1995" Type="http://schemas.openxmlformats.org/officeDocument/2006/relationships/hyperlink" Target="https://www.poggers.cz/" TargetMode="External"/><Relationship Id="rId713" Type="http://schemas.openxmlformats.org/officeDocument/2006/relationships/hyperlink" Target="https://reklama.cncenter.cz/Online/nativni-rectangle-cross-device" TargetMode="External"/><Relationship Id="rId920" Type="http://schemas.openxmlformats.org/officeDocument/2006/relationships/hyperlink" Target="https://dama.cz/" TargetMode="External"/><Relationship Id="rId1343" Type="http://schemas.openxmlformats.org/officeDocument/2006/relationships/hyperlink" Target="https://frekvence1.cz/" TargetMode="External"/><Relationship Id="rId1550" Type="http://schemas.openxmlformats.org/officeDocument/2006/relationships/hyperlink" Target="https://reklama.cncenter.cz/?ads=PR%2520%25C4%258Dl%25C3%25A1nky" TargetMode="External"/><Relationship Id="rId1648" Type="http://schemas.openxmlformats.org/officeDocument/2006/relationships/hyperlink" Target="https://reklama.cncenter.cz/Online/branding-cross-device" TargetMode="External"/><Relationship Id="rId1203" Type="http://schemas.openxmlformats.org/officeDocument/2006/relationships/hyperlink" Target="http://www.facebook.com/" TargetMode="External"/><Relationship Id="rId1410" Type="http://schemas.openxmlformats.org/officeDocument/2006/relationships/hyperlink" Target="http://www.instagram.com/" TargetMode="External"/><Relationship Id="rId1508" Type="http://schemas.openxmlformats.org/officeDocument/2006/relationships/hyperlink" Target="https://lideazeme.cz/" TargetMode="External"/><Relationship Id="rId1855" Type="http://schemas.openxmlformats.org/officeDocument/2006/relationships/hyperlink" Target="https://reklama.cncenter.cz/Online/mobilni-slide-up" TargetMode="External"/><Relationship Id="rId1715" Type="http://schemas.openxmlformats.org/officeDocument/2006/relationships/hyperlink" Target="https://mobilmania.cz/" TargetMode="External"/><Relationship Id="rId1922" Type="http://schemas.openxmlformats.org/officeDocument/2006/relationships/hyperlink" Target="https://reklama.cncenter.cz/Online/branding" TargetMode="External"/><Relationship Id="rId296" Type="http://schemas.openxmlformats.org/officeDocument/2006/relationships/hyperlink" Target="https://reklama.cncenter.cz/Online/mobilni-interscroller" TargetMode="External"/><Relationship Id="rId2184" Type="http://schemas.openxmlformats.org/officeDocument/2006/relationships/hyperlink" Target="https://reklama.cncenter.cz/Online/nativni-PR-premium" TargetMode="External"/><Relationship Id="rId2391" Type="http://schemas.openxmlformats.org/officeDocument/2006/relationships/hyperlink" Target="https://zeny.cz/" TargetMode="External"/><Relationship Id="rId156" Type="http://schemas.openxmlformats.org/officeDocument/2006/relationships/hyperlink" Target="https://www.activegroup.cz/reklama" TargetMode="External"/><Relationship Id="rId363" Type="http://schemas.openxmlformats.org/officeDocument/2006/relationships/hyperlink" Target="https://reklama.cncenter.cz/Online/nativni-rectangle-cross-device" TargetMode="External"/><Relationship Id="rId570" Type="http://schemas.openxmlformats.org/officeDocument/2006/relationships/hyperlink" Target="https://reklama.cncenter.cz/Online/Videospot" TargetMode="External"/><Relationship Id="rId2044" Type="http://schemas.openxmlformats.org/officeDocument/2006/relationships/hyperlink" Target="https://reklama.cncenter.cz/Online/nativni-PR-premium" TargetMode="External"/><Relationship Id="rId2251" Type="http://schemas.openxmlformats.org/officeDocument/2006/relationships/hyperlink" Target="https://vtm.zive.cz/" TargetMode="External"/><Relationship Id="rId223" Type="http://schemas.openxmlformats.org/officeDocument/2006/relationships/hyperlink" Target="https://reklama.cncenter.cz/Online/nativni-rectangle-cross-device" TargetMode="External"/><Relationship Id="rId430" Type="http://schemas.openxmlformats.org/officeDocument/2006/relationships/hyperlink" Target="https://avmania.zive.cz/" TargetMode="External"/><Relationship Id="rId668" Type="http://schemas.openxmlformats.org/officeDocument/2006/relationships/hyperlink" Target="https://reklama.cncenter.cz/Online/Outstream" TargetMode="External"/><Relationship Id="rId875" Type="http://schemas.openxmlformats.org/officeDocument/2006/relationships/hyperlink" Target="https://doupe.zive.cz/" TargetMode="External"/><Relationship Id="rId1060" Type="http://schemas.openxmlformats.org/officeDocument/2006/relationships/hyperlink" Target="https://reklama.cncenter.cz/Online/Videospot" TargetMode="External"/><Relationship Id="rId1298" Type="http://schemas.openxmlformats.org/officeDocument/2006/relationships/hyperlink" Target="https://heyfomo.cz/" TargetMode="External"/><Relationship Id="rId2111" Type="http://schemas.openxmlformats.org/officeDocument/2006/relationships/hyperlink" Target="https://reklama.cncenter.cz/Online/double-skyscraper" TargetMode="External"/><Relationship Id="rId2349" Type="http://schemas.openxmlformats.org/officeDocument/2006/relationships/hyperlink" Target="https://reklama.cncenter.cz/Online/mobilni-vineta" TargetMode="External"/><Relationship Id="rId528" Type="http://schemas.openxmlformats.org/officeDocument/2006/relationships/hyperlink" Target="https://blesk.cz/" TargetMode="External"/><Relationship Id="rId735" Type="http://schemas.openxmlformats.org/officeDocument/2006/relationships/hyperlink" Target="https://reklama.cncenter.cz/Online/mobilni-slide-up" TargetMode="External"/><Relationship Id="rId942" Type="http://schemas.openxmlformats.org/officeDocument/2006/relationships/hyperlink" Target="https://dama.cz/" TargetMode="External"/><Relationship Id="rId1158" Type="http://schemas.openxmlformats.org/officeDocument/2006/relationships/hyperlink" Target="http://www.facebook.com/" TargetMode="External"/><Relationship Id="rId1365" Type="http://schemas.openxmlformats.org/officeDocument/2006/relationships/hyperlink" Target="https://hledejceny.cz/" TargetMode="External"/><Relationship Id="rId1572" Type="http://schemas.openxmlformats.org/officeDocument/2006/relationships/hyperlink" Target="https://maminka.cz/" TargetMode="External"/><Relationship Id="rId2209" Type="http://schemas.openxmlformats.org/officeDocument/2006/relationships/hyperlink" Target="https://reflex.cz/" TargetMode="External"/><Relationship Id="rId2416" Type="http://schemas.openxmlformats.org/officeDocument/2006/relationships/hyperlink" Target="https://zive.cz/" TargetMode="External"/><Relationship Id="rId1018" Type="http://schemas.openxmlformats.org/officeDocument/2006/relationships/hyperlink" Target="https://reklama.cncenter.cz/Online/nativni-rectangle-cross-device" TargetMode="External"/><Relationship Id="rId1225" Type="http://schemas.openxmlformats.org/officeDocument/2006/relationships/hyperlink" Target="https://finexpert.cz/" TargetMode="External"/><Relationship Id="rId1432" Type="http://schemas.openxmlformats.org/officeDocument/2006/relationships/hyperlink" Target="http://www.instagram.com/" TargetMode="External"/><Relationship Id="rId1877" Type="http://schemas.openxmlformats.org/officeDocument/2006/relationships/hyperlink" Target="https://motogpsport.cz/" TargetMode="External"/><Relationship Id="rId71" Type="http://schemas.openxmlformats.org/officeDocument/2006/relationships/hyperlink" Target="https://abicko.cz/" TargetMode="External"/><Relationship Id="rId802" Type="http://schemas.openxmlformats.org/officeDocument/2006/relationships/hyperlink" Target="https://reklama.cncenter.cz/Online/mobilni-slide-up" TargetMode="External"/><Relationship Id="rId1737" Type="http://schemas.openxmlformats.org/officeDocument/2006/relationships/hyperlink" Target="https://mobilmania.cz/" TargetMode="External"/><Relationship Id="rId1944" Type="http://schemas.openxmlformats.org/officeDocument/2006/relationships/hyperlink" Target="https://nemovitosti.blesk.cz/" TargetMode="External"/><Relationship Id="rId29" Type="http://schemas.openxmlformats.org/officeDocument/2006/relationships/hyperlink" Target="https://reklama.cncenter.cz/Online/mobilni-slide-up" TargetMode="External"/><Relationship Id="rId178" Type="http://schemas.openxmlformats.org/officeDocument/2006/relationships/hyperlink" Target="https://ahaonline.cz/" TargetMode="External"/><Relationship Id="rId1804" Type="http://schemas.openxmlformats.org/officeDocument/2006/relationships/hyperlink" Target="https://mojezdravi.cz/" TargetMode="External"/><Relationship Id="rId385" Type="http://schemas.openxmlformats.org/officeDocument/2006/relationships/hyperlink" Target="https://autorevue.cz/" TargetMode="External"/><Relationship Id="rId592" Type="http://schemas.openxmlformats.org/officeDocument/2006/relationships/hyperlink" Target="https://bleskprozeny.cz/" TargetMode="External"/><Relationship Id="rId2066" Type="http://schemas.openxmlformats.org/officeDocument/2006/relationships/hyperlink" Target="https://recepty.cz/" TargetMode="External"/><Relationship Id="rId2273" Type="http://schemas.openxmlformats.org/officeDocument/2006/relationships/hyperlink" Target="https://vtm.zive.cz/" TargetMode="External"/><Relationship Id="rId2480" Type="http://schemas.openxmlformats.org/officeDocument/2006/relationships/hyperlink" Target="https://zive.cz/" TargetMode="External"/><Relationship Id="rId245" Type="http://schemas.openxmlformats.org/officeDocument/2006/relationships/hyperlink" Target="https://auto.cz/" TargetMode="External"/><Relationship Id="rId452" Type="http://schemas.openxmlformats.org/officeDocument/2006/relationships/hyperlink" Target="https://reklama.cncenter.cz/Online/mobilni-interscroller" TargetMode="External"/><Relationship Id="rId897" Type="http://schemas.openxmlformats.org/officeDocument/2006/relationships/hyperlink" Target="https://doupe.zive.cz/" TargetMode="External"/><Relationship Id="rId1082" Type="http://schemas.openxmlformats.org/officeDocument/2006/relationships/hyperlink" Target="https://f1sport.auto.cz/" TargetMode="External"/><Relationship Id="rId2133" Type="http://schemas.openxmlformats.org/officeDocument/2006/relationships/hyperlink" Target="https://recepty.cz/" TargetMode="External"/><Relationship Id="rId2340" Type="http://schemas.openxmlformats.org/officeDocument/2006/relationships/hyperlink" Target="https://reklama.cncenter.cz/Online/Videospot" TargetMode="External"/><Relationship Id="rId105" Type="http://schemas.openxmlformats.org/officeDocument/2006/relationships/hyperlink" Target="https://abicko.cz/" TargetMode="External"/><Relationship Id="rId312" Type="http://schemas.openxmlformats.org/officeDocument/2006/relationships/hyperlink" Target="https://auto.cz/" TargetMode="External"/><Relationship Id="rId757" Type="http://schemas.openxmlformats.org/officeDocument/2006/relationships/hyperlink" Target="https://reklama.cncenter.cz/Online/Videospot" TargetMode="External"/><Relationship Id="rId964" Type="http://schemas.openxmlformats.org/officeDocument/2006/relationships/hyperlink" Target="https://dama.cz/" TargetMode="External"/><Relationship Id="rId1387" Type="http://schemas.openxmlformats.org/officeDocument/2006/relationships/hyperlink" Target="http://www.instagram.com/" TargetMode="External"/><Relationship Id="rId1594" Type="http://schemas.openxmlformats.org/officeDocument/2006/relationships/hyperlink" Target="https://reklama.cncenter.cz/Online/nativni-PR-premium" TargetMode="External"/><Relationship Id="rId2200" Type="http://schemas.openxmlformats.org/officeDocument/2006/relationships/hyperlink" Target="https://reflex.cz/" TargetMode="External"/><Relationship Id="rId2438" Type="http://schemas.openxmlformats.org/officeDocument/2006/relationships/hyperlink" Target="https://zive.cz/" TargetMode="External"/><Relationship Id="rId93" Type="http://schemas.openxmlformats.org/officeDocument/2006/relationships/hyperlink" Target="https://abicko.cz/" TargetMode="External"/><Relationship Id="rId617" Type="http://schemas.openxmlformats.org/officeDocument/2006/relationships/hyperlink" Target="https://bleskprozeny.cz/" TargetMode="External"/><Relationship Id="rId824" Type="http://schemas.openxmlformats.org/officeDocument/2006/relationships/hyperlink" Target="https://digiarena.zive.cz/" TargetMode="External"/><Relationship Id="rId1247" Type="http://schemas.openxmlformats.org/officeDocument/2006/relationships/hyperlink" Target="https://fitweb.cz/" TargetMode="External"/><Relationship Id="rId1454" Type="http://schemas.openxmlformats.org/officeDocument/2006/relationships/hyperlink" Target="http://www.instagram.com/" TargetMode="External"/><Relationship Id="rId1661" Type="http://schemas.openxmlformats.org/officeDocument/2006/relationships/hyperlink" Target="https://reklama.cncenter.cz/Online/nativni-rectangle-cross-device" TargetMode="External"/><Relationship Id="rId1899" Type="http://schemas.openxmlformats.org/officeDocument/2006/relationships/hyperlink" Target="http://nemovitosti.blesk.cz/" TargetMode="External"/><Relationship Id="rId1107" Type="http://schemas.openxmlformats.org/officeDocument/2006/relationships/hyperlink" Target="https://reklama.cncenter.cz/Online/mobilni-vineta" TargetMode="External"/><Relationship Id="rId1314" Type="http://schemas.openxmlformats.org/officeDocument/2006/relationships/hyperlink" Target="https://frekvence1.cz/" TargetMode="External"/><Relationship Id="rId1521" Type="http://schemas.openxmlformats.org/officeDocument/2006/relationships/hyperlink" Target="https://lideazeme.cz/" TargetMode="External"/><Relationship Id="rId1759" Type="http://schemas.openxmlformats.org/officeDocument/2006/relationships/hyperlink" Target="https://reklama.cncenter.cz/Online/billboard-bottom" TargetMode="External"/><Relationship Id="rId1966" Type="http://schemas.openxmlformats.org/officeDocument/2006/relationships/hyperlink" Target="https://reklama.cncenter.cz/Online/nativni-PR-premium" TargetMode="External"/><Relationship Id="rId1619" Type="http://schemas.openxmlformats.org/officeDocument/2006/relationships/hyperlink" Target="https://maminka.cz/" TargetMode="External"/><Relationship Id="rId1826" Type="http://schemas.openxmlformats.org/officeDocument/2006/relationships/hyperlink" Target="https://reklama.cncenter.cz/Online/Bumper" TargetMode="External"/><Relationship Id="rId20" Type="http://schemas.openxmlformats.org/officeDocument/2006/relationships/hyperlink" Target="https://reklama.cncenter.cz/Online/branding" TargetMode="External"/><Relationship Id="rId2088" Type="http://schemas.openxmlformats.org/officeDocument/2006/relationships/hyperlink" Target="https://reklama.cncenter.cz/Online/mobilni-interscroller" TargetMode="External"/><Relationship Id="rId2295" Type="http://schemas.openxmlformats.org/officeDocument/2006/relationships/hyperlink" Target="https://reklama.cncenter.cz/Online/mobilni-slide-up" TargetMode="External"/><Relationship Id="rId267" Type="http://schemas.openxmlformats.org/officeDocument/2006/relationships/hyperlink" Target="https://reklama.cncenter.cz/Online/mobilni-interscroller" TargetMode="External"/><Relationship Id="rId474" Type="http://schemas.openxmlformats.org/officeDocument/2006/relationships/hyperlink" Target="https://avmania.zive.cz/" TargetMode="External"/><Relationship Id="rId2155" Type="http://schemas.openxmlformats.org/officeDocument/2006/relationships/hyperlink" Target="https://reflex.cz/" TargetMode="External"/><Relationship Id="rId127" Type="http://schemas.openxmlformats.org/officeDocument/2006/relationships/hyperlink" Target="https://reklama.cncenter.cz/Online/mobilni-vineta" TargetMode="External"/><Relationship Id="rId681" Type="http://schemas.openxmlformats.org/officeDocument/2006/relationships/hyperlink" Target="https://reklama.cncenter.cz/Online/branding-cross-device" TargetMode="External"/><Relationship Id="rId779" Type="http://schemas.openxmlformats.org/officeDocument/2006/relationships/hyperlink" Target="https://digiarena.zive.cz/" TargetMode="External"/><Relationship Id="rId986" Type="http://schemas.openxmlformats.org/officeDocument/2006/relationships/hyperlink" Target="https://reklama.cncenter.cz/Online/Outstream" TargetMode="External"/><Relationship Id="rId2362" Type="http://schemas.openxmlformats.org/officeDocument/2006/relationships/hyperlink" Target="https://zeny.cz/" TargetMode="External"/><Relationship Id="rId334" Type="http://schemas.openxmlformats.org/officeDocument/2006/relationships/hyperlink" Target="https://autorevue.cz/" TargetMode="External"/><Relationship Id="rId541" Type="http://schemas.openxmlformats.org/officeDocument/2006/relationships/hyperlink" Target="https://reklama.cncenter.cz/Online/mobilni-interscroller" TargetMode="External"/><Relationship Id="rId639" Type="http://schemas.openxmlformats.org/officeDocument/2006/relationships/hyperlink" Target="https://reklama.cncenter.cz/Online/Videospot" TargetMode="External"/><Relationship Id="rId1171" Type="http://schemas.openxmlformats.org/officeDocument/2006/relationships/hyperlink" Target="https://www.facebook.com/business/ads-guide/image/facebook-feed" TargetMode="External"/><Relationship Id="rId1269" Type="http://schemas.openxmlformats.org/officeDocument/2006/relationships/hyperlink" Target="https://fitweb.cz/" TargetMode="External"/><Relationship Id="rId1476" Type="http://schemas.openxmlformats.org/officeDocument/2006/relationships/hyperlink" Target="https://reklama.cncenter.cz/Online/nativni-rectangle-cross-device" TargetMode="External"/><Relationship Id="rId2015" Type="http://schemas.openxmlformats.org/officeDocument/2006/relationships/hyperlink" Target="https://www.realitnitrh.cz/" TargetMode="External"/><Relationship Id="rId2222" Type="http://schemas.openxmlformats.org/officeDocument/2006/relationships/hyperlink" Target="https://reflex.cz/" TargetMode="External"/><Relationship Id="rId401" Type="http://schemas.openxmlformats.org/officeDocument/2006/relationships/hyperlink" Target="https://autorevue.cz/" TargetMode="External"/><Relationship Id="rId846" Type="http://schemas.openxmlformats.org/officeDocument/2006/relationships/hyperlink" Target="https://doupe.zive.cz/" TargetMode="External"/><Relationship Id="rId1031" Type="http://schemas.openxmlformats.org/officeDocument/2006/relationships/hyperlink" Target="https://evropa2.cz/" TargetMode="External"/><Relationship Id="rId1129" Type="http://schemas.openxmlformats.org/officeDocument/2006/relationships/hyperlink" Target="https://f1sport.auto.cz/" TargetMode="External"/><Relationship Id="rId1683" Type="http://schemas.openxmlformats.org/officeDocument/2006/relationships/hyperlink" Target="https://mobilmania.cz/" TargetMode="External"/><Relationship Id="rId1890" Type="http://schemas.openxmlformats.org/officeDocument/2006/relationships/hyperlink" Target="https://motogpsport.cz/" TargetMode="External"/><Relationship Id="rId1988" Type="http://schemas.openxmlformats.org/officeDocument/2006/relationships/hyperlink" Target="https://www.poggers.cz/" TargetMode="External"/><Relationship Id="rId706" Type="http://schemas.openxmlformats.org/officeDocument/2006/relationships/hyperlink" Target="https://reklama.cncenter.cz/Online/branding-cross-device" TargetMode="External"/><Relationship Id="rId913" Type="http://schemas.openxmlformats.org/officeDocument/2006/relationships/hyperlink" Target="https://dama.cz/" TargetMode="External"/><Relationship Id="rId1336" Type="http://schemas.openxmlformats.org/officeDocument/2006/relationships/hyperlink" Target="https://reklama.cncenter.cz/Online/double-skyscraper" TargetMode="External"/><Relationship Id="rId1543" Type="http://schemas.openxmlformats.org/officeDocument/2006/relationships/hyperlink" Target="https://lideazeme.cz/" TargetMode="External"/><Relationship Id="rId1750" Type="http://schemas.openxmlformats.org/officeDocument/2006/relationships/hyperlink" Target="https://reklama.cncenter.cz/Online/billboard-bottom" TargetMode="External"/><Relationship Id="rId42" Type="http://schemas.openxmlformats.org/officeDocument/2006/relationships/hyperlink" Target="https://abecedazahrady.dama.cz/" TargetMode="External"/><Relationship Id="rId1403" Type="http://schemas.openxmlformats.org/officeDocument/2006/relationships/hyperlink" Target="http://www.instagram.com/" TargetMode="External"/><Relationship Id="rId1610" Type="http://schemas.openxmlformats.org/officeDocument/2006/relationships/hyperlink" Target="https://maminka.cz/" TargetMode="External"/><Relationship Id="rId1848" Type="http://schemas.openxmlformats.org/officeDocument/2006/relationships/hyperlink" Target="https://motogpsport.cz/" TargetMode="External"/><Relationship Id="rId191" Type="http://schemas.openxmlformats.org/officeDocument/2006/relationships/hyperlink" Target="https://ahaonline.cz/" TargetMode="External"/><Relationship Id="rId1708" Type="http://schemas.openxmlformats.org/officeDocument/2006/relationships/hyperlink" Target="https://reklama.cncenter.cz/Online/Bumper" TargetMode="External"/><Relationship Id="rId1915" Type="http://schemas.openxmlformats.org/officeDocument/2006/relationships/hyperlink" Target="http://nemovitosti.blesk.cz/" TargetMode="External"/><Relationship Id="rId289" Type="http://schemas.openxmlformats.org/officeDocument/2006/relationships/hyperlink" Target="https://auto.cz/" TargetMode="External"/><Relationship Id="rId496" Type="http://schemas.openxmlformats.org/officeDocument/2006/relationships/hyperlink" Target="https://blesk.cz/" TargetMode="External"/><Relationship Id="rId2177" Type="http://schemas.openxmlformats.org/officeDocument/2006/relationships/hyperlink" Target="https://reflex.cz/" TargetMode="External"/><Relationship Id="rId2384" Type="http://schemas.openxmlformats.org/officeDocument/2006/relationships/hyperlink" Target="https://zeny.cz/" TargetMode="External"/><Relationship Id="rId149" Type="http://schemas.openxmlformats.org/officeDocument/2006/relationships/hyperlink" Target="https://abicko.cz/" TargetMode="External"/><Relationship Id="rId356" Type="http://schemas.openxmlformats.org/officeDocument/2006/relationships/hyperlink" Target="https://autorevue.cz/" TargetMode="External"/><Relationship Id="rId563" Type="http://schemas.openxmlformats.org/officeDocument/2006/relationships/hyperlink" Target="https://bleskprozeny.cz/" TargetMode="External"/><Relationship Id="rId770" Type="http://schemas.openxmlformats.org/officeDocument/2006/relationships/hyperlink" Target="https://reklama.cncenter.cz/Online/nativni-rectangle-cross-device" TargetMode="External"/><Relationship Id="rId1193" Type="http://schemas.openxmlformats.org/officeDocument/2006/relationships/hyperlink" Target="http://www.facebook.com/" TargetMode="External"/><Relationship Id="rId2037" Type="http://schemas.openxmlformats.org/officeDocument/2006/relationships/hyperlink" Target="https://www.realitnitrh.cz/" TargetMode="External"/><Relationship Id="rId2244" Type="http://schemas.openxmlformats.org/officeDocument/2006/relationships/hyperlink" Target="https://sportrevue.cz/" TargetMode="External"/><Relationship Id="rId2451" Type="http://schemas.openxmlformats.org/officeDocument/2006/relationships/hyperlink" Target="https://zive.cz/" TargetMode="External"/><Relationship Id="rId216" Type="http://schemas.openxmlformats.org/officeDocument/2006/relationships/hyperlink" Target="https://ahaonline.cz/" TargetMode="External"/><Relationship Id="rId423" Type="http://schemas.openxmlformats.org/officeDocument/2006/relationships/hyperlink" Target="https://reklama.cncenter.cz/Online/branding-cross-device" TargetMode="External"/><Relationship Id="rId868" Type="http://schemas.openxmlformats.org/officeDocument/2006/relationships/hyperlink" Target="https://reklama.cncenter.cz/Online/mobilni-interscroller" TargetMode="External"/><Relationship Id="rId1053" Type="http://schemas.openxmlformats.org/officeDocument/2006/relationships/hyperlink" Target="https://evropa2.cz/" TargetMode="External"/><Relationship Id="rId1260" Type="http://schemas.openxmlformats.org/officeDocument/2006/relationships/hyperlink" Target="https://fitweb.cz/" TargetMode="External"/><Relationship Id="rId1498" Type="http://schemas.openxmlformats.org/officeDocument/2006/relationships/hyperlink" Target="https://reklama.cncenter.cz/Online/branding" TargetMode="External"/><Relationship Id="rId2104" Type="http://schemas.openxmlformats.org/officeDocument/2006/relationships/hyperlink" Target="https://recepty.cz/" TargetMode="External"/><Relationship Id="rId630" Type="http://schemas.openxmlformats.org/officeDocument/2006/relationships/hyperlink" Target="https://bleskprozeny.cz/" TargetMode="External"/><Relationship Id="rId728" Type="http://schemas.openxmlformats.org/officeDocument/2006/relationships/hyperlink" Target="https://reklama.cncenter.cz/Online/branding" TargetMode="External"/><Relationship Id="rId935" Type="http://schemas.openxmlformats.org/officeDocument/2006/relationships/hyperlink" Target="https://dama.cz/" TargetMode="External"/><Relationship Id="rId1358" Type="http://schemas.openxmlformats.org/officeDocument/2006/relationships/hyperlink" Target="https://hledejceny.cz/" TargetMode="External"/><Relationship Id="rId1565" Type="http://schemas.openxmlformats.org/officeDocument/2006/relationships/hyperlink" Target="https://maminka.cz/" TargetMode="External"/><Relationship Id="rId1772" Type="http://schemas.openxmlformats.org/officeDocument/2006/relationships/hyperlink" Target="https://mojezdravi.cz/" TargetMode="External"/><Relationship Id="rId2311" Type="http://schemas.openxmlformats.org/officeDocument/2006/relationships/hyperlink" Target="https://reklama.cncenter.cz/Online/double-skyscraper" TargetMode="External"/><Relationship Id="rId2409" Type="http://schemas.openxmlformats.org/officeDocument/2006/relationships/hyperlink" Target="https://reklama.cncenter.cz/Online/branding-cross-device" TargetMode="External"/><Relationship Id="rId64" Type="http://schemas.openxmlformats.org/officeDocument/2006/relationships/hyperlink" Target="https://abecedazahrady.dama.cz/" TargetMode="External"/><Relationship Id="rId1120" Type="http://schemas.openxmlformats.org/officeDocument/2006/relationships/hyperlink" Target="https://f1sport.auto.cz/" TargetMode="External"/><Relationship Id="rId1218" Type="http://schemas.openxmlformats.org/officeDocument/2006/relationships/hyperlink" Target="http://www.facebook.com/" TargetMode="External"/><Relationship Id="rId1425" Type="http://schemas.openxmlformats.org/officeDocument/2006/relationships/hyperlink" Target="http://www.instagram.com/" TargetMode="External"/><Relationship Id="rId1632" Type="http://schemas.openxmlformats.org/officeDocument/2006/relationships/hyperlink" Target="https://maminka.cz/" TargetMode="External"/><Relationship Id="rId1937" Type="http://schemas.openxmlformats.org/officeDocument/2006/relationships/hyperlink" Target="https://nemovitosti.blesk.cz/" TargetMode="External"/><Relationship Id="rId2199" Type="http://schemas.openxmlformats.org/officeDocument/2006/relationships/hyperlink" Target="https://reflex.cz/" TargetMode="External"/><Relationship Id="rId280" Type="http://schemas.openxmlformats.org/officeDocument/2006/relationships/hyperlink" Target="https://auto.cz/" TargetMode="External"/><Relationship Id="rId140" Type="http://schemas.openxmlformats.org/officeDocument/2006/relationships/hyperlink" Target="https://abicko.cz/" TargetMode="External"/><Relationship Id="rId378" Type="http://schemas.openxmlformats.org/officeDocument/2006/relationships/hyperlink" Target="https://autorevue.cz/" TargetMode="External"/><Relationship Id="rId585" Type="http://schemas.openxmlformats.org/officeDocument/2006/relationships/hyperlink" Target="https://reklama.cncenter.cz/Online/nativni-rectangle-cross-device" TargetMode="External"/><Relationship Id="rId792" Type="http://schemas.openxmlformats.org/officeDocument/2006/relationships/hyperlink" Target="https://digiarena.zive.cz/" TargetMode="External"/><Relationship Id="rId2059" Type="http://schemas.openxmlformats.org/officeDocument/2006/relationships/hyperlink" Target="https://www.realitnitrh.cz/" TargetMode="External"/><Relationship Id="rId2266" Type="http://schemas.openxmlformats.org/officeDocument/2006/relationships/hyperlink" Target="https://vtm.zive.cz/" TargetMode="External"/><Relationship Id="rId2473" Type="http://schemas.openxmlformats.org/officeDocument/2006/relationships/hyperlink" Target="https://reklama.cncenter.cz/?ads=PR%2520%25C4%258Dl%25C3%25A1nky" TargetMode="External"/><Relationship Id="rId6" Type="http://schemas.openxmlformats.org/officeDocument/2006/relationships/hyperlink" Target="https://abecedazahrady.dama.cz/" TargetMode="External"/><Relationship Id="rId238" Type="http://schemas.openxmlformats.org/officeDocument/2006/relationships/hyperlink" Target="https://reklama.cncenter.cz/Online/Bumper" TargetMode="External"/><Relationship Id="rId445" Type="http://schemas.openxmlformats.org/officeDocument/2006/relationships/hyperlink" Target="https://avmania.zive.cz/" TargetMode="External"/><Relationship Id="rId652" Type="http://schemas.openxmlformats.org/officeDocument/2006/relationships/hyperlink" Target="https://reklama.cncenter.cz/Online/nativni-rectangle-cross-device" TargetMode="External"/><Relationship Id="rId1075" Type="http://schemas.openxmlformats.org/officeDocument/2006/relationships/hyperlink" Target="https://reklama.cncenter.cz/Online/Bumper" TargetMode="External"/><Relationship Id="rId1282" Type="http://schemas.openxmlformats.org/officeDocument/2006/relationships/hyperlink" Target="https://reklama.cncenter.cz/Online/mobilni-vineta" TargetMode="External"/><Relationship Id="rId2126" Type="http://schemas.openxmlformats.org/officeDocument/2006/relationships/hyperlink" Target="https://recepty.cz/" TargetMode="External"/><Relationship Id="rId2333" Type="http://schemas.openxmlformats.org/officeDocument/2006/relationships/hyperlink" Target="https://zeny.cz/" TargetMode="External"/><Relationship Id="rId305" Type="http://schemas.openxmlformats.org/officeDocument/2006/relationships/hyperlink" Target="https://auto.cz/" TargetMode="External"/><Relationship Id="rId512" Type="http://schemas.openxmlformats.org/officeDocument/2006/relationships/hyperlink" Target="https://reklama.cncenter.cz/Online/double-skyscraper" TargetMode="External"/><Relationship Id="rId957" Type="http://schemas.openxmlformats.org/officeDocument/2006/relationships/hyperlink" Target="https://dama.cz/" TargetMode="External"/><Relationship Id="rId1142" Type="http://schemas.openxmlformats.org/officeDocument/2006/relationships/hyperlink" Target="https://f1sport.auto.cz/" TargetMode="External"/><Relationship Id="rId1587" Type="http://schemas.openxmlformats.org/officeDocument/2006/relationships/hyperlink" Target="https://maminka.cz/" TargetMode="External"/><Relationship Id="rId1794" Type="http://schemas.openxmlformats.org/officeDocument/2006/relationships/hyperlink" Target="https://reklama.cncenter.cz/Online/double-skyscraper" TargetMode="External"/><Relationship Id="rId2400" Type="http://schemas.openxmlformats.org/officeDocument/2006/relationships/hyperlink" Target="https://zeny.cz/" TargetMode="External"/><Relationship Id="rId86" Type="http://schemas.openxmlformats.org/officeDocument/2006/relationships/hyperlink" Target="https://reklama.cncenter.cz/Online/branding-cross-device" TargetMode="External"/><Relationship Id="rId817" Type="http://schemas.openxmlformats.org/officeDocument/2006/relationships/hyperlink" Target="https://digiarena.zive.cz/" TargetMode="External"/><Relationship Id="rId1002" Type="http://schemas.openxmlformats.org/officeDocument/2006/relationships/hyperlink" Target="https://reklama.cncenter.cz/Online/billboard-bottom" TargetMode="External"/><Relationship Id="rId1447" Type="http://schemas.openxmlformats.org/officeDocument/2006/relationships/hyperlink" Target="http://www.instagram.com/" TargetMode="External"/><Relationship Id="rId1654" Type="http://schemas.openxmlformats.org/officeDocument/2006/relationships/hyperlink" Target="https://reklama.cncenter.cz/Online/nativni-rectangle-cross-device" TargetMode="External"/><Relationship Id="rId1861" Type="http://schemas.openxmlformats.org/officeDocument/2006/relationships/hyperlink" Target="https://reklama.cncenter.cz/Online/nativni-rectangle-cross-device" TargetMode="External"/><Relationship Id="rId1307" Type="http://schemas.openxmlformats.org/officeDocument/2006/relationships/hyperlink" Target="https://frekvence1.cz/" TargetMode="External"/><Relationship Id="rId1514" Type="http://schemas.openxmlformats.org/officeDocument/2006/relationships/hyperlink" Target="https://lideazeme.cz/" TargetMode="External"/><Relationship Id="rId1721" Type="http://schemas.openxmlformats.org/officeDocument/2006/relationships/hyperlink" Target="https://mobilmania.cz/" TargetMode="External"/><Relationship Id="rId1959" Type="http://schemas.openxmlformats.org/officeDocument/2006/relationships/hyperlink" Target="https://nemovitosti.blesk.cz/" TargetMode="External"/><Relationship Id="rId13" Type="http://schemas.openxmlformats.org/officeDocument/2006/relationships/hyperlink" Target="https://abecedazahrady.dama.cz/" TargetMode="External"/><Relationship Id="rId1819" Type="http://schemas.openxmlformats.org/officeDocument/2006/relationships/hyperlink" Target="https://mojezdravi.cz/" TargetMode="External"/><Relationship Id="rId2190" Type="http://schemas.openxmlformats.org/officeDocument/2006/relationships/hyperlink" Target="https://reklama.cncenter.cz/Online/Outstream" TargetMode="External"/><Relationship Id="rId2288" Type="http://schemas.openxmlformats.org/officeDocument/2006/relationships/hyperlink" Target="https://vtm.zive.cz/" TargetMode="External"/><Relationship Id="rId162" Type="http://schemas.openxmlformats.org/officeDocument/2006/relationships/hyperlink" Target="https://reklama.cncenter.cz/Online/billboard-bottom" TargetMode="External"/><Relationship Id="rId467" Type="http://schemas.openxmlformats.org/officeDocument/2006/relationships/hyperlink" Target="https://avmania.zive.cz/" TargetMode="External"/><Relationship Id="rId1097" Type="http://schemas.openxmlformats.org/officeDocument/2006/relationships/hyperlink" Target="https://f1sport.auto.cz/" TargetMode="External"/><Relationship Id="rId2050" Type="http://schemas.openxmlformats.org/officeDocument/2006/relationships/hyperlink" Target="https://reklama.cncenter.cz/Online/Outstream" TargetMode="External"/><Relationship Id="rId2148" Type="http://schemas.openxmlformats.org/officeDocument/2006/relationships/hyperlink" Target="https://reflex.cz/" TargetMode="External"/><Relationship Id="rId674" Type="http://schemas.openxmlformats.org/officeDocument/2006/relationships/hyperlink" Target="https://reklama.cncenter.cz/Online/mobilni-slide-up" TargetMode="External"/><Relationship Id="rId881" Type="http://schemas.openxmlformats.org/officeDocument/2006/relationships/hyperlink" Target="https://doupe.zive.cz/" TargetMode="External"/><Relationship Id="rId979" Type="http://schemas.openxmlformats.org/officeDocument/2006/relationships/hyperlink" Target="https://dama.cz/" TargetMode="External"/><Relationship Id="rId2355" Type="http://schemas.openxmlformats.org/officeDocument/2006/relationships/hyperlink" Target="https://reklama.cncenter.cz/Online/nativni-rectangle-cross-device" TargetMode="External"/><Relationship Id="rId327" Type="http://schemas.openxmlformats.org/officeDocument/2006/relationships/hyperlink" Target="https://autorevue.cz/" TargetMode="External"/><Relationship Id="rId534" Type="http://schemas.openxmlformats.org/officeDocument/2006/relationships/hyperlink" Target="https://blesk.cz/" TargetMode="External"/><Relationship Id="rId741" Type="http://schemas.openxmlformats.org/officeDocument/2006/relationships/hyperlink" Target="https://reklama.cncenter.cz/Online/double-skyscraper" TargetMode="External"/><Relationship Id="rId839" Type="http://schemas.openxmlformats.org/officeDocument/2006/relationships/hyperlink" Target="https://digiarena.zive.cz/" TargetMode="External"/><Relationship Id="rId1164" Type="http://schemas.openxmlformats.org/officeDocument/2006/relationships/hyperlink" Target="http://www.facebook.com/" TargetMode="External"/><Relationship Id="rId1371" Type="http://schemas.openxmlformats.org/officeDocument/2006/relationships/hyperlink" Target="https://hledejceny.cz/" TargetMode="External"/><Relationship Id="rId1469" Type="http://schemas.openxmlformats.org/officeDocument/2006/relationships/hyperlink" Target="https://reklama.cncenter.cz/Online/branding-cross-device" TargetMode="External"/><Relationship Id="rId2008" Type="http://schemas.openxmlformats.org/officeDocument/2006/relationships/hyperlink" Target="https://www.realitnitrh.cz/" TargetMode="External"/><Relationship Id="rId2215" Type="http://schemas.openxmlformats.org/officeDocument/2006/relationships/hyperlink" Target="https://reklama.cncenter.cz/Online/nativni-PR-premium" TargetMode="External"/><Relationship Id="rId2422" Type="http://schemas.openxmlformats.org/officeDocument/2006/relationships/hyperlink" Target="https://zive.cz/" TargetMode="External"/><Relationship Id="rId601" Type="http://schemas.openxmlformats.org/officeDocument/2006/relationships/hyperlink" Target="https://bleskprozeny.cz/" TargetMode="External"/><Relationship Id="rId1024" Type="http://schemas.openxmlformats.org/officeDocument/2006/relationships/hyperlink" Target="https://reklama.cncenter.cz/Online/branding-cross-device" TargetMode="External"/><Relationship Id="rId1231" Type="http://schemas.openxmlformats.org/officeDocument/2006/relationships/hyperlink" Target="https://finexpert.cz/" TargetMode="External"/><Relationship Id="rId1676" Type="http://schemas.openxmlformats.org/officeDocument/2006/relationships/hyperlink" Target="https://mobilmania.cz/" TargetMode="External"/><Relationship Id="rId1883" Type="http://schemas.openxmlformats.org/officeDocument/2006/relationships/hyperlink" Target="https://reklama.cncenter.cz/Online/nativni-rectangle-cross-device" TargetMode="External"/><Relationship Id="rId906" Type="http://schemas.openxmlformats.org/officeDocument/2006/relationships/hyperlink" Target="https://doupe.zive.cz/" TargetMode="External"/><Relationship Id="rId1329" Type="http://schemas.openxmlformats.org/officeDocument/2006/relationships/hyperlink" Target="https://frekvence1.cz/" TargetMode="External"/><Relationship Id="rId1536" Type="http://schemas.openxmlformats.org/officeDocument/2006/relationships/hyperlink" Target="https://reklama.cncenter.cz/Online/mobilni-slide-up" TargetMode="External"/><Relationship Id="rId1743" Type="http://schemas.openxmlformats.org/officeDocument/2006/relationships/hyperlink" Target="https://mobilmania.cz/" TargetMode="External"/><Relationship Id="rId1950" Type="http://schemas.openxmlformats.org/officeDocument/2006/relationships/hyperlink" Target="http://nemovitosti.blesk.cz/" TargetMode="External"/><Relationship Id="rId35" Type="http://schemas.openxmlformats.org/officeDocument/2006/relationships/hyperlink" Target="https://reklama.cncenter.cz/Online/nativni-rectangle-cross-device" TargetMode="External"/><Relationship Id="rId1603" Type="http://schemas.openxmlformats.org/officeDocument/2006/relationships/hyperlink" Target="https://reklama.cncenter.cz/Online/Bumper" TargetMode="External"/><Relationship Id="rId1810" Type="http://schemas.openxmlformats.org/officeDocument/2006/relationships/hyperlink" Target="https://mojezdravi.cz/" TargetMode="External"/><Relationship Id="rId184" Type="http://schemas.openxmlformats.org/officeDocument/2006/relationships/hyperlink" Target="https://ahaonline.cz/" TargetMode="External"/><Relationship Id="rId391" Type="http://schemas.openxmlformats.org/officeDocument/2006/relationships/hyperlink" Target="https://reklama.cncenter.cz/Online/nativni-rectangle-cross-device" TargetMode="External"/><Relationship Id="rId1908" Type="http://schemas.openxmlformats.org/officeDocument/2006/relationships/hyperlink" Target="https://nemovitosti.blesk.cz/" TargetMode="External"/><Relationship Id="rId2072" Type="http://schemas.openxmlformats.org/officeDocument/2006/relationships/hyperlink" Target="https://recepty.cz/" TargetMode="External"/><Relationship Id="rId251" Type="http://schemas.openxmlformats.org/officeDocument/2006/relationships/hyperlink" Target="https://auto.cz/" TargetMode="External"/><Relationship Id="rId489" Type="http://schemas.openxmlformats.org/officeDocument/2006/relationships/hyperlink" Target="https://blesk.cz/" TargetMode="External"/><Relationship Id="rId696" Type="http://schemas.openxmlformats.org/officeDocument/2006/relationships/hyperlink" Target="https://reklama.cncenter.cz/Online/mobilni-slide-up" TargetMode="External"/><Relationship Id="rId2377" Type="http://schemas.openxmlformats.org/officeDocument/2006/relationships/hyperlink" Target="https://zeny.cz/" TargetMode="External"/><Relationship Id="rId349" Type="http://schemas.openxmlformats.org/officeDocument/2006/relationships/hyperlink" Target="https://autorevue.cz/" TargetMode="External"/><Relationship Id="rId556" Type="http://schemas.openxmlformats.org/officeDocument/2006/relationships/hyperlink" Target="https://bleskprozeny.cz/" TargetMode="External"/><Relationship Id="rId763" Type="http://schemas.openxmlformats.org/officeDocument/2006/relationships/hyperlink" Target="https://reklama.cncenter.cz/Online/Smarticle" TargetMode="External"/><Relationship Id="rId1186" Type="http://schemas.openxmlformats.org/officeDocument/2006/relationships/hyperlink" Target="https://www.facebook.com/business/ads-guide/image/facebook-feed" TargetMode="External"/><Relationship Id="rId1393" Type="http://schemas.openxmlformats.org/officeDocument/2006/relationships/hyperlink" Target="http://www.instagram.com/" TargetMode="External"/><Relationship Id="rId2237" Type="http://schemas.openxmlformats.org/officeDocument/2006/relationships/hyperlink" Target="https://sportrevue.cz/" TargetMode="External"/><Relationship Id="rId2444" Type="http://schemas.openxmlformats.org/officeDocument/2006/relationships/hyperlink" Target="https://zive.cz/" TargetMode="External"/><Relationship Id="rId111" Type="http://schemas.openxmlformats.org/officeDocument/2006/relationships/hyperlink" Target="https://abicko.cz/" TargetMode="External"/><Relationship Id="rId209" Type="http://schemas.openxmlformats.org/officeDocument/2006/relationships/hyperlink" Target="https://reklama.cncenter.cz/Online/mobilni-interscroller" TargetMode="External"/><Relationship Id="rId416" Type="http://schemas.openxmlformats.org/officeDocument/2006/relationships/hyperlink" Target="https://avmania.zive.cz/" TargetMode="External"/><Relationship Id="rId970" Type="http://schemas.openxmlformats.org/officeDocument/2006/relationships/hyperlink" Target="https://dama.cz/" TargetMode="External"/><Relationship Id="rId1046" Type="http://schemas.openxmlformats.org/officeDocument/2006/relationships/hyperlink" Target="https://evropa2.cz/" TargetMode="External"/><Relationship Id="rId1253" Type="http://schemas.openxmlformats.org/officeDocument/2006/relationships/hyperlink" Target="https://fitweb.cz/" TargetMode="External"/><Relationship Id="rId1698" Type="http://schemas.openxmlformats.org/officeDocument/2006/relationships/hyperlink" Target="https://mobilmania.cz/" TargetMode="External"/><Relationship Id="rId623" Type="http://schemas.openxmlformats.org/officeDocument/2006/relationships/hyperlink" Target="https://bleskprozeny.cz/" TargetMode="External"/><Relationship Id="rId830" Type="http://schemas.openxmlformats.org/officeDocument/2006/relationships/hyperlink" Target="https://reklama.cncenter.cz/Online/nativni-rectangle-cross-device" TargetMode="External"/><Relationship Id="rId928" Type="http://schemas.openxmlformats.org/officeDocument/2006/relationships/hyperlink" Target="https://reklama.cncenter.cz/Online/branding-cross-device" TargetMode="External"/><Relationship Id="rId1460" Type="http://schemas.openxmlformats.org/officeDocument/2006/relationships/hyperlink" Target="http://www.instagram.com/" TargetMode="External"/><Relationship Id="rId1558" Type="http://schemas.openxmlformats.org/officeDocument/2006/relationships/hyperlink" Target="https://maminka.cz/" TargetMode="External"/><Relationship Id="rId1765" Type="http://schemas.openxmlformats.org/officeDocument/2006/relationships/hyperlink" Target="https://reklama.cncenter.cz/Online/branding" TargetMode="External"/><Relationship Id="rId2304" Type="http://schemas.openxmlformats.org/officeDocument/2006/relationships/hyperlink" Target="https://reklama.cncenter.cz/Online/Outstream" TargetMode="External"/><Relationship Id="rId57" Type="http://schemas.openxmlformats.org/officeDocument/2006/relationships/hyperlink" Target="https://reklama.cncenter.cz/Online/nativni-rectangle-cross-device" TargetMode="External"/><Relationship Id="rId1113" Type="http://schemas.openxmlformats.org/officeDocument/2006/relationships/hyperlink" Target="https://reklama.cncenter.cz/Online/Outstream" TargetMode="External"/><Relationship Id="rId1320" Type="http://schemas.openxmlformats.org/officeDocument/2006/relationships/hyperlink" Target="https://frekvence1.cz/" TargetMode="External"/><Relationship Id="rId1418" Type="http://schemas.openxmlformats.org/officeDocument/2006/relationships/hyperlink" Target="http://www.instagram.com/" TargetMode="External"/><Relationship Id="rId1972" Type="http://schemas.openxmlformats.org/officeDocument/2006/relationships/hyperlink" Target="https://nemovitosti.blesk.cz/" TargetMode="External"/><Relationship Id="rId1625" Type="http://schemas.openxmlformats.org/officeDocument/2006/relationships/hyperlink" Target="https://reklama.cncenter.cz/Online/nativni-PR-premium" TargetMode="External"/><Relationship Id="rId1832" Type="http://schemas.openxmlformats.org/officeDocument/2006/relationships/hyperlink" Target="https://motogpsport.cz/" TargetMode="External"/><Relationship Id="rId2094" Type="http://schemas.openxmlformats.org/officeDocument/2006/relationships/hyperlink" Target="https://reklama.cncenter.cz/Online/mobilni-vineta" TargetMode="External"/><Relationship Id="rId273" Type="http://schemas.openxmlformats.org/officeDocument/2006/relationships/hyperlink" Target="https://reklama.cncenter.cz/Online/mobilni-vineta" TargetMode="External"/><Relationship Id="rId480" Type="http://schemas.openxmlformats.org/officeDocument/2006/relationships/hyperlink" Target="https://reklama.cncenter.cz/Online/nativni-rectangle-cross-device" TargetMode="External"/><Relationship Id="rId2161" Type="http://schemas.openxmlformats.org/officeDocument/2006/relationships/hyperlink" Target="https://reflex.cz/" TargetMode="External"/><Relationship Id="rId2399" Type="http://schemas.openxmlformats.org/officeDocument/2006/relationships/hyperlink" Target="https://zeny.cz/" TargetMode="External"/><Relationship Id="rId133" Type="http://schemas.openxmlformats.org/officeDocument/2006/relationships/hyperlink" Target="https://abicko.cz/" TargetMode="External"/><Relationship Id="rId340" Type="http://schemas.openxmlformats.org/officeDocument/2006/relationships/hyperlink" Target="https://autorevue.cz/" TargetMode="External"/><Relationship Id="rId578" Type="http://schemas.openxmlformats.org/officeDocument/2006/relationships/hyperlink" Target="https://bleskprozeny.cz/" TargetMode="External"/><Relationship Id="rId785" Type="http://schemas.openxmlformats.org/officeDocument/2006/relationships/hyperlink" Target="https://digiarena.zive.cz/" TargetMode="External"/><Relationship Id="rId992" Type="http://schemas.openxmlformats.org/officeDocument/2006/relationships/hyperlink" Target="https://dama.cz/" TargetMode="External"/><Relationship Id="rId2021" Type="http://schemas.openxmlformats.org/officeDocument/2006/relationships/hyperlink" Target="https://www.realitnitrh.cz/" TargetMode="External"/><Relationship Id="rId2259" Type="http://schemas.openxmlformats.org/officeDocument/2006/relationships/hyperlink" Target="https://reklama.cncenter.cz/Online/branding" TargetMode="External"/><Relationship Id="rId2466" Type="http://schemas.openxmlformats.org/officeDocument/2006/relationships/hyperlink" Target="https://zive.cz/" TargetMode="External"/><Relationship Id="rId200" Type="http://schemas.openxmlformats.org/officeDocument/2006/relationships/hyperlink" Target="https://ahaonline.cz/" TargetMode="External"/><Relationship Id="rId438" Type="http://schemas.openxmlformats.org/officeDocument/2006/relationships/hyperlink" Target="https://reklama.cncenter.cz/Online/mobilni-vineta" TargetMode="External"/><Relationship Id="rId645" Type="http://schemas.openxmlformats.org/officeDocument/2006/relationships/hyperlink" Target="https://reklama.cncenter.cz/Online/Smarticle" TargetMode="External"/><Relationship Id="rId852" Type="http://schemas.openxmlformats.org/officeDocument/2006/relationships/hyperlink" Target="https://doupe.zive.cz/" TargetMode="External"/><Relationship Id="rId1068" Type="http://schemas.openxmlformats.org/officeDocument/2006/relationships/hyperlink" Target="https://evropa2.cz/" TargetMode="External"/><Relationship Id="rId1275" Type="http://schemas.openxmlformats.org/officeDocument/2006/relationships/hyperlink" Target="https://fitweb.cz/" TargetMode="External"/><Relationship Id="rId1482" Type="http://schemas.openxmlformats.org/officeDocument/2006/relationships/hyperlink" Target="https://reklama.cncenter.cz/Online/mobilni-slide-up" TargetMode="External"/><Relationship Id="rId2119" Type="http://schemas.openxmlformats.org/officeDocument/2006/relationships/hyperlink" Target="https://recepty.cz/" TargetMode="External"/><Relationship Id="rId2326" Type="http://schemas.openxmlformats.org/officeDocument/2006/relationships/hyperlink" Target="https://zeny.cz/" TargetMode="External"/><Relationship Id="rId505" Type="http://schemas.openxmlformats.org/officeDocument/2006/relationships/hyperlink" Target="https://reklama.cncenter.cz/Online/mobilni-interscroller" TargetMode="External"/><Relationship Id="rId712" Type="http://schemas.openxmlformats.org/officeDocument/2006/relationships/hyperlink" Target="https://reklama.cncenter.cz/Online/mobilni-vineta" TargetMode="External"/><Relationship Id="rId1135" Type="http://schemas.openxmlformats.org/officeDocument/2006/relationships/hyperlink" Target="https://reklama.cncenter.cz/Online/Outstream" TargetMode="External"/><Relationship Id="rId1342" Type="http://schemas.openxmlformats.org/officeDocument/2006/relationships/hyperlink" Target="https://reklama.cncenter.cz/Online/mobilni-slide-up" TargetMode="External"/><Relationship Id="rId1787" Type="http://schemas.openxmlformats.org/officeDocument/2006/relationships/hyperlink" Target="https://mojezdravi.cz/" TargetMode="External"/><Relationship Id="rId1994" Type="http://schemas.openxmlformats.org/officeDocument/2006/relationships/hyperlink" Target="https://www.poggers.cz/" TargetMode="External"/><Relationship Id="rId79" Type="http://schemas.openxmlformats.org/officeDocument/2006/relationships/hyperlink" Target="https://abicko.cz/" TargetMode="External"/><Relationship Id="rId1202" Type="http://schemas.openxmlformats.org/officeDocument/2006/relationships/hyperlink" Target="http://www.facebook.com/" TargetMode="External"/><Relationship Id="rId1647" Type="http://schemas.openxmlformats.org/officeDocument/2006/relationships/hyperlink" Target="https://reklama.cncenter.cz/Online/billboard-bottom" TargetMode="External"/><Relationship Id="rId1854" Type="http://schemas.openxmlformats.org/officeDocument/2006/relationships/hyperlink" Target="https://motogpsport.cz/" TargetMode="External"/><Relationship Id="rId1507" Type="http://schemas.openxmlformats.org/officeDocument/2006/relationships/hyperlink" Target="https://reklama.cncenter.cz/Online/branding" TargetMode="External"/><Relationship Id="rId1714" Type="http://schemas.openxmlformats.org/officeDocument/2006/relationships/hyperlink" Target="https://mobilmania.cz/" TargetMode="External"/><Relationship Id="rId295" Type="http://schemas.openxmlformats.org/officeDocument/2006/relationships/hyperlink" Target="https://auto.cz/" TargetMode="External"/><Relationship Id="rId1921" Type="http://schemas.openxmlformats.org/officeDocument/2006/relationships/hyperlink" Target="https://nemovitosti.blesk.cz/" TargetMode="External"/><Relationship Id="rId2183" Type="http://schemas.openxmlformats.org/officeDocument/2006/relationships/hyperlink" Target="https://reflex.cz/" TargetMode="External"/><Relationship Id="rId2390" Type="http://schemas.openxmlformats.org/officeDocument/2006/relationships/hyperlink" Target="https://zeny.cz/" TargetMode="External"/><Relationship Id="rId155" Type="http://schemas.openxmlformats.org/officeDocument/2006/relationships/hyperlink" Target="https://www.activegroup.cz/reklama" TargetMode="External"/><Relationship Id="rId362" Type="http://schemas.openxmlformats.org/officeDocument/2006/relationships/hyperlink" Target="https://autorevue.cz/" TargetMode="External"/><Relationship Id="rId1297" Type="http://schemas.openxmlformats.org/officeDocument/2006/relationships/hyperlink" Target="https://reklama.cncenter.cz/?ads=PR%2520%25C4%258Dl%25C3%25A1nky" TargetMode="External"/><Relationship Id="rId2043" Type="http://schemas.openxmlformats.org/officeDocument/2006/relationships/hyperlink" Target="https://www.realitnitrh.cz/" TargetMode="External"/><Relationship Id="rId2250" Type="http://schemas.openxmlformats.org/officeDocument/2006/relationships/hyperlink" Target="http://www.tiktok.com/" TargetMode="External"/><Relationship Id="rId222" Type="http://schemas.openxmlformats.org/officeDocument/2006/relationships/hyperlink" Target="https://ahaonline.cz/" TargetMode="External"/><Relationship Id="rId667" Type="http://schemas.openxmlformats.org/officeDocument/2006/relationships/hyperlink" Target="https://reklama.cncenter.cz/Online/nativni-rectangle-cross-device" TargetMode="External"/><Relationship Id="rId874" Type="http://schemas.openxmlformats.org/officeDocument/2006/relationships/hyperlink" Target="https://reklama.cncenter.cz/Online/mobilni-vineta" TargetMode="External"/><Relationship Id="rId2110" Type="http://schemas.openxmlformats.org/officeDocument/2006/relationships/hyperlink" Target="https://recepty.cz/" TargetMode="External"/><Relationship Id="rId2348" Type="http://schemas.openxmlformats.org/officeDocument/2006/relationships/hyperlink" Target="https://zeny.cz/" TargetMode="External"/><Relationship Id="rId527" Type="http://schemas.openxmlformats.org/officeDocument/2006/relationships/hyperlink" Target="https://blesk.cz/" TargetMode="External"/><Relationship Id="rId734" Type="http://schemas.openxmlformats.org/officeDocument/2006/relationships/hyperlink" Target="https://reklama.cncenter.cz/Online/mobilni-interscroller" TargetMode="External"/><Relationship Id="rId941" Type="http://schemas.openxmlformats.org/officeDocument/2006/relationships/hyperlink" Target="https://dama.cz/" TargetMode="External"/><Relationship Id="rId1157" Type="http://schemas.openxmlformats.org/officeDocument/2006/relationships/hyperlink" Target="http://www.facebook.com/" TargetMode="External"/><Relationship Id="rId1364" Type="http://schemas.openxmlformats.org/officeDocument/2006/relationships/hyperlink" Target="https://hledejceny.cz/" TargetMode="External"/><Relationship Id="rId1571" Type="http://schemas.openxmlformats.org/officeDocument/2006/relationships/hyperlink" Target="https://maminka.cz/" TargetMode="External"/><Relationship Id="rId2208" Type="http://schemas.openxmlformats.org/officeDocument/2006/relationships/hyperlink" Target="https://reflex.cz/" TargetMode="External"/><Relationship Id="rId2415" Type="http://schemas.openxmlformats.org/officeDocument/2006/relationships/hyperlink" Target="https://reklama.cncenter.cz/Online/billboard-bottom" TargetMode="External"/><Relationship Id="rId70" Type="http://schemas.openxmlformats.org/officeDocument/2006/relationships/hyperlink" Target="https://abicko.cz/" TargetMode="External"/><Relationship Id="rId801" Type="http://schemas.openxmlformats.org/officeDocument/2006/relationships/hyperlink" Target="https://digiarena.zive.cz/" TargetMode="External"/><Relationship Id="rId1017" Type="http://schemas.openxmlformats.org/officeDocument/2006/relationships/hyperlink" Target="https://reklama.cncenter.cz/Online/mobilni-vineta" TargetMode="External"/><Relationship Id="rId1224" Type="http://schemas.openxmlformats.org/officeDocument/2006/relationships/hyperlink" Target="https://finexpert.cz/" TargetMode="External"/><Relationship Id="rId1431" Type="http://schemas.openxmlformats.org/officeDocument/2006/relationships/hyperlink" Target="http://www.instagram.com/" TargetMode="External"/><Relationship Id="rId1669" Type="http://schemas.openxmlformats.org/officeDocument/2006/relationships/hyperlink" Target="https://reklama.cncenter.cz/Online/billboard-bottom" TargetMode="External"/><Relationship Id="rId1876" Type="http://schemas.openxmlformats.org/officeDocument/2006/relationships/hyperlink" Target="https://motogpsport.cz/" TargetMode="External"/><Relationship Id="rId1529" Type="http://schemas.openxmlformats.org/officeDocument/2006/relationships/hyperlink" Target="https://lideazeme.cz/" TargetMode="External"/><Relationship Id="rId1736" Type="http://schemas.openxmlformats.org/officeDocument/2006/relationships/hyperlink" Target="https://reklama.cncenter.cz/?ads=PR%2520%25C4%258Dl%25C3%25A1nky" TargetMode="External"/><Relationship Id="rId1943" Type="http://schemas.openxmlformats.org/officeDocument/2006/relationships/hyperlink" Target="http://nemovitosti.blesk.cz/" TargetMode="External"/><Relationship Id="rId28" Type="http://schemas.openxmlformats.org/officeDocument/2006/relationships/hyperlink" Target="https://abecedazahrady.dama.cz/" TargetMode="External"/><Relationship Id="rId1803" Type="http://schemas.openxmlformats.org/officeDocument/2006/relationships/hyperlink" Target="https://reklama.cncenter.cz/Online/mobilni-slide-up" TargetMode="External"/><Relationship Id="rId177" Type="http://schemas.openxmlformats.org/officeDocument/2006/relationships/hyperlink" Target="https://reklama.cncenter.cz/Online/branding" TargetMode="External"/><Relationship Id="rId384" Type="http://schemas.openxmlformats.org/officeDocument/2006/relationships/hyperlink" Target="https://autorevue.cz/" TargetMode="External"/><Relationship Id="rId591" Type="http://schemas.openxmlformats.org/officeDocument/2006/relationships/hyperlink" Target="https://reklama.cncenter.cz/Online/Bumper" TargetMode="External"/><Relationship Id="rId2065" Type="http://schemas.openxmlformats.org/officeDocument/2006/relationships/hyperlink" Target="https://recepty.cz/" TargetMode="External"/><Relationship Id="rId2272" Type="http://schemas.openxmlformats.org/officeDocument/2006/relationships/hyperlink" Target="https://vtm.zive.cz/" TargetMode="External"/><Relationship Id="rId244" Type="http://schemas.openxmlformats.org/officeDocument/2006/relationships/hyperlink" Target="https://auto.cz/" TargetMode="External"/><Relationship Id="rId689" Type="http://schemas.openxmlformats.org/officeDocument/2006/relationships/hyperlink" Target="https://reklama.cncenter.cz/Online/mobilni-vineta" TargetMode="External"/><Relationship Id="rId896" Type="http://schemas.openxmlformats.org/officeDocument/2006/relationships/hyperlink" Target="https://doupe.zive.cz/" TargetMode="External"/><Relationship Id="rId1081" Type="http://schemas.openxmlformats.org/officeDocument/2006/relationships/hyperlink" Target="https://f1sport.auto.cz/" TargetMode="External"/><Relationship Id="rId451" Type="http://schemas.openxmlformats.org/officeDocument/2006/relationships/hyperlink" Target="https://avmania.zive.cz/" TargetMode="External"/><Relationship Id="rId549" Type="http://schemas.openxmlformats.org/officeDocument/2006/relationships/hyperlink" Target="https://reklama.cncenter.cz/Online/billboard-bottom" TargetMode="External"/><Relationship Id="rId756" Type="http://schemas.openxmlformats.org/officeDocument/2006/relationships/hyperlink" Target="https://reklama.cncenter.cz/Online/double-skyscraper" TargetMode="External"/><Relationship Id="rId1179" Type="http://schemas.openxmlformats.org/officeDocument/2006/relationships/hyperlink" Target="http://www.facebook.com/" TargetMode="External"/><Relationship Id="rId1386" Type="http://schemas.openxmlformats.org/officeDocument/2006/relationships/hyperlink" Target="http://www.instagram.com/" TargetMode="External"/><Relationship Id="rId1593" Type="http://schemas.openxmlformats.org/officeDocument/2006/relationships/hyperlink" Target="https://maminka.cz/" TargetMode="External"/><Relationship Id="rId2132" Type="http://schemas.openxmlformats.org/officeDocument/2006/relationships/hyperlink" Target="https://recepty.cz/" TargetMode="External"/><Relationship Id="rId2437" Type="http://schemas.openxmlformats.org/officeDocument/2006/relationships/hyperlink" Target="https://zive.cz/" TargetMode="External"/><Relationship Id="rId104" Type="http://schemas.openxmlformats.org/officeDocument/2006/relationships/hyperlink" Target="https://reklama.cncenter.cz/Online/nativni-PR-premium" TargetMode="External"/><Relationship Id="rId311" Type="http://schemas.openxmlformats.org/officeDocument/2006/relationships/hyperlink" Target="https://auto.cz/" TargetMode="External"/><Relationship Id="rId409" Type="http://schemas.openxmlformats.org/officeDocument/2006/relationships/hyperlink" Target="https://avmania.zive.cz/" TargetMode="External"/><Relationship Id="rId963" Type="http://schemas.openxmlformats.org/officeDocument/2006/relationships/hyperlink" Target="https://reklama.cncenter.cz/Online/double-skyscraper" TargetMode="External"/><Relationship Id="rId1039" Type="http://schemas.openxmlformats.org/officeDocument/2006/relationships/hyperlink" Target="https://reklama.cncenter.cz/Online/Videospot" TargetMode="External"/><Relationship Id="rId1246" Type="http://schemas.openxmlformats.org/officeDocument/2006/relationships/hyperlink" Target="https://reklama.cncenter.cz/Online/billboard-bottom" TargetMode="External"/><Relationship Id="rId1898" Type="http://schemas.openxmlformats.org/officeDocument/2006/relationships/hyperlink" Target="https://nemovitosti.blesk.cz/" TargetMode="External"/><Relationship Id="rId92" Type="http://schemas.openxmlformats.org/officeDocument/2006/relationships/hyperlink" Target="https://reklama.cncenter.cz/Online/double-skyscraper" TargetMode="External"/><Relationship Id="rId616" Type="http://schemas.openxmlformats.org/officeDocument/2006/relationships/hyperlink" Target="https://reklama.cncenter.cz/Online/nativni-rectangle-cross-device" TargetMode="External"/><Relationship Id="rId823" Type="http://schemas.openxmlformats.org/officeDocument/2006/relationships/hyperlink" Target="https://digiarena.zive.cz/" TargetMode="External"/><Relationship Id="rId1453" Type="http://schemas.openxmlformats.org/officeDocument/2006/relationships/hyperlink" Target="http://www.instagram.com/" TargetMode="External"/><Relationship Id="rId1660" Type="http://schemas.openxmlformats.org/officeDocument/2006/relationships/hyperlink" Target="https://reklama.cncenter.cz/Online/mobilni-vineta" TargetMode="External"/><Relationship Id="rId1758" Type="http://schemas.openxmlformats.org/officeDocument/2006/relationships/hyperlink" Target="https://mojezdravi.cz/" TargetMode="External"/><Relationship Id="rId1106" Type="http://schemas.openxmlformats.org/officeDocument/2006/relationships/hyperlink" Target="https://f1sport.auto.cz/" TargetMode="External"/><Relationship Id="rId1313" Type="http://schemas.openxmlformats.org/officeDocument/2006/relationships/hyperlink" Target="https://frekvence1.cz/" TargetMode="External"/><Relationship Id="rId1520" Type="http://schemas.openxmlformats.org/officeDocument/2006/relationships/hyperlink" Target="https://lideazeme.cz/" TargetMode="External"/><Relationship Id="rId1965" Type="http://schemas.openxmlformats.org/officeDocument/2006/relationships/hyperlink" Target="https://nemovitosti.blesk.cz/" TargetMode="External"/><Relationship Id="rId1618" Type="http://schemas.openxmlformats.org/officeDocument/2006/relationships/hyperlink" Target="https://maminka.cz/" TargetMode="External"/><Relationship Id="rId1825" Type="http://schemas.openxmlformats.org/officeDocument/2006/relationships/hyperlink" Target="https://mojezdravi.cz/" TargetMode="External"/><Relationship Id="rId199" Type="http://schemas.openxmlformats.org/officeDocument/2006/relationships/hyperlink" Target="https://ahaonline.cz/" TargetMode="External"/><Relationship Id="rId2087" Type="http://schemas.openxmlformats.org/officeDocument/2006/relationships/hyperlink" Target="https://recepty.cz/" TargetMode="External"/><Relationship Id="rId2294" Type="http://schemas.openxmlformats.org/officeDocument/2006/relationships/hyperlink" Target="https://vtm.zive.cz/" TargetMode="External"/><Relationship Id="rId266" Type="http://schemas.openxmlformats.org/officeDocument/2006/relationships/hyperlink" Target="https://auto.cz/" TargetMode="External"/><Relationship Id="rId473" Type="http://schemas.openxmlformats.org/officeDocument/2006/relationships/hyperlink" Target="https://avmania.zive.cz/" TargetMode="External"/><Relationship Id="rId680" Type="http://schemas.openxmlformats.org/officeDocument/2006/relationships/hyperlink" Target="https://reklama.cncenter.cz/Online/billboard-bottom" TargetMode="External"/><Relationship Id="rId2154" Type="http://schemas.openxmlformats.org/officeDocument/2006/relationships/hyperlink" Target="https://reklama.cncenter.cz/Online/branding-cross-device" TargetMode="External"/><Relationship Id="rId2361" Type="http://schemas.openxmlformats.org/officeDocument/2006/relationships/hyperlink" Target="https://reklama.cncenter.cz/Online/Bumper" TargetMode="External"/><Relationship Id="rId126" Type="http://schemas.openxmlformats.org/officeDocument/2006/relationships/hyperlink" Target="https://abicko.cz/" TargetMode="External"/><Relationship Id="rId333" Type="http://schemas.openxmlformats.org/officeDocument/2006/relationships/hyperlink" Target="https://reklama.cncenter.cz/Online/branding-cross-device" TargetMode="External"/><Relationship Id="rId540" Type="http://schemas.openxmlformats.org/officeDocument/2006/relationships/hyperlink" Target="https://blesk.cz/" TargetMode="External"/><Relationship Id="rId778" Type="http://schemas.openxmlformats.org/officeDocument/2006/relationships/hyperlink" Target="https://reklama.cncenter.cz/Online/billboard-bottom" TargetMode="External"/><Relationship Id="rId985" Type="http://schemas.openxmlformats.org/officeDocument/2006/relationships/hyperlink" Target="https://dama.cz/" TargetMode="External"/><Relationship Id="rId1170" Type="http://schemas.openxmlformats.org/officeDocument/2006/relationships/hyperlink" Target="http://www.facebook.com/" TargetMode="External"/><Relationship Id="rId2014" Type="http://schemas.openxmlformats.org/officeDocument/2006/relationships/hyperlink" Target="https://www.realitnitrh.cz/" TargetMode="External"/><Relationship Id="rId2221" Type="http://schemas.openxmlformats.org/officeDocument/2006/relationships/hyperlink" Target="https://reklama.cncenter.cz/Online/Outstream" TargetMode="External"/><Relationship Id="rId2459" Type="http://schemas.openxmlformats.org/officeDocument/2006/relationships/hyperlink" Target="https://reklama.cncenter.cz/Online/mobilni-vineta" TargetMode="External"/><Relationship Id="rId638" Type="http://schemas.openxmlformats.org/officeDocument/2006/relationships/hyperlink" Target="https://reklama.cncenter.cz/Online/double-skyscraper" TargetMode="External"/><Relationship Id="rId845" Type="http://schemas.openxmlformats.org/officeDocument/2006/relationships/hyperlink" Target="https://doupe.zive.cz/" TargetMode="External"/><Relationship Id="rId1030" Type="http://schemas.openxmlformats.org/officeDocument/2006/relationships/hyperlink" Target="https://reklama.cncenter.cz/Online/branding-cross-device" TargetMode="External"/><Relationship Id="rId1268" Type="http://schemas.openxmlformats.org/officeDocument/2006/relationships/hyperlink" Target="https://fitweb.cz/" TargetMode="External"/><Relationship Id="rId1475" Type="http://schemas.openxmlformats.org/officeDocument/2006/relationships/hyperlink" Target="https://reklama.cncenter.cz/Online/mobilni-vineta" TargetMode="External"/><Relationship Id="rId1682" Type="http://schemas.openxmlformats.org/officeDocument/2006/relationships/hyperlink" Target="https://mobilmania.cz/" TargetMode="External"/><Relationship Id="rId2319" Type="http://schemas.openxmlformats.org/officeDocument/2006/relationships/hyperlink" Target="https://reklama.cncenter.cz/Online/billboard-bottom" TargetMode="External"/><Relationship Id="rId400" Type="http://schemas.openxmlformats.org/officeDocument/2006/relationships/hyperlink" Target="https://autorevue.cz/" TargetMode="External"/><Relationship Id="rId705" Type="http://schemas.openxmlformats.org/officeDocument/2006/relationships/hyperlink" Target="https://reklama.cncenter.cz/Online/billboard-bottom" TargetMode="External"/><Relationship Id="rId1128" Type="http://schemas.openxmlformats.org/officeDocument/2006/relationships/hyperlink" Target="https://f1sport.auto.cz/" TargetMode="External"/><Relationship Id="rId1335" Type="http://schemas.openxmlformats.org/officeDocument/2006/relationships/hyperlink" Target="https://frekvence1.cz/" TargetMode="External"/><Relationship Id="rId1542" Type="http://schemas.openxmlformats.org/officeDocument/2006/relationships/hyperlink" Target="https://lideazeme.cz/" TargetMode="External"/><Relationship Id="rId1987" Type="http://schemas.openxmlformats.org/officeDocument/2006/relationships/hyperlink" Target="https://nemovitosti.blesk.cz/" TargetMode="External"/><Relationship Id="rId912" Type="http://schemas.openxmlformats.org/officeDocument/2006/relationships/hyperlink" Target="https://dama.cz/" TargetMode="External"/><Relationship Id="rId1847" Type="http://schemas.openxmlformats.org/officeDocument/2006/relationships/hyperlink" Target="https://motogpsport.cz/" TargetMode="External"/><Relationship Id="rId41" Type="http://schemas.openxmlformats.org/officeDocument/2006/relationships/hyperlink" Target="https://abecedazahrady.dama.cz/" TargetMode="External"/><Relationship Id="rId1402" Type="http://schemas.openxmlformats.org/officeDocument/2006/relationships/hyperlink" Target="http://www.instagram.com/" TargetMode="External"/><Relationship Id="rId1707" Type="http://schemas.openxmlformats.org/officeDocument/2006/relationships/hyperlink" Target="https://mobilmania.cz/" TargetMode="External"/><Relationship Id="rId190" Type="http://schemas.openxmlformats.org/officeDocument/2006/relationships/hyperlink" Target="https://ahaonline.cz/" TargetMode="External"/><Relationship Id="rId288" Type="http://schemas.openxmlformats.org/officeDocument/2006/relationships/hyperlink" Target="https://auto.cz/" TargetMode="External"/><Relationship Id="rId1914" Type="http://schemas.openxmlformats.org/officeDocument/2006/relationships/hyperlink" Target="https://reklama.cncenter.cz/Online/billboard-bottom" TargetMode="External"/><Relationship Id="rId495" Type="http://schemas.openxmlformats.org/officeDocument/2006/relationships/hyperlink" Target="https://blesk.cz/" TargetMode="External"/><Relationship Id="rId2176" Type="http://schemas.openxmlformats.org/officeDocument/2006/relationships/hyperlink" Target="https://reflex.cz/" TargetMode="External"/><Relationship Id="rId2383" Type="http://schemas.openxmlformats.org/officeDocument/2006/relationships/hyperlink" Target="https://reklama.cncenter.cz/Online/nativni-PR-premium" TargetMode="External"/><Relationship Id="rId148" Type="http://schemas.openxmlformats.org/officeDocument/2006/relationships/hyperlink" Target="https://abicko.cz/" TargetMode="External"/><Relationship Id="rId355" Type="http://schemas.openxmlformats.org/officeDocument/2006/relationships/hyperlink" Target="https://autorevue.cz/" TargetMode="External"/><Relationship Id="rId562" Type="http://schemas.openxmlformats.org/officeDocument/2006/relationships/hyperlink" Target="https://bleskprozeny.cz/" TargetMode="External"/><Relationship Id="rId1192" Type="http://schemas.openxmlformats.org/officeDocument/2006/relationships/hyperlink" Target="https://www.facebook.com/business/ads-guide/image/facebook-feed" TargetMode="External"/><Relationship Id="rId2036" Type="http://schemas.openxmlformats.org/officeDocument/2006/relationships/hyperlink" Target="https://reklama.cncenter.cz/Online/double-skyscraper" TargetMode="External"/><Relationship Id="rId2243" Type="http://schemas.openxmlformats.org/officeDocument/2006/relationships/hyperlink" Target="https://sportrevue.cz/" TargetMode="External"/><Relationship Id="rId2450" Type="http://schemas.openxmlformats.org/officeDocument/2006/relationships/hyperlink" Target="https://reklama.cncenter.cz/Online/double-skyscraper" TargetMode="External"/><Relationship Id="rId215" Type="http://schemas.openxmlformats.org/officeDocument/2006/relationships/hyperlink" Target="https://reklama.cncenter.cz/Online/mobilni-vineta" TargetMode="External"/><Relationship Id="rId422" Type="http://schemas.openxmlformats.org/officeDocument/2006/relationships/hyperlink" Target="https://avmania.zive.cz/" TargetMode="External"/><Relationship Id="rId867" Type="http://schemas.openxmlformats.org/officeDocument/2006/relationships/hyperlink" Target="https://doupe.zive.cz/" TargetMode="External"/><Relationship Id="rId1052" Type="http://schemas.openxmlformats.org/officeDocument/2006/relationships/hyperlink" Target="https://evropa2.cz/" TargetMode="External"/><Relationship Id="rId1497" Type="http://schemas.openxmlformats.org/officeDocument/2006/relationships/hyperlink" Target="https://lideazeme.cz/" TargetMode="External"/><Relationship Id="rId2103" Type="http://schemas.openxmlformats.org/officeDocument/2006/relationships/hyperlink" Target="https://reklama.cncenter.cz/Online/Outstream" TargetMode="External"/><Relationship Id="rId2310" Type="http://schemas.openxmlformats.org/officeDocument/2006/relationships/hyperlink" Target="https://youradio.cz/" TargetMode="External"/><Relationship Id="rId727" Type="http://schemas.openxmlformats.org/officeDocument/2006/relationships/hyperlink" Target="https://reklama.cncenter.cz/Online/branding-cross-device" TargetMode="External"/><Relationship Id="rId934" Type="http://schemas.openxmlformats.org/officeDocument/2006/relationships/hyperlink" Target="https://reklama.cncenter.cz/Online/double-skyscraper" TargetMode="External"/><Relationship Id="rId1357" Type="http://schemas.openxmlformats.org/officeDocument/2006/relationships/hyperlink" Target="https://reklama.cncenter.cz/Online/billboard-bottom" TargetMode="External"/><Relationship Id="rId1564" Type="http://schemas.openxmlformats.org/officeDocument/2006/relationships/hyperlink" Target="https://reklama.cncenter.cz/Online/branding-cross-device" TargetMode="External"/><Relationship Id="rId1771" Type="http://schemas.openxmlformats.org/officeDocument/2006/relationships/hyperlink" Target="https://reklama.cncenter.cz/Online/Videospot" TargetMode="External"/><Relationship Id="rId2408" Type="http://schemas.openxmlformats.org/officeDocument/2006/relationships/hyperlink" Target="https://zive.cz/" TargetMode="External"/><Relationship Id="rId63" Type="http://schemas.openxmlformats.org/officeDocument/2006/relationships/hyperlink" Target="https://reklama.cncenter.cz/?ads=PR%2520%25C4%258Dl%25C3%25A1nky" TargetMode="External"/><Relationship Id="rId1217" Type="http://schemas.openxmlformats.org/officeDocument/2006/relationships/hyperlink" Target="http://www.facebook.com/" TargetMode="External"/><Relationship Id="rId1424" Type="http://schemas.openxmlformats.org/officeDocument/2006/relationships/hyperlink" Target="http://www.instagram.com/" TargetMode="External"/><Relationship Id="rId1631" Type="http://schemas.openxmlformats.org/officeDocument/2006/relationships/hyperlink" Target="https://reklama.cncenter.cz/Online/Outstream" TargetMode="External"/><Relationship Id="rId1869" Type="http://schemas.openxmlformats.org/officeDocument/2006/relationships/hyperlink" Target="https://reklama.cncenter.cz/Online/double-skyscraper" TargetMode="External"/><Relationship Id="rId1729" Type="http://schemas.openxmlformats.org/officeDocument/2006/relationships/hyperlink" Target="https://mobilmania.cz/" TargetMode="External"/><Relationship Id="rId1936" Type="http://schemas.openxmlformats.org/officeDocument/2006/relationships/hyperlink" Target="https://nemovitosti.blesk.cz/" TargetMode="External"/><Relationship Id="rId2198" Type="http://schemas.openxmlformats.org/officeDocument/2006/relationships/hyperlink" Target="https://reklama.cncenter.cz/Online/double-skyscraper" TargetMode="External"/><Relationship Id="rId377" Type="http://schemas.openxmlformats.org/officeDocument/2006/relationships/hyperlink" Target="https://reklama.cncenter.cz/Online/mobilni-interscroller" TargetMode="External"/><Relationship Id="rId584" Type="http://schemas.openxmlformats.org/officeDocument/2006/relationships/hyperlink" Target="https://bleskprozeny.cz/" TargetMode="External"/><Relationship Id="rId2058" Type="http://schemas.openxmlformats.org/officeDocument/2006/relationships/hyperlink" Target="https://www.realitnitrh.cz/" TargetMode="External"/><Relationship Id="rId2265" Type="http://schemas.openxmlformats.org/officeDocument/2006/relationships/hyperlink" Target="https://reklama.cncenter.cz/Online/branding-cross-device" TargetMode="External"/><Relationship Id="rId5" Type="http://schemas.openxmlformats.org/officeDocument/2006/relationships/hyperlink" Target="https://reklama.cncenter.cz/Online/billboard-bottom" TargetMode="External"/><Relationship Id="rId237" Type="http://schemas.openxmlformats.org/officeDocument/2006/relationships/hyperlink" Target="https://ahaonline.cz/" TargetMode="External"/><Relationship Id="rId791" Type="http://schemas.openxmlformats.org/officeDocument/2006/relationships/hyperlink" Target="https://digiarena.zive.cz/" TargetMode="External"/><Relationship Id="rId889" Type="http://schemas.openxmlformats.org/officeDocument/2006/relationships/hyperlink" Target="https://doupe.zive.cz/" TargetMode="External"/><Relationship Id="rId1074" Type="http://schemas.openxmlformats.org/officeDocument/2006/relationships/hyperlink" Target="https://evropa2.cz/" TargetMode="External"/><Relationship Id="rId2472" Type="http://schemas.openxmlformats.org/officeDocument/2006/relationships/hyperlink" Target="https://zive.cz/" TargetMode="External"/><Relationship Id="rId444" Type="http://schemas.openxmlformats.org/officeDocument/2006/relationships/hyperlink" Target="https://reklama.cncenter.cz/Online/Outstream" TargetMode="External"/><Relationship Id="rId651" Type="http://schemas.openxmlformats.org/officeDocument/2006/relationships/hyperlink" Target="https://reklama.cncenter.cz/Online/mobilni-vineta" TargetMode="External"/><Relationship Id="rId749" Type="http://schemas.openxmlformats.org/officeDocument/2006/relationships/hyperlink" Target="https://reklama.cncenter.cz/Online/Bumper" TargetMode="External"/><Relationship Id="rId1281" Type="http://schemas.openxmlformats.org/officeDocument/2006/relationships/hyperlink" Target="https://fitweb.cz/" TargetMode="External"/><Relationship Id="rId1379" Type="http://schemas.openxmlformats.org/officeDocument/2006/relationships/hyperlink" Target="http://www.instagram.com/" TargetMode="External"/><Relationship Id="rId1586" Type="http://schemas.openxmlformats.org/officeDocument/2006/relationships/hyperlink" Target="https://maminka.cz/" TargetMode="External"/><Relationship Id="rId2125" Type="http://schemas.openxmlformats.org/officeDocument/2006/relationships/hyperlink" Target="https://recepty.cz/" TargetMode="External"/><Relationship Id="rId2332" Type="http://schemas.openxmlformats.org/officeDocument/2006/relationships/hyperlink" Target="https://zeny.cz/" TargetMode="External"/><Relationship Id="rId304" Type="http://schemas.openxmlformats.org/officeDocument/2006/relationships/hyperlink" Target="https://auto.cz/" TargetMode="External"/><Relationship Id="rId511" Type="http://schemas.openxmlformats.org/officeDocument/2006/relationships/hyperlink" Target="https://reklama.cncenter.cz/Online/Bumper" TargetMode="External"/><Relationship Id="rId609" Type="http://schemas.openxmlformats.org/officeDocument/2006/relationships/hyperlink" Target="https://bleskprozeny.cz/" TargetMode="External"/><Relationship Id="rId956" Type="http://schemas.openxmlformats.org/officeDocument/2006/relationships/hyperlink" Target="https://dama.cz/" TargetMode="External"/><Relationship Id="rId1141" Type="http://schemas.openxmlformats.org/officeDocument/2006/relationships/hyperlink" Target="https://f1sport.auto.cz/" TargetMode="External"/><Relationship Id="rId1239" Type="http://schemas.openxmlformats.org/officeDocument/2006/relationships/hyperlink" Target="https://fitweb.cz/" TargetMode="External"/><Relationship Id="rId1793" Type="http://schemas.openxmlformats.org/officeDocument/2006/relationships/hyperlink" Target="https://mojezdravi.cz/" TargetMode="External"/><Relationship Id="rId85" Type="http://schemas.openxmlformats.org/officeDocument/2006/relationships/hyperlink" Target="https://abicko.cz/" TargetMode="External"/><Relationship Id="rId816" Type="http://schemas.openxmlformats.org/officeDocument/2006/relationships/hyperlink" Target="https://reklama.cncenter.cz/Online/double-skyscraper" TargetMode="External"/><Relationship Id="rId1001" Type="http://schemas.openxmlformats.org/officeDocument/2006/relationships/hyperlink" Target="https://reklama.cncenter.cz/Online/branding" TargetMode="External"/><Relationship Id="rId1446" Type="http://schemas.openxmlformats.org/officeDocument/2006/relationships/hyperlink" Target="http://www.instagram.com/" TargetMode="External"/><Relationship Id="rId1653" Type="http://schemas.openxmlformats.org/officeDocument/2006/relationships/hyperlink" Target="https://reklama.cncenter.cz/Online/mobilni-vineta" TargetMode="External"/><Relationship Id="rId1860" Type="http://schemas.openxmlformats.org/officeDocument/2006/relationships/hyperlink" Target="https://motogpsport.cz/" TargetMode="External"/><Relationship Id="rId1306" Type="http://schemas.openxmlformats.org/officeDocument/2006/relationships/hyperlink" Target="https://reklama.cncenter.cz/Online/branding-cross-device" TargetMode="External"/><Relationship Id="rId1513" Type="http://schemas.openxmlformats.org/officeDocument/2006/relationships/hyperlink" Target="https://reklama.cncenter.cz/Online/mobilni-interscroller" TargetMode="External"/><Relationship Id="rId1720" Type="http://schemas.openxmlformats.org/officeDocument/2006/relationships/hyperlink" Target="https://mobilmania.cz/" TargetMode="External"/><Relationship Id="rId1958" Type="http://schemas.openxmlformats.org/officeDocument/2006/relationships/hyperlink" Target="https://nemovitosti.blesk.cz/" TargetMode="External"/><Relationship Id="rId12" Type="http://schemas.openxmlformats.org/officeDocument/2006/relationships/hyperlink" Target="https://abecedazahrady.dama.cz/" TargetMode="External"/><Relationship Id="rId1818" Type="http://schemas.openxmlformats.org/officeDocument/2006/relationships/hyperlink" Target="https://mojezdravi.cz/" TargetMode="External"/><Relationship Id="rId161" Type="http://schemas.openxmlformats.org/officeDocument/2006/relationships/hyperlink" Target="https://ahaonline.cz/" TargetMode="External"/><Relationship Id="rId399" Type="http://schemas.openxmlformats.org/officeDocument/2006/relationships/hyperlink" Target="https://autorevue.cz/" TargetMode="External"/><Relationship Id="rId2287" Type="http://schemas.openxmlformats.org/officeDocument/2006/relationships/hyperlink" Target="https://vtm.zive.cz/" TargetMode="External"/><Relationship Id="rId259" Type="http://schemas.openxmlformats.org/officeDocument/2006/relationships/hyperlink" Target="https://auto.cz/" TargetMode="External"/><Relationship Id="rId466" Type="http://schemas.openxmlformats.org/officeDocument/2006/relationships/hyperlink" Target="https://reklama.cncenter.cz/Online/Outstream" TargetMode="External"/><Relationship Id="rId673" Type="http://schemas.openxmlformats.org/officeDocument/2006/relationships/hyperlink" Target="https://reklama.cncenter.cz/Online/mobilni-interscroller" TargetMode="External"/><Relationship Id="rId880" Type="http://schemas.openxmlformats.org/officeDocument/2006/relationships/hyperlink" Target="https://reklama.cncenter.cz/Online/Outstream" TargetMode="External"/><Relationship Id="rId1096" Type="http://schemas.openxmlformats.org/officeDocument/2006/relationships/hyperlink" Target="https://f1sport.auto.cz/" TargetMode="External"/><Relationship Id="rId2147" Type="http://schemas.openxmlformats.org/officeDocument/2006/relationships/hyperlink" Target="https://reflex.cz/" TargetMode="External"/><Relationship Id="rId2354" Type="http://schemas.openxmlformats.org/officeDocument/2006/relationships/hyperlink" Target="https://zeny.cz/" TargetMode="External"/><Relationship Id="rId119" Type="http://schemas.openxmlformats.org/officeDocument/2006/relationships/hyperlink" Target="https://abicko.cz/" TargetMode="External"/><Relationship Id="rId326" Type="http://schemas.openxmlformats.org/officeDocument/2006/relationships/hyperlink" Target="https://autorevue.cz/" TargetMode="External"/><Relationship Id="rId533" Type="http://schemas.openxmlformats.org/officeDocument/2006/relationships/hyperlink" Target="https://blesk.cz/" TargetMode="External"/><Relationship Id="rId978" Type="http://schemas.openxmlformats.org/officeDocument/2006/relationships/hyperlink" Target="https://dama.cz/" TargetMode="External"/><Relationship Id="rId1163" Type="http://schemas.openxmlformats.org/officeDocument/2006/relationships/hyperlink" Target="http://www.facebook.com/" TargetMode="External"/><Relationship Id="rId1370" Type="http://schemas.openxmlformats.org/officeDocument/2006/relationships/hyperlink" Target="https://hledejceny.cz/" TargetMode="External"/><Relationship Id="rId2007" Type="http://schemas.openxmlformats.org/officeDocument/2006/relationships/hyperlink" Target="https://reklama.cncenter.cz/Online/branding" TargetMode="External"/><Relationship Id="rId2214" Type="http://schemas.openxmlformats.org/officeDocument/2006/relationships/hyperlink" Target="https://reflex.cz/" TargetMode="External"/><Relationship Id="rId740" Type="http://schemas.openxmlformats.org/officeDocument/2006/relationships/hyperlink" Target="https://reklama.cncenter.cz/Online/Bumper" TargetMode="External"/><Relationship Id="rId838" Type="http://schemas.openxmlformats.org/officeDocument/2006/relationships/hyperlink" Target="https://digiarena.zive.cz/" TargetMode="External"/><Relationship Id="rId1023" Type="http://schemas.openxmlformats.org/officeDocument/2006/relationships/hyperlink" Target="https://evropa2.cz/" TargetMode="External"/><Relationship Id="rId1468" Type="http://schemas.openxmlformats.org/officeDocument/2006/relationships/hyperlink" Target="https://reklama.cncenter.cz/Online/billboard-bottom" TargetMode="External"/><Relationship Id="rId1675" Type="http://schemas.openxmlformats.org/officeDocument/2006/relationships/hyperlink" Target="https://reklama.cncenter.cz/Online/branding" TargetMode="External"/><Relationship Id="rId1882" Type="http://schemas.openxmlformats.org/officeDocument/2006/relationships/hyperlink" Target="https://motogpsport.cz/" TargetMode="External"/><Relationship Id="rId2421" Type="http://schemas.openxmlformats.org/officeDocument/2006/relationships/hyperlink" Target="https://reklama.cncenter.cz/Online/branding" TargetMode="External"/><Relationship Id="rId600" Type="http://schemas.openxmlformats.org/officeDocument/2006/relationships/hyperlink" Target="https://bleskprozeny.cz/" TargetMode="External"/><Relationship Id="rId1230" Type="http://schemas.openxmlformats.org/officeDocument/2006/relationships/hyperlink" Target="https://finexpert.cz/" TargetMode="External"/><Relationship Id="rId1328" Type="http://schemas.openxmlformats.org/officeDocument/2006/relationships/hyperlink" Target="https://frekvence1.cz/" TargetMode="External"/><Relationship Id="rId1535" Type="http://schemas.openxmlformats.org/officeDocument/2006/relationships/hyperlink" Target="https://lideazeme.cz/" TargetMode="External"/><Relationship Id="rId905" Type="http://schemas.openxmlformats.org/officeDocument/2006/relationships/hyperlink" Target="https://reklama.cncenter.cz/?ads=PR%2520%25C4%258Dl%25C3%25A1nky" TargetMode="External"/><Relationship Id="rId1742" Type="http://schemas.openxmlformats.org/officeDocument/2006/relationships/hyperlink" Target="https://mobilmania.cz/" TargetMode="External"/><Relationship Id="rId34" Type="http://schemas.openxmlformats.org/officeDocument/2006/relationships/hyperlink" Target="https://abecedazahrady.dama.cz/" TargetMode="External"/><Relationship Id="rId1602" Type="http://schemas.openxmlformats.org/officeDocument/2006/relationships/hyperlink" Target="https://maminka.cz/" TargetMode="External"/><Relationship Id="rId183" Type="http://schemas.openxmlformats.org/officeDocument/2006/relationships/hyperlink" Target="https://reklama.cncenter.cz/Online/mobilni-interscroller" TargetMode="External"/><Relationship Id="rId390" Type="http://schemas.openxmlformats.org/officeDocument/2006/relationships/hyperlink" Target="https://autorevue.cz/" TargetMode="External"/><Relationship Id="rId1907" Type="http://schemas.openxmlformats.org/officeDocument/2006/relationships/hyperlink" Target="http://nemovitosti.blesk.cz/" TargetMode="External"/><Relationship Id="rId2071" Type="http://schemas.openxmlformats.org/officeDocument/2006/relationships/hyperlink" Target="https://recepty.cz/" TargetMode="External"/><Relationship Id="rId250" Type="http://schemas.openxmlformats.org/officeDocument/2006/relationships/hyperlink" Target="https://auto.cz/" TargetMode="External"/><Relationship Id="rId488" Type="http://schemas.openxmlformats.org/officeDocument/2006/relationships/hyperlink" Target="https://blesk.cz/" TargetMode="External"/><Relationship Id="rId695" Type="http://schemas.openxmlformats.org/officeDocument/2006/relationships/hyperlink" Target="https://reklama.cncenter.cz/Online/mobilni-interscroller" TargetMode="External"/><Relationship Id="rId2169" Type="http://schemas.openxmlformats.org/officeDocument/2006/relationships/hyperlink" Target="https://reklama.cncenter.cz/Online/double-skyscraper" TargetMode="External"/><Relationship Id="rId2376" Type="http://schemas.openxmlformats.org/officeDocument/2006/relationships/hyperlink" Target="https://zeny.cz/" TargetMode="External"/><Relationship Id="rId110" Type="http://schemas.openxmlformats.org/officeDocument/2006/relationships/hyperlink" Target="https://reklama.cncenter.cz/Online/Outstream" TargetMode="External"/><Relationship Id="rId348" Type="http://schemas.openxmlformats.org/officeDocument/2006/relationships/hyperlink" Target="https://reklama.cncenter.cz/Online/double-skyscraper" TargetMode="External"/><Relationship Id="rId555" Type="http://schemas.openxmlformats.org/officeDocument/2006/relationships/hyperlink" Target="https://reklama.cncenter.cz/Online/branding" TargetMode="External"/><Relationship Id="rId762" Type="http://schemas.openxmlformats.org/officeDocument/2006/relationships/hyperlink" Target="https://reklama.cncenter.cz/Online/Outstream" TargetMode="External"/><Relationship Id="rId1185" Type="http://schemas.openxmlformats.org/officeDocument/2006/relationships/hyperlink" Target="http://www.facebook.com/" TargetMode="External"/><Relationship Id="rId1392" Type="http://schemas.openxmlformats.org/officeDocument/2006/relationships/hyperlink" Target="http://www.instagram.com/" TargetMode="External"/><Relationship Id="rId2029" Type="http://schemas.openxmlformats.org/officeDocument/2006/relationships/hyperlink" Target="https://www.realitnitrh.cz/" TargetMode="External"/><Relationship Id="rId2236" Type="http://schemas.openxmlformats.org/officeDocument/2006/relationships/hyperlink" Target="https://sportrevue.cz/" TargetMode="External"/><Relationship Id="rId2443" Type="http://schemas.openxmlformats.org/officeDocument/2006/relationships/hyperlink" Target="https://zive.cz/" TargetMode="External"/><Relationship Id="rId208" Type="http://schemas.openxmlformats.org/officeDocument/2006/relationships/hyperlink" Target="https://ahaonline.cz/" TargetMode="External"/><Relationship Id="rId415" Type="http://schemas.openxmlformats.org/officeDocument/2006/relationships/hyperlink" Target="https://avmania.zive.cz/" TargetMode="External"/><Relationship Id="rId622" Type="http://schemas.openxmlformats.org/officeDocument/2006/relationships/hyperlink" Target="https://reklama.cncenter.cz/?ads=PR%2520%25C4%258Dl%25C3%25A1nky" TargetMode="External"/><Relationship Id="rId1045" Type="http://schemas.openxmlformats.org/officeDocument/2006/relationships/hyperlink" Target="https://reklama.cncenter.cz/Online/mobilni-slide-up" TargetMode="External"/><Relationship Id="rId1252" Type="http://schemas.openxmlformats.org/officeDocument/2006/relationships/hyperlink" Target="https://reklama.cncenter.cz/Online/branding" TargetMode="External"/><Relationship Id="rId1697" Type="http://schemas.openxmlformats.org/officeDocument/2006/relationships/hyperlink" Target="https://mobilmania.cz/" TargetMode="External"/><Relationship Id="rId2303" Type="http://schemas.openxmlformats.org/officeDocument/2006/relationships/hyperlink" Target="https://vtm.zive.cz/" TargetMode="External"/><Relationship Id="rId927" Type="http://schemas.openxmlformats.org/officeDocument/2006/relationships/hyperlink" Target="https://dama.cz/" TargetMode="External"/><Relationship Id="rId1112" Type="http://schemas.openxmlformats.org/officeDocument/2006/relationships/hyperlink" Target="https://f1sport.auto.cz/" TargetMode="External"/><Relationship Id="rId1557" Type="http://schemas.openxmlformats.org/officeDocument/2006/relationships/hyperlink" Target="https://maminka.cz/" TargetMode="External"/><Relationship Id="rId1764" Type="http://schemas.openxmlformats.org/officeDocument/2006/relationships/hyperlink" Target="https://mojezdravi.cz/" TargetMode="External"/><Relationship Id="rId1971" Type="http://schemas.openxmlformats.org/officeDocument/2006/relationships/hyperlink" Target="http://nemovitosti.blesk.cz/" TargetMode="External"/><Relationship Id="rId56" Type="http://schemas.openxmlformats.org/officeDocument/2006/relationships/hyperlink" Target="https://abecedazahrady.dama.cz/" TargetMode="External"/><Relationship Id="rId1417" Type="http://schemas.openxmlformats.org/officeDocument/2006/relationships/hyperlink" Target="http://www.instagram.com/" TargetMode="External"/><Relationship Id="rId1624" Type="http://schemas.openxmlformats.org/officeDocument/2006/relationships/hyperlink" Target="https://maminka.cz/" TargetMode="External"/><Relationship Id="rId1831" Type="http://schemas.openxmlformats.org/officeDocument/2006/relationships/hyperlink" Target="https://reklama.cncenter.cz/Online/billboard-bottom" TargetMode="External"/><Relationship Id="rId1929" Type="http://schemas.openxmlformats.org/officeDocument/2006/relationships/hyperlink" Target="https://nemovitosti.blesk.cz/" TargetMode="External"/><Relationship Id="rId2093" Type="http://schemas.openxmlformats.org/officeDocument/2006/relationships/hyperlink" Target="https://recepty.cz/" TargetMode="External"/><Relationship Id="rId2398" Type="http://schemas.openxmlformats.org/officeDocument/2006/relationships/hyperlink" Target="https://zeny.cz/" TargetMode="External"/><Relationship Id="rId272" Type="http://schemas.openxmlformats.org/officeDocument/2006/relationships/hyperlink" Target="https://auto.cz/" TargetMode="External"/><Relationship Id="rId577" Type="http://schemas.openxmlformats.org/officeDocument/2006/relationships/hyperlink" Target="https://bleskprozeny.cz/" TargetMode="External"/><Relationship Id="rId2160" Type="http://schemas.openxmlformats.org/officeDocument/2006/relationships/hyperlink" Target="https://reklama.cncenter.cz/Online/billboard-bottom" TargetMode="External"/><Relationship Id="rId2258" Type="http://schemas.openxmlformats.org/officeDocument/2006/relationships/hyperlink" Target="https://vtm.zive.cz/" TargetMode="External"/><Relationship Id="rId132" Type="http://schemas.openxmlformats.org/officeDocument/2006/relationships/hyperlink" Target="https://reklama.cncenter.cz/Online/nativni-PR-premium" TargetMode="External"/><Relationship Id="rId784" Type="http://schemas.openxmlformats.org/officeDocument/2006/relationships/hyperlink" Target="https://reklama.cncenter.cz/Online/branding" TargetMode="External"/><Relationship Id="rId991" Type="http://schemas.openxmlformats.org/officeDocument/2006/relationships/hyperlink" Target="https://dama.cz/" TargetMode="External"/><Relationship Id="rId1067" Type="http://schemas.openxmlformats.org/officeDocument/2006/relationships/hyperlink" Target="https://evropa2.cz/" TargetMode="External"/><Relationship Id="rId2020" Type="http://schemas.openxmlformats.org/officeDocument/2006/relationships/hyperlink" Target="https://www.realitnitrh.cz/" TargetMode="External"/><Relationship Id="rId2465" Type="http://schemas.openxmlformats.org/officeDocument/2006/relationships/hyperlink" Target="https://zive.cz/" TargetMode="External"/><Relationship Id="rId437" Type="http://schemas.openxmlformats.org/officeDocument/2006/relationships/hyperlink" Target="https://avmania.zive.cz/" TargetMode="External"/><Relationship Id="rId644" Type="http://schemas.openxmlformats.org/officeDocument/2006/relationships/hyperlink" Target="https://reklama.cncenter.cz/Online/Outstream" TargetMode="External"/><Relationship Id="rId851" Type="http://schemas.openxmlformats.org/officeDocument/2006/relationships/hyperlink" Target="https://doupe.zive.cz/" TargetMode="External"/><Relationship Id="rId1274" Type="http://schemas.openxmlformats.org/officeDocument/2006/relationships/hyperlink" Target="https://fitweb.cz/" TargetMode="External"/><Relationship Id="rId1481" Type="http://schemas.openxmlformats.org/officeDocument/2006/relationships/hyperlink" Target="https://reklama.cncenter.cz/Online/mobilni-interscroller" TargetMode="External"/><Relationship Id="rId1579" Type="http://schemas.openxmlformats.org/officeDocument/2006/relationships/hyperlink" Target="https://reklama.cncenter.cz/Online/double-skyscraper" TargetMode="External"/><Relationship Id="rId2118" Type="http://schemas.openxmlformats.org/officeDocument/2006/relationships/hyperlink" Target="https://recepty.cz/" TargetMode="External"/><Relationship Id="rId2325" Type="http://schemas.openxmlformats.org/officeDocument/2006/relationships/hyperlink" Target="https://reklama.cncenter.cz/Online/branding" TargetMode="External"/><Relationship Id="rId504" Type="http://schemas.openxmlformats.org/officeDocument/2006/relationships/hyperlink" Target="https://reklama.cncenter.cz/Online/Videospot" TargetMode="External"/><Relationship Id="rId711" Type="http://schemas.openxmlformats.org/officeDocument/2006/relationships/hyperlink" Target="https://reklama.cncenter.cz/Online/mobilni-slide-up" TargetMode="External"/><Relationship Id="rId949" Type="http://schemas.openxmlformats.org/officeDocument/2006/relationships/hyperlink" Target="https://reklama.cncenter.cz/Online/nativni-PR-premium" TargetMode="External"/><Relationship Id="rId1134" Type="http://schemas.openxmlformats.org/officeDocument/2006/relationships/hyperlink" Target="https://f1sport.auto.cz/" TargetMode="External"/><Relationship Id="rId1341" Type="http://schemas.openxmlformats.org/officeDocument/2006/relationships/hyperlink" Target="https://frekvence1.cz/" TargetMode="External"/><Relationship Id="rId1786" Type="http://schemas.openxmlformats.org/officeDocument/2006/relationships/hyperlink" Target="https://reklama.cncenter.cz/Online/Outstream" TargetMode="External"/><Relationship Id="rId1993" Type="http://schemas.openxmlformats.org/officeDocument/2006/relationships/hyperlink" Target="https://reklama.cncenter.cz/Online/double-skyscraper" TargetMode="External"/><Relationship Id="rId78" Type="http://schemas.openxmlformats.org/officeDocument/2006/relationships/hyperlink" Target="https://abicko.cz/" TargetMode="External"/><Relationship Id="rId143" Type="http://schemas.openxmlformats.org/officeDocument/2006/relationships/hyperlink" Target="https://abicko.cz/" TargetMode="External"/><Relationship Id="rId350" Type="http://schemas.openxmlformats.org/officeDocument/2006/relationships/hyperlink" Target="https://autorevue.cz/" TargetMode="External"/><Relationship Id="rId588" Type="http://schemas.openxmlformats.org/officeDocument/2006/relationships/hyperlink" Target="https://reklama.cncenter.cz/Online/Outstream" TargetMode="External"/><Relationship Id="rId795" Type="http://schemas.openxmlformats.org/officeDocument/2006/relationships/hyperlink" Target="https://digiarena.zive.cz/" TargetMode="External"/><Relationship Id="rId809" Type="http://schemas.openxmlformats.org/officeDocument/2006/relationships/hyperlink" Target="https://digiarena.zive.cz/" TargetMode="External"/><Relationship Id="rId1201" Type="http://schemas.openxmlformats.org/officeDocument/2006/relationships/hyperlink" Target="https://www.facebook.com/business/ads-guide/image/facebook-feed" TargetMode="External"/><Relationship Id="rId1439" Type="http://schemas.openxmlformats.org/officeDocument/2006/relationships/hyperlink" Target="http://www.instagram.com/" TargetMode="External"/><Relationship Id="rId1646" Type="http://schemas.openxmlformats.org/officeDocument/2006/relationships/hyperlink" Target="https://reklama.cncenter.cz/Online/branding" TargetMode="External"/><Relationship Id="rId1853" Type="http://schemas.openxmlformats.org/officeDocument/2006/relationships/hyperlink" Target="https://motogpsport.cz/" TargetMode="External"/><Relationship Id="rId2031" Type="http://schemas.openxmlformats.org/officeDocument/2006/relationships/hyperlink" Target="https://reklama.cncenter.cz/Online/Outstream" TargetMode="External"/><Relationship Id="rId2269" Type="http://schemas.openxmlformats.org/officeDocument/2006/relationships/hyperlink" Target="https://vtm.zive.cz/" TargetMode="External"/><Relationship Id="rId2476" Type="http://schemas.openxmlformats.org/officeDocument/2006/relationships/hyperlink" Target="https://zive.cz/" TargetMode="External"/><Relationship Id="rId9" Type="http://schemas.openxmlformats.org/officeDocument/2006/relationships/hyperlink" Target="https://abecedazahrady.dama.cz/" TargetMode="External"/><Relationship Id="rId210" Type="http://schemas.openxmlformats.org/officeDocument/2006/relationships/hyperlink" Target="https://ahaonline.cz/" TargetMode="External"/><Relationship Id="rId448" Type="http://schemas.openxmlformats.org/officeDocument/2006/relationships/hyperlink" Target="https://avmania.zive.cz/" TargetMode="External"/><Relationship Id="rId655" Type="http://schemas.openxmlformats.org/officeDocument/2006/relationships/hyperlink" Target="https://reklama.cncenter.cz/Online/Bumper" TargetMode="External"/><Relationship Id="rId862" Type="http://schemas.openxmlformats.org/officeDocument/2006/relationships/hyperlink" Target="https://reklama.cncenter.cz/Online/branding" TargetMode="External"/><Relationship Id="rId1078" Type="http://schemas.openxmlformats.org/officeDocument/2006/relationships/hyperlink" Target="https://f1sport.auto.cz/" TargetMode="External"/><Relationship Id="rId1285" Type="http://schemas.openxmlformats.org/officeDocument/2006/relationships/hyperlink" Target="https://reklama.cncenter.cz/Online/nativni-rectangle-cross-device" TargetMode="External"/><Relationship Id="rId1492" Type="http://schemas.openxmlformats.org/officeDocument/2006/relationships/hyperlink" Target="https://reklama.cncenter.cz/Online/billboard-bottom" TargetMode="External"/><Relationship Id="rId1506" Type="http://schemas.openxmlformats.org/officeDocument/2006/relationships/hyperlink" Target="https://lideazeme.cz/" TargetMode="External"/><Relationship Id="rId1713" Type="http://schemas.openxmlformats.org/officeDocument/2006/relationships/hyperlink" Target="https://reklama.cncenter.cz/Online/double-skyscraper" TargetMode="External"/><Relationship Id="rId1920" Type="http://schemas.openxmlformats.org/officeDocument/2006/relationships/hyperlink" Target="https://nemovitosti.blesk.cz/" TargetMode="External"/><Relationship Id="rId2129" Type="http://schemas.openxmlformats.org/officeDocument/2006/relationships/hyperlink" Target="https://recepty.cz/" TargetMode="External"/><Relationship Id="rId2336" Type="http://schemas.openxmlformats.org/officeDocument/2006/relationships/hyperlink" Target="https://zeny.cz/" TargetMode="External"/><Relationship Id="rId294" Type="http://schemas.openxmlformats.org/officeDocument/2006/relationships/hyperlink" Target="https://auto.cz/" TargetMode="External"/><Relationship Id="rId308" Type="http://schemas.openxmlformats.org/officeDocument/2006/relationships/hyperlink" Target="https://auto.cz/" TargetMode="External"/><Relationship Id="rId515" Type="http://schemas.openxmlformats.org/officeDocument/2006/relationships/hyperlink" Target="https://reklama.cncenter.cz/Online/mobilni-slide-up" TargetMode="External"/><Relationship Id="rId722" Type="http://schemas.openxmlformats.org/officeDocument/2006/relationships/hyperlink" Target="https://reklama.cncenter.cz/Online/nativni-rectangle-cross-device" TargetMode="External"/><Relationship Id="rId1145" Type="http://schemas.openxmlformats.org/officeDocument/2006/relationships/hyperlink" Target="http://www.facebook.com/" TargetMode="External"/><Relationship Id="rId1352" Type="http://schemas.openxmlformats.org/officeDocument/2006/relationships/hyperlink" Target="https://www.heureka.cz/" TargetMode="External"/><Relationship Id="rId1797" Type="http://schemas.openxmlformats.org/officeDocument/2006/relationships/hyperlink" Target="https://reklama.cncenter.cz/Online/Videospot" TargetMode="External"/><Relationship Id="rId2182" Type="http://schemas.openxmlformats.org/officeDocument/2006/relationships/hyperlink" Target="https://reflex.cz/" TargetMode="External"/><Relationship Id="rId2403" Type="http://schemas.openxmlformats.org/officeDocument/2006/relationships/hyperlink" Target="https://zive.cz/" TargetMode="External"/><Relationship Id="rId89" Type="http://schemas.openxmlformats.org/officeDocument/2006/relationships/hyperlink" Target="https://reklama.cncenter.cz/Online/branding" TargetMode="External"/><Relationship Id="rId154" Type="http://schemas.openxmlformats.org/officeDocument/2006/relationships/hyperlink" Target="https://www.activegroup.cz/reklama" TargetMode="External"/><Relationship Id="rId361" Type="http://schemas.openxmlformats.org/officeDocument/2006/relationships/hyperlink" Target="https://autorevue.cz/" TargetMode="External"/><Relationship Id="rId599" Type="http://schemas.openxmlformats.org/officeDocument/2006/relationships/hyperlink" Target="https://reklama.cncenter.cz/Online/Videospot" TargetMode="External"/><Relationship Id="rId1005" Type="http://schemas.openxmlformats.org/officeDocument/2006/relationships/hyperlink" Target="https://reklama.cncenter.cz/Online/double-skyscraper" TargetMode="External"/><Relationship Id="rId1212" Type="http://schemas.openxmlformats.org/officeDocument/2006/relationships/hyperlink" Target="http://www.facebook.com/" TargetMode="External"/><Relationship Id="rId1657" Type="http://schemas.openxmlformats.org/officeDocument/2006/relationships/hyperlink" Target="https://reklama.cncenter.cz/Online/double-skyscraper" TargetMode="External"/><Relationship Id="rId1864" Type="http://schemas.openxmlformats.org/officeDocument/2006/relationships/hyperlink" Target="https://reklama.cncenter.cz/Online/Outstream" TargetMode="External"/><Relationship Id="rId2042" Type="http://schemas.openxmlformats.org/officeDocument/2006/relationships/hyperlink" Target="https://www.realitnitrh.cz/" TargetMode="External"/><Relationship Id="rId459" Type="http://schemas.openxmlformats.org/officeDocument/2006/relationships/hyperlink" Target="https://avmania.zive.cz/" TargetMode="External"/><Relationship Id="rId666" Type="http://schemas.openxmlformats.org/officeDocument/2006/relationships/hyperlink" Target="https://reklama.cncenter.cz/Online/mobilni-vineta" TargetMode="External"/><Relationship Id="rId873" Type="http://schemas.openxmlformats.org/officeDocument/2006/relationships/hyperlink" Target="https://doupe.zive.cz/" TargetMode="External"/><Relationship Id="rId1089" Type="http://schemas.openxmlformats.org/officeDocument/2006/relationships/hyperlink" Target="https://reklama.cncenter.cz/Online/billboard-bottom" TargetMode="External"/><Relationship Id="rId1296" Type="http://schemas.openxmlformats.org/officeDocument/2006/relationships/hyperlink" Target="https://heyfomo.cz/" TargetMode="External"/><Relationship Id="rId1517" Type="http://schemas.openxmlformats.org/officeDocument/2006/relationships/hyperlink" Target="https://lideazeme.cz/" TargetMode="External"/><Relationship Id="rId1724" Type="http://schemas.openxmlformats.org/officeDocument/2006/relationships/hyperlink" Target="https://mobilmania.cz/" TargetMode="External"/><Relationship Id="rId2347" Type="http://schemas.openxmlformats.org/officeDocument/2006/relationships/hyperlink" Target="https://zeny.cz/" TargetMode="External"/><Relationship Id="rId16" Type="http://schemas.openxmlformats.org/officeDocument/2006/relationships/hyperlink" Target="https://abecedazahrady.dama.cz/" TargetMode="External"/><Relationship Id="rId221" Type="http://schemas.openxmlformats.org/officeDocument/2006/relationships/hyperlink" Target="https://ahaonline.cz/" TargetMode="External"/><Relationship Id="rId319" Type="http://schemas.openxmlformats.org/officeDocument/2006/relationships/hyperlink" Target="https://auto.cz/" TargetMode="External"/><Relationship Id="rId526" Type="http://schemas.openxmlformats.org/officeDocument/2006/relationships/hyperlink" Target="https://reklama.cncenter.cz/Online/branding" TargetMode="External"/><Relationship Id="rId1156" Type="http://schemas.openxmlformats.org/officeDocument/2006/relationships/hyperlink" Target="https://www.facebook.com/business/ads-guide/image/facebook-feed" TargetMode="External"/><Relationship Id="rId1363" Type="http://schemas.openxmlformats.org/officeDocument/2006/relationships/hyperlink" Target="https://reklama.cncenter.cz/Online/branding" TargetMode="External"/><Relationship Id="rId1931" Type="http://schemas.openxmlformats.org/officeDocument/2006/relationships/hyperlink" Target="http://nemovitosti.blesk.cz/" TargetMode="External"/><Relationship Id="rId2207" Type="http://schemas.openxmlformats.org/officeDocument/2006/relationships/hyperlink" Target="https://reklama.cncenter.cz/Online/mobilni-slide-up" TargetMode="External"/><Relationship Id="rId733" Type="http://schemas.openxmlformats.org/officeDocument/2006/relationships/hyperlink" Target="https://reklama.cncenter.cz/Online/Videospot" TargetMode="External"/><Relationship Id="rId940" Type="http://schemas.openxmlformats.org/officeDocument/2006/relationships/hyperlink" Target="https://reklama.cncenter.cz/Online/mobilni-interscroller" TargetMode="External"/><Relationship Id="rId1016" Type="http://schemas.openxmlformats.org/officeDocument/2006/relationships/hyperlink" Target="https://reklama.cncenter.cz/Online/mobilni-slide-up" TargetMode="External"/><Relationship Id="rId1570" Type="http://schemas.openxmlformats.org/officeDocument/2006/relationships/hyperlink" Target="https://reklama.cncenter.cz/Online/billboard-bottom" TargetMode="External"/><Relationship Id="rId1668" Type="http://schemas.openxmlformats.org/officeDocument/2006/relationships/hyperlink" Target="https://mobilmania.cz/" TargetMode="External"/><Relationship Id="rId1875" Type="http://schemas.openxmlformats.org/officeDocument/2006/relationships/hyperlink" Target="https://reklama.cncenter.cz/Online/mobilni-slide-up" TargetMode="External"/><Relationship Id="rId2193" Type="http://schemas.openxmlformats.org/officeDocument/2006/relationships/hyperlink" Target="https://reklama.cncenter.cz/Online/Bumper" TargetMode="External"/><Relationship Id="rId2414" Type="http://schemas.openxmlformats.org/officeDocument/2006/relationships/hyperlink" Target="https://zive.cz/" TargetMode="External"/><Relationship Id="rId165" Type="http://schemas.openxmlformats.org/officeDocument/2006/relationships/hyperlink" Target="https://reklama.cncenter.cz/Online/branding-cross-device" TargetMode="External"/><Relationship Id="rId372" Type="http://schemas.openxmlformats.org/officeDocument/2006/relationships/hyperlink" Target="https://autorevue.cz/" TargetMode="External"/><Relationship Id="rId677" Type="http://schemas.openxmlformats.org/officeDocument/2006/relationships/hyperlink" Target="https://reklama.cncenter.cz/Online/Outstream" TargetMode="External"/><Relationship Id="rId800" Type="http://schemas.openxmlformats.org/officeDocument/2006/relationships/hyperlink" Target="https://digiarena.zive.cz/" TargetMode="External"/><Relationship Id="rId1223" Type="http://schemas.openxmlformats.org/officeDocument/2006/relationships/hyperlink" Target="https://finexpert.cz/" TargetMode="External"/><Relationship Id="rId1430" Type="http://schemas.openxmlformats.org/officeDocument/2006/relationships/hyperlink" Target="http://www.instagram.com/" TargetMode="External"/><Relationship Id="rId1528" Type="http://schemas.openxmlformats.org/officeDocument/2006/relationships/hyperlink" Target="https://lideazeme.cz/" TargetMode="External"/><Relationship Id="rId2053" Type="http://schemas.openxmlformats.org/officeDocument/2006/relationships/hyperlink" Target="https://reklama.cncenter.cz/?ads=PR%2520%25C4%258Dl%25C3%25A1nky" TargetMode="External"/><Relationship Id="rId2260" Type="http://schemas.openxmlformats.org/officeDocument/2006/relationships/hyperlink" Target="https://vtm.zive.cz/" TargetMode="External"/><Relationship Id="rId2358" Type="http://schemas.openxmlformats.org/officeDocument/2006/relationships/hyperlink" Target="https://reklama.cncenter.cz/Online/Outstream" TargetMode="External"/><Relationship Id="rId232" Type="http://schemas.openxmlformats.org/officeDocument/2006/relationships/hyperlink" Target="https://ahaonline.cz/" TargetMode="External"/><Relationship Id="rId884" Type="http://schemas.openxmlformats.org/officeDocument/2006/relationships/hyperlink" Target="https://doupe.zive.cz/" TargetMode="External"/><Relationship Id="rId1735" Type="http://schemas.openxmlformats.org/officeDocument/2006/relationships/hyperlink" Target="https://mobilmania.cz/" TargetMode="External"/><Relationship Id="rId1942" Type="http://schemas.openxmlformats.org/officeDocument/2006/relationships/hyperlink" Target="https://reklama.cncenter.cz/Online/Outstream" TargetMode="External"/><Relationship Id="rId2120" Type="http://schemas.openxmlformats.org/officeDocument/2006/relationships/hyperlink" Target="https://reklama.cncenter.cz/Online/mobilni-slide-up" TargetMode="External"/><Relationship Id="rId27" Type="http://schemas.openxmlformats.org/officeDocument/2006/relationships/hyperlink" Target="https://abecedazahrady.dama.cz/" TargetMode="External"/><Relationship Id="rId537" Type="http://schemas.openxmlformats.org/officeDocument/2006/relationships/hyperlink" Target="https://blesk.cz/" TargetMode="External"/><Relationship Id="rId744" Type="http://schemas.openxmlformats.org/officeDocument/2006/relationships/hyperlink" Target="https://reklama.cncenter.cz/Online/mobilni-slide-up" TargetMode="External"/><Relationship Id="rId951" Type="http://schemas.openxmlformats.org/officeDocument/2006/relationships/hyperlink" Target="https://dama.cz/" TargetMode="External"/><Relationship Id="rId1167" Type="http://schemas.openxmlformats.org/officeDocument/2006/relationships/hyperlink" Target="http://www.facebook.com/" TargetMode="External"/><Relationship Id="rId1374" Type="http://schemas.openxmlformats.org/officeDocument/2006/relationships/hyperlink" Target="https://hledejceny.cz/" TargetMode="External"/><Relationship Id="rId1581" Type="http://schemas.openxmlformats.org/officeDocument/2006/relationships/hyperlink" Target="https://maminka.cz/" TargetMode="External"/><Relationship Id="rId1679" Type="http://schemas.openxmlformats.org/officeDocument/2006/relationships/hyperlink" Target="https://mobilmania.cz/" TargetMode="External"/><Relationship Id="rId1802" Type="http://schemas.openxmlformats.org/officeDocument/2006/relationships/hyperlink" Target="https://mojezdravi.cz/" TargetMode="External"/><Relationship Id="rId2218" Type="http://schemas.openxmlformats.org/officeDocument/2006/relationships/hyperlink" Target="https://reklama.cncenter.cz/Online/nativni-rectangle-cross-device" TargetMode="External"/><Relationship Id="rId2425" Type="http://schemas.openxmlformats.org/officeDocument/2006/relationships/hyperlink" Target="https://zive.cz/" TargetMode="External"/><Relationship Id="rId80" Type="http://schemas.openxmlformats.org/officeDocument/2006/relationships/hyperlink" Target="https://reklama.cncenter.cz/Online/branding" TargetMode="External"/><Relationship Id="rId176" Type="http://schemas.openxmlformats.org/officeDocument/2006/relationships/hyperlink" Target="https://ahaonline.cz/" TargetMode="External"/><Relationship Id="rId383" Type="http://schemas.openxmlformats.org/officeDocument/2006/relationships/hyperlink" Target="https://reklama.cncenter.cz/Online/mobilni-vineta" TargetMode="External"/><Relationship Id="rId590" Type="http://schemas.openxmlformats.org/officeDocument/2006/relationships/hyperlink" Target="https://bleskprozeny.cz/" TargetMode="External"/><Relationship Id="rId604" Type="http://schemas.openxmlformats.org/officeDocument/2006/relationships/hyperlink" Target="https://bleskprozeny.cz/" TargetMode="External"/><Relationship Id="rId811" Type="http://schemas.openxmlformats.org/officeDocument/2006/relationships/hyperlink" Target="https://reklama.cncenter.cz/Online/Outstream" TargetMode="External"/><Relationship Id="rId1027" Type="http://schemas.openxmlformats.org/officeDocument/2006/relationships/hyperlink" Target="https://reklama.cncenter.cz/Online/branding" TargetMode="External"/><Relationship Id="rId1234" Type="http://schemas.openxmlformats.org/officeDocument/2006/relationships/hyperlink" Target="https://finexpert.cz/" TargetMode="External"/><Relationship Id="rId1441" Type="http://schemas.openxmlformats.org/officeDocument/2006/relationships/hyperlink" Target="http://www.instagram.com/" TargetMode="External"/><Relationship Id="rId1886" Type="http://schemas.openxmlformats.org/officeDocument/2006/relationships/hyperlink" Target="https://reklama.cncenter.cz/Online/Outstream" TargetMode="External"/><Relationship Id="rId2064" Type="http://schemas.openxmlformats.org/officeDocument/2006/relationships/hyperlink" Target="https://reklama.cncenter.cz/Online/billboard-bottom" TargetMode="External"/><Relationship Id="rId2271" Type="http://schemas.openxmlformats.org/officeDocument/2006/relationships/hyperlink" Target="https://reklama.cncenter.cz/Online/double-skyscraper" TargetMode="External"/><Relationship Id="rId243" Type="http://schemas.openxmlformats.org/officeDocument/2006/relationships/hyperlink" Target="https://reklama.cncenter.cz/Online/billboard-bottom" TargetMode="External"/><Relationship Id="rId450" Type="http://schemas.openxmlformats.org/officeDocument/2006/relationships/hyperlink" Target="https://avmania.zive.cz/" TargetMode="External"/><Relationship Id="rId688" Type="http://schemas.openxmlformats.org/officeDocument/2006/relationships/hyperlink" Target="https://reklama.cncenter.cz/Online/mobilni-slide-up" TargetMode="External"/><Relationship Id="rId895" Type="http://schemas.openxmlformats.org/officeDocument/2006/relationships/hyperlink" Target="https://doupe.zive.cz/" TargetMode="External"/><Relationship Id="rId909" Type="http://schemas.openxmlformats.org/officeDocument/2006/relationships/hyperlink" Target="https://doupe.zive.cz/" TargetMode="External"/><Relationship Id="rId1080" Type="http://schemas.openxmlformats.org/officeDocument/2006/relationships/hyperlink" Target="https://reklama.cncenter.cz/Online/billboard-bottom" TargetMode="External"/><Relationship Id="rId1301" Type="http://schemas.openxmlformats.org/officeDocument/2006/relationships/hyperlink" Target="https://heyfomo.cz/" TargetMode="External"/><Relationship Id="rId1539" Type="http://schemas.openxmlformats.org/officeDocument/2006/relationships/hyperlink" Target="https://reklama.cncenter.cz/Online/mobilni-vineta" TargetMode="External"/><Relationship Id="rId1746" Type="http://schemas.openxmlformats.org/officeDocument/2006/relationships/hyperlink" Target="https://mojezdravi.cz/" TargetMode="External"/><Relationship Id="rId1953" Type="http://schemas.openxmlformats.org/officeDocument/2006/relationships/hyperlink" Target="https://reklama.cncenter.cz/Online/mobilni-interscroller" TargetMode="External"/><Relationship Id="rId2131" Type="http://schemas.openxmlformats.org/officeDocument/2006/relationships/hyperlink" Target="https://reklama.cncenter.cz/Online/nativni-rectangle-cross-device" TargetMode="External"/><Relationship Id="rId2369" Type="http://schemas.openxmlformats.org/officeDocument/2006/relationships/hyperlink" Target="https://reklama.cncenter.cz/Online/Videospot" TargetMode="External"/><Relationship Id="rId38" Type="http://schemas.openxmlformats.org/officeDocument/2006/relationships/hyperlink" Target="https://reklama.cncenter.cz/Online/Outstream" TargetMode="External"/><Relationship Id="rId103" Type="http://schemas.openxmlformats.org/officeDocument/2006/relationships/hyperlink" Target="https://abicko.cz/" TargetMode="External"/><Relationship Id="rId310" Type="http://schemas.openxmlformats.org/officeDocument/2006/relationships/hyperlink" Target="https://reklama.cncenter.cz/Online/nativni-rectangle-cross-device" TargetMode="External"/><Relationship Id="rId548" Type="http://schemas.openxmlformats.org/officeDocument/2006/relationships/hyperlink" Target="https://bleskprozeny.cz/" TargetMode="External"/><Relationship Id="rId755" Type="http://schemas.openxmlformats.org/officeDocument/2006/relationships/hyperlink" Target="https://reklama.cncenter.cz/Online/branding" TargetMode="External"/><Relationship Id="rId962" Type="http://schemas.openxmlformats.org/officeDocument/2006/relationships/hyperlink" Target="https://dama.cz/" TargetMode="External"/><Relationship Id="rId1178" Type="http://schemas.openxmlformats.org/officeDocument/2006/relationships/hyperlink" Target="http://www.facebook.com/" TargetMode="External"/><Relationship Id="rId1385" Type="http://schemas.openxmlformats.org/officeDocument/2006/relationships/hyperlink" Target="http://www.instagram.com/" TargetMode="External"/><Relationship Id="rId1592" Type="http://schemas.openxmlformats.org/officeDocument/2006/relationships/hyperlink" Target="https://maminka.cz/" TargetMode="External"/><Relationship Id="rId1606" Type="http://schemas.openxmlformats.org/officeDocument/2006/relationships/hyperlink" Target="https://maminka.cz/" TargetMode="External"/><Relationship Id="rId1813" Type="http://schemas.openxmlformats.org/officeDocument/2006/relationships/hyperlink" Target="https://mojezdravi.cz/" TargetMode="External"/><Relationship Id="rId2229" Type="http://schemas.openxmlformats.org/officeDocument/2006/relationships/hyperlink" Target="https://reflex.cz/" TargetMode="External"/><Relationship Id="rId2436" Type="http://schemas.openxmlformats.org/officeDocument/2006/relationships/hyperlink" Target="https://reklama.cncenter.cz/Online/nativni-PR-premium" TargetMode="External"/><Relationship Id="rId91" Type="http://schemas.openxmlformats.org/officeDocument/2006/relationships/hyperlink" Target="https://abicko.cz/" TargetMode="External"/><Relationship Id="rId187" Type="http://schemas.openxmlformats.org/officeDocument/2006/relationships/hyperlink" Target="https://ahaonline.cz/" TargetMode="External"/><Relationship Id="rId394" Type="http://schemas.openxmlformats.org/officeDocument/2006/relationships/hyperlink" Target="https://reklama.cncenter.cz/Online/Outstream" TargetMode="External"/><Relationship Id="rId408" Type="http://schemas.openxmlformats.org/officeDocument/2006/relationships/hyperlink" Target="https://avmania.zive.cz/" TargetMode="External"/><Relationship Id="rId615" Type="http://schemas.openxmlformats.org/officeDocument/2006/relationships/hyperlink" Target="https://bleskprozeny.cz/" TargetMode="External"/><Relationship Id="rId822" Type="http://schemas.openxmlformats.org/officeDocument/2006/relationships/hyperlink" Target="https://reklama.cncenter.cz/Online/mobilni-slide-up" TargetMode="External"/><Relationship Id="rId1038" Type="http://schemas.openxmlformats.org/officeDocument/2006/relationships/hyperlink" Target="https://evropa2.cz/" TargetMode="External"/><Relationship Id="rId1245" Type="http://schemas.openxmlformats.org/officeDocument/2006/relationships/hyperlink" Target="https://fitweb.cz/" TargetMode="External"/><Relationship Id="rId1452" Type="http://schemas.openxmlformats.org/officeDocument/2006/relationships/hyperlink" Target="http://www.instagram.com/" TargetMode="External"/><Relationship Id="rId1897" Type="http://schemas.openxmlformats.org/officeDocument/2006/relationships/hyperlink" Target="https://nemovitosti.blesk.cz/" TargetMode="External"/><Relationship Id="rId2075" Type="http://schemas.openxmlformats.org/officeDocument/2006/relationships/hyperlink" Target="https://recepty.cz/" TargetMode="External"/><Relationship Id="rId2282" Type="http://schemas.openxmlformats.org/officeDocument/2006/relationships/hyperlink" Target="https://vtm.zive.cz/" TargetMode="External"/><Relationship Id="rId254" Type="http://schemas.openxmlformats.org/officeDocument/2006/relationships/hyperlink" Target="https://auto.cz/" TargetMode="External"/><Relationship Id="rId699" Type="http://schemas.openxmlformats.org/officeDocument/2006/relationships/hyperlink" Target="https://reklama.cncenter.cz/Online/Outstream" TargetMode="External"/><Relationship Id="rId1091" Type="http://schemas.openxmlformats.org/officeDocument/2006/relationships/hyperlink" Target="https://f1sport.auto.cz/" TargetMode="External"/><Relationship Id="rId1105" Type="http://schemas.openxmlformats.org/officeDocument/2006/relationships/hyperlink" Target="https://f1sport.auto.cz/" TargetMode="External"/><Relationship Id="rId1312" Type="http://schemas.openxmlformats.org/officeDocument/2006/relationships/hyperlink" Target="https://reklama.cncenter.cz/Online/branding-cross-device" TargetMode="External"/><Relationship Id="rId1757" Type="http://schemas.openxmlformats.org/officeDocument/2006/relationships/hyperlink" Target="https://mojezdravi.cz/" TargetMode="External"/><Relationship Id="rId1964" Type="http://schemas.openxmlformats.org/officeDocument/2006/relationships/hyperlink" Target="https://nemovitosti.blesk.cz/" TargetMode="External"/><Relationship Id="rId49" Type="http://schemas.openxmlformats.org/officeDocument/2006/relationships/hyperlink" Target="https://reklama.cncenter.cz/Online/mobilni-slide-up" TargetMode="External"/><Relationship Id="rId114" Type="http://schemas.openxmlformats.org/officeDocument/2006/relationships/hyperlink" Target="https://abicko.cz/" TargetMode="External"/><Relationship Id="rId461" Type="http://schemas.openxmlformats.org/officeDocument/2006/relationships/hyperlink" Target="https://avmania.zive.cz/" TargetMode="External"/><Relationship Id="rId559" Type="http://schemas.openxmlformats.org/officeDocument/2006/relationships/hyperlink" Target="https://bleskprozeny.cz/" TargetMode="External"/><Relationship Id="rId766" Type="http://schemas.openxmlformats.org/officeDocument/2006/relationships/hyperlink" Target="https://reklama.cncenter.cz/Online/Videospot" TargetMode="External"/><Relationship Id="rId1189" Type="http://schemas.openxmlformats.org/officeDocument/2006/relationships/hyperlink" Target="https://www.facebook.com/business/ads-guide/image/facebook-feed" TargetMode="External"/><Relationship Id="rId1396" Type="http://schemas.openxmlformats.org/officeDocument/2006/relationships/hyperlink" Target="http://www.instagram.com/" TargetMode="External"/><Relationship Id="rId1617" Type="http://schemas.openxmlformats.org/officeDocument/2006/relationships/hyperlink" Target="https://reklama.cncenter.cz/Online/mobilni-slide-up" TargetMode="External"/><Relationship Id="rId1824" Type="http://schemas.openxmlformats.org/officeDocument/2006/relationships/hyperlink" Target="https://mojezdravi.cz/" TargetMode="External"/><Relationship Id="rId2142" Type="http://schemas.openxmlformats.org/officeDocument/2006/relationships/hyperlink" Target="https://recepty.cz/" TargetMode="External"/><Relationship Id="rId2447" Type="http://schemas.openxmlformats.org/officeDocument/2006/relationships/hyperlink" Target="https://zive.cz/" TargetMode="External"/><Relationship Id="rId198" Type="http://schemas.openxmlformats.org/officeDocument/2006/relationships/hyperlink" Target="https://reklama.cncenter.cz/Online/Outstream" TargetMode="External"/><Relationship Id="rId321" Type="http://schemas.openxmlformats.org/officeDocument/2006/relationships/hyperlink" Target="https://auto.cz/" TargetMode="External"/><Relationship Id="rId419" Type="http://schemas.openxmlformats.org/officeDocument/2006/relationships/hyperlink" Target="https://avmania.zive.cz/" TargetMode="External"/><Relationship Id="rId626" Type="http://schemas.openxmlformats.org/officeDocument/2006/relationships/hyperlink" Target="https://bleskprozeny.cz/" TargetMode="External"/><Relationship Id="rId973" Type="http://schemas.openxmlformats.org/officeDocument/2006/relationships/hyperlink" Target="https://dama.cz/" TargetMode="External"/><Relationship Id="rId1049" Type="http://schemas.openxmlformats.org/officeDocument/2006/relationships/hyperlink" Target="https://evropa2.cz/" TargetMode="External"/><Relationship Id="rId1256" Type="http://schemas.openxmlformats.org/officeDocument/2006/relationships/hyperlink" Target="https://fitweb.cz/" TargetMode="External"/><Relationship Id="rId2002" Type="http://schemas.openxmlformats.org/officeDocument/2006/relationships/hyperlink" Target="https://www.realitnitrh.cz/" TargetMode="External"/><Relationship Id="rId2086" Type="http://schemas.openxmlformats.org/officeDocument/2006/relationships/hyperlink" Target="https://recepty.cz/" TargetMode="External"/><Relationship Id="rId2307" Type="http://schemas.openxmlformats.org/officeDocument/2006/relationships/hyperlink" Target="https://x.com/" TargetMode="External"/><Relationship Id="rId833" Type="http://schemas.openxmlformats.org/officeDocument/2006/relationships/hyperlink" Target="https://reklama.cncenter.cz/Online/Outstream" TargetMode="External"/><Relationship Id="rId1116" Type="http://schemas.openxmlformats.org/officeDocument/2006/relationships/hyperlink" Target="https://f1sport.auto.cz/" TargetMode="External"/><Relationship Id="rId1463" Type="http://schemas.openxmlformats.org/officeDocument/2006/relationships/hyperlink" Target="http://www.instagram.com/" TargetMode="External"/><Relationship Id="rId1670" Type="http://schemas.openxmlformats.org/officeDocument/2006/relationships/hyperlink" Target="https://mobilmania.cz/" TargetMode="External"/><Relationship Id="rId1768" Type="http://schemas.openxmlformats.org/officeDocument/2006/relationships/hyperlink" Target="https://reklama.cncenter.cz/Online/double-skyscraper" TargetMode="External"/><Relationship Id="rId2293" Type="http://schemas.openxmlformats.org/officeDocument/2006/relationships/hyperlink" Target="https://vtm.zive.cz/" TargetMode="External"/><Relationship Id="rId265" Type="http://schemas.openxmlformats.org/officeDocument/2006/relationships/hyperlink" Target="https://auto.cz/" TargetMode="External"/><Relationship Id="rId472" Type="http://schemas.openxmlformats.org/officeDocument/2006/relationships/hyperlink" Target="https://avmania.zive.cz/" TargetMode="External"/><Relationship Id="rId900" Type="http://schemas.openxmlformats.org/officeDocument/2006/relationships/hyperlink" Target="https://doupe.zive.cz/" TargetMode="External"/><Relationship Id="rId1323" Type="http://schemas.openxmlformats.org/officeDocument/2006/relationships/hyperlink" Target="https://frekvence1.cz/" TargetMode="External"/><Relationship Id="rId1530" Type="http://schemas.openxmlformats.org/officeDocument/2006/relationships/hyperlink" Target="https://reklama.cncenter.cz/Online/double-skyscraper" TargetMode="External"/><Relationship Id="rId1628" Type="http://schemas.openxmlformats.org/officeDocument/2006/relationships/hyperlink" Target="https://reklama.cncenter.cz/Online/nativni-rectangle-cross-device" TargetMode="External"/><Relationship Id="rId1975" Type="http://schemas.openxmlformats.org/officeDocument/2006/relationships/hyperlink" Target="http://nemovitosti.blesk.cz/" TargetMode="External"/><Relationship Id="rId2153" Type="http://schemas.openxmlformats.org/officeDocument/2006/relationships/hyperlink" Target="https://reflex.cz/" TargetMode="External"/><Relationship Id="rId2360" Type="http://schemas.openxmlformats.org/officeDocument/2006/relationships/hyperlink" Target="https://zeny.cz/" TargetMode="External"/><Relationship Id="rId125" Type="http://schemas.openxmlformats.org/officeDocument/2006/relationships/hyperlink" Target="https://abicko.cz/" TargetMode="External"/><Relationship Id="rId332" Type="http://schemas.openxmlformats.org/officeDocument/2006/relationships/hyperlink" Target="https://autorevue.cz/" TargetMode="External"/><Relationship Id="rId777" Type="http://schemas.openxmlformats.org/officeDocument/2006/relationships/hyperlink" Target="https://digiarena.zive.cz/" TargetMode="External"/><Relationship Id="rId984" Type="http://schemas.openxmlformats.org/officeDocument/2006/relationships/hyperlink" Target="https://dama.cz/" TargetMode="External"/><Relationship Id="rId1835" Type="http://schemas.openxmlformats.org/officeDocument/2006/relationships/hyperlink" Target="https://motogpsport.cz/" TargetMode="External"/><Relationship Id="rId2013" Type="http://schemas.openxmlformats.org/officeDocument/2006/relationships/hyperlink" Target="https://reklama.cncenter.cz/Online/branding-cross-device" TargetMode="External"/><Relationship Id="rId2220" Type="http://schemas.openxmlformats.org/officeDocument/2006/relationships/hyperlink" Target="https://reflex.cz/" TargetMode="External"/><Relationship Id="rId2458" Type="http://schemas.openxmlformats.org/officeDocument/2006/relationships/hyperlink" Target="https://zive.cz/" TargetMode="External"/><Relationship Id="rId637" Type="http://schemas.openxmlformats.org/officeDocument/2006/relationships/hyperlink" Target="https://reklama.cncenter.cz/Online/branding" TargetMode="External"/><Relationship Id="rId844" Type="http://schemas.openxmlformats.org/officeDocument/2006/relationships/hyperlink" Target="https://doupe.zive.cz/" TargetMode="External"/><Relationship Id="rId1267" Type="http://schemas.openxmlformats.org/officeDocument/2006/relationships/hyperlink" Target="https://reklama.cncenter.cz/Online/nativni-rectangle-cross-device" TargetMode="External"/><Relationship Id="rId1474" Type="http://schemas.openxmlformats.org/officeDocument/2006/relationships/hyperlink" Target="https://reklama.cncenter.cz/Online/mobilni-slide-up" TargetMode="External"/><Relationship Id="rId1681" Type="http://schemas.openxmlformats.org/officeDocument/2006/relationships/hyperlink" Target="https://reklama.cncenter.cz/Online/branding-cross-device" TargetMode="External"/><Relationship Id="rId1902" Type="http://schemas.openxmlformats.org/officeDocument/2006/relationships/hyperlink" Target="https://reklama.cncenter.cz/Online/billboard-bottom" TargetMode="External"/><Relationship Id="rId2097" Type="http://schemas.openxmlformats.org/officeDocument/2006/relationships/hyperlink" Target="https://reklama.cncenter.cz/Online/nativni-PR-premium" TargetMode="External"/><Relationship Id="rId2318" Type="http://schemas.openxmlformats.org/officeDocument/2006/relationships/hyperlink" Target="https://zeny.cz/" TargetMode="External"/><Relationship Id="rId276" Type="http://schemas.openxmlformats.org/officeDocument/2006/relationships/hyperlink" Target="https://reklama.cncenter.cz/Online/nativni-PR-premium" TargetMode="External"/><Relationship Id="rId483" Type="http://schemas.openxmlformats.org/officeDocument/2006/relationships/hyperlink" Target="https://blesk.cz/" TargetMode="External"/><Relationship Id="rId690" Type="http://schemas.openxmlformats.org/officeDocument/2006/relationships/hyperlink" Target="https://reklama.cncenter.cz/Online/nativni-rectangle-cross-device" TargetMode="External"/><Relationship Id="rId704" Type="http://schemas.openxmlformats.org/officeDocument/2006/relationships/hyperlink" Target="https://reklama.cncenter.cz/Online/branding" TargetMode="External"/><Relationship Id="rId911" Type="http://schemas.openxmlformats.org/officeDocument/2006/relationships/hyperlink" Target="https://doupe.zive.cz/" TargetMode="External"/><Relationship Id="rId1127" Type="http://schemas.openxmlformats.org/officeDocument/2006/relationships/hyperlink" Target="https://reklama.cncenter.cz/Online/mobilni-vineta" TargetMode="External"/><Relationship Id="rId1334" Type="http://schemas.openxmlformats.org/officeDocument/2006/relationships/hyperlink" Target="https://frekvence1.cz/" TargetMode="External"/><Relationship Id="rId1541" Type="http://schemas.openxmlformats.org/officeDocument/2006/relationships/hyperlink" Target="https://lideazeme.cz/" TargetMode="External"/><Relationship Id="rId1779" Type="http://schemas.openxmlformats.org/officeDocument/2006/relationships/hyperlink" Target="https://mojezdravi.cz/" TargetMode="External"/><Relationship Id="rId1986" Type="http://schemas.openxmlformats.org/officeDocument/2006/relationships/hyperlink" Target="https://nemovitosti.blesk.cz/" TargetMode="External"/><Relationship Id="rId2164" Type="http://schemas.openxmlformats.org/officeDocument/2006/relationships/hyperlink" Target="https://reflex.cz/" TargetMode="External"/><Relationship Id="rId2371" Type="http://schemas.openxmlformats.org/officeDocument/2006/relationships/hyperlink" Target="https://zeny.cz/" TargetMode="External"/><Relationship Id="rId40" Type="http://schemas.openxmlformats.org/officeDocument/2006/relationships/hyperlink" Target="https://abecedazahrady.dama.cz/" TargetMode="External"/><Relationship Id="rId136" Type="http://schemas.openxmlformats.org/officeDocument/2006/relationships/hyperlink" Target="https://abicko.cz/" TargetMode="External"/><Relationship Id="rId343" Type="http://schemas.openxmlformats.org/officeDocument/2006/relationships/hyperlink" Target="https://autorevue.cz/" TargetMode="External"/><Relationship Id="rId550" Type="http://schemas.openxmlformats.org/officeDocument/2006/relationships/hyperlink" Target="https://bleskprozeny.cz/" TargetMode="External"/><Relationship Id="rId788" Type="http://schemas.openxmlformats.org/officeDocument/2006/relationships/hyperlink" Target="https://digiarena.zive.cz/" TargetMode="External"/><Relationship Id="rId995" Type="http://schemas.openxmlformats.org/officeDocument/2006/relationships/hyperlink" Target="https://dama.cz/" TargetMode="External"/><Relationship Id="rId1180" Type="http://schemas.openxmlformats.org/officeDocument/2006/relationships/hyperlink" Target="https://www.facebook.com/business/ads-guide/image/facebook-feed" TargetMode="External"/><Relationship Id="rId1401" Type="http://schemas.openxmlformats.org/officeDocument/2006/relationships/hyperlink" Target="http://www.instagram.com/" TargetMode="External"/><Relationship Id="rId1639" Type="http://schemas.openxmlformats.org/officeDocument/2006/relationships/hyperlink" Target="https://maminka.cz/" TargetMode="External"/><Relationship Id="rId1846" Type="http://schemas.openxmlformats.org/officeDocument/2006/relationships/hyperlink" Target="https://reklama.cncenter.cz/Online/branding" TargetMode="External"/><Relationship Id="rId2024" Type="http://schemas.openxmlformats.org/officeDocument/2006/relationships/hyperlink" Target="https://www.realitnitrh.cz/" TargetMode="External"/><Relationship Id="rId2231" Type="http://schemas.openxmlformats.org/officeDocument/2006/relationships/hyperlink" Target="https://reflex.cz/" TargetMode="External"/><Relationship Id="rId2469" Type="http://schemas.openxmlformats.org/officeDocument/2006/relationships/hyperlink" Target="https://zive.cz/" TargetMode="External"/><Relationship Id="rId203" Type="http://schemas.openxmlformats.org/officeDocument/2006/relationships/hyperlink" Target="https://ahaonline.cz/" TargetMode="External"/><Relationship Id="rId648" Type="http://schemas.openxmlformats.org/officeDocument/2006/relationships/hyperlink" Target="https://reklama.cncenter.cz/Online/Videospot" TargetMode="External"/><Relationship Id="rId855" Type="http://schemas.openxmlformats.org/officeDocument/2006/relationships/hyperlink" Target="https://doupe.zive.cz/" TargetMode="External"/><Relationship Id="rId1040" Type="http://schemas.openxmlformats.org/officeDocument/2006/relationships/hyperlink" Target="https://evropa2.cz/" TargetMode="External"/><Relationship Id="rId1278" Type="http://schemas.openxmlformats.org/officeDocument/2006/relationships/hyperlink" Target="https://fitweb.cz/" TargetMode="External"/><Relationship Id="rId1485" Type="http://schemas.openxmlformats.org/officeDocument/2006/relationships/hyperlink" Target="https://reklama.cncenter.cz/Online/Outstream" TargetMode="External"/><Relationship Id="rId1692" Type="http://schemas.openxmlformats.org/officeDocument/2006/relationships/hyperlink" Target="https://mobilmania.cz/" TargetMode="External"/><Relationship Id="rId1706" Type="http://schemas.openxmlformats.org/officeDocument/2006/relationships/hyperlink" Target="https://mobilmania.cz/" TargetMode="External"/><Relationship Id="rId1913" Type="http://schemas.openxmlformats.org/officeDocument/2006/relationships/hyperlink" Target="https://nemovitosti.blesk.cz/" TargetMode="External"/><Relationship Id="rId2329" Type="http://schemas.openxmlformats.org/officeDocument/2006/relationships/hyperlink" Target="https://zeny.cz/" TargetMode="External"/><Relationship Id="rId287" Type="http://schemas.openxmlformats.org/officeDocument/2006/relationships/hyperlink" Target="https://auto.cz/" TargetMode="External"/><Relationship Id="rId410" Type="http://schemas.openxmlformats.org/officeDocument/2006/relationships/hyperlink" Target="https://avmania.zive.cz/" TargetMode="External"/><Relationship Id="rId494" Type="http://schemas.openxmlformats.org/officeDocument/2006/relationships/hyperlink" Target="https://blesk.cz/" TargetMode="External"/><Relationship Id="rId508" Type="http://schemas.openxmlformats.org/officeDocument/2006/relationships/hyperlink" Target="https://reklama.cncenter.cz/Online/nativni-rectangle-cross-device" TargetMode="External"/><Relationship Id="rId715" Type="http://schemas.openxmlformats.org/officeDocument/2006/relationships/hyperlink" Target="https://reklama.cncenter.cz/Online/Smarticle" TargetMode="External"/><Relationship Id="rId922" Type="http://schemas.openxmlformats.org/officeDocument/2006/relationships/hyperlink" Target="https://reklama.cncenter.cz/Online/branding" TargetMode="External"/><Relationship Id="rId1138" Type="http://schemas.openxmlformats.org/officeDocument/2006/relationships/hyperlink" Target="https://reklama.cncenter.cz/?ads=PR%2520%25C4%258Dl%25C3%25A1nky" TargetMode="External"/><Relationship Id="rId1345" Type="http://schemas.openxmlformats.org/officeDocument/2006/relationships/hyperlink" Target="https://reklama.cncenter.cz/Online/mobilni-vineta" TargetMode="External"/><Relationship Id="rId1552" Type="http://schemas.openxmlformats.org/officeDocument/2006/relationships/hyperlink" Target="https://lideazeme.cz/" TargetMode="External"/><Relationship Id="rId1997" Type="http://schemas.openxmlformats.org/officeDocument/2006/relationships/hyperlink" Target="https://www.realitnitrh.cz/" TargetMode="External"/><Relationship Id="rId2175" Type="http://schemas.openxmlformats.org/officeDocument/2006/relationships/hyperlink" Target="https://reklama.cncenter.cz/Online/mobilni-interscroller" TargetMode="External"/><Relationship Id="rId2382" Type="http://schemas.openxmlformats.org/officeDocument/2006/relationships/hyperlink" Target="https://zeny.cz/" TargetMode="External"/><Relationship Id="rId147" Type="http://schemas.openxmlformats.org/officeDocument/2006/relationships/hyperlink" Target="https://abicko.cz/" TargetMode="External"/><Relationship Id="rId354" Type="http://schemas.openxmlformats.org/officeDocument/2006/relationships/hyperlink" Target="https://reklama.cncenter.cz/Online/mobilni-slide-up" TargetMode="External"/><Relationship Id="rId799" Type="http://schemas.openxmlformats.org/officeDocument/2006/relationships/hyperlink" Target="https://reklama.cncenter.cz/Online/mobilni-interscroller" TargetMode="External"/><Relationship Id="rId1191" Type="http://schemas.openxmlformats.org/officeDocument/2006/relationships/hyperlink" Target="http://www.facebook.com/" TargetMode="External"/><Relationship Id="rId1205" Type="http://schemas.openxmlformats.org/officeDocument/2006/relationships/hyperlink" Target="http://www.facebook.com/" TargetMode="External"/><Relationship Id="rId1857" Type="http://schemas.openxmlformats.org/officeDocument/2006/relationships/hyperlink" Target="https://motogpsport.cz/" TargetMode="External"/><Relationship Id="rId2035" Type="http://schemas.openxmlformats.org/officeDocument/2006/relationships/hyperlink" Target="https://www.realitnitrh.cz/" TargetMode="External"/><Relationship Id="rId51" Type="http://schemas.openxmlformats.org/officeDocument/2006/relationships/hyperlink" Target="https://abecedazahrady.dama.cz/" TargetMode="External"/><Relationship Id="rId561" Type="http://schemas.openxmlformats.org/officeDocument/2006/relationships/hyperlink" Target="https://reklama.cncenter.cz/Online/branding-cross-device" TargetMode="External"/><Relationship Id="rId659" Type="http://schemas.openxmlformats.org/officeDocument/2006/relationships/hyperlink" Target="https://reklama.cncenter.cz/Online/billboard-bottom" TargetMode="External"/><Relationship Id="rId866" Type="http://schemas.openxmlformats.org/officeDocument/2006/relationships/hyperlink" Target="https://doupe.zive.cz/" TargetMode="External"/><Relationship Id="rId1289" Type="http://schemas.openxmlformats.org/officeDocument/2006/relationships/hyperlink" Target="https://heyfomo.cz/" TargetMode="External"/><Relationship Id="rId1412" Type="http://schemas.openxmlformats.org/officeDocument/2006/relationships/hyperlink" Target="http://www.instagram.com/" TargetMode="External"/><Relationship Id="rId1496" Type="http://schemas.openxmlformats.org/officeDocument/2006/relationships/hyperlink" Target="https://lideazeme.cz/" TargetMode="External"/><Relationship Id="rId1717" Type="http://schemas.openxmlformats.org/officeDocument/2006/relationships/hyperlink" Target="https://mobilmania.cz/" TargetMode="External"/><Relationship Id="rId1924" Type="http://schemas.openxmlformats.org/officeDocument/2006/relationships/hyperlink" Target="https://nemovitosti.blesk.cz/" TargetMode="External"/><Relationship Id="rId2242" Type="http://schemas.openxmlformats.org/officeDocument/2006/relationships/hyperlink" Target="https://reklama.cncenter.cz/?ads=PR%2520%25C4%258Dl%25C3%25A1nky" TargetMode="External"/><Relationship Id="rId214" Type="http://schemas.openxmlformats.org/officeDocument/2006/relationships/hyperlink" Target="https://ahaonline.cz/" TargetMode="External"/><Relationship Id="rId298" Type="http://schemas.openxmlformats.org/officeDocument/2006/relationships/hyperlink" Target="https://auto.cz/" TargetMode="External"/><Relationship Id="rId421" Type="http://schemas.openxmlformats.org/officeDocument/2006/relationships/hyperlink" Target="https://avmania.zive.cz/" TargetMode="External"/><Relationship Id="rId519" Type="http://schemas.openxmlformats.org/officeDocument/2006/relationships/hyperlink" Target="https://reklama.cncenter.cz/Online/Smarticle" TargetMode="External"/><Relationship Id="rId1051" Type="http://schemas.openxmlformats.org/officeDocument/2006/relationships/hyperlink" Target="https://reklama.cncenter.cz/Online/nativni-rectangle-cross-device" TargetMode="External"/><Relationship Id="rId1149" Type="http://schemas.openxmlformats.org/officeDocument/2006/relationships/hyperlink" Target="http://www.facebook.com/" TargetMode="External"/><Relationship Id="rId1356" Type="http://schemas.openxmlformats.org/officeDocument/2006/relationships/hyperlink" Target="https://hledejceny.cz/" TargetMode="External"/><Relationship Id="rId2102" Type="http://schemas.openxmlformats.org/officeDocument/2006/relationships/hyperlink" Target="https://recepty.cz/" TargetMode="External"/><Relationship Id="rId158" Type="http://schemas.openxmlformats.org/officeDocument/2006/relationships/hyperlink" Target="https://ahaonline.cz/" TargetMode="External"/><Relationship Id="rId726" Type="http://schemas.openxmlformats.org/officeDocument/2006/relationships/hyperlink" Target="https://reklama.cncenter.cz/Online/billboard-bottom" TargetMode="External"/><Relationship Id="rId933" Type="http://schemas.openxmlformats.org/officeDocument/2006/relationships/hyperlink" Target="https://dama.cz/" TargetMode="External"/><Relationship Id="rId1009" Type="http://schemas.openxmlformats.org/officeDocument/2006/relationships/hyperlink" Target="https://reklama.cncenter.cz/Online/mobilni-vineta" TargetMode="External"/><Relationship Id="rId1563" Type="http://schemas.openxmlformats.org/officeDocument/2006/relationships/hyperlink" Target="https://maminka.cz/" TargetMode="External"/><Relationship Id="rId1770" Type="http://schemas.openxmlformats.org/officeDocument/2006/relationships/hyperlink" Target="https://mojezdravi.cz/" TargetMode="External"/><Relationship Id="rId1868" Type="http://schemas.openxmlformats.org/officeDocument/2006/relationships/hyperlink" Target="https://motogpsport.cz/" TargetMode="External"/><Relationship Id="rId2186" Type="http://schemas.openxmlformats.org/officeDocument/2006/relationships/hyperlink" Target="https://reflex.cz/" TargetMode="External"/><Relationship Id="rId2393" Type="http://schemas.openxmlformats.org/officeDocument/2006/relationships/hyperlink" Target="https://zeny.cz/" TargetMode="External"/><Relationship Id="rId2407" Type="http://schemas.openxmlformats.org/officeDocument/2006/relationships/hyperlink" Target="https://zive.cz/" TargetMode="External"/><Relationship Id="rId62" Type="http://schemas.openxmlformats.org/officeDocument/2006/relationships/hyperlink" Target="https://abecedazahrady.dama.cz/" TargetMode="External"/><Relationship Id="rId365" Type="http://schemas.openxmlformats.org/officeDocument/2006/relationships/hyperlink" Target="https://autorevue.cz/" TargetMode="External"/><Relationship Id="rId572" Type="http://schemas.openxmlformats.org/officeDocument/2006/relationships/hyperlink" Target="https://bleskprozeny.cz/" TargetMode="External"/><Relationship Id="rId1216" Type="http://schemas.openxmlformats.org/officeDocument/2006/relationships/hyperlink" Target="https://www.facebook.com/business/ads-guide/image/facebook-feed" TargetMode="External"/><Relationship Id="rId1423" Type="http://schemas.openxmlformats.org/officeDocument/2006/relationships/hyperlink" Target="http://www.instagram.com/" TargetMode="External"/><Relationship Id="rId1630" Type="http://schemas.openxmlformats.org/officeDocument/2006/relationships/hyperlink" Target="https://maminka.cz/" TargetMode="External"/><Relationship Id="rId2046" Type="http://schemas.openxmlformats.org/officeDocument/2006/relationships/hyperlink" Target="https://www.realitnitrh.cz/" TargetMode="External"/><Relationship Id="rId2253" Type="http://schemas.openxmlformats.org/officeDocument/2006/relationships/hyperlink" Target="https://reklama.cncenter.cz/Online/billboard-bottom" TargetMode="External"/><Relationship Id="rId2460" Type="http://schemas.openxmlformats.org/officeDocument/2006/relationships/hyperlink" Target="https://zive.cz/" TargetMode="External"/><Relationship Id="rId225" Type="http://schemas.openxmlformats.org/officeDocument/2006/relationships/hyperlink" Target="https://ahaonline.cz/" TargetMode="External"/><Relationship Id="rId432" Type="http://schemas.openxmlformats.org/officeDocument/2006/relationships/hyperlink" Target="https://reklama.cncenter.cz/Online/mobilni-interscroller" TargetMode="External"/><Relationship Id="rId877" Type="http://schemas.openxmlformats.org/officeDocument/2006/relationships/hyperlink" Target="https://reklama.cncenter.cz/Online/nativni-rectangle-cross-device" TargetMode="External"/><Relationship Id="rId1062" Type="http://schemas.openxmlformats.org/officeDocument/2006/relationships/hyperlink" Target="https://evropa2.cz/" TargetMode="External"/><Relationship Id="rId1728" Type="http://schemas.openxmlformats.org/officeDocument/2006/relationships/hyperlink" Target="https://mobilmania.cz/" TargetMode="External"/><Relationship Id="rId1935" Type="http://schemas.openxmlformats.org/officeDocument/2006/relationships/hyperlink" Target="http://nemovitosti.blesk.cz/" TargetMode="External"/><Relationship Id="rId2113" Type="http://schemas.openxmlformats.org/officeDocument/2006/relationships/hyperlink" Target="https://recepty.cz/" TargetMode="External"/><Relationship Id="rId2320" Type="http://schemas.openxmlformats.org/officeDocument/2006/relationships/hyperlink" Target="https://zeny.cz/" TargetMode="External"/><Relationship Id="rId737" Type="http://schemas.openxmlformats.org/officeDocument/2006/relationships/hyperlink" Target="https://reklama.cncenter.cz/Online/nativni-rectangle-cross-device" TargetMode="External"/><Relationship Id="rId944" Type="http://schemas.openxmlformats.org/officeDocument/2006/relationships/hyperlink" Target="https://dama.cz/" TargetMode="External"/><Relationship Id="rId1367" Type="http://schemas.openxmlformats.org/officeDocument/2006/relationships/hyperlink" Target="https://hledejceny.cz/" TargetMode="External"/><Relationship Id="rId1574" Type="http://schemas.openxmlformats.org/officeDocument/2006/relationships/hyperlink" Target="https://maminka.cz/" TargetMode="External"/><Relationship Id="rId1781" Type="http://schemas.openxmlformats.org/officeDocument/2006/relationships/hyperlink" Target="https://mojezdravi.cz/" TargetMode="External"/><Relationship Id="rId2197" Type="http://schemas.openxmlformats.org/officeDocument/2006/relationships/hyperlink" Target="https://reflex.cz/" TargetMode="External"/><Relationship Id="rId2418" Type="http://schemas.openxmlformats.org/officeDocument/2006/relationships/hyperlink" Target="https://reklama.cncenter.cz/Online/branding-cross-device" TargetMode="External"/><Relationship Id="rId73" Type="http://schemas.openxmlformats.org/officeDocument/2006/relationships/hyperlink" Target="https://abicko.cz/" TargetMode="External"/><Relationship Id="rId169" Type="http://schemas.openxmlformats.org/officeDocument/2006/relationships/hyperlink" Target="https://ahaonline.cz/" TargetMode="External"/><Relationship Id="rId376" Type="http://schemas.openxmlformats.org/officeDocument/2006/relationships/hyperlink" Target="https://autorevue.cz/" TargetMode="External"/><Relationship Id="rId583" Type="http://schemas.openxmlformats.org/officeDocument/2006/relationships/hyperlink" Target="https://bleskprozeny.cz/" TargetMode="External"/><Relationship Id="rId790" Type="http://schemas.openxmlformats.org/officeDocument/2006/relationships/hyperlink" Target="https://reklama.cncenter.cz/Online/branding-cross-device" TargetMode="External"/><Relationship Id="rId804" Type="http://schemas.openxmlformats.org/officeDocument/2006/relationships/hyperlink" Target="https://digiarena.zive.cz/" TargetMode="External"/><Relationship Id="rId1227" Type="http://schemas.openxmlformats.org/officeDocument/2006/relationships/hyperlink" Target="https://finexpert.cz/" TargetMode="External"/><Relationship Id="rId1434" Type="http://schemas.openxmlformats.org/officeDocument/2006/relationships/hyperlink" Target="http://www.instagram.com/" TargetMode="External"/><Relationship Id="rId1641" Type="http://schemas.openxmlformats.org/officeDocument/2006/relationships/hyperlink" Target="https://maminka.cz/" TargetMode="External"/><Relationship Id="rId1879" Type="http://schemas.openxmlformats.org/officeDocument/2006/relationships/hyperlink" Target="https://motogpsport.cz/" TargetMode="External"/><Relationship Id="rId2057" Type="http://schemas.openxmlformats.org/officeDocument/2006/relationships/hyperlink" Target="https://www.realitnitrh.cz/" TargetMode="External"/><Relationship Id="rId2264" Type="http://schemas.openxmlformats.org/officeDocument/2006/relationships/hyperlink" Target="https://vtm.zive.cz/" TargetMode="External"/><Relationship Id="rId2471" Type="http://schemas.openxmlformats.org/officeDocument/2006/relationships/hyperlink" Target="https://zive.cz/" TargetMode="External"/><Relationship Id="rId4" Type="http://schemas.openxmlformats.org/officeDocument/2006/relationships/hyperlink" Target="https://abecedazahrady.dama.cz/" TargetMode="External"/><Relationship Id="rId236" Type="http://schemas.openxmlformats.org/officeDocument/2006/relationships/hyperlink" Target="https://ahaonline.cz/" TargetMode="External"/><Relationship Id="rId443" Type="http://schemas.openxmlformats.org/officeDocument/2006/relationships/hyperlink" Target="https://avmania.zive.cz/" TargetMode="External"/><Relationship Id="rId650" Type="http://schemas.openxmlformats.org/officeDocument/2006/relationships/hyperlink" Target="https://reklama.cncenter.cz/Online/mobilni-slide-up" TargetMode="External"/><Relationship Id="rId888" Type="http://schemas.openxmlformats.org/officeDocument/2006/relationships/hyperlink" Target="https://reklama.cncenter.cz/Online/mobilni-interscroller" TargetMode="External"/><Relationship Id="rId1073" Type="http://schemas.openxmlformats.org/officeDocument/2006/relationships/hyperlink" Target="https://evropa2.cz/" TargetMode="External"/><Relationship Id="rId1280" Type="http://schemas.openxmlformats.org/officeDocument/2006/relationships/hyperlink" Target="https://fitweb.cz/" TargetMode="External"/><Relationship Id="rId1501" Type="http://schemas.openxmlformats.org/officeDocument/2006/relationships/hyperlink" Target="https://reklama.cncenter.cz/Online/billboard-bottom" TargetMode="External"/><Relationship Id="rId1739" Type="http://schemas.openxmlformats.org/officeDocument/2006/relationships/hyperlink" Target="https://mobilmania.cz/" TargetMode="External"/><Relationship Id="rId1946" Type="http://schemas.openxmlformats.org/officeDocument/2006/relationships/hyperlink" Target="http://nemovitosti.blesk.cz/" TargetMode="External"/><Relationship Id="rId2124" Type="http://schemas.openxmlformats.org/officeDocument/2006/relationships/hyperlink" Target="https://recepty.cz/" TargetMode="External"/><Relationship Id="rId2331" Type="http://schemas.openxmlformats.org/officeDocument/2006/relationships/hyperlink" Target="https://reklama.cncenter.cz/Online/branding-cross-device" TargetMode="External"/><Relationship Id="rId303" Type="http://schemas.openxmlformats.org/officeDocument/2006/relationships/hyperlink" Target="https://auto.cz/" TargetMode="External"/><Relationship Id="rId748" Type="http://schemas.openxmlformats.org/officeDocument/2006/relationships/hyperlink" Target="https://reklama.cncenter.cz/Online/Smarticle" TargetMode="External"/><Relationship Id="rId955" Type="http://schemas.openxmlformats.org/officeDocument/2006/relationships/hyperlink" Target="https://reklama.cncenter.cz/Online/Outstream" TargetMode="External"/><Relationship Id="rId1140" Type="http://schemas.openxmlformats.org/officeDocument/2006/relationships/hyperlink" Target="https://f1sport.auto.cz/" TargetMode="External"/><Relationship Id="rId1378" Type="http://schemas.openxmlformats.org/officeDocument/2006/relationships/hyperlink" Target="https://reklama.cncenter.cz/Online/double-skyscraper" TargetMode="External"/><Relationship Id="rId1585" Type="http://schemas.openxmlformats.org/officeDocument/2006/relationships/hyperlink" Target="https://reklama.cncenter.cz/Online/mobilni-interscroller" TargetMode="External"/><Relationship Id="rId1792" Type="http://schemas.openxmlformats.org/officeDocument/2006/relationships/hyperlink" Target="https://mojezdravi.cz/" TargetMode="External"/><Relationship Id="rId1806" Type="http://schemas.openxmlformats.org/officeDocument/2006/relationships/hyperlink" Target="https://reklama.cncenter.cz/Online/mobilni-vineta" TargetMode="External"/><Relationship Id="rId2429" Type="http://schemas.openxmlformats.org/officeDocument/2006/relationships/hyperlink" Target="https://zive.cz/" TargetMode="External"/><Relationship Id="rId84" Type="http://schemas.openxmlformats.org/officeDocument/2006/relationships/hyperlink" Target="https://abicko.cz/" TargetMode="External"/><Relationship Id="rId387" Type="http://schemas.openxmlformats.org/officeDocument/2006/relationships/hyperlink" Target="https://autorevue.cz/" TargetMode="External"/><Relationship Id="rId510" Type="http://schemas.openxmlformats.org/officeDocument/2006/relationships/hyperlink" Target="https://reklama.cncenter.cz/Online/Smarticle" TargetMode="External"/><Relationship Id="rId594" Type="http://schemas.openxmlformats.org/officeDocument/2006/relationships/hyperlink" Target="https://bleskprozeny.cz/" TargetMode="External"/><Relationship Id="rId608" Type="http://schemas.openxmlformats.org/officeDocument/2006/relationships/hyperlink" Target="https://reklama.cncenter.cz/Online/mobilni-vineta" TargetMode="External"/><Relationship Id="rId815" Type="http://schemas.openxmlformats.org/officeDocument/2006/relationships/hyperlink" Target="https://digiarena.zive.cz/" TargetMode="External"/><Relationship Id="rId1238" Type="http://schemas.openxmlformats.org/officeDocument/2006/relationships/hyperlink" Target="https://fitweb.cz/" TargetMode="External"/><Relationship Id="rId1445" Type="http://schemas.openxmlformats.org/officeDocument/2006/relationships/hyperlink" Target="http://www.instagram.com/" TargetMode="External"/><Relationship Id="rId1652" Type="http://schemas.openxmlformats.org/officeDocument/2006/relationships/hyperlink" Target="https://reklama.cncenter.cz/Online/mobilni-slide-up" TargetMode="External"/><Relationship Id="rId2068" Type="http://schemas.openxmlformats.org/officeDocument/2006/relationships/hyperlink" Target="https://recepty.cz/" TargetMode="External"/><Relationship Id="rId2275" Type="http://schemas.openxmlformats.org/officeDocument/2006/relationships/hyperlink" Target="https://vtm.zive.cz/" TargetMode="External"/><Relationship Id="rId247" Type="http://schemas.openxmlformats.org/officeDocument/2006/relationships/hyperlink" Target="https://auto.cz/" TargetMode="External"/><Relationship Id="rId899" Type="http://schemas.openxmlformats.org/officeDocument/2006/relationships/hyperlink" Target="https://reklama.cncenter.cz/Online/nativni-rectangle-cross-device" TargetMode="External"/><Relationship Id="rId1000" Type="http://schemas.openxmlformats.org/officeDocument/2006/relationships/hyperlink" Target="https://reklama.cncenter.cz/Online/branding-cross-device" TargetMode="External"/><Relationship Id="rId1084" Type="http://schemas.openxmlformats.org/officeDocument/2006/relationships/hyperlink" Target="https://f1sport.auto.cz/" TargetMode="External"/><Relationship Id="rId1305" Type="http://schemas.openxmlformats.org/officeDocument/2006/relationships/hyperlink" Target="https://frekvence1.cz/" TargetMode="External"/><Relationship Id="rId1957" Type="http://schemas.openxmlformats.org/officeDocument/2006/relationships/hyperlink" Target="http://nemovitosti.blesk.cz/" TargetMode="External"/><Relationship Id="rId2482" Type="http://schemas.openxmlformats.org/officeDocument/2006/relationships/hyperlink" Target="https://reklama.cncenter.cz/Online/Bumper" TargetMode="External"/><Relationship Id="rId107" Type="http://schemas.openxmlformats.org/officeDocument/2006/relationships/hyperlink" Target="https://reklama.cncenter.cz/Online/nativni-rectangle-cross-device" TargetMode="External"/><Relationship Id="rId454" Type="http://schemas.openxmlformats.org/officeDocument/2006/relationships/hyperlink" Target="https://avmania.zive.cz/" TargetMode="External"/><Relationship Id="rId661" Type="http://schemas.openxmlformats.org/officeDocument/2006/relationships/hyperlink" Target="https://reklama.cncenter.cz/Online/branding" TargetMode="External"/><Relationship Id="rId759" Type="http://schemas.openxmlformats.org/officeDocument/2006/relationships/hyperlink" Target="https://reklama.cncenter.cz/Online/mobilni-slide-up" TargetMode="External"/><Relationship Id="rId966" Type="http://schemas.openxmlformats.org/officeDocument/2006/relationships/hyperlink" Target="https://reklama.cncenter.cz/Online/Videospot" TargetMode="External"/><Relationship Id="rId1291" Type="http://schemas.openxmlformats.org/officeDocument/2006/relationships/hyperlink" Target="https://heyfomo.cz/" TargetMode="External"/><Relationship Id="rId1389" Type="http://schemas.openxmlformats.org/officeDocument/2006/relationships/hyperlink" Target="http://www.instagram.com/" TargetMode="External"/><Relationship Id="rId1512" Type="http://schemas.openxmlformats.org/officeDocument/2006/relationships/hyperlink" Target="https://lideazeme.cz/" TargetMode="External"/><Relationship Id="rId1596" Type="http://schemas.openxmlformats.org/officeDocument/2006/relationships/hyperlink" Target="https://maminka.cz/" TargetMode="External"/><Relationship Id="rId1817" Type="http://schemas.openxmlformats.org/officeDocument/2006/relationships/hyperlink" Target="https://reklama.cncenter.cz/?ads=PR%2520%25C4%258Dl%25C3%25A1nky" TargetMode="External"/><Relationship Id="rId2135" Type="http://schemas.openxmlformats.org/officeDocument/2006/relationships/hyperlink" Target="https://recepty.cz/" TargetMode="External"/><Relationship Id="rId2342" Type="http://schemas.openxmlformats.org/officeDocument/2006/relationships/hyperlink" Target="https://zeny.cz/" TargetMode="External"/><Relationship Id="rId11" Type="http://schemas.openxmlformats.org/officeDocument/2006/relationships/hyperlink" Target="https://reklama.cncenter.cz/Online/branding" TargetMode="External"/><Relationship Id="rId314" Type="http://schemas.openxmlformats.org/officeDocument/2006/relationships/hyperlink" Target="https://auto.cz/" TargetMode="External"/><Relationship Id="rId398" Type="http://schemas.openxmlformats.org/officeDocument/2006/relationships/hyperlink" Target="https://autorevue.cz/" TargetMode="External"/><Relationship Id="rId521" Type="http://schemas.openxmlformats.org/officeDocument/2006/relationships/hyperlink" Target="https://blesk.cz/" TargetMode="External"/><Relationship Id="rId619" Type="http://schemas.openxmlformats.org/officeDocument/2006/relationships/hyperlink" Target="https://reklama.cncenter.cz/Online/Outstream" TargetMode="External"/><Relationship Id="rId1151" Type="http://schemas.openxmlformats.org/officeDocument/2006/relationships/hyperlink" Target="http://www.facebook.com/" TargetMode="External"/><Relationship Id="rId1249" Type="http://schemas.openxmlformats.org/officeDocument/2006/relationships/hyperlink" Target="https://reklama.cncenter.cz/Online/branding-cross-device" TargetMode="External"/><Relationship Id="rId2079" Type="http://schemas.openxmlformats.org/officeDocument/2006/relationships/hyperlink" Target="https://reklama.cncenter.cz/Online/branding" TargetMode="External"/><Relationship Id="rId2202" Type="http://schemas.openxmlformats.org/officeDocument/2006/relationships/hyperlink" Target="https://reflex.cz/" TargetMode="External"/><Relationship Id="rId95" Type="http://schemas.openxmlformats.org/officeDocument/2006/relationships/hyperlink" Target="https://reklama.cncenter.cz/Online/mobilni-interscroller" TargetMode="External"/><Relationship Id="rId160" Type="http://schemas.openxmlformats.org/officeDocument/2006/relationships/hyperlink" Target="https://ahaonline.cz/" TargetMode="External"/><Relationship Id="rId826" Type="http://schemas.openxmlformats.org/officeDocument/2006/relationships/hyperlink" Target="https://digiarena.zive.cz/" TargetMode="External"/><Relationship Id="rId1011" Type="http://schemas.openxmlformats.org/officeDocument/2006/relationships/hyperlink" Target="https://reklama.cncenter.cz/Online/Outstream" TargetMode="External"/><Relationship Id="rId1109" Type="http://schemas.openxmlformats.org/officeDocument/2006/relationships/hyperlink" Target="https://f1sport.auto.cz/" TargetMode="External"/><Relationship Id="rId1456" Type="http://schemas.openxmlformats.org/officeDocument/2006/relationships/hyperlink" Target="http://www.instagram.com/" TargetMode="External"/><Relationship Id="rId1663" Type="http://schemas.openxmlformats.org/officeDocument/2006/relationships/hyperlink" Target="https://reklama.cncenter.cz/?ads=PR%2520%25C4%258Dl%25C3%25A1nky" TargetMode="External"/><Relationship Id="rId1870" Type="http://schemas.openxmlformats.org/officeDocument/2006/relationships/hyperlink" Target="https://motogpsport.cz/" TargetMode="External"/><Relationship Id="rId1968" Type="http://schemas.openxmlformats.org/officeDocument/2006/relationships/hyperlink" Target="https://nemovitosti.blesk.cz/" TargetMode="External"/><Relationship Id="rId2286" Type="http://schemas.openxmlformats.org/officeDocument/2006/relationships/hyperlink" Target="https://reklama.cncenter.cz/Online/Outstream" TargetMode="External"/><Relationship Id="rId258" Type="http://schemas.openxmlformats.org/officeDocument/2006/relationships/hyperlink" Target="https://reklama.cncenter.cz/Online/branding" TargetMode="External"/><Relationship Id="rId465" Type="http://schemas.openxmlformats.org/officeDocument/2006/relationships/hyperlink" Target="https://avmania.zive.cz/" TargetMode="External"/><Relationship Id="rId672" Type="http://schemas.openxmlformats.org/officeDocument/2006/relationships/hyperlink" Target="https://reklama.cncenter.cz/Online/Videospot" TargetMode="External"/><Relationship Id="rId1095" Type="http://schemas.openxmlformats.org/officeDocument/2006/relationships/hyperlink" Target="https://reklama.cncenter.cz/Online/branding" TargetMode="External"/><Relationship Id="rId1316" Type="http://schemas.openxmlformats.org/officeDocument/2006/relationships/hyperlink" Target="https://frekvence1.cz/" TargetMode="External"/><Relationship Id="rId1523" Type="http://schemas.openxmlformats.org/officeDocument/2006/relationships/hyperlink" Target="https://lideazeme.cz/" TargetMode="External"/><Relationship Id="rId1730" Type="http://schemas.openxmlformats.org/officeDocument/2006/relationships/hyperlink" Target="https://reklama.cncenter.cz/Online/nativni-rectangle-cross-device" TargetMode="External"/><Relationship Id="rId2146" Type="http://schemas.openxmlformats.org/officeDocument/2006/relationships/hyperlink" Target="https://reklama.cncenter.cz/Online/Bumper" TargetMode="External"/><Relationship Id="rId2353" Type="http://schemas.openxmlformats.org/officeDocument/2006/relationships/hyperlink" Target="https://zeny.cz/" TargetMode="External"/><Relationship Id="rId22" Type="http://schemas.openxmlformats.org/officeDocument/2006/relationships/hyperlink" Target="https://abecedazahrady.dama.cz/" TargetMode="External"/><Relationship Id="rId118" Type="http://schemas.openxmlformats.org/officeDocument/2006/relationships/hyperlink" Target="https://reklama.cncenter.cz/Online/double-skyscraper" TargetMode="External"/><Relationship Id="rId325" Type="http://schemas.openxmlformats.org/officeDocument/2006/relationships/hyperlink" Target="https://reklama.cncenter.cz/Online/Bumper" TargetMode="External"/><Relationship Id="rId532" Type="http://schemas.openxmlformats.org/officeDocument/2006/relationships/hyperlink" Target="https://reklama.cncenter.cz/Online/branding" TargetMode="External"/><Relationship Id="rId977" Type="http://schemas.openxmlformats.org/officeDocument/2006/relationships/hyperlink" Target="https://dama.cz/" TargetMode="External"/><Relationship Id="rId1162" Type="http://schemas.openxmlformats.org/officeDocument/2006/relationships/hyperlink" Target="https://www.facebook.com/business/ads-guide/image/facebook-feed" TargetMode="External"/><Relationship Id="rId1828" Type="http://schemas.openxmlformats.org/officeDocument/2006/relationships/hyperlink" Target="https://motogpsport.cz/" TargetMode="External"/><Relationship Id="rId2006" Type="http://schemas.openxmlformats.org/officeDocument/2006/relationships/hyperlink" Target="https://www.realitnitrh.cz/" TargetMode="External"/><Relationship Id="rId2213" Type="http://schemas.openxmlformats.org/officeDocument/2006/relationships/hyperlink" Target="https://reflex.cz/" TargetMode="External"/><Relationship Id="rId2420" Type="http://schemas.openxmlformats.org/officeDocument/2006/relationships/hyperlink" Target="https://zive.cz/" TargetMode="External"/><Relationship Id="rId171" Type="http://schemas.openxmlformats.org/officeDocument/2006/relationships/hyperlink" Target="https://reklama.cncenter.cz/Online/billboard-bottom" TargetMode="External"/><Relationship Id="rId837" Type="http://schemas.openxmlformats.org/officeDocument/2006/relationships/hyperlink" Target="https://digiarena.zive.cz/" TargetMode="External"/><Relationship Id="rId1022" Type="http://schemas.openxmlformats.org/officeDocument/2006/relationships/hyperlink" Target="https://evropa2.cz/" TargetMode="External"/><Relationship Id="rId1467" Type="http://schemas.openxmlformats.org/officeDocument/2006/relationships/hyperlink" Target="https://reklama.cncenter.cz/Online/branding" TargetMode="External"/><Relationship Id="rId1674" Type="http://schemas.openxmlformats.org/officeDocument/2006/relationships/hyperlink" Target="https://mobilmania.cz/" TargetMode="External"/><Relationship Id="rId1881" Type="http://schemas.openxmlformats.org/officeDocument/2006/relationships/hyperlink" Target="https://motogpsport.cz/" TargetMode="External"/><Relationship Id="rId2297" Type="http://schemas.openxmlformats.org/officeDocument/2006/relationships/hyperlink" Target="https://vtm.zive.cz/" TargetMode="External"/><Relationship Id="rId269" Type="http://schemas.openxmlformats.org/officeDocument/2006/relationships/hyperlink" Target="https://auto.cz/" TargetMode="External"/><Relationship Id="rId476" Type="http://schemas.openxmlformats.org/officeDocument/2006/relationships/hyperlink" Target="https://blesk.cz/" TargetMode="External"/><Relationship Id="rId683" Type="http://schemas.openxmlformats.org/officeDocument/2006/relationships/hyperlink" Target="https://reklama.cncenter.cz/Online/billboard-bottom" TargetMode="External"/><Relationship Id="rId890" Type="http://schemas.openxmlformats.org/officeDocument/2006/relationships/hyperlink" Target="https://doupe.zive.cz/" TargetMode="External"/><Relationship Id="rId904" Type="http://schemas.openxmlformats.org/officeDocument/2006/relationships/hyperlink" Target="https://doupe.zive.cz/" TargetMode="External"/><Relationship Id="rId1327" Type="http://schemas.openxmlformats.org/officeDocument/2006/relationships/hyperlink" Target="https://reklama.cncenter.cz/Online/mobilni-vineta" TargetMode="External"/><Relationship Id="rId1534" Type="http://schemas.openxmlformats.org/officeDocument/2006/relationships/hyperlink" Target="https://lideazeme.cz/" TargetMode="External"/><Relationship Id="rId1741" Type="http://schemas.openxmlformats.org/officeDocument/2006/relationships/hyperlink" Target="https://mobilmania.cz/" TargetMode="External"/><Relationship Id="rId1979" Type="http://schemas.openxmlformats.org/officeDocument/2006/relationships/hyperlink" Target="http://nemovitosti.blesk.cz/" TargetMode="External"/><Relationship Id="rId2157" Type="http://schemas.openxmlformats.org/officeDocument/2006/relationships/hyperlink" Target="https://reklama.cncenter.cz/Online/branding" TargetMode="External"/><Relationship Id="rId2364" Type="http://schemas.openxmlformats.org/officeDocument/2006/relationships/hyperlink" Target="https://zeny.cz/" TargetMode="External"/><Relationship Id="rId33" Type="http://schemas.openxmlformats.org/officeDocument/2006/relationships/hyperlink" Target="https://abecedazahrady.dama.cz/" TargetMode="External"/><Relationship Id="rId129" Type="http://schemas.openxmlformats.org/officeDocument/2006/relationships/hyperlink" Target="https://abicko.cz/" TargetMode="External"/><Relationship Id="rId336" Type="http://schemas.openxmlformats.org/officeDocument/2006/relationships/hyperlink" Target="https://reklama.cncenter.cz/Online/branding" TargetMode="External"/><Relationship Id="rId543" Type="http://schemas.openxmlformats.org/officeDocument/2006/relationships/hyperlink" Target="https://blesk.cz/" TargetMode="External"/><Relationship Id="rId988" Type="http://schemas.openxmlformats.org/officeDocument/2006/relationships/hyperlink" Target="https://dama.cz/" TargetMode="External"/><Relationship Id="rId1173" Type="http://schemas.openxmlformats.org/officeDocument/2006/relationships/hyperlink" Target="http://www.facebook.com/" TargetMode="External"/><Relationship Id="rId1380" Type="http://schemas.openxmlformats.org/officeDocument/2006/relationships/hyperlink" Target="http://www.instagram.com/" TargetMode="External"/><Relationship Id="rId1601" Type="http://schemas.openxmlformats.org/officeDocument/2006/relationships/hyperlink" Target="https://maminka.cz/" TargetMode="External"/><Relationship Id="rId1839" Type="http://schemas.openxmlformats.org/officeDocument/2006/relationships/hyperlink" Target="https://motogpsport.cz/" TargetMode="External"/><Relationship Id="rId2017" Type="http://schemas.openxmlformats.org/officeDocument/2006/relationships/hyperlink" Target="https://www.realitnitrh.cz/" TargetMode="External"/><Relationship Id="rId2224" Type="http://schemas.openxmlformats.org/officeDocument/2006/relationships/hyperlink" Target="https://reklama.cncenter.cz/?ads=PR%2520%25C4%258Dl%25C3%25A1nky" TargetMode="External"/><Relationship Id="rId182" Type="http://schemas.openxmlformats.org/officeDocument/2006/relationships/hyperlink" Target="https://ahaonline.cz/" TargetMode="External"/><Relationship Id="rId403" Type="http://schemas.openxmlformats.org/officeDocument/2006/relationships/hyperlink" Target="https://autorevue.cz/" TargetMode="External"/><Relationship Id="rId750" Type="http://schemas.openxmlformats.org/officeDocument/2006/relationships/hyperlink" Target="https://reklama.cncenter.cz/Online/billboard-bottom" TargetMode="External"/><Relationship Id="rId848" Type="http://schemas.openxmlformats.org/officeDocument/2006/relationships/hyperlink" Target="https://doupe.zive.cz/" TargetMode="External"/><Relationship Id="rId1033" Type="http://schemas.openxmlformats.org/officeDocument/2006/relationships/hyperlink" Target="https://reklama.cncenter.cz/Online/branding" TargetMode="External"/><Relationship Id="rId1478" Type="http://schemas.openxmlformats.org/officeDocument/2006/relationships/hyperlink" Target="https://reklama.cncenter.cz/Online/Bumper" TargetMode="External"/><Relationship Id="rId1685" Type="http://schemas.openxmlformats.org/officeDocument/2006/relationships/hyperlink" Target="https://mobilmania.cz/" TargetMode="External"/><Relationship Id="rId1892" Type="http://schemas.openxmlformats.org/officeDocument/2006/relationships/hyperlink" Target="https://motogpsport.cz/" TargetMode="External"/><Relationship Id="rId1906" Type="http://schemas.openxmlformats.org/officeDocument/2006/relationships/hyperlink" Target="https://reklama.cncenter.cz/Online/branding-cross-device" TargetMode="External"/><Relationship Id="rId2431" Type="http://schemas.openxmlformats.org/officeDocument/2006/relationships/hyperlink" Target="https://zive.cz/" TargetMode="External"/><Relationship Id="rId487" Type="http://schemas.openxmlformats.org/officeDocument/2006/relationships/hyperlink" Target="https://reklama.cncenter.cz/Online/nativni-rectangle-cross-device" TargetMode="External"/><Relationship Id="rId610" Type="http://schemas.openxmlformats.org/officeDocument/2006/relationships/hyperlink" Target="https://bleskprozeny.cz/" TargetMode="External"/><Relationship Id="rId694" Type="http://schemas.openxmlformats.org/officeDocument/2006/relationships/hyperlink" Target="https://reklama.cncenter.cz/Online/double-skyscraper" TargetMode="External"/><Relationship Id="rId708" Type="http://schemas.openxmlformats.org/officeDocument/2006/relationships/hyperlink" Target="https://reklama.cncenter.cz/Online/double-skyscraper" TargetMode="External"/><Relationship Id="rId915" Type="http://schemas.openxmlformats.org/officeDocument/2006/relationships/hyperlink" Target="https://dama.cz/" TargetMode="External"/><Relationship Id="rId1240" Type="http://schemas.openxmlformats.org/officeDocument/2006/relationships/hyperlink" Target="https://reklama.cncenter.cz/Online/branding-cross-device" TargetMode="External"/><Relationship Id="rId1338" Type="http://schemas.openxmlformats.org/officeDocument/2006/relationships/hyperlink" Target="https://frekvence1.cz/" TargetMode="External"/><Relationship Id="rId1545" Type="http://schemas.openxmlformats.org/officeDocument/2006/relationships/hyperlink" Target="https://lideazeme.cz/" TargetMode="External"/><Relationship Id="rId2070" Type="http://schemas.openxmlformats.org/officeDocument/2006/relationships/hyperlink" Target="https://reklama.cncenter.cz/Online/branding" TargetMode="External"/><Relationship Id="rId2168" Type="http://schemas.openxmlformats.org/officeDocument/2006/relationships/hyperlink" Target="https://reflex.cz/" TargetMode="External"/><Relationship Id="rId2375" Type="http://schemas.openxmlformats.org/officeDocument/2006/relationships/hyperlink" Target="https://reklama.cncenter.cz/Online/mobilni-slide-up" TargetMode="External"/><Relationship Id="rId347" Type="http://schemas.openxmlformats.org/officeDocument/2006/relationships/hyperlink" Target="https://autorevue.cz/" TargetMode="External"/><Relationship Id="rId999" Type="http://schemas.openxmlformats.org/officeDocument/2006/relationships/hyperlink" Target="https://reklama.cncenter.cz/Online/billboard-bottom" TargetMode="External"/><Relationship Id="rId1100" Type="http://schemas.openxmlformats.org/officeDocument/2006/relationships/hyperlink" Target="https://f1sport.auto.cz/" TargetMode="External"/><Relationship Id="rId1184" Type="http://schemas.openxmlformats.org/officeDocument/2006/relationships/hyperlink" Target="http://www.facebook.com/" TargetMode="External"/><Relationship Id="rId1405" Type="http://schemas.openxmlformats.org/officeDocument/2006/relationships/hyperlink" Target="http://www.instagram.com/" TargetMode="External"/><Relationship Id="rId1752" Type="http://schemas.openxmlformats.org/officeDocument/2006/relationships/hyperlink" Target="https://mojezdravi.cz/" TargetMode="External"/><Relationship Id="rId2028" Type="http://schemas.openxmlformats.org/officeDocument/2006/relationships/hyperlink" Target="https://reklama.cncenter.cz/Online/nativni-rectangle-cross-device" TargetMode="External"/><Relationship Id="rId44" Type="http://schemas.openxmlformats.org/officeDocument/2006/relationships/hyperlink" Target="https://abecedazahrady.dama.cz/" TargetMode="External"/><Relationship Id="rId554" Type="http://schemas.openxmlformats.org/officeDocument/2006/relationships/hyperlink" Target="https://bleskprozeny.cz/" TargetMode="External"/><Relationship Id="rId761" Type="http://schemas.openxmlformats.org/officeDocument/2006/relationships/hyperlink" Target="https://reklama.cncenter.cz/Online/nativni-rectangle-cross-device" TargetMode="External"/><Relationship Id="rId859" Type="http://schemas.openxmlformats.org/officeDocument/2006/relationships/hyperlink" Target="https://reklama.cncenter.cz/Online/branding-cross-device" TargetMode="External"/><Relationship Id="rId1391" Type="http://schemas.openxmlformats.org/officeDocument/2006/relationships/hyperlink" Target="http://www.instagram.com/" TargetMode="External"/><Relationship Id="rId1489" Type="http://schemas.openxmlformats.org/officeDocument/2006/relationships/hyperlink" Target="https://lideazeme.cz/" TargetMode="External"/><Relationship Id="rId1612" Type="http://schemas.openxmlformats.org/officeDocument/2006/relationships/hyperlink" Target="https://maminka.cz/" TargetMode="External"/><Relationship Id="rId1696" Type="http://schemas.openxmlformats.org/officeDocument/2006/relationships/hyperlink" Target="https://reklama.cncenter.cz/Online/mobilni-vineta" TargetMode="External"/><Relationship Id="rId1917" Type="http://schemas.openxmlformats.org/officeDocument/2006/relationships/hyperlink" Target="https://nemovitosti.blesk.cz/" TargetMode="External"/><Relationship Id="rId2235" Type="http://schemas.openxmlformats.org/officeDocument/2006/relationships/hyperlink" Target="https://sportrevue.cz/" TargetMode="External"/><Relationship Id="rId2442" Type="http://schemas.openxmlformats.org/officeDocument/2006/relationships/hyperlink" Target="https://reklama.cncenter.cz/Online/Outstream" TargetMode="External"/><Relationship Id="rId193" Type="http://schemas.openxmlformats.org/officeDocument/2006/relationships/hyperlink" Target="https://ahaonline.cz/" TargetMode="External"/><Relationship Id="rId207" Type="http://schemas.openxmlformats.org/officeDocument/2006/relationships/hyperlink" Target="https://ahaonline.cz/" TargetMode="External"/><Relationship Id="rId414" Type="http://schemas.openxmlformats.org/officeDocument/2006/relationships/hyperlink" Target="https://reklama.cncenter.cz/Online/branding-cross-device" TargetMode="External"/><Relationship Id="rId498" Type="http://schemas.openxmlformats.org/officeDocument/2006/relationships/hyperlink" Target="https://reklama.cncenter.cz/Online/branding-cross-device" TargetMode="External"/><Relationship Id="rId621" Type="http://schemas.openxmlformats.org/officeDocument/2006/relationships/hyperlink" Target="https://bleskprozeny.cz/" TargetMode="External"/><Relationship Id="rId1044" Type="http://schemas.openxmlformats.org/officeDocument/2006/relationships/hyperlink" Target="https://evropa2.cz/" TargetMode="External"/><Relationship Id="rId1251" Type="http://schemas.openxmlformats.org/officeDocument/2006/relationships/hyperlink" Target="https://fitweb.cz/" TargetMode="External"/><Relationship Id="rId1349" Type="http://schemas.openxmlformats.org/officeDocument/2006/relationships/hyperlink" Target="https://frekvence1.cz/" TargetMode="External"/><Relationship Id="rId2081" Type="http://schemas.openxmlformats.org/officeDocument/2006/relationships/hyperlink" Target="https://recepty.cz/" TargetMode="External"/><Relationship Id="rId2179" Type="http://schemas.openxmlformats.org/officeDocument/2006/relationships/hyperlink" Target="https://reflex.cz/" TargetMode="External"/><Relationship Id="rId2302" Type="http://schemas.openxmlformats.org/officeDocument/2006/relationships/hyperlink" Target="https://vtm.zive.cz/" TargetMode="External"/><Relationship Id="rId260" Type="http://schemas.openxmlformats.org/officeDocument/2006/relationships/hyperlink" Target="https://auto.cz/" TargetMode="External"/><Relationship Id="rId719" Type="http://schemas.openxmlformats.org/officeDocument/2006/relationships/hyperlink" Target="https://reklama.cncenter.cz/Online/mobilni-interscroller" TargetMode="External"/><Relationship Id="rId926" Type="http://schemas.openxmlformats.org/officeDocument/2006/relationships/hyperlink" Target="https://dama.cz/" TargetMode="External"/><Relationship Id="rId1111" Type="http://schemas.openxmlformats.org/officeDocument/2006/relationships/hyperlink" Target="https://f1sport.auto.cz/" TargetMode="External"/><Relationship Id="rId1556" Type="http://schemas.openxmlformats.org/officeDocument/2006/relationships/hyperlink" Target="https://lideazeme.cz/" TargetMode="External"/><Relationship Id="rId1763" Type="http://schemas.openxmlformats.org/officeDocument/2006/relationships/hyperlink" Target="https://mojezdravi.cz/" TargetMode="External"/><Relationship Id="rId1970" Type="http://schemas.openxmlformats.org/officeDocument/2006/relationships/hyperlink" Target="https://reklama.cncenter.cz/Online/nativni-rectangle-cross-device" TargetMode="External"/><Relationship Id="rId2386" Type="http://schemas.openxmlformats.org/officeDocument/2006/relationships/hyperlink" Target="https://reklama.cncenter.cz/Online/nativni-rectangle-cross-device" TargetMode="External"/><Relationship Id="rId55" Type="http://schemas.openxmlformats.org/officeDocument/2006/relationships/hyperlink" Target="https://abecedazahrady.dama.cz/" TargetMode="External"/><Relationship Id="rId120" Type="http://schemas.openxmlformats.org/officeDocument/2006/relationships/hyperlink" Target="https://abicko.cz/" TargetMode="External"/><Relationship Id="rId358" Type="http://schemas.openxmlformats.org/officeDocument/2006/relationships/hyperlink" Target="https://autorevue.cz/" TargetMode="External"/><Relationship Id="rId565" Type="http://schemas.openxmlformats.org/officeDocument/2006/relationships/hyperlink" Target="https://bleskprozeny.cz/" TargetMode="External"/><Relationship Id="rId772" Type="http://schemas.openxmlformats.org/officeDocument/2006/relationships/hyperlink" Target="https://reklama.cncenter.cz/Online/Smarticle" TargetMode="External"/><Relationship Id="rId1195" Type="http://schemas.openxmlformats.org/officeDocument/2006/relationships/hyperlink" Target="https://www.facebook.com/business/ads-guide/image/facebook-feed" TargetMode="External"/><Relationship Id="rId1209" Type="http://schemas.openxmlformats.org/officeDocument/2006/relationships/hyperlink" Target="http://www.facebook.com/" TargetMode="External"/><Relationship Id="rId1416" Type="http://schemas.openxmlformats.org/officeDocument/2006/relationships/hyperlink" Target="http://www.instagram.com/" TargetMode="External"/><Relationship Id="rId1623" Type="http://schemas.openxmlformats.org/officeDocument/2006/relationships/hyperlink" Target="https://maminka.cz/" TargetMode="External"/><Relationship Id="rId1830" Type="http://schemas.openxmlformats.org/officeDocument/2006/relationships/hyperlink" Target="https://motogpsport.cz/" TargetMode="External"/><Relationship Id="rId2039" Type="http://schemas.openxmlformats.org/officeDocument/2006/relationships/hyperlink" Target="https://reklama.cncenter.cz/Online/mobilni-interscroller" TargetMode="External"/><Relationship Id="rId2246" Type="http://schemas.openxmlformats.org/officeDocument/2006/relationships/hyperlink" Target="https://sportrevue.cz/" TargetMode="External"/><Relationship Id="rId2453" Type="http://schemas.openxmlformats.org/officeDocument/2006/relationships/hyperlink" Target="https://reklama.cncenter.cz/Online/mobilni-interscroller" TargetMode="External"/><Relationship Id="rId218" Type="http://schemas.openxmlformats.org/officeDocument/2006/relationships/hyperlink" Target="https://ahaonline.cz/" TargetMode="External"/><Relationship Id="rId425" Type="http://schemas.openxmlformats.org/officeDocument/2006/relationships/hyperlink" Target="https://avmania.zive.cz/" TargetMode="External"/><Relationship Id="rId632" Type="http://schemas.openxmlformats.org/officeDocument/2006/relationships/hyperlink" Target="https://reklama.cncenter.cz/Online/billboard-bottom" TargetMode="External"/><Relationship Id="rId1055" Type="http://schemas.openxmlformats.org/officeDocument/2006/relationships/hyperlink" Target="https://evropa2.cz/" TargetMode="External"/><Relationship Id="rId1262" Type="http://schemas.openxmlformats.org/officeDocument/2006/relationships/hyperlink" Target="https://fitweb.cz/" TargetMode="External"/><Relationship Id="rId1928" Type="http://schemas.openxmlformats.org/officeDocument/2006/relationships/hyperlink" Target="https://nemovitosti.blesk.cz/" TargetMode="External"/><Relationship Id="rId2092" Type="http://schemas.openxmlformats.org/officeDocument/2006/relationships/hyperlink" Target="https://recepty.cz/" TargetMode="External"/><Relationship Id="rId2106" Type="http://schemas.openxmlformats.org/officeDocument/2006/relationships/hyperlink" Target="https://reklama.cncenter.cz/Online/Bumper" TargetMode="External"/><Relationship Id="rId2313" Type="http://schemas.openxmlformats.org/officeDocument/2006/relationships/hyperlink" Target="https://youradio.cz/" TargetMode="External"/><Relationship Id="rId271" Type="http://schemas.openxmlformats.org/officeDocument/2006/relationships/hyperlink" Target="https://auto.cz/" TargetMode="External"/><Relationship Id="rId937" Type="http://schemas.openxmlformats.org/officeDocument/2006/relationships/hyperlink" Target="https://reklama.cncenter.cz/Online/Videospot" TargetMode="External"/><Relationship Id="rId1122" Type="http://schemas.openxmlformats.org/officeDocument/2006/relationships/hyperlink" Target="https://f1sport.auto.cz/" TargetMode="External"/><Relationship Id="rId1567" Type="http://schemas.openxmlformats.org/officeDocument/2006/relationships/hyperlink" Target="https://reklama.cncenter.cz/Online/branding" TargetMode="External"/><Relationship Id="rId1774" Type="http://schemas.openxmlformats.org/officeDocument/2006/relationships/hyperlink" Target="https://reklama.cncenter.cz/Online/mobilni-interscroller" TargetMode="External"/><Relationship Id="rId1981" Type="http://schemas.openxmlformats.org/officeDocument/2006/relationships/hyperlink" Target="https://nemovitosti.blesk.cz/" TargetMode="External"/><Relationship Id="rId2397" Type="http://schemas.openxmlformats.org/officeDocument/2006/relationships/hyperlink" Target="https://zeny.cz/" TargetMode="External"/><Relationship Id="rId66" Type="http://schemas.openxmlformats.org/officeDocument/2006/relationships/hyperlink" Target="https://abecedazahrady.dama.cz/" TargetMode="External"/><Relationship Id="rId131" Type="http://schemas.openxmlformats.org/officeDocument/2006/relationships/hyperlink" Target="https://abicko.cz/" TargetMode="External"/><Relationship Id="rId369" Type="http://schemas.openxmlformats.org/officeDocument/2006/relationships/hyperlink" Target="https://reklama.cncenter.cz/Online/Bumper" TargetMode="External"/><Relationship Id="rId576" Type="http://schemas.openxmlformats.org/officeDocument/2006/relationships/hyperlink" Target="https://reklama.cncenter.cz/Online/mobilni-slide-up" TargetMode="External"/><Relationship Id="rId783" Type="http://schemas.openxmlformats.org/officeDocument/2006/relationships/hyperlink" Target="https://digiarena.zive.cz/" TargetMode="External"/><Relationship Id="rId990" Type="http://schemas.openxmlformats.org/officeDocument/2006/relationships/hyperlink" Target="https://dama.cz/" TargetMode="External"/><Relationship Id="rId1427" Type="http://schemas.openxmlformats.org/officeDocument/2006/relationships/hyperlink" Target="http://www.instagram.com/" TargetMode="External"/><Relationship Id="rId1634" Type="http://schemas.openxmlformats.org/officeDocument/2006/relationships/hyperlink" Target="https://reklama.cncenter.cz/?ads=PR%2520%25C4%258Dl%25C3%25A1nky" TargetMode="External"/><Relationship Id="rId1841" Type="http://schemas.openxmlformats.org/officeDocument/2006/relationships/hyperlink" Target="https://motogpsport.cz/" TargetMode="External"/><Relationship Id="rId2257" Type="http://schemas.openxmlformats.org/officeDocument/2006/relationships/hyperlink" Target="https://vtm.zive.cz/" TargetMode="External"/><Relationship Id="rId2464" Type="http://schemas.openxmlformats.org/officeDocument/2006/relationships/hyperlink" Target="https://reklama.cncenter.cz/Online/nativni-PR-premium" TargetMode="External"/><Relationship Id="rId229" Type="http://schemas.openxmlformats.org/officeDocument/2006/relationships/hyperlink" Target="https://reklama.cncenter.cz/?ads=PR%2520%25C4%258Dl%25C3%25A1nky" TargetMode="External"/><Relationship Id="rId436" Type="http://schemas.openxmlformats.org/officeDocument/2006/relationships/hyperlink" Target="https://avmania.zive.cz/" TargetMode="External"/><Relationship Id="rId643" Type="http://schemas.openxmlformats.org/officeDocument/2006/relationships/hyperlink" Target="https://reklama.cncenter.cz/Online/nativni-rectangle-cross-device" TargetMode="External"/><Relationship Id="rId1066" Type="http://schemas.openxmlformats.org/officeDocument/2006/relationships/hyperlink" Target="https://reklama.cncenter.cz/Online/mobilni-slide-up" TargetMode="External"/><Relationship Id="rId1273" Type="http://schemas.openxmlformats.org/officeDocument/2006/relationships/hyperlink" Target="https://reklama.cncenter.cz/Online/double-skyscraper" TargetMode="External"/><Relationship Id="rId1480" Type="http://schemas.openxmlformats.org/officeDocument/2006/relationships/hyperlink" Target="https://reklama.cncenter.cz/Online/Videospot" TargetMode="External"/><Relationship Id="rId1939" Type="http://schemas.openxmlformats.org/officeDocument/2006/relationships/hyperlink" Target="http://nemovitosti.blesk.cz/" TargetMode="External"/><Relationship Id="rId2117" Type="http://schemas.openxmlformats.org/officeDocument/2006/relationships/hyperlink" Target="https://reklama.cncenter.cz/Online/mobilni-interscroller" TargetMode="External"/><Relationship Id="rId2324" Type="http://schemas.openxmlformats.org/officeDocument/2006/relationships/hyperlink" Target="https://zeny.cz/" TargetMode="External"/><Relationship Id="rId850" Type="http://schemas.openxmlformats.org/officeDocument/2006/relationships/hyperlink" Target="https://reklama.cncenter.cz/Online/branding-cross-device" TargetMode="External"/><Relationship Id="rId948" Type="http://schemas.openxmlformats.org/officeDocument/2006/relationships/hyperlink" Target="https://dama.cz/" TargetMode="External"/><Relationship Id="rId1133" Type="http://schemas.openxmlformats.org/officeDocument/2006/relationships/hyperlink" Target="https://f1sport.auto.cz/" TargetMode="External"/><Relationship Id="rId1578" Type="http://schemas.openxmlformats.org/officeDocument/2006/relationships/hyperlink" Target="https://maminka.cz/" TargetMode="External"/><Relationship Id="rId1701" Type="http://schemas.openxmlformats.org/officeDocument/2006/relationships/hyperlink" Target="https://mobilmania.cz/" TargetMode="External"/><Relationship Id="rId1785" Type="http://schemas.openxmlformats.org/officeDocument/2006/relationships/hyperlink" Target="https://mojezdravi.cz/" TargetMode="External"/><Relationship Id="rId1992" Type="http://schemas.openxmlformats.org/officeDocument/2006/relationships/hyperlink" Target="https://www.poggers.cz/" TargetMode="External"/><Relationship Id="rId77" Type="http://schemas.openxmlformats.org/officeDocument/2006/relationships/hyperlink" Target="https://reklama.cncenter.cz/Online/branding-cross-device" TargetMode="External"/><Relationship Id="rId282" Type="http://schemas.openxmlformats.org/officeDocument/2006/relationships/hyperlink" Target="https://reklama.cncenter.cz/Online/Outstream" TargetMode="External"/><Relationship Id="rId503" Type="http://schemas.openxmlformats.org/officeDocument/2006/relationships/hyperlink" Target="https://reklama.cncenter.cz/Online/double-skyscraper" TargetMode="External"/><Relationship Id="rId587" Type="http://schemas.openxmlformats.org/officeDocument/2006/relationships/hyperlink" Target="https://bleskprozeny.cz/" TargetMode="External"/><Relationship Id="rId710" Type="http://schemas.openxmlformats.org/officeDocument/2006/relationships/hyperlink" Target="https://reklama.cncenter.cz/Online/mobilni-interscroller" TargetMode="External"/><Relationship Id="rId808" Type="http://schemas.openxmlformats.org/officeDocument/2006/relationships/hyperlink" Target="https://reklama.cncenter.cz/Online/nativni-rectangle-cross-device" TargetMode="External"/><Relationship Id="rId1340" Type="http://schemas.openxmlformats.org/officeDocument/2006/relationships/hyperlink" Target="https://frekvence1.cz/" TargetMode="External"/><Relationship Id="rId1438" Type="http://schemas.openxmlformats.org/officeDocument/2006/relationships/hyperlink" Target="http://www.instagram.com/" TargetMode="External"/><Relationship Id="rId1645" Type="http://schemas.openxmlformats.org/officeDocument/2006/relationships/hyperlink" Target="https://reklama.cncenter.cz/Online/branding-cross-device" TargetMode="External"/><Relationship Id="rId2170" Type="http://schemas.openxmlformats.org/officeDocument/2006/relationships/hyperlink" Target="https://reflex.cz/" TargetMode="External"/><Relationship Id="rId2268" Type="http://schemas.openxmlformats.org/officeDocument/2006/relationships/hyperlink" Target="https://reklama.cncenter.cz/Online/branding" TargetMode="External"/><Relationship Id="rId8" Type="http://schemas.openxmlformats.org/officeDocument/2006/relationships/hyperlink" Target="https://reklama.cncenter.cz/Online/branding-cross-device" TargetMode="External"/><Relationship Id="rId142" Type="http://schemas.openxmlformats.org/officeDocument/2006/relationships/hyperlink" Target="https://abicko.cz/" TargetMode="External"/><Relationship Id="rId447" Type="http://schemas.openxmlformats.org/officeDocument/2006/relationships/hyperlink" Target="https://avmania.zive.cz/" TargetMode="External"/><Relationship Id="rId794" Type="http://schemas.openxmlformats.org/officeDocument/2006/relationships/hyperlink" Target="https://digiarena.zive.cz/" TargetMode="External"/><Relationship Id="rId1077" Type="http://schemas.openxmlformats.org/officeDocument/2006/relationships/hyperlink" Target="https://f1sport.auto.cz/" TargetMode="External"/><Relationship Id="rId1200" Type="http://schemas.openxmlformats.org/officeDocument/2006/relationships/hyperlink" Target="http://www.facebook.com/" TargetMode="External"/><Relationship Id="rId1852" Type="http://schemas.openxmlformats.org/officeDocument/2006/relationships/hyperlink" Target="https://reklama.cncenter.cz/Online/mobilni-interscroller" TargetMode="External"/><Relationship Id="rId2030" Type="http://schemas.openxmlformats.org/officeDocument/2006/relationships/hyperlink" Target="https://www.realitnitrh.cz/" TargetMode="External"/><Relationship Id="rId2128" Type="http://schemas.openxmlformats.org/officeDocument/2006/relationships/hyperlink" Target="https://reklama.cncenter.cz/Online/nativni-PR-premium" TargetMode="External"/><Relationship Id="rId2475" Type="http://schemas.openxmlformats.org/officeDocument/2006/relationships/hyperlink" Target="https://zive.cz/" TargetMode="External"/><Relationship Id="rId654" Type="http://schemas.openxmlformats.org/officeDocument/2006/relationships/hyperlink" Target="https://reklama.cncenter.cz/Online/Smarticle" TargetMode="External"/><Relationship Id="rId861" Type="http://schemas.openxmlformats.org/officeDocument/2006/relationships/hyperlink" Target="https://doupe.zive.cz/" TargetMode="External"/><Relationship Id="rId959" Type="http://schemas.openxmlformats.org/officeDocument/2006/relationships/hyperlink" Target="https://dama.cz/" TargetMode="External"/><Relationship Id="rId1284" Type="http://schemas.openxmlformats.org/officeDocument/2006/relationships/hyperlink" Target="https://fitweb.cz/" TargetMode="External"/><Relationship Id="rId1491" Type="http://schemas.openxmlformats.org/officeDocument/2006/relationships/hyperlink" Target="https://lideazeme.cz/" TargetMode="External"/><Relationship Id="rId1505" Type="http://schemas.openxmlformats.org/officeDocument/2006/relationships/hyperlink" Target="https://lideazeme.cz/" TargetMode="External"/><Relationship Id="rId1589" Type="http://schemas.openxmlformats.org/officeDocument/2006/relationships/hyperlink" Target="https://maminka.cz/" TargetMode="External"/><Relationship Id="rId1712" Type="http://schemas.openxmlformats.org/officeDocument/2006/relationships/hyperlink" Target="https://mobilmania.cz/" TargetMode="External"/><Relationship Id="rId2335" Type="http://schemas.openxmlformats.org/officeDocument/2006/relationships/hyperlink" Target="https://zeny.cz/" TargetMode="External"/><Relationship Id="rId293" Type="http://schemas.openxmlformats.org/officeDocument/2006/relationships/hyperlink" Target="https://reklama.cncenter.cz/Online/Videospot" TargetMode="External"/><Relationship Id="rId307" Type="http://schemas.openxmlformats.org/officeDocument/2006/relationships/hyperlink" Target="https://reklama.cncenter.cz/Online/nativni-PR-premium" TargetMode="External"/><Relationship Id="rId514" Type="http://schemas.openxmlformats.org/officeDocument/2006/relationships/hyperlink" Target="https://reklama.cncenter.cz/Online/mobilni-interscroller" TargetMode="External"/><Relationship Id="rId721" Type="http://schemas.openxmlformats.org/officeDocument/2006/relationships/hyperlink" Target="https://reklama.cncenter.cz/Online/mobilni-vineta" TargetMode="External"/><Relationship Id="rId1144" Type="http://schemas.openxmlformats.org/officeDocument/2006/relationships/hyperlink" Target="https://f1sport.auto.cz/" TargetMode="External"/><Relationship Id="rId1351" Type="http://schemas.openxmlformats.org/officeDocument/2006/relationships/hyperlink" Target="https://reklama.cncenter.cz/Online/Bumper" TargetMode="External"/><Relationship Id="rId1449" Type="http://schemas.openxmlformats.org/officeDocument/2006/relationships/hyperlink" Target="http://www.instagram.com/" TargetMode="External"/><Relationship Id="rId1796" Type="http://schemas.openxmlformats.org/officeDocument/2006/relationships/hyperlink" Target="https://mojezdravi.cz/" TargetMode="External"/><Relationship Id="rId2181" Type="http://schemas.openxmlformats.org/officeDocument/2006/relationships/hyperlink" Target="https://reklama.cncenter.cz/Online/mobilni-vineta" TargetMode="External"/><Relationship Id="rId2402" Type="http://schemas.openxmlformats.org/officeDocument/2006/relationships/hyperlink" Target="https://zive.cz/" TargetMode="External"/><Relationship Id="rId88" Type="http://schemas.openxmlformats.org/officeDocument/2006/relationships/hyperlink" Target="https://abicko.cz/" TargetMode="External"/><Relationship Id="rId153" Type="http://schemas.openxmlformats.org/officeDocument/2006/relationships/hyperlink" Target="https://www.activegroup.cz/reklama" TargetMode="External"/><Relationship Id="rId360" Type="http://schemas.openxmlformats.org/officeDocument/2006/relationships/hyperlink" Target="https://reklama.cncenter.cz/Online/nativni-PR-premium" TargetMode="External"/><Relationship Id="rId598" Type="http://schemas.openxmlformats.org/officeDocument/2006/relationships/hyperlink" Target="https://bleskprozeny.cz/" TargetMode="External"/><Relationship Id="rId819" Type="http://schemas.openxmlformats.org/officeDocument/2006/relationships/hyperlink" Target="https://reklama.cncenter.cz/Online/mobilni-interscroller" TargetMode="External"/><Relationship Id="rId1004" Type="http://schemas.openxmlformats.org/officeDocument/2006/relationships/hyperlink" Target="https://reklama.cncenter.cz/Online/branding" TargetMode="External"/><Relationship Id="rId1211" Type="http://schemas.openxmlformats.org/officeDocument/2006/relationships/hyperlink" Target="http://www.facebook.com/" TargetMode="External"/><Relationship Id="rId1656" Type="http://schemas.openxmlformats.org/officeDocument/2006/relationships/hyperlink" Target="https://reklama.cncenter.cz/Online/Bumper" TargetMode="External"/><Relationship Id="rId1863" Type="http://schemas.openxmlformats.org/officeDocument/2006/relationships/hyperlink" Target="https://motogpsport.cz/" TargetMode="External"/><Relationship Id="rId2041" Type="http://schemas.openxmlformats.org/officeDocument/2006/relationships/hyperlink" Target="https://www.realitnitrh.cz/" TargetMode="External"/><Relationship Id="rId2279" Type="http://schemas.openxmlformats.org/officeDocument/2006/relationships/hyperlink" Target="https://vtm.zive.cz/" TargetMode="External"/><Relationship Id="rId220" Type="http://schemas.openxmlformats.org/officeDocument/2006/relationships/hyperlink" Target="https://reklama.cncenter.cz/Online/nativni-PR-premium" TargetMode="External"/><Relationship Id="rId458" Type="http://schemas.openxmlformats.org/officeDocument/2006/relationships/hyperlink" Target="https://reklama.cncenter.cz/Online/mobilni-vineta" TargetMode="External"/><Relationship Id="rId665" Type="http://schemas.openxmlformats.org/officeDocument/2006/relationships/hyperlink" Target="https://reklama.cncenter.cz/Online/mobilni-slide-up" TargetMode="External"/><Relationship Id="rId872" Type="http://schemas.openxmlformats.org/officeDocument/2006/relationships/hyperlink" Target="https://doupe.zive.cz/" TargetMode="External"/><Relationship Id="rId1088" Type="http://schemas.openxmlformats.org/officeDocument/2006/relationships/hyperlink" Target="https://f1sport.auto.cz/" TargetMode="External"/><Relationship Id="rId1295" Type="http://schemas.openxmlformats.org/officeDocument/2006/relationships/hyperlink" Target="https://heyfomo.cz/" TargetMode="External"/><Relationship Id="rId1309" Type="http://schemas.openxmlformats.org/officeDocument/2006/relationships/hyperlink" Target="https://reklama.cncenter.cz/Online/branding" TargetMode="External"/><Relationship Id="rId1516" Type="http://schemas.openxmlformats.org/officeDocument/2006/relationships/hyperlink" Target="https://reklama.cncenter.cz/Online/mobilni-slide-up" TargetMode="External"/><Relationship Id="rId1723" Type="http://schemas.openxmlformats.org/officeDocument/2006/relationships/hyperlink" Target="https://mobilmania.cz/" TargetMode="External"/><Relationship Id="rId1930" Type="http://schemas.openxmlformats.org/officeDocument/2006/relationships/hyperlink" Target="https://reklama.cncenter.cz/Online/mobilni-interscroller" TargetMode="External"/><Relationship Id="rId2139" Type="http://schemas.openxmlformats.org/officeDocument/2006/relationships/hyperlink" Target="https://recepty.cz/" TargetMode="External"/><Relationship Id="rId2346" Type="http://schemas.openxmlformats.org/officeDocument/2006/relationships/hyperlink" Target="https://reklama.cncenter.cz/Online/mobilni-slide-up" TargetMode="External"/><Relationship Id="rId15" Type="http://schemas.openxmlformats.org/officeDocument/2006/relationships/hyperlink" Target="https://abecedazahrady.dama.cz/" TargetMode="External"/><Relationship Id="rId318" Type="http://schemas.openxmlformats.org/officeDocument/2006/relationships/hyperlink" Target="https://auto.cz/" TargetMode="External"/><Relationship Id="rId525" Type="http://schemas.openxmlformats.org/officeDocument/2006/relationships/hyperlink" Target="https://blesk.cz/" TargetMode="External"/><Relationship Id="rId732" Type="http://schemas.openxmlformats.org/officeDocument/2006/relationships/hyperlink" Target="https://reklama.cncenter.cz/Online/double-skyscraper" TargetMode="External"/><Relationship Id="rId1155" Type="http://schemas.openxmlformats.org/officeDocument/2006/relationships/hyperlink" Target="http://www.facebook.com/" TargetMode="External"/><Relationship Id="rId1362" Type="http://schemas.openxmlformats.org/officeDocument/2006/relationships/hyperlink" Target="https://hledejceny.cz/" TargetMode="External"/><Relationship Id="rId2192" Type="http://schemas.openxmlformats.org/officeDocument/2006/relationships/hyperlink" Target="https://reflex.cz/" TargetMode="External"/><Relationship Id="rId2206" Type="http://schemas.openxmlformats.org/officeDocument/2006/relationships/hyperlink" Target="https://reflex.cz/" TargetMode="External"/><Relationship Id="rId2413" Type="http://schemas.openxmlformats.org/officeDocument/2006/relationships/hyperlink" Target="https://zive.cz/" TargetMode="External"/><Relationship Id="rId99" Type="http://schemas.openxmlformats.org/officeDocument/2006/relationships/hyperlink" Target="https://abicko.cz/" TargetMode="External"/><Relationship Id="rId164" Type="http://schemas.openxmlformats.org/officeDocument/2006/relationships/hyperlink" Target="https://ahaonline.cz/" TargetMode="External"/><Relationship Id="rId371" Type="http://schemas.openxmlformats.org/officeDocument/2006/relationships/hyperlink" Target="https://autorevue.cz/" TargetMode="External"/><Relationship Id="rId1015" Type="http://schemas.openxmlformats.org/officeDocument/2006/relationships/hyperlink" Target="https://reklama.cncenter.cz/Online/mobilni-interscroller" TargetMode="External"/><Relationship Id="rId1222" Type="http://schemas.openxmlformats.org/officeDocument/2006/relationships/hyperlink" Target="https://finexpert.cz/" TargetMode="External"/><Relationship Id="rId1667" Type="http://schemas.openxmlformats.org/officeDocument/2006/relationships/hyperlink" Target="https://mobilmania.cz/" TargetMode="External"/><Relationship Id="rId1874" Type="http://schemas.openxmlformats.org/officeDocument/2006/relationships/hyperlink" Target="https://motogpsport.cz/" TargetMode="External"/><Relationship Id="rId2052" Type="http://schemas.openxmlformats.org/officeDocument/2006/relationships/hyperlink" Target="https://www.realitnitrh.cz/" TargetMode="External"/><Relationship Id="rId469" Type="http://schemas.openxmlformats.org/officeDocument/2006/relationships/hyperlink" Target="https://reklama.cncenter.cz/?ads=PR%2520%25C4%258Dl%25C3%25A1nky" TargetMode="External"/><Relationship Id="rId676" Type="http://schemas.openxmlformats.org/officeDocument/2006/relationships/hyperlink" Target="https://reklama.cncenter.cz/Online/nativni-rectangle-cross-device" TargetMode="External"/><Relationship Id="rId883" Type="http://schemas.openxmlformats.org/officeDocument/2006/relationships/hyperlink" Target="https://doupe.zive.cz/" TargetMode="External"/><Relationship Id="rId1099" Type="http://schemas.openxmlformats.org/officeDocument/2006/relationships/hyperlink" Target="https://f1sport.auto.cz/" TargetMode="External"/><Relationship Id="rId1527" Type="http://schemas.openxmlformats.org/officeDocument/2006/relationships/hyperlink" Target="https://lideazeme.cz/" TargetMode="External"/><Relationship Id="rId1734" Type="http://schemas.openxmlformats.org/officeDocument/2006/relationships/hyperlink" Target="https://mobilmania.cz/" TargetMode="External"/><Relationship Id="rId1941" Type="http://schemas.openxmlformats.org/officeDocument/2006/relationships/hyperlink" Target="https://nemovitosti.blesk.cz/" TargetMode="External"/><Relationship Id="rId2357" Type="http://schemas.openxmlformats.org/officeDocument/2006/relationships/hyperlink" Target="https://zeny.cz/" TargetMode="External"/><Relationship Id="rId26" Type="http://schemas.openxmlformats.org/officeDocument/2006/relationships/hyperlink" Target="https://reklama.cncenter.cz/Online/mobilni-interscroller" TargetMode="External"/><Relationship Id="rId231" Type="http://schemas.openxmlformats.org/officeDocument/2006/relationships/hyperlink" Target="https://ahaonline.cz/" TargetMode="External"/><Relationship Id="rId329" Type="http://schemas.openxmlformats.org/officeDocument/2006/relationships/hyperlink" Target="https://autorevue.cz/" TargetMode="External"/><Relationship Id="rId536" Type="http://schemas.openxmlformats.org/officeDocument/2006/relationships/hyperlink" Target="https://blesk.cz/" TargetMode="External"/><Relationship Id="rId1166" Type="http://schemas.openxmlformats.org/officeDocument/2006/relationships/hyperlink" Target="http://www.facebook.com/" TargetMode="External"/><Relationship Id="rId1373" Type="http://schemas.openxmlformats.org/officeDocument/2006/relationships/hyperlink" Target="https://hledejceny.cz/" TargetMode="External"/><Relationship Id="rId2217" Type="http://schemas.openxmlformats.org/officeDocument/2006/relationships/hyperlink" Target="https://reflex.cz/" TargetMode="External"/><Relationship Id="rId175" Type="http://schemas.openxmlformats.org/officeDocument/2006/relationships/hyperlink" Target="https://ahaonline.cz/" TargetMode="External"/><Relationship Id="rId743" Type="http://schemas.openxmlformats.org/officeDocument/2006/relationships/hyperlink" Target="https://reklama.cncenter.cz/Online/mobilni-interscroller" TargetMode="External"/><Relationship Id="rId950" Type="http://schemas.openxmlformats.org/officeDocument/2006/relationships/hyperlink" Target="https://dama.cz/" TargetMode="External"/><Relationship Id="rId1026" Type="http://schemas.openxmlformats.org/officeDocument/2006/relationships/hyperlink" Target="https://evropa2.cz/" TargetMode="External"/><Relationship Id="rId1580" Type="http://schemas.openxmlformats.org/officeDocument/2006/relationships/hyperlink" Target="https://maminka.cz/" TargetMode="External"/><Relationship Id="rId1678" Type="http://schemas.openxmlformats.org/officeDocument/2006/relationships/hyperlink" Target="https://reklama.cncenter.cz/Online/billboard-bottom" TargetMode="External"/><Relationship Id="rId1801" Type="http://schemas.openxmlformats.org/officeDocument/2006/relationships/hyperlink" Target="https://mojezdravi.cz/" TargetMode="External"/><Relationship Id="rId1885" Type="http://schemas.openxmlformats.org/officeDocument/2006/relationships/hyperlink" Target="https://motogpsport.cz/" TargetMode="External"/><Relationship Id="rId2424" Type="http://schemas.openxmlformats.org/officeDocument/2006/relationships/hyperlink" Target="https://reklama.cncenter.cz/Online/double-skyscraper" TargetMode="External"/><Relationship Id="rId382" Type="http://schemas.openxmlformats.org/officeDocument/2006/relationships/hyperlink" Target="https://autorevue.cz/" TargetMode="External"/><Relationship Id="rId603" Type="http://schemas.openxmlformats.org/officeDocument/2006/relationships/hyperlink" Target="https://bleskprozeny.cz/" TargetMode="External"/><Relationship Id="rId687" Type="http://schemas.openxmlformats.org/officeDocument/2006/relationships/hyperlink" Target="https://reklama.cncenter.cz/Online/mobilni-interscroller" TargetMode="External"/><Relationship Id="rId810" Type="http://schemas.openxmlformats.org/officeDocument/2006/relationships/hyperlink" Target="https://digiarena.zive.cz/" TargetMode="External"/><Relationship Id="rId908" Type="http://schemas.openxmlformats.org/officeDocument/2006/relationships/hyperlink" Target="https://doupe.zive.cz/" TargetMode="External"/><Relationship Id="rId1233" Type="http://schemas.openxmlformats.org/officeDocument/2006/relationships/hyperlink" Target="https://finexpert.cz/" TargetMode="External"/><Relationship Id="rId1440" Type="http://schemas.openxmlformats.org/officeDocument/2006/relationships/hyperlink" Target="http://www.instagram.com/" TargetMode="External"/><Relationship Id="rId1538" Type="http://schemas.openxmlformats.org/officeDocument/2006/relationships/hyperlink" Target="https://lideazeme.cz/" TargetMode="External"/><Relationship Id="rId2063" Type="http://schemas.openxmlformats.org/officeDocument/2006/relationships/hyperlink" Target="https://recepty.cz/" TargetMode="External"/><Relationship Id="rId2270" Type="http://schemas.openxmlformats.org/officeDocument/2006/relationships/hyperlink" Target="https://vtm.zive.cz/" TargetMode="External"/><Relationship Id="rId2368" Type="http://schemas.openxmlformats.org/officeDocument/2006/relationships/hyperlink" Target="https://zeny.cz/" TargetMode="External"/><Relationship Id="rId242" Type="http://schemas.openxmlformats.org/officeDocument/2006/relationships/hyperlink" Target="https://auto.cz/" TargetMode="External"/><Relationship Id="rId894" Type="http://schemas.openxmlformats.org/officeDocument/2006/relationships/hyperlink" Target="https://reklama.cncenter.cz/Online/mobilni-vineta" TargetMode="External"/><Relationship Id="rId1177" Type="http://schemas.openxmlformats.org/officeDocument/2006/relationships/hyperlink" Target="https://www.facebook.com/business/ads-guide/image/facebook-feed" TargetMode="External"/><Relationship Id="rId1300" Type="http://schemas.openxmlformats.org/officeDocument/2006/relationships/hyperlink" Target="https://heyfomo.cz/" TargetMode="External"/><Relationship Id="rId1745" Type="http://schemas.openxmlformats.org/officeDocument/2006/relationships/hyperlink" Target="https://reklama.cncenter.cz/Online/Bumper" TargetMode="External"/><Relationship Id="rId1952" Type="http://schemas.openxmlformats.org/officeDocument/2006/relationships/hyperlink" Target="https://nemovitosti.blesk.cz/" TargetMode="External"/><Relationship Id="rId2130" Type="http://schemas.openxmlformats.org/officeDocument/2006/relationships/hyperlink" Target="https://recepty.cz/" TargetMode="External"/><Relationship Id="rId37" Type="http://schemas.openxmlformats.org/officeDocument/2006/relationships/hyperlink" Target="https://abecedazahrady.dama.cz/" TargetMode="External"/><Relationship Id="rId102" Type="http://schemas.openxmlformats.org/officeDocument/2006/relationships/hyperlink" Target="https://abicko.cz/" TargetMode="External"/><Relationship Id="rId547" Type="http://schemas.openxmlformats.org/officeDocument/2006/relationships/hyperlink" Target="https://bleskprozeny.cz/" TargetMode="External"/><Relationship Id="rId754" Type="http://schemas.openxmlformats.org/officeDocument/2006/relationships/hyperlink" Target="https://reklama.cncenter.cz/Online/branding-cross-device" TargetMode="External"/><Relationship Id="rId961" Type="http://schemas.openxmlformats.org/officeDocument/2006/relationships/hyperlink" Target="https://dama.cz/" TargetMode="External"/><Relationship Id="rId1384" Type="http://schemas.openxmlformats.org/officeDocument/2006/relationships/hyperlink" Target="http://www.instagram.com/" TargetMode="External"/><Relationship Id="rId1591" Type="http://schemas.openxmlformats.org/officeDocument/2006/relationships/hyperlink" Target="https://reklama.cncenter.cz/Online/mobilni-vineta" TargetMode="External"/><Relationship Id="rId1605" Type="http://schemas.openxmlformats.org/officeDocument/2006/relationships/hyperlink" Target="https://maminka.cz/" TargetMode="External"/><Relationship Id="rId1689" Type="http://schemas.openxmlformats.org/officeDocument/2006/relationships/hyperlink" Target="https://mobilmania.cz/" TargetMode="External"/><Relationship Id="rId1812" Type="http://schemas.openxmlformats.org/officeDocument/2006/relationships/hyperlink" Target="https://mojezdravi.cz/" TargetMode="External"/><Relationship Id="rId2228" Type="http://schemas.openxmlformats.org/officeDocument/2006/relationships/hyperlink" Target="https://reflex.cz/" TargetMode="External"/><Relationship Id="rId2435" Type="http://schemas.openxmlformats.org/officeDocument/2006/relationships/hyperlink" Target="https://zive.cz/" TargetMode="External"/><Relationship Id="rId90" Type="http://schemas.openxmlformats.org/officeDocument/2006/relationships/hyperlink" Target="https://abicko.cz/" TargetMode="External"/><Relationship Id="rId186" Type="http://schemas.openxmlformats.org/officeDocument/2006/relationships/hyperlink" Target="https://reklama.cncenter.cz/Online/mobilni-slide-up" TargetMode="External"/><Relationship Id="rId393" Type="http://schemas.openxmlformats.org/officeDocument/2006/relationships/hyperlink" Target="https://autorevue.cz/" TargetMode="External"/><Relationship Id="rId407" Type="http://schemas.openxmlformats.org/officeDocument/2006/relationships/hyperlink" Target="https://avmania.zive.cz/" TargetMode="External"/><Relationship Id="rId614" Type="http://schemas.openxmlformats.org/officeDocument/2006/relationships/hyperlink" Target="https://bleskprozeny.cz/" TargetMode="External"/><Relationship Id="rId821" Type="http://schemas.openxmlformats.org/officeDocument/2006/relationships/hyperlink" Target="https://digiarena.zive.cz/" TargetMode="External"/><Relationship Id="rId1037" Type="http://schemas.openxmlformats.org/officeDocument/2006/relationships/hyperlink" Target="https://evropa2.cz/" TargetMode="External"/><Relationship Id="rId1244" Type="http://schemas.openxmlformats.org/officeDocument/2006/relationships/hyperlink" Target="https://fitweb.cz/" TargetMode="External"/><Relationship Id="rId1451" Type="http://schemas.openxmlformats.org/officeDocument/2006/relationships/hyperlink" Target="http://www.instagram.com/" TargetMode="External"/><Relationship Id="rId1896" Type="http://schemas.openxmlformats.org/officeDocument/2006/relationships/hyperlink" Target="http://nemovitosti.blesk.cz/" TargetMode="External"/><Relationship Id="rId2074" Type="http://schemas.openxmlformats.org/officeDocument/2006/relationships/hyperlink" Target="https://recepty.cz/" TargetMode="External"/><Relationship Id="rId2281" Type="http://schemas.openxmlformats.org/officeDocument/2006/relationships/hyperlink" Target="https://vtm.zive.cz/" TargetMode="External"/><Relationship Id="rId253" Type="http://schemas.openxmlformats.org/officeDocument/2006/relationships/hyperlink" Target="https://auto.cz/" TargetMode="External"/><Relationship Id="rId460" Type="http://schemas.openxmlformats.org/officeDocument/2006/relationships/hyperlink" Target="https://avmania.zive.cz/" TargetMode="External"/><Relationship Id="rId698" Type="http://schemas.openxmlformats.org/officeDocument/2006/relationships/hyperlink" Target="https://reklama.cncenter.cz/Online/nativni-rectangle-cross-device" TargetMode="External"/><Relationship Id="rId919" Type="http://schemas.openxmlformats.org/officeDocument/2006/relationships/hyperlink" Target="https://reklama.cncenter.cz/Online/branding-cross-device" TargetMode="External"/><Relationship Id="rId1090" Type="http://schemas.openxmlformats.org/officeDocument/2006/relationships/hyperlink" Target="https://f1sport.auto.cz/" TargetMode="External"/><Relationship Id="rId1104" Type="http://schemas.openxmlformats.org/officeDocument/2006/relationships/hyperlink" Target="https://reklama.cncenter.cz/Online/mobilni-slide-up" TargetMode="External"/><Relationship Id="rId1311" Type="http://schemas.openxmlformats.org/officeDocument/2006/relationships/hyperlink" Target="https://frekvence1.cz/" TargetMode="External"/><Relationship Id="rId1549" Type="http://schemas.openxmlformats.org/officeDocument/2006/relationships/hyperlink" Target="https://lideazeme.cz/" TargetMode="External"/><Relationship Id="rId1756" Type="http://schemas.openxmlformats.org/officeDocument/2006/relationships/hyperlink" Target="https://reklama.cncenter.cz/Online/branding" TargetMode="External"/><Relationship Id="rId1963" Type="http://schemas.openxmlformats.org/officeDocument/2006/relationships/hyperlink" Target="http://nemovitosti.blesk.cz/" TargetMode="External"/><Relationship Id="rId2141" Type="http://schemas.openxmlformats.org/officeDocument/2006/relationships/hyperlink" Target="https://recepty.cz/" TargetMode="External"/><Relationship Id="rId2379" Type="http://schemas.openxmlformats.org/officeDocument/2006/relationships/hyperlink" Target="https://zeny.cz/" TargetMode="External"/><Relationship Id="rId48" Type="http://schemas.openxmlformats.org/officeDocument/2006/relationships/hyperlink" Target="https://abecedazahrady.dama.cz/" TargetMode="External"/><Relationship Id="rId113" Type="http://schemas.openxmlformats.org/officeDocument/2006/relationships/hyperlink" Target="https://reklama.cncenter.cz/Online/Bumper" TargetMode="External"/><Relationship Id="rId320" Type="http://schemas.openxmlformats.org/officeDocument/2006/relationships/hyperlink" Target="https://auto.cz/" TargetMode="External"/><Relationship Id="rId558" Type="http://schemas.openxmlformats.org/officeDocument/2006/relationships/hyperlink" Target="https://reklama.cncenter.cz/Online/billboard-bottom" TargetMode="External"/><Relationship Id="rId765" Type="http://schemas.openxmlformats.org/officeDocument/2006/relationships/hyperlink" Target="https://reklama.cncenter.cz/Online/double-skyscraper" TargetMode="External"/><Relationship Id="rId972" Type="http://schemas.openxmlformats.org/officeDocument/2006/relationships/hyperlink" Target="https://reklama.cncenter.cz/Online/mobilni-slide-up" TargetMode="External"/><Relationship Id="rId1188" Type="http://schemas.openxmlformats.org/officeDocument/2006/relationships/hyperlink" Target="http://www.facebook.com/" TargetMode="External"/><Relationship Id="rId1395" Type="http://schemas.openxmlformats.org/officeDocument/2006/relationships/hyperlink" Target="http://www.instagram.com/" TargetMode="External"/><Relationship Id="rId1409" Type="http://schemas.openxmlformats.org/officeDocument/2006/relationships/hyperlink" Target="http://www.instagram.com/" TargetMode="External"/><Relationship Id="rId1616" Type="http://schemas.openxmlformats.org/officeDocument/2006/relationships/hyperlink" Target="https://maminka.cz/" TargetMode="External"/><Relationship Id="rId1823" Type="http://schemas.openxmlformats.org/officeDocument/2006/relationships/hyperlink" Target="https://mojezdravi.cz/" TargetMode="External"/><Relationship Id="rId2001" Type="http://schemas.openxmlformats.org/officeDocument/2006/relationships/hyperlink" Target="https://reklama.cncenter.cz/Online/billboard-bottom" TargetMode="External"/><Relationship Id="rId2239" Type="http://schemas.openxmlformats.org/officeDocument/2006/relationships/hyperlink" Target="https://sportrevue.cz/" TargetMode="External"/><Relationship Id="rId2446" Type="http://schemas.openxmlformats.org/officeDocument/2006/relationships/hyperlink" Target="https://zive.cz/" TargetMode="External"/><Relationship Id="rId197" Type="http://schemas.openxmlformats.org/officeDocument/2006/relationships/hyperlink" Target="https://ahaonline.cz/" TargetMode="External"/><Relationship Id="rId418" Type="http://schemas.openxmlformats.org/officeDocument/2006/relationships/hyperlink" Target="https://avmania.zive.cz/" TargetMode="External"/><Relationship Id="rId625" Type="http://schemas.openxmlformats.org/officeDocument/2006/relationships/hyperlink" Target="https://bleskprozeny.cz/" TargetMode="External"/><Relationship Id="rId832" Type="http://schemas.openxmlformats.org/officeDocument/2006/relationships/hyperlink" Target="https://digiarena.zive.cz/" TargetMode="External"/><Relationship Id="rId1048" Type="http://schemas.openxmlformats.org/officeDocument/2006/relationships/hyperlink" Target="https://reklama.cncenter.cz/Online/mobilni-vineta" TargetMode="External"/><Relationship Id="rId1255" Type="http://schemas.openxmlformats.org/officeDocument/2006/relationships/hyperlink" Target="https://reklama.cncenter.cz/Online/double-skyscraper" TargetMode="External"/><Relationship Id="rId1462" Type="http://schemas.openxmlformats.org/officeDocument/2006/relationships/hyperlink" Target="http://www.instagram.com/" TargetMode="External"/><Relationship Id="rId2085" Type="http://schemas.openxmlformats.org/officeDocument/2006/relationships/hyperlink" Target="https://reklama.cncenter.cz/Online/Videospot" TargetMode="External"/><Relationship Id="rId2292" Type="http://schemas.openxmlformats.org/officeDocument/2006/relationships/hyperlink" Target="https://reklama.cncenter.cz/Online/mobilni-interscroller" TargetMode="External"/><Relationship Id="rId2306" Type="http://schemas.openxmlformats.org/officeDocument/2006/relationships/hyperlink" Target="https://x.com/" TargetMode="External"/><Relationship Id="rId264" Type="http://schemas.openxmlformats.org/officeDocument/2006/relationships/hyperlink" Target="https://reklama.cncenter.cz/Online/Videospot" TargetMode="External"/><Relationship Id="rId471" Type="http://schemas.openxmlformats.org/officeDocument/2006/relationships/hyperlink" Target="https://avmania.zive.cz/" TargetMode="External"/><Relationship Id="rId1115" Type="http://schemas.openxmlformats.org/officeDocument/2006/relationships/hyperlink" Target="https://f1sport.auto.cz/" TargetMode="External"/><Relationship Id="rId1322" Type="http://schemas.openxmlformats.org/officeDocument/2006/relationships/hyperlink" Target="https://frekvence1.cz/" TargetMode="External"/><Relationship Id="rId1767" Type="http://schemas.openxmlformats.org/officeDocument/2006/relationships/hyperlink" Target="https://mojezdravi.cz/" TargetMode="External"/><Relationship Id="rId1974" Type="http://schemas.openxmlformats.org/officeDocument/2006/relationships/hyperlink" Target="https://reklama.cncenter.cz/Online/Outstream" TargetMode="External"/><Relationship Id="rId2152" Type="http://schemas.openxmlformats.org/officeDocument/2006/relationships/hyperlink" Target="https://reflex.cz/" TargetMode="External"/><Relationship Id="rId59" Type="http://schemas.openxmlformats.org/officeDocument/2006/relationships/hyperlink" Target="https://abecedazahrady.dama.cz/" TargetMode="External"/><Relationship Id="rId124" Type="http://schemas.openxmlformats.org/officeDocument/2006/relationships/hyperlink" Target="https://reklama.cncenter.cz/Online/mobilni-slide-up" TargetMode="External"/><Relationship Id="rId569" Type="http://schemas.openxmlformats.org/officeDocument/2006/relationships/hyperlink" Target="https://bleskprozeny.cz/" TargetMode="External"/><Relationship Id="rId776" Type="http://schemas.openxmlformats.org/officeDocument/2006/relationships/hyperlink" Target="https://digiarena.zive.cz/" TargetMode="External"/><Relationship Id="rId983" Type="http://schemas.openxmlformats.org/officeDocument/2006/relationships/hyperlink" Target="https://reklama.cncenter.cz/Online/nativni-rectangle-cross-device" TargetMode="External"/><Relationship Id="rId1199" Type="http://schemas.openxmlformats.org/officeDocument/2006/relationships/hyperlink" Target="http://www.facebook.com/" TargetMode="External"/><Relationship Id="rId1627" Type="http://schemas.openxmlformats.org/officeDocument/2006/relationships/hyperlink" Target="https://maminka.cz/" TargetMode="External"/><Relationship Id="rId1834" Type="http://schemas.openxmlformats.org/officeDocument/2006/relationships/hyperlink" Target="https://reklama.cncenter.cz/Online/branding-cross-device" TargetMode="External"/><Relationship Id="rId2457" Type="http://schemas.openxmlformats.org/officeDocument/2006/relationships/hyperlink" Target="https://zive.cz/" TargetMode="External"/><Relationship Id="rId331" Type="http://schemas.openxmlformats.org/officeDocument/2006/relationships/hyperlink" Target="https://autorevue.cz/" TargetMode="External"/><Relationship Id="rId429" Type="http://schemas.openxmlformats.org/officeDocument/2006/relationships/hyperlink" Target="https://reklama.cncenter.cz/Online/double-skyscraper" TargetMode="External"/><Relationship Id="rId636" Type="http://schemas.openxmlformats.org/officeDocument/2006/relationships/hyperlink" Target="https://reklama.cncenter.cz/Online/branding-cross-device" TargetMode="External"/><Relationship Id="rId1059" Type="http://schemas.openxmlformats.org/officeDocument/2006/relationships/hyperlink" Target="https://evropa2.cz/" TargetMode="External"/><Relationship Id="rId1266" Type="http://schemas.openxmlformats.org/officeDocument/2006/relationships/hyperlink" Target="https://fitweb.cz/" TargetMode="External"/><Relationship Id="rId1473" Type="http://schemas.openxmlformats.org/officeDocument/2006/relationships/hyperlink" Target="https://reklama.cncenter.cz/Online/mobilni-interscroller" TargetMode="External"/><Relationship Id="rId2012" Type="http://schemas.openxmlformats.org/officeDocument/2006/relationships/hyperlink" Target="https://www.realitnitrh.cz/" TargetMode="External"/><Relationship Id="rId2096" Type="http://schemas.openxmlformats.org/officeDocument/2006/relationships/hyperlink" Target="https://recepty.cz/" TargetMode="External"/><Relationship Id="rId2317" Type="http://schemas.openxmlformats.org/officeDocument/2006/relationships/hyperlink" Target="https://zeny.cz/" TargetMode="External"/><Relationship Id="rId843" Type="http://schemas.openxmlformats.org/officeDocument/2006/relationships/hyperlink" Target="https://doupe.zive.cz/" TargetMode="External"/><Relationship Id="rId1126" Type="http://schemas.openxmlformats.org/officeDocument/2006/relationships/hyperlink" Target="https://f1sport.auto.cz/" TargetMode="External"/><Relationship Id="rId1680" Type="http://schemas.openxmlformats.org/officeDocument/2006/relationships/hyperlink" Target="https://mobilmania.cz/" TargetMode="External"/><Relationship Id="rId1778" Type="http://schemas.openxmlformats.org/officeDocument/2006/relationships/hyperlink" Target="https://mojezdravi.cz/" TargetMode="External"/><Relationship Id="rId1901" Type="http://schemas.openxmlformats.org/officeDocument/2006/relationships/hyperlink" Target="https://nemovitosti.blesk.cz/" TargetMode="External"/><Relationship Id="rId1985" Type="http://schemas.openxmlformats.org/officeDocument/2006/relationships/hyperlink" Target="http://nemovitosti.blesk.cz/" TargetMode="External"/><Relationship Id="rId275" Type="http://schemas.openxmlformats.org/officeDocument/2006/relationships/hyperlink" Target="https://auto.cz/" TargetMode="External"/><Relationship Id="rId482" Type="http://schemas.openxmlformats.org/officeDocument/2006/relationships/hyperlink" Target="https://blesk.cz/" TargetMode="External"/><Relationship Id="rId703" Type="http://schemas.openxmlformats.org/officeDocument/2006/relationships/hyperlink" Target="https://reklama.cncenter.cz/Online/branding-cross-device" TargetMode="External"/><Relationship Id="rId910" Type="http://schemas.openxmlformats.org/officeDocument/2006/relationships/hyperlink" Target="https://doupe.zive.cz/" TargetMode="External"/><Relationship Id="rId1333" Type="http://schemas.openxmlformats.org/officeDocument/2006/relationships/hyperlink" Target="https://reklama.cncenter.cz/Online/Bumper" TargetMode="External"/><Relationship Id="rId1540" Type="http://schemas.openxmlformats.org/officeDocument/2006/relationships/hyperlink" Target="https://lideazeme.cz/" TargetMode="External"/><Relationship Id="rId1638" Type="http://schemas.openxmlformats.org/officeDocument/2006/relationships/hyperlink" Target="https://maminka.cz/" TargetMode="External"/><Relationship Id="rId2163" Type="http://schemas.openxmlformats.org/officeDocument/2006/relationships/hyperlink" Target="https://reklama.cncenter.cz/Online/branding-cross-device" TargetMode="External"/><Relationship Id="rId2370" Type="http://schemas.openxmlformats.org/officeDocument/2006/relationships/hyperlink" Target="https://zeny.cz/" TargetMode="External"/><Relationship Id="rId135" Type="http://schemas.openxmlformats.org/officeDocument/2006/relationships/hyperlink" Target="https://reklama.cncenter.cz/Online/nativni-rectangle-cross-device" TargetMode="External"/><Relationship Id="rId342" Type="http://schemas.openxmlformats.org/officeDocument/2006/relationships/hyperlink" Target="https://reklama.cncenter.cz/Online/branding-cross-device" TargetMode="External"/><Relationship Id="rId787" Type="http://schemas.openxmlformats.org/officeDocument/2006/relationships/hyperlink" Target="https://reklama.cncenter.cz/Online/billboard-bottom" TargetMode="External"/><Relationship Id="rId994" Type="http://schemas.openxmlformats.org/officeDocument/2006/relationships/hyperlink" Target="https://dama.cz/" TargetMode="External"/><Relationship Id="rId1400" Type="http://schemas.openxmlformats.org/officeDocument/2006/relationships/hyperlink" Target="http://www.instagram.com/" TargetMode="External"/><Relationship Id="rId1845" Type="http://schemas.openxmlformats.org/officeDocument/2006/relationships/hyperlink" Target="https://motogpsport.cz/" TargetMode="External"/><Relationship Id="rId2023" Type="http://schemas.openxmlformats.org/officeDocument/2006/relationships/hyperlink" Target="https://www.realitnitrh.cz/" TargetMode="External"/><Relationship Id="rId2230" Type="http://schemas.openxmlformats.org/officeDocument/2006/relationships/hyperlink" Target="https://reflex.cz/" TargetMode="External"/><Relationship Id="rId2468" Type="http://schemas.openxmlformats.org/officeDocument/2006/relationships/hyperlink" Target="https://zive.cz/" TargetMode="External"/><Relationship Id="rId202" Type="http://schemas.openxmlformats.org/officeDocument/2006/relationships/hyperlink" Target="https://ahaonline.cz/" TargetMode="External"/><Relationship Id="rId647" Type="http://schemas.openxmlformats.org/officeDocument/2006/relationships/hyperlink" Target="https://reklama.cncenter.cz/Online/double-skyscraper" TargetMode="External"/><Relationship Id="rId854" Type="http://schemas.openxmlformats.org/officeDocument/2006/relationships/hyperlink" Target="https://doupe.zive.cz/" TargetMode="External"/><Relationship Id="rId1277" Type="http://schemas.openxmlformats.org/officeDocument/2006/relationships/hyperlink" Target="https://fitweb.cz/" TargetMode="External"/><Relationship Id="rId1484" Type="http://schemas.openxmlformats.org/officeDocument/2006/relationships/hyperlink" Target="https://reklama.cncenter.cz/Online/nativni-rectangle-cross-device" TargetMode="External"/><Relationship Id="rId1691" Type="http://schemas.openxmlformats.org/officeDocument/2006/relationships/hyperlink" Target="https://mobilmania.cz/" TargetMode="External"/><Relationship Id="rId1705" Type="http://schemas.openxmlformats.org/officeDocument/2006/relationships/hyperlink" Target="https://reklama.cncenter.cz/Online/Outstream" TargetMode="External"/><Relationship Id="rId1912" Type="http://schemas.openxmlformats.org/officeDocument/2006/relationships/hyperlink" Target="https://nemovitosti.blesk.cz/" TargetMode="External"/><Relationship Id="rId2328" Type="http://schemas.openxmlformats.org/officeDocument/2006/relationships/hyperlink" Target="https://reklama.cncenter.cz/Online/billboard-bottom" TargetMode="External"/><Relationship Id="rId286" Type="http://schemas.openxmlformats.org/officeDocument/2006/relationships/hyperlink" Target="https://auto.cz/" TargetMode="External"/><Relationship Id="rId493" Type="http://schemas.openxmlformats.org/officeDocument/2006/relationships/hyperlink" Target="https://blesk.cz/" TargetMode="External"/><Relationship Id="rId507" Type="http://schemas.openxmlformats.org/officeDocument/2006/relationships/hyperlink" Target="https://reklama.cncenter.cz/Online/mobilni-vineta" TargetMode="External"/><Relationship Id="rId714" Type="http://schemas.openxmlformats.org/officeDocument/2006/relationships/hyperlink" Target="https://reklama.cncenter.cz/Online/Outstream" TargetMode="External"/><Relationship Id="rId921" Type="http://schemas.openxmlformats.org/officeDocument/2006/relationships/hyperlink" Target="https://dama.cz/" TargetMode="External"/><Relationship Id="rId1137" Type="http://schemas.openxmlformats.org/officeDocument/2006/relationships/hyperlink" Target="https://f1sport.auto.cz/" TargetMode="External"/><Relationship Id="rId1344" Type="http://schemas.openxmlformats.org/officeDocument/2006/relationships/hyperlink" Target="https://frekvence1.cz/" TargetMode="External"/><Relationship Id="rId1551" Type="http://schemas.openxmlformats.org/officeDocument/2006/relationships/hyperlink" Target="https://lideazeme.cz/" TargetMode="External"/><Relationship Id="rId1789" Type="http://schemas.openxmlformats.org/officeDocument/2006/relationships/hyperlink" Target="https://reklama.cncenter.cz/Online/Bumper" TargetMode="External"/><Relationship Id="rId1996" Type="http://schemas.openxmlformats.org/officeDocument/2006/relationships/hyperlink" Target="https://reklama.cncenter.cz/Online/nativni-rectangle-cross-device" TargetMode="External"/><Relationship Id="rId2174" Type="http://schemas.openxmlformats.org/officeDocument/2006/relationships/hyperlink" Target="https://reflex.cz/" TargetMode="External"/><Relationship Id="rId2381" Type="http://schemas.openxmlformats.org/officeDocument/2006/relationships/hyperlink" Target="https://zeny.cz/" TargetMode="External"/><Relationship Id="rId50" Type="http://schemas.openxmlformats.org/officeDocument/2006/relationships/hyperlink" Target="https://abecedazahrady.dama.cz/" TargetMode="External"/><Relationship Id="rId146" Type="http://schemas.openxmlformats.org/officeDocument/2006/relationships/hyperlink" Target="https://abicko.cz/" TargetMode="External"/><Relationship Id="rId353" Type="http://schemas.openxmlformats.org/officeDocument/2006/relationships/hyperlink" Target="https://autorevue.cz/" TargetMode="External"/><Relationship Id="rId560" Type="http://schemas.openxmlformats.org/officeDocument/2006/relationships/hyperlink" Target="https://bleskprozeny.cz/" TargetMode="External"/><Relationship Id="rId798" Type="http://schemas.openxmlformats.org/officeDocument/2006/relationships/hyperlink" Target="https://digiarena.zive.cz/" TargetMode="External"/><Relationship Id="rId1190" Type="http://schemas.openxmlformats.org/officeDocument/2006/relationships/hyperlink" Target="http://www.facebook.com/" TargetMode="External"/><Relationship Id="rId1204" Type="http://schemas.openxmlformats.org/officeDocument/2006/relationships/hyperlink" Target="https://www.facebook.com/business/ads-guide/image/facebook-feed" TargetMode="External"/><Relationship Id="rId1411" Type="http://schemas.openxmlformats.org/officeDocument/2006/relationships/hyperlink" Target="http://www.instagram.com/" TargetMode="External"/><Relationship Id="rId1649" Type="http://schemas.openxmlformats.org/officeDocument/2006/relationships/hyperlink" Target="https://reklama.cncenter.cz/Online/branding" TargetMode="External"/><Relationship Id="rId1856" Type="http://schemas.openxmlformats.org/officeDocument/2006/relationships/hyperlink" Target="https://motogpsport.cz/" TargetMode="External"/><Relationship Id="rId2034" Type="http://schemas.openxmlformats.org/officeDocument/2006/relationships/hyperlink" Target="https://www.realitnitrh.cz/" TargetMode="External"/><Relationship Id="rId2241" Type="http://schemas.openxmlformats.org/officeDocument/2006/relationships/hyperlink" Target="https://sportrevue.cz/" TargetMode="External"/><Relationship Id="rId2479" Type="http://schemas.openxmlformats.org/officeDocument/2006/relationships/hyperlink" Target="https://zive.cz/" TargetMode="External"/><Relationship Id="rId213" Type="http://schemas.openxmlformats.org/officeDocument/2006/relationships/hyperlink" Target="https://ahaonline.cz/" TargetMode="External"/><Relationship Id="rId420" Type="http://schemas.openxmlformats.org/officeDocument/2006/relationships/hyperlink" Target="https://reklama.cncenter.cz/Online/billboard-bottom" TargetMode="External"/><Relationship Id="rId658" Type="http://schemas.openxmlformats.org/officeDocument/2006/relationships/hyperlink" Target="https://reklama.cncenter.cz/Online/branding" TargetMode="External"/><Relationship Id="rId865" Type="http://schemas.openxmlformats.org/officeDocument/2006/relationships/hyperlink" Target="https://reklama.cncenter.cz/Online/double-skyscraper" TargetMode="External"/><Relationship Id="rId1050" Type="http://schemas.openxmlformats.org/officeDocument/2006/relationships/hyperlink" Target="https://evropa2.cz/" TargetMode="External"/><Relationship Id="rId1288" Type="http://schemas.openxmlformats.org/officeDocument/2006/relationships/hyperlink" Target="https://reklama.cncenter.cz/Online/Outstream" TargetMode="External"/><Relationship Id="rId1495" Type="http://schemas.openxmlformats.org/officeDocument/2006/relationships/hyperlink" Target="https://reklama.cncenter.cz/Online/branding-cross-device" TargetMode="External"/><Relationship Id="rId1509" Type="http://schemas.openxmlformats.org/officeDocument/2006/relationships/hyperlink" Target="https://lideazeme.cz/" TargetMode="External"/><Relationship Id="rId1716" Type="http://schemas.openxmlformats.org/officeDocument/2006/relationships/hyperlink" Target="https://reklama.cncenter.cz/Online/mobilni-interscroller" TargetMode="External"/><Relationship Id="rId1923" Type="http://schemas.openxmlformats.org/officeDocument/2006/relationships/hyperlink" Target="http://nemovitosti.blesk.cz/" TargetMode="External"/><Relationship Id="rId2101" Type="http://schemas.openxmlformats.org/officeDocument/2006/relationships/hyperlink" Target="https://recepty.cz/" TargetMode="External"/><Relationship Id="rId2339" Type="http://schemas.openxmlformats.org/officeDocument/2006/relationships/hyperlink" Target="https://zeny.cz/" TargetMode="External"/><Relationship Id="rId297" Type="http://schemas.openxmlformats.org/officeDocument/2006/relationships/hyperlink" Target="https://auto.cz/" TargetMode="External"/><Relationship Id="rId518" Type="http://schemas.openxmlformats.org/officeDocument/2006/relationships/hyperlink" Target="https://reklama.cncenter.cz/Online/Outstream" TargetMode="External"/><Relationship Id="rId725" Type="http://schemas.openxmlformats.org/officeDocument/2006/relationships/hyperlink" Target="https://reklama.cncenter.cz/Online/Bumper" TargetMode="External"/><Relationship Id="rId932" Type="http://schemas.openxmlformats.org/officeDocument/2006/relationships/hyperlink" Target="https://dama.cz/" TargetMode="External"/><Relationship Id="rId1148" Type="http://schemas.openxmlformats.org/officeDocument/2006/relationships/hyperlink" Target="http://www.facebook.com/" TargetMode="External"/><Relationship Id="rId1355" Type="http://schemas.openxmlformats.org/officeDocument/2006/relationships/hyperlink" Target="https://hledejceny.cz/" TargetMode="External"/><Relationship Id="rId1562" Type="http://schemas.openxmlformats.org/officeDocument/2006/relationships/hyperlink" Target="https://maminka.cz/" TargetMode="External"/><Relationship Id="rId2185" Type="http://schemas.openxmlformats.org/officeDocument/2006/relationships/hyperlink" Target="https://reflex.cz/" TargetMode="External"/><Relationship Id="rId2392" Type="http://schemas.openxmlformats.org/officeDocument/2006/relationships/hyperlink" Target="https://reklama.cncenter.cz/?ads=PR%2520%25C4%258Dl%25C3%25A1nky" TargetMode="External"/><Relationship Id="rId2406" Type="http://schemas.openxmlformats.org/officeDocument/2006/relationships/hyperlink" Target="https://reklama.cncenter.cz/Online/billboard-bottom" TargetMode="External"/><Relationship Id="rId157" Type="http://schemas.openxmlformats.org/officeDocument/2006/relationships/hyperlink" Target="https://www.activegroup.cz/reklama" TargetMode="External"/><Relationship Id="rId364" Type="http://schemas.openxmlformats.org/officeDocument/2006/relationships/hyperlink" Target="https://autorevue.cz/" TargetMode="External"/><Relationship Id="rId1008" Type="http://schemas.openxmlformats.org/officeDocument/2006/relationships/hyperlink" Target="https://reklama.cncenter.cz/Online/mobilni-slide-up" TargetMode="External"/><Relationship Id="rId1215" Type="http://schemas.openxmlformats.org/officeDocument/2006/relationships/hyperlink" Target="http://www.facebook.com/" TargetMode="External"/><Relationship Id="rId1422" Type="http://schemas.openxmlformats.org/officeDocument/2006/relationships/hyperlink" Target="http://www.instagram.com/" TargetMode="External"/><Relationship Id="rId1867" Type="http://schemas.openxmlformats.org/officeDocument/2006/relationships/hyperlink" Target="https://motogpsport.cz/" TargetMode="External"/><Relationship Id="rId2045" Type="http://schemas.openxmlformats.org/officeDocument/2006/relationships/hyperlink" Target="https://www.realitnitrh.cz/" TargetMode="External"/><Relationship Id="rId61" Type="http://schemas.openxmlformats.org/officeDocument/2006/relationships/hyperlink" Target="https://abecedazahrady.dama.cz/" TargetMode="External"/><Relationship Id="rId571" Type="http://schemas.openxmlformats.org/officeDocument/2006/relationships/hyperlink" Target="https://bleskprozeny.cz/" TargetMode="External"/><Relationship Id="rId669" Type="http://schemas.openxmlformats.org/officeDocument/2006/relationships/hyperlink" Target="https://reklama.cncenter.cz/Online/Smarticle" TargetMode="External"/><Relationship Id="rId876" Type="http://schemas.openxmlformats.org/officeDocument/2006/relationships/hyperlink" Target="https://doupe.zive.cz/" TargetMode="External"/><Relationship Id="rId1299" Type="http://schemas.openxmlformats.org/officeDocument/2006/relationships/hyperlink" Target="https://heyfomo.cz/" TargetMode="External"/><Relationship Id="rId1727" Type="http://schemas.openxmlformats.org/officeDocument/2006/relationships/hyperlink" Target="https://reklama.cncenter.cz/Online/nativni-PR-premium" TargetMode="External"/><Relationship Id="rId1934" Type="http://schemas.openxmlformats.org/officeDocument/2006/relationships/hyperlink" Target="https://reklama.cncenter.cz/Online/nativni-PR-premium" TargetMode="External"/><Relationship Id="rId2252" Type="http://schemas.openxmlformats.org/officeDocument/2006/relationships/hyperlink" Target="https://vtm.zive.cz/" TargetMode="External"/><Relationship Id="rId19" Type="http://schemas.openxmlformats.org/officeDocument/2006/relationships/hyperlink" Target="https://abecedazahrady.dama.cz/" TargetMode="External"/><Relationship Id="rId224" Type="http://schemas.openxmlformats.org/officeDocument/2006/relationships/hyperlink" Target="https://ahaonline.cz/" TargetMode="External"/><Relationship Id="rId431" Type="http://schemas.openxmlformats.org/officeDocument/2006/relationships/hyperlink" Target="https://avmania.zive.cz/" TargetMode="External"/><Relationship Id="rId529" Type="http://schemas.openxmlformats.org/officeDocument/2006/relationships/hyperlink" Target="https://reklama.cncenter.cz/Online/branding-cross-device" TargetMode="External"/><Relationship Id="rId736" Type="http://schemas.openxmlformats.org/officeDocument/2006/relationships/hyperlink" Target="https://reklama.cncenter.cz/Online/mobilni-vineta" TargetMode="External"/><Relationship Id="rId1061" Type="http://schemas.openxmlformats.org/officeDocument/2006/relationships/hyperlink" Target="https://evropa2.cz/" TargetMode="External"/><Relationship Id="rId1159" Type="http://schemas.openxmlformats.org/officeDocument/2006/relationships/hyperlink" Target="https://www.facebook.com/business/ads-guide/image/facebook-feed" TargetMode="External"/><Relationship Id="rId1366" Type="http://schemas.openxmlformats.org/officeDocument/2006/relationships/hyperlink" Target="https://reklama.cncenter.cz/Online/billboard-bottom" TargetMode="External"/><Relationship Id="rId2112" Type="http://schemas.openxmlformats.org/officeDocument/2006/relationships/hyperlink" Target="https://recepty.cz/" TargetMode="External"/><Relationship Id="rId2196" Type="http://schemas.openxmlformats.org/officeDocument/2006/relationships/hyperlink" Target="https://reflex.cz/" TargetMode="External"/><Relationship Id="rId2417" Type="http://schemas.openxmlformats.org/officeDocument/2006/relationships/hyperlink" Target="https://zive.cz/" TargetMode="External"/><Relationship Id="rId168" Type="http://schemas.openxmlformats.org/officeDocument/2006/relationships/hyperlink" Target="https://reklama.cncenter.cz/Online/branding" TargetMode="External"/><Relationship Id="rId943" Type="http://schemas.openxmlformats.org/officeDocument/2006/relationships/hyperlink" Target="https://reklama.cncenter.cz/Online/mobilni-slide-up" TargetMode="External"/><Relationship Id="rId1019" Type="http://schemas.openxmlformats.org/officeDocument/2006/relationships/hyperlink" Target="https://reklama.cncenter.cz/Online/Outstream" TargetMode="External"/><Relationship Id="rId1573" Type="http://schemas.openxmlformats.org/officeDocument/2006/relationships/hyperlink" Target="https://reklama.cncenter.cz/Online/branding-cross-device" TargetMode="External"/><Relationship Id="rId1780" Type="http://schemas.openxmlformats.org/officeDocument/2006/relationships/hyperlink" Target="https://reklama.cncenter.cz/Online/mobilni-vineta" TargetMode="External"/><Relationship Id="rId1878" Type="http://schemas.openxmlformats.org/officeDocument/2006/relationships/hyperlink" Target="https://reklama.cncenter.cz/Online/mobilni-vineta" TargetMode="External"/><Relationship Id="rId72" Type="http://schemas.openxmlformats.org/officeDocument/2006/relationships/hyperlink" Target="https://abicko.cz/" TargetMode="External"/><Relationship Id="rId375" Type="http://schemas.openxmlformats.org/officeDocument/2006/relationships/hyperlink" Target="https://autorevue.cz/" TargetMode="External"/><Relationship Id="rId582" Type="http://schemas.openxmlformats.org/officeDocument/2006/relationships/hyperlink" Target="https://reklama.cncenter.cz/Online/nativni-PR-premium" TargetMode="External"/><Relationship Id="rId803" Type="http://schemas.openxmlformats.org/officeDocument/2006/relationships/hyperlink" Target="https://digiarena.zive.cz/" TargetMode="External"/><Relationship Id="rId1226" Type="http://schemas.openxmlformats.org/officeDocument/2006/relationships/hyperlink" Target="https://finexpert.cz/" TargetMode="External"/><Relationship Id="rId1433" Type="http://schemas.openxmlformats.org/officeDocument/2006/relationships/hyperlink" Target="http://www.instagram.com/" TargetMode="External"/><Relationship Id="rId1640" Type="http://schemas.openxmlformats.org/officeDocument/2006/relationships/hyperlink" Target="https://maminka.cz/" TargetMode="External"/><Relationship Id="rId1738" Type="http://schemas.openxmlformats.org/officeDocument/2006/relationships/hyperlink" Target="https://mobilmania.cz/" TargetMode="External"/><Relationship Id="rId2056" Type="http://schemas.openxmlformats.org/officeDocument/2006/relationships/hyperlink" Target="https://www.realitnitrh.cz/" TargetMode="External"/><Relationship Id="rId2263" Type="http://schemas.openxmlformats.org/officeDocument/2006/relationships/hyperlink" Target="https://vtm.zive.cz/" TargetMode="External"/><Relationship Id="rId2470" Type="http://schemas.openxmlformats.org/officeDocument/2006/relationships/hyperlink" Target="https://reklama.cncenter.cz/Online/Outstream" TargetMode="External"/><Relationship Id="rId3" Type="http://schemas.openxmlformats.org/officeDocument/2006/relationships/hyperlink" Target="https://abecedazahrady.dama.cz/" TargetMode="External"/><Relationship Id="rId235" Type="http://schemas.openxmlformats.org/officeDocument/2006/relationships/hyperlink" Target="https://ahaonline.cz/" TargetMode="External"/><Relationship Id="rId442" Type="http://schemas.openxmlformats.org/officeDocument/2006/relationships/hyperlink" Target="https://avmania.zive.cz/" TargetMode="External"/><Relationship Id="rId887" Type="http://schemas.openxmlformats.org/officeDocument/2006/relationships/hyperlink" Target="https://doupe.zive.cz/" TargetMode="External"/><Relationship Id="rId1072" Type="http://schemas.openxmlformats.org/officeDocument/2006/relationships/hyperlink" Target="https://reklama.cncenter.cz/Online/nativni-rectangle-cross-device" TargetMode="External"/><Relationship Id="rId1500" Type="http://schemas.openxmlformats.org/officeDocument/2006/relationships/hyperlink" Target="https://lideazeme.cz/" TargetMode="External"/><Relationship Id="rId1945" Type="http://schemas.openxmlformats.org/officeDocument/2006/relationships/hyperlink" Target="https://nemovitosti.blesk.cz/" TargetMode="External"/><Relationship Id="rId2123" Type="http://schemas.openxmlformats.org/officeDocument/2006/relationships/hyperlink" Target="https://reklama.cncenter.cz/Online/mobilni-vineta" TargetMode="External"/><Relationship Id="rId2330" Type="http://schemas.openxmlformats.org/officeDocument/2006/relationships/hyperlink" Target="https://zeny.cz/" TargetMode="External"/><Relationship Id="rId302" Type="http://schemas.openxmlformats.org/officeDocument/2006/relationships/hyperlink" Target="https://reklama.cncenter.cz/Online/mobilni-vineta" TargetMode="External"/><Relationship Id="rId747" Type="http://schemas.openxmlformats.org/officeDocument/2006/relationships/hyperlink" Target="https://reklama.cncenter.cz/Online/Outstream" TargetMode="External"/><Relationship Id="rId954" Type="http://schemas.openxmlformats.org/officeDocument/2006/relationships/hyperlink" Target="https://dama.cz/" TargetMode="External"/><Relationship Id="rId1377" Type="http://schemas.openxmlformats.org/officeDocument/2006/relationships/hyperlink" Target="https://hledejceny.cz/" TargetMode="External"/><Relationship Id="rId1584" Type="http://schemas.openxmlformats.org/officeDocument/2006/relationships/hyperlink" Target="https://maminka.cz/" TargetMode="External"/><Relationship Id="rId1791" Type="http://schemas.openxmlformats.org/officeDocument/2006/relationships/hyperlink" Target="https://mojezdravi.cz/" TargetMode="External"/><Relationship Id="rId1805" Type="http://schemas.openxmlformats.org/officeDocument/2006/relationships/hyperlink" Target="https://mojezdravi.cz/" TargetMode="External"/><Relationship Id="rId2428" Type="http://schemas.openxmlformats.org/officeDocument/2006/relationships/hyperlink" Target="https://zive.cz/" TargetMode="External"/><Relationship Id="rId83" Type="http://schemas.openxmlformats.org/officeDocument/2006/relationships/hyperlink" Target="https://reklama.cncenter.cz/Online/billboard-bottom" TargetMode="External"/><Relationship Id="rId179" Type="http://schemas.openxmlformats.org/officeDocument/2006/relationships/hyperlink" Target="https://ahaonline.cz/" TargetMode="External"/><Relationship Id="rId386" Type="http://schemas.openxmlformats.org/officeDocument/2006/relationships/hyperlink" Target="https://autorevue.cz/" TargetMode="External"/><Relationship Id="rId593" Type="http://schemas.openxmlformats.org/officeDocument/2006/relationships/hyperlink" Target="https://bleskprozeny.cz/" TargetMode="External"/><Relationship Id="rId607" Type="http://schemas.openxmlformats.org/officeDocument/2006/relationships/hyperlink" Target="https://bleskprozeny.cz/" TargetMode="External"/><Relationship Id="rId814" Type="http://schemas.openxmlformats.org/officeDocument/2006/relationships/hyperlink" Target="https://digiarena.zive.cz/" TargetMode="External"/><Relationship Id="rId1237" Type="http://schemas.openxmlformats.org/officeDocument/2006/relationships/hyperlink" Target="https://reklama.cncenter.cz/Online/billboard-bottom" TargetMode="External"/><Relationship Id="rId1444" Type="http://schemas.openxmlformats.org/officeDocument/2006/relationships/hyperlink" Target="http://www.instagram.com/" TargetMode="External"/><Relationship Id="rId1651" Type="http://schemas.openxmlformats.org/officeDocument/2006/relationships/hyperlink" Target="https://reklama.cncenter.cz/Online/mobilni-interscroller" TargetMode="External"/><Relationship Id="rId1889" Type="http://schemas.openxmlformats.org/officeDocument/2006/relationships/hyperlink" Target="https://reklama.cncenter.cz/?ads=PR%2520%25C4%258Dl%25C3%25A1nky" TargetMode="External"/><Relationship Id="rId2067" Type="http://schemas.openxmlformats.org/officeDocument/2006/relationships/hyperlink" Target="https://reklama.cncenter.cz/Online/branding-cross-device" TargetMode="External"/><Relationship Id="rId2274" Type="http://schemas.openxmlformats.org/officeDocument/2006/relationships/hyperlink" Target="https://reklama.cncenter.cz/Online/mobilni-interscroller" TargetMode="External"/><Relationship Id="rId2481" Type="http://schemas.openxmlformats.org/officeDocument/2006/relationships/hyperlink" Target="https://zive.cz/" TargetMode="External"/><Relationship Id="rId246" Type="http://schemas.openxmlformats.org/officeDocument/2006/relationships/hyperlink" Target="https://reklama.cncenter.cz/Online/branding-cross-device" TargetMode="External"/><Relationship Id="rId453" Type="http://schemas.openxmlformats.org/officeDocument/2006/relationships/hyperlink" Target="https://avmania.zive.cz/" TargetMode="External"/><Relationship Id="rId660" Type="http://schemas.openxmlformats.org/officeDocument/2006/relationships/hyperlink" Target="https://reklama.cncenter.cz/Online/branding-cross-device" TargetMode="External"/><Relationship Id="rId898" Type="http://schemas.openxmlformats.org/officeDocument/2006/relationships/hyperlink" Target="https://doupe.zive.cz/" TargetMode="External"/><Relationship Id="rId1083" Type="http://schemas.openxmlformats.org/officeDocument/2006/relationships/hyperlink" Target="https://reklama.cncenter.cz/Online/branding-cross-device" TargetMode="External"/><Relationship Id="rId1290" Type="http://schemas.openxmlformats.org/officeDocument/2006/relationships/hyperlink" Target="https://heyfomo.cz/" TargetMode="External"/><Relationship Id="rId1304" Type="http://schemas.openxmlformats.org/officeDocument/2006/relationships/hyperlink" Target="https://frekvence1.cz/" TargetMode="External"/><Relationship Id="rId1511" Type="http://schemas.openxmlformats.org/officeDocument/2006/relationships/hyperlink" Target="https://lideazeme.cz/" TargetMode="External"/><Relationship Id="rId1749" Type="http://schemas.openxmlformats.org/officeDocument/2006/relationships/hyperlink" Target="https://mojezdravi.cz/" TargetMode="External"/><Relationship Id="rId1956" Type="http://schemas.openxmlformats.org/officeDocument/2006/relationships/hyperlink" Target="https://nemovitosti.blesk.cz/" TargetMode="External"/><Relationship Id="rId2134" Type="http://schemas.openxmlformats.org/officeDocument/2006/relationships/hyperlink" Target="https://reklama.cncenter.cz/Online/Outstream" TargetMode="External"/><Relationship Id="rId2341" Type="http://schemas.openxmlformats.org/officeDocument/2006/relationships/hyperlink" Target="https://zeny.cz/" TargetMode="External"/><Relationship Id="rId106" Type="http://schemas.openxmlformats.org/officeDocument/2006/relationships/hyperlink" Target="https://abicko.cz/" TargetMode="External"/><Relationship Id="rId313" Type="http://schemas.openxmlformats.org/officeDocument/2006/relationships/hyperlink" Target="https://reklama.cncenter.cz/Online/Outstream" TargetMode="External"/><Relationship Id="rId758" Type="http://schemas.openxmlformats.org/officeDocument/2006/relationships/hyperlink" Target="https://reklama.cncenter.cz/Online/mobilni-interscroller" TargetMode="External"/><Relationship Id="rId965" Type="http://schemas.openxmlformats.org/officeDocument/2006/relationships/hyperlink" Target="https://dama.cz/" TargetMode="External"/><Relationship Id="rId1150" Type="http://schemas.openxmlformats.org/officeDocument/2006/relationships/hyperlink" Target="https://www.facebook.com/business/ads-guide/image/facebook-feed" TargetMode="External"/><Relationship Id="rId1388" Type="http://schemas.openxmlformats.org/officeDocument/2006/relationships/hyperlink" Target="http://www.instagram.com/" TargetMode="External"/><Relationship Id="rId1595" Type="http://schemas.openxmlformats.org/officeDocument/2006/relationships/hyperlink" Target="https://maminka.cz/" TargetMode="External"/><Relationship Id="rId1609" Type="http://schemas.openxmlformats.org/officeDocument/2006/relationships/hyperlink" Target="https://maminka.cz/" TargetMode="External"/><Relationship Id="rId1816" Type="http://schemas.openxmlformats.org/officeDocument/2006/relationships/hyperlink" Target="https://mojezdravi.cz/" TargetMode="External"/><Relationship Id="rId2439" Type="http://schemas.openxmlformats.org/officeDocument/2006/relationships/hyperlink" Target="https://reklama.cncenter.cz/Online/nativni-rectangle-cross-device" TargetMode="External"/><Relationship Id="rId10" Type="http://schemas.openxmlformats.org/officeDocument/2006/relationships/hyperlink" Target="https://abecedazahrady.dama.cz/" TargetMode="External"/><Relationship Id="rId94" Type="http://schemas.openxmlformats.org/officeDocument/2006/relationships/hyperlink" Target="https://abicko.cz/" TargetMode="External"/><Relationship Id="rId397" Type="http://schemas.openxmlformats.org/officeDocument/2006/relationships/hyperlink" Target="https://reklama.cncenter.cz/?ads=PR%2520%25C4%258Dl%25C3%25A1nky" TargetMode="External"/><Relationship Id="rId520" Type="http://schemas.openxmlformats.org/officeDocument/2006/relationships/hyperlink" Target="https://reklama.cncenter.cz/Online/Bumper" TargetMode="External"/><Relationship Id="rId618" Type="http://schemas.openxmlformats.org/officeDocument/2006/relationships/hyperlink" Target="https://bleskprozeny.cz/" TargetMode="External"/><Relationship Id="rId825" Type="http://schemas.openxmlformats.org/officeDocument/2006/relationships/hyperlink" Target="https://reklama.cncenter.cz/Online/mobilni-vineta" TargetMode="External"/><Relationship Id="rId1248" Type="http://schemas.openxmlformats.org/officeDocument/2006/relationships/hyperlink" Target="https://fitweb.cz/" TargetMode="External"/><Relationship Id="rId1455" Type="http://schemas.openxmlformats.org/officeDocument/2006/relationships/hyperlink" Target="http://www.instagram.com/" TargetMode="External"/><Relationship Id="rId1662" Type="http://schemas.openxmlformats.org/officeDocument/2006/relationships/hyperlink" Target="https://reklama.cncenter.cz/Online/Outstream" TargetMode="External"/><Relationship Id="rId2078" Type="http://schemas.openxmlformats.org/officeDocument/2006/relationships/hyperlink" Target="https://recepty.cz/" TargetMode="External"/><Relationship Id="rId2201" Type="http://schemas.openxmlformats.org/officeDocument/2006/relationships/hyperlink" Target="https://reklama.cncenter.cz/Online/Videospot" TargetMode="External"/><Relationship Id="rId2285" Type="http://schemas.openxmlformats.org/officeDocument/2006/relationships/hyperlink" Target="https://vtm.zive.cz/" TargetMode="External"/><Relationship Id="rId257" Type="http://schemas.openxmlformats.org/officeDocument/2006/relationships/hyperlink" Target="https://auto.cz/" TargetMode="External"/><Relationship Id="rId464" Type="http://schemas.openxmlformats.org/officeDocument/2006/relationships/hyperlink" Target="https://avmania.zive.cz/" TargetMode="External"/><Relationship Id="rId1010" Type="http://schemas.openxmlformats.org/officeDocument/2006/relationships/hyperlink" Target="https://reklama.cncenter.cz/Online/nativni-rectangle-cross-device" TargetMode="External"/><Relationship Id="rId1094" Type="http://schemas.openxmlformats.org/officeDocument/2006/relationships/hyperlink" Target="https://f1sport.auto.cz/" TargetMode="External"/><Relationship Id="rId1108" Type="http://schemas.openxmlformats.org/officeDocument/2006/relationships/hyperlink" Target="https://f1sport.auto.cz/" TargetMode="External"/><Relationship Id="rId1315" Type="http://schemas.openxmlformats.org/officeDocument/2006/relationships/hyperlink" Target="https://reklama.cncenter.cz/Online/branding" TargetMode="External"/><Relationship Id="rId1967" Type="http://schemas.openxmlformats.org/officeDocument/2006/relationships/hyperlink" Target="http://nemovitosti.blesk.cz/" TargetMode="External"/><Relationship Id="rId2145" Type="http://schemas.openxmlformats.org/officeDocument/2006/relationships/hyperlink" Target="https://recepty.cz/" TargetMode="External"/><Relationship Id="rId117" Type="http://schemas.openxmlformats.org/officeDocument/2006/relationships/hyperlink" Target="https://abicko.cz/" TargetMode="External"/><Relationship Id="rId671" Type="http://schemas.openxmlformats.org/officeDocument/2006/relationships/hyperlink" Target="https://reklama.cncenter.cz/Online/double-skyscraper" TargetMode="External"/><Relationship Id="rId769" Type="http://schemas.openxmlformats.org/officeDocument/2006/relationships/hyperlink" Target="https://reklama.cncenter.cz/Online/mobilni-vineta" TargetMode="External"/><Relationship Id="rId976" Type="http://schemas.openxmlformats.org/officeDocument/2006/relationships/hyperlink" Target="https://dama.cz/" TargetMode="External"/><Relationship Id="rId1399" Type="http://schemas.openxmlformats.org/officeDocument/2006/relationships/hyperlink" Target="http://www.instagram.com/" TargetMode="External"/><Relationship Id="rId2352" Type="http://schemas.openxmlformats.org/officeDocument/2006/relationships/hyperlink" Target="https://reklama.cncenter.cz/Online/nativni-PR-premium" TargetMode="External"/><Relationship Id="rId324" Type="http://schemas.openxmlformats.org/officeDocument/2006/relationships/hyperlink" Target="https://auto.cz/" TargetMode="External"/><Relationship Id="rId531" Type="http://schemas.openxmlformats.org/officeDocument/2006/relationships/hyperlink" Target="https://blesk.cz/" TargetMode="External"/><Relationship Id="rId629" Type="http://schemas.openxmlformats.org/officeDocument/2006/relationships/hyperlink" Target="https://bleskprozeny.cz/" TargetMode="External"/><Relationship Id="rId1161" Type="http://schemas.openxmlformats.org/officeDocument/2006/relationships/hyperlink" Target="http://www.facebook.com/" TargetMode="External"/><Relationship Id="rId1259" Type="http://schemas.openxmlformats.org/officeDocument/2006/relationships/hyperlink" Target="https://fitweb.cz/" TargetMode="External"/><Relationship Id="rId1466" Type="http://schemas.openxmlformats.org/officeDocument/2006/relationships/hyperlink" Target="https://reklama.cncenter.cz/Online/branding-cross-device" TargetMode="External"/><Relationship Id="rId2005" Type="http://schemas.openxmlformats.org/officeDocument/2006/relationships/hyperlink" Target="https://www.realitnitrh.cz/" TargetMode="External"/><Relationship Id="rId2212" Type="http://schemas.openxmlformats.org/officeDocument/2006/relationships/hyperlink" Target="https://reflex.cz/" TargetMode="External"/><Relationship Id="rId836" Type="http://schemas.openxmlformats.org/officeDocument/2006/relationships/hyperlink" Target="https://reklama.cncenter.cz/?ads=PR%2520%25C4%258Dl%25C3%25A1nky" TargetMode="External"/><Relationship Id="rId1021" Type="http://schemas.openxmlformats.org/officeDocument/2006/relationships/hyperlink" Target="https://reklama.cncenter.cz/Online/Bumper" TargetMode="External"/><Relationship Id="rId1119" Type="http://schemas.openxmlformats.org/officeDocument/2006/relationships/hyperlink" Target="https://f1sport.auto.cz/" TargetMode="External"/><Relationship Id="rId1673" Type="http://schemas.openxmlformats.org/officeDocument/2006/relationships/hyperlink" Target="https://mobilmania.cz/" TargetMode="External"/><Relationship Id="rId1880" Type="http://schemas.openxmlformats.org/officeDocument/2006/relationships/hyperlink" Target="https://motogpsport.cz/" TargetMode="External"/><Relationship Id="rId1978" Type="http://schemas.openxmlformats.org/officeDocument/2006/relationships/hyperlink" Target="https://reklama.cncenter.cz/?ads=PR%2520%25C4%258Dl%25C3%25A1nky" TargetMode="External"/><Relationship Id="rId903" Type="http://schemas.openxmlformats.org/officeDocument/2006/relationships/hyperlink" Target="https://doupe.zive.cz/" TargetMode="External"/><Relationship Id="rId1326" Type="http://schemas.openxmlformats.org/officeDocument/2006/relationships/hyperlink" Target="https://frekvence1.cz/" TargetMode="External"/><Relationship Id="rId1533" Type="http://schemas.openxmlformats.org/officeDocument/2006/relationships/hyperlink" Target="https://reklama.cncenter.cz/Online/mobilni-interscroller" TargetMode="External"/><Relationship Id="rId1740" Type="http://schemas.openxmlformats.org/officeDocument/2006/relationships/hyperlink" Target="https://mobilmania.cz/" TargetMode="External"/><Relationship Id="rId32" Type="http://schemas.openxmlformats.org/officeDocument/2006/relationships/hyperlink" Target="https://reklama.cncenter.cz/Online/mobilni-vineta" TargetMode="External"/><Relationship Id="rId1600" Type="http://schemas.openxmlformats.org/officeDocument/2006/relationships/hyperlink" Target="https://reklama.cncenter.cz/Online/Outstream" TargetMode="External"/><Relationship Id="rId1838" Type="http://schemas.openxmlformats.org/officeDocument/2006/relationships/hyperlink" Target="https://motogpsport.cz/" TargetMode="External"/><Relationship Id="rId181" Type="http://schemas.openxmlformats.org/officeDocument/2006/relationships/hyperlink" Target="https://ahaonline.cz/" TargetMode="External"/><Relationship Id="rId1905" Type="http://schemas.openxmlformats.org/officeDocument/2006/relationships/hyperlink" Target="https://nemovitosti.blesk.cz/" TargetMode="External"/><Relationship Id="rId279" Type="http://schemas.openxmlformats.org/officeDocument/2006/relationships/hyperlink" Target="https://reklama.cncenter.cz/Online/nativni-rectangle-cross-device" TargetMode="External"/><Relationship Id="rId486" Type="http://schemas.openxmlformats.org/officeDocument/2006/relationships/hyperlink" Target="https://blesk.cz/" TargetMode="External"/><Relationship Id="rId693" Type="http://schemas.openxmlformats.org/officeDocument/2006/relationships/hyperlink" Target="https://reklama.cncenter.cz/Online/Bumper" TargetMode="External"/><Relationship Id="rId2167" Type="http://schemas.openxmlformats.org/officeDocument/2006/relationships/hyperlink" Target="https://reflex.cz/" TargetMode="External"/><Relationship Id="rId2374" Type="http://schemas.openxmlformats.org/officeDocument/2006/relationships/hyperlink" Target="https://zeny.cz/" TargetMode="External"/><Relationship Id="rId139" Type="http://schemas.openxmlformats.org/officeDocument/2006/relationships/hyperlink" Target="https://abicko.cz/" TargetMode="External"/><Relationship Id="rId346" Type="http://schemas.openxmlformats.org/officeDocument/2006/relationships/hyperlink" Target="https://autorevue.cz/" TargetMode="External"/><Relationship Id="rId553" Type="http://schemas.openxmlformats.org/officeDocument/2006/relationships/hyperlink" Target="https://bleskprozeny.cz/" TargetMode="External"/><Relationship Id="rId760" Type="http://schemas.openxmlformats.org/officeDocument/2006/relationships/hyperlink" Target="https://reklama.cncenter.cz/Online/mobilni-vineta" TargetMode="External"/><Relationship Id="rId998" Type="http://schemas.openxmlformats.org/officeDocument/2006/relationships/hyperlink" Target="https://reklama.cncenter.cz/Online/Bumper" TargetMode="External"/><Relationship Id="rId1183" Type="http://schemas.openxmlformats.org/officeDocument/2006/relationships/hyperlink" Target="https://www.facebook.com/business/ads-guide/image/facebook-feed" TargetMode="External"/><Relationship Id="rId1390" Type="http://schemas.openxmlformats.org/officeDocument/2006/relationships/hyperlink" Target="http://www.instagram.com/" TargetMode="External"/><Relationship Id="rId2027" Type="http://schemas.openxmlformats.org/officeDocument/2006/relationships/hyperlink" Target="https://www.realitnitrh.cz/" TargetMode="External"/><Relationship Id="rId2234" Type="http://schemas.openxmlformats.org/officeDocument/2006/relationships/hyperlink" Target="https://sportrevue.cz/" TargetMode="External"/><Relationship Id="rId2441" Type="http://schemas.openxmlformats.org/officeDocument/2006/relationships/hyperlink" Target="https://zive.cz/" TargetMode="External"/><Relationship Id="rId206" Type="http://schemas.openxmlformats.org/officeDocument/2006/relationships/hyperlink" Target="https://reklama.cncenter.cz/Online/double-skyscraper" TargetMode="External"/><Relationship Id="rId413" Type="http://schemas.openxmlformats.org/officeDocument/2006/relationships/hyperlink" Target="https://avmania.zive.cz/" TargetMode="External"/><Relationship Id="rId858" Type="http://schemas.openxmlformats.org/officeDocument/2006/relationships/hyperlink" Target="https://doupe.zive.cz/" TargetMode="External"/><Relationship Id="rId1043" Type="http://schemas.openxmlformats.org/officeDocument/2006/relationships/hyperlink" Target="https://evropa2.cz/" TargetMode="External"/><Relationship Id="rId1488" Type="http://schemas.openxmlformats.org/officeDocument/2006/relationships/hyperlink" Target="https://lideazeme.cz/" TargetMode="External"/><Relationship Id="rId1695" Type="http://schemas.openxmlformats.org/officeDocument/2006/relationships/hyperlink" Target="https://mobilmania.cz/" TargetMode="External"/><Relationship Id="rId620" Type="http://schemas.openxmlformats.org/officeDocument/2006/relationships/hyperlink" Target="https://bleskprozeny.cz/" TargetMode="External"/><Relationship Id="rId718" Type="http://schemas.openxmlformats.org/officeDocument/2006/relationships/hyperlink" Target="https://reklama.cncenter.cz/Online/Videospot" TargetMode="External"/><Relationship Id="rId925" Type="http://schemas.openxmlformats.org/officeDocument/2006/relationships/hyperlink" Target="https://reklama.cncenter.cz/Online/billboard-bottom" TargetMode="External"/><Relationship Id="rId1250" Type="http://schemas.openxmlformats.org/officeDocument/2006/relationships/hyperlink" Target="https://fitweb.cz/" TargetMode="External"/><Relationship Id="rId1348" Type="http://schemas.openxmlformats.org/officeDocument/2006/relationships/hyperlink" Target="https://reklama.cncenter.cz/Online/nativni-rectangle-cross-device" TargetMode="External"/><Relationship Id="rId1555" Type="http://schemas.openxmlformats.org/officeDocument/2006/relationships/hyperlink" Target="https://lideazeme.cz/" TargetMode="External"/><Relationship Id="rId1762" Type="http://schemas.openxmlformats.org/officeDocument/2006/relationships/hyperlink" Target="https://reklama.cncenter.cz/Online/branding-cross-device" TargetMode="External"/><Relationship Id="rId2301" Type="http://schemas.openxmlformats.org/officeDocument/2006/relationships/hyperlink" Target="https://reklama.cncenter.cz/Online/nativni-rectangle-cross-device" TargetMode="External"/><Relationship Id="rId1110" Type="http://schemas.openxmlformats.org/officeDocument/2006/relationships/hyperlink" Target="https://reklama.cncenter.cz/Online/nativni-rectangle-cross-device" TargetMode="External"/><Relationship Id="rId1208" Type="http://schemas.openxmlformats.org/officeDocument/2006/relationships/hyperlink" Target="http://www.facebook.com/" TargetMode="External"/><Relationship Id="rId1415" Type="http://schemas.openxmlformats.org/officeDocument/2006/relationships/hyperlink" Target="http://www.instagram.com/" TargetMode="External"/><Relationship Id="rId54" Type="http://schemas.openxmlformats.org/officeDocument/2006/relationships/hyperlink" Target="https://abecedazahrady.dama.cz/" TargetMode="External"/><Relationship Id="rId1622" Type="http://schemas.openxmlformats.org/officeDocument/2006/relationships/hyperlink" Target="https://maminka.cz/" TargetMode="External"/><Relationship Id="rId1927" Type="http://schemas.openxmlformats.org/officeDocument/2006/relationships/hyperlink" Target="http://nemovitosti.blesk.cz/" TargetMode="External"/><Relationship Id="rId2091" Type="http://schemas.openxmlformats.org/officeDocument/2006/relationships/hyperlink" Target="https://reklama.cncenter.cz/Online/mobilni-slide-up" TargetMode="External"/><Relationship Id="rId2189" Type="http://schemas.openxmlformats.org/officeDocument/2006/relationships/hyperlink" Target="https://reflex.cz/" TargetMode="External"/><Relationship Id="rId270" Type="http://schemas.openxmlformats.org/officeDocument/2006/relationships/hyperlink" Target="https://reklama.cncenter.cz/Online/mobilni-slide-up" TargetMode="External"/><Relationship Id="rId2396" Type="http://schemas.openxmlformats.org/officeDocument/2006/relationships/hyperlink" Target="https://zeny.cz/" TargetMode="External"/><Relationship Id="rId130" Type="http://schemas.openxmlformats.org/officeDocument/2006/relationships/hyperlink" Target="https://abicko.cz/" TargetMode="External"/><Relationship Id="rId368" Type="http://schemas.openxmlformats.org/officeDocument/2006/relationships/hyperlink" Target="https://autorevue.cz/" TargetMode="External"/><Relationship Id="rId575" Type="http://schemas.openxmlformats.org/officeDocument/2006/relationships/hyperlink" Target="https://bleskprozeny.cz/" TargetMode="External"/><Relationship Id="rId782" Type="http://schemas.openxmlformats.org/officeDocument/2006/relationships/hyperlink" Target="https://digiarena.zive.cz/" TargetMode="External"/><Relationship Id="rId2049" Type="http://schemas.openxmlformats.org/officeDocument/2006/relationships/hyperlink" Target="https://www.realitnitrh.cz/" TargetMode="External"/><Relationship Id="rId2256" Type="http://schemas.openxmlformats.org/officeDocument/2006/relationships/hyperlink" Target="https://reklama.cncenter.cz/Online/branding-cross-device" TargetMode="External"/><Relationship Id="rId2463" Type="http://schemas.openxmlformats.org/officeDocument/2006/relationships/hyperlink" Target="https://zive.cz/" TargetMode="External"/><Relationship Id="rId228" Type="http://schemas.openxmlformats.org/officeDocument/2006/relationships/hyperlink" Target="https://ahaonline.cz/" TargetMode="External"/><Relationship Id="rId435" Type="http://schemas.openxmlformats.org/officeDocument/2006/relationships/hyperlink" Target="https://reklama.cncenter.cz/Online/mobilni-slide-up" TargetMode="External"/><Relationship Id="rId642" Type="http://schemas.openxmlformats.org/officeDocument/2006/relationships/hyperlink" Target="https://reklama.cncenter.cz/Online/mobilni-vineta" TargetMode="External"/><Relationship Id="rId1065" Type="http://schemas.openxmlformats.org/officeDocument/2006/relationships/hyperlink" Target="https://evropa2.cz/" TargetMode="External"/><Relationship Id="rId1272" Type="http://schemas.openxmlformats.org/officeDocument/2006/relationships/hyperlink" Target="https://fitweb.cz/" TargetMode="External"/><Relationship Id="rId2116" Type="http://schemas.openxmlformats.org/officeDocument/2006/relationships/hyperlink" Target="https://recepty.cz/" TargetMode="External"/><Relationship Id="rId2323" Type="http://schemas.openxmlformats.org/officeDocument/2006/relationships/hyperlink" Target="https://zeny.cz/" TargetMode="External"/><Relationship Id="rId502" Type="http://schemas.openxmlformats.org/officeDocument/2006/relationships/hyperlink" Target="https://reklama.cncenter.cz/Online/branding" TargetMode="External"/><Relationship Id="rId947" Type="http://schemas.openxmlformats.org/officeDocument/2006/relationships/hyperlink" Target="https://dama.cz/" TargetMode="External"/><Relationship Id="rId1132" Type="http://schemas.openxmlformats.org/officeDocument/2006/relationships/hyperlink" Target="https://reklama.cncenter.cz/Online/nativni-rectangle-cross-device" TargetMode="External"/><Relationship Id="rId1577" Type="http://schemas.openxmlformats.org/officeDocument/2006/relationships/hyperlink" Target="https://maminka.cz/" TargetMode="External"/><Relationship Id="rId1784" Type="http://schemas.openxmlformats.org/officeDocument/2006/relationships/hyperlink" Target="https://mojezdravi.cz/" TargetMode="External"/><Relationship Id="rId1991" Type="http://schemas.openxmlformats.org/officeDocument/2006/relationships/hyperlink" Target="https://www.poggers.cz/" TargetMode="External"/><Relationship Id="rId76" Type="http://schemas.openxmlformats.org/officeDocument/2006/relationships/hyperlink" Target="https://abicko.cz/" TargetMode="External"/><Relationship Id="rId807" Type="http://schemas.openxmlformats.org/officeDocument/2006/relationships/hyperlink" Target="https://digiarena.zive.cz/" TargetMode="External"/><Relationship Id="rId1437" Type="http://schemas.openxmlformats.org/officeDocument/2006/relationships/hyperlink" Target="http://www.instagram.com/" TargetMode="External"/><Relationship Id="rId1644" Type="http://schemas.openxmlformats.org/officeDocument/2006/relationships/hyperlink" Target="https://reklama.cncenter.cz/Online/billboard-bottom" TargetMode="External"/><Relationship Id="rId1851" Type="http://schemas.openxmlformats.org/officeDocument/2006/relationships/hyperlink" Target="https://motogpsport.cz/" TargetMode="External"/><Relationship Id="rId1504" Type="http://schemas.openxmlformats.org/officeDocument/2006/relationships/hyperlink" Target="https://reklama.cncenter.cz/Online/branding-cross-device" TargetMode="External"/><Relationship Id="rId1711" Type="http://schemas.openxmlformats.org/officeDocument/2006/relationships/hyperlink" Target="https://mobilmania.cz/" TargetMode="External"/><Relationship Id="rId1949" Type="http://schemas.openxmlformats.org/officeDocument/2006/relationships/hyperlink" Target="https://reklama.cncenter.cz/Online/double-skyscraper" TargetMode="External"/><Relationship Id="rId292" Type="http://schemas.openxmlformats.org/officeDocument/2006/relationships/hyperlink" Target="https://auto.cz/" TargetMode="External"/><Relationship Id="rId1809" Type="http://schemas.openxmlformats.org/officeDocument/2006/relationships/hyperlink" Target="https://mojezdravi.cz/" TargetMode="External"/><Relationship Id="rId597" Type="http://schemas.openxmlformats.org/officeDocument/2006/relationships/hyperlink" Target="https://bleskprozeny.cz/" TargetMode="External"/><Relationship Id="rId2180" Type="http://schemas.openxmlformats.org/officeDocument/2006/relationships/hyperlink" Target="https://reflex.cz/" TargetMode="External"/><Relationship Id="rId2278" Type="http://schemas.openxmlformats.org/officeDocument/2006/relationships/hyperlink" Target="https://vtm.zive.cz/" TargetMode="External"/><Relationship Id="rId152" Type="http://schemas.openxmlformats.org/officeDocument/2006/relationships/hyperlink" Target="https://www.activegroup.cz/reklama" TargetMode="External"/><Relationship Id="rId457" Type="http://schemas.openxmlformats.org/officeDocument/2006/relationships/hyperlink" Target="https://avmania.zive.cz/" TargetMode="External"/><Relationship Id="rId1087" Type="http://schemas.openxmlformats.org/officeDocument/2006/relationships/hyperlink" Target="https://f1sport.auto.cz/" TargetMode="External"/><Relationship Id="rId1294" Type="http://schemas.openxmlformats.org/officeDocument/2006/relationships/hyperlink" Target="https://heyfomo.cz/" TargetMode="External"/><Relationship Id="rId2040" Type="http://schemas.openxmlformats.org/officeDocument/2006/relationships/hyperlink" Target="https://www.realitnitrh.cz/" TargetMode="External"/><Relationship Id="rId2138" Type="http://schemas.openxmlformats.org/officeDocument/2006/relationships/hyperlink" Target="https://recepty.cz/" TargetMode="External"/><Relationship Id="rId664" Type="http://schemas.openxmlformats.org/officeDocument/2006/relationships/hyperlink" Target="https://reklama.cncenter.cz/Online/mobilni-interscroller" TargetMode="External"/><Relationship Id="rId871" Type="http://schemas.openxmlformats.org/officeDocument/2006/relationships/hyperlink" Target="https://reklama.cncenter.cz/Online/mobilni-slide-up" TargetMode="External"/><Relationship Id="rId969" Type="http://schemas.openxmlformats.org/officeDocument/2006/relationships/hyperlink" Target="https://reklama.cncenter.cz/Online/mobilni-interscroller" TargetMode="External"/><Relationship Id="rId1599" Type="http://schemas.openxmlformats.org/officeDocument/2006/relationships/hyperlink" Target="https://maminka.cz/" TargetMode="External"/><Relationship Id="rId2345" Type="http://schemas.openxmlformats.org/officeDocument/2006/relationships/hyperlink" Target="https://zeny.cz/" TargetMode="External"/><Relationship Id="rId317" Type="http://schemas.openxmlformats.org/officeDocument/2006/relationships/hyperlink" Target="https://auto.cz/" TargetMode="External"/><Relationship Id="rId524" Type="http://schemas.openxmlformats.org/officeDocument/2006/relationships/hyperlink" Target="https://blesk.cz/" TargetMode="External"/><Relationship Id="rId731" Type="http://schemas.openxmlformats.org/officeDocument/2006/relationships/hyperlink" Target="https://reklama.cncenter.cz/Online/branding" TargetMode="External"/><Relationship Id="rId1154" Type="http://schemas.openxmlformats.org/officeDocument/2006/relationships/hyperlink" Target="http://www.facebook.com/" TargetMode="External"/><Relationship Id="rId1361" Type="http://schemas.openxmlformats.org/officeDocument/2006/relationships/hyperlink" Target="https://hledejceny.cz/" TargetMode="External"/><Relationship Id="rId1459" Type="http://schemas.openxmlformats.org/officeDocument/2006/relationships/hyperlink" Target="http://www.instagram.com/" TargetMode="External"/><Relationship Id="rId2205" Type="http://schemas.openxmlformats.org/officeDocument/2006/relationships/hyperlink" Target="https://reflex.cz/" TargetMode="External"/><Relationship Id="rId2412" Type="http://schemas.openxmlformats.org/officeDocument/2006/relationships/hyperlink" Target="https://reklama.cncenter.cz/Online/branding" TargetMode="External"/><Relationship Id="rId98" Type="http://schemas.openxmlformats.org/officeDocument/2006/relationships/hyperlink" Target="https://reklama.cncenter.cz/Online/mobilni-slide-up" TargetMode="External"/><Relationship Id="rId829" Type="http://schemas.openxmlformats.org/officeDocument/2006/relationships/hyperlink" Target="https://digiarena.zive.cz/" TargetMode="External"/><Relationship Id="rId1014" Type="http://schemas.openxmlformats.org/officeDocument/2006/relationships/hyperlink" Target="https://reklama.cncenter.cz/Online/Videospot" TargetMode="External"/><Relationship Id="rId1221" Type="http://schemas.openxmlformats.org/officeDocument/2006/relationships/hyperlink" Target="https://finexpert.cz/" TargetMode="External"/><Relationship Id="rId1666" Type="http://schemas.openxmlformats.org/officeDocument/2006/relationships/hyperlink" Target="https://mobilmania.cz/" TargetMode="External"/><Relationship Id="rId1873" Type="http://schemas.openxmlformats.org/officeDocument/2006/relationships/hyperlink" Target="https://motogpsport.cz/" TargetMode="External"/><Relationship Id="rId1319" Type="http://schemas.openxmlformats.org/officeDocument/2006/relationships/hyperlink" Target="https://frekvence1.cz/" TargetMode="External"/><Relationship Id="rId1526" Type="http://schemas.openxmlformats.org/officeDocument/2006/relationships/hyperlink" Target="https://lideazeme.cz/" TargetMode="External"/><Relationship Id="rId1733" Type="http://schemas.openxmlformats.org/officeDocument/2006/relationships/hyperlink" Target="https://reklama.cncenter.cz/Online/Outstream" TargetMode="External"/><Relationship Id="rId1940" Type="http://schemas.openxmlformats.org/officeDocument/2006/relationships/hyperlink" Target="https://nemovitosti.blesk.cz/" TargetMode="External"/><Relationship Id="rId25" Type="http://schemas.openxmlformats.org/officeDocument/2006/relationships/hyperlink" Target="https://abecedazahrady.dama.cz/" TargetMode="External"/><Relationship Id="rId1800" Type="http://schemas.openxmlformats.org/officeDocument/2006/relationships/hyperlink" Target="https://reklama.cncenter.cz/Online/mobilni-interscroller" TargetMode="External"/><Relationship Id="rId174" Type="http://schemas.openxmlformats.org/officeDocument/2006/relationships/hyperlink" Target="https://reklama.cncenter.cz/Online/branding-cross-device" TargetMode="External"/><Relationship Id="rId381" Type="http://schemas.openxmlformats.org/officeDocument/2006/relationships/hyperlink" Target="https://autorevue.cz/" TargetMode="External"/><Relationship Id="rId2062" Type="http://schemas.openxmlformats.org/officeDocument/2006/relationships/hyperlink" Target="https://recepty.cz/" TargetMode="External"/><Relationship Id="rId241" Type="http://schemas.openxmlformats.org/officeDocument/2006/relationships/hyperlink" Target="https://auto.cz/" TargetMode="External"/><Relationship Id="rId479" Type="http://schemas.openxmlformats.org/officeDocument/2006/relationships/hyperlink" Target="https://blesk.cz/" TargetMode="External"/><Relationship Id="rId686" Type="http://schemas.openxmlformats.org/officeDocument/2006/relationships/hyperlink" Target="https://reklama.cncenter.cz/Online/double-skyscraper" TargetMode="External"/><Relationship Id="rId893" Type="http://schemas.openxmlformats.org/officeDocument/2006/relationships/hyperlink" Target="https://doupe.zive.cz/" TargetMode="External"/><Relationship Id="rId2367" Type="http://schemas.openxmlformats.org/officeDocument/2006/relationships/hyperlink" Target="https://zeny.cz/" TargetMode="External"/><Relationship Id="rId339" Type="http://schemas.openxmlformats.org/officeDocument/2006/relationships/hyperlink" Target="https://reklama.cncenter.cz/Online/billboard-bottom" TargetMode="External"/><Relationship Id="rId546" Type="http://schemas.openxmlformats.org/officeDocument/2006/relationships/hyperlink" Target="https://bleskprozeny.cz/" TargetMode="External"/><Relationship Id="rId753" Type="http://schemas.openxmlformats.org/officeDocument/2006/relationships/hyperlink" Target="https://reklama.cncenter.cz/Online/billboard-bottom" TargetMode="External"/><Relationship Id="rId1176" Type="http://schemas.openxmlformats.org/officeDocument/2006/relationships/hyperlink" Target="http://www.facebook.com/" TargetMode="External"/><Relationship Id="rId1383" Type="http://schemas.openxmlformats.org/officeDocument/2006/relationships/hyperlink" Target="http://www.instagram.com/" TargetMode="External"/><Relationship Id="rId2227" Type="http://schemas.openxmlformats.org/officeDocument/2006/relationships/hyperlink" Target="https://reflex.cz/" TargetMode="External"/><Relationship Id="rId2434" Type="http://schemas.openxmlformats.org/officeDocument/2006/relationships/hyperlink" Target="https://zive.cz/" TargetMode="External"/><Relationship Id="rId101" Type="http://schemas.openxmlformats.org/officeDocument/2006/relationships/hyperlink" Target="https://reklama.cncenter.cz/Online/mobilni-vineta" TargetMode="External"/><Relationship Id="rId406" Type="http://schemas.openxmlformats.org/officeDocument/2006/relationships/hyperlink" Target="https://reklama.cncenter.cz/Online/Bumper" TargetMode="External"/><Relationship Id="rId960" Type="http://schemas.openxmlformats.org/officeDocument/2006/relationships/hyperlink" Target="https://dama.cz/" TargetMode="External"/><Relationship Id="rId1036" Type="http://schemas.openxmlformats.org/officeDocument/2006/relationships/hyperlink" Target="https://reklama.cncenter.cz/Online/double-skyscraper" TargetMode="External"/><Relationship Id="rId1243" Type="http://schemas.openxmlformats.org/officeDocument/2006/relationships/hyperlink" Target="https://reklama.cncenter.cz/Online/branding" TargetMode="External"/><Relationship Id="rId1590" Type="http://schemas.openxmlformats.org/officeDocument/2006/relationships/hyperlink" Target="https://maminka.cz/" TargetMode="External"/><Relationship Id="rId1688" Type="http://schemas.openxmlformats.org/officeDocument/2006/relationships/hyperlink" Target="https://mobilmania.cz/" TargetMode="External"/><Relationship Id="rId1895" Type="http://schemas.openxmlformats.org/officeDocument/2006/relationships/hyperlink" Target="https://motogpsport.cz/" TargetMode="External"/><Relationship Id="rId613" Type="http://schemas.openxmlformats.org/officeDocument/2006/relationships/hyperlink" Target="https://reklama.cncenter.cz/Online/nativni-PR-premium" TargetMode="External"/><Relationship Id="rId820" Type="http://schemas.openxmlformats.org/officeDocument/2006/relationships/hyperlink" Target="https://digiarena.zive.cz/" TargetMode="External"/><Relationship Id="rId918" Type="http://schemas.openxmlformats.org/officeDocument/2006/relationships/hyperlink" Target="https://dama.cz/" TargetMode="External"/><Relationship Id="rId1450" Type="http://schemas.openxmlformats.org/officeDocument/2006/relationships/hyperlink" Target="http://www.instagram.com/" TargetMode="External"/><Relationship Id="rId1548" Type="http://schemas.openxmlformats.org/officeDocument/2006/relationships/hyperlink" Target="https://lideazeme.cz/" TargetMode="External"/><Relationship Id="rId1755" Type="http://schemas.openxmlformats.org/officeDocument/2006/relationships/hyperlink" Target="https://mojezdravi.cz/" TargetMode="External"/><Relationship Id="rId1103" Type="http://schemas.openxmlformats.org/officeDocument/2006/relationships/hyperlink" Target="https://f1sport.auto.cz/" TargetMode="External"/><Relationship Id="rId1310" Type="http://schemas.openxmlformats.org/officeDocument/2006/relationships/hyperlink" Target="https://frekvence1.cz/" TargetMode="External"/><Relationship Id="rId1408" Type="http://schemas.openxmlformats.org/officeDocument/2006/relationships/hyperlink" Target="http://www.instagram.com/" TargetMode="External"/><Relationship Id="rId1962" Type="http://schemas.openxmlformats.org/officeDocument/2006/relationships/hyperlink" Target="https://nemovitosti.blesk.cz/" TargetMode="External"/><Relationship Id="rId47" Type="http://schemas.openxmlformats.org/officeDocument/2006/relationships/hyperlink" Target="https://abecedazahrady.dama.cz/" TargetMode="External"/><Relationship Id="rId1615" Type="http://schemas.openxmlformats.org/officeDocument/2006/relationships/hyperlink" Target="https://maminka.cz/" TargetMode="External"/><Relationship Id="rId1822" Type="http://schemas.openxmlformats.org/officeDocument/2006/relationships/hyperlink" Target="https://mojezdravi.cz/" TargetMode="External"/><Relationship Id="rId196" Type="http://schemas.openxmlformats.org/officeDocument/2006/relationships/hyperlink" Target="https://ahaonline.cz/" TargetMode="External"/><Relationship Id="rId2084" Type="http://schemas.openxmlformats.org/officeDocument/2006/relationships/hyperlink" Target="https://recepty.cz/" TargetMode="External"/><Relationship Id="rId2291" Type="http://schemas.openxmlformats.org/officeDocument/2006/relationships/hyperlink" Target="https://vtm.zive.cz/" TargetMode="External"/><Relationship Id="rId263" Type="http://schemas.openxmlformats.org/officeDocument/2006/relationships/hyperlink" Target="https://auto.cz/" TargetMode="External"/><Relationship Id="rId470" Type="http://schemas.openxmlformats.org/officeDocument/2006/relationships/hyperlink" Target="https://avmania.zive.cz/" TargetMode="External"/><Relationship Id="rId2151" Type="http://schemas.openxmlformats.org/officeDocument/2006/relationships/hyperlink" Target="https://reklama.cncenter.cz/Online/billboard-bottom" TargetMode="External"/><Relationship Id="rId2389" Type="http://schemas.openxmlformats.org/officeDocument/2006/relationships/hyperlink" Target="https://reklama.cncenter.cz/Online/Outstream" TargetMode="External"/><Relationship Id="rId123" Type="http://schemas.openxmlformats.org/officeDocument/2006/relationships/hyperlink" Target="https://abicko.cz/" TargetMode="External"/><Relationship Id="rId330" Type="http://schemas.openxmlformats.org/officeDocument/2006/relationships/hyperlink" Target="https://reklama.cncenter.cz/Online/billboard-bottom" TargetMode="External"/><Relationship Id="rId568" Type="http://schemas.openxmlformats.org/officeDocument/2006/relationships/hyperlink" Target="https://bleskprozeny.cz/" TargetMode="External"/><Relationship Id="rId775" Type="http://schemas.openxmlformats.org/officeDocument/2006/relationships/hyperlink" Target="https://digiarena.zive.cz/" TargetMode="External"/><Relationship Id="rId982" Type="http://schemas.openxmlformats.org/officeDocument/2006/relationships/hyperlink" Target="https://dama.cz/" TargetMode="External"/><Relationship Id="rId1198" Type="http://schemas.openxmlformats.org/officeDocument/2006/relationships/hyperlink" Target="https://www.facebook.com/business/ads-guide/image/facebook-feed" TargetMode="External"/><Relationship Id="rId2011" Type="http://schemas.openxmlformats.org/officeDocument/2006/relationships/hyperlink" Target="https://www.realitnitrh.cz/" TargetMode="External"/><Relationship Id="rId2249" Type="http://schemas.openxmlformats.org/officeDocument/2006/relationships/hyperlink" Target="http://www.tiktok.com/" TargetMode="External"/><Relationship Id="rId2456" Type="http://schemas.openxmlformats.org/officeDocument/2006/relationships/hyperlink" Target="https://reklama.cncenter.cz/Online/mobilni-slide-up" TargetMode="External"/><Relationship Id="rId428" Type="http://schemas.openxmlformats.org/officeDocument/2006/relationships/hyperlink" Target="https://avmania.zive.cz/" TargetMode="External"/><Relationship Id="rId635" Type="http://schemas.openxmlformats.org/officeDocument/2006/relationships/hyperlink" Target="https://reklama.cncenter.cz/Online/billboard-bottom" TargetMode="External"/><Relationship Id="rId842" Type="http://schemas.openxmlformats.org/officeDocument/2006/relationships/hyperlink" Target="https://digiarena.zive.cz/" TargetMode="External"/><Relationship Id="rId1058" Type="http://schemas.openxmlformats.org/officeDocument/2006/relationships/hyperlink" Target="https://evropa2.cz/" TargetMode="External"/><Relationship Id="rId1265" Type="http://schemas.openxmlformats.org/officeDocument/2006/relationships/hyperlink" Target="https://fitweb.cz/" TargetMode="External"/><Relationship Id="rId1472" Type="http://schemas.openxmlformats.org/officeDocument/2006/relationships/hyperlink" Target="https://reklama.cncenter.cz/Online/Videospot" TargetMode="External"/><Relationship Id="rId2109" Type="http://schemas.openxmlformats.org/officeDocument/2006/relationships/hyperlink" Target="https://recepty.cz/" TargetMode="External"/><Relationship Id="rId2316" Type="http://schemas.openxmlformats.org/officeDocument/2006/relationships/hyperlink" Target="https://zeny.cz/" TargetMode="External"/><Relationship Id="rId702" Type="http://schemas.openxmlformats.org/officeDocument/2006/relationships/hyperlink" Target="https://reklama.cncenter.cz/Online/billboard-bottom" TargetMode="External"/><Relationship Id="rId1125" Type="http://schemas.openxmlformats.org/officeDocument/2006/relationships/hyperlink" Target="https://f1sport.auto.cz/" TargetMode="External"/><Relationship Id="rId1332" Type="http://schemas.openxmlformats.org/officeDocument/2006/relationships/hyperlink" Target="https://frekvence1.cz/" TargetMode="External"/><Relationship Id="rId1777" Type="http://schemas.openxmlformats.org/officeDocument/2006/relationships/hyperlink" Target="https://reklama.cncenter.cz/Online/mobilni-slide-up" TargetMode="External"/><Relationship Id="rId1984" Type="http://schemas.openxmlformats.org/officeDocument/2006/relationships/hyperlink" Target="https://nemovitosti.blesk.cz/" TargetMode="External"/><Relationship Id="rId69" Type="http://schemas.openxmlformats.org/officeDocument/2006/relationships/hyperlink" Target="https://abecedazahrady.dama.cz/" TargetMode="External"/><Relationship Id="rId1637" Type="http://schemas.openxmlformats.org/officeDocument/2006/relationships/hyperlink" Target="https://maminka.cz/" TargetMode="External"/><Relationship Id="rId1844" Type="http://schemas.openxmlformats.org/officeDocument/2006/relationships/hyperlink" Target="https://motogpsport.cz/" TargetMode="External"/><Relationship Id="rId1704" Type="http://schemas.openxmlformats.org/officeDocument/2006/relationships/hyperlink" Target="https://mobilmania.cz/" TargetMode="External"/><Relationship Id="rId285" Type="http://schemas.openxmlformats.org/officeDocument/2006/relationships/hyperlink" Target="https://reklama.cncenter.cz/Online/Bumper" TargetMode="External"/><Relationship Id="rId1911" Type="http://schemas.openxmlformats.org/officeDocument/2006/relationships/hyperlink" Target="http://nemovitosti.blesk.cz/" TargetMode="External"/><Relationship Id="rId492" Type="http://schemas.openxmlformats.org/officeDocument/2006/relationships/hyperlink" Target="https://blesk.cz/" TargetMode="External"/><Relationship Id="rId797" Type="http://schemas.openxmlformats.org/officeDocument/2006/relationships/hyperlink" Target="https://digiarena.zive.cz/" TargetMode="External"/><Relationship Id="rId2173" Type="http://schemas.openxmlformats.org/officeDocument/2006/relationships/hyperlink" Target="https://reflex.cz/" TargetMode="External"/><Relationship Id="rId2380" Type="http://schemas.openxmlformats.org/officeDocument/2006/relationships/hyperlink" Target="https://zeny.cz/" TargetMode="External"/><Relationship Id="rId2478" Type="http://schemas.openxmlformats.org/officeDocument/2006/relationships/hyperlink" Target="https://zive.cz/" TargetMode="External"/><Relationship Id="rId145" Type="http://schemas.openxmlformats.org/officeDocument/2006/relationships/hyperlink" Target="https://abicko.cz/" TargetMode="External"/><Relationship Id="rId352" Type="http://schemas.openxmlformats.org/officeDocument/2006/relationships/hyperlink" Target="https://autorevue.cz/" TargetMode="External"/><Relationship Id="rId1287" Type="http://schemas.openxmlformats.org/officeDocument/2006/relationships/hyperlink" Target="https://fitweb.cz/" TargetMode="External"/><Relationship Id="rId2033" Type="http://schemas.openxmlformats.org/officeDocument/2006/relationships/hyperlink" Target="https://www.realitnitrh.cz/" TargetMode="External"/><Relationship Id="rId2240" Type="http://schemas.openxmlformats.org/officeDocument/2006/relationships/hyperlink" Target="https://sportrevue.cz/" TargetMode="External"/><Relationship Id="rId212" Type="http://schemas.openxmlformats.org/officeDocument/2006/relationships/hyperlink" Target="https://reklama.cncenter.cz/Online/mobilni-slide-up" TargetMode="External"/><Relationship Id="rId657" Type="http://schemas.openxmlformats.org/officeDocument/2006/relationships/hyperlink" Target="https://reklama.cncenter.cz/Online/branding-cross-device" TargetMode="External"/><Relationship Id="rId864" Type="http://schemas.openxmlformats.org/officeDocument/2006/relationships/hyperlink" Target="https://doupe.zive.cz/" TargetMode="External"/><Relationship Id="rId1494" Type="http://schemas.openxmlformats.org/officeDocument/2006/relationships/hyperlink" Target="https://lideazeme.cz/" TargetMode="External"/><Relationship Id="rId1799" Type="http://schemas.openxmlformats.org/officeDocument/2006/relationships/hyperlink" Target="https://mojezdravi.cz/" TargetMode="External"/><Relationship Id="rId2100" Type="http://schemas.openxmlformats.org/officeDocument/2006/relationships/hyperlink" Target="https://reklama.cncenter.cz/Online/nativni-rectangle-cross-device" TargetMode="External"/><Relationship Id="rId2338" Type="http://schemas.openxmlformats.org/officeDocument/2006/relationships/hyperlink" Target="https://zeny.cz/" TargetMode="External"/><Relationship Id="rId517" Type="http://schemas.openxmlformats.org/officeDocument/2006/relationships/hyperlink" Target="https://reklama.cncenter.cz/Online/nativni-rectangle-cross-device" TargetMode="External"/><Relationship Id="rId724" Type="http://schemas.openxmlformats.org/officeDocument/2006/relationships/hyperlink" Target="https://reklama.cncenter.cz/Online/Smarticle" TargetMode="External"/><Relationship Id="rId931" Type="http://schemas.openxmlformats.org/officeDocument/2006/relationships/hyperlink" Target="https://reklama.cncenter.cz/Online/branding" TargetMode="External"/><Relationship Id="rId1147" Type="http://schemas.openxmlformats.org/officeDocument/2006/relationships/hyperlink" Target="https://www.facebook.com/business/ads-guide/image/facebook-feed" TargetMode="External"/><Relationship Id="rId1354" Type="http://schemas.openxmlformats.org/officeDocument/2006/relationships/hyperlink" Target="https://reklama.cncenter.cz/Online/heureka-wallpaper" TargetMode="External"/><Relationship Id="rId1561" Type="http://schemas.openxmlformats.org/officeDocument/2006/relationships/hyperlink" Target="https://reklama.cncenter.cz/Online/billboard-bottom" TargetMode="External"/><Relationship Id="rId2405" Type="http://schemas.openxmlformats.org/officeDocument/2006/relationships/hyperlink" Target="https://zive.cz/" TargetMode="External"/><Relationship Id="rId60" Type="http://schemas.openxmlformats.org/officeDocument/2006/relationships/hyperlink" Target="https://reklama.cncenter.cz/Online/Outstream" TargetMode="External"/><Relationship Id="rId1007" Type="http://schemas.openxmlformats.org/officeDocument/2006/relationships/hyperlink" Target="https://reklama.cncenter.cz/Online/mobilni-interscroller" TargetMode="External"/><Relationship Id="rId1214" Type="http://schemas.openxmlformats.org/officeDocument/2006/relationships/hyperlink" Target="http://www.facebook.com/" TargetMode="External"/><Relationship Id="rId1421" Type="http://schemas.openxmlformats.org/officeDocument/2006/relationships/hyperlink" Target="http://www.instagram.com/" TargetMode="External"/><Relationship Id="rId1659" Type="http://schemas.openxmlformats.org/officeDocument/2006/relationships/hyperlink" Target="https://reklama.cncenter.cz/Online/mobilni-slide-up" TargetMode="External"/><Relationship Id="rId1866" Type="http://schemas.openxmlformats.org/officeDocument/2006/relationships/hyperlink" Target="https://motogpsport.cz/" TargetMode="External"/><Relationship Id="rId1519" Type="http://schemas.openxmlformats.org/officeDocument/2006/relationships/hyperlink" Target="https://reklama.cncenter.cz/Online/mobilni-vineta" TargetMode="External"/><Relationship Id="rId1726" Type="http://schemas.openxmlformats.org/officeDocument/2006/relationships/hyperlink" Target="https://mobilmania.cz/" TargetMode="External"/><Relationship Id="rId1933" Type="http://schemas.openxmlformats.org/officeDocument/2006/relationships/hyperlink" Target="https://nemovitosti.blesk.cz/" TargetMode="External"/><Relationship Id="rId18" Type="http://schemas.openxmlformats.org/officeDocument/2006/relationships/hyperlink" Target="https://abecedazahrady.dama.cz/" TargetMode="External"/><Relationship Id="rId2195" Type="http://schemas.openxmlformats.org/officeDocument/2006/relationships/hyperlink" Target="https://reflex.cz/" TargetMode="External"/><Relationship Id="rId167" Type="http://schemas.openxmlformats.org/officeDocument/2006/relationships/hyperlink" Target="https://ahaonline.cz/" TargetMode="External"/><Relationship Id="rId374" Type="http://schemas.openxmlformats.org/officeDocument/2006/relationships/hyperlink" Target="https://reklama.cncenter.cz/Online/double-skyscraper" TargetMode="External"/><Relationship Id="rId581" Type="http://schemas.openxmlformats.org/officeDocument/2006/relationships/hyperlink" Target="https://bleskprozeny.cz/" TargetMode="External"/><Relationship Id="rId2055" Type="http://schemas.openxmlformats.org/officeDocument/2006/relationships/hyperlink" Target="https://www.realitnitrh.cz/" TargetMode="External"/><Relationship Id="rId2262" Type="http://schemas.openxmlformats.org/officeDocument/2006/relationships/hyperlink" Target="https://reklama.cncenter.cz/Online/billboard-bottom" TargetMode="External"/><Relationship Id="rId234" Type="http://schemas.openxmlformats.org/officeDocument/2006/relationships/hyperlink" Target="https://ahaonline.cz/" TargetMode="External"/><Relationship Id="rId679" Type="http://schemas.openxmlformats.org/officeDocument/2006/relationships/hyperlink" Target="https://reklama.cncenter.cz/Online/Bumper" TargetMode="External"/><Relationship Id="rId886" Type="http://schemas.openxmlformats.org/officeDocument/2006/relationships/hyperlink" Target="https://doupe.zive.cz/" TargetMode="External"/><Relationship Id="rId2" Type="http://schemas.openxmlformats.org/officeDocument/2006/relationships/hyperlink" Target="https://abecedazahrady.dama.cz/" TargetMode="External"/><Relationship Id="rId441" Type="http://schemas.openxmlformats.org/officeDocument/2006/relationships/hyperlink" Target="https://reklama.cncenter.cz/Online/nativni-rectangle-cross-device" TargetMode="External"/><Relationship Id="rId539" Type="http://schemas.openxmlformats.org/officeDocument/2006/relationships/hyperlink" Target="https://blesk.cz/" TargetMode="External"/><Relationship Id="rId746" Type="http://schemas.openxmlformats.org/officeDocument/2006/relationships/hyperlink" Target="https://reklama.cncenter.cz/Online/nativni-rectangle-cross-device" TargetMode="External"/><Relationship Id="rId1071" Type="http://schemas.openxmlformats.org/officeDocument/2006/relationships/hyperlink" Target="https://evropa2.cz/" TargetMode="External"/><Relationship Id="rId1169" Type="http://schemas.openxmlformats.org/officeDocument/2006/relationships/hyperlink" Target="http://www.facebook.com/" TargetMode="External"/><Relationship Id="rId1376" Type="http://schemas.openxmlformats.org/officeDocument/2006/relationships/hyperlink" Target="https://hledejceny.cz/" TargetMode="External"/><Relationship Id="rId1583" Type="http://schemas.openxmlformats.org/officeDocument/2006/relationships/hyperlink" Target="https://maminka.cz/" TargetMode="External"/><Relationship Id="rId2122" Type="http://schemas.openxmlformats.org/officeDocument/2006/relationships/hyperlink" Target="https://recepty.cz/" TargetMode="External"/><Relationship Id="rId2427" Type="http://schemas.openxmlformats.org/officeDocument/2006/relationships/hyperlink" Target="https://reklama.cncenter.cz/Online/mobilni-interscroller" TargetMode="External"/><Relationship Id="rId301" Type="http://schemas.openxmlformats.org/officeDocument/2006/relationships/hyperlink" Target="https://auto.cz/" TargetMode="External"/><Relationship Id="rId953" Type="http://schemas.openxmlformats.org/officeDocument/2006/relationships/hyperlink" Target="https://dama.cz/" TargetMode="External"/><Relationship Id="rId1029" Type="http://schemas.openxmlformats.org/officeDocument/2006/relationships/hyperlink" Target="https://evropa2.cz/" TargetMode="External"/><Relationship Id="rId1236" Type="http://schemas.openxmlformats.org/officeDocument/2006/relationships/hyperlink" Target="https://fitweb.cz/" TargetMode="External"/><Relationship Id="rId1790" Type="http://schemas.openxmlformats.org/officeDocument/2006/relationships/hyperlink" Target="https://mojezdravi.cz/" TargetMode="External"/><Relationship Id="rId1888" Type="http://schemas.openxmlformats.org/officeDocument/2006/relationships/hyperlink" Target="https://motogpsport.cz/" TargetMode="External"/><Relationship Id="rId82" Type="http://schemas.openxmlformats.org/officeDocument/2006/relationships/hyperlink" Target="https://abicko.cz/" TargetMode="External"/><Relationship Id="rId606" Type="http://schemas.openxmlformats.org/officeDocument/2006/relationships/hyperlink" Target="https://bleskprozeny.cz/" TargetMode="External"/><Relationship Id="rId813" Type="http://schemas.openxmlformats.org/officeDocument/2006/relationships/hyperlink" Target="https://digiarena.zive.cz/" TargetMode="External"/><Relationship Id="rId1443" Type="http://schemas.openxmlformats.org/officeDocument/2006/relationships/hyperlink" Target="http://www.instagram.com/" TargetMode="External"/><Relationship Id="rId1650" Type="http://schemas.openxmlformats.org/officeDocument/2006/relationships/hyperlink" Target="https://reklama.cncenter.cz/Online/double-skyscraper" TargetMode="External"/><Relationship Id="rId1748" Type="http://schemas.openxmlformats.org/officeDocument/2006/relationships/hyperlink" Target="https://mojezdravi.cz/" TargetMode="External"/><Relationship Id="rId1303" Type="http://schemas.openxmlformats.org/officeDocument/2006/relationships/hyperlink" Target="https://heyfomo.cz/" TargetMode="External"/><Relationship Id="rId1510" Type="http://schemas.openxmlformats.org/officeDocument/2006/relationships/hyperlink" Target="https://reklama.cncenter.cz/Online/double-skyscraper" TargetMode="External"/><Relationship Id="rId1955" Type="http://schemas.openxmlformats.org/officeDocument/2006/relationships/hyperlink" Target="https://nemovitosti.blesk.cz/" TargetMode="External"/><Relationship Id="rId1608" Type="http://schemas.openxmlformats.org/officeDocument/2006/relationships/hyperlink" Target="https://reklama.cncenter.cz/Online/double-skyscraper" TargetMode="External"/><Relationship Id="rId1815" Type="http://schemas.openxmlformats.org/officeDocument/2006/relationships/hyperlink" Target="https://mojezdravi.cz/" TargetMode="External"/><Relationship Id="rId189" Type="http://schemas.openxmlformats.org/officeDocument/2006/relationships/hyperlink" Target="https://reklama.cncenter.cz/Online/mobilni-vineta" TargetMode="External"/><Relationship Id="rId396" Type="http://schemas.openxmlformats.org/officeDocument/2006/relationships/hyperlink" Target="https://autorevue.cz/" TargetMode="External"/><Relationship Id="rId2077" Type="http://schemas.openxmlformats.org/officeDocument/2006/relationships/hyperlink" Target="https://recepty.cz/" TargetMode="External"/><Relationship Id="rId2284" Type="http://schemas.openxmlformats.org/officeDocument/2006/relationships/hyperlink" Target="https://vtm.zive.cz/" TargetMode="External"/><Relationship Id="rId256" Type="http://schemas.openxmlformats.org/officeDocument/2006/relationships/hyperlink" Target="https://auto.cz/" TargetMode="External"/><Relationship Id="rId463" Type="http://schemas.openxmlformats.org/officeDocument/2006/relationships/hyperlink" Target="https://reklama.cncenter.cz/Online/nativni-rectangle-cross-device" TargetMode="External"/><Relationship Id="rId670" Type="http://schemas.openxmlformats.org/officeDocument/2006/relationships/hyperlink" Target="https://reklama.cncenter.cz/Online/Bumper" TargetMode="External"/><Relationship Id="rId1093" Type="http://schemas.openxmlformats.org/officeDocument/2006/relationships/hyperlink" Target="https://f1sport.auto.cz/" TargetMode="External"/><Relationship Id="rId2144" Type="http://schemas.openxmlformats.org/officeDocument/2006/relationships/hyperlink" Target="https://recepty.cz/" TargetMode="External"/><Relationship Id="rId2351" Type="http://schemas.openxmlformats.org/officeDocument/2006/relationships/hyperlink" Target="https://zeny.cz/" TargetMode="External"/><Relationship Id="rId116" Type="http://schemas.openxmlformats.org/officeDocument/2006/relationships/hyperlink" Target="https://abicko.cz/" TargetMode="External"/><Relationship Id="rId323" Type="http://schemas.openxmlformats.org/officeDocument/2006/relationships/hyperlink" Target="https://auto.cz/" TargetMode="External"/><Relationship Id="rId530" Type="http://schemas.openxmlformats.org/officeDocument/2006/relationships/hyperlink" Target="https://blesk.cz/" TargetMode="External"/><Relationship Id="rId768" Type="http://schemas.openxmlformats.org/officeDocument/2006/relationships/hyperlink" Target="https://reklama.cncenter.cz/Online/mobilni-slide-up" TargetMode="External"/><Relationship Id="rId975" Type="http://schemas.openxmlformats.org/officeDocument/2006/relationships/hyperlink" Target="https://reklama.cncenter.cz/Online/mobilni-vineta" TargetMode="External"/><Relationship Id="rId1160" Type="http://schemas.openxmlformats.org/officeDocument/2006/relationships/hyperlink" Target="http://www.facebook.com/" TargetMode="External"/><Relationship Id="rId1398" Type="http://schemas.openxmlformats.org/officeDocument/2006/relationships/hyperlink" Target="http://www.instagram.com/" TargetMode="External"/><Relationship Id="rId2004" Type="http://schemas.openxmlformats.org/officeDocument/2006/relationships/hyperlink" Target="https://reklama.cncenter.cz/Online/branding-cross-device" TargetMode="External"/><Relationship Id="rId2211" Type="http://schemas.openxmlformats.org/officeDocument/2006/relationships/hyperlink" Target="https://reflex.cz/" TargetMode="External"/><Relationship Id="rId2449" Type="http://schemas.openxmlformats.org/officeDocument/2006/relationships/hyperlink" Target="https://zive.cz/" TargetMode="External"/><Relationship Id="rId628" Type="http://schemas.openxmlformats.org/officeDocument/2006/relationships/hyperlink" Target="https://bleskprozeny.cz/" TargetMode="External"/><Relationship Id="rId835" Type="http://schemas.openxmlformats.org/officeDocument/2006/relationships/hyperlink" Target="https://digiarena.zive.cz/" TargetMode="External"/><Relationship Id="rId1258" Type="http://schemas.openxmlformats.org/officeDocument/2006/relationships/hyperlink" Target="https://reklama.cncenter.cz/Online/mobilni-interscroller" TargetMode="External"/><Relationship Id="rId1465" Type="http://schemas.openxmlformats.org/officeDocument/2006/relationships/hyperlink" Target="https://reklama.cncenter.cz/Online/billboard-bottom" TargetMode="External"/><Relationship Id="rId1672" Type="http://schemas.openxmlformats.org/officeDocument/2006/relationships/hyperlink" Target="https://reklama.cncenter.cz/Online/branding-cross-device" TargetMode="External"/><Relationship Id="rId2309" Type="http://schemas.openxmlformats.org/officeDocument/2006/relationships/hyperlink" Target="https://youradio.cz/" TargetMode="External"/><Relationship Id="rId1020" Type="http://schemas.openxmlformats.org/officeDocument/2006/relationships/hyperlink" Target="https://reklama.cncenter.cz/?ads=PR%2520%25C4%258Dl%25C3%25A1nky" TargetMode="External"/><Relationship Id="rId1118" Type="http://schemas.openxmlformats.org/officeDocument/2006/relationships/hyperlink" Target="https://reklama.cncenter.cz/Online/double-skyscraper" TargetMode="External"/><Relationship Id="rId1325" Type="http://schemas.openxmlformats.org/officeDocument/2006/relationships/hyperlink" Target="https://frekvence1.cz/" TargetMode="External"/><Relationship Id="rId1532" Type="http://schemas.openxmlformats.org/officeDocument/2006/relationships/hyperlink" Target="https://lideazeme.cz/" TargetMode="External"/><Relationship Id="rId1977" Type="http://schemas.openxmlformats.org/officeDocument/2006/relationships/hyperlink" Target="https://nemovitosti.blesk.cz/" TargetMode="External"/><Relationship Id="rId902" Type="http://schemas.openxmlformats.org/officeDocument/2006/relationships/hyperlink" Target="https://reklama.cncenter.cz/Online/Outstream" TargetMode="External"/><Relationship Id="rId1837" Type="http://schemas.openxmlformats.org/officeDocument/2006/relationships/hyperlink" Target="https://reklama.cncenter.cz/Online/branding" TargetMode="External"/><Relationship Id="rId31" Type="http://schemas.openxmlformats.org/officeDocument/2006/relationships/hyperlink" Target="https://abecedazahrady.dama.cz/" TargetMode="External"/><Relationship Id="rId2099" Type="http://schemas.openxmlformats.org/officeDocument/2006/relationships/hyperlink" Target="https://recepty.cz/" TargetMode="External"/><Relationship Id="rId180" Type="http://schemas.openxmlformats.org/officeDocument/2006/relationships/hyperlink" Target="https://reklama.cncenter.cz/Online/double-skyscraper" TargetMode="External"/><Relationship Id="rId278" Type="http://schemas.openxmlformats.org/officeDocument/2006/relationships/hyperlink" Target="https://auto.cz/" TargetMode="External"/><Relationship Id="rId1904" Type="http://schemas.openxmlformats.org/officeDocument/2006/relationships/hyperlink" Target="https://nemovitosti.blesk.cz/" TargetMode="External"/><Relationship Id="rId485" Type="http://schemas.openxmlformats.org/officeDocument/2006/relationships/hyperlink" Target="https://blesk.cz/" TargetMode="External"/><Relationship Id="rId692" Type="http://schemas.openxmlformats.org/officeDocument/2006/relationships/hyperlink" Target="https://reklama.cncenter.cz/Online/Smarticle" TargetMode="External"/><Relationship Id="rId2166" Type="http://schemas.openxmlformats.org/officeDocument/2006/relationships/hyperlink" Target="https://reklama.cncenter.cz/Online/branding" TargetMode="External"/><Relationship Id="rId2373" Type="http://schemas.openxmlformats.org/officeDocument/2006/relationships/hyperlink" Target="https://zeny.cz/" TargetMode="External"/><Relationship Id="rId138" Type="http://schemas.openxmlformats.org/officeDocument/2006/relationships/hyperlink" Target="https://reklama.cncenter.cz/Online/Outstream" TargetMode="External"/><Relationship Id="rId345" Type="http://schemas.openxmlformats.org/officeDocument/2006/relationships/hyperlink" Target="https://reklama.cncenter.cz/Online/branding" TargetMode="External"/><Relationship Id="rId552" Type="http://schemas.openxmlformats.org/officeDocument/2006/relationships/hyperlink" Target="https://reklama.cncenter.cz/Online/branding-cross-device" TargetMode="External"/><Relationship Id="rId997" Type="http://schemas.openxmlformats.org/officeDocument/2006/relationships/hyperlink" Target="https://dama.cz/" TargetMode="External"/><Relationship Id="rId1182" Type="http://schemas.openxmlformats.org/officeDocument/2006/relationships/hyperlink" Target="http://www.facebook.com/" TargetMode="External"/><Relationship Id="rId2026" Type="http://schemas.openxmlformats.org/officeDocument/2006/relationships/hyperlink" Target="https://www.realitnitrh.cz/" TargetMode="External"/><Relationship Id="rId2233" Type="http://schemas.openxmlformats.org/officeDocument/2006/relationships/hyperlink" Target="https://reklama.cncenter.cz/Online/Bumper" TargetMode="External"/><Relationship Id="rId2440" Type="http://schemas.openxmlformats.org/officeDocument/2006/relationships/hyperlink" Target="https://zive.cz/" TargetMode="External"/><Relationship Id="rId205" Type="http://schemas.openxmlformats.org/officeDocument/2006/relationships/hyperlink" Target="https://ahaonline.cz/" TargetMode="External"/><Relationship Id="rId412" Type="http://schemas.openxmlformats.org/officeDocument/2006/relationships/hyperlink" Target="https://avmania.zive.cz/" TargetMode="External"/><Relationship Id="rId857" Type="http://schemas.openxmlformats.org/officeDocument/2006/relationships/hyperlink" Target="https://doupe.zive.cz/" TargetMode="External"/><Relationship Id="rId1042" Type="http://schemas.openxmlformats.org/officeDocument/2006/relationships/hyperlink" Target="https://reklama.cncenter.cz/Online/mobilni-interscroller" TargetMode="External"/><Relationship Id="rId1487" Type="http://schemas.openxmlformats.org/officeDocument/2006/relationships/hyperlink" Target="https://reklama.cncenter.cz/Online/Bumper" TargetMode="External"/><Relationship Id="rId1694" Type="http://schemas.openxmlformats.org/officeDocument/2006/relationships/hyperlink" Target="https://mobilmania.cz/" TargetMode="External"/><Relationship Id="rId2300" Type="http://schemas.openxmlformats.org/officeDocument/2006/relationships/hyperlink" Target="https://vtm.zive.cz/" TargetMode="External"/><Relationship Id="rId717" Type="http://schemas.openxmlformats.org/officeDocument/2006/relationships/hyperlink" Target="https://reklama.cncenter.cz/Online/double-skyscraper" TargetMode="External"/><Relationship Id="rId924" Type="http://schemas.openxmlformats.org/officeDocument/2006/relationships/hyperlink" Target="https://dama.cz/" TargetMode="External"/><Relationship Id="rId1347" Type="http://schemas.openxmlformats.org/officeDocument/2006/relationships/hyperlink" Target="https://frekvence1.cz/" TargetMode="External"/><Relationship Id="rId1554" Type="http://schemas.openxmlformats.org/officeDocument/2006/relationships/hyperlink" Target="https://lideazeme.cz/" TargetMode="External"/><Relationship Id="rId1761" Type="http://schemas.openxmlformats.org/officeDocument/2006/relationships/hyperlink" Target="https://mojezdravi.cz/" TargetMode="External"/><Relationship Id="rId1999" Type="http://schemas.openxmlformats.org/officeDocument/2006/relationships/hyperlink" Target="https://www.realitnitrh.cz/" TargetMode="External"/><Relationship Id="rId53" Type="http://schemas.openxmlformats.org/officeDocument/2006/relationships/hyperlink" Target="https://abecedazahrady.dama.cz/" TargetMode="External"/><Relationship Id="rId1207" Type="http://schemas.openxmlformats.org/officeDocument/2006/relationships/hyperlink" Target="https://www.facebook.com/business/ads-guide/image/facebook-feed" TargetMode="External"/><Relationship Id="rId1414" Type="http://schemas.openxmlformats.org/officeDocument/2006/relationships/hyperlink" Target="http://www.instagram.com/" TargetMode="External"/><Relationship Id="rId1621" Type="http://schemas.openxmlformats.org/officeDocument/2006/relationships/hyperlink" Target="https://maminka.cz/" TargetMode="External"/><Relationship Id="rId1859" Type="http://schemas.openxmlformats.org/officeDocument/2006/relationships/hyperlink" Target="https://motogpsport.cz/" TargetMode="External"/><Relationship Id="rId1719" Type="http://schemas.openxmlformats.org/officeDocument/2006/relationships/hyperlink" Target="https://reklama.cncenter.cz/Online/mobilni-slide-up" TargetMode="External"/><Relationship Id="rId1926" Type="http://schemas.openxmlformats.org/officeDocument/2006/relationships/hyperlink" Target="https://reklama.cncenter.cz/Online/double-skyscraper" TargetMode="External"/><Relationship Id="rId2090" Type="http://schemas.openxmlformats.org/officeDocument/2006/relationships/hyperlink" Target="https://recepty.cz/" TargetMode="External"/><Relationship Id="rId2188" Type="http://schemas.openxmlformats.org/officeDocument/2006/relationships/hyperlink" Target="https://reflex.cz/" TargetMode="External"/><Relationship Id="rId2395" Type="http://schemas.openxmlformats.org/officeDocument/2006/relationships/hyperlink" Target="https://zeny.cz/" TargetMode="External"/><Relationship Id="rId367" Type="http://schemas.openxmlformats.org/officeDocument/2006/relationships/hyperlink" Target="https://autorevue.cz/" TargetMode="External"/><Relationship Id="rId574" Type="http://schemas.openxmlformats.org/officeDocument/2006/relationships/hyperlink" Target="https://bleskprozeny.cz/" TargetMode="External"/><Relationship Id="rId2048" Type="http://schemas.openxmlformats.org/officeDocument/2006/relationships/hyperlink" Target="https://www.realitnitrh.cz/" TargetMode="External"/><Relationship Id="rId2255" Type="http://schemas.openxmlformats.org/officeDocument/2006/relationships/hyperlink" Target="https://vtm.zive.cz/" TargetMode="External"/><Relationship Id="rId227" Type="http://schemas.openxmlformats.org/officeDocument/2006/relationships/hyperlink" Target="https://ahaonline.cz/" TargetMode="External"/><Relationship Id="rId781" Type="http://schemas.openxmlformats.org/officeDocument/2006/relationships/hyperlink" Target="https://reklama.cncenter.cz/Online/branding-cross-device" TargetMode="External"/><Relationship Id="rId879" Type="http://schemas.openxmlformats.org/officeDocument/2006/relationships/hyperlink" Target="https://doupe.zive.cz/" TargetMode="External"/><Relationship Id="rId2462" Type="http://schemas.openxmlformats.org/officeDocument/2006/relationships/hyperlink" Target="https://zive.cz/" TargetMode="External"/><Relationship Id="rId434" Type="http://schemas.openxmlformats.org/officeDocument/2006/relationships/hyperlink" Target="https://avmania.zive.cz/" TargetMode="External"/><Relationship Id="rId641" Type="http://schemas.openxmlformats.org/officeDocument/2006/relationships/hyperlink" Target="https://reklama.cncenter.cz/Online/mobilni-slide-up" TargetMode="External"/><Relationship Id="rId739" Type="http://schemas.openxmlformats.org/officeDocument/2006/relationships/hyperlink" Target="https://reklama.cncenter.cz/Online/Smarticle" TargetMode="External"/><Relationship Id="rId1064" Type="http://schemas.openxmlformats.org/officeDocument/2006/relationships/hyperlink" Target="https://evropa2.cz/" TargetMode="External"/><Relationship Id="rId1271" Type="http://schemas.openxmlformats.org/officeDocument/2006/relationships/hyperlink" Target="https://fitweb.cz/" TargetMode="External"/><Relationship Id="rId1369" Type="http://schemas.openxmlformats.org/officeDocument/2006/relationships/hyperlink" Target="https://reklama.cncenter.cz/Online/branding-cross-device" TargetMode="External"/><Relationship Id="rId1576" Type="http://schemas.openxmlformats.org/officeDocument/2006/relationships/hyperlink" Target="https://reklama.cncenter.cz/Online/branding" TargetMode="External"/><Relationship Id="rId2115" Type="http://schemas.openxmlformats.org/officeDocument/2006/relationships/hyperlink" Target="https://recepty.cz/" TargetMode="External"/><Relationship Id="rId2322" Type="http://schemas.openxmlformats.org/officeDocument/2006/relationships/hyperlink" Target="https://reklama.cncenter.cz/Online/branding-cross-device" TargetMode="External"/><Relationship Id="rId501" Type="http://schemas.openxmlformats.org/officeDocument/2006/relationships/hyperlink" Target="https://reklama.cncenter.cz/Online/branding-cross-device" TargetMode="External"/><Relationship Id="rId946" Type="http://schemas.openxmlformats.org/officeDocument/2006/relationships/hyperlink" Target="https://reklama.cncenter.cz/Online/mobilni-vineta" TargetMode="External"/><Relationship Id="rId1131" Type="http://schemas.openxmlformats.org/officeDocument/2006/relationships/hyperlink" Target="https://f1sport.auto.cz/" TargetMode="External"/><Relationship Id="rId1229" Type="http://schemas.openxmlformats.org/officeDocument/2006/relationships/hyperlink" Target="https://finexpert.cz/" TargetMode="External"/><Relationship Id="rId1783" Type="http://schemas.openxmlformats.org/officeDocument/2006/relationships/hyperlink" Target="https://reklama.cncenter.cz/Online/nativni-rectangle-cross-device" TargetMode="External"/><Relationship Id="rId1990" Type="http://schemas.openxmlformats.org/officeDocument/2006/relationships/hyperlink" Target="https://reklama.cncenter.cz/Online/branding-cross-device" TargetMode="External"/><Relationship Id="rId75" Type="http://schemas.openxmlformats.org/officeDocument/2006/relationships/hyperlink" Target="https://abicko.cz/" TargetMode="External"/><Relationship Id="rId806" Type="http://schemas.openxmlformats.org/officeDocument/2006/relationships/hyperlink" Target="https://digiarena.zive.cz/" TargetMode="External"/><Relationship Id="rId1436" Type="http://schemas.openxmlformats.org/officeDocument/2006/relationships/hyperlink" Target="http://www.instagram.com/" TargetMode="External"/><Relationship Id="rId1643" Type="http://schemas.openxmlformats.org/officeDocument/2006/relationships/hyperlink" Target="https://reklama.cncenter.cz/Online/Bumper" TargetMode="External"/><Relationship Id="rId1850" Type="http://schemas.openxmlformats.org/officeDocument/2006/relationships/hyperlink" Target="https://motogpsport.cz/" TargetMode="External"/><Relationship Id="rId1503" Type="http://schemas.openxmlformats.org/officeDocument/2006/relationships/hyperlink" Target="https://lideazeme.cz/" TargetMode="External"/><Relationship Id="rId1710" Type="http://schemas.openxmlformats.org/officeDocument/2006/relationships/hyperlink" Target="https://mobilmania.cz/" TargetMode="External"/><Relationship Id="rId1948" Type="http://schemas.openxmlformats.org/officeDocument/2006/relationships/hyperlink" Target="https://nemovitosti.blesk.cz/" TargetMode="External"/><Relationship Id="rId291" Type="http://schemas.openxmlformats.org/officeDocument/2006/relationships/hyperlink" Target="https://auto.cz/" TargetMode="External"/><Relationship Id="rId1808" Type="http://schemas.openxmlformats.org/officeDocument/2006/relationships/hyperlink" Target="https://mojezdravi.cz/" TargetMode="External"/><Relationship Id="rId151" Type="http://schemas.openxmlformats.org/officeDocument/2006/relationships/hyperlink" Target="https://www.activegroup.cz/reklama" TargetMode="External"/><Relationship Id="rId389" Type="http://schemas.openxmlformats.org/officeDocument/2006/relationships/hyperlink" Target="https://autorevue.cz/" TargetMode="External"/><Relationship Id="rId596" Type="http://schemas.openxmlformats.org/officeDocument/2006/relationships/hyperlink" Target="https://reklama.cncenter.cz/Online/double-skyscraper" TargetMode="External"/><Relationship Id="rId2277" Type="http://schemas.openxmlformats.org/officeDocument/2006/relationships/hyperlink" Target="https://reklama.cncenter.cz/Online/mobilni-slide-up" TargetMode="External"/><Relationship Id="rId249" Type="http://schemas.openxmlformats.org/officeDocument/2006/relationships/hyperlink" Target="https://reklama.cncenter.cz/Online/branding" TargetMode="External"/><Relationship Id="rId456" Type="http://schemas.openxmlformats.org/officeDocument/2006/relationships/hyperlink" Target="https://avmania.zive.cz/" TargetMode="External"/><Relationship Id="rId663" Type="http://schemas.openxmlformats.org/officeDocument/2006/relationships/hyperlink" Target="https://reklama.cncenter.cz/Online/Videospot" TargetMode="External"/><Relationship Id="rId870" Type="http://schemas.openxmlformats.org/officeDocument/2006/relationships/hyperlink" Target="https://doupe.zive.cz/" TargetMode="External"/><Relationship Id="rId1086" Type="http://schemas.openxmlformats.org/officeDocument/2006/relationships/hyperlink" Target="https://reklama.cncenter.cz/Online/branding" TargetMode="External"/><Relationship Id="rId1293" Type="http://schemas.openxmlformats.org/officeDocument/2006/relationships/hyperlink" Target="https://heyfomo.cz/" TargetMode="External"/><Relationship Id="rId2137" Type="http://schemas.openxmlformats.org/officeDocument/2006/relationships/hyperlink" Target="https://reklama.cncenter.cz/?ads=PR%2520%25C4%258Dl%25C3%25A1nky" TargetMode="External"/><Relationship Id="rId2344" Type="http://schemas.openxmlformats.org/officeDocument/2006/relationships/hyperlink" Target="https://zeny.cz/" TargetMode="External"/><Relationship Id="rId109" Type="http://schemas.openxmlformats.org/officeDocument/2006/relationships/hyperlink" Target="https://abicko.cz/" TargetMode="External"/><Relationship Id="rId316" Type="http://schemas.openxmlformats.org/officeDocument/2006/relationships/hyperlink" Target="https://reklama.cncenter.cz/?ads=PR%2520%25C4%258Dl%25C3%25A1nky" TargetMode="External"/><Relationship Id="rId523" Type="http://schemas.openxmlformats.org/officeDocument/2006/relationships/hyperlink" Target="https://reklama.cncenter.cz/Online/branding-cross-device" TargetMode="External"/><Relationship Id="rId968" Type="http://schemas.openxmlformats.org/officeDocument/2006/relationships/hyperlink" Target="https://dama.cz/" TargetMode="External"/><Relationship Id="rId1153" Type="http://schemas.openxmlformats.org/officeDocument/2006/relationships/hyperlink" Target="https://www.facebook.com/business/ads-guide/image/facebook-feed" TargetMode="External"/><Relationship Id="rId1598" Type="http://schemas.openxmlformats.org/officeDocument/2006/relationships/hyperlink" Target="https://maminka.cz/" TargetMode="External"/><Relationship Id="rId2204" Type="http://schemas.openxmlformats.org/officeDocument/2006/relationships/hyperlink" Target="https://reklama.cncenter.cz/Online/mobilni-interscroller" TargetMode="External"/><Relationship Id="rId97" Type="http://schemas.openxmlformats.org/officeDocument/2006/relationships/hyperlink" Target="https://abicko.cz/" TargetMode="External"/><Relationship Id="rId730" Type="http://schemas.openxmlformats.org/officeDocument/2006/relationships/hyperlink" Target="https://reklama.cncenter.cz/Online/branding-cross-device" TargetMode="External"/><Relationship Id="rId828" Type="http://schemas.openxmlformats.org/officeDocument/2006/relationships/hyperlink" Target="https://digiarena.zive.cz/" TargetMode="External"/><Relationship Id="rId1013" Type="http://schemas.openxmlformats.org/officeDocument/2006/relationships/hyperlink" Target="https://reklama.cncenter.cz/Online/double-skyscraper" TargetMode="External"/><Relationship Id="rId1360" Type="http://schemas.openxmlformats.org/officeDocument/2006/relationships/hyperlink" Target="https://reklama.cncenter.cz/Online/branding-cross-device" TargetMode="External"/><Relationship Id="rId1458" Type="http://schemas.openxmlformats.org/officeDocument/2006/relationships/hyperlink" Target="http://www.instagram.com/" TargetMode="External"/><Relationship Id="rId1665" Type="http://schemas.openxmlformats.org/officeDocument/2006/relationships/hyperlink" Target="https://mobilmania.cz/" TargetMode="External"/><Relationship Id="rId1872" Type="http://schemas.openxmlformats.org/officeDocument/2006/relationships/hyperlink" Target="https://reklama.cncenter.cz/Online/mobilni-interscroller" TargetMode="External"/><Relationship Id="rId2411" Type="http://schemas.openxmlformats.org/officeDocument/2006/relationships/hyperlink" Target="https://zive.cz/" TargetMode="External"/><Relationship Id="rId1220" Type="http://schemas.openxmlformats.org/officeDocument/2006/relationships/hyperlink" Target="https://finexpert.cz/" TargetMode="External"/><Relationship Id="rId1318" Type="http://schemas.openxmlformats.org/officeDocument/2006/relationships/hyperlink" Target="https://reklama.cncenter.cz/Online/double-skyscraper" TargetMode="External"/><Relationship Id="rId1525" Type="http://schemas.openxmlformats.org/officeDocument/2006/relationships/hyperlink" Target="https://reklama.cncenter.cz/Online/Outstream" TargetMode="External"/><Relationship Id="rId1732" Type="http://schemas.openxmlformats.org/officeDocument/2006/relationships/hyperlink" Target="https://mobilmania.cz/" TargetMode="External"/><Relationship Id="rId24" Type="http://schemas.openxmlformats.org/officeDocument/2006/relationships/hyperlink" Target="https://abecedazahrady.dama.cz/" TargetMode="External"/><Relationship Id="rId2299" Type="http://schemas.openxmlformats.org/officeDocument/2006/relationships/hyperlink" Target="https://vtm.zive.cz/" TargetMode="External"/><Relationship Id="rId173" Type="http://schemas.openxmlformats.org/officeDocument/2006/relationships/hyperlink" Target="https://ahaonline.cz/" TargetMode="External"/><Relationship Id="rId380" Type="http://schemas.openxmlformats.org/officeDocument/2006/relationships/hyperlink" Target="https://reklama.cncenter.cz/Online/mobilni-slide-up" TargetMode="External"/><Relationship Id="rId2061" Type="http://schemas.openxmlformats.org/officeDocument/2006/relationships/hyperlink" Target="https://recepty.cz/" TargetMode="External"/><Relationship Id="rId240" Type="http://schemas.openxmlformats.org/officeDocument/2006/relationships/hyperlink" Target="https://auto.cz/" TargetMode="External"/><Relationship Id="rId478" Type="http://schemas.openxmlformats.org/officeDocument/2006/relationships/hyperlink" Target="https://blesk.cz/" TargetMode="External"/><Relationship Id="rId685" Type="http://schemas.openxmlformats.org/officeDocument/2006/relationships/hyperlink" Target="https://reklama.cncenter.cz/Online/branding" TargetMode="External"/><Relationship Id="rId892" Type="http://schemas.openxmlformats.org/officeDocument/2006/relationships/hyperlink" Target="https://doupe.zive.cz/" TargetMode="External"/><Relationship Id="rId2159" Type="http://schemas.openxmlformats.org/officeDocument/2006/relationships/hyperlink" Target="https://reflex.cz/" TargetMode="External"/><Relationship Id="rId2366" Type="http://schemas.openxmlformats.org/officeDocument/2006/relationships/hyperlink" Target="https://reklama.cncenter.cz/Online/double-skyscraper" TargetMode="External"/><Relationship Id="rId100" Type="http://schemas.openxmlformats.org/officeDocument/2006/relationships/hyperlink" Target="https://abicko.cz/" TargetMode="External"/><Relationship Id="rId338" Type="http://schemas.openxmlformats.org/officeDocument/2006/relationships/hyperlink" Target="https://autorevue.cz/" TargetMode="External"/><Relationship Id="rId545" Type="http://schemas.openxmlformats.org/officeDocument/2006/relationships/hyperlink" Target="https://bleskprozeny.cz/" TargetMode="External"/><Relationship Id="rId752" Type="http://schemas.openxmlformats.org/officeDocument/2006/relationships/hyperlink" Target="https://reklama.cncenter.cz/Online/branding" TargetMode="External"/><Relationship Id="rId1175" Type="http://schemas.openxmlformats.org/officeDocument/2006/relationships/hyperlink" Target="http://www.facebook.com/" TargetMode="External"/><Relationship Id="rId1382" Type="http://schemas.openxmlformats.org/officeDocument/2006/relationships/hyperlink" Target="http://www.instagram.com/" TargetMode="External"/><Relationship Id="rId2019" Type="http://schemas.openxmlformats.org/officeDocument/2006/relationships/hyperlink" Target="https://reklama.cncenter.cz/Online/double-skyscraper" TargetMode="External"/><Relationship Id="rId2226" Type="http://schemas.openxmlformats.org/officeDocument/2006/relationships/hyperlink" Target="https://reflex.cz/" TargetMode="External"/><Relationship Id="rId2433" Type="http://schemas.openxmlformats.org/officeDocument/2006/relationships/hyperlink" Target="https://reklama.cncenter.cz/Online/mobilni-vineta" TargetMode="External"/><Relationship Id="rId405" Type="http://schemas.openxmlformats.org/officeDocument/2006/relationships/hyperlink" Target="https://autorevue.cz/" TargetMode="External"/><Relationship Id="rId612" Type="http://schemas.openxmlformats.org/officeDocument/2006/relationships/hyperlink" Target="https://bleskprozeny.cz/" TargetMode="External"/><Relationship Id="rId1035" Type="http://schemas.openxmlformats.org/officeDocument/2006/relationships/hyperlink" Target="https://evropa2.cz/" TargetMode="External"/><Relationship Id="rId1242" Type="http://schemas.openxmlformats.org/officeDocument/2006/relationships/hyperlink" Target="https://fitweb.cz/" TargetMode="External"/><Relationship Id="rId1687" Type="http://schemas.openxmlformats.org/officeDocument/2006/relationships/hyperlink" Target="https://reklama.cncenter.cz/Online/double-skyscraper" TargetMode="External"/><Relationship Id="rId1894" Type="http://schemas.openxmlformats.org/officeDocument/2006/relationships/hyperlink" Target="https://motogpsport.cz/" TargetMode="External"/><Relationship Id="rId917" Type="http://schemas.openxmlformats.org/officeDocument/2006/relationships/hyperlink" Target="https://dama.cz/" TargetMode="External"/><Relationship Id="rId1102" Type="http://schemas.openxmlformats.org/officeDocument/2006/relationships/hyperlink" Target="https://f1sport.auto.cz/" TargetMode="External"/><Relationship Id="rId1547" Type="http://schemas.openxmlformats.org/officeDocument/2006/relationships/hyperlink" Target="https://reklama.cncenter.cz/Online/Outstream" TargetMode="External"/><Relationship Id="rId1754" Type="http://schemas.openxmlformats.org/officeDocument/2006/relationships/hyperlink" Target="https://mojezdravi.cz/" TargetMode="External"/><Relationship Id="rId1961" Type="http://schemas.openxmlformats.org/officeDocument/2006/relationships/hyperlink" Target="https://nemovitosti.blesk.cz/" TargetMode="External"/><Relationship Id="rId46" Type="http://schemas.openxmlformats.org/officeDocument/2006/relationships/hyperlink" Target="https://reklama.cncenter.cz/Online/mobilni-interscroller" TargetMode="External"/><Relationship Id="rId1407" Type="http://schemas.openxmlformats.org/officeDocument/2006/relationships/hyperlink" Target="http://www.instagram.com/" TargetMode="External"/><Relationship Id="rId1614" Type="http://schemas.openxmlformats.org/officeDocument/2006/relationships/hyperlink" Target="https://reklama.cncenter.cz/Online/mobilni-interscroller" TargetMode="External"/><Relationship Id="rId1821" Type="http://schemas.openxmlformats.org/officeDocument/2006/relationships/hyperlink" Target="https://mojezdravi.cz/" TargetMode="External"/><Relationship Id="rId195" Type="http://schemas.openxmlformats.org/officeDocument/2006/relationships/hyperlink" Target="https://reklama.cncenter.cz/Online/nativni-rectangle-cross-device" TargetMode="External"/><Relationship Id="rId1919" Type="http://schemas.openxmlformats.org/officeDocument/2006/relationships/hyperlink" Target="http://nemovitosti.blesk.cz/" TargetMode="External"/><Relationship Id="rId2083" Type="http://schemas.openxmlformats.org/officeDocument/2006/relationships/hyperlink" Target="https://recepty.cz/" TargetMode="External"/><Relationship Id="rId2290" Type="http://schemas.openxmlformats.org/officeDocument/2006/relationships/hyperlink" Target="https://vtm.zive.cz/" TargetMode="External"/><Relationship Id="rId2388" Type="http://schemas.openxmlformats.org/officeDocument/2006/relationships/hyperlink" Target="https://zeny.cz/" TargetMode="External"/><Relationship Id="rId262" Type="http://schemas.openxmlformats.org/officeDocument/2006/relationships/hyperlink" Target="https://auto.cz/" TargetMode="External"/><Relationship Id="rId567" Type="http://schemas.openxmlformats.org/officeDocument/2006/relationships/hyperlink" Target="https://reklama.cncenter.cz/Online/double-skyscraper" TargetMode="External"/><Relationship Id="rId1197" Type="http://schemas.openxmlformats.org/officeDocument/2006/relationships/hyperlink" Target="http://www.facebook.com/" TargetMode="External"/><Relationship Id="rId2150" Type="http://schemas.openxmlformats.org/officeDocument/2006/relationships/hyperlink" Target="https://reflex.cz/" TargetMode="External"/><Relationship Id="rId2248" Type="http://schemas.openxmlformats.org/officeDocument/2006/relationships/hyperlink" Target="https://sportrevue.cz/" TargetMode="External"/><Relationship Id="rId122" Type="http://schemas.openxmlformats.org/officeDocument/2006/relationships/hyperlink" Target="https://abicko.cz/" TargetMode="External"/><Relationship Id="rId774" Type="http://schemas.openxmlformats.org/officeDocument/2006/relationships/hyperlink" Target="https://digiarena.zive.cz/" TargetMode="External"/><Relationship Id="rId981" Type="http://schemas.openxmlformats.org/officeDocument/2006/relationships/hyperlink" Target="https://dama.cz/" TargetMode="External"/><Relationship Id="rId1057" Type="http://schemas.openxmlformats.org/officeDocument/2006/relationships/hyperlink" Target="https://reklama.cncenter.cz/Online/double-skyscraper" TargetMode="External"/><Relationship Id="rId2010" Type="http://schemas.openxmlformats.org/officeDocument/2006/relationships/hyperlink" Target="https://reklama.cncenter.cz/Online/billboard-bottom" TargetMode="External"/><Relationship Id="rId2455" Type="http://schemas.openxmlformats.org/officeDocument/2006/relationships/hyperlink" Target="https://zive.cz/" TargetMode="External"/><Relationship Id="rId427" Type="http://schemas.openxmlformats.org/officeDocument/2006/relationships/hyperlink" Target="https://avmania.zive.cz/" TargetMode="External"/><Relationship Id="rId634" Type="http://schemas.openxmlformats.org/officeDocument/2006/relationships/hyperlink" Target="https://reklama.cncenter.cz/Online/branding" TargetMode="External"/><Relationship Id="rId841" Type="http://schemas.openxmlformats.org/officeDocument/2006/relationships/hyperlink" Target="https://digiarena.zive.cz/" TargetMode="External"/><Relationship Id="rId1264" Type="http://schemas.openxmlformats.org/officeDocument/2006/relationships/hyperlink" Target="https://reklama.cncenter.cz/Online/mobilni-vineta" TargetMode="External"/><Relationship Id="rId1471" Type="http://schemas.openxmlformats.org/officeDocument/2006/relationships/hyperlink" Target="https://reklama.cncenter.cz/Online/double-skyscraper" TargetMode="External"/><Relationship Id="rId1569" Type="http://schemas.openxmlformats.org/officeDocument/2006/relationships/hyperlink" Target="https://maminka.cz/" TargetMode="External"/><Relationship Id="rId2108" Type="http://schemas.openxmlformats.org/officeDocument/2006/relationships/hyperlink" Target="https://recepty.cz/" TargetMode="External"/><Relationship Id="rId2315" Type="http://schemas.openxmlformats.org/officeDocument/2006/relationships/hyperlink" Target="https://zeny.cz/" TargetMode="External"/><Relationship Id="rId701" Type="http://schemas.openxmlformats.org/officeDocument/2006/relationships/hyperlink" Target="https://reklama.cncenter.cz/Online/Bumper" TargetMode="External"/><Relationship Id="rId939" Type="http://schemas.openxmlformats.org/officeDocument/2006/relationships/hyperlink" Target="https://dama.cz/" TargetMode="External"/><Relationship Id="rId1124" Type="http://schemas.openxmlformats.org/officeDocument/2006/relationships/hyperlink" Target="https://reklama.cncenter.cz/Online/mobilni-slide-up" TargetMode="External"/><Relationship Id="rId1331" Type="http://schemas.openxmlformats.org/officeDocument/2006/relationships/hyperlink" Target="https://frekvence1.cz/" TargetMode="External"/><Relationship Id="rId1776" Type="http://schemas.openxmlformats.org/officeDocument/2006/relationships/hyperlink" Target="https://mojezdravi.cz/" TargetMode="External"/><Relationship Id="rId1983" Type="http://schemas.openxmlformats.org/officeDocument/2006/relationships/hyperlink" Target="https://nemovitosti.blesk.cz/" TargetMode="External"/><Relationship Id="rId68" Type="http://schemas.openxmlformats.org/officeDocument/2006/relationships/hyperlink" Target="https://abecedazahrady.dama.cz/" TargetMode="External"/><Relationship Id="rId1429" Type="http://schemas.openxmlformats.org/officeDocument/2006/relationships/hyperlink" Target="http://www.instagram.com/" TargetMode="External"/><Relationship Id="rId1636" Type="http://schemas.openxmlformats.org/officeDocument/2006/relationships/hyperlink" Target="https://maminka.cz/" TargetMode="External"/><Relationship Id="rId1843" Type="http://schemas.openxmlformats.org/officeDocument/2006/relationships/hyperlink" Target="https://reklama.cncenter.cz/Online/branding-cross-device" TargetMode="External"/><Relationship Id="rId1703" Type="http://schemas.openxmlformats.org/officeDocument/2006/relationships/hyperlink" Target="https://mobilmania.cz/" TargetMode="External"/><Relationship Id="rId1910" Type="http://schemas.openxmlformats.org/officeDocument/2006/relationships/hyperlink" Target="https://reklama.cncenter.cz/Online/branding" TargetMode="External"/><Relationship Id="rId284" Type="http://schemas.openxmlformats.org/officeDocument/2006/relationships/hyperlink" Target="https://auto.cz/" TargetMode="External"/><Relationship Id="rId491" Type="http://schemas.openxmlformats.org/officeDocument/2006/relationships/hyperlink" Target="https://blesk.cz/" TargetMode="External"/><Relationship Id="rId2172" Type="http://schemas.openxmlformats.org/officeDocument/2006/relationships/hyperlink" Target="https://reklama.cncenter.cz/Online/Videospot" TargetMode="External"/><Relationship Id="rId144" Type="http://schemas.openxmlformats.org/officeDocument/2006/relationships/hyperlink" Target="https://abicko.cz/" TargetMode="External"/><Relationship Id="rId589" Type="http://schemas.openxmlformats.org/officeDocument/2006/relationships/hyperlink" Target="https://bleskprozeny.cz/" TargetMode="External"/><Relationship Id="rId796" Type="http://schemas.openxmlformats.org/officeDocument/2006/relationships/hyperlink" Target="https://reklama.cncenter.cz/Online/double-skyscraper" TargetMode="External"/><Relationship Id="rId2477" Type="http://schemas.openxmlformats.org/officeDocument/2006/relationships/hyperlink" Target="https://zive.cz/" TargetMode="External"/><Relationship Id="rId351" Type="http://schemas.openxmlformats.org/officeDocument/2006/relationships/hyperlink" Target="https://reklama.cncenter.cz/Online/mobilni-interscroller" TargetMode="External"/><Relationship Id="rId449" Type="http://schemas.openxmlformats.org/officeDocument/2006/relationships/hyperlink" Target="https://reklama.cncenter.cz/Online/double-skyscraper" TargetMode="External"/><Relationship Id="rId656" Type="http://schemas.openxmlformats.org/officeDocument/2006/relationships/hyperlink" Target="https://reklama.cncenter.cz/Online/billboard-bottom" TargetMode="External"/><Relationship Id="rId863" Type="http://schemas.openxmlformats.org/officeDocument/2006/relationships/hyperlink" Target="https://doupe.zive.cz/" TargetMode="External"/><Relationship Id="rId1079" Type="http://schemas.openxmlformats.org/officeDocument/2006/relationships/hyperlink" Target="https://f1sport.auto.cz/" TargetMode="External"/><Relationship Id="rId1286" Type="http://schemas.openxmlformats.org/officeDocument/2006/relationships/hyperlink" Target="https://fitweb.cz/" TargetMode="External"/><Relationship Id="rId1493" Type="http://schemas.openxmlformats.org/officeDocument/2006/relationships/hyperlink" Target="https://lideazeme.cz/" TargetMode="External"/><Relationship Id="rId2032" Type="http://schemas.openxmlformats.org/officeDocument/2006/relationships/hyperlink" Target="https://www.realitnitrh.cz/" TargetMode="External"/><Relationship Id="rId2337" Type="http://schemas.openxmlformats.org/officeDocument/2006/relationships/hyperlink" Target="https://reklama.cncenter.cz/Online/double-skyscraper" TargetMode="External"/><Relationship Id="rId211" Type="http://schemas.openxmlformats.org/officeDocument/2006/relationships/hyperlink" Target="https://ahaonline.cz/" TargetMode="External"/><Relationship Id="rId309" Type="http://schemas.openxmlformats.org/officeDocument/2006/relationships/hyperlink" Target="https://auto.cz/" TargetMode="External"/><Relationship Id="rId516" Type="http://schemas.openxmlformats.org/officeDocument/2006/relationships/hyperlink" Target="https://reklama.cncenter.cz/Online/mobilni-vineta" TargetMode="External"/><Relationship Id="rId1146" Type="http://schemas.openxmlformats.org/officeDocument/2006/relationships/hyperlink" Target="http://www.facebook.com/" TargetMode="External"/><Relationship Id="rId1798" Type="http://schemas.openxmlformats.org/officeDocument/2006/relationships/hyperlink" Target="https://mojezdravi.cz/" TargetMode="External"/><Relationship Id="rId723" Type="http://schemas.openxmlformats.org/officeDocument/2006/relationships/hyperlink" Target="https://reklama.cncenter.cz/Online/Outstream" TargetMode="External"/><Relationship Id="rId930" Type="http://schemas.openxmlformats.org/officeDocument/2006/relationships/hyperlink" Target="https://dama.cz/" TargetMode="External"/><Relationship Id="rId1006" Type="http://schemas.openxmlformats.org/officeDocument/2006/relationships/hyperlink" Target="https://reklama.cncenter.cz/Online/Videospot" TargetMode="External"/><Relationship Id="rId1353" Type="http://schemas.openxmlformats.org/officeDocument/2006/relationships/hyperlink" Target="https://www.heureka.cz/" TargetMode="External"/><Relationship Id="rId1560" Type="http://schemas.openxmlformats.org/officeDocument/2006/relationships/hyperlink" Target="https://maminka.cz/" TargetMode="External"/><Relationship Id="rId1658" Type="http://schemas.openxmlformats.org/officeDocument/2006/relationships/hyperlink" Target="https://reklama.cncenter.cz/Online/mobilni-interscroller" TargetMode="External"/><Relationship Id="rId1865" Type="http://schemas.openxmlformats.org/officeDocument/2006/relationships/hyperlink" Target="https://motogpsport.cz/" TargetMode="External"/><Relationship Id="rId2404" Type="http://schemas.openxmlformats.org/officeDocument/2006/relationships/hyperlink" Target="https://zive.cz/" TargetMode="External"/><Relationship Id="rId1213" Type="http://schemas.openxmlformats.org/officeDocument/2006/relationships/hyperlink" Target="https://www.facebook.com/business/ads-guide/image/facebook-feed" TargetMode="External"/><Relationship Id="rId1420" Type="http://schemas.openxmlformats.org/officeDocument/2006/relationships/hyperlink" Target="http://www.instagram.com/" TargetMode="External"/><Relationship Id="rId1518" Type="http://schemas.openxmlformats.org/officeDocument/2006/relationships/hyperlink" Target="https://lideazeme.cz/" TargetMode="External"/><Relationship Id="rId1725" Type="http://schemas.openxmlformats.org/officeDocument/2006/relationships/hyperlink" Target="https://mobilmania.cz/" TargetMode="External"/><Relationship Id="rId1932" Type="http://schemas.openxmlformats.org/officeDocument/2006/relationships/hyperlink" Target="https://nemovitosti.blesk.cz/" TargetMode="External"/><Relationship Id="rId17" Type="http://schemas.openxmlformats.org/officeDocument/2006/relationships/hyperlink" Target="https://reklama.cncenter.cz/Online/branding-cross-device" TargetMode="External"/><Relationship Id="rId2194" Type="http://schemas.openxmlformats.org/officeDocument/2006/relationships/hyperlink" Target="https://reflex.cz/" TargetMode="External"/><Relationship Id="rId166" Type="http://schemas.openxmlformats.org/officeDocument/2006/relationships/hyperlink" Target="https://ahaonline.cz/" TargetMode="External"/><Relationship Id="rId373" Type="http://schemas.openxmlformats.org/officeDocument/2006/relationships/hyperlink" Target="https://autorevue.cz/" TargetMode="External"/><Relationship Id="rId580" Type="http://schemas.openxmlformats.org/officeDocument/2006/relationships/hyperlink" Target="https://bleskprozeny.cz/" TargetMode="External"/><Relationship Id="rId2054" Type="http://schemas.openxmlformats.org/officeDocument/2006/relationships/hyperlink" Target="https://www.realitnitrh.cz/" TargetMode="External"/><Relationship Id="rId2261" Type="http://schemas.openxmlformats.org/officeDocument/2006/relationships/hyperlink" Target="https://vtm.zive.cz/" TargetMode="External"/><Relationship Id="rId1" Type="http://schemas.openxmlformats.org/officeDocument/2006/relationships/hyperlink" Target="https://abecedazahrady.dama.cz/" TargetMode="External"/><Relationship Id="rId233" Type="http://schemas.openxmlformats.org/officeDocument/2006/relationships/hyperlink" Target="https://ahaonline.cz/" TargetMode="External"/><Relationship Id="rId440" Type="http://schemas.openxmlformats.org/officeDocument/2006/relationships/hyperlink" Target="https://avmania.zive.cz/" TargetMode="External"/><Relationship Id="rId678" Type="http://schemas.openxmlformats.org/officeDocument/2006/relationships/hyperlink" Target="https://reklama.cncenter.cz/Online/Smarticle" TargetMode="External"/><Relationship Id="rId885" Type="http://schemas.openxmlformats.org/officeDocument/2006/relationships/hyperlink" Target="https://reklama.cncenter.cz/Online/double-skyscraper" TargetMode="External"/><Relationship Id="rId1070" Type="http://schemas.openxmlformats.org/officeDocument/2006/relationships/hyperlink" Target="https://evropa2.cz/" TargetMode="External"/><Relationship Id="rId2121" Type="http://schemas.openxmlformats.org/officeDocument/2006/relationships/hyperlink" Target="https://recepty.cz/" TargetMode="External"/><Relationship Id="rId2359" Type="http://schemas.openxmlformats.org/officeDocument/2006/relationships/hyperlink" Target="https://zeny.cz/" TargetMode="External"/><Relationship Id="rId300" Type="http://schemas.openxmlformats.org/officeDocument/2006/relationships/hyperlink" Target="https://auto.cz/" TargetMode="External"/><Relationship Id="rId538" Type="http://schemas.openxmlformats.org/officeDocument/2006/relationships/hyperlink" Target="https://reklama.cncenter.cz/Online/mobilni-slide-up" TargetMode="External"/><Relationship Id="rId745" Type="http://schemas.openxmlformats.org/officeDocument/2006/relationships/hyperlink" Target="https://reklama.cncenter.cz/Online/mobilni-vineta" TargetMode="External"/><Relationship Id="rId952" Type="http://schemas.openxmlformats.org/officeDocument/2006/relationships/hyperlink" Target="https://reklama.cncenter.cz/Online/nativni-rectangle-cross-device" TargetMode="External"/><Relationship Id="rId1168" Type="http://schemas.openxmlformats.org/officeDocument/2006/relationships/hyperlink" Target="https://www.facebook.com/business/ads-guide/image/facebook-feed" TargetMode="External"/><Relationship Id="rId1375" Type="http://schemas.openxmlformats.org/officeDocument/2006/relationships/hyperlink" Target="https://reklama.cncenter.cz/Online/double-skyscraper" TargetMode="External"/><Relationship Id="rId1582" Type="http://schemas.openxmlformats.org/officeDocument/2006/relationships/hyperlink" Target="https://reklama.cncenter.cz/Online/Videospot" TargetMode="External"/><Relationship Id="rId2219" Type="http://schemas.openxmlformats.org/officeDocument/2006/relationships/hyperlink" Target="https://reflex.cz/" TargetMode="External"/><Relationship Id="rId2426" Type="http://schemas.openxmlformats.org/officeDocument/2006/relationships/hyperlink" Target="https://zive.cz/" TargetMode="External"/><Relationship Id="rId81" Type="http://schemas.openxmlformats.org/officeDocument/2006/relationships/hyperlink" Target="https://abicko.cz/" TargetMode="External"/><Relationship Id="rId605" Type="http://schemas.openxmlformats.org/officeDocument/2006/relationships/hyperlink" Target="https://reklama.cncenter.cz/Online/mobilni-slide-up" TargetMode="External"/><Relationship Id="rId812" Type="http://schemas.openxmlformats.org/officeDocument/2006/relationships/hyperlink" Target="https://digiarena.zive.cz/" TargetMode="External"/><Relationship Id="rId1028" Type="http://schemas.openxmlformats.org/officeDocument/2006/relationships/hyperlink" Target="https://evropa2.cz/" TargetMode="External"/><Relationship Id="rId1235" Type="http://schemas.openxmlformats.org/officeDocument/2006/relationships/hyperlink" Target="https://fitweb.cz/" TargetMode="External"/><Relationship Id="rId1442" Type="http://schemas.openxmlformats.org/officeDocument/2006/relationships/hyperlink" Target="http://www.instagram.com/" TargetMode="External"/><Relationship Id="rId1887" Type="http://schemas.openxmlformats.org/officeDocument/2006/relationships/hyperlink" Target="https://motogpsport.cz/" TargetMode="External"/><Relationship Id="rId1302" Type="http://schemas.openxmlformats.org/officeDocument/2006/relationships/hyperlink" Target="https://heyfomo.cz/" TargetMode="External"/><Relationship Id="rId1747" Type="http://schemas.openxmlformats.org/officeDocument/2006/relationships/hyperlink" Target="https://mojezdravi.cz/" TargetMode="External"/><Relationship Id="rId1954" Type="http://schemas.openxmlformats.org/officeDocument/2006/relationships/hyperlink" Target="http://nemovitosti.blesk.cz/" TargetMode="External"/><Relationship Id="rId39" Type="http://schemas.openxmlformats.org/officeDocument/2006/relationships/hyperlink" Target="https://abecedazahrady.dama.cz/" TargetMode="External"/><Relationship Id="rId1607" Type="http://schemas.openxmlformats.org/officeDocument/2006/relationships/hyperlink" Target="https://maminka.cz/" TargetMode="External"/><Relationship Id="rId1814" Type="http://schemas.openxmlformats.org/officeDocument/2006/relationships/hyperlink" Target="https://reklama.cncenter.cz/Online/Outstream" TargetMode="External"/><Relationship Id="rId188" Type="http://schemas.openxmlformats.org/officeDocument/2006/relationships/hyperlink" Target="https://ahaonline.cz/" TargetMode="External"/><Relationship Id="rId395" Type="http://schemas.openxmlformats.org/officeDocument/2006/relationships/hyperlink" Target="https://autorevue.cz/" TargetMode="External"/><Relationship Id="rId2076" Type="http://schemas.openxmlformats.org/officeDocument/2006/relationships/hyperlink" Target="https://reklama.cncenter.cz/Online/branding-cross-device" TargetMode="External"/><Relationship Id="rId2283" Type="http://schemas.openxmlformats.org/officeDocument/2006/relationships/hyperlink" Target="https://reklama.cncenter.cz/Online/nativni-rectangle-cross-device" TargetMode="External"/><Relationship Id="rId255" Type="http://schemas.openxmlformats.org/officeDocument/2006/relationships/hyperlink" Target="https://reklama.cncenter.cz/Online/branding-cross-device" TargetMode="External"/><Relationship Id="rId462" Type="http://schemas.openxmlformats.org/officeDocument/2006/relationships/hyperlink" Target="https://avmania.zive.cz/" TargetMode="External"/><Relationship Id="rId1092" Type="http://schemas.openxmlformats.org/officeDocument/2006/relationships/hyperlink" Target="https://reklama.cncenter.cz/Online/branding-cross-device" TargetMode="External"/><Relationship Id="rId1397" Type="http://schemas.openxmlformats.org/officeDocument/2006/relationships/hyperlink" Target="http://www.instagram.com/" TargetMode="External"/><Relationship Id="rId2143" Type="http://schemas.openxmlformats.org/officeDocument/2006/relationships/hyperlink" Target="https://recepty.cz/" TargetMode="External"/><Relationship Id="rId2350" Type="http://schemas.openxmlformats.org/officeDocument/2006/relationships/hyperlink" Target="https://zeny.cz/" TargetMode="External"/><Relationship Id="rId115" Type="http://schemas.openxmlformats.org/officeDocument/2006/relationships/hyperlink" Target="https://abicko.cz/" TargetMode="External"/><Relationship Id="rId322" Type="http://schemas.openxmlformats.org/officeDocument/2006/relationships/hyperlink" Target="https://auto.cz/" TargetMode="External"/><Relationship Id="rId767" Type="http://schemas.openxmlformats.org/officeDocument/2006/relationships/hyperlink" Target="https://reklama.cncenter.cz/Online/mobilni-interscroller" TargetMode="External"/><Relationship Id="rId974" Type="http://schemas.openxmlformats.org/officeDocument/2006/relationships/hyperlink" Target="https://dama.cz/" TargetMode="External"/><Relationship Id="rId2003" Type="http://schemas.openxmlformats.org/officeDocument/2006/relationships/hyperlink" Target="https://www.realitnitrh.cz/" TargetMode="External"/><Relationship Id="rId2210" Type="http://schemas.openxmlformats.org/officeDocument/2006/relationships/hyperlink" Target="https://reklama.cncenter.cz/Online/mobilni-vineta" TargetMode="External"/><Relationship Id="rId2448" Type="http://schemas.openxmlformats.org/officeDocument/2006/relationships/hyperlink" Target="https://zive.cz/" TargetMode="External"/><Relationship Id="rId627" Type="http://schemas.openxmlformats.org/officeDocument/2006/relationships/hyperlink" Target="https://bleskprozeny.cz/" TargetMode="External"/><Relationship Id="rId834" Type="http://schemas.openxmlformats.org/officeDocument/2006/relationships/hyperlink" Target="https://digiarena.zive.cz/" TargetMode="External"/><Relationship Id="rId1257" Type="http://schemas.openxmlformats.org/officeDocument/2006/relationships/hyperlink" Target="https://fitweb.cz/" TargetMode="External"/><Relationship Id="rId1464" Type="http://schemas.openxmlformats.org/officeDocument/2006/relationships/hyperlink" Target="http://www.instagram.com/" TargetMode="External"/><Relationship Id="rId1671" Type="http://schemas.openxmlformats.org/officeDocument/2006/relationships/hyperlink" Target="https://mobilmania.cz/" TargetMode="External"/><Relationship Id="rId2308" Type="http://schemas.openxmlformats.org/officeDocument/2006/relationships/hyperlink" Target="https://x.com/" TargetMode="External"/><Relationship Id="rId901" Type="http://schemas.openxmlformats.org/officeDocument/2006/relationships/hyperlink" Target="https://doupe.zive.cz/" TargetMode="External"/><Relationship Id="rId1117" Type="http://schemas.openxmlformats.org/officeDocument/2006/relationships/hyperlink" Target="https://f1sport.auto.cz/" TargetMode="External"/><Relationship Id="rId1324" Type="http://schemas.openxmlformats.org/officeDocument/2006/relationships/hyperlink" Target="https://reklama.cncenter.cz/Online/mobilni-slide-up" TargetMode="External"/><Relationship Id="rId1531" Type="http://schemas.openxmlformats.org/officeDocument/2006/relationships/hyperlink" Target="https://lideazeme.cz/" TargetMode="External"/><Relationship Id="rId1769" Type="http://schemas.openxmlformats.org/officeDocument/2006/relationships/hyperlink" Target="https://mojezdravi.cz/" TargetMode="External"/><Relationship Id="rId1976" Type="http://schemas.openxmlformats.org/officeDocument/2006/relationships/hyperlink" Target="https://nemovitosti.blesk.cz/" TargetMode="External"/><Relationship Id="rId30" Type="http://schemas.openxmlformats.org/officeDocument/2006/relationships/hyperlink" Target="https://abecedazahrady.dama.cz/" TargetMode="External"/><Relationship Id="rId1629" Type="http://schemas.openxmlformats.org/officeDocument/2006/relationships/hyperlink" Target="https://maminka.cz/" TargetMode="External"/><Relationship Id="rId1836" Type="http://schemas.openxmlformats.org/officeDocument/2006/relationships/hyperlink" Target="https://motogpsport.cz/" TargetMode="External"/><Relationship Id="rId1903" Type="http://schemas.openxmlformats.org/officeDocument/2006/relationships/hyperlink" Target="http://nemovitosti.blesk.cz/" TargetMode="External"/><Relationship Id="rId2098" Type="http://schemas.openxmlformats.org/officeDocument/2006/relationships/hyperlink" Target="https://recepty.cz/" TargetMode="External"/><Relationship Id="rId277" Type="http://schemas.openxmlformats.org/officeDocument/2006/relationships/hyperlink" Target="https://auto.cz/" TargetMode="External"/><Relationship Id="rId484" Type="http://schemas.openxmlformats.org/officeDocument/2006/relationships/hyperlink" Target="https://blesk.cz/" TargetMode="External"/><Relationship Id="rId2165" Type="http://schemas.openxmlformats.org/officeDocument/2006/relationships/hyperlink" Target="https://reflex.cz/" TargetMode="External"/><Relationship Id="rId137" Type="http://schemas.openxmlformats.org/officeDocument/2006/relationships/hyperlink" Target="https://abicko.cz/" TargetMode="External"/><Relationship Id="rId344" Type="http://schemas.openxmlformats.org/officeDocument/2006/relationships/hyperlink" Target="https://autorevue.cz/" TargetMode="External"/><Relationship Id="rId691" Type="http://schemas.openxmlformats.org/officeDocument/2006/relationships/hyperlink" Target="https://reklama.cncenter.cz/Online/Outstream" TargetMode="External"/><Relationship Id="rId789" Type="http://schemas.openxmlformats.org/officeDocument/2006/relationships/hyperlink" Target="https://digiarena.zive.cz/" TargetMode="External"/><Relationship Id="rId996" Type="http://schemas.openxmlformats.org/officeDocument/2006/relationships/hyperlink" Target="https://dama.cz/" TargetMode="External"/><Relationship Id="rId2025" Type="http://schemas.openxmlformats.org/officeDocument/2006/relationships/hyperlink" Target="https://reklama.cncenter.cz/Online/nativni-PR-premium" TargetMode="External"/><Relationship Id="rId2372" Type="http://schemas.openxmlformats.org/officeDocument/2006/relationships/hyperlink" Target="https://reklama.cncenter.cz/Online/mobilni-interscroller" TargetMode="External"/><Relationship Id="rId551" Type="http://schemas.openxmlformats.org/officeDocument/2006/relationships/hyperlink" Target="https://bleskprozeny.cz/" TargetMode="External"/><Relationship Id="rId649" Type="http://schemas.openxmlformats.org/officeDocument/2006/relationships/hyperlink" Target="https://reklama.cncenter.cz/Online/mobilni-interscroller" TargetMode="External"/><Relationship Id="rId856" Type="http://schemas.openxmlformats.org/officeDocument/2006/relationships/hyperlink" Target="https://reklama.cncenter.cz/Online/billboard-bottom" TargetMode="External"/><Relationship Id="rId1181" Type="http://schemas.openxmlformats.org/officeDocument/2006/relationships/hyperlink" Target="http://www.facebook.com/" TargetMode="External"/><Relationship Id="rId1279" Type="http://schemas.openxmlformats.org/officeDocument/2006/relationships/hyperlink" Target="https://reklama.cncenter.cz/Online/mobilni-slide-up" TargetMode="External"/><Relationship Id="rId1486" Type="http://schemas.openxmlformats.org/officeDocument/2006/relationships/hyperlink" Target="https://reklama.cncenter.cz/?ads=PR%2520%25C4%258Dl%25C3%25A1nky" TargetMode="External"/><Relationship Id="rId2232" Type="http://schemas.openxmlformats.org/officeDocument/2006/relationships/hyperlink" Target="https://reflex.cz/" TargetMode="External"/><Relationship Id="rId204" Type="http://schemas.openxmlformats.org/officeDocument/2006/relationships/hyperlink" Target="https://ahaonline.cz/" TargetMode="External"/><Relationship Id="rId411" Type="http://schemas.openxmlformats.org/officeDocument/2006/relationships/hyperlink" Target="https://reklama.cncenter.cz/Online/billboard-bottom" TargetMode="External"/><Relationship Id="rId509" Type="http://schemas.openxmlformats.org/officeDocument/2006/relationships/hyperlink" Target="https://reklama.cncenter.cz/Online/Outstream" TargetMode="External"/><Relationship Id="rId1041" Type="http://schemas.openxmlformats.org/officeDocument/2006/relationships/hyperlink" Target="https://evropa2.cz/" TargetMode="External"/><Relationship Id="rId1139" Type="http://schemas.openxmlformats.org/officeDocument/2006/relationships/hyperlink" Target="https://f1sport.auto.cz/" TargetMode="External"/><Relationship Id="rId1346" Type="http://schemas.openxmlformats.org/officeDocument/2006/relationships/hyperlink" Target="https://frekvence1.cz/" TargetMode="External"/><Relationship Id="rId1693" Type="http://schemas.openxmlformats.org/officeDocument/2006/relationships/hyperlink" Target="https://reklama.cncenter.cz/Online/mobilni-slide-up" TargetMode="External"/><Relationship Id="rId1998" Type="http://schemas.openxmlformats.org/officeDocument/2006/relationships/hyperlink" Target="https://www.realitnitrh.cz/" TargetMode="External"/><Relationship Id="rId716" Type="http://schemas.openxmlformats.org/officeDocument/2006/relationships/hyperlink" Target="https://reklama.cncenter.cz/Online/Bumper" TargetMode="External"/><Relationship Id="rId923" Type="http://schemas.openxmlformats.org/officeDocument/2006/relationships/hyperlink" Target="https://dama.cz/" TargetMode="External"/><Relationship Id="rId1553" Type="http://schemas.openxmlformats.org/officeDocument/2006/relationships/hyperlink" Target="https://lideazeme.cz/" TargetMode="External"/><Relationship Id="rId1760" Type="http://schemas.openxmlformats.org/officeDocument/2006/relationships/hyperlink" Target="https://mojezdravi.cz/" TargetMode="External"/><Relationship Id="rId1858" Type="http://schemas.openxmlformats.org/officeDocument/2006/relationships/hyperlink" Target="https://reklama.cncenter.cz/Online/mobilni-vineta" TargetMode="External"/><Relationship Id="rId52" Type="http://schemas.openxmlformats.org/officeDocument/2006/relationships/hyperlink" Target="https://reklama.cncenter.cz/Online/mobilni-vineta" TargetMode="External"/><Relationship Id="rId1206" Type="http://schemas.openxmlformats.org/officeDocument/2006/relationships/hyperlink" Target="http://www.facebook.com/" TargetMode="External"/><Relationship Id="rId1413" Type="http://schemas.openxmlformats.org/officeDocument/2006/relationships/hyperlink" Target="http://www.instagram.com/" TargetMode="External"/><Relationship Id="rId1620" Type="http://schemas.openxmlformats.org/officeDocument/2006/relationships/hyperlink" Target="https://reklama.cncenter.cz/Online/mobilni-vineta" TargetMode="External"/><Relationship Id="rId1718" Type="http://schemas.openxmlformats.org/officeDocument/2006/relationships/hyperlink" Target="https://mobilmania.cz/" TargetMode="External"/><Relationship Id="rId1925" Type="http://schemas.openxmlformats.org/officeDocument/2006/relationships/hyperlink" Target="https://nemovitosti.blesk.cz/" TargetMode="External"/><Relationship Id="rId299" Type="http://schemas.openxmlformats.org/officeDocument/2006/relationships/hyperlink" Target="https://reklama.cncenter.cz/Online/mobilni-slide-up" TargetMode="External"/><Relationship Id="rId2187" Type="http://schemas.openxmlformats.org/officeDocument/2006/relationships/hyperlink" Target="https://reklama.cncenter.cz/Online/nativni-rectangle-cross-device" TargetMode="External"/><Relationship Id="rId2394" Type="http://schemas.openxmlformats.org/officeDocument/2006/relationships/hyperlink" Target="https://zeny.cz/" TargetMode="External"/><Relationship Id="rId159" Type="http://schemas.openxmlformats.org/officeDocument/2006/relationships/hyperlink" Target="https://ahaonline.cz/" TargetMode="External"/><Relationship Id="rId366" Type="http://schemas.openxmlformats.org/officeDocument/2006/relationships/hyperlink" Target="https://reklama.cncenter.cz/Online/Outstream" TargetMode="External"/><Relationship Id="rId573" Type="http://schemas.openxmlformats.org/officeDocument/2006/relationships/hyperlink" Target="https://reklama.cncenter.cz/Online/mobilni-interscroller" TargetMode="External"/><Relationship Id="rId780" Type="http://schemas.openxmlformats.org/officeDocument/2006/relationships/hyperlink" Target="https://digiarena.zive.cz/" TargetMode="External"/><Relationship Id="rId2047" Type="http://schemas.openxmlformats.org/officeDocument/2006/relationships/hyperlink" Target="https://reklama.cncenter.cz/Online/nativni-rectangle-cross-device" TargetMode="External"/><Relationship Id="rId2254" Type="http://schemas.openxmlformats.org/officeDocument/2006/relationships/hyperlink" Target="https://vtm.zive.cz/" TargetMode="External"/><Relationship Id="rId2461" Type="http://schemas.openxmlformats.org/officeDocument/2006/relationships/hyperlink" Target="https://zive.cz/" TargetMode="External"/><Relationship Id="rId226" Type="http://schemas.openxmlformats.org/officeDocument/2006/relationships/hyperlink" Target="https://reklama.cncenter.cz/Online/Outstream" TargetMode="External"/><Relationship Id="rId433" Type="http://schemas.openxmlformats.org/officeDocument/2006/relationships/hyperlink" Target="https://avmania.zive.cz/" TargetMode="External"/><Relationship Id="rId878" Type="http://schemas.openxmlformats.org/officeDocument/2006/relationships/hyperlink" Target="https://doupe.zive.cz/" TargetMode="External"/><Relationship Id="rId1063" Type="http://schemas.openxmlformats.org/officeDocument/2006/relationships/hyperlink" Target="https://reklama.cncenter.cz/Online/mobilni-interscroller" TargetMode="External"/><Relationship Id="rId1270" Type="http://schemas.openxmlformats.org/officeDocument/2006/relationships/hyperlink" Target="https://reklama.cncenter.cz/Online/Outstream" TargetMode="External"/><Relationship Id="rId2114" Type="http://schemas.openxmlformats.org/officeDocument/2006/relationships/hyperlink" Target="https://reklama.cncenter.cz/Online/Videospot" TargetMode="External"/><Relationship Id="rId640" Type="http://schemas.openxmlformats.org/officeDocument/2006/relationships/hyperlink" Target="https://reklama.cncenter.cz/Online/mobilni-interscroller" TargetMode="External"/><Relationship Id="rId738" Type="http://schemas.openxmlformats.org/officeDocument/2006/relationships/hyperlink" Target="https://reklama.cncenter.cz/Online/Outstream" TargetMode="External"/><Relationship Id="rId945" Type="http://schemas.openxmlformats.org/officeDocument/2006/relationships/hyperlink" Target="https://dama.cz/" TargetMode="External"/><Relationship Id="rId1368" Type="http://schemas.openxmlformats.org/officeDocument/2006/relationships/hyperlink" Target="https://hledejceny.cz/" TargetMode="External"/><Relationship Id="rId1575" Type="http://schemas.openxmlformats.org/officeDocument/2006/relationships/hyperlink" Target="https://maminka.cz/" TargetMode="External"/><Relationship Id="rId1782" Type="http://schemas.openxmlformats.org/officeDocument/2006/relationships/hyperlink" Target="https://mojezdravi.cz/" TargetMode="External"/><Relationship Id="rId2321" Type="http://schemas.openxmlformats.org/officeDocument/2006/relationships/hyperlink" Target="https://zeny.cz/" TargetMode="External"/><Relationship Id="rId2419" Type="http://schemas.openxmlformats.org/officeDocument/2006/relationships/hyperlink" Target="https://zive.cz/" TargetMode="External"/><Relationship Id="rId74" Type="http://schemas.openxmlformats.org/officeDocument/2006/relationships/hyperlink" Target="https://reklama.cncenter.cz/Online/billboard-bottom" TargetMode="External"/><Relationship Id="rId500" Type="http://schemas.openxmlformats.org/officeDocument/2006/relationships/hyperlink" Target="https://reklama.cncenter.cz/Online/billboard-bottom" TargetMode="External"/><Relationship Id="rId805" Type="http://schemas.openxmlformats.org/officeDocument/2006/relationships/hyperlink" Target="https://reklama.cncenter.cz/Online/mobilni-vineta" TargetMode="External"/><Relationship Id="rId1130" Type="http://schemas.openxmlformats.org/officeDocument/2006/relationships/hyperlink" Target="https://f1sport.auto.cz/" TargetMode="External"/><Relationship Id="rId1228" Type="http://schemas.openxmlformats.org/officeDocument/2006/relationships/hyperlink" Target="https://reklama.cncenter.cz/?ads=PR%2520%25C4%258Dl%25C3%25A1nky" TargetMode="External"/><Relationship Id="rId1435" Type="http://schemas.openxmlformats.org/officeDocument/2006/relationships/hyperlink" Target="http://www.instagram.com/" TargetMode="External"/><Relationship Id="rId1642" Type="http://schemas.openxmlformats.org/officeDocument/2006/relationships/hyperlink" Target="https://maminka.cz/" TargetMode="External"/><Relationship Id="rId1947" Type="http://schemas.openxmlformats.org/officeDocument/2006/relationships/hyperlink" Target="https://nemovitosti.blesk.cz/" TargetMode="External"/><Relationship Id="rId1502" Type="http://schemas.openxmlformats.org/officeDocument/2006/relationships/hyperlink" Target="https://lideazeme.cz/" TargetMode="External"/><Relationship Id="rId1807" Type="http://schemas.openxmlformats.org/officeDocument/2006/relationships/hyperlink" Target="https://mojezdravi.cz/" TargetMode="External"/><Relationship Id="rId290" Type="http://schemas.openxmlformats.org/officeDocument/2006/relationships/hyperlink" Target="https://reklama.cncenter.cz/Online/double-skyscraper" TargetMode="External"/><Relationship Id="rId388" Type="http://schemas.openxmlformats.org/officeDocument/2006/relationships/hyperlink" Target="https://reklama.cncenter.cz/Online/nativni-PR-premium" TargetMode="External"/><Relationship Id="rId2069" Type="http://schemas.openxmlformats.org/officeDocument/2006/relationships/hyperlink" Target="https://recepty.cz/" TargetMode="External"/><Relationship Id="rId150" Type="http://schemas.openxmlformats.org/officeDocument/2006/relationships/hyperlink" Target="https://reklama.cncenter.cz/Online/Bumper" TargetMode="External"/><Relationship Id="rId595" Type="http://schemas.openxmlformats.org/officeDocument/2006/relationships/hyperlink" Target="https://bleskprozeny.cz/" TargetMode="External"/><Relationship Id="rId2276" Type="http://schemas.openxmlformats.org/officeDocument/2006/relationships/hyperlink" Target="https://vtm.zive.cz/" TargetMode="External"/><Relationship Id="rId248" Type="http://schemas.openxmlformats.org/officeDocument/2006/relationships/hyperlink" Target="https://auto.cz/" TargetMode="External"/><Relationship Id="rId455" Type="http://schemas.openxmlformats.org/officeDocument/2006/relationships/hyperlink" Target="https://reklama.cncenter.cz/Online/mobilni-slide-up" TargetMode="External"/><Relationship Id="rId662" Type="http://schemas.openxmlformats.org/officeDocument/2006/relationships/hyperlink" Target="https://reklama.cncenter.cz/Online/double-skyscraper" TargetMode="External"/><Relationship Id="rId1085" Type="http://schemas.openxmlformats.org/officeDocument/2006/relationships/hyperlink" Target="https://f1sport.auto.cz/" TargetMode="External"/><Relationship Id="rId1292" Type="http://schemas.openxmlformats.org/officeDocument/2006/relationships/hyperlink" Target="https://heyfomo.cz/" TargetMode="External"/><Relationship Id="rId2136" Type="http://schemas.openxmlformats.org/officeDocument/2006/relationships/hyperlink" Target="https://recepty.cz/" TargetMode="External"/><Relationship Id="rId2343" Type="http://schemas.openxmlformats.org/officeDocument/2006/relationships/hyperlink" Target="https://reklama.cncenter.cz/Online/mobilni-interscroller" TargetMode="External"/><Relationship Id="rId108" Type="http://schemas.openxmlformats.org/officeDocument/2006/relationships/hyperlink" Target="https://abicko.cz/" TargetMode="External"/><Relationship Id="rId315" Type="http://schemas.openxmlformats.org/officeDocument/2006/relationships/hyperlink" Target="https://auto.cz/" TargetMode="External"/><Relationship Id="rId522" Type="http://schemas.openxmlformats.org/officeDocument/2006/relationships/hyperlink" Target="https://blesk.cz/" TargetMode="External"/><Relationship Id="rId967" Type="http://schemas.openxmlformats.org/officeDocument/2006/relationships/hyperlink" Target="https://dama.cz/" TargetMode="External"/><Relationship Id="rId1152" Type="http://schemas.openxmlformats.org/officeDocument/2006/relationships/hyperlink" Target="http://www.facebook.com/" TargetMode="External"/><Relationship Id="rId1597" Type="http://schemas.openxmlformats.org/officeDocument/2006/relationships/hyperlink" Target="https://reklama.cncenter.cz/Online/nativni-rectangle-cross-device" TargetMode="External"/><Relationship Id="rId2203" Type="http://schemas.openxmlformats.org/officeDocument/2006/relationships/hyperlink" Target="https://reflex.cz/" TargetMode="External"/><Relationship Id="rId2410" Type="http://schemas.openxmlformats.org/officeDocument/2006/relationships/hyperlink" Target="https://zive.cz/" TargetMode="External"/><Relationship Id="rId96" Type="http://schemas.openxmlformats.org/officeDocument/2006/relationships/hyperlink" Target="https://abicko.cz/" TargetMode="External"/><Relationship Id="rId827" Type="http://schemas.openxmlformats.org/officeDocument/2006/relationships/hyperlink" Target="https://digiarena.zive.cz/" TargetMode="External"/><Relationship Id="rId1012" Type="http://schemas.openxmlformats.org/officeDocument/2006/relationships/hyperlink" Target="https://reklama.cncenter.cz/Online/Bumper" TargetMode="External"/><Relationship Id="rId1457" Type="http://schemas.openxmlformats.org/officeDocument/2006/relationships/hyperlink" Target="http://www.instagram.com/" TargetMode="External"/><Relationship Id="rId1664" Type="http://schemas.openxmlformats.org/officeDocument/2006/relationships/hyperlink" Target="https://reklama.cncenter.cz/Online/Bumper" TargetMode="External"/><Relationship Id="rId1871" Type="http://schemas.openxmlformats.org/officeDocument/2006/relationships/hyperlink" Target="https://motogpsport.cz/" TargetMode="External"/><Relationship Id="rId1317" Type="http://schemas.openxmlformats.org/officeDocument/2006/relationships/hyperlink" Target="https://frekvence1.cz/" TargetMode="External"/><Relationship Id="rId1524" Type="http://schemas.openxmlformats.org/officeDocument/2006/relationships/hyperlink" Target="https://lideazeme.cz/" TargetMode="External"/><Relationship Id="rId1731" Type="http://schemas.openxmlformats.org/officeDocument/2006/relationships/hyperlink" Target="https://mobilmania.cz/" TargetMode="External"/><Relationship Id="rId1969" Type="http://schemas.openxmlformats.org/officeDocument/2006/relationships/hyperlink" Target="https://nemovitosti.blesk.cz/" TargetMode="External"/><Relationship Id="rId23" Type="http://schemas.openxmlformats.org/officeDocument/2006/relationships/hyperlink" Target="https://reklama.cncenter.cz/Online/double-skyscraper" TargetMode="External"/><Relationship Id="rId1829" Type="http://schemas.openxmlformats.org/officeDocument/2006/relationships/hyperlink" Target="https://motogpsport.cz/" TargetMode="External"/><Relationship Id="rId2298" Type="http://schemas.openxmlformats.org/officeDocument/2006/relationships/hyperlink" Target="https://reklama.cncenter.cz/Online/mobilni-vineta" TargetMode="External"/><Relationship Id="rId172" Type="http://schemas.openxmlformats.org/officeDocument/2006/relationships/hyperlink" Target="https://ahaonline.cz/" TargetMode="External"/><Relationship Id="rId477" Type="http://schemas.openxmlformats.org/officeDocument/2006/relationships/hyperlink" Target="https://blesk.cz/" TargetMode="External"/><Relationship Id="rId684" Type="http://schemas.openxmlformats.org/officeDocument/2006/relationships/hyperlink" Target="https://reklama.cncenter.cz/Online/branding-cross-device" TargetMode="External"/><Relationship Id="rId2060" Type="http://schemas.openxmlformats.org/officeDocument/2006/relationships/hyperlink" Target="https://recepty.cz/" TargetMode="External"/><Relationship Id="rId2158" Type="http://schemas.openxmlformats.org/officeDocument/2006/relationships/hyperlink" Target="https://reflex.cz/" TargetMode="External"/><Relationship Id="rId2365" Type="http://schemas.openxmlformats.org/officeDocument/2006/relationships/hyperlink" Target="https://zeny.cz/" TargetMode="External"/><Relationship Id="rId337" Type="http://schemas.openxmlformats.org/officeDocument/2006/relationships/hyperlink" Target="https://autorevue.cz/" TargetMode="External"/><Relationship Id="rId891" Type="http://schemas.openxmlformats.org/officeDocument/2006/relationships/hyperlink" Target="https://reklama.cncenter.cz/Online/mobilni-slide-up" TargetMode="External"/><Relationship Id="rId989" Type="http://schemas.openxmlformats.org/officeDocument/2006/relationships/hyperlink" Target="https://reklama.cncenter.cz/?ads=PR%2520%25C4%258Dl%25C3%25A1nky" TargetMode="External"/><Relationship Id="rId2018" Type="http://schemas.openxmlformats.org/officeDocument/2006/relationships/hyperlink" Target="https://www.realitnitrh.cz/" TargetMode="External"/><Relationship Id="rId544" Type="http://schemas.openxmlformats.org/officeDocument/2006/relationships/hyperlink" Target="https://reklama.cncenter.cz/Online/mobilni-slide-up" TargetMode="External"/><Relationship Id="rId751" Type="http://schemas.openxmlformats.org/officeDocument/2006/relationships/hyperlink" Target="https://reklama.cncenter.cz/Online/branding-cross-device" TargetMode="External"/><Relationship Id="rId849" Type="http://schemas.openxmlformats.org/officeDocument/2006/relationships/hyperlink" Target="https://doupe.zive.cz/" TargetMode="External"/><Relationship Id="rId1174" Type="http://schemas.openxmlformats.org/officeDocument/2006/relationships/hyperlink" Target="https://www.facebook.com/business/ads-guide/image/facebook-feed" TargetMode="External"/><Relationship Id="rId1381" Type="http://schemas.openxmlformats.org/officeDocument/2006/relationships/hyperlink" Target="http://www.instagram.com/" TargetMode="External"/><Relationship Id="rId1479" Type="http://schemas.openxmlformats.org/officeDocument/2006/relationships/hyperlink" Target="https://reklama.cncenter.cz/Online/double-skyscraper" TargetMode="External"/><Relationship Id="rId1686" Type="http://schemas.openxmlformats.org/officeDocument/2006/relationships/hyperlink" Target="https://mobilmania.cz/" TargetMode="External"/><Relationship Id="rId2225" Type="http://schemas.openxmlformats.org/officeDocument/2006/relationships/hyperlink" Target="https://reflex.cz/" TargetMode="External"/><Relationship Id="rId2432" Type="http://schemas.openxmlformats.org/officeDocument/2006/relationships/hyperlink" Target="https://zive.cz/" TargetMode="External"/><Relationship Id="rId404" Type="http://schemas.openxmlformats.org/officeDocument/2006/relationships/hyperlink" Target="https://autorevue.cz/" TargetMode="External"/><Relationship Id="rId611" Type="http://schemas.openxmlformats.org/officeDocument/2006/relationships/hyperlink" Target="https://bleskprozeny.cz/" TargetMode="External"/><Relationship Id="rId1034" Type="http://schemas.openxmlformats.org/officeDocument/2006/relationships/hyperlink" Target="https://evropa2.cz/" TargetMode="External"/><Relationship Id="rId1241" Type="http://schemas.openxmlformats.org/officeDocument/2006/relationships/hyperlink" Target="https://fitweb.cz/" TargetMode="External"/><Relationship Id="rId1339" Type="http://schemas.openxmlformats.org/officeDocument/2006/relationships/hyperlink" Target="https://reklama.cncenter.cz/Online/mobilni-interscroller" TargetMode="External"/><Relationship Id="rId1893" Type="http://schemas.openxmlformats.org/officeDocument/2006/relationships/hyperlink" Target="https://motogpsport.cz/" TargetMode="External"/><Relationship Id="rId709" Type="http://schemas.openxmlformats.org/officeDocument/2006/relationships/hyperlink" Target="https://reklama.cncenter.cz/Online/Videospot" TargetMode="External"/><Relationship Id="rId916" Type="http://schemas.openxmlformats.org/officeDocument/2006/relationships/hyperlink" Target="https://reklama.cncenter.cz/Online/billboard-bottom" TargetMode="External"/><Relationship Id="rId1101" Type="http://schemas.openxmlformats.org/officeDocument/2006/relationships/hyperlink" Target="https://reklama.cncenter.cz/Online/mobilni-interscroller" TargetMode="External"/><Relationship Id="rId1546" Type="http://schemas.openxmlformats.org/officeDocument/2006/relationships/hyperlink" Target="https://lideazeme.cz/" TargetMode="External"/><Relationship Id="rId1753" Type="http://schemas.openxmlformats.org/officeDocument/2006/relationships/hyperlink" Target="https://reklama.cncenter.cz/Online/branding-cross-device" TargetMode="External"/><Relationship Id="rId1960" Type="http://schemas.openxmlformats.org/officeDocument/2006/relationships/hyperlink" Target="http://nemovitosti.blesk.cz/" TargetMode="External"/><Relationship Id="rId45" Type="http://schemas.openxmlformats.org/officeDocument/2006/relationships/hyperlink" Target="https://abecedazahrady.dama.cz/" TargetMode="External"/><Relationship Id="rId1406" Type="http://schemas.openxmlformats.org/officeDocument/2006/relationships/hyperlink" Target="http://www.instagram.com/" TargetMode="External"/><Relationship Id="rId1613" Type="http://schemas.openxmlformats.org/officeDocument/2006/relationships/hyperlink" Target="https://maminka.cz/" TargetMode="External"/><Relationship Id="rId1820" Type="http://schemas.openxmlformats.org/officeDocument/2006/relationships/hyperlink" Target="https://mojezdravi.cz/" TargetMode="External"/><Relationship Id="rId194" Type="http://schemas.openxmlformats.org/officeDocument/2006/relationships/hyperlink" Target="https://ahaonline.cz/" TargetMode="External"/><Relationship Id="rId1918" Type="http://schemas.openxmlformats.org/officeDocument/2006/relationships/hyperlink" Target="https://reklama.cncenter.cz/Online/branding-cross-device" TargetMode="External"/><Relationship Id="rId2082" Type="http://schemas.openxmlformats.org/officeDocument/2006/relationships/hyperlink" Target="https://reklama.cncenter.cz/Online/double-skyscraper" TargetMode="External"/><Relationship Id="rId261" Type="http://schemas.openxmlformats.org/officeDocument/2006/relationships/hyperlink" Target="https://reklama.cncenter.cz/Online/double-skyscraper" TargetMode="External"/><Relationship Id="rId499" Type="http://schemas.openxmlformats.org/officeDocument/2006/relationships/hyperlink" Target="https://reklama.cncenter.cz/Online/branding" TargetMode="External"/><Relationship Id="rId2387" Type="http://schemas.openxmlformats.org/officeDocument/2006/relationships/hyperlink" Target="https://zeny.cz/" TargetMode="External"/><Relationship Id="rId359" Type="http://schemas.openxmlformats.org/officeDocument/2006/relationships/hyperlink" Target="https://autorevue.cz/" TargetMode="External"/><Relationship Id="rId566" Type="http://schemas.openxmlformats.org/officeDocument/2006/relationships/hyperlink" Target="https://bleskprozeny.cz/" TargetMode="External"/><Relationship Id="rId773" Type="http://schemas.openxmlformats.org/officeDocument/2006/relationships/hyperlink" Target="https://reklama.cncenter.cz/Online/Bumper" TargetMode="External"/><Relationship Id="rId1196" Type="http://schemas.openxmlformats.org/officeDocument/2006/relationships/hyperlink" Target="http://www.facebook.com/" TargetMode="External"/><Relationship Id="rId2247" Type="http://schemas.openxmlformats.org/officeDocument/2006/relationships/hyperlink" Target="https://sportrevue.cz/" TargetMode="External"/><Relationship Id="rId2454" Type="http://schemas.openxmlformats.org/officeDocument/2006/relationships/hyperlink" Target="https://zive.cz/" TargetMode="External"/><Relationship Id="rId121" Type="http://schemas.openxmlformats.org/officeDocument/2006/relationships/hyperlink" Target="https://reklama.cncenter.cz/Online/mobilni-interscroller" TargetMode="External"/><Relationship Id="rId219" Type="http://schemas.openxmlformats.org/officeDocument/2006/relationships/hyperlink" Target="https://ahaonline.cz/" TargetMode="External"/><Relationship Id="rId426" Type="http://schemas.openxmlformats.org/officeDocument/2006/relationships/hyperlink" Target="https://reklama.cncenter.cz/Online/branding" TargetMode="External"/><Relationship Id="rId633" Type="http://schemas.openxmlformats.org/officeDocument/2006/relationships/hyperlink" Target="https://reklama.cncenter.cz/Online/branding-cross-device" TargetMode="External"/><Relationship Id="rId980" Type="http://schemas.openxmlformats.org/officeDocument/2006/relationships/hyperlink" Target="https://reklama.cncenter.cz/Online/nativni-PR-premium" TargetMode="External"/><Relationship Id="rId1056" Type="http://schemas.openxmlformats.org/officeDocument/2006/relationships/hyperlink" Target="https://evropa2.cz/" TargetMode="External"/><Relationship Id="rId1263" Type="http://schemas.openxmlformats.org/officeDocument/2006/relationships/hyperlink" Target="https://fitweb.cz/" TargetMode="External"/><Relationship Id="rId2107" Type="http://schemas.openxmlformats.org/officeDocument/2006/relationships/hyperlink" Target="https://recepty.cz/" TargetMode="External"/><Relationship Id="rId2314" Type="http://schemas.openxmlformats.org/officeDocument/2006/relationships/hyperlink" Target="https://reklama.cncenter.cz/Online/double-skyscraper" TargetMode="External"/><Relationship Id="rId840" Type="http://schemas.openxmlformats.org/officeDocument/2006/relationships/hyperlink" Target="https://digiarena.zive.cz/" TargetMode="External"/><Relationship Id="rId938" Type="http://schemas.openxmlformats.org/officeDocument/2006/relationships/hyperlink" Target="https://dama.cz/" TargetMode="External"/><Relationship Id="rId1470" Type="http://schemas.openxmlformats.org/officeDocument/2006/relationships/hyperlink" Target="https://reklama.cncenter.cz/Online/branding" TargetMode="External"/><Relationship Id="rId1568" Type="http://schemas.openxmlformats.org/officeDocument/2006/relationships/hyperlink" Target="https://maminka.cz/" TargetMode="External"/><Relationship Id="rId1775" Type="http://schemas.openxmlformats.org/officeDocument/2006/relationships/hyperlink" Target="https://mojezdravi.cz/" TargetMode="External"/><Relationship Id="rId67" Type="http://schemas.openxmlformats.org/officeDocument/2006/relationships/hyperlink" Target="https://abecedazahrady.dama.cz/" TargetMode="External"/><Relationship Id="rId700" Type="http://schemas.openxmlformats.org/officeDocument/2006/relationships/hyperlink" Target="https://reklama.cncenter.cz/Online/Smarticle" TargetMode="External"/><Relationship Id="rId1123" Type="http://schemas.openxmlformats.org/officeDocument/2006/relationships/hyperlink" Target="https://f1sport.auto.cz/" TargetMode="External"/><Relationship Id="rId1330" Type="http://schemas.openxmlformats.org/officeDocument/2006/relationships/hyperlink" Target="https://reklama.cncenter.cz/Online/nativni-rectangle-cross-device" TargetMode="External"/><Relationship Id="rId1428" Type="http://schemas.openxmlformats.org/officeDocument/2006/relationships/hyperlink" Target="http://www.instagram.com/" TargetMode="External"/><Relationship Id="rId1635" Type="http://schemas.openxmlformats.org/officeDocument/2006/relationships/hyperlink" Target="https://maminka.cz/" TargetMode="External"/><Relationship Id="rId1982" Type="http://schemas.openxmlformats.org/officeDocument/2006/relationships/hyperlink" Target="http://nemovitosti.blesk.cz/" TargetMode="External"/><Relationship Id="rId1842" Type="http://schemas.openxmlformats.org/officeDocument/2006/relationships/hyperlink" Target="https://motogpsport.cz/" TargetMode="External"/><Relationship Id="rId1702" Type="http://schemas.openxmlformats.org/officeDocument/2006/relationships/hyperlink" Target="https://reklama.cncenter.cz/Online/nativni-rectangle-cross-device" TargetMode="External"/><Relationship Id="rId283" Type="http://schemas.openxmlformats.org/officeDocument/2006/relationships/hyperlink" Target="https://auto.cz/" TargetMode="External"/><Relationship Id="rId490" Type="http://schemas.openxmlformats.org/officeDocument/2006/relationships/hyperlink" Target="https://reklama.cncenter.cz/?ads=PR%2520%25C4%258Dl%25C3%25A1nky" TargetMode="External"/><Relationship Id="rId2171" Type="http://schemas.openxmlformats.org/officeDocument/2006/relationships/hyperlink" Target="https://reflex.cz/" TargetMode="Externa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hyperlink" Target="https://reklama.cncenter.cz/Online/nativni-rectangle-cross-device" TargetMode="External"/><Relationship Id="rId1827" Type="http://schemas.openxmlformats.org/officeDocument/2006/relationships/hyperlink" Target="https://motogpsport.cz/" TargetMode="External"/><Relationship Id="rId21" Type="http://schemas.openxmlformats.org/officeDocument/2006/relationships/hyperlink" Target="https://abecedazahrady.dama.cz/" TargetMode="External"/><Relationship Id="rId2089" Type="http://schemas.openxmlformats.org/officeDocument/2006/relationships/hyperlink" Target="https://recepty.cz/" TargetMode="External"/><Relationship Id="rId170" Type="http://schemas.openxmlformats.org/officeDocument/2006/relationships/hyperlink" Target="https://ahaonline.cz/" TargetMode="External"/><Relationship Id="rId2296" Type="http://schemas.openxmlformats.org/officeDocument/2006/relationships/hyperlink" Target="https://vtm.zive.cz/" TargetMode="External"/><Relationship Id="rId268" Type="http://schemas.openxmlformats.org/officeDocument/2006/relationships/hyperlink" Target="https://auto.cz/" TargetMode="External"/><Relationship Id="rId475" Type="http://schemas.openxmlformats.org/officeDocument/2006/relationships/hyperlink" Target="https://avmania.zive.cz/" TargetMode="External"/><Relationship Id="rId682" Type="http://schemas.openxmlformats.org/officeDocument/2006/relationships/hyperlink" Target="https://reklama.cncenter.cz/Online/branding" TargetMode="External"/><Relationship Id="rId2156" Type="http://schemas.openxmlformats.org/officeDocument/2006/relationships/hyperlink" Target="https://reflex.cz/" TargetMode="External"/><Relationship Id="rId2363" Type="http://schemas.openxmlformats.org/officeDocument/2006/relationships/hyperlink" Target="https://zeny.cz/" TargetMode="External"/><Relationship Id="rId128" Type="http://schemas.openxmlformats.org/officeDocument/2006/relationships/hyperlink" Target="https://abicko.cz/" TargetMode="External"/><Relationship Id="rId335" Type="http://schemas.openxmlformats.org/officeDocument/2006/relationships/hyperlink" Target="https://autorevue.cz/" TargetMode="External"/><Relationship Id="rId542" Type="http://schemas.openxmlformats.org/officeDocument/2006/relationships/hyperlink" Target="https://blesk.cz/" TargetMode="External"/><Relationship Id="rId987" Type="http://schemas.openxmlformats.org/officeDocument/2006/relationships/hyperlink" Target="https://dama.cz/" TargetMode="External"/><Relationship Id="rId1172" Type="http://schemas.openxmlformats.org/officeDocument/2006/relationships/hyperlink" Target="http://www.facebook.com/" TargetMode="External"/><Relationship Id="rId2016" Type="http://schemas.openxmlformats.org/officeDocument/2006/relationships/hyperlink" Target="https://reklama.cncenter.cz/Online/branding" TargetMode="External"/><Relationship Id="rId2223" Type="http://schemas.openxmlformats.org/officeDocument/2006/relationships/hyperlink" Target="https://reflex.cz/" TargetMode="External"/><Relationship Id="rId2430" Type="http://schemas.openxmlformats.org/officeDocument/2006/relationships/hyperlink" Target="https://reklama.cncenter.cz/Online/mobilni-slide-up" TargetMode="External"/><Relationship Id="rId402" Type="http://schemas.openxmlformats.org/officeDocument/2006/relationships/hyperlink" Target="https://autorevue.cz/" TargetMode="External"/><Relationship Id="rId847" Type="http://schemas.openxmlformats.org/officeDocument/2006/relationships/hyperlink" Target="https://reklama.cncenter.cz/Online/billboard-bottom" TargetMode="External"/><Relationship Id="rId1032" Type="http://schemas.openxmlformats.org/officeDocument/2006/relationships/hyperlink" Target="https://evropa2.cz/" TargetMode="External"/><Relationship Id="rId1477" Type="http://schemas.openxmlformats.org/officeDocument/2006/relationships/hyperlink" Target="https://reklama.cncenter.cz/Online/Outstream" TargetMode="External"/><Relationship Id="rId1684" Type="http://schemas.openxmlformats.org/officeDocument/2006/relationships/hyperlink" Target="https://reklama.cncenter.cz/Online/branding" TargetMode="External"/><Relationship Id="rId1891" Type="http://schemas.openxmlformats.org/officeDocument/2006/relationships/hyperlink" Target="https://motogpsport.cz/" TargetMode="External"/><Relationship Id="rId707" Type="http://schemas.openxmlformats.org/officeDocument/2006/relationships/hyperlink" Target="https://reklama.cncenter.cz/Online/branding" TargetMode="External"/><Relationship Id="rId914" Type="http://schemas.openxmlformats.org/officeDocument/2006/relationships/hyperlink" Target="https://dama.cz/" TargetMode="External"/><Relationship Id="rId1337" Type="http://schemas.openxmlformats.org/officeDocument/2006/relationships/hyperlink" Target="https://frekvence1.cz/" TargetMode="External"/><Relationship Id="rId1544" Type="http://schemas.openxmlformats.org/officeDocument/2006/relationships/hyperlink" Target="https://reklama.cncenter.cz/Online/nativni-rectangle-cross-device" TargetMode="External"/><Relationship Id="rId1751" Type="http://schemas.openxmlformats.org/officeDocument/2006/relationships/hyperlink" Target="https://mojezdravi.cz/" TargetMode="External"/><Relationship Id="rId1989" Type="http://schemas.openxmlformats.org/officeDocument/2006/relationships/hyperlink" Target="https://www.poggers.cz/" TargetMode="External"/><Relationship Id="rId43" Type="http://schemas.openxmlformats.org/officeDocument/2006/relationships/hyperlink" Target="https://reklama.cncenter.cz/Online/double-skyscraper" TargetMode="External"/><Relationship Id="rId1404" Type="http://schemas.openxmlformats.org/officeDocument/2006/relationships/hyperlink" Target="http://www.instagram.com/" TargetMode="External"/><Relationship Id="rId1611" Type="http://schemas.openxmlformats.org/officeDocument/2006/relationships/hyperlink" Target="https://reklama.cncenter.cz/Online/Videospot" TargetMode="External"/><Relationship Id="rId1849" Type="http://schemas.openxmlformats.org/officeDocument/2006/relationships/hyperlink" Target="https://reklama.cncenter.cz/Online/double-skyscraper" TargetMode="External"/><Relationship Id="rId192" Type="http://schemas.openxmlformats.org/officeDocument/2006/relationships/hyperlink" Target="https://reklama.cncenter.cz/Online/nativni-PR-premium" TargetMode="External"/><Relationship Id="rId1709" Type="http://schemas.openxmlformats.org/officeDocument/2006/relationships/hyperlink" Target="https://mobilmania.cz/" TargetMode="External"/><Relationship Id="rId1916" Type="http://schemas.openxmlformats.org/officeDocument/2006/relationships/hyperlink" Target="https://nemovitosti.blesk.cz/" TargetMode="External"/><Relationship Id="rId497" Type="http://schemas.openxmlformats.org/officeDocument/2006/relationships/hyperlink" Target="https://reklama.cncenter.cz/Online/billboard-bottom" TargetMode="External"/><Relationship Id="rId2080" Type="http://schemas.openxmlformats.org/officeDocument/2006/relationships/hyperlink" Target="https://recepty.cz/" TargetMode="External"/><Relationship Id="rId2178" Type="http://schemas.openxmlformats.org/officeDocument/2006/relationships/hyperlink" Target="https://reklama.cncenter.cz/Online/mobilni-slide-up" TargetMode="External"/><Relationship Id="rId2385" Type="http://schemas.openxmlformats.org/officeDocument/2006/relationships/hyperlink" Target="https://zeny.cz/" TargetMode="External"/><Relationship Id="rId357" Type="http://schemas.openxmlformats.org/officeDocument/2006/relationships/hyperlink" Target="https://reklama.cncenter.cz/Online/mobilni-vineta" TargetMode="External"/><Relationship Id="rId1194" Type="http://schemas.openxmlformats.org/officeDocument/2006/relationships/hyperlink" Target="http://www.facebook.com/" TargetMode="External"/><Relationship Id="rId2038" Type="http://schemas.openxmlformats.org/officeDocument/2006/relationships/hyperlink" Target="https://www.realitnitrh.cz/" TargetMode="External"/><Relationship Id="rId217" Type="http://schemas.openxmlformats.org/officeDocument/2006/relationships/hyperlink" Target="https://ahaonline.cz/" TargetMode="External"/><Relationship Id="rId564" Type="http://schemas.openxmlformats.org/officeDocument/2006/relationships/hyperlink" Target="https://reklama.cncenter.cz/Online/branding" TargetMode="External"/><Relationship Id="rId771" Type="http://schemas.openxmlformats.org/officeDocument/2006/relationships/hyperlink" Target="https://reklama.cncenter.cz/Online/Outstream" TargetMode="External"/><Relationship Id="rId869" Type="http://schemas.openxmlformats.org/officeDocument/2006/relationships/hyperlink" Target="https://doupe.zive.cz/" TargetMode="External"/><Relationship Id="rId1499" Type="http://schemas.openxmlformats.org/officeDocument/2006/relationships/hyperlink" Target="https://lideazeme.cz/" TargetMode="External"/><Relationship Id="rId2245" Type="http://schemas.openxmlformats.org/officeDocument/2006/relationships/hyperlink" Target="https://sportrevue.cz/" TargetMode="External"/><Relationship Id="rId2452" Type="http://schemas.openxmlformats.org/officeDocument/2006/relationships/hyperlink" Target="https://zive.cz/" TargetMode="External"/><Relationship Id="rId424" Type="http://schemas.openxmlformats.org/officeDocument/2006/relationships/hyperlink" Target="https://avmania.zive.cz/" TargetMode="External"/><Relationship Id="rId631" Type="http://schemas.openxmlformats.org/officeDocument/2006/relationships/hyperlink" Target="https://reklama.cncenter.cz/Online/Bumper" TargetMode="External"/><Relationship Id="rId729" Type="http://schemas.openxmlformats.org/officeDocument/2006/relationships/hyperlink" Target="https://reklama.cncenter.cz/Online/billboard-bottom" TargetMode="External"/><Relationship Id="rId1054" Type="http://schemas.openxmlformats.org/officeDocument/2006/relationships/hyperlink" Target="https://reklama.cncenter.cz/Online/Bumper" TargetMode="External"/><Relationship Id="rId1261" Type="http://schemas.openxmlformats.org/officeDocument/2006/relationships/hyperlink" Target="https://reklama.cncenter.cz/Online/mobilni-slide-up" TargetMode="External"/><Relationship Id="rId1359" Type="http://schemas.openxmlformats.org/officeDocument/2006/relationships/hyperlink" Target="https://hledejceny.cz/" TargetMode="External"/><Relationship Id="rId2105" Type="http://schemas.openxmlformats.org/officeDocument/2006/relationships/hyperlink" Target="https://recepty.cz/" TargetMode="External"/><Relationship Id="rId2312" Type="http://schemas.openxmlformats.org/officeDocument/2006/relationships/hyperlink" Target="https://youradio.cz/" TargetMode="External"/><Relationship Id="rId936" Type="http://schemas.openxmlformats.org/officeDocument/2006/relationships/hyperlink" Target="https://dama.cz/" TargetMode="External"/><Relationship Id="rId1121" Type="http://schemas.openxmlformats.org/officeDocument/2006/relationships/hyperlink" Target="https://reklama.cncenter.cz/Online/mobilni-interscroller" TargetMode="External"/><Relationship Id="rId1219" Type="http://schemas.openxmlformats.org/officeDocument/2006/relationships/hyperlink" Target="https://www.facebook.com/business/ads-guide/image/facebook-feed" TargetMode="External"/><Relationship Id="rId1566" Type="http://schemas.openxmlformats.org/officeDocument/2006/relationships/hyperlink" Target="https://maminka.cz/" TargetMode="External"/><Relationship Id="rId1773" Type="http://schemas.openxmlformats.org/officeDocument/2006/relationships/hyperlink" Target="https://mojezdravi.cz/" TargetMode="External"/><Relationship Id="rId1980" Type="http://schemas.openxmlformats.org/officeDocument/2006/relationships/hyperlink" Target="https://nemovitosti.blesk.cz/" TargetMode="External"/><Relationship Id="rId65" Type="http://schemas.openxmlformats.org/officeDocument/2006/relationships/hyperlink" Target="https://abecedazahrady.dama.cz/" TargetMode="External"/><Relationship Id="rId1426" Type="http://schemas.openxmlformats.org/officeDocument/2006/relationships/hyperlink" Target="http://www.instagram.com/" TargetMode="External"/><Relationship Id="rId1633" Type="http://schemas.openxmlformats.org/officeDocument/2006/relationships/hyperlink" Target="https://maminka.cz/" TargetMode="External"/><Relationship Id="rId1840" Type="http://schemas.openxmlformats.org/officeDocument/2006/relationships/hyperlink" Target="https://reklama.cncenter.cz/Online/billboard-bottom" TargetMode="External"/><Relationship Id="rId1700" Type="http://schemas.openxmlformats.org/officeDocument/2006/relationships/hyperlink" Target="https://mobilmania.cz/" TargetMode="External"/><Relationship Id="rId1938" Type="http://schemas.openxmlformats.org/officeDocument/2006/relationships/hyperlink" Target="https://reklama.cncenter.cz/Online/nativni-rectangle-cross-device" TargetMode="External"/><Relationship Id="rId281" Type="http://schemas.openxmlformats.org/officeDocument/2006/relationships/hyperlink" Target="https://auto.cz/" TargetMode="External"/><Relationship Id="rId141" Type="http://schemas.openxmlformats.org/officeDocument/2006/relationships/hyperlink" Target="https://reklama.cncenter.cz/?ads=PR%2520%25C4%258Dl%25C3%25A1nky" TargetMode="External"/><Relationship Id="rId379" Type="http://schemas.openxmlformats.org/officeDocument/2006/relationships/hyperlink" Target="https://autorevue.cz/" TargetMode="External"/><Relationship Id="rId586" Type="http://schemas.openxmlformats.org/officeDocument/2006/relationships/hyperlink" Target="https://bleskprozeny.cz/" TargetMode="External"/><Relationship Id="rId793" Type="http://schemas.openxmlformats.org/officeDocument/2006/relationships/hyperlink" Target="https://reklama.cncenter.cz/Online/branding" TargetMode="External"/><Relationship Id="rId2267" Type="http://schemas.openxmlformats.org/officeDocument/2006/relationships/hyperlink" Target="https://vtm.zive.cz/" TargetMode="External"/><Relationship Id="rId2474" Type="http://schemas.openxmlformats.org/officeDocument/2006/relationships/hyperlink" Target="https://zive.cz/" TargetMode="External"/><Relationship Id="rId7" Type="http://schemas.openxmlformats.org/officeDocument/2006/relationships/hyperlink" Target="https://abecedazahrady.dama.cz/" TargetMode="External"/><Relationship Id="rId239" Type="http://schemas.openxmlformats.org/officeDocument/2006/relationships/hyperlink" Target="https://auto.cz/" TargetMode="External"/><Relationship Id="rId446" Type="http://schemas.openxmlformats.org/officeDocument/2006/relationships/hyperlink" Target="https://avmania.zive.cz/" TargetMode="External"/><Relationship Id="rId653" Type="http://schemas.openxmlformats.org/officeDocument/2006/relationships/hyperlink" Target="https://reklama.cncenter.cz/Online/Outstream" TargetMode="External"/><Relationship Id="rId1076" Type="http://schemas.openxmlformats.org/officeDocument/2006/relationships/hyperlink" Target="https://f1sport.auto.cz/" TargetMode="External"/><Relationship Id="rId1283" Type="http://schemas.openxmlformats.org/officeDocument/2006/relationships/hyperlink" Target="https://fitweb.cz/" TargetMode="External"/><Relationship Id="rId1490" Type="http://schemas.openxmlformats.org/officeDocument/2006/relationships/hyperlink" Target="https://lideazeme.cz/" TargetMode="External"/><Relationship Id="rId2127" Type="http://schemas.openxmlformats.org/officeDocument/2006/relationships/hyperlink" Target="https://recepty.cz/" TargetMode="External"/><Relationship Id="rId2334" Type="http://schemas.openxmlformats.org/officeDocument/2006/relationships/hyperlink" Target="https://reklama.cncenter.cz/Online/branding" TargetMode="External"/><Relationship Id="rId306" Type="http://schemas.openxmlformats.org/officeDocument/2006/relationships/hyperlink" Target="https://auto.cz/" TargetMode="External"/><Relationship Id="rId860" Type="http://schemas.openxmlformats.org/officeDocument/2006/relationships/hyperlink" Target="https://doupe.zive.cz/" TargetMode="External"/><Relationship Id="rId958" Type="http://schemas.openxmlformats.org/officeDocument/2006/relationships/hyperlink" Target="https://reklama.cncenter.cz/Online/Bumper" TargetMode="External"/><Relationship Id="rId1143" Type="http://schemas.openxmlformats.org/officeDocument/2006/relationships/hyperlink" Target="https://f1sport.auto.cz/" TargetMode="External"/><Relationship Id="rId1588" Type="http://schemas.openxmlformats.org/officeDocument/2006/relationships/hyperlink" Target="https://reklama.cncenter.cz/Online/mobilni-slide-up" TargetMode="External"/><Relationship Id="rId1795" Type="http://schemas.openxmlformats.org/officeDocument/2006/relationships/hyperlink" Target="https://mojezdravi.cz/" TargetMode="External"/><Relationship Id="rId87" Type="http://schemas.openxmlformats.org/officeDocument/2006/relationships/hyperlink" Target="https://abicko.cz/" TargetMode="External"/><Relationship Id="rId513" Type="http://schemas.openxmlformats.org/officeDocument/2006/relationships/hyperlink" Target="https://reklama.cncenter.cz/Online/Videospot" TargetMode="External"/><Relationship Id="rId720" Type="http://schemas.openxmlformats.org/officeDocument/2006/relationships/hyperlink" Target="https://reklama.cncenter.cz/Online/mobilni-slide-up" TargetMode="External"/><Relationship Id="rId818" Type="http://schemas.openxmlformats.org/officeDocument/2006/relationships/hyperlink" Target="https://digiarena.zive.cz/" TargetMode="External"/><Relationship Id="rId1350" Type="http://schemas.openxmlformats.org/officeDocument/2006/relationships/hyperlink" Target="https://frekvence1.cz/" TargetMode="External"/><Relationship Id="rId1448" Type="http://schemas.openxmlformats.org/officeDocument/2006/relationships/hyperlink" Target="http://www.instagram.com/" TargetMode="External"/><Relationship Id="rId1655" Type="http://schemas.openxmlformats.org/officeDocument/2006/relationships/hyperlink" Target="https://reklama.cncenter.cz/Online/Outstream" TargetMode="External"/><Relationship Id="rId2401" Type="http://schemas.openxmlformats.org/officeDocument/2006/relationships/hyperlink" Target="https://reklama.cncenter.cz/Online/Bumper" TargetMode="External"/><Relationship Id="rId1003" Type="http://schemas.openxmlformats.org/officeDocument/2006/relationships/hyperlink" Target="https://reklama.cncenter.cz/Online/branding-cross-device" TargetMode="External"/><Relationship Id="rId1210" Type="http://schemas.openxmlformats.org/officeDocument/2006/relationships/hyperlink" Target="https://www.facebook.com/business/ads-guide/image/facebook-feed" TargetMode="External"/><Relationship Id="rId1308" Type="http://schemas.openxmlformats.org/officeDocument/2006/relationships/hyperlink" Target="https://frekvence1.cz/" TargetMode="External"/><Relationship Id="rId1862" Type="http://schemas.openxmlformats.org/officeDocument/2006/relationships/hyperlink" Target="https://motogpsport.cz/" TargetMode="External"/><Relationship Id="rId1515" Type="http://schemas.openxmlformats.org/officeDocument/2006/relationships/hyperlink" Target="https://lideazeme.cz/" TargetMode="External"/><Relationship Id="rId1722" Type="http://schemas.openxmlformats.org/officeDocument/2006/relationships/hyperlink" Target="https://reklama.cncenter.cz/Online/mobilni-vineta" TargetMode="External"/><Relationship Id="rId14" Type="http://schemas.openxmlformats.org/officeDocument/2006/relationships/hyperlink" Target="https://reklama.cncenter.cz/Online/billboard-bottom" TargetMode="External"/><Relationship Id="rId2191" Type="http://schemas.openxmlformats.org/officeDocument/2006/relationships/hyperlink" Target="https://reflex.cz/" TargetMode="External"/><Relationship Id="rId163" Type="http://schemas.openxmlformats.org/officeDocument/2006/relationships/hyperlink" Target="https://ahaonline.cz/" TargetMode="External"/><Relationship Id="rId370" Type="http://schemas.openxmlformats.org/officeDocument/2006/relationships/hyperlink" Target="https://autorevue.cz/" TargetMode="External"/><Relationship Id="rId2051" Type="http://schemas.openxmlformats.org/officeDocument/2006/relationships/hyperlink" Target="https://www.realitnitrh.cz/" TargetMode="External"/><Relationship Id="rId2289" Type="http://schemas.openxmlformats.org/officeDocument/2006/relationships/hyperlink" Target="https://reklama.cncenter.cz/Online/double-skyscraper" TargetMode="External"/><Relationship Id="rId230" Type="http://schemas.openxmlformats.org/officeDocument/2006/relationships/hyperlink" Target="https://ahaonline.cz/" TargetMode="External"/><Relationship Id="rId468" Type="http://schemas.openxmlformats.org/officeDocument/2006/relationships/hyperlink" Target="https://avmania.zive.cz/" TargetMode="External"/><Relationship Id="rId675" Type="http://schemas.openxmlformats.org/officeDocument/2006/relationships/hyperlink" Target="https://reklama.cncenter.cz/Online/mobilni-vineta" TargetMode="External"/><Relationship Id="rId882" Type="http://schemas.openxmlformats.org/officeDocument/2006/relationships/hyperlink" Target="https://doupe.zive.cz/" TargetMode="External"/><Relationship Id="rId1098" Type="http://schemas.openxmlformats.org/officeDocument/2006/relationships/hyperlink" Target="https://reklama.cncenter.cz/Online/double-skyscraper" TargetMode="External"/><Relationship Id="rId2149" Type="http://schemas.openxmlformats.org/officeDocument/2006/relationships/hyperlink" Target="https://reflex.cz/" TargetMode="External"/><Relationship Id="rId2356" Type="http://schemas.openxmlformats.org/officeDocument/2006/relationships/hyperlink" Target="https://zeny.cz/" TargetMode="External"/><Relationship Id="rId328" Type="http://schemas.openxmlformats.org/officeDocument/2006/relationships/hyperlink" Target="https://autorevue.cz/" TargetMode="External"/><Relationship Id="rId535" Type="http://schemas.openxmlformats.org/officeDocument/2006/relationships/hyperlink" Target="https://reklama.cncenter.cz/Online/mobilni-interscroller" TargetMode="External"/><Relationship Id="rId742" Type="http://schemas.openxmlformats.org/officeDocument/2006/relationships/hyperlink" Target="https://reklama.cncenter.cz/Online/Videospot" TargetMode="External"/><Relationship Id="rId1165" Type="http://schemas.openxmlformats.org/officeDocument/2006/relationships/hyperlink" Target="https://www.facebook.com/business/ads-guide/image/facebook-feed" TargetMode="External"/><Relationship Id="rId1372" Type="http://schemas.openxmlformats.org/officeDocument/2006/relationships/hyperlink" Target="https://reklama.cncenter.cz/Online/branding" TargetMode="External"/><Relationship Id="rId2009" Type="http://schemas.openxmlformats.org/officeDocument/2006/relationships/hyperlink" Target="https://www.realitnitrh.cz/" TargetMode="External"/><Relationship Id="rId2216" Type="http://schemas.openxmlformats.org/officeDocument/2006/relationships/hyperlink" Target="https://reflex.cz/" TargetMode="External"/><Relationship Id="rId2423" Type="http://schemas.openxmlformats.org/officeDocument/2006/relationships/hyperlink" Target="https://zive.cz/" TargetMode="External"/><Relationship Id="rId602" Type="http://schemas.openxmlformats.org/officeDocument/2006/relationships/hyperlink" Target="https://reklama.cncenter.cz/Online/mobilni-interscroller" TargetMode="External"/><Relationship Id="rId1025" Type="http://schemas.openxmlformats.org/officeDocument/2006/relationships/hyperlink" Target="https://evropa2.cz/" TargetMode="External"/><Relationship Id="rId1232" Type="http://schemas.openxmlformats.org/officeDocument/2006/relationships/hyperlink" Target="https://finexpert.cz/" TargetMode="External"/><Relationship Id="rId1677" Type="http://schemas.openxmlformats.org/officeDocument/2006/relationships/hyperlink" Target="https://mobilmania.cz/" TargetMode="External"/><Relationship Id="rId1884" Type="http://schemas.openxmlformats.org/officeDocument/2006/relationships/hyperlink" Target="https://motogpsport.cz/" TargetMode="External"/><Relationship Id="rId907" Type="http://schemas.openxmlformats.org/officeDocument/2006/relationships/hyperlink" Target="https://doupe.zive.cz/" TargetMode="External"/><Relationship Id="rId1537" Type="http://schemas.openxmlformats.org/officeDocument/2006/relationships/hyperlink" Target="https://lideazeme.cz/" TargetMode="External"/><Relationship Id="rId1744" Type="http://schemas.openxmlformats.org/officeDocument/2006/relationships/hyperlink" Target="https://mobilmania.cz/" TargetMode="External"/><Relationship Id="rId1951" Type="http://schemas.openxmlformats.org/officeDocument/2006/relationships/hyperlink" Target="https://nemovitosti.blesk.cz/" TargetMode="External"/><Relationship Id="rId36" Type="http://schemas.openxmlformats.org/officeDocument/2006/relationships/hyperlink" Target="https://abecedazahrady.dama.cz/" TargetMode="External"/><Relationship Id="rId1604" Type="http://schemas.openxmlformats.org/officeDocument/2006/relationships/hyperlink" Target="https://maminka.cz/" TargetMode="External"/><Relationship Id="rId185" Type="http://schemas.openxmlformats.org/officeDocument/2006/relationships/hyperlink" Target="https://ahaonline.cz/" TargetMode="External"/><Relationship Id="rId1811" Type="http://schemas.openxmlformats.org/officeDocument/2006/relationships/hyperlink" Target="https://reklama.cncenter.cz/Online/nativni-rectangle-cross-device" TargetMode="External"/><Relationship Id="rId1909" Type="http://schemas.openxmlformats.org/officeDocument/2006/relationships/hyperlink" Target="https://nemovitosti.blesk.cz/" TargetMode="External"/><Relationship Id="rId392" Type="http://schemas.openxmlformats.org/officeDocument/2006/relationships/hyperlink" Target="https://autorevue.cz/" TargetMode="External"/><Relationship Id="rId697" Type="http://schemas.openxmlformats.org/officeDocument/2006/relationships/hyperlink" Target="https://reklama.cncenter.cz/Online/mobilni-vineta" TargetMode="External"/><Relationship Id="rId2073" Type="http://schemas.openxmlformats.org/officeDocument/2006/relationships/hyperlink" Target="https://reklama.cncenter.cz/Online/billboard-bottom" TargetMode="External"/><Relationship Id="rId2280" Type="http://schemas.openxmlformats.org/officeDocument/2006/relationships/hyperlink" Target="https://reklama.cncenter.cz/Online/mobilni-vineta" TargetMode="External"/><Relationship Id="rId2378" Type="http://schemas.openxmlformats.org/officeDocument/2006/relationships/hyperlink" Target="https://reklama.cncenter.cz/Online/mobilni-vineta" TargetMode="External"/><Relationship Id="rId252" Type="http://schemas.openxmlformats.org/officeDocument/2006/relationships/hyperlink" Target="https://reklama.cncenter.cz/Online/billboard-bottom" TargetMode="External"/><Relationship Id="rId1187" Type="http://schemas.openxmlformats.org/officeDocument/2006/relationships/hyperlink" Target="http://www.facebook.com/" TargetMode="External"/><Relationship Id="rId2140" Type="http://schemas.openxmlformats.org/officeDocument/2006/relationships/hyperlink" Target="https://recepty.cz/" TargetMode="External"/><Relationship Id="rId112" Type="http://schemas.openxmlformats.org/officeDocument/2006/relationships/hyperlink" Target="https://abicko.cz/" TargetMode="External"/><Relationship Id="rId557" Type="http://schemas.openxmlformats.org/officeDocument/2006/relationships/hyperlink" Target="https://bleskprozeny.cz/" TargetMode="External"/><Relationship Id="rId764" Type="http://schemas.openxmlformats.org/officeDocument/2006/relationships/hyperlink" Target="https://reklama.cncenter.cz/Online/Bumper" TargetMode="External"/><Relationship Id="rId971" Type="http://schemas.openxmlformats.org/officeDocument/2006/relationships/hyperlink" Target="https://dama.cz/" TargetMode="External"/><Relationship Id="rId1394" Type="http://schemas.openxmlformats.org/officeDocument/2006/relationships/hyperlink" Target="http://www.instagram.com/" TargetMode="External"/><Relationship Id="rId1699" Type="http://schemas.openxmlformats.org/officeDocument/2006/relationships/hyperlink" Target="https://reklama.cncenter.cz/Online/nativni-PR-premium" TargetMode="External"/><Relationship Id="rId2000" Type="http://schemas.openxmlformats.org/officeDocument/2006/relationships/hyperlink" Target="https://www.realitnitrh.cz/" TargetMode="External"/><Relationship Id="rId2238" Type="http://schemas.openxmlformats.org/officeDocument/2006/relationships/hyperlink" Target="https://sportrevue.cz/" TargetMode="External"/><Relationship Id="rId2445" Type="http://schemas.openxmlformats.org/officeDocument/2006/relationships/hyperlink" Target="https://reklama.cncenter.cz/Online/Bumper" TargetMode="External"/><Relationship Id="rId417" Type="http://schemas.openxmlformats.org/officeDocument/2006/relationships/hyperlink" Target="https://reklama.cncenter.cz/Online/branding" TargetMode="External"/><Relationship Id="rId624" Type="http://schemas.openxmlformats.org/officeDocument/2006/relationships/hyperlink" Target="https://bleskprozeny.cz/" TargetMode="External"/><Relationship Id="rId831" Type="http://schemas.openxmlformats.org/officeDocument/2006/relationships/hyperlink" Target="https://digiarena.zive.cz/" TargetMode="External"/><Relationship Id="rId1047" Type="http://schemas.openxmlformats.org/officeDocument/2006/relationships/hyperlink" Target="https://evropa2.cz/" TargetMode="External"/><Relationship Id="rId1254" Type="http://schemas.openxmlformats.org/officeDocument/2006/relationships/hyperlink" Target="https://fitweb.cz/" TargetMode="External"/><Relationship Id="rId1461" Type="http://schemas.openxmlformats.org/officeDocument/2006/relationships/hyperlink" Target="http://www.instagram.com/" TargetMode="External"/><Relationship Id="rId2305" Type="http://schemas.openxmlformats.org/officeDocument/2006/relationships/hyperlink" Target="https://x.com/" TargetMode="External"/><Relationship Id="rId929" Type="http://schemas.openxmlformats.org/officeDocument/2006/relationships/hyperlink" Target="https://dama.cz/" TargetMode="External"/><Relationship Id="rId1114" Type="http://schemas.openxmlformats.org/officeDocument/2006/relationships/hyperlink" Target="https://f1sport.auto.cz/" TargetMode="External"/><Relationship Id="rId1321" Type="http://schemas.openxmlformats.org/officeDocument/2006/relationships/hyperlink" Target="https://reklama.cncenter.cz/Online/mobilni-interscroller" TargetMode="External"/><Relationship Id="rId1559" Type="http://schemas.openxmlformats.org/officeDocument/2006/relationships/hyperlink" Target="https://maminka.cz/" TargetMode="External"/><Relationship Id="rId1766" Type="http://schemas.openxmlformats.org/officeDocument/2006/relationships/hyperlink" Target="https://mojezdravi.cz/" TargetMode="External"/><Relationship Id="rId1973" Type="http://schemas.openxmlformats.org/officeDocument/2006/relationships/hyperlink" Target="https://nemovitosti.blesk.cz/" TargetMode="External"/><Relationship Id="rId58" Type="http://schemas.openxmlformats.org/officeDocument/2006/relationships/hyperlink" Target="https://abecedazahrady.dama.cz/" TargetMode="External"/><Relationship Id="rId1419" Type="http://schemas.openxmlformats.org/officeDocument/2006/relationships/hyperlink" Target="http://www.instagram.com/" TargetMode="External"/><Relationship Id="rId1626" Type="http://schemas.openxmlformats.org/officeDocument/2006/relationships/hyperlink" Target="https://maminka.cz/" TargetMode="External"/><Relationship Id="rId1833" Type="http://schemas.openxmlformats.org/officeDocument/2006/relationships/hyperlink" Target="https://motogpsport.cz/" TargetMode="External"/><Relationship Id="rId1900" Type="http://schemas.openxmlformats.org/officeDocument/2006/relationships/hyperlink" Target="https://nemovitosti.blesk.cz/" TargetMode="External"/><Relationship Id="rId2095" Type="http://schemas.openxmlformats.org/officeDocument/2006/relationships/hyperlink" Target="https://recepty.cz/" TargetMode="External"/><Relationship Id="rId274" Type="http://schemas.openxmlformats.org/officeDocument/2006/relationships/hyperlink" Target="https://auto.cz/" TargetMode="External"/><Relationship Id="rId481" Type="http://schemas.openxmlformats.org/officeDocument/2006/relationships/hyperlink" Target="https://blesk.cz/" TargetMode="External"/><Relationship Id="rId2162" Type="http://schemas.openxmlformats.org/officeDocument/2006/relationships/hyperlink" Target="https://reflex.cz/" TargetMode="External"/><Relationship Id="rId134" Type="http://schemas.openxmlformats.org/officeDocument/2006/relationships/hyperlink" Target="https://abicko.cz/" TargetMode="External"/><Relationship Id="rId579" Type="http://schemas.openxmlformats.org/officeDocument/2006/relationships/hyperlink" Target="https://reklama.cncenter.cz/Online/mobilni-vineta" TargetMode="External"/><Relationship Id="rId786" Type="http://schemas.openxmlformats.org/officeDocument/2006/relationships/hyperlink" Target="https://digiarena.zive.cz/" TargetMode="External"/><Relationship Id="rId993" Type="http://schemas.openxmlformats.org/officeDocument/2006/relationships/hyperlink" Target="https://dama.cz/" TargetMode="External"/><Relationship Id="rId2467" Type="http://schemas.openxmlformats.org/officeDocument/2006/relationships/hyperlink" Target="https://reklama.cncenter.cz/Online/nativni-rectangle-cross-device" TargetMode="External"/><Relationship Id="rId341" Type="http://schemas.openxmlformats.org/officeDocument/2006/relationships/hyperlink" Target="https://autorevue.cz/" TargetMode="External"/><Relationship Id="rId439" Type="http://schemas.openxmlformats.org/officeDocument/2006/relationships/hyperlink" Target="https://avmania.zive.cz/" TargetMode="External"/><Relationship Id="rId646" Type="http://schemas.openxmlformats.org/officeDocument/2006/relationships/hyperlink" Target="https://reklama.cncenter.cz/Online/Bumper" TargetMode="External"/><Relationship Id="rId1069" Type="http://schemas.openxmlformats.org/officeDocument/2006/relationships/hyperlink" Target="https://reklama.cncenter.cz/Online/mobilni-vineta" TargetMode="External"/><Relationship Id="rId1276" Type="http://schemas.openxmlformats.org/officeDocument/2006/relationships/hyperlink" Target="https://reklama.cncenter.cz/Online/mobilni-interscroller" TargetMode="External"/><Relationship Id="rId1483" Type="http://schemas.openxmlformats.org/officeDocument/2006/relationships/hyperlink" Target="https://reklama.cncenter.cz/Online/mobilni-vineta" TargetMode="External"/><Relationship Id="rId2022" Type="http://schemas.openxmlformats.org/officeDocument/2006/relationships/hyperlink" Target="https://reklama.cncenter.cz/Online/mobilni-interscroller" TargetMode="External"/><Relationship Id="rId2327" Type="http://schemas.openxmlformats.org/officeDocument/2006/relationships/hyperlink" Target="https://zeny.cz/" TargetMode="External"/><Relationship Id="rId201" Type="http://schemas.openxmlformats.org/officeDocument/2006/relationships/hyperlink" Target="https://reklama.cncenter.cz/Online/Bumper" TargetMode="External"/><Relationship Id="rId506" Type="http://schemas.openxmlformats.org/officeDocument/2006/relationships/hyperlink" Target="https://reklama.cncenter.cz/Online/mobilni-slide-up" TargetMode="External"/><Relationship Id="rId853" Type="http://schemas.openxmlformats.org/officeDocument/2006/relationships/hyperlink" Target="https://reklama.cncenter.cz/Online/branding" TargetMode="External"/><Relationship Id="rId1136" Type="http://schemas.openxmlformats.org/officeDocument/2006/relationships/hyperlink" Target="https://f1sport.auto.cz/" TargetMode="External"/><Relationship Id="rId1690" Type="http://schemas.openxmlformats.org/officeDocument/2006/relationships/hyperlink" Target="https://reklama.cncenter.cz/Online/mobilni-interscroller" TargetMode="External"/><Relationship Id="rId1788" Type="http://schemas.openxmlformats.org/officeDocument/2006/relationships/hyperlink" Target="https://mojezdravi.cz/" TargetMode="External"/><Relationship Id="rId1995" Type="http://schemas.openxmlformats.org/officeDocument/2006/relationships/hyperlink" Target="https://www.poggers.cz/" TargetMode="External"/><Relationship Id="rId713" Type="http://schemas.openxmlformats.org/officeDocument/2006/relationships/hyperlink" Target="https://reklama.cncenter.cz/Online/nativni-rectangle-cross-device" TargetMode="External"/><Relationship Id="rId920" Type="http://schemas.openxmlformats.org/officeDocument/2006/relationships/hyperlink" Target="https://dama.cz/" TargetMode="External"/><Relationship Id="rId1343" Type="http://schemas.openxmlformats.org/officeDocument/2006/relationships/hyperlink" Target="https://frekvence1.cz/" TargetMode="External"/><Relationship Id="rId1550" Type="http://schemas.openxmlformats.org/officeDocument/2006/relationships/hyperlink" Target="https://reklama.cncenter.cz/?ads=PR%2520%25C4%258Dl%25C3%25A1nky" TargetMode="External"/><Relationship Id="rId1648" Type="http://schemas.openxmlformats.org/officeDocument/2006/relationships/hyperlink" Target="https://reklama.cncenter.cz/Online/branding-cross-device" TargetMode="External"/><Relationship Id="rId1203" Type="http://schemas.openxmlformats.org/officeDocument/2006/relationships/hyperlink" Target="http://www.facebook.com/" TargetMode="External"/><Relationship Id="rId1410" Type="http://schemas.openxmlformats.org/officeDocument/2006/relationships/hyperlink" Target="http://www.instagram.com/" TargetMode="External"/><Relationship Id="rId1508" Type="http://schemas.openxmlformats.org/officeDocument/2006/relationships/hyperlink" Target="https://lideazeme.cz/" TargetMode="External"/><Relationship Id="rId1855" Type="http://schemas.openxmlformats.org/officeDocument/2006/relationships/hyperlink" Target="https://reklama.cncenter.cz/Online/mobilni-slide-up" TargetMode="External"/><Relationship Id="rId1715" Type="http://schemas.openxmlformats.org/officeDocument/2006/relationships/hyperlink" Target="https://mobilmania.cz/" TargetMode="External"/><Relationship Id="rId1922" Type="http://schemas.openxmlformats.org/officeDocument/2006/relationships/hyperlink" Target="https://reklama.cncenter.cz/Online/branding" TargetMode="External"/><Relationship Id="rId296" Type="http://schemas.openxmlformats.org/officeDocument/2006/relationships/hyperlink" Target="https://reklama.cncenter.cz/Online/mobilni-interscroller" TargetMode="External"/><Relationship Id="rId2184" Type="http://schemas.openxmlformats.org/officeDocument/2006/relationships/hyperlink" Target="https://reklama.cncenter.cz/Online/nativni-PR-premium" TargetMode="External"/><Relationship Id="rId2391" Type="http://schemas.openxmlformats.org/officeDocument/2006/relationships/hyperlink" Target="https://zeny.cz/" TargetMode="External"/><Relationship Id="rId156" Type="http://schemas.openxmlformats.org/officeDocument/2006/relationships/hyperlink" Target="https://www.activegroup.cz/reklama" TargetMode="External"/><Relationship Id="rId363" Type="http://schemas.openxmlformats.org/officeDocument/2006/relationships/hyperlink" Target="https://reklama.cncenter.cz/Online/nativni-rectangle-cross-device" TargetMode="External"/><Relationship Id="rId570" Type="http://schemas.openxmlformats.org/officeDocument/2006/relationships/hyperlink" Target="https://reklama.cncenter.cz/Online/Videospot" TargetMode="External"/><Relationship Id="rId2044" Type="http://schemas.openxmlformats.org/officeDocument/2006/relationships/hyperlink" Target="https://reklama.cncenter.cz/Online/nativni-PR-premium" TargetMode="External"/><Relationship Id="rId2251" Type="http://schemas.openxmlformats.org/officeDocument/2006/relationships/hyperlink" Target="https://vtm.zive.cz/" TargetMode="External"/><Relationship Id="rId223" Type="http://schemas.openxmlformats.org/officeDocument/2006/relationships/hyperlink" Target="https://reklama.cncenter.cz/Online/nativni-rectangle-cross-device" TargetMode="External"/><Relationship Id="rId430" Type="http://schemas.openxmlformats.org/officeDocument/2006/relationships/hyperlink" Target="https://avmania.zive.cz/" TargetMode="External"/><Relationship Id="rId668" Type="http://schemas.openxmlformats.org/officeDocument/2006/relationships/hyperlink" Target="https://reklama.cncenter.cz/Online/Outstream" TargetMode="External"/><Relationship Id="rId875" Type="http://schemas.openxmlformats.org/officeDocument/2006/relationships/hyperlink" Target="https://doupe.zive.cz/" TargetMode="External"/><Relationship Id="rId1060" Type="http://schemas.openxmlformats.org/officeDocument/2006/relationships/hyperlink" Target="https://reklama.cncenter.cz/Online/Videospot" TargetMode="External"/><Relationship Id="rId1298" Type="http://schemas.openxmlformats.org/officeDocument/2006/relationships/hyperlink" Target="https://heyfomo.cz/" TargetMode="External"/><Relationship Id="rId2111" Type="http://schemas.openxmlformats.org/officeDocument/2006/relationships/hyperlink" Target="https://reklama.cncenter.cz/Online/double-skyscraper" TargetMode="External"/><Relationship Id="rId2349" Type="http://schemas.openxmlformats.org/officeDocument/2006/relationships/hyperlink" Target="https://reklama.cncenter.cz/Online/mobilni-vineta" TargetMode="External"/><Relationship Id="rId528" Type="http://schemas.openxmlformats.org/officeDocument/2006/relationships/hyperlink" Target="https://blesk.cz/" TargetMode="External"/><Relationship Id="rId735" Type="http://schemas.openxmlformats.org/officeDocument/2006/relationships/hyperlink" Target="https://reklama.cncenter.cz/Online/mobilni-slide-up" TargetMode="External"/><Relationship Id="rId942" Type="http://schemas.openxmlformats.org/officeDocument/2006/relationships/hyperlink" Target="https://dama.cz/" TargetMode="External"/><Relationship Id="rId1158" Type="http://schemas.openxmlformats.org/officeDocument/2006/relationships/hyperlink" Target="http://www.facebook.com/" TargetMode="External"/><Relationship Id="rId1365" Type="http://schemas.openxmlformats.org/officeDocument/2006/relationships/hyperlink" Target="https://hledejceny.cz/" TargetMode="External"/><Relationship Id="rId1572" Type="http://schemas.openxmlformats.org/officeDocument/2006/relationships/hyperlink" Target="https://maminka.cz/" TargetMode="External"/><Relationship Id="rId2209" Type="http://schemas.openxmlformats.org/officeDocument/2006/relationships/hyperlink" Target="https://reflex.cz/" TargetMode="External"/><Relationship Id="rId2416" Type="http://schemas.openxmlformats.org/officeDocument/2006/relationships/hyperlink" Target="https://zive.cz/" TargetMode="External"/><Relationship Id="rId1018" Type="http://schemas.openxmlformats.org/officeDocument/2006/relationships/hyperlink" Target="https://reklama.cncenter.cz/Online/nativni-rectangle-cross-device" TargetMode="External"/><Relationship Id="rId1225" Type="http://schemas.openxmlformats.org/officeDocument/2006/relationships/hyperlink" Target="https://finexpert.cz/" TargetMode="External"/><Relationship Id="rId1432" Type="http://schemas.openxmlformats.org/officeDocument/2006/relationships/hyperlink" Target="http://www.instagram.com/" TargetMode="External"/><Relationship Id="rId1877" Type="http://schemas.openxmlformats.org/officeDocument/2006/relationships/hyperlink" Target="https://motogpsport.cz/" TargetMode="External"/><Relationship Id="rId71" Type="http://schemas.openxmlformats.org/officeDocument/2006/relationships/hyperlink" Target="https://abicko.cz/" TargetMode="External"/><Relationship Id="rId802" Type="http://schemas.openxmlformats.org/officeDocument/2006/relationships/hyperlink" Target="https://reklama.cncenter.cz/Online/mobilni-slide-up" TargetMode="External"/><Relationship Id="rId1737" Type="http://schemas.openxmlformats.org/officeDocument/2006/relationships/hyperlink" Target="https://mobilmania.cz/" TargetMode="External"/><Relationship Id="rId1944" Type="http://schemas.openxmlformats.org/officeDocument/2006/relationships/hyperlink" Target="https://nemovitosti.blesk.cz/" TargetMode="External"/><Relationship Id="rId29" Type="http://schemas.openxmlformats.org/officeDocument/2006/relationships/hyperlink" Target="https://reklama.cncenter.cz/Online/mobilni-slide-up" TargetMode="External"/><Relationship Id="rId178" Type="http://schemas.openxmlformats.org/officeDocument/2006/relationships/hyperlink" Target="https://ahaonline.cz/" TargetMode="External"/><Relationship Id="rId1804" Type="http://schemas.openxmlformats.org/officeDocument/2006/relationships/hyperlink" Target="https://mojezdravi.cz/" TargetMode="External"/><Relationship Id="rId385" Type="http://schemas.openxmlformats.org/officeDocument/2006/relationships/hyperlink" Target="https://autorevue.cz/" TargetMode="External"/><Relationship Id="rId592" Type="http://schemas.openxmlformats.org/officeDocument/2006/relationships/hyperlink" Target="https://bleskprozeny.cz/" TargetMode="External"/><Relationship Id="rId2066" Type="http://schemas.openxmlformats.org/officeDocument/2006/relationships/hyperlink" Target="https://recepty.cz/" TargetMode="External"/><Relationship Id="rId2273" Type="http://schemas.openxmlformats.org/officeDocument/2006/relationships/hyperlink" Target="https://vtm.zive.cz/" TargetMode="External"/><Relationship Id="rId2480" Type="http://schemas.openxmlformats.org/officeDocument/2006/relationships/hyperlink" Target="https://zive.cz/" TargetMode="External"/><Relationship Id="rId245" Type="http://schemas.openxmlformats.org/officeDocument/2006/relationships/hyperlink" Target="https://auto.cz/" TargetMode="External"/><Relationship Id="rId452" Type="http://schemas.openxmlformats.org/officeDocument/2006/relationships/hyperlink" Target="https://reklama.cncenter.cz/Online/mobilni-interscroller" TargetMode="External"/><Relationship Id="rId897" Type="http://schemas.openxmlformats.org/officeDocument/2006/relationships/hyperlink" Target="https://doupe.zive.cz/" TargetMode="External"/><Relationship Id="rId1082" Type="http://schemas.openxmlformats.org/officeDocument/2006/relationships/hyperlink" Target="https://f1sport.auto.cz/" TargetMode="External"/><Relationship Id="rId2133" Type="http://schemas.openxmlformats.org/officeDocument/2006/relationships/hyperlink" Target="https://recepty.cz/" TargetMode="External"/><Relationship Id="rId2340" Type="http://schemas.openxmlformats.org/officeDocument/2006/relationships/hyperlink" Target="https://reklama.cncenter.cz/Online/Videospot" TargetMode="External"/><Relationship Id="rId105" Type="http://schemas.openxmlformats.org/officeDocument/2006/relationships/hyperlink" Target="https://abicko.cz/" TargetMode="External"/><Relationship Id="rId312" Type="http://schemas.openxmlformats.org/officeDocument/2006/relationships/hyperlink" Target="https://auto.cz/" TargetMode="External"/><Relationship Id="rId757" Type="http://schemas.openxmlformats.org/officeDocument/2006/relationships/hyperlink" Target="https://reklama.cncenter.cz/Online/Videospot" TargetMode="External"/><Relationship Id="rId964" Type="http://schemas.openxmlformats.org/officeDocument/2006/relationships/hyperlink" Target="https://dama.cz/" TargetMode="External"/><Relationship Id="rId1387" Type="http://schemas.openxmlformats.org/officeDocument/2006/relationships/hyperlink" Target="http://www.instagram.com/" TargetMode="External"/><Relationship Id="rId1594" Type="http://schemas.openxmlformats.org/officeDocument/2006/relationships/hyperlink" Target="https://reklama.cncenter.cz/Online/nativni-PR-premium" TargetMode="External"/><Relationship Id="rId2200" Type="http://schemas.openxmlformats.org/officeDocument/2006/relationships/hyperlink" Target="https://reflex.cz/" TargetMode="External"/><Relationship Id="rId2438" Type="http://schemas.openxmlformats.org/officeDocument/2006/relationships/hyperlink" Target="https://zive.cz/" TargetMode="External"/><Relationship Id="rId93" Type="http://schemas.openxmlformats.org/officeDocument/2006/relationships/hyperlink" Target="https://abicko.cz/" TargetMode="External"/><Relationship Id="rId617" Type="http://schemas.openxmlformats.org/officeDocument/2006/relationships/hyperlink" Target="https://bleskprozeny.cz/" TargetMode="External"/><Relationship Id="rId824" Type="http://schemas.openxmlformats.org/officeDocument/2006/relationships/hyperlink" Target="https://digiarena.zive.cz/" TargetMode="External"/><Relationship Id="rId1247" Type="http://schemas.openxmlformats.org/officeDocument/2006/relationships/hyperlink" Target="https://fitweb.cz/" TargetMode="External"/><Relationship Id="rId1454" Type="http://schemas.openxmlformats.org/officeDocument/2006/relationships/hyperlink" Target="http://www.instagram.com/" TargetMode="External"/><Relationship Id="rId1661" Type="http://schemas.openxmlformats.org/officeDocument/2006/relationships/hyperlink" Target="https://reklama.cncenter.cz/Online/nativni-rectangle-cross-device" TargetMode="External"/><Relationship Id="rId1899" Type="http://schemas.openxmlformats.org/officeDocument/2006/relationships/hyperlink" Target="http://nemovitosti.blesk.cz/" TargetMode="External"/><Relationship Id="rId1107" Type="http://schemas.openxmlformats.org/officeDocument/2006/relationships/hyperlink" Target="https://reklama.cncenter.cz/Online/mobilni-vineta" TargetMode="External"/><Relationship Id="rId1314" Type="http://schemas.openxmlformats.org/officeDocument/2006/relationships/hyperlink" Target="https://frekvence1.cz/" TargetMode="External"/><Relationship Id="rId1521" Type="http://schemas.openxmlformats.org/officeDocument/2006/relationships/hyperlink" Target="https://lideazeme.cz/" TargetMode="External"/><Relationship Id="rId1759" Type="http://schemas.openxmlformats.org/officeDocument/2006/relationships/hyperlink" Target="https://reklama.cncenter.cz/Online/billboard-bottom" TargetMode="External"/><Relationship Id="rId1966" Type="http://schemas.openxmlformats.org/officeDocument/2006/relationships/hyperlink" Target="https://reklama.cncenter.cz/Online/nativni-PR-premium" TargetMode="External"/><Relationship Id="rId1619" Type="http://schemas.openxmlformats.org/officeDocument/2006/relationships/hyperlink" Target="https://maminka.cz/" TargetMode="External"/><Relationship Id="rId1826" Type="http://schemas.openxmlformats.org/officeDocument/2006/relationships/hyperlink" Target="https://reklama.cncenter.cz/Online/Bumper" TargetMode="External"/><Relationship Id="rId20" Type="http://schemas.openxmlformats.org/officeDocument/2006/relationships/hyperlink" Target="https://reklama.cncenter.cz/Online/branding" TargetMode="External"/><Relationship Id="rId2088" Type="http://schemas.openxmlformats.org/officeDocument/2006/relationships/hyperlink" Target="https://reklama.cncenter.cz/Online/mobilni-interscroller" TargetMode="External"/><Relationship Id="rId2295" Type="http://schemas.openxmlformats.org/officeDocument/2006/relationships/hyperlink" Target="https://reklama.cncenter.cz/Online/mobilni-slide-up" TargetMode="External"/><Relationship Id="rId267" Type="http://schemas.openxmlformats.org/officeDocument/2006/relationships/hyperlink" Target="https://reklama.cncenter.cz/Online/mobilni-interscroller" TargetMode="External"/><Relationship Id="rId474" Type="http://schemas.openxmlformats.org/officeDocument/2006/relationships/hyperlink" Target="https://avmania.zive.cz/" TargetMode="External"/><Relationship Id="rId2155" Type="http://schemas.openxmlformats.org/officeDocument/2006/relationships/hyperlink" Target="https://reflex.cz/" TargetMode="External"/><Relationship Id="rId127" Type="http://schemas.openxmlformats.org/officeDocument/2006/relationships/hyperlink" Target="https://reklama.cncenter.cz/Online/mobilni-vineta" TargetMode="External"/><Relationship Id="rId681" Type="http://schemas.openxmlformats.org/officeDocument/2006/relationships/hyperlink" Target="https://reklama.cncenter.cz/Online/branding-cross-device" TargetMode="External"/><Relationship Id="rId779" Type="http://schemas.openxmlformats.org/officeDocument/2006/relationships/hyperlink" Target="https://digiarena.zive.cz/" TargetMode="External"/><Relationship Id="rId986" Type="http://schemas.openxmlformats.org/officeDocument/2006/relationships/hyperlink" Target="https://reklama.cncenter.cz/Online/Outstream" TargetMode="External"/><Relationship Id="rId2362" Type="http://schemas.openxmlformats.org/officeDocument/2006/relationships/hyperlink" Target="https://zeny.cz/" TargetMode="External"/><Relationship Id="rId334" Type="http://schemas.openxmlformats.org/officeDocument/2006/relationships/hyperlink" Target="https://autorevue.cz/" TargetMode="External"/><Relationship Id="rId541" Type="http://schemas.openxmlformats.org/officeDocument/2006/relationships/hyperlink" Target="https://reklama.cncenter.cz/Online/mobilni-interscroller" TargetMode="External"/><Relationship Id="rId639" Type="http://schemas.openxmlformats.org/officeDocument/2006/relationships/hyperlink" Target="https://reklama.cncenter.cz/Online/Videospot" TargetMode="External"/><Relationship Id="rId1171" Type="http://schemas.openxmlformats.org/officeDocument/2006/relationships/hyperlink" Target="https://www.facebook.com/business/ads-guide/image/facebook-feed" TargetMode="External"/><Relationship Id="rId1269" Type="http://schemas.openxmlformats.org/officeDocument/2006/relationships/hyperlink" Target="https://fitweb.cz/" TargetMode="External"/><Relationship Id="rId1476" Type="http://schemas.openxmlformats.org/officeDocument/2006/relationships/hyperlink" Target="https://reklama.cncenter.cz/Online/nativni-rectangle-cross-device" TargetMode="External"/><Relationship Id="rId2015" Type="http://schemas.openxmlformats.org/officeDocument/2006/relationships/hyperlink" Target="https://www.realitnitrh.cz/" TargetMode="External"/><Relationship Id="rId2222" Type="http://schemas.openxmlformats.org/officeDocument/2006/relationships/hyperlink" Target="https://reflex.cz/" TargetMode="External"/><Relationship Id="rId401" Type="http://schemas.openxmlformats.org/officeDocument/2006/relationships/hyperlink" Target="https://autorevue.cz/" TargetMode="External"/><Relationship Id="rId846" Type="http://schemas.openxmlformats.org/officeDocument/2006/relationships/hyperlink" Target="https://doupe.zive.cz/" TargetMode="External"/><Relationship Id="rId1031" Type="http://schemas.openxmlformats.org/officeDocument/2006/relationships/hyperlink" Target="https://evropa2.cz/" TargetMode="External"/><Relationship Id="rId1129" Type="http://schemas.openxmlformats.org/officeDocument/2006/relationships/hyperlink" Target="https://f1sport.auto.cz/" TargetMode="External"/><Relationship Id="rId1683" Type="http://schemas.openxmlformats.org/officeDocument/2006/relationships/hyperlink" Target="https://mobilmania.cz/" TargetMode="External"/><Relationship Id="rId1890" Type="http://schemas.openxmlformats.org/officeDocument/2006/relationships/hyperlink" Target="https://motogpsport.cz/" TargetMode="External"/><Relationship Id="rId1988" Type="http://schemas.openxmlformats.org/officeDocument/2006/relationships/hyperlink" Target="https://www.poggers.cz/" TargetMode="External"/><Relationship Id="rId706" Type="http://schemas.openxmlformats.org/officeDocument/2006/relationships/hyperlink" Target="https://reklama.cncenter.cz/Online/branding-cross-device" TargetMode="External"/><Relationship Id="rId913" Type="http://schemas.openxmlformats.org/officeDocument/2006/relationships/hyperlink" Target="https://dama.cz/" TargetMode="External"/><Relationship Id="rId1336" Type="http://schemas.openxmlformats.org/officeDocument/2006/relationships/hyperlink" Target="https://reklama.cncenter.cz/Online/double-skyscraper" TargetMode="External"/><Relationship Id="rId1543" Type="http://schemas.openxmlformats.org/officeDocument/2006/relationships/hyperlink" Target="https://lideazeme.cz/" TargetMode="External"/><Relationship Id="rId1750" Type="http://schemas.openxmlformats.org/officeDocument/2006/relationships/hyperlink" Target="https://reklama.cncenter.cz/Online/billboard-bottom" TargetMode="External"/><Relationship Id="rId42" Type="http://schemas.openxmlformats.org/officeDocument/2006/relationships/hyperlink" Target="https://abecedazahrady.dama.cz/" TargetMode="External"/><Relationship Id="rId1403" Type="http://schemas.openxmlformats.org/officeDocument/2006/relationships/hyperlink" Target="http://www.instagram.com/" TargetMode="External"/><Relationship Id="rId1610" Type="http://schemas.openxmlformats.org/officeDocument/2006/relationships/hyperlink" Target="https://maminka.cz/" TargetMode="External"/><Relationship Id="rId1848" Type="http://schemas.openxmlformats.org/officeDocument/2006/relationships/hyperlink" Target="https://motogpsport.cz/" TargetMode="External"/><Relationship Id="rId191" Type="http://schemas.openxmlformats.org/officeDocument/2006/relationships/hyperlink" Target="https://ahaonline.cz/" TargetMode="External"/><Relationship Id="rId1708" Type="http://schemas.openxmlformats.org/officeDocument/2006/relationships/hyperlink" Target="https://reklama.cncenter.cz/Online/Bumper" TargetMode="External"/><Relationship Id="rId1915" Type="http://schemas.openxmlformats.org/officeDocument/2006/relationships/hyperlink" Target="http://nemovitosti.blesk.cz/" TargetMode="External"/><Relationship Id="rId289" Type="http://schemas.openxmlformats.org/officeDocument/2006/relationships/hyperlink" Target="https://auto.cz/" TargetMode="External"/><Relationship Id="rId496" Type="http://schemas.openxmlformats.org/officeDocument/2006/relationships/hyperlink" Target="https://blesk.cz/" TargetMode="External"/><Relationship Id="rId2177" Type="http://schemas.openxmlformats.org/officeDocument/2006/relationships/hyperlink" Target="https://reflex.cz/" TargetMode="External"/><Relationship Id="rId2384" Type="http://schemas.openxmlformats.org/officeDocument/2006/relationships/hyperlink" Target="https://zeny.cz/" TargetMode="External"/><Relationship Id="rId149" Type="http://schemas.openxmlformats.org/officeDocument/2006/relationships/hyperlink" Target="https://abicko.cz/" TargetMode="External"/><Relationship Id="rId356" Type="http://schemas.openxmlformats.org/officeDocument/2006/relationships/hyperlink" Target="https://autorevue.cz/" TargetMode="External"/><Relationship Id="rId563" Type="http://schemas.openxmlformats.org/officeDocument/2006/relationships/hyperlink" Target="https://bleskprozeny.cz/" TargetMode="External"/><Relationship Id="rId770" Type="http://schemas.openxmlformats.org/officeDocument/2006/relationships/hyperlink" Target="https://reklama.cncenter.cz/Online/nativni-rectangle-cross-device" TargetMode="External"/><Relationship Id="rId1193" Type="http://schemas.openxmlformats.org/officeDocument/2006/relationships/hyperlink" Target="http://www.facebook.com/" TargetMode="External"/><Relationship Id="rId2037" Type="http://schemas.openxmlformats.org/officeDocument/2006/relationships/hyperlink" Target="https://www.realitnitrh.cz/" TargetMode="External"/><Relationship Id="rId2244" Type="http://schemas.openxmlformats.org/officeDocument/2006/relationships/hyperlink" Target="https://sportrevue.cz/" TargetMode="External"/><Relationship Id="rId2451" Type="http://schemas.openxmlformats.org/officeDocument/2006/relationships/hyperlink" Target="https://zive.cz/" TargetMode="External"/><Relationship Id="rId216" Type="http://schemas.openxmlformats.org/officeDocument/2006/relationships/hyperlink" Target="https://ahaonline.cz/" TargetMode="External"/><Relationship Id="rId423" Type="http://schemas.openxmlformats.org/officeDocument/2006/relationships/hyperlink" Target="https://reklama.cncenter.cz/Online/branding-cross-device" TargetMode="External"/><Relationship Id="rId868" Type="http://schemas.openxmlformats.org/officeDocument/2006/relationships/hyperlink" Target="https://reklama.cncenter.cz/Online/mobilni-interscroller" TargetMode="External"/><Relationship Id="rId1053" Type="http://schemas.openxmlformats.org/officeDocument/2006/relationships/hyperlink" Target="https://evropa2.cz/" TargetMode="External"/><Relationship Id="rId1260" Type="http://schemas.openxmlformats.org/officeDocument/2006/relationships/hyperlink" Target="https://fitweb.cz/" TargetMode="External"/><Relationship Id="rId1498" Type="http://schemas.openxmlformats.org/officeDocument/2006/relationships/hyperlink" Target="https://reklama.cncenter.cz/Online/branding" TargetMode="External"/><Relationship Id="rId2104" Type="http://schemas.openxmlformats.org/officeDocument/2006/relationships/hyperlink" Target="https://recepty.cz/" TargetMode="External"/><Relationship Id="rId630" Type="http://schemas.openxmlformats.org/officeDocument/2006/relationships/hyperlink" Target="https://bleskprozeny.cz/" TargetMode="External"/><Relationship Id="rId728" Type="http://schemas.openxmlformats.org/officeDocument/2006/relationships/hyperlink" Target="https://reklama.cncenter.cz/Online/branding" TargetMode="External"/><Relationship Id="rId935" Type="http://schemas.openxmlformats.org/officeDocument/2006/relationships/hyperlink" Target="https://dama.cz/" TargetMode="External"/><Relationship Id="rId1358" Type="http://schemas.openxmlformats.org/officeDocument/2006/relationships/hyperlink" Target="https://hledejceny.cz/" TargetMode="External"/><Relationship Id="rId1565" Type="http://schemas.openxmlformats.org/officeDocument/2006/relationships/hyperlink" Target="https://maminka.cz/" TargetMode="External"/><Relationship Id="rId1772" Type="http://schemas.openxmlformats.org/officeDocument/2006/relationships/hyperlink" Target="https://mojezdravi.cz/" TargetMode="External"/><Relationship Id="rId2311" Type="http://schemas.openxmlformats.org/officeDocument/2006/relationships/hyperlink" Target="https://reklama.cncenter.cz/Online/double-skyscraper" TargetMode="External"/><Relationship Id="rId2409" Type="http://schemas.openxmlformats.org/officeDocument/2006/relationships/hyperlink" Target="https://reklama.cncenter.cz/Online/branding-cross-device" TargetMode="External"/><Relationship Id="rId64" Type="http://schemas.openxmlformats.org/officeDocument/2006/relationships/hyperlink" Target="https://abecedazahrady.dama.cz/" TargetMode="External"/><Relationship Id="rId1120" Type="http://schemas.openxmlformats.org/officeDocument/2006/relationships/hyperlink" Target="https://f1sport.auto.cz/" TargetMode="External"/><Relationship Id="rId1218" Type="http://schemas.openxmlformats.org/officeDocument/2006/relationships/hyperlink" Target="http://www.facebook.com/" TargetMode="External"/><Relationship Id="rId1425" Type="http://schemas.openxmlformats.org/officeDocument/2006/relationships/hyperlink" Target="http://www.instagram.com/" TargetMode="External"/><Relationship Id="rId1632" Type="http://schemas.openxmlformats.org/officeDocument/2006/relationships/hyperlink" Target="https://maminka.cz/" TargetMode="External"/><Relationship Id="rId1937" Type="http://schemas.openxmlformats.org/officeDocument/2006/relationships/hyperlink" Target="https://nemovitosti.blesk.cz/" TargetMode="External"/><Relationship Id="rId2199" Type="http://schemas.openxmlformats.org/officeDocument/2006/relationships/hyperlink" Target="https://reflex.cz/" TargetMode="External"/><Relationship Id="rId280" Type="http://schemas.openxmlformats.org/officeDocument/2006/relationships/hyperlink" Target="https://auto.cz/" TargetMode="External"/><Relationship Id="rId140" Type="http://schemas.openxmlformats.org/officeDocument/2006/relationships/hyperlink" Target="https://abicko.cz/" TargetMode="External"/><Relationship Id="rId378" Type="http://schemas.openxmlformats.org/officeDocument/2006/relationships/hyperlink" Target="https://autorevue.cz/" TargetMode="External"/><Relationship Id="rId585" Type="http://schemas.openxmlformats.org/officeDocument/2006/relationships/hyperlink" Target="https://reklama.cncenter.cz/Online/nativni-rectangle-cross-device" TargetMode="External"/><Relationship Id="rId792" Type="http://schemas.openxmlformats.org/officeDocument/2006/relationships/hyperlink" Target="https://digiarena.zive.cz/" TargetMode="External"/><Relationship Id="rId2059" Type="http://schemas.openxmlformats.org/officeDocument/2006/relationships/hyperlink" Target="https://www.realitnitrh.cz/" TargetMode="External"/><Relationship Id="rId2266" Type="http://schemas.openxmlformats.org/officeDocument/2006/relationships/hyperlink" Target="https://vtm.zive.cz/" TargetMode="External"/><Relationship Id="rId2473" Type="http://schemas.openxmlformats.org/officeDocument/2006/relationships/hyperlink" Target="https://reklama.cncenter.cz/?ads=PR%2520%25C4%258Dl%25C3%25A1nky" TargetMode="External"/><Relationship Id="rId6" Type="http://schemas.openxmlformats.org/officeDocument/2006/relationships/hyperlink" Target="https://abecedazahrady.dama.cz/" TargetMode="External"/><Relationship Id="rId238" Type="http://schemas.openxmlformats.org/officeDocument/2006/relationships/hyperlink" Target="https://reklama.cncenter.cz/Online/Bumper" TargetMode="External"/><Relationship Id="rId445" Type="http://schemas.openxmlformats.org/officeDocument/2006/relationships/hyperlink" Target="https://avmania.zive.cz/" TargetMode="External"/><Relationship Id="rId652" Type="http://schemas.openxmlformats.org/officeDocument/2006/relationships/hyperlink" Target="https://reklama.cncenter.cz/Online/nativni-rectangle-cross-device" TargetMode="External"/><Relationship Id="rId1075" Type="http://schemas.openxmlformats.org/officeDocument/2006/relationships/hyperlink" Target="https://reklama.cncenter.cz/Online/Bumper" TargetMode="External"/><Relationship Id="rId1282" Type="http://schemas.openxmlformats.org/officeDocument/2006/relationships/hyperlink" Target="https://reklama.cncenter.cz/Online/mobilni-vineta" TargetMode="External"/><Relationship Id="rId2126" Type="http://schemas.openxmlformats.org/officeDocument/2006/relationships/hyperlink" Target="https://recepty.cz/" TargetMode="External"/><Relationship Id="rId2333" Type="http://schemas.openxmlformats.org/officeDocument/2006/relationships/hyperlink" Target="https://zeny.cz/" TargetMode="External"/><Relationship Id="rId305" Type="http://schemas.openxmlformats.org/officeDocument/2006/relationships/hyperlink" Target="https://auto.cz/" TargetMode="External"/><Relationship Id="rId512" Type="http://schemas.openxmlformats.org/officeDocument/2006/relationships/hyperlink" Target="https://reklama.cncenter.cz/Online/double-skyscraper" TargetMode="External"/><Relationship Id="rId957" Type="http://schemas.openxmlformats.org/officeDocument/2006/relationships/hyperlink" Target="https://dama.cz/" TargetMode="External"/><Relationship Id="rId1142" Type="http://schemas.openxmlformats.org/officeDocument/2006/relationships/hyperlink" Target="https://f1sport.auto.cz/" TargetMode="External"/><Relationship Id="rId1587" Type="http://schemas.openxmlformats.org/officeDocument/2006/relationships/hyperlink" Target="https://maminka.cz/" TargetMode="External"/><Relationship Id="rId1794" Type="http://schemas.openxmlformats.org/officeDocument/2006/relationships/hyperlink" Target="https://reklama.cncenter.cz/Online/double-skyscraper" TargetMode="External"/><Relationship Id="rId2400" Type="http://schemas.openxmlformats.org/officeDocument/2006/relationships/hyperlink" Target="https://zeny.cz/" TargetMode="External"/><Relationship Id="rId86" Type="http://schemas.openxmlformats.org/officeDocument/2006/relationships/hyperlink" Target="https://reklama.cncenter.cz/Online/branding-cross-device" TargetMode="External"/><Relationship Id="rId817" Type="http://schemas.openxmlformats.org/officeDocument/2006/relationships/hyperlink" Target="https://digiarena.zive.cz/" TargetMode="External"/><Relationship Id="rId1002" Type="http://schemas.openxmlformats.org/officeDocument/2006/relationships/hyperlink" Target="https://reklama.cncenter.cz/Online/billboard-bottom" TargetMode="External"/><Relationship Id="rId1447" Type="http://schemas.openxmlformats.org/officeDocument/2006/relationships/hyperlink" Target="http://www.instagram.com/" TargetMode="External"/><Relationship Id="rId1654" Type="http://schemas.openxmlformats.org/officeDocument/2006/relationships/hyperlink" Target="https://reklama.cncenter.cz/Online/nativni-rectangle-cross-device" TargetMode="External"/><Relationship Id="rId1861" Type="http://schemas.openxmlformats.org/officeDocument/2006/relationships/hyperlink" Target="https://reklama.cncenter.cz/Online/nativni-rectangle-cross-device" TargetMode="External"/><Relationship Id="rId1307" Type="http://schemas.openxmlformats.org/officeDocument/2006/relationships/hyperlink" Target="https://frekvence1.cz/" TargetMode="External"/><Relationship Id="rId1514" Type="http://schemas.openxmlformats.org/officeDocument/2006/relationships/hyperlink" Target="https://lideazeme.cz/" TargetMode="External"/><Relationship Id="rId1721" Type="http://schemas.openxmlformats.org/officeDocument/2006/relationships/hyperlink" Target="https://mobilmania.cz/" TargetMode="External"/><Relationship Id="rId1959" Type="http://schemas.openxmlformats.org/officeDocument/2006/relationships/hyperlink" Target="https://nemovitosti.blesk.cz/" TargetMode="External"/><Relationship Id="rId13" Type="http://schemas.openxmlformats.org/officeDocument/2006/relationships/hyperlink" Target="https://abecedazahrady.dama.cz/" TargetMode="External"/><Relationship Id="rId1819" Type="http://schemas.openxmlformats.org/officeDocument/2006/relationships/hyperlink" Target="https://mojezdravi.cz/" TargetMode="External"/><Relationship Id="rId2190" Type="http://schemas.openxmlformats.org/officeDocument/2006/relationships/hyperlink" Target="https://reklama.cncenter.cz/Online/Outstream" TargetMode="External"/><Relationship Id="rId2288" Type="http://schemas.openxmlformats.org/officeDocument/2006/relationships/hyperlink" Target="https://vtm.zive.cz/" TargetMode="External"/><Relationship Id="rId162" Type="http://schemas.openxmlformats.org/officeDocument/2006/relationships/hyperlink" Target="https://reklama.cncenter.cz/Online/billboard-bottom" TargetMode="External"/><Relationship Id="rId467" Type="http://schemas.openxmlformats.org/officeDocument/2006/relationships/hyperlink" Target="https://avmania.zive.cz/" TargetMode="External"/><Relationship Id="rId1097" Type="http://schemas.openxmlformats.org/officeDocument/2006/relationships/hyperlink" Target="https://f1sport.auto.cz/" TargetMode="External"/><Relationship Id="rId2050" Type="http://schemas.openxmlformats.org/officeDocument/2006/relationships/hyperlink" Target="https://reklama.cncenter.cz/Online/Outstream" TargetMode="External"/><Relationship Id="rId2148" Type="http://schemas.openxmlformats.org/officeDocument/2006/relationships/hyperlink" Target="https://reflex.cz/" TargetMode="External"/><Relationship Id="rId674" Type="http://schemas.openxmlformats.org/officeDocument/2006/relationships/hyperlink" Target="https://reklama.cncenter.cz/Online/mobilni-slide-up" TargetMode="External"/><Relationship Id="rId881" Type="http://schemas.openxmlformats.org/officeDocument/2006/relationships/hyperlink" Target="https://doupe.zive.cz/" TargetMode="External"/><Relationship Id="rId979" Type="http://schemas.openxmlformats.org/officeDocument/2006/relationships/hyperlink" Target="https://dama.cz/" TargetMode="External"/><Relationship Id="rId2355" Type="http://schemas.openxmlformats.org/officeDocument/2006/relationships/hyperlink" Target="https://reklama.cncenter.cz/Online/nativni-rectangle-cross-device" TargetMode="External"/><Relationship Id="rId327" Type="http://schemas.openxmlformats.org/officeDocument/2006/relationships/hyperlink" Target="https://autorevue.cz/" TargetMode="External"/><Relationship Id="rId534" Type="http://schemas.openxmlformats.org/officeDocument/2006/relationships/hyperlink" Target="https://blesk.cz/" TargetMode="External"/><Relationship Id="rId741" Type="http://schemas.openxmlformats.org/officeDocument/2006/relationships/hyperlink" Target="https://reklama.cncenter.cz/Online/double-skyscraper" TargetMode="External"/><Relationship Id="rId839" Type="http://schemas.openxmlformats.org/officeDocument/2006/relationships/hyperlink" Target="https://digiarena.zive.cz/" TargetMode="External"/><Relationship Id="rId1164" Type="http://schemas.openxmlformats.org/officeDocument/2006/relationships/hyperlink" Target="http://www.facebook.com/" TargetMode="External"/><Relationship Id="rId1371" Type="http://schemas.openxmlformats.org/officeDocument/2006/relationships/hyperlink" Target="https://hledejceny.cz/" TargetMode="External"/><Relationship Id="rId1469" Type="http://schemas.openxmlformats.org/officeDocument/2006/relationships/hyperlink" Target="https://reklama.cncenter.cz/Online/branding-cross-device" TargetMode="External"/><Relationship Id="rId2008" Type="http://schemas.openxmlformats.org/officeDocument/2006/relationships/hyperlink" Target="https://www.realitnitrh.cz/" TargetMode="External"/><Relationship Id="rId2215" Type="http://schemas.openxmlformats.org/officeDocument/2006/relationships/hyperlink" Target="https://reklama.cncenter.cz/Online/nativni-PR-premium" TargetMode="External"/><Relationship Id="rId2422" Type="http://schemas.openxmlformats.org/officeDocument/2006/relationships/hyperlink" Target="https://zive.cz/" TargetMode="External"/><Relationship Id="rId601" Type="http://schemas.openxmlformats.org/officeDocument/2006/relationships/hyperlink" Target="https://bleskprozeny.cz/" TargetMode="External"/><Relationship Id="rId1024" Type="http://schemas.openxmlformats.org/officeDocument/2006/relationships/hyperlink" Target="https://reklama.cncenter.cz/Online/branding-cross-device" TargetMode="External"/><Relationship Id="rId1231" Type="http://schemas.openxmlformats.org/officeDocument/2006/relationships/hyperlink" Target="https://finexpert.cz/" TargetMode="External"/><Relationship Id="rId1676" Type="http://schemas.openxmlformats.org/officeDocument/2006/relationships/hyperlink" Target="https://mobilmania.cz/" TargetMode="External"/><Relationship Id="rId1883" Type="http://schemas.openxmlformats.org/officeDocument/2006/relationships/hyperlink" Target="https://reklama.cncenter.cz/Online/nativni-rectangle-cross-device" TargetMode="External"/><Relationship Id="rId906" Type="http://schemas.openxmlformats.org/officeDocument/2006/relationships/hyperlink" Target="https://doupe.zive.cz/" TargetMode="External"/><Relationship Id="rId1329" Type="http://schemas.openxmlformats.org/officeDocument/2006/relationships/hyperlink" Target="https://frekvence1.cz/" TargetMode="External"/><Relationship Id="rId1536" Type="http://schemas.openxmlformats.org/officeDocument/2006/relationships/hyperlink" Target="https://reklama.cncenter.cz/Online/mobilni-slide-up" TargetMode="External"/><Relationship Id="rId1743" Type="http://schemas.openxmlformats.org/officeDocument/2006/relationships/hyperlink" Target="https://mobilmania.cz/" TargetMode="External"/><Relationship Id="rId1950" Type="http://schemas.openxmlformats.org/officeDocument/2006/relationships/hyperlink" Target="http://nemovitosti.blesk.cz/" TargetMode="External"/><Relationship Id="rId35" Type="http://schemas.openxmlformats.org/officeDocument/2006/relationships/hyperlink" Target="https://reklama.cncenter.cz/Online/nativni-rectangle-cross-device" TargetMode="External"/><Relationship Id="rId1603" Type="http://schemas.openxmlformats.org/officeDocument/2006/relationships/hyperlink" Target="https://reklama.cncenter.cz/Online/Bumper" TargetMode="External"/><Relationship Id="rId1810" Type="http://schemas.openxmlformats.org/officeDocument/2006/relationships/hyperlink" Target="https://mojezdravi.cz/" TargetMode="External"/><Relationship Id="rId184" Type="http://schemas.openxmlformats.org/officeDocument/2006/relationships/hyperlink" Target="https://ahaonline.cz/" TargetMode="External"/><Relationship Id="rId391" Type="http://schemas.openxmlformats.org/officeDocument/2006/relationships/hyperlink" Target="https://reklama.cncenter.cz/Online/nativni-rectangle-cross-device" TargetMode="External"/><Relationship Id="rId1908" Type="http://schemas.openxmlformats.org/officeDocument/2006/relationships/hyperlink" Target="https://nemovitosti.blesk.cz/" TargetMode="External"/><Relationship Id="rId2072" Type="http://schemas.openxmlformats.org/officeDocument/2006/relationships/hyperlink" Target="https://recepty.cz/" TargetMode="External"/><Relationship Id="rId251" Type="http://schemas.openxmlformats.org/officeDocument/2006/relationships/hyperlink" Target="https://auto.cz/" TargetMode="External"/><Relationship Id="rId489" Type="http://schemas.openxmlformats.org/officeDocument/2006/relationships/hyperlink" Target="https://blesk.cz/" TargetMode="External"/><Relationship Id="rId696" Type="http://schemas.openxmlformats.org/officeDocument/2006/relationships/hyperlink" Target="https://reklama.cncenter.cz/Online/mobilni-slide-up" TargetMode="External"/><Relationship Id="rId2377" Type="http://schemas.openxmlformats.org/officeDocument/2006/relationships/hyperlink" Target="https://zeny.cz/" TargetMode="External"/><Relationship Id="rId349" Type="http://schemas.openxmlformats.org/officeDocument/2006/relationships/hyperlink" Target="https://autorevue.cz/" TargetMode="External"/><Relationship Id="rId556" Type="http://schemas.openxmlformats.org/officeDocument/2006/relationships/hyperlink" Target="https://bleskprozeny.cz/" TargetMode="External"/><Relationship Id="rId763" Type="http://schemas.openxmlformats.org/officeDocument/2006/relationships/hyperlink" Target="https://reklama.cncenter.cz/Online/Smarticle" TargetMode="External"/><Relationship Id="rId1186" Type="http://schemas.openxmlformats.org/officeDocument/2006/relationships/hyperlink" Target="https://www.facebook.com/business/ads-guide/image/facebook-feed" TargetMode="External"/><Relationship Id="rId1393" Type="http://schemas.openxmlformats.org/officeDocument/2006/relationships/hyperlink" Target="http://www.instagram.com/" TargetMode="External"/><Relationship Id="rId2237" Type="http://schemas.openxmlformats.org/officeDocument/2006/relationships/hyperlink" Target="https://sportrevue.cz/" TargetMode="External"/><Relationship Id="rId2444" Type="http://schemas.openxmlformats.org/officeDocument/2006/relationships/hyperlink" Target="https://zive.cz/" TargetMode="External"/><Relationship Id="rId111" Type="http://schemas.openxmlformats.org/officeDocument/2006/relationships/hyperlink" Target="https://abicko.cz/" TargetMode="External"/><Relationship Id="rId209" Type="http://schemas.openxmlformats.org/officeDocument/2006/relationships/hyperlink" Target="https://reklama.cncenter.cz/Online/mobilni-interscroller" TargetMode="External"/><Relationship Id="rId416" Type="http://schemas.openxmlformats.org/officeDocument/2006/relationships/hyperlink" Target="https://avmania.zive.cz/" TargetMode="External"/><Relationship Id="rId970" Type="http://schemas.openxmlformats.org/officeDocument/2006/relationships/hyperlink" Target="https://dama.cz/" TargetMode="External"/><Relationship Id="rId1046" Type="http://schemas.openxmlformats.org/officeDocument/2006/relationships/hyperlink" Target="https://evropa2.cz/" TargetMode="External"/><Relationship Id="rId1253" Type="http://schemas.openxmlformats.org/officeDocument/2006/relationships/hyperlink" Target="https://fitweb.cz/" TargetMode="External"/><Relationship Id="rId1698" Type="http://schemas.openxmlformats.org/officeDocument/2006/relationships/hyperlink" Target="https://mobilmania.cz/" TargetMode="External"/><Relationship Id="rId623" Type="http://schemas.openxmlformats.org/officeDocument/2006/relationships/hyperlink" Target="https://bleskprozeny.cz/" TargetMode="External"/><Relationship Id="rId830" Type="http://schemas.openxmlformats.org/officeDocument/2006/relationships/hyperlink" Target="https://reklama.cncenter.cz/Online/nativni-rectangle-cross-device" TargetMode="External"/><Relationship Id="rId928" Type="http://schemas.openxmlformats.org/officeDocument/2006/relationships/hyperlink" Target="https://reklama.cncenter.cz/Online/branding-cross-device" TargetMode="External"/><Relationship Id="rId1460" Type="http://schemas.openxmlformats.org/officeDocument/2006/relationships/hyperlink" Target="http://www.instagram.com/" TargetMode="External"/><Relationship Id="rId1558" Type="http://schemas.openxmlformats.org/officeDocument/2006/relationships/hyperlink" Target="https://maminka.cz/" TargetMode="External"/><Relationship Id="rId1765" Type="http://schemas.openxmlformats.org/officeDocument/2006/relationships/hyperlink" Target="https://reklama.cncenter.cz/Online/branding" TargetMode="External"/><Relationship Id="rId2304" Type="http://schemas.openxmlformats.org/officeDocument/2006/relationships/hyperlink" Target="https://reklama.cncenter.cz/Online/Outstream" TargetMode="External"/><Relationship Id="rId57" Type="http://schemas.openxmlformats.org/officeDocument/2006/relationships/hyperlink" Target="https://reklama.cncenter.cz/Online/nativni-rectangle-cross-device" TargetMode="External"/><Relationship Id="rId1113" Type="http://schemas.openxmlformats.org/officeDocument/2006/relationships/hyperlink" Target="https://reklama.cncenter.cz/Online/Outstream" TargetMode="External"/><Relationship Id="rId1320" Type="http://schemas.openxmlformats.org/officeDocument/2006/relationships/hyperlink" Target="https://frekvence1.cz/" TargetMode="External"/><Relationship Id="rId1418" Type="http://schemas.openxmlformats.org/officeDocument/2006/relationships/hyperlink" Target="http://www.instagram.com/" TargetMode="External"/><Relationship Id="rId1972" Type="http://schemas.openxmlformats.org/officeDocument/2006/relationships/hyperlink" Target="https://nemovitosti.blesk.cz/" TargetMode="External"/><Relationship Id="rId1625" Type="http://schemas.openxmlformats.org/officeDocument/2006/relationships/hyperlink" Target="https://reklama.cncenter.cz/Online/nativni-PR-premium" TargetMode="External"/><Relationship Id="rId1832" Type="http://schemas.openxmlformats.org/officeDocument/2006/relationships/hyperlink" Target="https://motogpsport.cz/" TargetMode="External"/><Relationship Id="rId2094" Type="http://schemas.openxmlformats.org/officeDocument/2006/relationships/hyperlink" Target="https://reklama.cncenter.cz/Online/mobilni-vineta" TargetMode="External"/><Relationship Id="rId273" Type="http://schemas.openxmlformats.org/officeDocument/2006/relationships/hyperlink" Target="https://reklama.cncenter.cz/Online/mobilni-vineta" TargetMode="External"/><Relationship Id="rId480" Type="http://schemas.openxmlformats.org/officeDocument/2006/relationships/hyperlink" Target="https://reklama.cncenter.cz/Online/nativni-rectangle-cross-device" TargetMode="External"/><Relationship Id="rId2161" Type="http://schemas.openxmlformats.org/officeDocument/2006/relationships/hyperlink" Target="https://reflex.cz/" TargetMode="External"/><Relationship Id="rId2399" Type="http://schemas.openxmlformats.org/officeDocument/2006/relationships/hyperlink" Target="https://zeny.cz/" TargetMode="External"/><Relationship Id="rId133" Type="http://schemas.openxmlformats.org/officeDocument/2006/relationships/hyperlink" Target="https://abicko.cz/" TargetMode="External"/><Relationship Id="rId340" Type="http://schemas.openxmlformats.org/officeDocument/2006/relationships/hyperlink" Target="https://autorevue.cz/" TargetMode="External"/><Relationship Id="rId578" Type="http://schemas.openxmlformats.org/officeDocument/2006/relationships/hyperlink" Target="https://bleskprozeny.cz/" TargetMode="External"/><Relationship Id="rId785" Type="http://schemas.openxmlformats.org/officeDocument/2006/relationships/hyperlink" Target="https://digiarena.zive.cz/" TargetMode="External"/><Relationship Id="rId992" Type="http://schemas.openxmlformats.org/officeDocument/2006/relationships/hyperlink" Target="https://dama.cz/" TargetMode="External"/><Relationship Id="rId2021" Type="http://schemas.openxmlformats.org/officeDocument/2006/relationships/hyperlink" Target="https://www.realitnitrh.cz/" TargetMode="External"/><Relationship Id="rId2259" Type="http://schemas.openxmlformats.org/officeDocument/2006/relationships/hyperlink" Target="https://reklama.cncenter.cz/Online/branding" TargetMode="External"/><Relationship Id="rId2466" Type="http://schemas.openxmlformats.org/officeDocument/2006/relationships/hyperlink" Target="https://zive.cz/" TargetMode="External"/><Relationship Id="rId200" Type="http://schemas.openxmlformats.org/officeDocument/2006/relationships/hyperlink" Target="https://ahaonline.cz/" TargetMode="External"/><Relationship Id="rId438" Type="http://schemas.openxmlformats.org/officeDocument/2006/relationships/hyperlink" Target="https://reklama.cncenter.cz/Online/mobilni-vineta" TargetMode="External"/><Relationship Id="rId645" Type="http://schemas.openxmlformats.org/officeDocument/2006/relationships/hyperlink" Target="https://reklama.cncenter.cz/Online/Smarticle" TargetMode="External"/><Relationship Id="rId852" Type="http://schemas.openxmlformats.org/officeDocument/2006/relationships/hyperlink" Target="https://doupe.zive.cz/" TargetMode="External"/><Relationship Id="rId1068" Type="http://schemas.openxmlformats.org/officeDocument/2006/relationships/hyperlink" Target="https://evropa2.cz/" TargetMode="External"/><Relationship Id="rId1275" Type="http://schemas.openxmlformats.org/officeDocument/2006/relationships/hyperlink" Target="https://fitweb.cz/" TargetMode="External"/><Relationship Id="rId1482" Type="http://schemas.openxmlformats.org/officeDocument/2006/relationships/hyperlink" Target="https://reklama.cncenter.cz/Online/mobilni-slide-up" TargetMode="External"/><Relationship Id="rId2119" Type="http://schemas.openxmlformats.org/officeDocument/2006/relationships/hyperlink" Target="https://recepty.cz/" TargetMode="External"/><Relationship Id="rId2326" Type="http://schemas.openxmlformats.org/officeDocument/2006/relationships/hyperlink" Target="https://zeny.cz/" TargetMode="External"/><Relationship Id="rId505" Type="http://schemas.openxmlformats.org/officeDocument/2006/relationships/hyperlink" Target="https://reklama.cncenter.cz/Online/mobilni-interscroller" TargetMode="External"/><Relationship Id="rId712" Type="http://schemas.openxmlformats.org/officeDocument/2006/relationships/hyperlink" Target="https://reklama.cncenter.cz/Online/mobilni-vineta" TargetMode="External"/><Relationship Id="rId1135" Type="http://schemas.openxmlformats.org/officeDocument/2006/relationships/hyperlink" Target="https://reklama.cncenter.cz/Online/Outstream" TargetMode="External"/><Relationship Id="rId1342" Type="http://schemas.openxmlformats.org/officeDocument/2006/relationships/hyperlink" Target="https://reklama.cncenter.cz/Online/mobilni-slide-up" TargetMode="External"/><Relationship Id="rId1787" Type="http://schemas.openxmlformats.org/officeDocument/2006/relationships/hyperlink" Target="https://mojezdravi.cz/" TargetMode="External"/><Relationship Id="rId1994" Type="http://schemas.openxmlformats.org/officeDocument/2006/relationships/hyperlink" Target="https://www.poggers.cz/" TargetMode="External"/><Relationship Id="rId79" Type="http://schemas.openxmlformats.org/officeDocument/2006/relationships/hyperlink" Target="https://abicko.cz/" TargetMode="External"/><Relationship Id="rId1202" Type="http://schemas.openxmlformats.org/officeDocument/2006/relationships/hyperlink" Target="http://www.facebook.com/" TargetMode="External"/><Relationship Id="rId1647" Type="http://schemas.openxmlformats.org/officeDocument/2006/relationships/hyperlink" Target="https://reklama.cncenter.cz/Online/billboard-bottom" TargetMode="External"/><Relationship Id="rId1854" Type="http://schemas.openxmlformats.org/officeDocument/2006/relationships/hyperlink" Target="https://motogpsport.cz/" TargetMode="External"/><Relationship Id="rId1507" Type="http://schemas.openxmlformats.org/officeDocument/2006/relationships/hyperlink" Target="https://reklama.cncenter.cz/Online/branding" TargetMode="External"/><Relationship Id="rId1714" Type="http://schemas.openxmlformats.org/officeDocument/2006/relationships/hyperlink" Target="https://mobilmania.cz/" TargetMode="External"/><Relationship Id="rId295" Type="http://schemas.openxmlformats.org/officeDocument/2006/relationships/hyperlink" Target="https://auto.cz/" TargetMode="External"/><Relationship Id="rId1921" Type="http://schemas.openxmlformats.org/officeDocument/2006/relationships/hyperlink" Target="https://nemovitosti.blesk.cz/" TargetMode="External"/><Relationship Id="rId2183" Type="http://schemas.openxmlformats.org/officeDocument/2006/relationships/hyperlink" Target="https://reflex.cz/" TargetMode="External"/><Relationship Id="rId2390" Type="http://schemas.openxmlformats.org/officeDocument/2006/relationships/hyperlink" Target="https://zeny.cz/" TargetMode="External"/><Relationship Id="rId155" Type="http://schemas.openxmlformats.org/officeDocument/2006/relationships/hyperlink" Target="https://www.activegroup.cz/reklama" TargetMode="External"/><Relationship Id="rId362" Type="http://schemas.openxmlformats.org/officeDocument/2006/relationships/hyperlink" Target="https://autorevue.cz/" TargetMode="External"/><Relationship Id="rId1297" Type="http://schemas.openxmlformats.org/officeDocument/2006/relationships/hyperlink" Target="https://reklama.cncenter.cz/?ads=PR%2520%25C4%258Dl%25C3%25A1nky" TargetMode="External"/><Relationship Id="rId2043" Type="http://schemas.openxmlformats.org/officeDocument/2006/relationships/hyperlink" Target="https://www.realitnitrh.cz/" TargetMode="External"/><Relationship Id="rId2250" Type="http://schemas.openxmlformats.org/officeDocument/2006/relationships/hyperlink" Target="http://www.tiktok.com/" TargetMode="External"/><Relationship Id="rId222" Type="http://schemas.openxmlformats.org/officeDocument/2006/relationships/hyperlink" Target="https://ahaonline.cz/" TargetMode="External"/><Relationship Id="rId667" Type="http://schemas.openxmlformats.org/officeDocument/2006/relationships/hyperlink" Target="https://reklama.cncenter.cz/Online/nativni-rectangle-cross-device" TargetMode="External"/><Relationship Id="rId874" Type="http://schemas.openxmlformats.org/officeDocument/2006/relationships/hyperlink" Target="https://reklama.cncenter.cz/Online/mobilni-vineta" TargetMode="External"/><Relationship Id="rId2110" Type="http://schemas.openxmlformats.org/officeDocument/2006/relationships/hyperlink" Target="https://recepty.cz/" TargetMode="External"/><Relationship Id="rId2348" Type="http://schemas.openxmlformats.org/officeDocument/2006/relationships/hyperlink" Target="https://zeny.cz/" TargetMode="External"/><Relationship Id="rId527" Type="http://schemas.openxmlformats.org/officeDocument/2006/relationships/hyperlink" Target="https://blesk.cz/" TargetMode="External"/><Relationship Id="rId734" Type="http://schemas.openxmlformats.org/officeDocument/2006/relationships/hyperlink" Target="https://reklama.cncenter.cz/Online/mobilni-interscroller" TargetMode="External"/><Relationship Id="rId941" Type="http://schemas.openxmlformats.org/officeDocument/2006/relationships/hyperlink" Target="https://dama.cz/" TargetMode="External"/><Relationship Id="rId1157" Type="http://schemas.openxmlformats.org/officeDocument/2006/relationships/hyperlink" Target="http://www.facebook.com/" TargetMode="External"/><Relationship Id="rId1364" Type="http://schemas.openxmlformats.org/officeDocument/2006/relationships/hyperlink" Target="https://hledejceny.cz/" TargetMode="External"/><Relationship Id="rId1571" Type="http://schemas.openxmlformats.org/officeDocument/2006/relationships/hyperlink" Target="https://maminka.cz/" TargetMode="External"/><Relationship Id="rId2208" Type="http://schemas.openxmlformats.org/officeDocument/2006/relationships/hyperlink" Target="https://reflex.cz/" TargetMode="External"/><Relationship Id="rId2415" Type="http://schemas.openxmlformats.org/officeDocument/2006/relationships/hyperlink" Target="https://reklama.cncenter.cz/Online/billboard-bottom" TargetMode="External"/><Relationship Id="rId70" Type="http://schemas.openxmlformats.org/officeDocument/2006/relationships/hyperlink" Target="https://abicko.cz/" TargetMode="External"/><Relationship Id="rId801" Type="http://schemas.openxmlformats.org/officeDocument/2006/relationships/hyperlink" Target="https://digiarena.zive.cz/" TargetMode="External"/><Relationship Id="rId1017" Type="http://schemas.openxmlformats.org/officeDocument/2006/relationships/hyperlink" Target="https://reklama.cncenter.cz/Online/mobilni-vineta" TargetMode="External"/><Relationship Id="rId1224" Type="http://schemas.openxmlformats.org/officeDocument/2006/relationships/hyperlink" Target="https://finexpert.cz/" TargetMode="External"/><Relationship Id="rId1431" Type="http://schemas.openxmlformats.org/officeDocument/2006/relationships/hyperlink" Target="http://www.instagram.com/" TargetMode="External"/><Relationship Id="rId1669" Type="http://schemas.openxmlformats.org/officeDocument/2006/relationships/hyperlink" Target="https://reklama.cncenter.cz/Online/billboard-bottom" TargetMode="External"/><Relationship Id="rId1876" Type="http://schemas.openxmlformats.org/officeDocument/2006/relationships/hyperlink" Target="https://motogpsport.cz/" TargetMode="External"/><Relationship Id="rId1529" Type="http://schemas.openxmlformats.org/officeDocument/2006/relationships/hyperlink" Target="https://lideazeme.cz/" TargetMode="External"/><Relationship Id="rId1736" Type="http://schemas.openxmlformats.org/officeDocument/2006/relationships/hyperlink" Target="https://reklama.cncenter.cz/?ads=PR%2520%25C4%258Dl%25C3%25A1nky" TargetMode="External"/><Relationship Id="rId1943" Type="http://schemas.openxmlformats.org/officeDocument/2006/relationships/hyperlink" Target="http://nemovitosti.blesk.cz/" TargetMode="External"/><Relationship Id="rId28" Type="http://schemas.openxmlformats.org/officeDocument/2006/relationships/hyperlink" Target="https://abecedazahrady.dama.cz/" TargetMode="External"/><Relationship Id="rId1803" Type="http://schemas.openxmlformats.org/officeDocument/2006/relationships/hyperlink" Target="https://reklama.cncenter.cz/Online/mobilni-slide-up" TargetMode="External"/><Relationship Id="rId177" Type="http://schemas.openxmlformats.org/officeDocument/2006/relationships/hyperlink" Target="https://reklama.cncenter.cz/Online/branding" TargetMode="External"/><Relationship Id="rId384" Type="http://schemas.openxmlformats.org/officeDocument/2006/relationships/hyperlink" Target="https://autorevue.cz/" TargetMode="External"/><Relationship Id="rId591" Type="http://schemas.openxmlformats.org/officeDocument/2006/relationships/hyperlink" Target="https://reklama.cncenter.cz/Online/Bumper" TargetMode="External"/><Relationship Id="rId2065" Type="http://schemas.openxmlformats.org/officeDocument/2006/relationships/hyperlink" Target="https://recepty.cz/" TargetMode="External"/><Relationship Id="rId2272" Type="http://schemas.openxmlformats.org/officeDocument/2006/relationships/hyperlink" Target="https://vtm.zive.cz/" TargetMode="External"/><Relationship Id="rId244" Type="http://schemas.openxmlformats.org/officeDocument/2006/relationships/hyperlink" Target="https://auto.cz/" TargetMode="External"/><Relationship Id="rId689" Type="http://schemas.openxmlformats.org/officeDocument/2006/relationships/hyperlink" Target="https://reklama.cncenter.cz/Online/mobilni-vineta" TargetMode="External"/><Relationship Id="rId896" Type="http://schemas.openxmlformats.org/officeDocument/2006/relationships/hyperlink" Target="https://doupe.zive.cz/" TargetMode="External"/><Relationship Id="rId1081" Type="http://schemas.openxmlformats.org/officeDocument/2006/relationships/hyperlink" Target="https://f1sport.auto.cz/" TargetMode="External"/><Relationship Id="rId451" Type="http://schemas.openxmlformats.org/officeDocument/2006/relationships/hyperlink" Target="https://avmania.zive.cz/" TargetMode="External"/><Relationship Id="rId549" Type="http://schemas.openxmlformats.org/officeDocument/2006/relationships/hyperlink" Target="https://reklama.cncenter.cz/Online/billboard-bottom" TargetMode="External"/><Relationship Id="rId756" Type="http://schemas.openxmlformats.org/officeDocument/2006/relationships/hyperlink" Target="https://reklama.cncenter.cz/Online/double-skyscraper" TargetMode="External"/><Relationship Id="rId1179" Type="http://schemas.openxmlformats.org/officeDocument/2006/relationships/hyperlink" Target="http://www.facebook.com/" TargetMode="External"/><Relationship Id="rId1386" Type="http://schemas.openxmlformats.org/officeDocument/2006/relationships/hyperlink" Target="http://www.instagram.com/" TargetMode="External"/><Relationship Id="rId1593" Type="http://schemas.openxmlformats.org/officeDocument/2006/relationships/hyperlink" Target="https://maminka.cz/" TargetMode="External"/><Relationship Id="rId2132" Type="http://schemas.openxmlformats.org/officeDocument/2006/relationships/hyperlink" Target="https://recepty.cz/" TargetMode="External"/><Relationship Id="rId2437" Type="http://schemas.openxmlformats.org/officeDocument/2006/relationships/hyperlink" Target="https://zive.cz/" TargetMode="External"/><Relationship Id="rId104" Type="http://schemas.openxmlformats.org/officeDocument/2006/relationships/hyperlink" Target="https://reklama.cncenter.cz/Online/nativni-PR-premium" TargetMode="External"/><Relationship Id="rId311" Type="http://schemas.openxmlformats.org/officeDocument/2006/relationships/hyperlink" Target="https://auto.cz/" TargetMode="External"/><Relationship Id="rId409" Type="http://schemas.openxmlformats.org/officeDocument/2006/relationships/hyperlink" Target="https://avmania.zive.cz/" TargetMode="External"/><Relationship Id="rId963" Type="http://schemas.openxmlformats.org/officeDocument/2006/relationships/hyperlink" Target="https://reklama.cncenter.cz/Online/double-skyscraper" TargetMode="External"/><Relationship Id="rId1039" Type="http://schemas.openxmlformats.org/officeDocument/2006/relationships/hyperlink" Target="https://reklama.cncenter.cz/Online/Videospot" TargetMode="External"/><Relationship Id="rId1246" Type="http://schemas.openxmlformats.org/officeDocument/2006/relationships/hyperlink" Target="https://reklama.cncenter.cz/Online/billboard-bottom" TargetMode="External"/><Relationship Id="rId1898" Type="http://schemas.openxmlformats.org/officeDocument/2006/relationships/hyperlink" Target="https://nemovitosti.blesk.cz/" TargetMode="External"/><Relationship Id="rId92" Type="http://schemas.openxmlformats.org/officeDocument/2006/relationships/hyperlink" Target="https://reklama.cncenter.cz/Online/double-skyscraper" TargetMode="External"/><Relationship Id="rId616" Type="http://schemas.openxmlformats.org/officeDocument/2006/relationships/hyperlink" Target="https://reklama.cncenter.cz/Online/nativni-rectangle-cross-device" TargetMode="External"/><Relationship Id="rId823" Type="http://schemas.openxmlformats.org/officeDocument/2006/relationships/hyperlink" Target="https://digiarena.zive.cz/" TargetMode="External"/><Relationship Id="rId1453" Type="http://schemas.openxmlformats.org/officeDocument/2006/relationships/hyperlink" Target="http://www.instagram.com/" TargetMode="External"/><Relationship Id="rId1660" Type="http://schemas.openxmlformats.org/officeDocument/2006/relationships/hyperlink" Target="https://reklama.cncenter.cz/Online/mobilni-vineta" TargetMode="External"/><Relationship Id="rId1758" Type="http://schemas.openxmlformats.org/officeDocument/2006/relationships/hyperlink" Target="https://mojezdravi.cz/" TargetMode="External"/><Relationship Id="rId1106" Type="http://schemas.openxmlformats.org/officeDocument/2006/relationships/hyperlink" Target="https://f1sport.auto.cz/" TargetMode="External"/><Relationship Id="rId1313" Type="http://schemas.openxmlformats.org/officeDocument/2006/relationships/hyperlink" Target="https://frekvence1.cz/" TargetMode="External"/><Relationship Id="rId1520" Type="http://schemas.openxmlformats.org/officeDocument/2006/relationships/hyperlink" Target="https://lideazeme.cz/" TargetMode="External"/><Relationship Id="rId1965" Type="http://schemas.openxmlformats.org/officeDocument/2006/relationships/hyperlink" Target="https://nemovitosti.blesk.cz/" TargetMode="External"/><Relationship Id="rId1618" Type="http://schemas.openxmlformats.org/officeDocument/2006/relationships/hyperlink" Target="https://maminka.cz/" TargetMode="External"/><Relationship Id="rId1825" Type="http://schemas.openxmlformats.org/officeDocument/2006/relationships/hyperlink" Target="https://mojezdravi.cz/" TargetMode="External"/><Relationship Id="rId199" Type="http://schemas.openxmlformats.org/officeDocument/2006/relationships/hyperlink" Target="https://ahaonline.cz/" TargetMode="External"/><Relationship Id="rId2087" Type="http://schemas.openxmlformats.org/officeDocument/2006/relationships/hyperlink" Target="https://recepty.cz/" TargetMode="External"/><Relationship Id="rId2294" Type="http://schemas.openxmlformats.org/officeDocument/2006/relationships/hyperlink" Target="https://vtm.zive.cz/" TargetMode="External"/><Relationship Id="rId266" Type="http://schemas.openxmlformats.org/officeDocument/2006/relationships/hyperlink" Target="https://auto.cz/" TargetMode="External"/><Relationship Id="rId473" Type="http://schemas.openxmlformats.org/officeDocument/2006/relationships/hyperlink" Target="https://avmania.zive.cz/" TargetMode="External"/><Relationship Id="rId680" Type="http://schemas.openxmlformats.org/officeDocument/2006/relationships/hyperlink" Target="https://reklama.cncenter.cz/Online/billboard-bottom" TargetMode="External"/><Relationship Id="rId2154" Type="http://schemas.openxmlformats.org/officeDocument/2006/relationships/hyperlink" Target="https://reklama.cncenter.cz/Online/branding-cross-device" TargetMode="External"/><Relationship Id="rId2361" Type="http://schemas.openxmlformats.org/officeDocument/2006/relationships/hyperlink" Target="https://reklama.cncenter.cz/Online/Bumper" TargetMode="External"/><Relationship Id="rId126" Type="http://schemas.openxmlformats.org/officeDocument/2006/relationships/hyperlink" Target="https://abicko.cz/" TargetMode="External"/><Relationship Id="rId333" Type="http://schemas.openxmlformats.org/officeDocument/2006/relationships/hyperlink" Target="https://reklama.cncenter.cz/Online/branding-cross-device" TargetMode="External"/><Relationship Id="rId540" Type="http://schemas.openxmlformats.org/officeDocument/2006/relationships/hyperlink" Target="https://blesk.cz/" TargetMode="External"/><Relationship Id="rId778" Type="http://schemas.openxmlformats.org/officeDocument/2006/relationships/hyperlink" Target="https://reklama.cncenter.cz/Online/billboard-bottom" TargetMode="External"/><Relationship Id="rId985" Type="http://schemas.openxmlformats.org/officeDocument/2006/relationships/hyperlink" Target="https://dama.cz/" TargetMode="External"/><Relationship Id="rId1170" Type="http://schemas.openxmlformats.org/officeDocument/2006/relationships/hyperlink" Target="http://www.facebook.com/" TargetMode="External"/><Relationship Id="rId2014" Type="http://schemas.openxmlformats.org/officeDocument/2006/relationships/hyperlink" Target="https://www.realitnitrh.cz/" TargetMode="External"/><Relationship Id="rId2221" Type="http://schemas.openxmlformats.org/officeDocument/2006/relationships/hyperlink" Target="https://reklama.cncenter.cz/Online/Outstream" TargetMode="External"/><Relationship Id="rId2459" Type="http://schemas.openxmlformats.org/officeDocument/2006/relationships/hyperlink" Target="https://reklama.cncenter.cz/Online/mobilni-vineta" TargetMode="External"/><Relationship Id="rId638" Type="http://schemas.openxmlformats.org/officeDocument/2006/relationships/hyperlink" Target="https://reklama.cncenter.cz/Online/double-skyscraper" TargetMode="External"/><Relationship Id="rId845" Type="http://schemas.openxmlformats.org/officeDocument/2006/relationships/hyperlink" Target="https://doupe.zive.cz/" TargetMode="External"/><Relationship Id="rId1030" Type="http://schemas.openxmlformats.org/officeDocument/2006/relationships/hyperlink" Target="https://reklama.cncenter.cz/Online/branding-cross-device" TargetMode="External"/><Relationship Id="rId1268" Type="http://schemas.openxmlformats.org/officeDocument/2006/relationships/hyperlink" Target="https://fitweb.cz/" TargetMode="External"/><Relationship Id="rId1475" Type="http://schemas.openxmlformats.org/officeDocument/2006/relationships/hyperlink" Target="https://reklama.cncenter.cz/Online/mobilni-vineta" TargetMode="External"/><Relationship Id="rId1682" Type="http://schemas.openxmlformats.org/officeDocument/2006/relationships/hyperlink" Target="https://mobilmania.cz/" TargetMode="External"/><Relationship Id="rId2319" Type="http://schemas.openxmlformats.org/officeDocument/2006/relationships/hyperlink" Target="https://reklama.cncenter.cz/Online/billboard-bottom" TargetMode="External"/><Relationship Id="rId400" Type="http://schemas.openxmlformats.org/officeDocument/2006/relationships/hyperlink" Target="https://autorevue.cz/" TargetMode="External"/><Relationship Id="rId705" Type="http://schemas.openxmlformats.org/officeDocument/2006/relationships/hyperlink" Target="https://reklama.cncenter.cz/Online/billboard-bottom" TargetMode="External"/><Relationship Id="rId1128" Type="http://schemas.openxmlformats.org/officeDocument/2006/relationships/hyperlink" Target="https://f1sport.auto.cz/" TargetMode="External"/><Relationship Id="rId1335" Type="http://schemas.openxmlformats.org/officeDocument/2006/relationships/hyperlink" Target="https://frekvence1.cz/" TargetMode="External"/><Relationship Id="rId1542" Type="http://schemas.openxmlformats.org/officeDocument/2006/relationships/hyperlink" Target="https://lideazeme.cz/" TargetMode="External"/><Relationship Id="rId1987" Type="http://schemas.openxmlformats.org/officeDocument/2006/relationships/hyperlink" Target="https://nemovitosti.blesk.cz/" TargetMode="External"/><Relationship Id="rId912" Type="http://schemas.openxmlformats.org/officeDocument/2006/relationships/hyperlink" Target="https://dama.cz/" TargetMode="External"/><Relationship Id="rId1847" Type="http://schemas.openxmlformats.org/officeDocument/2006/relationships/hyperlink" Target="https://motogpsport.cz/" TargetMode="External"/><Relationship Id="rId41" Type="http://schemas.openxmlformats.org/officeDocument/2006/relationships/hyperlink" Target="https://abecedazahrady.dama.cz/" TargetMode="External"/><Relationship Id="rId1402" Type="http://schemas.openxmlformats.org/officeDocument/2006/relationships/hyperlink" Target="http://www.instagram.com/" TargetMode="External"/><Relationship Id="rId1707" Type="http://schemas.openxmlformats.org/officeDocument/2006/relationships/hyperlink" Target="https://mobilmania.cz/" TargetMode="External"/><Relationship Id="rId190" Type="http://schemas.openxmlformats.org/officeDocument/2006/relationships/hyperlink" Target="https://ahaonline.cz/" TargetMode="External"/><Relationship Id="rId288" Type="http://schemas.openxmlformats.org/officeDocument/2006/relationships/hyperlink" Target="https://auto.cz/" TargetMode="External"/><Relationship Id="rId1914" Type="http://schemas.openxmlformats.org/officeDocument/2006/relationships/hyperlink" Target="https://reklama.cncenter.cz/Online/billboard-bottom" TargetMode="External"/><Relationship Id="rId495" Type="http://schemas.openxmlformats.org/officeDocument/2006/relationships/hyperlink" Target="https://blesk.cz/" TargetMode="External"/><Relationship Id="rId2176" Type="http://schemas.openxmlformats.org/officeDocument/2006/relationships/hyperlink" Target="https://reflex.cz/" TargetMode="External"/><Relationship Id="rId2383" Type="http://schemas.openxmlformats.org/officeDocument/2006/relationships/hyperlink" Target="https://reklama.cncenter.cz/Online/nativni-PR-premium" TargetMode="External"/><Relationship Id="rId148" Type="http://schemas.openxmlformats.org/officeDocument/2006/relationships/hyperlink" Target="https://abicko.cz/" TargetMode="External"/><Relationship Id="rId355" Type="http://schemas.openxmlformats.org/officeDocument/2006/relationships/hyperlink" Target="https://autorevue.cz/" TargetMode="External"/><Relationship Id="rId562" Type="http://schemas.openxmlformats.org/officeDocument/2006/relationships/hyperlink" Target="https://bleskprozeny.cz/" TargetMode="External"/><Relationship Id="rId1192" Type="http://schemas.openxmlformats.org/officeDocument/2006/relationships/hyperlink" Target="https://www.facebook.com/business/ads-guide/image/facebook-feed" TargetMode="External"/><Relationship Id="rId2036" Type="http://schemas.openxmlformats.org/officeDocument/2006/relationships/hyperlink" Target="https://reklama.cncenter.cz/Online/double-skyscraper" TargetMode="External"/><Relationship Id="rId2243" Type="http://schemas.openxmlformats.org/officeDocument/2006/relationships/hyperlink" Target="https://sportrevue.cz/" TargetMode="External"/><Relationship Id="rId2450" Type="http://schemas.openxmlformats.org/officeDocument/2006/relationships/hyperlink" Target="https://reklama.cncenter.cz/Online/double-skyscraper" TargetMode="External"/><Relationship Id="rId215" Type="http://schemas.openxmlformats.org/officeDocument/2006/relationships/hyperlink" Target="https://reklama.cncenter.cz/Online/mobilni-vineta" TargetMode="External"/><Relationship Id="rId422" Type="http://schemas.openxmlformats.org/officeDocument/2006/relationships/hyperlink" Target="https://avmania.zive.cz/" TargetMode="External"/><Relationship Id="rId867" Type="http://schemas.openxmlformats.org/officeDocument/2006/relationships/hyperlink" Target="https://doupe.zive.cz/" TargetMode="External"/><Relationship Id="rId1052" Type="http://schemas.openxmlformats.org/officeDocument/2006/relationships/hyperlink" Target="https://evropa2.cz/" TargetMode="External"/><Relationship Id="rId1497" Type="http://schemas.openxmlformats.org/officeDocument/2006/relationships/hyperlink" Target="https://lideazeme.cz/" TargetMode="External"/><Relationship Id="rId2103" Type="http://schemas.openxmlformats.org/officeDocument/2006/relationships/hyperlink" Target="https://reklama.cncenter.cz/Online/Outstream" TargetMode="External"/><Relationship Id="rId2310" Type="http://schemas.openxmlformats.org/officeDocument/2006/relationships/hyperlink" Target="https://youradio.cz/" TargetMode="External"/><Relationship Id="rId727" Type="http://schemas.openxmlformats.org/officeDocument/2006/relationships/hyperlink" Target="https://reklama.cncenter.cz/Online/branding-cross-device" TargetMode="External"/><Relationship Id="rId934" Type="http://schemas.openxmlformats.org/officeDocument/2006/relationships/hyperlink" Target="https://reklama.cncenter.cz/Online/double-skyscraper" TargetMode="External"/><Relationship Id="rId1357" Type="http://schemas.openxmlformats.org/officeDocument/2006/relationships/hyperlink" Target="https://reklama.cncenter.cz/Online/billboard-bottom" TargetMode="External"/><Relationship Id="rId1564" Type="http://schemas.openxmlformats.org/officeDocument/2006/relationships/hyperlink" Target="https://reklama.cncenter.cz/Online/branding-cross-device" TargetMode="External"/><Relationship Id="rId1771" Type="http://schemas.openxmlformats.org/officeDocument/2006/relationships/hyperlink" Target="https://reklama.cncenter.cz/Online/Videospot" TargetMode="External"/><Relationship Id="rId2408" Type="http://schemas.openxmlformats.org/officeDocument/2006/relationships/hyperlink" Target="https://zive.cz/" TargetMode="External"/><Relationship Id="rId63" Type="http://schemas.openxmlformats.org/officeDocument/2006/relationships/hyperlink" Target="https://reklama.cncenter.cz/?ads=PR%2520%25C4%258Dl%25C3%25A1nky" TargetMode="External"/><Relationship Id="rId1217" Type="http://schemas.openxmlformats.org/officeDocument/2006/relationships/hyperlink" Target="http://www.facebook.com/" TargetMode="External"/><Relationship Id="rId1424" Type="http://schemas.openxmlformats.org/officeDocument/2006/relationships/hyperlink" Target="http://www.instagram.com/" TargetMode="External"/><Relationship Id="rId1631" Type="http://schemas.openxmlformats.org/officeDocument/2006/relationships/hyperlink" Target="https://reklama.cncenter.cz/Online/Outstream" TargetMode="External"/><Relationship Id="rId1869" Type="http://schemas.openxmlformats.org/officeDocument/2006/relationships/hyperlink" Target="https://reklama.cncenter.cz/Online/double-skyscraper" TargetMode="External"/><Relationship Id="rId1729" Type="http://schemas.openxmlformats.org/officeDocument/2006/relationships/hyperlink" Target="https://mobilmania.cz/" TargetMode="External"/><Relationship Id="rId1936" Type="http://schemas.openxmlformats.org/officeDocument/2006/relationships/hyperlink" Target="https://nemovitosti.blesk.cz/" TargetMode="External"/><Relationship Id="rId2198" Type="http://schemas.openxmlformats.org/officeDocument/2006/relationships/hyperlink" Target="https://reklama.cncenter.cz/Online/double-skyscraper" TargetMode="External"/><Relationship Id="rId377" Type="http://schemas.openxmlformats.org/officeDocument/2006/relationships/hyperlink" Target="https://reklama.cncenter.cz/Online/mobilni-interscroller" TargetMode="External"/><Relationship Id="rId584" Type="http://schemas.openxmlformats.org/officeDocument/2006/relationships/hyperlink" Target="https://bleskprozeny.cz/" TargetMode="External"/><Relationship Id="rId2058" Type="http://schemas.openxmlformats.org/officeDocument/2006/relationships/hyperlink" Target="https://www.realitnitrh.cz/" TargetMode="External"/><Relationship Id="rId2265" Type="http://schemas.openxmlformats.org/officeDocument/2006/relationships/hyperlink" Target="https://reklama.cncenter.cz/Online/branding-cross-device" TargetMode="External"/><Relationship Id="rId5" Type="http://schemas.openxmlformats.org/officeDocument/2006/relationships/hyperlink" Target="https://reklama.cncenter.cz/Online/billboard-bottom" TargetMode="External"/><Relationship Id="rId237" Type="http://schemas.openxmlformats.org/officeDocument/2006/relationships/hyperlink" Target="https://ahaonline.cz/" TargetMode="External"/><Relationship Id="rId791" Type="http://schemas.openxmlformats.org/officeDocument/2006/relationships/hyperlink" Target="https://digiarena.zive.cz/" TargetMode="External"/><Relationship Id="rId889" Type="http://schemas.openxmlformats.org/officeDocument/2006/relationships/hyperlink" Target="https://doupe.zive.cz/" TargetMode="External"/><Relationship Id="rId1074" Type="http://schemas.openxmlformats.org/officeDocument/2006/relationships/hyperlink" Target="https://evropa2.cz/" TargetMode="External"/><Relationship Id="rId2472" Type="http://schemas.openxmlformats.org/officeDocument/2006/relationships/hyperlink" Target="https://zive.cz/" TargetMode="External"/><Relationship Id="rId444" Type="http://schemas.openxmlformats.org/officeDocument/2006/relationships/hyperlink" Target="https://reklama.cncenter.cz/Online/Outstream" TargetMode="External"/><Relationship Id="rId651" Type="http://schemas.openxmlformats.org/officeDocument/2006/relationships/hyperlink" Target="https://reklama.cncenter.cz/Online/mobilni-vineta" TargetMode="External"/><Relationship Id="rId749" Type="http://schemas.openxmlformats.org/officeDocument/2006/relationships/hyperlink" Target="https://reklama.cncenter.cz/Online/Bumper" TargetMode="External"/><Relationship Id="rId1281" Type="http://schemas.openxmlformats.org/officeDocument/2006/relationships/hyperlink" Target="https://fitweb.cz/" TargetMode="External"/><Relationship Id="rId1379" Type="http://schemas.openxmlformats.org/officeDocument/2006/relationships/hyperlink" Target="http://www.instagram.com/" TargetMode="External"/><Relationship Id="rId1586" Type="http://schemas.openxmlformats.org/officeDocument/2006/relationships/hyperlink" Target="https://maminka.cz/" TargetMode="External"/><Relationship Id="rId2125" Type="http://schemas.openxmlformats.org/officeDocument/2006/relationships/hyperlink" Target="https://recepty.cz/" TargetMode="External"/><Relationship Id="rId2332" Type="http://schemas.openxmlformats.org/officeDocument/2006/relationships/hyperlink" Target="https://zeny.cz/" TargetMode="External"/><Relationship Id="rId304" Type="http://schemas.openxmlformats.org/officeDocument/2006/relationships/hyperlink" Target="https://auto.cz/" TargetMode="External"/><Relationship Id="rId511" Type="http://schemas.openxmlformats.org/officeDocument/2006/relationships/hyperlink" Target="https://reklama.cncenter.cz/Online/Bumper" TargetMode="External"/><Relationship Id="rId609" Type="http://schemas.openxmlformats.org/officeDocument/2006/relationships/hyperlink" Target="https://bleskprozeny.cz/" TargetMode="External"/><Relationship Id="rId956" Type="http://schemas.openxmlformats.org/officeDocument/2006/relationships/hyperlink" Target="https://dama.cz/" TargetMode="External"/><Relationship Id="rId1141" Type="http://schemas.openxmlformats.org/officeDocument/2006/relationships/hyperlink" Target="https://f1sport.auto.cz/" TargetMode="External"/><Relationship Id="rId1239" Type="http://schemas.openxmlformats.org/officeDocument/2006/relationships/hyperlink" Target="https://fitweb.cz/" TargetMode="External"/><Relationship Id="rId1793" Type="http://schemas.openxmlformats.org/officeDocument/2006/relationships/hyperlink" Target="https://mojezdravi.cz/" TargetMode="External"/><Relationship Id="rId85" Type="http://schemas.openxmlformats.org/officeDocument/2006/relationships/hyperlink" Target="https://abicko.cz/" TargetMode="External"/><Relationship Id="rId816" Type="http://schemas.openxmlformats.org/officeDocument/2006/relationships/hyperlink" Target="https://reklama.cncenter.cz/Online/double-skyscraper" TargetMode="External"/><Relationship Id="rId1001" Type="http://schemas.openxmlformats.org/officeDocument/2006/relationships/hyperlink" Target="https://reklama.cncenter.cz/Online/branding" TargetMode="External"/><Relationship Id="rId1446" Type="http://schemas.openxmlformats.org/officeDocument/2006/relationships/hyperlink" Target="http://www.instagram.com/" TargetMode="External"/><Relationship Id="rId1653" Type="http://schemas.openxmlformats.org/officeDocument/2006/relationships/hyperlink" Target="https://reklama.cncenter.cz/Online/mobilni-vineta" TargetMode="External"/><Relationship Id="rId1860" Type="http://schemas.openxmlformats.org/officeDocument/2006/relationships/hyperlink" Target="https://motogpsport.cz/" TargetMode="External"/><Relationship Id="rId1306" Type="http://schemas.openxmlformats.org/officeDocument/2006/relationships/hyperlink" Target="https://reklama.cncenter.cz/Online/branding-cross-device" TargetMode="External"/><Relationship Id="rId1513" Type="http://schemas.openxmlformats.org/officeDocument/2006/relationships/hyperlink" Target="https://reklama.cncenter.cz/Online/mobilni-interscroller" TargetMode="External"/><Relationship Id="rId1720" Type="http://schemas.openxmlformats.org/officeDocument/2006/relationships/hyperlink" Target="https://mobilmania.cz/" TargetMode="External"/><Relationship Id="rId1958" Type="http://schemas.openxmlformats.org/officeDocument/2006/relationships/hyperlink" Target="https://nemovitosti.blesk.cz/" TargetMode="External"/><Relationship Id="rId12" Type="http://schemas.openxmlformats.org/officeDocument/2006/relationships/hyperlink" Target="https://abecedazahrady.dama.cz/" TargetMode="External"/><Relationship Id="rId1818" Type="http://schemas.openxmlformats.org/officeDocument/2006/relationships/hyperlink" Target="https://mojezdravi.cz/" TargetMode="External"/><Relationship Id="rId161" Type="http://schemas.openxmlformats.org/officeDocument/2006/relationships/hyperlink" Target="https://ahaonline.cz/" TargetMode="External"/><Relationship Id="rId399" Type="http://schemas.openxmlformats.org/officeDocument/2006/relationships/hyperlink" Target="https://autorevue.cz/" TargetMode="External"/><Relationship Id="rId2287" Type="http://schemas.openxmlformats.org/officeDocument/2006/relationships/hyperlink" Target="https://vtm.zive.cz/" TargetMode="External"/><Relationship Id="rId259" Type="http://schemas.openxmlformats.org/officeDocument/2006/relationships/hyperlink" Target="https://auto.cz/" TargetMode="External"/><Relationship Id="rId466" Type="http://schemas.openxmlformats.org/officeDocument/2006/relationships/hyperlink" Target="https://reklama.cncenter.cz/Online/Outstream" TargetMode="External"/><Relationship Id="rId673" Type="http://schemas.openxmlformats.org/officeDocument/2006/relationships/hyperlink" Target="https://reklama.cncenter.cz/Online/mobilni-interscroller" TargetMode="External"/><Relationship Id="rId880" Type="http://schemas.openxmlformats.org/officeDocument/2006/relationships/hyperlink" Target="https://reklama.cncenter.cz/Online/Outstream" TargetMode="External"/><Relationship Id="rId1096" Type="http://schemas.openxmlformats.org/officeDocument/2006/relationships/hyperlink" Target="https://f1sport.auto.cz/" TargetMode="External"/><Relationship Id="rId2147" Type="http://schemas.openxmlformats.org/officeDocument/2006/relationships/hyperlink" Target="https://reflex.cz/" TargetMode="External"/><Relationship Id="rId2354" Type="http://schemas.openxmlformats.org/officeDocument/2006/relationships/hyperlink" Target="https://zeny.cz/" TargetMode="External"/><Relationship Id="rId119" Type="http://schemas.openxmlformats.org/officeDocument/2006/relationships/hyperlink" Target="https://abicko.cz/" TargetMode="External"/><Relationship Id="rId326" Type="http://schemas.openxmlformats.org/officeDocument/2006/relationships/hyperlink" Target="https://autorevue.cz/" TargetMode="External"/><Relationship Id="rId533" Type="http://schemas.openxmlformats.org/officeDocument/2006/relationships/hyperlink" Target="https://blesk.cz/" TargetMode="External"/><Relationship Id="rId978" Type="http://schemas.openxmlformats.org/officeDocument/2006/relationships/hyperlink" Target="https://dama.cz/" TargetMode="External"/><Relationship Id="rId1163" Type="http://schemas.openxmlformats.org/officeDocument/2006/relationships/hyperlink" Target="http://www.facebook.com/" TargetMode="External"/><Relationship Id="rId1370" Type="http://schemas.openxmlformats.org/officeDocument/2006/relationships/hyperlink" Target="https://hledejceny.cz/" TargetMode="External"/><Relationship Id="rId2007" Type="http://schemas.openxmlformats.org/officeDocument/2006/relationships/hyperlink" Target="https://reklama.cncenter.cz/Online/branding" TargetMode="External"/><Relationship Id="rId2214" Type="http://schemas.openxmlformats.org/officeDocument/2006/relationships/hyperlink" Target="https://reflex.cz/" TargetMode="External"/><Relationship Id="rId740" Type="http://schemas.openxmlformats.org/officeDocument/2006/relationships/hyperlink" Target="https://reklama.cncenter.cz/Online/Bumper" TargetMode="External"/><Relationship Id="rId838" Type="http://schemas.openxmlformats.org/officeDocument/2006/relationships/hyperlink" Target="https://digiarena.zive.cz/" TargetMode="External"/><Relationship Id="rId1023" Type="http://schemas.openxmlformats.org/officeDocument/2006/relationships/hyperlink" Target="https://evropa2.cz/" TargetMode="External"/><Relationship Id="rId1468" Type="http://schemas.openxmlformats.org/officeDocument/2006/relationships/hyperlink" Target="https://reklama.cncenter.cz/Online/billboard-bottom" TargetMode="External"/><Relationship Id="rId1675" Type="http://schemas.openxmlformats.org/officeDocument/2006/relationships/hyperlink" Target="https://reklama.cncenter.cz/Online/branding" TargetMode="External"/><Relationship Id="rId1882" Type="http://schemas.openxmlformats.org/officeDocument/2006/relationships/hyperlink" Target="https://motogpsport.cz/" TargetMode="External"/><Relationship Id="rId2421" Type="http://schemas.openxmlformats.org/officeDocument/2006/relationships/hyperlink" Target="https://reklama.cncenter.cz/Online/branding" TargetMode="External"/><Relationship Id="rId600" Type="http://schemas.openxmlformats.org/officeDocument/2006/relationships/hyperlink" Target="https://bleskprozeny.cz/" TargetMode="External"/><Relationship Id="rId1230" Type="http://schemas.openxmlformats.org/officeDocument/2006/relationships/hyperlink" Target="https://finexpert.cz/" TargetMode="External"/><Relationship Id="rId1328" Type="http://schemas.openxmlformats.org/officeDocument/2006/relationships/hyperlink" Target="https://frekvence1.cz/" TargetMode="External"/><Relationship Id="rId1535" Type="http://schemas.openxmlformats.org/officeDocument/2006/relationships/hyperlink" Target="https://lideazeme.cz/" TargetMode="External"/><Relationship Id="rId905" Type="http://schemas.openxmlformats.org/officeDocument/2006/relationships/hyperlink" Target="https://reklama.cncenter.cz/?ads=PR%2520%25C4%258Dl%25C3%25A1nky" TargetMode="External"/><Relationship Id="rId1742" Type="http://schemas.openxmlformats.org/officeDocument/2006/relationships/hyperlink" Target="https://mobilmania.cz/" TargetMode="External"/><Relationship Id="rId34" Type="http://schemas.openxmlformats.org/officeDocument/2006/relationships/hyperlink" Target="https://abecedazahrady.dama.cz/" TargetMode="External"/><Relationship Id="rId1602" Type="http://schemas.openxmlformats.org/officeDocument/2006/relationships/hyperlink" Target="https://maminka.cz/" TargetMode="External"/><Relationship Id="rId183" Type="http://schemas.openxmlformats.org/officeDocument/2006/relationships/hyperlink" Target="https://reklama.cncenter.cz/Online/mobilni-interscroller" TargetMode="External"/><Relationship Id="rId390" Type="http://schemas.openxmlformats.org/officeDocument/2006/relationships/hyperlink" Target="https://autorevue.cz/" TargetMode="External"/><Relationship Id="rId1907" Type="http://schemas.openxmlformats.org/officeDocument/2006/relationships/hyperlink" Target="http://nemovitosti.blesk.cz/" TargetMode="External"/><Relationship Id="rId2071" Type="http://schemas.openxmlformats.org/officeDocument/2006/relationships/hyperlink" Target="https://recepty.cz/" TargetMode="External"/><Relationship Id="rId250" Type="http://schemas.openxmlformats.org/officeDocument/2006/relationships/hyperlink" Target="https://auto.cz/" TargetMode="External"/><Relationship Id="rId488" Type="http://schemas.openxmlformats.org/officeDocument/2006/relationships/hyperlink" Target="https://blesk.cz/" TargetMode="External"/><Relationship Id="rId695" Type="http://schemas.openxmlformats.org/officeDocument/2006/relationships/hyperlink" Target="https://reklama.cncenter.cz/Online/mobilni-interscroller" TargetMode="External"/><Relationship Id="rId2169" Type="http://schemas.openxmlformats.org/officeDocument/2006/relationships/hyperlink" Target="https://reklama.cncenter.cz/Online/double-skyscraper" TargetMode="External"/><Relationship Id="rId2376" Type="http://schemas.openxmlformats.org/officeDocument/2006/relationships/hyperlink" Target="https://zeny.cz/" TargetMode="External"/><Relationship Id="rId110" Type="http://schemas.openxmlformats.org/officeDocument/2006/relationships/hyperlink" Target="https://reklama.cncenter.cz/Online/Outstream" TargetMode="External"/><Relationship Id="rId348" Type="http://schemas.openxmlformats.org/officeDocument/2006/relationships/hyperlink" Target="https://reklama.cncenter.cz/Online/double-skyscraper" TargetMode="External"/><Relationship Id="rId555" Type="http://schemas.openxmlformats.org/officeDocument/2006/relationships/hyperlink" Target="https://reklama.cncenter.cz/Online/branding" TargetMode="External"/><Relationship Id="rId762" Type="http://schemas.openxmlformats.org/officeDocument/2006/relationships/hyperlink" Target="https://reklama.cncenter.cz/Online/Outstream" TargetMode="External"/><Relationship Id="rId1185" Type="http://schemas.openxmlformats.org/officeDocument/2006/relationships/hyperlink" Target="http://www.facebook.com/" TargetMode="External"/><Relationship Id="rId1392" Type="http://schemas.openxmlformats.org/officeDocument/2006/relationships/hyperlink" Target="http://www.instagram.com/" TargetMode="External"/><Relationship Id="rId2029" Type="http://schemas.openxmlformats.org/officeDocument/2006/relationships/hyperlink" Target="https://www.realitnitrh.cz/" TargetMode="External"/><Relationship Id="rId2236" Type="http://schemas.openxmlformats.org/officeDocument/2006/relationships/hyperlink" Target="https://sportrevue.cz/" TargetMode="External"/><Relationship Id="rId2443" Type="http://schemas.openxmlformats.org/officeDocument/2006/relationships/hyperlink" Target="https://zive.cz/" TargetMode="External"/><Relationship Id="rId208" Type="http://schemas.openxmlformats.org/officeDocument/2006/relationships/hyperlink" Target="https://ahaonline.cz/" TargetMode="External"/><Relationship Id="rId415" Type="http://schemas.openxmlformats.org/officeDocument/2006/relationships/hyperlink" Target="https://avmania.zive.cz/" TargetMode="External"/><Relationship Id="rId622" Type="http://schemas.openxmlformats.org/officeDocument/2006/relationships/hyperlink" Target="https://reklama.cncenter.cz/?ads=PR%2520%25C4%258Dl%25C3%25A1nky" TargetMode="External"/><Relationship Id="rId1045" Type="http://schemas.openxmlformats.org/officeDocument/2006/relationships/hyperlink" Target="https://reklama.cncenter.cz/Online/mobilni-slide-up" TargetMode="External"/><Relationship Id="rId1252" Type="http://schemas.openxmlformats.org/officeDocument/2006/relationships/hyperlink" Target="https://reklama.cncenter.cz/Online/branding" TargetMode="External"/><Relationship Id="rId1697" Type="http://schemas.openxmlformats.org/officeDocument/2006/relationships/hyperlink" Target="https://mobilmania.cz/" TargetMode="External"/><Relationship Id="rId2303" Type="http://schemas.openxmlformats.org/officeDocument/2006/relationships/hyperlink" Target="https://vtm.zive.cz/" TargetMode="External"/><Relationship Id="rId927" Type="http://schemas.openxmlformats.org/officeDocument/2006/relationships/hyperlink" Target="https://dama.cz/" TargetMode="External"/><Relationship Id="rId1112" Type="http://schemas.openxmlformats.org/officeDocument/2006/relationships/hyperlink" Target="https://f1sport.auto.cz/" TargetMode="External"/><Relationship Id="rId1557" Type="http://schemas.openxmlformats.org/officeDocument/2006/relationships/hyperlink" Target="https://maminka.cz/" TargetMode="External"/><Relationship Id="rId1764" Type="http://schemas.openxmlformats.org/officeDocument/2006/relationships/hyperlink" Target="https://mojezdravi.cz/" TargetMode="External"/><Relationship Id="rId1971" Type="http://schemas.openxmlformats.org/officeDocument/2006/relationships/hyperlink" Target="http://nemovitosti.blesk.cz/" TargetMode="External"/><Relationship Id="rId56" Type="http://schemas.openxmlformats.org/officeDocument/2006/relationships/hyperlink" Target="https://abecedazahrady.dama.cz/" TargetMode="External"/><Relationship Id="rId1417" Type="http://schemas.openxmlformats.org/officeDocument/2006/relationships/hyperlink" Target="http://www.instagram.com/" TargetMode="External"/><Relationship Id="rId1624" Type="http://schemas.openxmlformats.org/officeDocument/2006/relationships/hyperlink" Target="https://maminka.cz/" TargetMode="External"/><Relationship Id="rId1831" Type="http://schemas.openxmlformats.org/officeDocument/2006/relationships/hyperlink" Target="https://reklama.cncenter.cz/Online/billboard-bottom" TargetMode="External"/><Relationship Id="rId1929" Type="http://schemas.openxmlformats.org/officeDocument/2006/relationships/hyperlink" Target="https://nemovitosti.blesk.cz/" TargetMode="External"/><Relationship Id="rId2093" Type="http://schemas.openxmlformats.org/officeDocument/2006/relationships/hyperlink" Target="https://recepty.cz/" TargetMode="External"/><Relationship Id="rId2398" Type="http://schemas.openxmlformats.org/officeDocument/2006/relationships/hyperlink" Target="https://zeny.cz/" TargetMode="External"/><Relationship Id="rId272" Type="http://schemas.openxmlformats.org/officeDocument/2006/relationships/hyperlink" Target="https://auto.cz/" TargetMode="External"/><Relationship Id="rId577" Type="http://schemas.openxmlformats.org/officeDocument/2006/relationships/hyperlink" Target="https://bleskprozeny.cz/" TargetMode="External"/><Relationship Id="rId2160" Type="http://schemas.openxmlformats.org/officeDocument/2006/relationships/hyperlink" Target="https://reklama.cncenter.cz/Online/billboard-bottom" TargetMode="External"/><Relationship Id="rId2258" Type="http://schemas.openxmlformats.org/officeDocument/2006/relationships/hyperlink" Target="https://vtm.zive.cz/" TargetMode="External"/><Relationship Id="rId132" Type="http://schemas.openxmlformats.org/officeDocument/2006/relationships/hyperlink" Target="https://reklama.cncenter.cz/Online/nativni-PR-premium" TargetMode="External"/><Relationship Id="rId784" Type="http://schemas.openxmlformats.org/officeDocument/2006/relationships/hyperlink" Target="https://reklama.cncenter.cz/Online/branding" TargetMode="External"/><Relationship Id="rId991" Type="http://schemas.openxmlformats.org/officeDocument/2006/relationships/hyperlink" Target="https://dama.cz/" TargetMode="External"/><Relationship Id="rId1067" Type="http://schemas.openxmlformats.org/officeDocument/2006/relationships/hyperlink" Target="https://evropa2.cz/" TargetMode="External"/><Relationship Id="rId2020" Type="http://schemas.openxmlformats.org/officeDocument/2006/relationships/hyperlink" Target="https://www.realitnitrh.cz/" TargetMode="External"/><Relationship Id="rId2465" Type="http://schemas.openxmlformats.org/officeDocument/2006/relationships/hyperlink" Target="https://zive.cz/" TargetMode="External"/><Relationship Id="rId437" Type="http://schemas.openxmlformats.org/officeDocument/2006/relationships/hyperlink" Target="https://avmania.zive.cz/" TargetMode="External"/><Relationship Id="rId644" Type="http://schemas.openxmlformats.org/officeDocument/2006/relationships/hyperlink" Target="https://reklama.cncenter.cz/Online/Outstream" TargetMode="External"/><Relationship Id="rId851" Type="http://schemas.openxmlformats.org/officeDocument/2006/relationships/hyperlink" Target="https://doupe.zive.cz/" TargetMode="External"/><Relationship Id="rId1274" Type="http://schemas.openxmlformats.org/officeDocument/2006/relationships/hyperlink" Target="https://fitweb.cz/" TargetMode="External"/><Relationship Id="rId1481" Type="http://schemas.openxmlformats.org/officeDocument/2006/relationships/hyperlink" Target="https://reklama.cncenter.cz/Online/mobilni-interscroller" TargetMode="External"/><Relationship Id="rId1579" Type="http://schemas.openxmlformats.org/officeDocument/2006/relationships/hyperlink" Target="https://reklama.cncenter.cz/Online/double-skyscraper" TargetMode="External"/><Relationship Id="rId2118" Type="http://schemas.openxmlformats.org/officeDocument/2006/relationships/hyperlink" Target="https://recepty.cz/" TargetMode="External"/><Relationship Id="rId2325" Type="http://schemas.openxmlformats.org/officeDocument/2006/relationships/hyperlink" Target="https://reklama.cncenter.cz/Online/branding" TargetMode="External"/><Relationship Id="rId504" Type="http://schemas.openxmlformats.org/officeDocument/2006/relationships/hyperlink" Target="https://reklama.cncenter.cz/Online/Videospot" TargetMode="External"/><Relationship Id="rId711" Type="http://schemas.openxmlformats.org/officeDocument/2006/relationships/hyperlink" Target="https://reklama.cncenter.cz/Online/mobilni-slide-up" TargetMode="External"/><Relationship Id="rId949" Type="http://schemas.openxmlformats.org/officeDocument/2006/relationships/hyperlink" Target="https://reklama.cncenter.cz/Online/nativni-PR-premium" TargetMode="External"/><Relationship Id="rId1134" Type="http://schemas.openxmlformats.org/officeDocument/2006/relationships/hyperlink" Target="https://f1sport.auto.cz/" TargetMode="External"/><Relationship Id="rId1341" Type="http://schemas.openxmlformats.org/officeDocument/2006/relationships/hyperlink" Target="https://frekvence1.cz/" TargetMode="External"/><Relationship Id="rId1786" Type="http://schemas.openxmlformats.org/officeDocument/2006/relationships/hyperlink" Target="https://reklama.cncenter.cz/Online/Outstream" TargetMode="External"/><Relationship Id="rId1993" Type="http://schemas.openxmlformats.org/officeDocument/2006/relationships/hyperlink" Target="https://reklama.cncenter.cz/Online/double-skyscraper" TargetMode="External"/><Relationship Id="rId78" Type="http://schemas.openxmlformats.org/officeDocument/2006/relationships/hyperlink" Target="https://abicko.cz/" TargetMode="External"/><Relationship Id="rId143" Type="http://schemas.openxmlformats.org/officeDocument/2006/relationships/hyperlink" Target="https://abicko.cz/" TargetMode="External"/><Relationship Id="rId350" Type="http://schemas.openxmlformats.org/officeDocument/2006/relationships/hyperlink" Target="https://autorevue.cz/" TargetMode="External"/><Relationship Id="rId588" Type="http://schemas.openxmlformats.org/officeDocument/2006/relationships/hyperlink" Target="https://reklama.cncenter.cz/Online/Outstream" TargetMode="External"/><Relationship Id="rId795" Type="http://schemas.openxmlformats.org/officeDocument/2006/relationships/hyperlink" Target="https://digiarena.zive.cz/" TargetMode="External"/><Relationship Id="rId809" Type="http://schemas.openxmlformats.org/officeDocument/2006/relationships/hyperlink" Target="https://digiarena.zive.cz/" TargetMode="External"/><Relationship Id="rId1201" Type="http://schemas.openxmlformats.org/officeDocument/2006/relationships/hyperlink" Target="https://www.facebook.com/business/ads-guide/image/facebook-feed" TargetMode="External"/><Relationship Id="rId1439" Type="http://schemas.openxmlformats.org/officeDocument/2006/relationships/hyperlink" Target="http://www.instagram.com/" TargetMode="External"/><Relationship Id="rId1646" Type="http://schemas.openxmlformats.org/officeDocument/2006/relationships/hyperlink" Target="https://reklama.cncenter.cz/Online/branding" TargetMode="External"/><Relationship Id="rId1853" Type="http://schemas.openxmlformats.org/officeDocument/2006/relationships/hyperlink" Target="https://motogpsport.cz/" TargetMode="External"/><Relationship Id="rId2031" Type="http://schemas.openxmlformats.org/officeDocument/2006/relationships/hyperlink" Target="https://reklama.cncenter.cz/Online/Outstream" TargetMode="External"/><Relationship Id="rId2269" Type="http://schemas.openxmlformats.org/officeDocument/2006/relationships/hyperlink" Target="https://vtm.zive.cz/" TargetMode="External"/><Relationship Id="rId2476" Type="http://schemas.openxmlformats.org/officeDocument/2006/relationships/hyperlink" Target="https://zive.cz/" TargetMode="External"/><Relationship Id="rId9" Type="http://schemas.openxmlformats.org/officeDocument/2006/relationships/hyperlink" Target="https://abecedazahrady.dama.cz/" TargetMode="External"/><Relationship Id="rId210" Type="http://schemas.openxmlformats.org/officeDocument/2006/relationships/hyperlink" Target="https://ahaonline.cz/" TargetMode="External"/><Relationship Id="rId448" Type="http://schemas.openxmlformats.org/officeDocument/2006/relationships/hyperlink" Target="https://avmania.zive.cz/" TargetMode="External"/><Relationship Id="rId655" Type="http://schemas.openxmlformats.org/officeDocument/2006/relationships/hyperlink" Target="https://reklama.cncenter.cz/Online/Bumper" TargetMode="External"/><Relationship Id="rId862" Type="http://schemas.openxmlformats.org/officeDocument/2006/relationships/hyperlink" Target="https://reklama.cncenter.cz/Online/branding" TargetMode="External"/><Relationship Id="rId1078" Type="http://schemas.openxmlformats.org/officeDocument/2006/relationships/hyperlink" Target="https://f1sport.auto.cz/" TargetMode="External"/><Relationship Id="rId1285" Type="http://schemas.openxmlformats.org/officeDocument/2006/relationships/hyperlink" Target="https://reklama.cncenter.cz/Online/nativni-rectangle-cross-device" TargetMode="External"/><Relationship Id="rId1492" Type="http://schemas.openxmlformats.org/officeDocument/2006/relationships/hyperlink" Target="https://reklama.cncenter.cz/Online/billboard-bottom" TargetMode="External"/><Relationship Id="rId1506" Type="http://schemas.openxmlformats.org/officeDocument/2006/relationships/hyperlink" Target="https://lideazeme.cz/" TargetMode="External"/><Relationship Id="rId1713" Type="http://schemas.openxmlformats.org/officeDocument/2006/relationships/hyperlink" Target="https://reklama.cncenter.cz/Online/double-skyscraper" TargetMode="External"/><Relationship Id="rId1920" Type="http://schemas.openxmlformats.org/officeDocument/2006/relationships/hyperlink" Target="https://nemovitosti.blesk.cz/" TargetMode="External"/><Relationship Id="rId2129" Type="http://schemas.openxmlformats.org/officeDocument/2006/relationships/hyperlink" Target="https://recepty.cz/" TargetMode="External"/><Relationship Id="rId2336" Type="http://schemas.openxmlformats.org/officeDocument/2006/relationships/hyperlink" Target="https://zeny.cz/" TargetMode="External"/><Relationship Id="rId294" Type="http://schemas.openxmlformats.org/officeDocument/2006/relationships/hyperlink" Target="https://auto.cz/" TargetMode="External"/><Relationship Id="rId308" Type="http://schemas.openxmlformats.org/officeDocument/2006/relationships/hyperlink" Target="https://auto.cz/" TargetMode="External"/><Relationship Id="rId515" Type="http://schemas.openxmlformats.org/officeDocument/2006/relationships/hyperlink" Target="https://reklama.cncenter.cz/Online/mobilni-slide-up" TargetMode="External"/><Relationship Id="rId722" Type="http://schemas.openxmlformats.org/officeDocument/2006/relationships/hyperlink" Target="https://reklama.cncenter.cz/Online/nativni-rectangle-cross-device" TargetMode="External"/><Relationship Id="rId1145" Type="http://schemas.openxmlformats.org/officeDocument/2006/relationships/hyperlink" Target="http://www.facebook.com/" TargetMode="External"/><Relationship Id="rId1352" Type="http://schemas.openxmlformats.org/officeDocument/2006/relationships/hyperlink" Target="https://www.heureka.cz/" TargetMode="External"/><Relationship Id="rId1797" Type="http://schemas.openxmlformats.org/officeDocument/2006/relationships/hyperlink" Target="https://reklama.cncenter.cz/Online/Videospot" TargetMode="External"/><Relationship Id="rId2182" Type="http://schemas.openxmlformats.org/officeDocument/2006/relationships/hyperlink" Target="https://reflex.cz/" TargetMode="External"/><Relationship Id="rId2403" Type="http://schemas.openxmlformats.org/officeDocument/2006/relationships/hyperlink" Target="https://zive.cz/" TargetMode="External"/><Relationship Id="rId89" Type="http://schemas.openxmlformats.org/officeDocument/2006/relationships/hyperlink" Target="https://reklama.cncenter.cz/Online/branding" TargetMode="External"/><Relationship Id="rId154" Type="http://schemas.openxmlformats.org/officeDocument/2006/relationships/hyperlink" Target="https://www.activegroup.cz/reklama" TargetMode="External"/><Relationship Id="rId361" Type="http://schemas.openxmlformats.org/officeDocument/2006/relationships/hyperlink" Target="https://autorevue.cz/" TargetMode="External"/><Relationship Id="rId599" Type="http://schemas.openxmlformats.org/officeDocument/2006/relationships/hyperlink" Target="https://reklama.cncenter.cz/Online/Videospot" TargetMode="External"/><Relationship Id="rId1005" Type="http://schemas.openxmlformats.org/officeDocument/2006/relationships/hyperlink" Target="https://reklama.cncenter.cz/Online/double-skyscraper" TargetMode="External"/><Relationship Id="rId1212" Type="http://schemas.openxmlformats.org/officeDocument/2006/relationships/hyperlink" Target="http://www.facebook.com/" TargetMode="External"/><Relationship Id="rId1657" Type="http://schemas.openxmlformats.org/officeDocument/2006/relationships/hyperlink" Target="https://reklama.cncenter.cz/Online/double-skyscraper" TargetMode="External"/><Relationship Id="rId1864" Type="http://schemas.openxmlformats.org/officeDocument/2006/relationships/hyperlink" Target="https://reklama.cncenter.cz/Online/Outstream" TargetMode="External"/><Relationship Id="rId2042" Type="http://schemas.openxmlformats.org/officeDocument/2006/relationships/hyperlink" Target="https://www.realitnitrh.cz/" TargetMode="External"/><Relationship Id="rId459" Type="http://schemas.openxmlformats.org/officeDocument/2006/relationships/hyperlink" Target="https://avmania.zive.cz/" TargetMode="External"/><Relationship Id="rId666" Type="http://schemas.openxmlformats.org/officeDocument/2006/relationships/hyperlink" Target="https://reklama.cncenter.cz/Online/mobilni-vineta" TargetMode="External"/><Relationship Id="rId873" Type="http://schemas.openxmlformats.org/officeDocument/2006/relationships/hyperlink" Target="https://doupe.zive.cz/" TargetMode="External"/><Relationship Id="rId1089" Type="http://schemas.openxmlformats.org/officeDocument/2006/relationships/hyperlink" Target="https://reklama.cncenter.cz/Online/billboard-bottom" TargetMode="External"/><Relationship Id="rId1296" Type="http://schemas.openxmlformats.org/officeDocument/2006/relationships/hyperlink" Target="https://heyfomo.cz/" TargetMode="External"/><Relationship Id="rId1517" Type="http://schemas.openxmlformats.org/officeDocument/2006/relationships/hyperlink" Target="https://lideazeme.cz/" TargetMode="External"/><Relationship Id="rId1724" Type="http://schemas.openxmlformats.org/officeDocument/2006/relationships/hyperlink" Target="https://mobilmania.cz/" TargetMode="External"/><Relationship Id="rId2347" Type="http://schemas.openxmlformats.org/officeDocument/2006/relationships/hyperlink" Target="https://zeny.cz/" TargetMode="External"/><Relationship Id="rId16" Type="http://schemas.openxmlformats.org/officeDocument/2006/relationships/hyperlink" Target="https://abecedazahrady.dama.cz/" TargetMode="External"/><Relationship Id="rId221" Type="http://schemas.openxmlformats.org/officeDocument/2006/relationships/hyperlink" Target="https://ahaonline.cz/" TargetMode="External"/><Relationship Id="rId319" Type="http://schemas.openxmlformats.org/officeDocument/2006/relationships/hyperlink" Target="https://auto.cz/" TargetMode="External"/><Relationship Id="rId526" Type="http://schemas.openxmlformats.org/officeDocument/2006/relationships/hyperlink" Target="https://reklama.cncenter.cz/Online/branding" TargetMode="External"/><Relationship Id="rId1156" Type="http://schemas.openxmlformats.org/officeDocument/2006/relationships/hyperlink" Target="https://www.facebook.com/business/ads-guide/image/facebook-feed" TargetMode="External"/><Relationship Id="rId1363" Type="http://schemas.openxmlformats.org/officeDocument/2006/relationships/hyperlink" Target="https://reklama.cncenter.cz/Online/branding" TargetMode="External"/><Relationship Id="rId1931" Type="http://schemas.openxmlformats.org/officeDocument/2006/relationships/hyperlink" Target="http://nemovitosti.blesk.cz/" TargetMode="External"/><Relationship Id="rId2207" Type="http://schemas.openxmlformats.org/officeDocument/2006/relationships/hyperlink" Target="https://reklama.cncenter.cz/Online/mobilni-slide-up" TargetMode="External"/><Relationship Id="rId733" Type="http://schemas.openxmlformats.org/officeDocument/2006/relationships/hyperlink" Target="https://reklama.cncenter.cz/Online/Videospot" TargetMode="External"/><Relationship Id="rId940" Type="http://schemas.openxmlformats.org/officeDocument/2006/relationships/hyperlink" Target="https://reklama.cncenter.cz/Online/mobilni-interscroller" TargetMode="External"/><Relationship Id="rId1016" Type="http://schemas.openxmlformats.org/officeDocument/2006/relationships/hyperlink" Target="https://reklama.cncenter.cz/Online/mobilni-slide-up" TargetMode="External"/><Relationship Id="rId1570" Type="http://schemas.openxmlformats.org/officeDocument/2006/relationships/hyperlink" Target="https://reklama.cncenter.cz/Online/billboard-bottom" TargetMode="External"/><Relationship Id="rId1668" Type="http://schemas.openxmlformats.org/officeDocument/2006/relationships/hyperlink" Target="https://mobilmania.cz/" TargetMode="External"/><Relationship Id="rId1875" Type="http://schemas.openxmlformats.org/officeDocument/2006/relationships/hyperlink" Target="https://reklama.cncenter.cz/Online/mobilni-slide-up" TargetMode="External"/><Relationship Id="rId2193" Type="http://schemas.openxmlformats.org/officeDocument/2006/relationships/hyperlink" Target="https://reklama.cncenter.cz/Online/Bumper" TargetMode="External"/><Relationship Id="rId2414" Type="http://schemas.openxmlformats.org/officeDocument/2006/relationships/hyperlink" Target="https://zive.cz/" TargetMode="External"/><Relationship Id="rId165" Type="http://schemas.openxmlformats.org/officeDocument/2006/relationships/hyperlink" Target="https://reklama.cncenter.cz/Online/branding-cross-device" TargetMode="External"/><Relationship Id="rId372" Type="http://schemas.openxmlformats.org/officeDocument/2006/relationships/hyperlink" Target="https://autorevue.cz/" TargetMode="External"/><Relationship Id="rId677" Type="http://schemas.openxmlformats.org/officeDocument/2006/relationships/hyperlink" Target="https://reklama.cncenter.cz/Online/Outstream" TargetMode="External"/><Relationship Id="rId800" Type="http://schemas.openxmlformats.org/officeDocument/2006/relationships/hyperlink" Target="https://digiarena.zive.cz/" TargetMode="External"/><Relationship Id="rId1223" Type="http://schemas.openxmlformats.org/officeDocument/2006/relationships/hyperlink" Target="https://finexpert.cz/" TargetMode="External"/><Relationship Id="rId1430" Type="http://schemas.openxmlformats.org/officeDocument/2006/relationships/hyperlink" Target="http://www.instagram.com/" TargetMode="External"/><Relationship Id="rId1528" Type="http://schemas.openxmlformats.org/officeDocument/2006/relationships/hyperlink" Target="https://lideazeme.cz/" TargetMode="External"/><Relationship Id="rId2053" Type="http://schemas.openxmlformats.org/officeDocument/2006/relationships/hyperlink" Target="https://reklama.cncenter.cz/?ads=PR%2520%25C4%258Dl%25C3%25A1nky" TargetMode="External"/><Relationship Id="rId2260" Type="http://schemas.openxmlformats.org/officeDocument/2006/relationships/hyperlink" Target="https://vtm.zive.cz/" TargetMode="External"/><Relationship Id="rId2358" Type="http://schemas.openxmlformats.org/officeDocument/2006/relationships/hyperlink" Target="https://reklama.cncenter.cz/Online/Outstream" TargetMode="External"/><Relationship Id="rId232" Type="http://schemas.openxmlformats.org/officeDocument/2006/relationships/hyperlink" Target="https://ahaonline.cz/" TargetMode="External"/><Relationship Id="rId884" Type="http://schemas.openxmlformats.org/officeDocument/2006/relationships/hyperlink" Target="https://doupe.zive.cz/" TargetMode="External"/><Relationship Id="rId1735" Type="http://schemas.openxmlformats.org/officeDocument/2006/relationships/hyperlink" Target="https://mobilmania.cz/" TargetMode="External"/><Relationship Id="rId1942" Type="http://schemas.openxmlformats.org/officeDocument/2006/relationships/hyperlink" Target="https://reklama.cncenter.cz/Online/Outstream" TargetMode="External"/><Relationship Id="rId2120" Type="http://schemas.openxmlformats.org/officeDocument/2006/relationships/hyperlink" Target="https://reklama.cncenter.cz/Online/mobilni-slide-up" TargetMode="External"/><Relationship Id="rId27" Type="http://schemas.openxmlformats.org/officeDocument/2006/relationships/hyperlink" Target="https://abecedazahrady.dama.cz/" TargetMode="External"/><Relationship Id="rId537" Type="http://schemas.openxmlformats.org/officeDocument/2006/relationships/hyperlink" Target="https://blesk.cz/" TargetMode="External"/><Relationship Id="rId744" Type="http://schemas.openxmlformats.org/officeDocument/2006/relationships/hyperlink" Target="https://reklama.cncenter.cz/Online/mobilni-slide-up" TargetMode="External"/><Relationship Id="rId951" Type="http://schemas.openxmlformats.org/officeDocument/2006/relationships/hyperlink" Target="https://dama.cz/" TargetMode="External"/><Relationship Id="rId1167" Type="http://schemas.openxmlformats.org/officeDocument/2006/relationships/hyperlink" Target="http://www.facebook.com/" TargetMode="External"/><Relationship Id="rId1374" Type="http://schemas.openxmlformats.org/officeDocument/2006/relationships/hyperlink" Target="https://hledejceny.cz/" TargetMode="External"/><Relationship Id="rId1581" Type="http://schemas.openxmlformats.org/officeDocument/2006/relationships/hyperlink" Target="https://maminka.cz/" TargetMode="External"/><Relationship Id="rId1679" Type="http://schemas.openxmlformats.org/officeDocument/2006/relationships/hyperlink" Target="https://mobilmania.cz/" TargetMode="External"/><Relationship Id="rId1802" Type="http://schemas.openxmlformats.org/officeDocument/2006/relationships/hyperlink" Target="https://mojezdravi.cz/" TargetMode="External"/><Relationship Id="rId2218" Type="http://schemas.openxmlformats.org/officeDocument/2006/relationships/hyperlink" Target="https://reklama.cncenter.cz/Online/nativni-rectangle-cross-device" TargetMode="External"/><Relationship Id="rId2425" Type="http://schemas.openxmlformats.org/officeDocument/2006/relationships/hyperlink" Target="https://zive.cz/" TargetMode="External"/><Relationship Id="rId80" Type="http://schemas.openxmlformats.org/officeDocument/2006/relationships/hyperlink" Target="https://reklama.cncenter.cz/Online/branding" TargetMode="External"/><Relationship Id="rId176" Type="http://schemas.openxmlformats.org/officeDocument/2006/relationships/hyperlink" Target="https://ahaonline.cz/" TargetMode="External"/><Relationship Id="rId383" Type="http://schemas.openxmlformats.org/officeDocument/2006/relationships/hyperlink" Target="https://reklama.cncenter.cz/Online/mobilni-vineta" TargetMode="External"/><Relationship Id="rId590" Type="http://schemas.openxmlformats.org/officeDocument/2006/relationships/hyperlink" Target="https://bleskprozeny.cz/" TargetMode="External"/><Relationship Id="rId604" Type="http://schemas.openxmlformats.org/officeDocument/2006/relationships/hyperlink" Target="https://bleskprozeny.cz/" TargetMode="External"/><Relationship Id="rId811" Type="http://schemas.openxmlformats.org/officeDocument/2006/relationships/hyperlink" Target="https://reklama.cncenter.cz/Online/Outstream" TargetMode="External"/><Relationship Id="rId1027" Type="http://schemas.openxmlformats.org/officeDocument/2006/relationships/hyperlink" Target="https://reklama.cncenter.cz/Online/branding" TargetMode="External"/><Relationship Id="rId1234" Type="http://schemas.openxmlformats.org/officeDocument/2006/relationships/hyperlink" Target="https://finexpert.cz/" TargetMode="External"/><Relationship Id="rId1441" Type="http://schemas.openxmlformats.org/officeDocument/2006/relationships/hyperlink" Target="http://www.instagram.com/" TargetMode="External"/><Relationship Id="rId1886" Type="http://schemas.openxmlformats.org/officeDocument/2006/relationships/hyperlink" Target="https://reklama.cncenter.cz/Online/Outstream" TargetMode="External"/><Relationship Id="rId2064" Type="http://schemas.openxmlformats.org/officeDocument/2006/relationships/hyperlink" Target="https://reklama.cncenter.cz/Online/billboard-bottom" TargetMode="External"/><Relationship Id="rId2271" Type="http://schemas.openxmlformats.org/officeDocument/2006/relationships/hyperlink" Target="https://reklama.cncenter.cz/Online/double-skyscraper" TargetMode="External"/><Relationship Id="rId243" Type="http://schemas.openxmlformats.org/officeDocument/2006/relationships/hyperlink" Target="https://reklama.cncenter.cz/Online/billboard-bottom" TargetMode="External"/><Relationship Id="rId450" Type="http://schemas.openxmlformats.org/officeDocument/2006/relationships/hyperlink" Target="https://avmania.zive.cz/" TargetMode="External"/><Relationship Id="rId688" Type="http://schemas.openxmlformats.org/officeDocument/2006/relationships/hyperlink" Target="https://reklama.cncenter.cz/Online/mobilni-slide-up" TargetMode="External"/><Relationship Id="rId895" Type="http://schemas.openxmlformats.org/officeDocument/2006/relationships/hyperlink" Target="https://doupe.zive.cz/" TargetMode="External"/><Relationship Id="rId909" Type="http://schemas.openxmlformats.org/officeDocument/2006/relationships/hyperlink" Target="https://doupe.zive.cz/" TargetMode="External"/><Relationship Id="rId1080" Type="http://schemas.openxmlformats.org/officeDocument/2006/relationships/hyperlink" Target="https://reklama.cncenter.cz/Online/billboard-bottom" TargetMode="External"/><Relationship Id="rId1301" Type="http://schemas.openxmlformats.org/officeDocument/2006/relationships/hyperlink" Target="https://heyfomo.cz/" TargetMode="External"/><Relationship Id="rId1539" Type="http://schemas.openxmlformats.org/officeDocument/2006/relationships/hyperlink" Target="https://reklama.cncenter.cz/Online/mobilni-vineta" TargetMode="External"/><Relationship Id="rId1746" Type="http://schemas.openxmlformats.org/officeDocument/2006/relationships/hyperlink" Target="https://mojezdravi.cz/" TargetMode="External"/><Relationship Id="rId1953" Type="http://schemas.openxmlformats.org/officeDocument/2006/relationships/hyperlink" Target="https://reklama.cncenter.cz/Online/mobilni-interscroller" TargetMode="External"/><Relationship Id="rId2131" Type="http://schemas.openxmlformats.org/officeDocument/2006/relationships/hyperlink" Target="https://reklama.cncenter.cz/Online/nativni-rectangle-cross-device" TargetMode="External"/><Relationship Id="rId2369" Type="http://schemas.openxmlformats.org/officeDocument/2006/relationships/hyperlink" Target="https://reklama.cncenter.cz/Online/Videospot" TargetMode="External"/><Relationship Id="rId38" Type="http://schemas.openxmlformats.org/officeDocument/2006/relationships/hyperlink" Target="https://reklama.cncenter.cz/Online/Outstream" TargetMode="External"/><Relationship Id="rId103" Type="http://schemas.openxmlformats.org/officeDocument/2006/relationships/hyperlink" Target="https://abicko.cz/" TargetMode="External"/><Relationship Id="rId310" Type="http://schemas.openxmlformats.org/officeDocument/2006/relationships/hyperlink" Target="https://reklama.cncenter.cz/Online/nativni-rectangle-cross-device" TargetMode="External"/><Relationship Id="rId548" Type="http://schemas.openxmlformats.org/officeDocument/2006/relationships/hyperlink" Target="https://bleskprozeny.cz/" TargetMode="External"/><Relationship Id="rId755" Type="http://schemas.openxmlformats.org/officeDocument/2006/relationships/hyperlink" Target="https://reklama.cncenter.cz/Online/branding" TargetMode="External"/><Relationship Id="rId962" Type="http://schemas.openxmlformats.org/officeDocument/2006/relationships/hyperlink" Target="https://dama.cz/" TargetMode="External"/><Relationship Id="rId1178" Type="http://schemas.openxmlformats.org/officeDocument/2006/relationships/hyperlink" Target="http://www.facebook.com/" TargetMode="External"/><Relationship Id="rId1385" Type="http://schemas.openxmlformats.org/officeDocument/2006/relationships/hyperlink" Target="http://www.instagram.com/" TargetMode="External"/><Relationship Id="rId1592" Type="http://schemas.openxmlformats.org/officeDocument/2006/relationships/hyperlink" Target="https://maminka.cz/" TargetMode="External"/><Relationship Id="rId1606" Type="http://schemas.openxmlformats.org/officeDocument/2006/relationships/hyperlink" Target="https://maminka.cz/" TargetMode="External"/><Relationship Id="rId1813" Type="http://schemas.openxmlformats.org/officeDocument/2006/relationships/hyperlink" Target="https://mojezdravi.cz/" TargetMode="External"/><Relationship Id="rId2229" Type="http://schemas.openxmlformats.org/officeDocument/2006/relationships/hyperlink" Target="https://reflex.cz/" TargetMode="External"/><Relationship Id="rId2436" Type="http://schemas.openxmlformats.org/officeDocument/2006/relationships/hyperlink" Target="https://reklama.cncenter.cz/Online/nativni-PR-premium" TargetMode="External"/><Relationship Id="rId91" Type="http://schemas.openxmlformats.org/officeDocument/2006/relationships/hyperlink" Target="https://abicko.cz/" TargetMode="External"/><Relationship Id="rId187" Type="http://schemas.openxmlformats.org/officeDocument/2006/relationships/hyperlink" Target="https://ahaonline.cz/" TargetMode="External"/><Relationship Id="rId394" Type="http://schemas.openxmlformats.org/officeDocument/2006/relationships/hyperlink" Target="https://reklama.cncenter.cz/Online/Outstream" TargetMode="External"/><Relationship Id="rId408" Type="http://schemas.openxmlformats.org/officeDocument/2006/relationships/hyperlink" Target="https://avmania.zive.cz/" TargetMode="External"/><Relationship Id="rId615" Type="http://schemas.openxmlformats.org/officeDocument/2006/relationships/hyperlink" Target="https://bleskprozeny.cz/" TargetMode="External"/><Relationship Id="rId822" Type="http://schemas.openxmlformats.org/officeDocument/2006/relationships/hyperlink" Target="https://reklama.cncenter.cz/Online/mobilni-slide-up" TargetMode="External"/><Relationship Id="rId1038" Type="http://schemas.openxmlformats.org/officeDocument/2006/relationships/hyperlink" Target="https://evropa2.cz/" TargetMode="External"/><Relationship Id="rId1245" Type="http://schemas.openxmlformats.org/officeDocument/2006/relationships/hyperlink" Target="https://fitweb.cz/" TargetMode="External"/><Relationship Id="rId1452" Type="http://schemas.openxmlformats.org/officeDocument/2006/relationships/hyperlink" Target="http://www.instagram.com/" TargetMode="External"/><Relationship Id="rId1897" Type="http://schemas.openxmlformats.org/officeDocument/2006/relationships/hyperlink" Target="https://nemovitosti.blesk.cz/" TargetMode="External"/><Relationship Id="rId2075" Type="http://schemas.openxmlformats.org/officeDocument/2006/relationships/hyperlink" Target="https://recepty.cz/" TargetMode="External"/><Relationship Id="rId2282" Type="http://schemas.openxmlformats.org/officeDocument/2006/relationships/hyperlink" Target="https://vtm.zive.cz/" TargetMode="External"/><Relationship Id="rId254" Type="http://schemas.openxmlformats.org/officeDocument/2006/relationships/hyperlink" Target="https://auto.cz/" TargetMode="External"/><Relationship Id="rId699" Type="http://schemas.openxmlformats.org/officeDocument/2006/relationships/hyperlink" Target="https://reklama.cncenter.cz/Online/Outstream" TargetMode="External"/><Relationship Id="rId1091" Type="http://schemas.openxmlformats.org/officeDocument/2006/relationships/hyperlink" Target="https://f1sport.auto.cz/" TargetMode="External"/><Relationship Id="rId1105" Type="http://schemas.openxmlformats.org/officeDocument/2006/relationships/hyperlink" Target="https://f1sport.auto.cz/" TargetMode="External"/><Relationship Id="rId1312" Type="http://schemas.openxmlformats.org/officeDocument/2006/relationships/hyperlink" Target="https://reklama.cncenter.cz/Online/branding-cross-device" TargetMode="External"/><Relationship Id="rId1757" Type="http://schemas.openxmlformats.org/officeDocument/2006/relationships/hyperlink" Target="https://mojezdravi.cz/" TargetMode="External"/><Relationship Id="rId1964" Type="http://schemas.openxmlformats.org/officeDocument/2006/relationships/hyperlink" Target="https://nemovitosti.blesk.cz/" TargetMode="External"/><Relationship Id="rId49" Type="http://schemas.openxmlformats.org/officeDocument/2006/relationships/hyperlink" Target="https://reklama.cncenter.cz/Online/mobilni-slide-up" TargetMode="External"/><Relationship Id="rId114" Type="http://schemas.openxmlformats.org/officeDocument/2006/relationships/hyperlink" Target="https://abicko.cz/" TargetMode="External"/><Relationship Id="rId461" Type="http://schemas.openxmlformats.org/officeDocument/2006/relationships/hyperlink" Target="https://avmania.zive.cz/" TargetMode="External"/><Relationship Id="rId559" Type="http://schemas.openxmlformats.org/officeDocument/2006/relationships/hyperlink" Target="https://bleskprozeny.cz/" TargetMode="External"/><Relationship Id="rId766" Type="http://schemas.openxmlformats.org/officeDocument/2006/relationships/hyperlink" Target="https://reklama.cncenter.cz/Online/Videospot" TargetMode="External"/><Relationship Id="rId1189" Type="http://schemas.openxmlformats.org/officeDocument/2006/relationships/hyperlink" Target="https://www.facebook.com/business/ads-guide/image/facebook-feed" TargetMode="External"/><Relationship Id="rId1396" Type="http://schemas.openxmlformats.org/officeDocument/2006/relationships/hyperlink" Target="http://www.instagram.com/" TargetMode="External"/><Relationship Id="rId1617" Type="http://schemas.openxmlformats.org/officeDocument/2006/relationships/hyperlink" Target="https://reklama.cncenter.cz/Online/mobilni-slide-up" TargetMode="External"/><Relationship Id="rId1824" Type="http://schemas.openxmlformats.org/officeDocument/2006/relationships/hyperlink" Target="https://mojezdravi.cz/" TargetMode="External"/><Relationship Id="rId2142" Type="http://schemas.openxmlformats.org/officeDocument/2006/relationships/hyperlink" Target="https://recepty.cz/" TargetMode="External"/><Relationship Id="rId2447" Type="http://schemas.openxmlformats.org/officeDocument/2006/relationships/hyperlink" Target="https://zive.cz/" TargetMode="External"/><Relationship Id="rId198" Type="http://schemas.openxmlformats.org/officeDocument/2006/relationships/hyperlink" Target="https://reklama.cncenter.cz/Online/Outstream" TargetMode="External"/><Relationship Id="rId321" Type="http://schemas.openxmlformats.org/officeDocument/2006/relationships/hyperlink" Target="https://auto.cz/" TargetMode="External"/><Relationship Id="rId419" Type="http://schemas.openxmlformats.org/officeDocument/2006/relationships/hyperlink" Target="https://avmania.zive.cz/" TargetMode="External"/><Relationship Id="rId626" Type="http://schemas.openxmlformats.org/officeDocument/2006/relationships/hyperlink" Target="https://bleskprozeny.cz/" TargetMode="External"/><Relationship Id="rId973" Type="http://schemas.openxmlformats.org/officeDocument/2006/relationships/hyperlink" Target="https://dama.cz/" TargetMode="External"/><Relationship Id="rId1049" Type="http://schemas.openxmlformats.org/officeDocument/2006/relationships/hyperlink" Target="https://evropa2.cz/" TargetMode="External"/><Relationship Id="rId1256" Type="http://schemas.openxmlformats.org/officeDocument/2006/relationships/hyperlink" Target="https://fitweb.cz/" TargetMode="External"/><Relationship Id="rId2002" Type="http://schemas.openxmlformats.org/officeDocument/2006/relationships/hyperlink" Target="https://www.realitnitrh.cz/" TargetMode="External"/><Relationship Id="rId2086" Type="http://schemas.openxmlformats.org/officeDocument/2006/relationships/hyperlink" Target="https://recepty.cz/" TargetMode="External"/><Relationship Id="rId2307" Type="http://schemas.openxmlformats.org/officeDocument/2006/relationships/hyperlink" Target="https://x.com/" TargetMode="External"/><Relationship Id="rId833" Type="http://schemas.openxmlformats.org/officeDocument/2006/relationships/hyperlink" Target="https://reklama.cncenter.cz/Online/Outstream" TargetMode="External"/><Relationship Id="rId1116" Type="http://schemas.openxmlformats.org/officeDocument/2006/relationships/hyperlink" Target="https://f1sport.auto.cz/" TargetMode="External"/><Relationship Id="rId1463" Type="http://schemas.openxmlformats.org/officeDocument/2006/relationships/hyperlink" Target="http://www.instagram.com/" TargetMode="External"/><Relationship Id="rId1670" Type="http://schemas.openxmlformats.org/officeDocument/2006/relationships/hyperlink" Target="https://mobilmania.cz/" TargetMode="External"/><Relationship Id="rId1768" Type="http://schemas.openxmlformats.org/officeDocument/2006/relationships/hyperlink" Target="https://reklama.cncenter.cz/Online/double-skyscraper" TargetMode="External"/><Relationship Id="rId2293" Type="http://schemas.openxmlformats.org/officeDocument/2006/relationships/hyperlink" Target="https://vtm.zive.cz/" TargetMode="External"/><Relationship Id="rId265" Type="http://schemas.openxmlformats.org/officeDocument/2006/relationships/hyperlink" Target="https://auto.cz/" TargetMode="External"/><Relationship Id="rId472" Type="http://schemas.openxmlformats.org/officeDocument/2006/relationships/hyperlink" Target="https://avmania.zive.cz/" TargetMode="External"/><Relationship Id="rId900" Type="http://schemas.openxmlformats.org/officeDocument/2006/relationships/hyperlink" Target="https://doupe.zive.cz/" TargetMode="External"/><Relationship Id="rId1323" Type="http://schemas.openxmlformats.org/officeDocument/2006/relationships/hyperlink" Target="https://frekvence1.cz/" TargetMode="External"/><Relationship Id="rId1530" Type="http://schemas.openxmlformats.org/officeDocument/2006/relationships/hyperlink" Target="https://reklama.cncenter.cz/Online/double-skyscraper" TargetMode="External"/><Relationship Id="rId1628" Type="http://schemas.openxmlformats.org/officeDocument/2006/relationships/hyperlink" Target="https://reklama.cncenter.cz/Online/nativni-rectangle-cross-device" TargetMode="External"/><Relationship Id="rId1975" Type="http://schemas.openxmlformats.org/officeDocument/2006/relationships/hyperlink" Target="http://nemovitosti.blesk.cz/" TargetMode="External"/><Relationship Id="rId2153" Type="http://schemas.openxmlformats.org/officeDocument/2006/relationships/hyperlink" Target="https://reflex.cz/" TargetMode="External"/><Relationship Id="rId2360" Type="http://schemas.openxmlformats.org/officeDocument/2006/relationships/hyperlink" Target="https://zeny.cz/" TargetMode="External"/><Relationship Id="rId125" Type="http://schemas.openxmlformats.org/officeDocument/2006/relationships/hyperlink" Target="https://abicko.cz/" TargetMode="External"/><Relationship Id="rId332" Type="http://schemas.openxmlformats.org/officeDocument/2006/relationships/hyperlink" Target="https://autorevue.cz/" TargetMode="External"/><Relationship Id="rId777" Type="http://schemas.openxmlformats.org/officeDocument/2006/relationships/hyperlink" Target="https://digiarena.zive.cz/" TargetMode="External"/><Relationship Id="rId984" Type="http://schemas.openxmlformats.org/officeDocument/2006/relationships/hyperlink" Target="https://dama.cz/" TargetMode="External"/><Relationship Id="rId1835" Type="http://schemas.openxmlformats.org/officeDocument/2006/relationships/hyperlink" Target="https://motogpsport.cz/" TargetMode="External"/><Relationship Id="rId2013" Type="http://schemas.openxmlformats.org/officeDocument/2006/relationships/hyperlink" Target="https://reklama.cncenter.cz/Online/branding-cross-device" TargetMode="External"/><Relationship Id="rId2220" Type="http://schemas.openxmlformats.org/officeDocument/2006/relationships/hyperlink" Target="https://reflex.cz/" TargetMode="External"/><Relationship Id="rId2458" Type="http://schemas.openxmlformats.org/officeDocument/2006/relationships/hyperlink" Target="https://zive.cz/" TargetMode="External"/><Relationship Id="rId637" Type="http://schemas.openxmlformats.org/officeDocument/2006/relationships/hyperlink" Target="https://reklama.cncenter.cz/Online/branding" TargetMode="External"/><Relationship Id="rId844" Type="http://schemas.openxmlformats.org/officeDocument/2006/relationships/hyperlink" Target="https://doupe.zive.cz/" TargetMode="External"/><Relationship Id="rId1267" Type="http://schemas.openxmlformats.org/officeDocument/2006/relationships/hyperlink" Target="https://reklama.cncenter.cz/Online/nativni-rectangle-cross-device" TargetMode="External"/><Relationship Id="rId1474" Type="http://schemas.openxmlformats.org/officeDocument/2006/relationships/hyperlink" Target="https://reklama.cncenter.cz/Online/mobilni-slide-up" TargetMode="External"/><Relationship Id="rId1681" Type="http://schemas.openxmlformats.org/officeDocument/2006/relationships/hyperlink" Target="https://reklama.cncenter.cz/Online/branding-cross-device" TargetMode="External"/><Relationship Id="rId1902" Type="http://schemas.openxmlformats.org/officeDocument/2006/relationships/hyperlink" Target="https://reklama.cncenter.cz/Online/billboard-bottom" TargetMode="External"/><Relationship Id="rId2097" Type="http://schemas.openxmlformats.org/officeDocument/2006/relationships/hyperlink" Target="https://reklama.cncenter.cz/Online/nativni-PR-premium" TargetMode="External"/><Relationship Id="rId2318" Type="http://schemas.openxmlformats.org/officeDocument/2006/relationships/hyperlink" Target="https://zeny.cz/" TargetMode="External"/><Relationship Id="rId276" Type="http://schemas.openxmlformats.org/officeDocument/2006/relationships/hyperlink" Target="https://reklama.cncenter.cz/Online/nativni-PR-premium" TargetMode="External"/><Relationship Id="rId483" Type="http://schemas.openxmlformats.org/officeDocument/2006/relationships/hyperlink" Target="https://blesk.cz/" TargetMode="External"/><Relationship Id="rId690" Type="http://schemas.openxmlformats.org/officeDocument/2006/relationships/hyperlink" Target="https://reklama.cncenter.cz/Online/nativni-rectangle-cross-device" TargetMode="External"/><Relationship Id="rId704" Type="http://schemas.openxmlformats.org/officeDocument/2006/relationships/hyperlink" Target="https://reklama.cncenter.cz/Online/branding" TargetMode="External"/><Relationship Id="rId911" Type="http://schemas.openxmlformats.org/officeDocument/2006/relationships/hyperlink" Target="https://doupe.zive.cz/" TargetMode="External"/><Relationship Id="rId1127" Type="http://schemas.openxmlformats.org/officeDocument/2006/relationships/hyperlink" Target="https://reklama.cncenter.cz/Online/mobilni-vineta" TargetMode="External"/><Relationship Id="rId1334" Type="http://schemas.openxmlformats.org/officeDocument/2006/relationships/hyperlink" Target="https://frekvence1.cz/" TargetMode="External"/><Relationship Id="rId1541" Type="http://schemas.openxmlformats.org/officeDocument/2006/relationships/hyperlink" Target="https://lideazeme.cz/" TargetMode="External"/><Relationship Id="rId1779" Type="http://schemas.openxmlformats.org/officeDocument/2006/relationships/hyperlink" Target="https://mojezdravi.cz/" TargetMode="External"/><Relationship Id="rId1986" Type="http://schemas.openxmlformats.org/officeDocument/2006/relationships/hyperlink" Target="https://nemovitosti.blesk.cz/" TargetMode="External"/><Relationship Id="rId2164" Type="http://schemas.openxmlformats.org/officeDocument/2006/relationships/hyperlink" Target="https://reflex.cz/" TargetMode="External"/><Relationship Id="rId2371" Type="http://schemas.openxmlformats.org/officeDocument/2006/relationships/hyperlink" Target="https://zeny.cz/" TargetMode="External"/><Relationship Id="rId40" Type="http://schemas.openxmlformats.org/officeDocument/2006/relationships/hyperlink" Target="https://abecedazahrady.dama.cz/" TargetMode="External"/><Relationship Id="rId136" Type="http://schemas.openxmlformats.org/officeDocument/2006/relationships/hyperlink" Target="https://abicko.cz/" TargetMode="External"/><Relationship Id="rId343" Type="http://schemas.openxmlformats.org/officeDocument/2006/relationships/hyperlink" Target="https://autorevue.cz/" TargetMode="External"/><Relationship Id="rId550" Type="http://schemas.openxmlformats.org/officeDocument/2006/relationships/hyperlink" Target="https://bleskprozeny.cz/" TargetMode="External"/><Relationship Id="rId788" Type="http://schemas.openxmlformats.org/officeDocument/2006/relationships/hyperlink" Target="https://digiarena.zive.cz/" TargetMode="External"/><Relationship Id="rId995" Type="http://schemas.openxmlformats.org/officeDocument/2006/relationships/hyperlink" Target="https://dama.cz/" TargetMode="External"/><Relationship Id="rId1180" Type="http://schemas.openxmlformats.org/officeDocument/2006/relationships/hyperlink" Target="https://www.facebook.com/business/ads-guide/image/facebook-feed" TargetMode="External"/><Relationship Id="rId1401" Type="http://schemas.openxmlformats.org/officeDocument/2006/relationships/hyperlink" Target="http://www.instagram.com/" TargetMode="External"/><Relationship Id="rId1639" Type="http://schemas.openxmlformats.org/officeDocument/2006/relationships/hyperlink" Target="https://maminka.cz/" TargetMode="External"/><Relationship Id="rId1846" Type="http://schemas.openxmlformats.org/officeDocument/2006/relationships/hyperlink" Target="https://reklama.cncenter.cz/Online/branding" TargetMode="External"/><Relationship Id="rId2024" Type="http://schemas.openxmlformats.org/officeDocument/2006/relationships/hyperlink" Target="https://www.realitnitrh.cz/" TargetMode="External"/><Relationship Id="rId2231" Type="http://schemas.openxmlformats.org/officeDocument/2006/relationships/hyperlink" Target="https://reflex.cz/" TargetMode="External"/><Relationship Id="rId2469" Type="http://schemas.openxmlformats.org/officeDocument/2006/relationships/hyperlink" Target="https://zive.cz/" TargetMode="External"/><Relationship Id="rId203" Type="http://schemas.openxmlformats.org/officeDocument/2006/relationships/hyperlink" Target="https://ahaonline.cz/" TargetMode="External"/><Relationship Id="rId648" Type="http://schemas.openxmlformats.org/officeDocument/2006/relationships/hyperlink" Target="https://reklama.cncenter.cz/Online/Videospot" TargetMode="External"/><Relationship Id="rId855" Type="http://schemas.openxmlformats.org/officeDocument/2006/relationships/hyperlink" Target="https://doupe.zive.cz/" TargetMode="External"/><Relationship Id="rId1040" Type="http://schemas.openxmlformats.org/officeDocument/2006/relationships/hyperlink" Target="https://evropa2.cz/" TargetMode="External"/><Relationship Id="rId1278" Type="http://schemas.openxmlformats.org/officeDocument/2006/relationships/hyperlink" Target="https://fitweb.cz/" TargetMode="External"/><Relationship Id="rId1485" Type="http://schemas.openxmlformats.org/officeDocument/2006/relationships/hyperlink" Target="https://reklama.cncenter.cz/Online/Outstream" TargetMode="External"/><Relationship Id="rId1692" Type="http://schemas.openxmlformats.org/officeDocument/2006/relationships/hyperlink" Target="https://mobilmania.cz/" TargetMode="External"/><Relationship Id="rId1706" Type="http://schemas.openxmlformats.org/officeDocument/2006/relationships/hyperlink" Target="https://mobilmania.cz/" TargetMode="External"/><Relationship Id="rId1913" Type="http://schemas.openxmlformats.org/officeDocument/2006/relationships/hyperlink" Target="https://nemovitosti.blesk.cz/" TargetMode="External"/><Relationship Id="rId2329" Type="http://schemas.openxmlformats.org/officeDocument/2006/relationships/hyperlink" Target="https://zeny.cz/" TargetMode="External"/><Relationship Id="rId287" Type="http://schemas.openxmlformats.org/officeDocument/2006/relationships/hyperlink" Target="https://auto.cz/" TargetMode="External"/><Relationship Id="rId410" Type="http://schemas.openxmlformats.org/officeDocument/2006/relationships/hyperlink" Target="https://avmania.zive.cz/" TargetMode="External"/><Relationship Id="rId494" Type="http://schemas.openxmlformats.org/officeDocument/2006/relationships/hyperlink" Target="https://blesk.cz/" TargetMode="External"/><Relationship Id="rId508" Type="http://schemas.openxmlformats.org/officeDocument/2006/relationships/hyperlink" Target="https://reklama.cncenter.cz/Online/nativni-rectangle-cross-device" TargetMode="External"/><Relationship Id="rId715" Type="http://schemas.openxmlformats.org/officeDocument/2006/relationships/hyperlink" Target="https://reklama.cncenter.cz/Online/Smarticle" TargetMode="External"/><Relationship Id="rId922" Type="http://schemas.openxmlformats.org/officeDocument/2006/relationships/hyperlink" Target="https://reklama.cncenter.cz/Online/branding" TargetMode="External"/><Relationship Id="rId1138" Type="http://schemas.openxmlformats.org/officeDocument/2006/relationships/hyperlink" Target="https://reklama.cncenter.cz/?ads=PR%2520%25C4%258Dl%25C3%25A1nky" TargetMode="External"/><Relationship Id="rId1345" Type="http://schemas.openxmlformats.org/officeDocument/2006/relationships/hyperlink" Target="https://reklama.cncenter.cz/Online/mobilni-vineta" TargetMode="External"/><Relationship Id="rId1552" Type="http://schemas.openxmlformats.org/officeDocument/2006/relationships/hyperlink" Target="https://lideazeme.cz/" TargetMode="External"/><Relationship Id="rId1997" Type="http://schemas.openxmlformats.org/officeDocument/2006/relationships/hyperlink" Target="https://www.realitnitrh.cz/" TargetMode="External"/><Relationship Id="rId2175" Type="http://schemas.openxmlformats.org/officeDocument/2006/relationships/hyperlink" Target="https://reklama.cncenter.cz/Online/mobilni-interscroller" TargetMode="External"/><Relationship Id="rId2382" Type="http://schemas.openxmlformats.org/officeDocument/2006/relationships/hyperlink" Target="https://zeny.cz/" TargetMode="External"/><Relationship Id="rId147" Type="http://schemas.openxmlformats.org/officeDocument/2006/relationships/hyperlink" Target="https://abicko.cz/" TargetMode="External"/><Relationship Id="rId354" Type="http://schemas.openxmlformats.org/officeDocument/2006/relationships/hyperlink" Target="https://reklama.cncenter.cz/Online/mobilni-slide-up" TargetMode="External"/><Relationship Id="rId799" Type="http://schemas.openxmlformats.org/officeDocument/2006/relationships/hyperlink" Target="https://reklama.cncenter.cz/Online/mobilni-interscroller" TargetMode="External"/><Relationship Id="rId1191" Type="http://schemas.openxmlformats.org/officeDocument/2006/relationships/hyperlink" Target="http://www.facebook.com/" TargetMode="External"/><Relationship Id="rId1205" Type="http://schemas.openxmlformats.org/officeDocument/2006/relationships/hyperlink" Target="http://www.facebook.com/" TargetMode="External"/><Relationship Id="rId1857" Type="http://schemas.openxmlformats.org/officeDocument/2006/relationships/hyperlink" Target="https://motogpsport.cz/" TargetMode="External"/><Relationship Id="rId2035" Type="http://schemas.openxmlformats.org/officeDocument/2006/relationships/hyperlink" Target="https://www.realitnitrh.cz/" TargetMode="External"/><Relationship Id="rId51" Type="http://schemas.openxmlformats.org/officeDocument/2006/relationships/hyperlink" Target="https://abecedazahrady.dama.cz/" TargetMode="External"/><Relationship Id="rId561" Type="http://schemas.openxmlformats.org/officeDocument/2006/relationships/hyperlink" Target="https://reklama.cncenter.cz/Online/branding-cross-device" TargetMode="External"/><Relationship Id="rId659" Type="http://schemas.openxmlformats.org/officeDocument/2006/relationships/hyperlink" Target="https://reklama.cncenter.cz/Online/billboard-bottom" TargetMode="External"/><Relationship Id="rId866" Type="http://schemas.openxmlformats.org/officeDocument/2006/relationships/hyperlink" Target="https://doupe.zive.cz/" TargetMode="External"/><Relationship Id="rId1289" Type="http://schemas.openxmlformats.org/officeDocument/2006/relationships/hyperlink" Target="https://heyfomo.cz/" TargetMode="External"/><Relationship Id="rId1412" Type="http://schemas.openxmlformats.org/officeDocument/2006/relationships/hyperlink" Target="http://www.instagram.com/" TargetMode="External"/><Relationship Id="rId1496" Type="http://schemas.openxmlformats.org/officeDocument/2006/relationships/hyperlink" Target="https://lideazeme.cz/" TargetMode="External"/><Relationship Id="rId1717" Type="http://schemas.openxmlformats.org/officeDocument/2006/relationships/hyperlink" Target="https://mobilmania.cz/" TargetMode="External"/><Relationship Id="rId1924" Type="http://schemas.openxmlformats.org/officeDocument/2006/relationships/hyperlink" Target="https://nemovitosti.blesk.cz/" TargetMode="External"/><Relationship Id="rId2242" Type="http://schemas.openxmlformats.org/officeDocument/2006/relationships/hyperlink" Target="https://reklama.cncenter.cz/?ads=PR%2520%25C4%258Dl%25C3%25A1nky" TargetMode="External"/><Relationship Id="rId214" Type="http://schemas.openxmlformats.org/officeDocument/2006/relationships/hyperlink" Target="https://ahaonline.cz/" TargetMode="External"/><Relationship Id="rId298" Type="http://schemas.openxmlformats.org/officeDocument/2006/relationships/hyperlink" Target="https://auto.cz/" TargetMode="External"/><Relationship Id="rId421" Type="http://schemas.openxmlformats.org/officeDocument/2006/relationships/hyperlink" Target="https://avmania.zive.cz/" TargetMode="External"/><Relationship Id="rId519" Type="http://schemas.openxmlformats.org/officeDocument/2006/relationships/hyperlink" Target="https://reklama.cncenter.cz/Online/Smarticle" TargetMode="External"/><Relationship Id="rId1051" Type="http://schemas.openxmlformats.org/officeDocument/2006/relationships/hyperlink" Target="https://reklama.cncenter.cz/Online/nativni-rectangle-cross-device" TargetMode="External"/><Relationship Id="rId1149" Type="http://schemas.openxmlformats.org/officeDocument/2006/relationships/hyperlink" Target="http://www.facebook.com/" TargetMode="External"/><Relationship Id="rId1356" Type="http://schemas.openxmlformats.org/officeDocument/2006/relationships/hyperlink" Target="https://hledejceny.cz/" TargetMode="External"/><Relationship Id="rId2102" Type="http://schemas.openxmlformats.org/officeDocument/2006/relationships/hyperlink" Target="https://recepty.cz/" TargetMode="External"/><Relationship Id="rId158" Type="http://schemas.openxmlformats.org/officeDocument/2006/relationships/hyperlink" Target="https://ahaonline.cz/" TargetMode="External"/><Relationship Id="rId726" Type="http://schemas.openxmlformats.org/officeDocument/2006/relationships/hyperlink" Target="https://reklama.cncenter.cz/Online/billboard-bottom" TargetMode="External"/><Relationship Id="rId933" Type="http://schemas.openxmlformats.org/officeDocument/2006/relationships/hyperlink" Target="https://dama.cz/" TargetMode="External"/><Relationship Id="rId1009" Type="http://schemas.openxmlformats.org/officeDocument/2006/relationships/hyperlink" Target="https://reklama.cncenter.cz/Online/mobilni-vineta" TargetMode="External"/><Relationship Id="rId1563" Type="http://schemas.openxmlformats.org/officeDocument/2006/relationships/hyperlink" Target="https://maminka.cz/" TargetMode="External"/><Relationship Id="rId1770" Type="http://schemas.openxmlformats.org/officeDocument/2006/relationships/hyperlink" Target="https://mojezdravi.cz/" TargetMode="External"/><Relationship Id="rId1868" Type="http://schemas.openxmlformats.org/officeDocument/2006/relationships/hyperlink" Target="https://motogpsport.cz/" TargetMode="External"/><Relationship Id="rId2186" Type="http://schemas.openxmlformats.org/officeDocument/2006/relationships/hyperlink" Target="https://reflex.cz/" TargetMode="External"/><Relationship Id="rId2393" Type="http://schemas.openxmlformats.org/officeDocument/2006/relationships/hyperlink" Target="https://zeny.cz/" TargetMode="External"/><Relationship Id="rId2407" Type="http://schemas.openxmlformats.org/officeDocument/2006/relationships/hyperlink" Target="https://zive.cz/" TargetMode="External"/><Relationship Id="rId62" Type="http://schemas.openxmlformats.org/officeDocument/2006/relationships/hyperlink" Target="https://abecedazahrady.dama.cz/" TargetMode="External"/><Relationship Id="rId365" Type="http://schemas.openxmlformats.org/officeDocument/2006/relationships/hyperlink" Target="https://autorevue.cz/" TargetMode="External"/><Relationship Id="rId572" Type="http://schemas.openxmlformats.org/officeDocument/2006/relationships/hyperlink" Target="https://bleskprozeny.cz/" TargetMode="External"/><Relationship Id="rId1216" Type="http://schemas.openxmlformats.org/officeDocument/2006/relationships/hyperlink" Target="https://www.facebook.com/business/ads-guide/image/facebook-feed" TargetMode="External"/><Relationship Id="rId1423" Type="http://schemas.openxmlformats.org/officeDocument/2006/relationships/hyperlink" Target="http://www.instagram.com/" TargetMode="External"/><Relationship Id="rId1630" Type="http://schemas.openxmlformats.org/officeDocument/2006/relationships/hyperlink" Target="https://maminka.cz/" TargetMode="External"/><Relationship Id="rId2046" Type="http://schemas.openxmlformats.org/officeDocument/2006/relationships/hyperlink" Target="https://www.realitnitrh.cz/" TargetMode="External"/><Relationship Id="rId2253" Type="http://schemas.openxmlformats.org/officeDocument/2006/relationships/hyperlink" Target="https://reklama.cncenter.cz/Online/billboard-bottom" TargetMode="External"/><Relationship Id="rId2460" Type="http://schemas.openxmlformats.org/officeDocument/2006/relationships/hyperlink" Target="https://zive.cz/" TargetMode="External"/><Relationship Id="rId225" Type="http://schemas.openxmlformats.org/officeDocument/2006/relationships/hyperlink" Target="https://ahaonline.cz/" TargetMode="External"/><Relationship Id="rId432" Type="http://schemas.openxmlformats.org/officeDocument/2006/relationships/hyperlink" Target="https://reklama.cncenter.cz/Online/mobilni-interscroller" TargetMode="External"/><Relationship Id="rId877" Type="http://schemas.openxmlformats.org/officeDocument/2006/relationships/hyperlink" Target="https://reklama.cncenter.cz/Online/nativni-rectangle-cross-device" TargetMode="External"/><Relationship Id="rId1062" Type="http://schemas.openxmlformats.org/officeDocument/2006/relationships/hyperlink" Target="https://evropa2.cz/" TargetMode="External"/><Relationship Id="rId1728" Type="http://schemas.openxmlformats.org/officeDocument/2006/relationships/hyperlink" Target="https://mobilmania.cz/" TargetMode="External"/><Relationship Id="rId1935" Type="http://schemas.openxmlformats.org/officeDocument/2006/relationships/hyperlink" Target="http://nemovitosti.blesk.cz/" TargetMode="External"/><Relationship Id="rId2113" Type="http://schemas.openxmlformats.org/officeDocument/2006/relationships/hyperlink" Target="https://recepty.cz/" TargetMode="External"/><Relationship Id="rId2320" Type="http://schemas.openxmlformats.org/officeDocument/2006/relationships/hyperlink" Target="https://zeny.cz/" TargetMode="External"/><Relationship Id="rId737" Type="http://schemas.openxmlformats.org/officeDocument/2006/relationships/hyperlink" Target="https://reklama.cncenter.cz/Online/nativni-rectangle-cross-device" TargetMode="External"/><Relationship Id="rId944" Type="http://schemas.openxmlformats.org/officeDocument/2006/relationships/hyperlink" Target="https://dama.cz/" TargetMode="External"/><Relationship Id="rId1367" Type="http://schemas.openxmlformats.org/officeDocument/2006/relationships/hyperlink" Target="https://hledejceny.cz/" TargetMode="External"/><Relationship Id="rId1574" Type="http://schemas.openxmlformats.org/officeDocument/2006/relationships/hyperlink" Target="https://maminka.cz/" TargetMode="External"/><Relationship Id="rId1781" Type="http://schemas.openxmlformats.org/officeDocument/2006/relationships/hyperlink" Target="https://mojezdravi.cz/" TargetMode="External"/><Relationship Id="rId2197" Type="http://schemas.openxmlformats.org/officeDocument/2006/relationships/hyperlink" Target="https://reflex.cz/" TargetMode="External"/><Relationship Id="rId2418" Type="http://schemas.openxmlformats.org/officeDocument/2006/relationships/hyperlink" Target="https://reklama.cncenter.cz/Online/branding-cross-device" TargetMode="External"/><Relationship Id="rId73" Type="http://schemas.openxmlformats.org/officeDocument/2006/relationships/hyperlink" Target="https://abicko.cz/" TargetMode="External"/><Relationship Id="rId169" Type="http://schemas.openxmlformats.org/officeDocument/2006/relationships/hyperlink" Target="https://ahaonline.cz/" TargetMode="External"/><Relationship Id="rId376" Type="http://schemas.openxmlformats.org/officeDocument/2006/relationships/hyperlink" Target="https://autorevue.cz/" TargetMode="External"/><Relationship Id="rId583" Type="http://schemas.openxmlformats.org/officeDocument/2006/relationships/hyperlink" Target="https://bleskprozeny.cz/" TargetMode="External"/><Relationship Id="rId790" Type="http://schemas.openxmlformats.org/officeDocument/2006/relationships/hyperlink" Target="https://reklama.cncenter.cz/Online/branding-cross-device" TargetMode="External"/><Relationship Id="rId804" Type="http://schemas.openxmlformats.org/officeDocument/2006/relationships/hyperlink" Target="https://digiarena.zive.cz/" TargetMode="External"/><Relationship Id="rId1227" Type="http://schemas.openxmlformats.org/officeDocument/2006/relationships/hyperlink" Target="https://finexpert.cz/" TargetMode="External"/><Relationship Id="rId1434" Type="http://schemas.openxmlformats.org/officeDocument/2006/relationships/hyperlink" Target="http://www.instagram.com/" TargetMode="External"/><Relationship Id="rId1641" Type="http://schemas.openxmlformats.org/officeDocument/2006/relationships/hyperlink" Target="https://maminka.cz/" TargetMode="External"/><Relationship Id="rId1879" Type="http://schemas.openxmlformats.org/officeDocument/2006/relationships/hyperlink" Target="https://motogpsport.cz/" TargetMode="External"/><Relationship Id="rId2057" Type="http://schemas.openxmlformats.org/officeDocument/2006/relationships/hyperlink" Target="https://www.realitnitrh.cz/" TargetMode="External"/><Relationship Id="rId2264" Type="http://schemas.openxmlformats.org/officeDocument/2006/relationships/hyperlink" Target="https://vtm.zive.cz/" TargetMode="External"/><Relationship Id="rId2471" Type="http://schemas.openxmlformats.org/officeDocument/2006/relationships/hyperlink" Target="https://zive.cz/" TargetMode="External"/><Relationship Id="rId4" Type="http://schemas.openxmlformats.org/officeDocument/2006/relationships/hyperlink" Target="https://abecedazahrady.dama.cz/" TargetMode="External"/><Relationship Id="rId236" Type="http://schemas.openxmlformats.org/officeDocument/2006/relationships/hyperlink" Target="https://ahaonline.cz/" TargetMode="External"/><Relationship Id="rId443" Type="http://schemas.openxmlformats.org/officeDocument/2006/relationships/hyperlink" Target="https://avmania.zive.cz/" TargetMode="External"/><Relationship Id="rId650" Type="http://schemas.openxmlformats.org/officeDocument/2006/relationships/hyperlink" Target="https://reklama.cncenter.cz/Online/mobilni-slide-up" TargetMode="External"/><Relationship Id="rId888" Type="http://schemas.openxmlformats.org/officeDocument/2006/relationships/hyperlink" Target="https://reklama.cncenter.cz/Online/mobilni-interscroller" TargetMode="External"/><Relationship Id="rId1073" Type="http://schemas.openxmlformats.org/officeDocument/2006/relationships/hyperlink" Target="https://evropa2.cz/" TargetMode="External"/><Relationship Id="rId1280" Type="http://schemas.openxmlformats.org/officeDocument/2006/relationships/hyperlink" Target="https://fitweb.cz/" TargetMode="External"/><Relationship Id="rId1501" Type="http://schemas.openxmlformats.org/officeDocument/2006/relationships/hyperlink" Target="https://reklama.cncenter.cz/Online/billboard-bottom" TargetMode="External"/><Relationship Id="rId1739" Type="http://schemas.openxmlformats.org/officeDocument/2006/relationships/hyperlink" Target="https://mobilmania.cz/" TargetMode="External"/><Relationship Id="rId1946" Type="http://schemas.openxmlformats.org/officeDocument/2006/relationships/hyperlink" Target="http://nemovitosti.blesk.cz/" TargetMode="External"/><Relationship Id="rId2124" Type="http://schemas.openxmlformats.org/officeDocument/2006/relationships/hyperlink" Target="https://recepty.cz/" TargetMode="External"/><Relationship Id="rId2331" Type="http://schemas.openxmlformats.org/officeDocument/2006/relationships/hyperlink" Target="https://reklama.cncenter.cz/Online/branding-cross-device" TargetMode="External"/><Relationship Id="rId303" Type="http://schemas.openxmlformats.org/officeDocument/2006/relationships/hyperlink" Target="https://auto.cz/" TargetMode="External"/><Relationship Id="rId748" Type="http://schemas.openxmlformats.org/officeDocument/2006/relationships/hyperlink" Target="https://reklama.cncenter.cz/Online/Smarticle" TargetMode="External"/><Relationship Id="rId955" Type="http://schemas.openxmlformats.org/officeDocument/2006/relationships/hyperlink" Target="https://reklama.cncenter.cz/Online/Outstream" TargetMode="External"/><Relationship Id="rId1140" Type="http://schemas.openxmlformats.org/officeDocument/2006/relationships/hyperlink" Target="https://f1sport.auto.cz/" TargetMode="External"/><Relationship Id="rId1378" Type="http://schemas.openxmlformats.org/officeDocument/2006/relationships/hyperlink" Target="https://reklama.cncenter.cz/Online/double-skyscraper" TargetMode="External"/><Relationship Id="rId1585" Type="http://schemas.openxmlformats.org/officeDocument/2006/relationships/hyperlink" Target="https://reklama.cncenter.cz/Online/mobilni-interscroller" TargetMode="External"/><Relationship Id="rId1792" Type="http://schemas.openxmlformats.org/officeDocument/2006/relationships/hyperlink" Target="https://mojezdravi.cz/" TargetMode="External"/><Relationship Id="rId1806" Type="http://schemas.openxmlformats.org/officeDocument/2006/relationships/hyperlink" Target="https://reklama.cncenter.cz/Online/mobilni-vineta" TargetMode="External"/><Relationship Id="rId2429" Type="http://schemas.openxmlformats.org/officeDocument/2006/relationships/hyperlink" Target="https://zive.cz/" TargetMode="External"/><Relationship Id="rId84" Type="http://schemas.openxmlformats.org/officeDocument/2006/relationships/hyperlink" Target="https://abicko.cz/" TargetMode="External"/><Relationship Id="rId387" Type="http://schemas.openxmlformats.org/officeDocument/2006/relationships/hyperlink" Target="https://autorevue.cz/" TargetMode="External"/><Relationship Id="rId510" Type="http://schemas.openxmlformats.org/officeDocument/2006/relationships/hyperlink" Target="https://reklama.cncenter.cz/Online/Smarticle" TargetMode="External"/><Relationship Id="rId594" Type="http://schemas.openxmlformats.org/officeDocument/2006/relationships/hyperlink" Target="https://bleskprozeny.cz/" TargetMode="External"/><Relationship Id="rId608" Type="http://schemas.openxmlformats.org/officeDocument/2006/relationships/hyperlink" Target="https://reklama.cncenter.cz/Online/mobilni-vineta" TargetMode="External"/><Relationship Id="rId815" Type="http://schemas.openxmlformats.org/officeDocument/2006/relationships/hyperlink" Target="https://digiarena.zive.cz/" TargetMode="External"/><Relationship Id="rId1238" Type="http://schemas.openxmlformats.org/officeDocument/2006/relationships/hyperlink" Target="https://fitweb.cz/" TargetMode="External"/><Relationship Id="rId1445" Type="http://schemas.openxmlformats.org/officeDocument/2006/relationships/hyperlink" Target="http://www.instagram.com/" TargetMode="External"/><Relationship Id="rId1652" Type="http://schemas.openxmlformats.org/officeDocument/2006/relationships/hyperlink" Target="https://reklama.cncenter.cz/Online/mobilni-slide-up" TargetMode="External"/><Relationship Id="rId2068" Type="http://schemas.openxmlformats.org/officeDocument/2006/relationships/hyperlink" Target="https://recepty.cz/" TargetMode="External"/><Relationship Id="rId2275" Type="http://schemas.openxmlformats.org/officeDocument/2006/relationships/hyperlink" Target="https://vtm.zive.cz/" TargetMode="External"/><Relationship Id="rId247" Type="http://schemas.openxmlformats.org/officeDocument/2006/relationships/hyperlink" Target="https://auto.cz/" TargetMode="External"/><Relationship Id="rId899" Type="http://schemas.openxmlformats.org/officeDocument/2006/relationships/hyperlink" Target="https://reklama.cncenter.cz/Online/nativni-rectangle-cross-device" TargetMode="External"/><Relationship Id="rId1000" Type="http://schemas.openxmlformats.org/officeDocument/2006/relationships/hyperlink" Target="https://reklama.cncenter.cz/Online/branding-cross-device" TargetMode="External"/><Relationship Id="rId1084" Type="http://schemas.openxmlformats.org/officeDocument/2006/relationships/hyperlink" Target="https://f1sport.auto.cz/" TargetMode="External"/><Relationship Id="rId1305" Type="http://schemas.openxmlformats.org/officeDocument/2006/relationships/hyperlink" Target="https://frekvence1.cz/" TargetMode="External"/><Relationship Id="rId1957" Type="http://schemas.openxmlformats.org/officeDocument/2006/relationships/hyperlink" Target="http://nemovitosti.blesk.cz/" TargetMode="External"/><Relationship Id="rId2482" Type="http://schemas.openxmlformats.org/officeDocument/2006/relationships/hyperlink" Target="https://reklama.cncenter.cz/Online/Bumper" TargetMode="External"/><Relationship Id="rId107" Type="http://schemas.openxmlformats.org/officeDocument/2006/relationships/hyperlink" Target="https://reklama.cncenter.cz/Online/nativni-rectangle-cross-device" TargetMode="External"/><Relationship Id="rId454" Type="http://schemas.openxmlformats.org/officeDocument/2006/relationships/hyperlink" Target="https://avmania.zive.cz/" TargetMode="External"/><Relationship Id="rId661" Type="http://schemas.openxmlformats.org/officeDocument/2006/relationships/hyperlink" Target="https://reklama.cncenter.cz/Online/branding" TargetMode="External"/><Relationship Id="rId759" Type="http://schemas.openxmlformats.org/officeDocument/2006/relationships/hyperlink" Target="https://reklama.cncenter.cz/Online/mobilni-slide-up" TargetMode="External"/><Relationship Id="rId966" Type="http://schemas.openxmlformats.org/officeDocument/2006/relationships/hyperlink" Target="https://reklama.cncenter.cz/Online/Videospot" TargetMode="External"/><Relationship Id="rId1291" Type="http://schemas.openxmlformats.org/officeDocument/2006/relationships/hyperlink" Target="https://heyfomo.cz/" TargetMode="External"/><Relationship Id="rId1389" Type="http://schemas.openxmlformats.org/officeDocument/2006/relationships/hyperlink" Target="http://www.instagram.com/" TargetMode="External"/><Relationship Id="rId1512" Type="http://schemas.openxmlformats.org/officeDocument/2006/relationships/hyperlink" Target="https://lideazeme.cz/" TargetMode="External"/><Relationship Id="rId1596" Type="http://schemas.openxmlformats.org/officeDocument/2006/relationships/hyperlink" Target="https://maminka.cz/" TargetMode="External"/><Relationship Id="rId1817" Type="http://schemas.openxmlformats.org/officeDocument/2006/relationships/hyperlink" Target="https://reklama.cncenter.cz/?ads=PR%2520%25C4%258Dl%25C3%25A1nky" TargetMode="External"/><Relationship Id="rId2135" Type="http://schemas.openxmlformats.org/officeDocument/2006/relationships/hyperlink" Target="https://recepty.cz/" TargetMode="External"/><Relationship Id="rId2342" Type="http://schemas.openxmlformats.org/officeDocument/2006/relationships/hyperlink" Target="https://zeny.cz/" TargetMode="External"/><Relationship Id="rId11" Type="http://schemas.openxmlformats.org/officeDocument/2006/relationships/hyperlink" Target="https://reklama.cncenter.cz/Online/branding" TargetMode="External"/><Relationship Id="rId314" Type="http://schemas.openxmlformats.org/officeDocument/2006/relationships/hyperlink" Target="https://auto.cz/" TargetMode="External"/><Relationship Id="rId398" Type="http://schemas.openxmlformats.org/officeDocument/2006/relationships/hyperlink" Target="https://autorevue.cz/" TargetMode="External"/><Relationship Id="rId521" Type="http://schemas.openxmlformats.org/officeDocument/2006/relationships/hyperlink" Target="https://blesk.cz/" TargetMode="External"/><Relationship Id="rId619" Type="http://schemas.openxmlformats.org/officeDocument/2006/relationships/hyperlink" Target="https://reklama.cncenter.cz/Online/Outstream" TargetMode="External"/><Relationship Id="rId1151" Type="http://schemas.openxmlformats.org/officeDocument/2006/relationships/hyperlink" Target="http://www.facebook.com/" TargetMode="External"/><Relationship Id="rId1249" Type="http://schemas.openxmlformats.org/officeDocument/2006/relationships/hyperlink" Target="https://reklama.cncenter.cz/Online/branding-cross-device" TargetMode="External"/><Relationship Id="rId2079" Type="http://schemas.openxmlformats.org/officeDocument/2006/relationships/hyperlink" Target="https://reklama.cncenter.cz/Online/branding" TargetMode="External"/><Relationship Id="rId2202" Type="http://schemas.openxmlformats.org/officeDocument/2006/relationships/hyperlink" Target="https://reflex.cz/" TargetMode="External"/><Relationship Id="rId95" Type="http://schemas.openxmlformats.org/officeDocument/2006/relationships/hyperlink" Target="https://reklama.cncenter.cz/Online/mobilni-interscroller" TargetMode="External"/><Relationship Id="rId160" Type="http://schemas.openxmlformats.org/officeDocument/2006/relationships/hyperlink" Target="https://ahaonline.cz/" TargetMode="External"/><Relationship Id="rId826" Type="http://schemas.openxmlformats.org/officeDocument/2006/relationships/hyperlink" Target="https://digiarena.zive.cz/" TargetMode="External"/><Relationship Id="rId1011" Type="http://schemas.openxmlformats.org/officeDocument/2006/relationships/hyperlink" Target="https://reklama.cncenter.cz/Online/Outstream" TargetMode="External"/><Relationship Id="rId1109" Type="http://schemas.openxmlformats.org/officeDocument/2006/relationships/hyperlink" Target="https://f1sport.auto.cz/" TargetMode="External"/><Relationship Id="rId1456" Type="http://schemas.openxmlformats.org/officeDocument/2006/relationships/hyperlink" Target="http://www.instagram.com/" TargetMode="External"/><Relationship Id="rId1663" Type="http://schemas.openxmlformats.org/officeDocument/2006/relationships/hyperlink" Target="https://reklama.cncenter.cz/?ads=PR%2520%25C4%258Dl%25C3%25A1nky" TargetMode="External"/><Relationship Id="rId1870" Type="http://schemas.openxmlformats.org/officeDocument/2006/relationships/hyperlink" Target="https://motogpsport.cz/" TargetMode="External"/><Relationship Id="rId1968" Type="http://schemas.openxmlformats.org/officeDocument/2006/relationships/hyperlink" Target="https://nemovitosti.blesk.cz/" TargetMode="External"/><Relationship Id="rId2286" Type="http://schemas.openxmlformats.org/officeDocument/2006/relationships/hyperlink" Target="https://reklama.cncenter.cz/Online/Outstream" TargetMode="External"/><Relationship Id="rId258" Type="http://schemas.openxmlformats.org/officeDocument/2006/relationships/hyperlink" Target="https://reklama.cncenter.cz/Online/branding" TargetMode="External"/><Relationship Id="rId465" Type="http://schemas.openxmlformats.org/officeDocument/2006/relationships/hyperlink" Target="https://avmania.zive.cz/" TargetMode="External"/><Relationship Id="rId672" Type="http://schemas.openxmlformats.org/officeDocument/2006/relationships/hyperlink" Target="https://reklama.cncenter.cz/Online/Videospot" TargetMode="External"/><Relationship Id="rId1095" Type="http://schemas.openxmlformats.org/officeDocument/2006/relationships/hyperlink" Target="https://reklama.cncenter.cz/Online/branding" TargetMode="External"/><Relationship Id="rId1316" Type="http://schemas.openxmlformats.org/officeDocument/2006/relationships/hyperlink" Target="https://frekvence1.cz/" TargetMode="External"/><Relationship Id="rId1523" Type="http://schemas.openxmlformats.org/officeDocument/2006/relationships/hyperlink" Target="https://lideazeme.cz/" TargetMode="External"/><Relationship Id="rId1730" Type="http://schemas.openxmlformats.org/officeDocument/2006/relationships/hyperlink" Target="https://reklama.cncenter.cz/Online/nativni-rectangle-cross-device" TargetMode="External"/><Relationship Id="rId2146" Type="http://schemas.openxmlformats.org/officeDocument/2006/relationships/hyperlink" Target="https://reklama.cncenter.cz/Online/Bumper" TargetMode="External"/><Relationship Id="rId2353" Type="http://schemas.openxmlformats.org/officeDocument/2006/relationships/hyperlink" Target="https://zeny.cz/" TargetMode="External"/><Relationship Id="rId22" Type="http://schemas.openxmlformats.org/officeDocument/2006/relationships/hyperlink" Target="https://abecedazahrady.dama.cz/" TargetMode="External"/><Relationship Id="rId118" Type="http://schemas.openxmlformats.org/officeDocument/2006/relationships/hyperlink" Target="https://reklama.cncenter.cz/Online/double-skyscraper" TargetMode="External"/><Relationship Id="rId325" Type="http://schemas.openxmlformats.org/officeDocument/2006/relationships/hyperlink" Target="https://reklama.cncenter.cz/Online/Bumper" TargetMode="External"/><Relationship Id="rId532" Type="http://schemas.openxmlformats.org/officeDocument/2006/relationships/hyperlink" Target="https://reklama.cncenter.cz/Online/branding" TargetMode="External"/><Relationship Id="rId977" Type="http://schemas.openxmlformats.org/officeDocument/2006/relationships/hyperlink" Target="https://dama.cz/" TargetMode="External"/><Relationship Id="rId1162" Type="http://schemas.openxmlformats.org/officeDocument/2006/relationships/hyperlink" Target="https://www.facebook.com/business/ads-guide/image/facebook-feed" TargetMode="External"/><Relationship Id="rId1828" Type="http://schemas.openxmlformats.org/officeDocument/2006/relationships/hyperlink" Target="https://motogpsport.cz/" TargetMode="External"/><Relationship Id="rId2006" Type="http://schemas.openxmlformats.org/officeDocument/2006/relationships/hyperlink" Target="https://www.realitnitrh.cz/" TargetMode="External"/><Relationship Id="rId2213" Type="http://schemas.openxmlformats.org/officeDocument/2006/relationships/hyperlink" Target="https://reflex.cz/" TargetMode="External"/><Relationship Id="rId2420" Type="http://schemas.openxmlformats.org/officeDocument/2006/relationships/hyperlink" Target="https://zive.cz/" TargetMode="External"/><Relationship Id="rId171" Type="http://schemas.openxmlformats.org/officeDocument/2006/relationships/hyperlink" Target="https://reklama.cncenter.cz/Online/billboard-bottom" TargetMode="External"/><Relationship Id="rId837" Type="http://schemas.openxmlformats.org/officeDocument/2006/relationships/hyperlink" Target="https://digiarena.zive.cz/" TargetMode="External"/><Relationship Id="rId1022" Type="http://schemas.openxmlformats.org/officeDocument/2006/relationships/hyperlink" Target="https://evropa2.cz/" TargetMode="External"/><Relationship Id="rId1467" Type="http://schemas.openxmlformats.org/officeDocument/2006/relationships/hyperlink" Target="https://reklama.cncenter.cz/Online/branding" TargetMode="External"/><Relationship Id="rId1674" Type="http://schemas.openxmlformats.org/officeDocument/2006/relationships/hyperlink" Target="https://mobilmania.cz/" TargetMode="External"/><Relationship Id="rId1881" Type="http://schemas.openxmlformats.org/officeDocument/2006/relationships/hyperlink" Target="https://motogpsport.cz/" TargetMode="External"/><Relationship Id="rId2297" Type="http://schemas.openxmlformats.org/officeDocument/2006/relationships/hyperlink" Target="https://vtm.zive.cz/" TargetMode="External"/><Relationship Id="rId269" Type="http://schemas.openxmlformats.org/officeDocument/2006/relationships/hyperlink" Target="https://auto.cz/" TargetMode="External"/><Relationship Id="rId476" Type="http://schemas.openxmlformats.org/officeDocument/2006/relationships/hyperlink" Target="https://blesk.cz/" TargetMode="External"/><Relationship Id="rId683" Type="http://schemas.openxmlformats.org/officeDocument/2006/relationships/hyperlink" Target="https://reklama.cncenter.cz/Online/billboard-bottom" TargetMode="External"/><Relationship Id="rId890" Type="http://schemas.openxmlformats.org/officeDocument/2006/relationships/hyperlink" Target="https://doupe.zive.cz/" TargetMode="External"/><Relationship Id="rId904" Type="http://schemas.openxmlformats.org/officeDocument/2006/relationships/hyperlink" Target="https://doupe.zive.cz/" TargetMode="External"/><Relationship Id="rId1327" Type="http://schemas.openxmlformats.org/officeDocument/2006/relationships/hyperlink" Target="https://reklama.cncenter.cz/Online/mobilni-vineta" TargetMode="External"/><Relationship Id="rId1534" Type="http://schemas.openxmlformats.org/officeDocument/2006/relationships/hyperlink" Target="https://lideazeme.cz/" TargetMode="External"/><Relationship Id="rId1741" Type="http://schemas.openxmlformats.org/officeDocument/2006/relationships/hyperlink" Target="https://mobilmania.cz/" TargetMode="External"/><Relationship Id="rId1979" Type="http://schemas.openxmlformats.org/officeDocument/2006/relationships/hyperlink" Target="http://nemovitosti.blesk.cz/" TargetMode="External"/><Relationship Id="rId2157" Type="http://schemas.openxmlformats.org/officeDocument/2006/relationships/hyperlink" Target="https://reklama.cncenter.cz/Online/branding" TargetMode="External"/><Relationship Id="rId2364" Type="http://schemas.openxmlformats.org/officeDocument/2006/relationships/hyperlink" Target="https://zeny.cz/" TargetMode="External"/><Relationship Id="rId33" Type="http://schemas.openxmlformats.org/officeDocument/2006/relationships/hyperlink" Target="https://abecedazahrady.dama.cz/" TargetMode="External"/><Relationship Id="rId129" Type="http://schemas.openxmlformats.org/officeDocument/2006/relationships/hyperlink" Target="https://abicko.cz/" TargetMode="External"/><Relationship Id="rId336" Type="http://schemas.openxmlformats.org/officeDocument/2006/relationships/hyperlink" Target="https://reklama.cncenter.cz/Online/branding" TargetMode="External"/><Relationship Id="rId543" Type="http://schemas.openxmlformats.org/officeDocument/2006/relationships/hyperlink" Target="https://blesk.cz/" TargetMode="External"/><Relationship Id="rId988" Type="http://schemas.openxmlformats.org/officeDocument/2006/relationships/hyperlink" Target="https://dama.cz/" TargetMode="External"/><Relationship Id="rId1173" Type="http://schemas.openxmlformats.org/officeDocument/2006/relationships/hyperlink" Target="http://www.facebook.com/" TargetMode="External"/><Relationship Id="rId1380" Type="http://schemas.openxmlformats.org/officeDocument/2006/relationships/hyperlink" Target="http://www.instagram.com/" TargetMode="External"/><Relationship Id="rId1601" Type="http://schemas.openxmlformats.org/officeDocument/2006/relationships/hyperlink" Target="https://maminka.cz/" TargetMode="External"/><Relationship Id="rId1839" Type="http://schemas.openxmlformats.org/officeDocument/2006/relationships/hyperlink" Target="https://motogpsport.cz/" TargetMode="External"/><Relationship Id="rId2017" Type="http://schemas.openxmlformats.org/officeDocument/2006/relationships/hyperlink" Target="https://www.realitnitrh.cz/" TargetMode="External"/><Relationship Id="rId2224" Type="http://schemas.openxmlformats.org/officeDocument/2006/relationships/hyperlink" Target="https://reklama.cncenter.cz/?ads=PR%2520%25C4%258Dl%25C3%25A1nky" TargetMode="External"/><Relationship Id="rId182" Type="http://schemas.openxmlformats.org/officeDocument/2006/relationships/hyperlink" Target="https://ahaonline.cz/" TargetMode="External"/><Relationship Id="rId403" Type="http://schemas.openxmlformats.org/officeDocument/2006/relationships/hyperlink" Target="https://autorevue.cz/" TargetMode="External"/><Relationship Id="rId750" Type="http://schemas.openxmlformats.org/officeDocument/2006/relationships/hyperlink" Target="https://reklama.cncenter.cz/Online/billboard-bottom" TargetMode="External"/><Relationship Id="rId848" Type="http://schemas.openxmlformats.org/officeDocument/2006/relationships/hyperlink" Target="https://doupe.zive.cz/" TargetMode="External"/><Relationship Id="rId1033" Type="http://schemas.openxmlformats.org/officeDocument/2006/relationships/hyperlink" Target="https://reklama.cncenter.cz/Online/branding" TargetMode="External"/><Relationship Id="rId1478" Type="http://schemas.openxmlformats.org/officeDocument/2006/relationships/hyperlink" Target="https://reklama.cncenter.cz/Online/Bumper" TargetMode="External"/><Relationship Id="rId1685" Type="http://schemas.openxmlformats.org/officeDocument/2006/relationships/hyperlink" Target="https://mobilmania.cz/" TargetMode="External"/><Relationship Id="rId1892" Type="http://schemas.openxmlformats.org/officeDocument/2006/relationships/hyperlink" Target="https://motogpsport.cz/" TargetMode="External"/><Relationship Id="rId1906" Type="http://schemas.openxmlformats.org/officeDocument/2006/relationships/hyperlink" Target="https://reklama.cncenter.cz/Online/branding-cross-device" TargetMode="External"/><Relationship Id="rId2431" Type="http://schemas.openxmlformats.org/officeDocument/2006/relationships/hyperlink" Target="https://zive.cz/" TargetMode="External"/><Relationship Id="rId487" Type="http://schemas.openxmlformats.org/officeDocument/2006/relationships/hyperlink" Target="https://reklama.cncenter.cz/Online/nativni-rectangle-cross-device" TargetMode="External"/><Relationship Id="rId610" Type="http://schemas.openxmlformats.org/officeDocument/2006/relationships/hyperlink" Target="https://bleskprozeny.cz/" TargetMode="External"/><Relationship Id="rId694" Type="http://schemas.openxmlformats.org/officeDocument/2006/relationships/hyperlink" Target="https://reklama.cncenter.cz/Online/double-skyscraper" TargetMode="External"/><Relationship Id="rId708" Type="http://schemas.openxmlformats.org/officeDocument/2006/relationships/hyperlink" Target="https://reklama.cncenter.cz/Online/double-skyscraper" TargetMode="External"/><Relationship Id="rId915" Type="http://schemas.openxmlformats.org/officeDocument/2006/relationships/hyperlink" Target="https://dama.cz/" TargetMode="External"/><Relationship Id="rId1240" Type="http://schemas.openxmlformats.org/officeDocument/2006/relationships/hyperlink" Target="https://reklama.cncenter.cz/Online/branding-cross-device" TargetMode="External"/><Relationship Id="rId1338" Type="http://schemas.openxmlformats.org/officeDocument/2006/relationships/hyperlink" Target="https://frekvence1.cz/" TargetMode="External"/><Relationship Id="rId1545" Type="http://schemas.openxmlformats.org/officeDocument/2006/relationships/hyperlink" Target="https://lideazeme.cz/" TargetMode="External"/><Relationship Id="rId2070" Type="http://schemas.openxmlformats.org/officeDocument/2006/relationships/hyperlink" Target="https://reklama.cncenter.cz/Online/branding" TargetMode="External"/><Relationship Id="rId2168" Type="http://schemas.openxmlformats.org/officeDocument/2006/relationships/hyperlink" Target="https://reflex.cz/" TargetMode="External"/><Relationship Id="rId2375" Type="http://schemas.openxmlformats.org/officeDocument/2006/relationships/hyperlink" Target="https://reklama.cncenter.cz/Online/mobilni-slide-up" TargetMode="External"/><Relationship Id="rId347" Type="http://schemas.openxmlformats.org/officeDocument/2006/relationships/hyperlink" Target="https://autorevue.cz/" TargetMode="External"/><Relationship Id="rId999" Type="http://schemas.openxmlformats.org/officeDocument/2006/relationships/hyperlink" Target="https://reklama.cncenter.cz/Online/billboard-bottom" TargetMode="External"/><Relationship Id="rId1100" Type="http://schemas.openxmlformats.org/officeDocument/2006/relationships/hyperlink" Target="https://f1sport.auto.cz/" TargetMode="External"/><Relationship Id="rId1184" Type="http://schemas.openxmlformats.org/officeDocument/2006/relationships/hyperlink" Target="http://www.facebook.com/" TargetMode="External"/><Relationship Id="rId1405" Type="http://schemas.openxmlformats.org/officeDocument/2006/relationships/hyperlink" Target="http://www.instagram.com/" TargetMode="External"/><Relationship Id="rId1752" Type="http://schemas.openxmlformats.org/officeDocument/2006/relationships/hyperlink" Target="https://mojezdravi.cz/" TargetMode="External"/><Relationship Id="rId2028" Type="http://schemas.openxmlformats.org/officeDocument/2006/relationships/hyperlink" Target="https://reklama.cncenter.cz/Online/nativni-rectangle-cross-device" TargetMode="External"/><Relationship Id="rId44" Type="http://schemas.openxmlformats.org/officeDocument/2006/relationships/hyperlink" Target="https://abecedazahrady.dama.cz/" TargetMode="External"/><Relationship Id="rId554" Type="http://schemas.openxmlformats.org/officeDocument/2006/relationships/hyperlink" Target="https://bleskprozeny.cz/" TargetMode="External"/><Relationship Id="rId761" Type="http://schemas.openxmlformats.org/officeDocument/2006/relationships/hyperlink" Target="https://reklama.cncenter.cz/Online/nativni-rectangle-cross-device" TargetMode="External"/><Relationship Id="rId859" Type="http://schemas.openxmlformats.org/officeDocument/2006/relationships/hyperlink" Target="https://reklama.cncenter.cz/Online/branding-cross-device" TargetMode="External"/><Relationship Id="rId1391" Type="http://schemas.openxmlformats.org/officeDocument/2006/relationships/hyperlink" Target="http://www.instagram.com/" TargetMode="External"/><Relationship Id="rId1489" Type="http://schemas.openxmlformats.org/officeDocument/2006/relationships/hyperlink" Target="https://lideazeme.cz/" TargetMode="External"/><Relationship Id="rId1612" Type="http://schemas.openxmlformats.org/officeDocument/2006/relationships/hyperlink" Target="https://maminka.cz/" TargetMode="External"/><Relationship Id="rId1696" Type="http://schemas.openxmlformats.org/officeDocument/2006/relationships/hyperlink" Target="https://reklama.cncenter.cz/Online/mobilni-vineta" TargetMode="External"/><Relationship Id="rId1917" Type="http://schemas.openxmlformats.org/officeDocument/2006/relationships/hyperlink" Target="https://nemovitosti.blesk.cz/" TargetMode="External"/><Relationship Id="rId2235" Type="http://schemas.openxmlformats.org/officeDocument/2006/relationships/hyperlink" Target="https://sportrevue.cz/" TargetMode="External"/><Relationship Id="rId2442" Type="http://schemas.openxmlformats.org/officeDocument/2006/relationships/hyperlink" Target="https://reklama.cncenter.cz/Online/Outstream" TargetMode="External"/><Relationship Id="rId193" Type="http://schemas.openxmlformats.org/officeDocument/2006/relationships/hyperlink" Target="https://ahaonline.cz/" TargetMode="External"/><Relationship Id="rId207" Type="http://schemas.openxmlformats.org/officeDocument/2006/relationships/hyperlink" Target="https://ahaonline.cz/" TargetMode="External"/><Relationship Id="rId414" Type="http://schemas.openxmlformats.org/officeDocument/2006/relationships/hyperlink" Target="https://reklama.cncenter.cz/Online/branding-cross-device" TargetMode="External"/><Relationship Id="rId498" Type="http://schemas.openxmlformats.org/officeDocument/2006/relationships/hyperlink" Target="https://reklama.cncenter.cz/Online/branding-cross-device" TargetMode="External"/><Relationship Id="rId621" Type="http://schemas.openxmlformats.org/officeDocument/2006/relationships/hyperlink" Target="https://bleskprozeny.cz/" TargetMode="External"/><Relationship Id="rId1044" Type="http://schemas.openxmlformats.org/officeDocument/2006/relationships/hyperlink" Target="https://evropa2.cz/" TargetMode="External"/><Relationship Id="rId1251" Type="http://schemas.openxmlformats.org/officeDocument/2006/relationships/hyperlink" Target="https://fitweb.cz/" TargetMode="External"/><Relationship Id="rId1349" Type="http://schemas.openxmlformats.org/officeDocument/2006/relationships/hyperlink" Target="https://frekvence1.cz/" TargetMode="External"/><Relationship Id="rId2081" Type="http://schemas.openxmlformats.org/officeDocument/2006/relationships/hyperlink" Target="https://recepty.cz/" TargetMode="External"/><Relationship Id="rId2179" Type="http://schemas.openxmlformats.org/officeDocument/2006/relationships/hyperlink" Target="https://reflex.cz/" TargetMode="External"/><Relationship Id="rId2302" Type="http://schemas.openxmlformats.org/officeDocument/2006/relationships/hyperlink" Target="https://vtm.zive.cz/" TargetMode="External"/><Relationship Id="rId260" Type="http://schemas.openxmlformats.org/officeDocument/2006/relationships/hyperlink" Target="https://auto.cz/" TargetMode="External"/><Relationship Id="rId719" Type="http://schemas.openxmlformats.org/officeDocument/2006/relationships/hyperlink" Target="https://reklama.cncenter.cz/Online/mobilni-interscroller" TargetMode="External"/><Relationship Id="rId926" Type="http://schemas.openxmlformats.org/officeDocument/2006/relationships/hyperlink" Target="https://dama.cz/" TargetMode="External"/><Relationship Id="rId1111" Type="http://schemas.openxmlformats.org/officeDocument/2006/relationships/hyperlink" Target="https://f1sport.auto.cz/" TargetMode="External"/><Relationship Id="rId1556" Type="http://schemas.openxmlformats.org/officeDocument/2006/relationships/hyperlink" Target="https://lideazeme.cz/" TargetMode="External"/><Relationship Id="rId1763" Type="http://schemas.openxmlformats.org/officeDocument/2006/relationships/hyperlink" Target="https://mojezdravi.cz/" TargetMode="External"/><Relationship Id="rId1970" Type="http://schemas.openxmlformats.org/officeDocument/2006/relationships/hyperlink" Target="https://reklama.cncenter.cz/Online/nativni-rectangle-cross-device" TargetMode="External"/><Relationship Id="rId2386" Type="http://schemas.openxmlformats.org/officeDocument/2006/relationships/hyperlink" Target="https://reklama.cncenter.cz/Online/nativni-rectangle-cross-device" TargetMode="External"/><Relationship Id="rId55" Type="http://schemas.openxmlformats.org/officeDocument/2006/relationships/hyperlink" Target="https://abecedazahrady.dama.cz/" TargetMode="External"/><Relationship Id="rId120" Type="http://schemas.openxmlformats.org/officeDocument/2006/relationships/hyperlink" Target="https://abicko.cz/" TargetMode="External"/><Relationship Id="rId358" Type="http://schemas.openxmlformats.org/officeDocument/2006/relationships/hyperlink" Target="https://autorevue.cz/" TargetMode="External"/><Relationship Id="rId565" Type="http://schemas.openxmlformats.org/officeDocument/2006/relationships/hyperlink" Target="https://bleskprozeny.cz/" TargetMode="External"/><Relationship Id="rId772" Type="http://schemas.openxmlformats.org/officeDocument/2006/relationships/hyperlink" Target="https://reklama.cncenter.cz/Online/Smarticle" TargetMode="External"/><Relationship Id="rId1195" Type="http://schemas.openxmlformats.org/officeDocument/2006/relationships/hyperlink" Target="https://www.facebook.com/business/ads-guide/image/facebook-feed" TargetMode="External"/><Relationship Id="rId1209" Type="http://schemas.openxmlformats.org/officeDocument/2006/relationships/hyperlink" Target="http://www.facebook.com/" TargetMode="External"/><Relationship Id="rId1416" Type="http://schemas.openxmlformats.org/officeDocument/2006/relationships/hyperlink" Target="http://www.instagram.com/" TargetMode="External"/><Relationship Id="rId1623" Type="http://schemas.openxmlformats.org/officeDocument/2006/relationships/hyperlink" Target="https://maminka.cz/" TargetMode="External"/><Relationship Id="rId1830" Type="http://schemas.openxmlformats.org/officeDocument/2006/relationships/hyperlink" Target="https://motogpsport.cz/" TargetMode="External"/><Relationship Id="rId2039" Type="http://schemas.openxmlformats.org/officeDocument/2006/relationships/hyperlink" Target="https://reklama.cncenter.cz/Online/mobilni-interscroller" TargetMode="External"/><Relationship Id="rId2246" Type="http://schemas.openxmlformats.org/officeDocument/2006/relationships/hyperlink" Target="https://sportrevue.cz/" TargetMode="External"/><Relationship Id="rId2453" Type="http://schemas.openxmlformats.org/officeDocument/2006/relationships/hyperlink" Target="https://reklama.cncenter.cz/Online/mobilni-interscroller" TargetMode="External"/><Relationship Id="rId218" Type="http://schemas.openxmlformats.org/officeDocument/2006/relationships/hyperlink" Target="https://ahaonline.cz/" TargetMode="External"/><Relationship Id="rId425" Type="http://schemas.openxmlformats.org/officeDocument/2006/relationships/hyperlink" Target="https://avmania.zive.cz/" TargetMode="External"/><Relationship Id="rId632" Type="http://schemas.openxmlformats.org/officeDocument/2006/relationships/hyperlink" Target="https://reklama.cncenter.cz/Online/billboard-bottom" TargetMode="External"/><Relationship Id="rId1055" Type="http://schemas.openxmlformats.org/officeDocument/2006/relationships/hyperlink" Target="https://evropa2.cz/" TargetMode="External"/><Relationship Id="rId1262" Type="http://schemas.openxmlformats.org/officeDocument/2006/relationships/hyperlink" Target="https://fitweb.cz/" TargetMode="External"/><Relationship Id="rId1928" Type="http://schemas.openxmlformats.org/officeDocument/2006/relationships/hyperlink" Target="https://nemovitosti.blesk.cz/" TargetMode="External"/><Relationship Id="rId2092" Type="http://schemas.openxmlformats.org/officeDocument/2006/relationships/hyperlink" Target="https://recepty.cz/" TargetMode="External"/><Relationship Id="rId2106" Type="http://schemas.openxmlformats.org/officeDocument/2006/relationships/hyperlink" Target="https://reklama.cncenter.cz/Online/Bumper" TargetMode="External"/><Relationship Id="rId2313" Type="http://schemas.openxmlformats.org/officeDocument/2006/relationships/hyperlink" Target="https://youradio.cz/" TargetMode="External"/><Relationship Id="rId271" Type="http://schemas.openxmlformats.org/officeDocument/2006/relationships/hyperlink" Target="https://auto.cz/" TargetMode="External"/><Relationship Id="rId937" Type="http://schemas.openxmlformats.org/officeDocument/2006/relationships/hyperlink" Target="https://reklama.cncenter.cz/Online/Videospot" TargetMode="External"/><Relationship Id="rId1122" Type="http://schemas.openxmlformats.org/officeDocument/2006/relationships/hyperlink" Target="https://f1sport.auto.cz/" TargetMode="External"/><Relationship Id="rId1567" Type="http://schemas.openxmlformats.org/officeDocument/2006/relationships/hyperlink" Target="https://reklama.cncenter.cz/Online/branding" TargetMode="External"/><Relationship Id="rId1774" Type="http://schemas.openxmlformats.org/officeDocument/2006/relationships/hyperlink" Target="https://reklama.cncenter.cz/Online/mobilni-interscroller" TargetMode="External"/><Relationship Id="rId1981" Type="http://schemas.openxmlformats.org/officeDocument/2006/relationships/hyperlink" Target="https://nemovitosti.blesk.cz/" TargetMode="External"/><Relationship Id="rId2397" Type="http://schemas.openxmlformats.org/officeDocument/2006/relationships/hyperlink" Target="https://zeny.cz/" TargetMode="External"/><Relationship Id="rId66" Type="http://schemas.openxmlformats.org/officeDocument/2006/relationships/hyperlink" Target="https://abecedazahrady.dama.cz/" TargetMode="External"/><Relationship Id="rId131" Type="http://schemas.openxmlformats.org/officeDocument/2006/relationships/hyperlink" Target="https://abicko.cz/" TargetMode="External"/><Relationship Id="rId369" Type="http://schemas.openxmlformats.org/officeDocument/2006/relationships/hyperlink" Target="https://reklama.cncenter.cz/Online/Bumper" TargetMode="External"/><Relationship Id="rId576" Type="http://schemas.openxmlformats.org/officeDocument/2006/relationships/hyperlink" Target="https://reklama.cncenter.cz/Online/mobilni-slide-up" TargetMode="External"/><Relationship Id="rId783" Type="http://schemas.openxmlformats.org/officeDocument/2006/relationships/hyperlink" Target="https://digiarena.zive.cz/" TargetMode="External"/><Relationship Id="rId990" Type="http://schemas.openxmlformats.org/officeDocument/2006/relationships/hyperlink" Target="https://dama.cz/" TargetMode="External"/><Relationship Id="rId1427" Type="http://schemas.openxmlformats.org/officeDocument/2006/relationships/hyperlink" Target="http://www.instagram.com/" TargetMode="External"/><Relationship Id="rId1634" Type="http://schemas.openxmlformats.org/officeDocument/2006/relationships/hyperlink" Target="https://reklama.cncenter.cz/?ads=PR%2520%25C4%258Dl%25C3%25A1nky" TargetMode="External"/><Relationship Id="rId1841" Type="http://schemas.openxmlformats.org/officeDocument/2006/relationships/hyperlink" Target="https://motogpsport.cz/" TargetMode="External"/><Relationship Id="rId2257" Type="http://schemas.openxmlformats.org/officeDocument/2006/relationships/hyperlink" Target="https://vtm.zive.cz/" TargetMode="External"/><Relationship Id="rId2464" Type="http://schemas.openxmlformats.org/officeDocument/2006/relationships/hyperlink" Target="https://reklama.cncenter.cz/Online/nativni-PR-premium" TargetMode="External"/><Relationship Id="rId229" Type="http://schemas.openxmlformats.org/officeDocument/2006/relationships/hyperlink" Target="https://reklama.cncenter.cz/?ads=PR%2520%25C4%258Dl%25C3%25A1nky" TargetMode="External"/><Relationship Id="rId436" Type="http://schemas.openxmlformats.org/officeDocument/2006/relationships/hyperlink" Target="https://avmania.zive.cz/" TargetMode="External"/><Relationship Id="rId643" Type="http://schemas.openxmlformats.org/officeDocument/2006/relationships/hyperlink" Target="https://reklama.cncenter.cz/Online/nativni-rectangle-cross-device" TargetMode="External"/><Relationship Id="rId1066" Type="http://schemas.openxmlformats.org/officeDocument/2006/relationships/hyperlink" Target="https://reklama.cncenter.cz/Online/mobilni-slide-up" TargetMode="External"/><Relationship Id="rId1273" Type="http://schemas.openxmlformats.org/officeDocument/2006/relationships/hyperlink" Target="https://reklama.cncenter.cz/Online/double-skyscraper" TargetMode="External"/><Relationship Id="rId1480" Type="http://schemas.openxmlformats.org/officeDocument/2006/relationships/hyperlink" Target="https://reklama.cncenter.cz/Online/Videospot" TargetMode="External"/><Relationship Id="rId1939" Type="http://schemas.openxmlformats.org/officeDocument/2006/relationships/hyperlink" Target="http://nemovitosti.blesk.cz/" TargetMode="External"/><Relationship Id="rId2117" Type="http://schemas.openxmlformats.org/officeDocument/2006/relationships/hyperlink" Target="https://reklama.cncenter.cz/Online/mobilni-interscroller" TargetMode="External"/><Relationship Id="rId2324" Type="http://schemas.openxmlformats.org/officeDocument/2006/relationships/hyperlink" Target="https://zeny.cz/" TargetMode="External"/><Relationship Id="rId850" Type="http://schemas.openxmlformats.org/officeDocument/2006/relationships/hyperlink" Target="https://reklama.cncenter.cz/Online/branding-cross-device" TargetMode="External"/><Relationship Id="rId948" Type="http://schemas.openxmlformats.org/officeDocument/2006/relationships/hyperlink" Target="https://dama.cz/" TargetMode="External"/><Relationship Id="rId1133" Type="http://schemas.openxmlformats.org/officeDocument/2006/relationships/hyperlink" Target="https://f1sport.auto.cz/" TargetMode="External"/><Relationship Id="rId1578" Type="http://schemas.openxmlformats.org/officeDocument/2006/relationships/hyperlink" Target="https://maminka.cz/" TargetMode="External"/><Relationship Id="rId1701" Type="http://schemas.openxmlformats.org/officeDocument/2006/relationships/hyperlink" Target="https://mobilmania.cz/" TargetMode="External"/><Relationship Id="rId1785" Type="http://schemas.openxmlformats.org/officeDocument/2006/relationships/hyperlink" Target="https://mojezdravi.cz/" TargetMode="External"/><Relationship Id="rId1992" Type="http://schemas.openxmlformats.org/officeDocument/2006/relationships/hyperlink" Target="https://www.poggers.cz/" TargetMode="External"/><Relationship Id="rId77" Type="http://schemas.openxmlformats.org/officeDocument/2006/relationships/hyperlink" Target="https://reklama.cncenter.cz/Online/branding-cross-device" TargetMode="External"/><Relationship Id="rId282" Type="http://schemas.openxmlformats.org/officeDocument/2006/relationships/hyperlink" Target="https://reklama.cncenter.cz/Online/Outstream" TargetMode="External"/><Relationship Id="rId503" Type="http://schemas.openxmlformats.org/officeDocument/2006/relationships/hyperlink" Target="https://reklama.cncenter.cz/Online/double-skyscraper" TargetMode="External"/><Relationship Id="rId587" Type="http://schemas.openxmlformats.org/officeDocument/2006/relationships/hyperlink" Target="https://bleskprozeny.cz/" TargetMode="External"/><Relationship Id="rId710" Type="http://schemas.openxmlformats.org/officeDocument/2006/relationships/hyperlink" Target="https://reklama.cncenter.cz/Online/mobilni-interscroller" TargetMode="External"/><Relationship Id="rId808" Type="http://schemas.openxmlformats.org/officeDocument/2006/relationships/hyperlink" Target="https://reklama.cncenter.cz/Online/nativni-rectangle-cross-device" TargetMode="External"/><Relationship Id="rId1340" Type="http://schemas.openxmlformats.org/officeDocument/2006/relationships/hyperlink" Target="https://frekvence1.cz/" TargetMode="External"/><Relationship Id="rId1438" Type="http://schemas.openxmlformats.org/officeDocument/2006/relationships/hyperlink" Target="http://www.instagram.com/" TargetMode="External"/><Relationship Id="rId1645" Type="http://schemas.openxmlformats.org/officeDocument/2006/relationships/hyperlink" Target="https://reklama.cncenter.cz/Online/branding-cross-device" TargetMode="External"/><Relationship Id="rId2170" Type="http://schemas.openxmlformats.org/officeDocument/2006/relationships/hyperlink" Target="https://reflex.cz/" TargetMode="External"/><Relationship Id="rId2268" Type="http://schemas.openxmlformats.org/officeDocument/2006/relationships/hyperlink" Target="https://reklama.cncenter.cz/Online/branding" TargetMode="External"/><Relationship Id="rId8" Type="http://schemas.openxmlformats.org/officeDocument/2006/relationships/hyperlink" Target="https://reklama.cncenter.cz/Online/branding-cross-device" TargetMode="External"/><Relationship Id="rId142" Type="http://schemas.openxmlformats.org/officeDocument/2006/relationships/hyperlink" Target="https://abicko.cz/" TargetMode="External"/><Relationship Id="rId447" Type="http://schemas.openxmlformats.org/officeDocument/2006/relationships/hyperlink" Target="https://avmania.zive.cz/" TargetMode="External"/><Relationship Id="rId794" Type="http://schemas.openxmlformats.org/officeDocument/2006/relationships/hyperlink" Target="https://digiarena.zive.cz/" TargetMode="External"/><Relationship Id="rId1077" Type="http://schemas.openxmlformats.org/officeDocument/2006/relationships/hyperlink" Target="https://f1sport.auto.cz/" TargetMode="External"/><Relationship Id="rId1200" Type="http://schemas.openxmlformats.org/officeDocument/2006/relationships/hyperlink" Target="http://www.facebook.com/" TargetMode="External"/><Relationship Id="rId1852" Type="http://schemas.openxmlformats.org/officeDocument/2006/relationships/hyperlink" Target="https://reklama.cncenter.cz/Online/mobilni-interscroller" TargetMode="External"/><Relationship Id="rId2030" Type="http://schemas.openxmlformats.org/officeDocument/2006/relationships/hyperlink" Target="https://www.realitnitrh.cz/" TargetMode="External"/><Relationship Id="rId2128" Type="http://schemas.openxmlformats.org/officeDocument/2006/relationships/hyperlink" Target="https://reklama.cncenter.cz/Online/nativni-PR-premium" TargetMode="External"/><Relationship Id="rId2475" Type="http://schemas.openxmlformats.org/officeDocument/2006/relationships/hyperlink" Target="https://zive.cz/" TargetMode="External"/><Relationship Id="rId654" Type="http://schemas.openxmlformats.org/officeDocument/2006/relationships/hyperlink" Target="https://reklama.cncenter.cz/Online/Smarticle" TargetMode="External"/><Relationship Id="rId861" Type="http://schemas.openxmlformats.org/officeDocument/2006/relationships/hyperlink" Target="https://doupe.zive.cz/" TargetMode="External"/><Relationship Id="rId959" Type="http://schemas.openxmlformats.org/officeDocument/2006/relationships/hyperlink" Target="https://dama.cz/" TargetMode="External"/><Relationship Id="rId1284" Type="http://schemas.openxmlformats.org/officeDocument/2006/relationships/hyperlink" Target="https://fitweb.cz/" TargetMode="External"/><Relationship Id="rId1491" Type="http://schemas.openxmlformats.org/officeDocument/2006/relationships/hyperlink" Target="https://lideazeme.cz/" TargetMode="External"/><Relationship Id="rId1505" Type="http://schemas.openxmlformats.org/officeDocument/2006/relationships/hyperlink" Target="https://lideazeme.cz/" TargetMode="External"/><Relationship Id="rId1589" Type="http://schemas.openxmlformats.org/officeDocument/2006/relationships/hyperlink" Target="https://maminka.cz/" TargetMode="External"/><Relationship Id="rId1712" Type="http://schemas.openxmlformats.org/officeDocument/2006/relationships/hyperlink" Target="https://mobilmania.cz/" TargetMode="External"/><Relationship Id="rId2335" Type="http://schemas.openxmlformats.org/officeDocument/2006/relationships/hyperlink" Target="https://zeny.cz/" TargetMode="External"/><Relationship Id="rId293" Type="http://schemas.openxmlformats.org/officeDocument/2006/relationships/hyperlink" Target="https://reklama.cncenter.cz/Online/Videospot" TargetMode="External"/><Relationship Id="rId307" Type="http://schemas.openxmlformats.org/officeDocument/2006/relationships/hyperlink" Target="https://reklama.cncenter.cz/Online/nativni-PR-premium" TargetMode="External"/><Relationship Id="rId514" Type="http://schemas.openxmlformats.org/officeDocument/2006/relationships/hyperlink" Target="https://reklama.cncenter.cz/Online/mobilni-interscroller" TargetMode="External"/><Relationship Id="rId721" Type="http://schemas.openxmlformats.org/officeDocument/2006/relationships/hyperlink" Target="https://reklama.cncenter.cz/Online/mobilni-vineta" TargetMode="External"/><Relationship Id="rId1144" Type="http://schemas.openxmlformats.org/officeDocument/2006/relationships/hyperlink" Target="https://f1sport.auto.cz/" TargetMode="External"/><Relationship Id="rId1351" Type="http://schemas.openxmlformats.org/officeDocument/2006/relationships/hyperlink" Target="https://reklama.cncenter.cz/Online/Bumper" TargetMode="External"/><Relationship Id="rId1449" Type="http://schemas.openxmlformats.org/officeDocument/2006/relationships/hyperlink" Target="http://www.instagram.com/" TargetMode="External"/><Relationship Id="rId1796" Type="http://schemas.openxmlformats.org/officeDocument/2006/relationships/hyperlink" Target="https://mojezdravi.cz/" TargetMode="External"/><Relationship Id="rId2181" Type="http://schemas.openxmlformats.org/officeDocument/2006/relationships/hyperlink" Target="https://reklama.cncenter.cz/Online/mobilni-vineta" TargetMode="External"/><Relationship Id="rId2402" Type="http://schemas.openxmlformats.org/officeDocument/2006/relationships/hyperlink" Target="https://zive.cz/" TargetMode="External"/><Relationship Id="rId88" Type="http://schemas.openxmlformats.org/officeDocument/2006/relationships/hyperlink" Target="https://abicko.cz/" TargetMode="External"/><Relationship Id="rId153" Type="http://schemas.openxmlformats.org/officeDocument/2006/relationships/hyperlink" Target="https://www.activegroup.cz/reklama" TargetMode="External"/><Relationship Id="rId360" Type="http://schemas.openxmlformats.org/officeDocument/2006/relationships/hyperlink" Target="https://reklama.cncenter.cz/Online/nativni-PR-premium" TargetMode="External"/><Relationship Id="rId598" Type="http://schemas.openxmlformats.org/officeDocument/2006/relationships/hyperlink" Target="https://bleskprozeny.cz/" TargetMode="External"/><Relationship Id="rId819" Type="http://schemas.openxmlformats.org/officeDocument/2006/relationships/hyperlink" Target="https://reklama.cncenter.cz/Online/mobilni-interscroller" TargetMode="External"/><Relationship Id="rId1004" Type="http://schemas.openxmlformats.org/officeDocument/2006/relationships/hyperlink" Target="https://reklama.cncenter.cz/Online/branding" TargetMode="External"/><Relationship Id="rId1211" Type="http://schemas.openxmlformats.org/officeDocument/2006/relationships/hyperlink" Target="http://www.facebook.com/" TargetMode="External"/><Relationship Id="rId1656" Type="http://schemas.openxmlformats.org/officeDocument/2006/relationships/hyperlink" Target="https://reklama.cncenter.cz/Online/Bumper" TargetMode="External"/><Relationship Id="rId1863" Type="http://schemas.openxmlformats.org/officeDocument/2006/relationships/hyperlink" Target="https://motogpsport.cz/" TargetMode="External"/><Relationship Id="rId2041" Type="http://schemas.openxmlformats.org/officeDocument/2006/relationships/hyperlink" Target="https://www.realitnitrh.cz/" TargetMode="External"/><Relationship Id="rId2279" Type="http://schemas.openxmlformats.org/officeDocument/2006/relationships/hyperlink" Target="https://vtm.zive.cz/" TargetMode="External"/><Relationship Id="rId220" Type="http://schemas.openxmlformats.org/officeDocument/2006/relationships/hyperlink" Target="https://reklama.cncenter.cz/Online/nativni-PR-premium" TargetMode="External"/><Relationship Id="rId458" Type="http://schemas.openxmlformats.org/officeDocument/2006/relationships/hyperlink" Target="https://reklama.cncenter.cz/Online/mobilni-vineta" TargetMode="External"/><Relationship Id="rId665" Type="http://schemas.openxmlformats.org/officeDocument/2006/relationships/hyperlink" Target="https://reklama.cncenter.cz/Online/mobilni-slide-up" TargetMode="External"/><Relationship Id="rId872" Type="http://schemas.openxmlformats.org/officeDocument/2006/relationships/hyperlink" Target="https://doupe.zive.cz/" TargetMode="External"/><Relationship Id="rId1088" Type="http://schemas.openxmlformats.org/officeDocument/2006/relationships/hyperlink" Target="https://f1sport.auto.cz/" TargetMode="External"/><Relationship Id="rId1295" Type="http://schemas.openxmlformats.org/officeDocument/2006/relationships/hyperlink" Target="https://heyfomo.cz/" TargetMode="External"/><Relationship Id="rId1309" Type="http://schemas.openxmlformats.org/officeDocument/2006/relationships/hyperlink" Target="https://reklama.cncenter.cz/Online/branding" TargetMode="External"/><Relationship Id="rId1516" Type="http://schemas.openxmlformats.org/officeDocument/2006/relationships/hyperlink" Target="https://reklama.cncenter.cz/Online/mobilni-slide-up" TargetMode="External"/><Relationship Id="rId1723" Type="http://schemas.openxmlformats.org/officeDocument/2006/relationships/hyperlink" Target="https://mobilmania.cz/" TargetMode="External"/><Relationship Id="rId1930" Type="http://schemas.openxmlformats.org/officeDocument/2006/relationships/hyperlink" Target="https://reklama.cncenter.cz/Online/mobilni-interscroller" TargetMode="External"/><Relationship Id="rId2139" Type="http://schemas.openxmlformats.org/officeDocument/2006/relationships/hyperlink" Target="https://recepty.cz/" TargetMode="External"/><Relationship Id="rId2346" Type="http://schemas.openxmlformats.org/officeDocument/2006/relationships/hyperlink" Target="https://reklama.cncenter.cz/Online/mobilni-slide-up" TargetMode="External"/><Relationship Id="rId15" Type="http://schemas.openxmlformats.org/officeDocument/2006/relationships/hyperlink" Target="https://abecedazahrady.dama.cz/" TargetMode="External"/><Relationship Id="rId318" Type="http://schemas.openxmlformats.org/officeDocument/2006/relationships/hyperlink" Target="https://auto.cz/" TargetMode="External"/><Relationship Id="rId525" Type="http://schemas.openxmlformats.org/officeDocument/2006/relationships/hyperlink" Target="https://blesk.cz/" TargetMode="External"/><Relationship Id="rId732" Type="http://schemas.openxmlformats.org/officeDocument/2006/relationships/hyperlink" Target="https://reklama.cncenter.cz/Online/double-skyscraper" TargetMode="External"/><Relationship Id="rId1155" Type="http://schemas.openxmlformats.org/officeDocument/2006/relationships/hyperlink" Target="http://www.facebook.com/" TargetMode="External"/><Relationship Id="rId1362" Type="http://schemas.openxmlformats.org/officeDocument/2006/relationships/hyperlink" Target="https://hledejceny.cz/" TargetMode="External"/><Relationship Id="rId2192" Type="http://schemas.openxmlformats.org/officeDocument/2006/relationships/hyperlink" Target="https://reflex.cz/" TargetMode="External"/><Relationship Id="rId2206" Type="http://schemas.openxmlformats.org/officeDocument/2006/relationships/hyperlink" Target="https://reflex.cz/" TargetMode="External"/><Relationship Id="rId2413" Type="http://schemas.openxmlformats.org/officeDocument/2006/relationships/hyperlink" Target="https://zive.cz/" TargetMode="External"/><Relationship Id="rId99" Type="http://schemas.openxmlformats.org/officeDocument/2006/relationships/hyperlink" Target="https://abicko.cz/" TargetMode="External"/><Relationship Id="rId164" Type="http://schemas.openxmlformats.org/officeDocument/2006/relationships/hyperlink" Target="https://ahaonline.cz/" TargetMode="External"/><Relationship Id="rId371" Type="http://schemas.openxmlformats.org/officeDocument/2006/relationships/hyperlink" Target="https://autorevue.cz/" TargetMode="External"/><Relationship Id="rId1015" Type="http://schemas.openxmlformats.org/officeDocument/2006/relationships/hyperlink" Target="https://reklama.cncenter.cz/Online/mobilni-interscroller" TargetMode="External"/><Relationship Id="rId1222" Type="http://schemas.openxmlformats.org/officeDocument/2006/relationships/hyperlink" Target="https://finexpert.cz/" TargetMode="External"/><Relationship Id="rId1667" Type="http://schemas.openxmlformats.org/officeDocument/2006/relationships/hyperlink" Target="https://mobilmania.cz/" TargetMode="External"/><Relationship Id="rId1874" Type="http://schemas.openxmlformats.org/officeDocument/2006/relationships/hyperlink" Target="https://motogpsport.cz/" TargetMode="External"/><Relationship Id="rId2052" Type="http://schemas.openxmlformats.org/officeDocument/2006/relationships/hyperlink" Target="https://www.realitnitrh.cz/" TargetMode="External"/><Relationship Id="rId469" Type="http://schemas.openxmlformats.org/officeDocument/2006/relationships/hyperlink" Target="https://reklama.cncenter.cz/?ads=PR%2520%25C4%258Dl%25C3%25A1nky" TargetMode="External"/><Relationship Id="rId676" Type="http://schemas.openxmlformats.org/officeDocument/2006/relationships/hyperlink" Target="https://reklama.cncenter.cz/Online/nativni-rectangle-cross-device" TargetMode="External"/><Relationship Id="rId883" Type="http://schemas.openxmlformats.org/officeDocument/2006/relationships/hyperlink" Target="https://doupe.zive.cz/" TargetMode="External"/><Relationship Id="rId1099" Type="http://schemas.openxmlformats.org/officeDocument/2006/relationships/hyperlink" Target="https://f1sport.auto.cz/" TargetMode="External"/><Relationship Id="rId1527" Type="http://schemas.openxmlformats.org/officeDocument/2006/relationships/hyperlink" Target="https://lideazeme.cz/" TargetMode="External"/><Relationship Id="rId1734" Type="http://schemas.openxmlformats.org/officeDocument/2006/relationships/hyperlink" Target="https://mobilmania.cz/" TargetMode="External"/><Relationship Id="rId1941" Type="http://schemas.openxmlformats.org/officeDocument/2006/relationships/hyperlink" Target="https://nemovitosti.blesk.cz/" TargetMode="External"/><Relationship Id="rId2357" Type="http://schemas.openxmlformats.org/officeDocument/2006/relationships/hyperlink" Target="https://zeny.cz/" TargetMode="External"/><Relationship Id="rId26" Type="http://schemas.openxmlformats.org/officeDocument/2006/relationships/hyperlink" Target="https://reklama.cncenter.cz/Online/mobilni-interscroller" TargetMode="External"/><Relationship Id="rId231" Type="http://schemas.openxmlformats.org/officeDocument/2006/relationships/hyperlink" Target="https://ahaonline.cz/" TargetMode="External"/><Relationship Id="rId329" Type="http://schemas.openxmlformats.org/officeDocument/2006/relationships/hyperlink" Target="https://autorevue.cz/" TargetMode="External"/><Relationship Id="rId536" Type="http://schemas.openxmlformats.org/officeDocument/2006/relationships/hyperlink" Target="https://blesk.cz/" TargetMode="External"/><Relationship Id="rId1166" Type="http://schemas.openxmlformats.org/officeDocument/2006/relationships/hyperlink" Target="http://www.facebook.com/" TargetMode="External"/><Relationship Id="rId1373" Type="http://schemas.openxmlformats.org/officeDocument/2006/relationships/hyperlink" Target="https://hledejceny.cz/" TargetMode="External"/><Relationship Id="rId2217" Type="http://schemas.openxmlformats.org/officeDocument/2006/relationships/hyperlink" Target="https://reflex.cz/" TargetMode="External"/><Relationship Id="rId175" Type="http://schemas.openxmlformats.org/officeDocument/2006/relationships/hyperlink" Target="https://ahaonline.cz/" TargetMode="External"/><Relationship Id="rId743" Type="http://schemas.openxmlformats.org/officeDocument/2006/relationships/hyperlink" Target="https://reklama.cncenter.cz/Online/mobilni-interscroller" TargetMode="External"/><Relationship Id="rId950" Type="http://schemas.openxmlformats.org/officeDocument/2006/relationships/hyperlink" Target="https://dama.cz/" TargetMode="External"/><Relationship Id="rId1026" Type="http://schemas.openxmlformats.org/officeDocument/2006/relationships/hyperlink" Target="https://evropa2.cz/" TargetMode="External"/><Relationship Id="rId1580" Type="http://schemas.openxmlformats.org/officeDocument/2006/relationships/hyperlink" Target="https://maminka.cz/" TargetMode="External"/><Relationship Id="rId1678" Type="http://schemas.openxmlformats.org/officeDocument/2006/relationships/hyperlink" Target="https://reklama.cncenter.cz/Online/billboard-bottom" TargetMode="External"/><Relationship Id="rId1801" Type="http://schemas.openxmlformats.org/officeDocument/2006/relationships/hyperlink" Target="https://mojezdravi.cz/" TargetMode="External"/><Relationship Id="rId1885" Type="http://schemas.openxmlformats.org/officeDocument/2006/relationships/hyperlink" Target="https://motogpsport.cz/" TargetMode="External"/><Relationship Id="rId2424" Type="http://schemas.openxmlformats.org/officeDocument/2006/relationships/hyperlink" Target="https://reklama.cncenter.cz/Online/double-skyscraper" TargetMode="External"/><Relationship Id="rId382" Type="http://schemas.openxmlformats.org/officeDocument/2006/relationships/hyperlink" Target="https://autorevue.cz/" TargetMode="External"/><Relationship Id="rId603" Type="http://schemas.openxmlformats.org/officeDocument/2006/relationships/hyperlink" Target="https://bleskprozeny.cz/" TargetMode="External"/><Relationship Id="rId687" Type="http://schemas.openxmlformats.org/officeDocument/2006/relationships/hyperlink" Target="https://reklama.cncenter.cz/Online/mobilni-interscroller" TargetMode="External"/><Relationship Id="rId810" Type="http://schemas.openxmlformats.org/officeDocument/2006/relationships/hyperlink" Target="https://digiarena.zive.cz/" TargetMode="External"/><Relationship Id="rId908" Type="http://schemas.openxmlformats.org/officeDocument/2006/relationships/hyperlink" Target="https://doupe.zive.cz/" TargetMode="External"/><Relationship Id="rId1233" Type="http://schemas.openxmlformats.org/officeDocument/2006/relationships/hyperlink" Target="https://finexpert.cz/" TargetMode="External"/><Relationship Id="rId1440" Type="http://schemas.openxmlformats.org/officeDocument/2006/relationships/hyperlink" Target="http://www.instagram.com/" TargetMode="External"/><Relationship Id="rId1538" Type="http://schemas.openxmlformats.org/officeDocument/2006/relationships/hyperlink" Target="https://lideazeme.cz/" TargetMode="External"/><Relationship Id="rId2063" Type="http://schemas.openxmlformats.org/officeDocument/2006/relationships/hyperlink" Target="https://recepty.cz/" TargetMode="External"/><Relationship Id="rId2270" Type="http://schemas.openxmlformats.org/officeDocument/2006/relationships/hyperlink" Target="https://vtm.zive.cz/" TargetMode="External"/><Relationship Id="rId2368" Type="http://schemas.openxmlformats.org/officeDocument/2006/relationships/hyperlink" Target="https://zeny.cz/" TargetMode="External"/><Relationship Id="rId242" Type="http://schemas.openxmlformats.org/officeDocument/2006/relationships/hyperlink" Target="https://auto.cz/" TargetMode="External"/><Relationship Id="rId894" Type="http://schemas.openxmlformats.org/officeDocument/2006/relationships/hyperlink" Target="https://reklama.cncenter.cz/Online/mobilni-vineta" TargetMode="External"/><Relationship Id="rId1177" Type="http://schemas.openxmlformats.org/officeDocument/2006/relationships/hyperlink" Target="https://www.facebook.com/business/ads-guide/image/facebook-feed" TargetMode="External"/><Relationship Id="rId1300" Type="http://schemas.openxmlformats.org/officeDocument/2006/relationships/hyperlink" Target="https://heyfomo.cz/" TargetMode="External"/><Relationship Id="rId1745" Type="http://schemas.openxmlformats.org/officeDocument/2006/relationships/hyperlink" Target="https://reklama.cncenter.cz/Online/Bumper" TargetMode="External"/><Relationship Id="rId1952" Type="http://schemas.openxmlformats.org/officeDocument/2006/relationships/hyperlink" Target="https://nemovitosti.blesk.cz/" TargetMode="External"/><Relationship Id="rId2130" Type="http://schemas.openxmlformats.org/officeDocument/2006/relationships/hyperlink" Target="https://recepty.cz/" TargetMode="External"/><Relationship Id="rId37" Type="http://schemas.openxmlformats.org/officeDocument/2006/relationships/hyperlink" Target="https://abecedazahrady.dama.cz/" TargetMode="External"/><Relationship Id="rId102" Type="http://schemas.openxmlformats.org/officeDocument/2006/relationships/hyperlink" Target="https://abicko.cz/" TargetMode="External"/><Relationship Id="rId547" Type="http://schemas.openxmlformats.org/officeDocument/2006/relationships/hyperlink" Target="https://bleskprozeny.cz/" TargetMode="External"/><Relationship Id="rId754" Type="http://schemas.openxmlformats.org/officeDocument/2006/relationships/hyperlink" Target="https://reklama.cncenter.cz/Online/branding-cross-device" TargetMode="External"/><Relationship Id="rId961" Type="http://schemas.openxmlformats.org/officeDocument/2006/relationships/hyperlink" Target="https://dama.cz/" TargetMode="External"/><Relationship Id="rId1384" Type="http://schemas.openxmlformats.org/officeDocument/2006/relationships/hyperlink" Target="http://www.instagram.com/" TargetMode="External"/><Relationship Id="rId1591" Type="http://schemas.openxmlformats.org/officeDocument/2006/relationships/hyperlink" Target="https://reklama.cncenter.cz/Online/mobilni-vineta" TargetMode="External"/><Relationship Id="rId1605" Type="http://schemas.openxmlformats.org/officeDocument/2006/relationships/hyperlink" Target="https://maminka.cz/" TargetMode="External"/><Relationship Id="rId1689" Type="http://schemas.openxmlformats.org/officeDocument/2006/relationships/hyperlink" Target="https://mobilmania.cz/" TargetMode="External"/><Relationship Id="rId1812" Type="http://schemas.openxmlformats.org/officeDocument/2006/relationships/hyperlink" Target="https://mojezdravi.cz/" TargetMode="External"/><Relationship Id="rId2228" Type="http://schemas.openxmlformats.org/officeDocument/2006/relationships/hyperlink" Target="https://reflex.cz/" TargetMode="External"/><Relationship Id="rId2435" Type="http://schemas.openxmlformats.org/officeDocument/2006/relationships/hyperlink" Target="https://zive.cz/" TargetMode="External"/><Relationship Id="rId90" Type="http://schemas.openxmlformats.org/officeDocument/2006/relationships/hyperlink" Target="https://abicko.cz/" TargetMode="External"/><Relationship Id="rId186" Type="http://schemas.openxmlformats.org/officeDocument/2006/relationships/hyperlink" Target="https://reklama.cncenter.cz/Online/mobilni-slide-up" TargetMode="External"/><Relationship Id="rId393" Type="http://schemas.openxmlformats.org/officeDocument/2006/relationships/hyperlink" Target="https://autorevue.cz/" TargetMode="External"/><Relationship Id="rId407" Type="http://schemas.openxmlformats.org/officeDocument/2006/relationships/hyperlink" Target="https://avmania.zive.cz/" TargetMode="External"/><Relationship Id="rId614" Type="http://schemas.openxmlformats.org/officeDocument/2006/relationships/hyperlink" Target="https://bleskprozeny.cz/" TargetMode="External"/><Relationship Id="rId821" Type="http://schemas.openxmlformats.org/officeDocument/2006/relationships/hyperlink" Target="https://digiarena.zive.cz/" TargetMode="External"/><Relationship Id="rId1037" Type="http://schemas.openxmlformats.org/officeDocument/2006/relationships/hyperlink" Target="https://evropa2.cz/" TargetMode="External"/><Relationship Id="rId1244" Type="http://schemas.openxmlformats.org/officeDocument/2006/relationships/hyperlink" Target="https://fitweb.cz/" TargetMode="External"/><Relationship Id="rId1451" Type="http://schemas.openxmlformats.org/officeDocument/2006/relationships/hyperlink" Target="http://www.instagram.com/" TargetMode="External"/><Relationship Id="rId1896" Type="http://schemas.openxmlformats.org/officeDocument/2006/relationships/hyperlink" Target="http://nemovitosti.blesk.cz/" TargetMode="External"/><Relationship Id="rId2074" Type="http://schemas.openxmlformats.org/officeDocument/2006/relationships/hyperlink" Target="https://recepty.cz/" TargetMode="External"/><Relationship Id="rId2281" Type="http://schemas.openxmlformats.org/officeDocument/2006/relationships/hyperlink" Target="https://vtm.zive.cz/" TargetMode="External"/><Relationship Id="rId253" Type="http://schemas.openxmlformats.org/officeDocument/2006/relationships/hyperlink" Target="https://auto.cz/" TargetMode="External"/><Relationship Id="rId460" Type="http://schemas.openxmlformats.org/officeDocument/2006/relationships/hyperlink" Target="https://avmania.zive.cz/" TargetMode="External"/><Relationship Id="rId698" Type="http://schemas.openxmlformats.org/officeDocument/2006/relationships/hyperlink" Target="https://reklama.cncenter.cz/Online/nativni-rectangle-cross-device" TargetMode="External"/><Relationship Id="rId919" Type="http://schemas.openxmlformats.org/officeDocument/2006/relationships/hyperlink" Target="https://reklama.cncenter.cz/Online/branding-cross-device" TargetMode="External"/><Relationship Id="rId1090" Type="http://schemas.openxmlformats.org/officeDocument/2006/relationships/hyperlink" Target="https://f1sport.auto.cz/" TargetMode="External"/><Relationship Id="rId1104" Type="http://schemas.openxmlformats.org/officeDocument/2006/relationships/hyperlink" Target="https://reklama.cncenter.cz/Online/mobilni-slide-up" TargetMode="External"/><Relationship Id="rId1311" Type="http://schemas.openxmlformats.org/officeDocument/2006/relationships/hyperlink" Target="https://frekvence1.cz/" TargetMode="External"/><Relationship Id="rId1549" Type="http://schemas.openxmlformats.org/officeDocument/2006/relationships/hyperlink" Target="https://lideazeme.cz/" TargetMode="External"/><Relationship Id="rId1756" Type="http://schemas.openxmlformats.org/officeDocument/2006/relationships/hyperlink" Target="https://reklama.cncenter.cz/Online/branding" TargetMode="External"/><Relationship Id="rId1963" Type="http://schemas.openxmlformats.org/officeDocument/2006/relationships/hyperlink" Target="http://nemovitosti.blesk.cz/" TargetMode="External"/><Relationship Id="rId2141" Type="http://schemas.openxmlformats.org/officeDocument/2006/relationships/hyperlink" Target="https://recepty.cz/" TargetMode="External"/><Relationship Id="rId2379" Type="http://schemas.openxmlformats.org/officeDocument/2006/relationships/hyperlink" Target="https://zeny.cz/" TargetMode="External"/><Relationship Id="rId48" Type="http://schemas.openxmlformats.org/officeDocument/2006/relationships/hyperlink" Target="https://abecedazahrady.dama.cz/" TargetMode="External"/><Relationship Id="rId113" Type="http://schemas.openxmlformats.org/officeDocument/2006/relationships/hyperlink" Target="https://reklama.cncenter.cz/Online/Bumper" TargetMode="External"/><Relationship Id="rId320" Type="http://schemas.openxmlformats.org/officeDocument/2006/relationships/hyperlink" Target="https://auto.cz/" TargetMode="External"/><Relationship Id="rId558" Type="http://schemas.openxmlformats.org/officeDocument/2006/relationships/hyperlink" Target="https://reklama.cncenter.cz/Online/billboard-bottom" TargetMode="External"/><Relationship Id="rId765" Type="http://schemas.openxmlformats.org/officeDocument/2006/relationships/hyperlink" Target="https://reklama.cncenter.cz/Online/double-skyscraper" TargetMode="External"/><Relationship Id="rId972" Type="http://schemas.openxmlformats.org/officeDocument/2006/relationships/hyperlink" Target="https://reklama.cncenter.cz/Online/mobilni-slide-up" TargetMode="External"/><Relationship Id="rId1188" Type="http://schemas.openxmlformats.org/officeDocument/2006/relationships/hyperlink" Target="http://www.facebook.com/" TargetMode="External"/><Relationship Id="rId1395" Type="http://schemas.openxmlformats.org/officeDocument/2006/relationships/hyperlink" Target="http://www.instagram.com/" TargetMode="External"/><Relationship Id="rId1409" Type="http://schemas.openxmlformats.org/officeDocument/2006/relationships/hyperlink" Target="http://www.instagram.com/" TargetMode="External"/><Relationship Id="rId1616" Type="http://schemas.openxmlformats.org/officeDocument/2006/relationships/hyperlink" Target="https://maminka.cz/" TargetMode="External"/><Relationship Id="rId1823" Type="http://schemas.openxmlformats.org/officeDocument/2006/relationships/hyperlink" Target="https://mojezdravi.cz/" TargetMode="External"/><Relationship Id="rId2001" Type="http://schemas.openxmlformats.org/officeDocument/2006/relationships/hyperlink" Target="https://reklama.cncenter.cz/Online/billboard-bottom" TargetMode="External"/><Relationship Id="rId2239" Type="http://schemas.openxmlformats.org/officeDocument/2006/relationships/hyperlink" Target="https://sportrevue.cz/" TargetMode="External"/><Relationship Id="rId2446" Type="http://schemas.openxmlformats.org/officeDocument/2006/relationships/hyperlink" Target="https://zive.cz/" TargetMode="External"/><Relationship Id="rId197" Type="http://schemas.openxmlformats.org/officeDocument/2006/relationships/hyperlink" Target="https://ahaonline.cz/" TargetMode="External"/><Relationship Id="rId418" Type="http://schemas.openxmlformats.org/officeDocument/2006/relationships/hyperlink" Target="https://avmania.zive.cz/" TargetMode="External"/><Relationship Id="rId625" Type="http://schemas.openxmlformats.org/officeDocument/2006/relationships/hyperlink" Target="https://bleskprozeny.cz/" TargetMode="External"/><Relationship Id="rId832" Type="http://schemas.openxmlformats.org/officeDocument/2006/relationships/hyperlink" Target="https://digiarena.zive.cz/" TargetMode="External"/><Relationship Id="rId1048" Type="http://schemas.openxmlformats.org/officeDocument/2006/relationships/hyperlink" Target="https://reklama.cncenter.cz/Online/mobilni-vineta" TargetMode="External"/><Relationship Id="rId1255" Type="http://schemas.openxmlformats.org/officeDocument/2006/relationships/hyperlink" Target="https://reklama.cncenter.cz/Online/double-skyscraper" TargetMode="External"/><Relationship Id="rId1462" Type="http://schemas.openxmlformats.org/officeDocument/2006/relationships/hyperlink" Target="http://www.instagram.com/" TargetMode="External"/><Relationship Id="rId2085" Type="http://schemas.openxmlformats.org/officeDocument/2006/relationships/hyperlink" Target="https://reklama.cncenter.cz/Online/Videospot" TargetMode="External"/><Relationship Id="rId2292" Type="http://schemas.openxmlformats.org/officeDocument/2006/relationships/hyperlink" Target="https://reklama.cncenter.cz/Online/mobilni-interscroller" TargetMode="External"/><Relationship Id="rId2306" Type="http://schemas.openxmlformats.org/officeDocument/2006/relationships/hyperlink" Target="https://x.com/" TargetMode="External"/><Relationship Id="rId264" Type="http://schemas.openxmlformats.org/officeDocument/2006/relationships/hyperlink" Target="https://reklama.cncenter.cz/Online/Videospot" TargetMode="External"/><Relationship Id="rId471" Type="http://schemas.openxmlformats.org/officeDocument/2006/relationships/hyperlink" Target="https://avmania.zive.cz/" TargetMode="External"/><Relationship Id="rId1115" Type="http://schemas.openxmlformats.org/officeDocument/2006/relationships/hyperlink" Target="https://f1sport.auto.cz/" TargetMode="External"/><Relationship Id="rId1322" Type="http://schemas.openxmlformats.org/officeDocument/2006/relationships/hyperlink" Target="https://frekvence1.cz/" TargetMode="External"/><Relationship Id="rId1767" Type="http://schemas.openxmlformats.org/officeDocument/2006/relationships/hyperlink" Target="https://mojezdravi.cz/" TargetMode="External"/><Relationship Id="rId1974" Type="http://schemas.openxmlformats.org/officeDocument/2006/relationships/hyperlink" Target="https://reklama.cncenter.cz/Online/Outstream" TargetMode="External"/><Relationship Id="rId2152" Type="http://schemas.openxmlformats.org/officeDocument/2006/relationships/hyperlink" Target="https://reflex.cz/" TargetMode="External"/><Relationship Id="rId59" Type="http://schemas.openxmlformats.org/officeDocument/2006/relationships/hyperlink" Target="https://abecedazahrady.dama.cz/" TargetMode="External"/><Relationship Id="rId124" Type="http://schemas.openxmlformats.org/officeDocument/2006/relationships/hyperlink" Target="https://reklama.cncenter.cz/Online/mobilni-slide-up" TargetMode="External"/><Relationship Id="rId569" Type="http://schemas.openxmlformats.org/officeDocument/2006/relationships/hyperlink" Target="https://bleskprozeny.cz/" TargetMode="External"/><Relationship Id="rId776" Type="http://schemas.openxmlformats.org/officeDocument/2006/relationships/hyperlink" Target="https://digiarena.zive.cz/" TargetMode="External"/><Relationship Id="rId983" Type="http://schemas.openxmlformats.org/officeDocument/2006/relationships/hyperlink" Target="https://reklama.cncenter.cz/Online/nativni-rectangle-cross-device" TargetMode="External"/><Relationship Id="rId1199" Type="http://schemas.openxmlformats.org/officeDocument/2006/relationships/hyperlink" Target="http://www.facebook.com/" TargetMode="External"/><Relationship Id="rId1627" Type="http://schemas.openxmlformats.org/officeDocument/2006/relationships/hyperlink" Target="https://maminka.cz/" TargetMode="External"/><Relationship Id="rId1834" Type="http://schemas.openxmlformats.org/officeDocument/2006/relationships/hyperlink" Target="https://reklama.cncenter.cz/Online/branding-cross-device" TargetMode="External"/><Relationship Id="rId2457" Type="http://schemas.openxmlformats.org/officeDocument/2006/relationships/hyperlink" Target="https://zive.cz/" TargetMode="External"/><Relationship Id="rId331" Type="http://schemas.openxmlformats.org/officeDocument/2006/relationships/hyperlink" Target="https://autorevue.cz/" TargetMode="External"/><Relationship Id="rId429" Type="http://schemas.openxmlformats.org/officeDocument/2006/relationships/hyperlink" Target="https://reklama.cncenter.cz/Online/double-skyscraper" TargetMode="External"/><Relationship Id="rId636" Type="http://schemas.openxmlformats.org/officeDocument/2006/relationships/hyperlink" Target="https://reklama.cncenter.cz/Online/branding-cross-device" TargetMode="External"/><Relationship Id="rId1059" Type="http://schemas.openxmlformats.org/officeDocument/2006/relationships/hyperlink" Target="https://evropa2.cz/" TargetMode="External"/><Relationship Id="rId1266" Type="http://schemas.openxmlformats.org/officeDocument/2006/relationships/hyperlink" Target="https://fitweb.cz/" TargetMode="External"/><Relationship Id="rId1473" Type="http://schemas.openxmlformats.org/officeDocument/2006/relationships/hyperlink" Target="https://reklama.cncenter.cz/Online/mobilni-interscroller" TargetMode="External"/><Relationship Id="rId2012" Type="http://schemas.openxmlformats.org/officeDocument/2006/relationships/hyperlink" Target="https://www.realitnitrh.cz/" TargetMode="External"/><Relationship Id="rId2096" Type="http://schemas.openxmlformats.org/officeDocument/2006/relationships/hyperlink" Target="https://recepty.cz/" TargetMode="External"/><Relationship Id="rId2317" Type="http://schemas.openxmlformats.org/officeDocument/2006/relationships/hyperlink" Target="https://zeny.cz/" TargetMode="External"/><Relationship Id="rId843" Type="http://schemas.openxmlformats.org/officeDocument/2006/relationships/hyperlink" Target="https://doupe.zive.cz/" TargetMode="External"/><Relationship Id="rId1126" Type="http://schemas.openxmlformats.org/officeDocument/2006/relationships/hyperlink" Target="https://f1sport.auto.cz/" TargetMode="External"/><Relationship Id="rId1680" Type="http://schemas.openxmlformats.org/officeDocument/2006/relationships/hyperlink" Target="https://mobilmania.cz/" TargetMode="External"/><Relationship Id="rId1778" Type="http://schemas.openxmlformats.org/officeDocument/2006/relationships/hyperlink" Target="https://mojezdravi.cz/" TargetMode="External"/><Relationship Id="rId1901" Type="http://schemas.openxmlformats.org/officeDocument/2006/relationships/hyperlink" Target="https://nemovitosti.blesk.cz/" TargetMode="External"/><Relationship Id="rId1985" Type="http://schemas.openxmlformats.org/officeDocument/2006/relationships/hyperlink" Target="http://nemovitosti.blesk.cz/" TargetMode="External"/><Relationship Id="rId275" Type="http://schemas.openxmlformats.org/officeDocument/2006/relationships/hyperlink" Target="https://auto.cz/" TargetMode="External"/><Relationship Id="rId482" Type="http://schemas.openxmlformats.org/officeDocument/2006/relationships/hyperlink" Target="https://blesk.cz/" TargetMode="External"/><Relationship Id="rId703" Type="http://schemas.openxmlformats.org/officeDocument/2006/relationships/hyperlink" Target="https://reklama.cncenter.cz/Online/branding-cross-device" TargetMode="External"/><Relationship Id="rId910" Type="http://schemas.openxmlformats.org/officeDocument/2006/relationships/hyperlink" Target="https://doupe.zive.cz/" TargetMode="External"/><Relationship Id="rId1333" Type="http://schemas.openxmlformats.org/officeDocument/2006/relationships/hyperlink" Target="https://reklama.cncenter.cz/Online/Bumper" TargetMode="External"/><Relationship Id="rId1540" Type="http://schemas.openxmlformats.org/officeDocument/2006/relationships/hyperlink" Target="https://lideazeme.cz/" TargetMode="External"/><Relationship Id="rId1638" Type="http://schemas.openxmlformats.org/officeDocument/2006/relationships/hyperlink" Target="https://maminka.cz/" TargetMode="External"/><Relationship Id="rId2163" Type="http://schemas.openxmlformats.org/officeDocument/2006/relationships/hyperlink" Target="https://reklama.cncenter.cz/Online/branding-cross-device" TargetMode="External"/><Relationship Id="rId2370" Type="http://schemas.openxmlformats.org/officeDocument/2006/relationships/hyperlink" Target="https://zeny.cz/" TargetMode="External"/><Relationship Id="rId135" Type="http://schemas.openxmlformats.org/officeDocument/2006/relationships/hyperlink" Target="https://reklama.cncenter.cz/Online/nativni-rectangle-cross-device" TargetMode="External"/><Relationship Id="rId342" Type="http://schemas.openxmlformats.org/officeDocument/2006/relationships/hyperlink" Target="https://reklama.cncenter.cz/Online/branding-cross-device" TargetMode="External"/><Relationship Id="rId787" Type="http://schemas.openxmlformats.org/officeDocument/2006/relationships/hyperlink" Target="https://reklama.cncenter.cz/Online/billboard-bottom" TargetMode="External"/><Relationship Id="rId994" Type="http://schemas.openxmlformats.org/officeDocument/2006/relationships/hyperlink" Target="https://dama.cz/" TargetMode="External"/><Relationship Id="rId1400" Type="http://schemas.openxmlformats.org/officeDocument/2006/relationships/hyperlink" Target="http://www.instagram.com/" TargetMode="External"/><Relationship Id="rId1845" Type="http://schemas.openxmlformats.org/officeDocument/2006/relationships/hyperlink" Target="https://motogpsport.cz/" TargetMode="External"/><Relationship Id="rId2023" Type="http://schemas.openxmlformats.org/officeDocument/2006/relationships/hyperlink" Target="https://www.realitnitrh.cz/" TargetMode="External"/><Relationship Id="rId2230" Type="http://schemas.openxmlformats.org/officeDocument/2006/relationships/hyperlink" Target="https://reflex.cz/" TargetMode="External"/><Relationship Id="rId2468" Type="http://schemas.openxmlformats.org/officeDocument/2006/relationships/hyperlink" Target="https://zive.cz/" TargetMode="External"/><Relationship Id="rId202" Type="http://schemas.openxmlformats.org/officeDocument/2006/relationships/hyperlink" Target="https://ahaonline.cz/" TargetMode="External"/><Relationship Id="rId647" Type="http://schemas.openxmlformats.org/officeDocument/2006/relationships/hyperlink" Target="https://reklama.cncenter.cz/Online/double-skyscraper" TargetMode="External"/><Relationship Id="rId854" Type="http://schemas.openxmlformats.org/officeDocument/2006/relationships/hyperlink" Target="https://doupe.zive.cz/" TargetMode="External"/><Relationship Id="rId1277" Type="http://schemas.openxmlformats.org/officeDocument/2006/relationships/hyperlink" Target="https://fitweb.cz/" TargetMode="External"/><Relationship Id="rId1484" Type="http://schemas.openxmlformats.org/officeDocument/2006/relationships/hyperlink" Target="https://reklama.cncenter.cz/Online/nativni-rectangle-cross-device" TargetMode="External"/><Relationship Id="rId1691" Type="http://schemas.openxmlformats.org/officeDocument/2006/relationships/hyperlink" Target="https://mobilmania.cz/" TargetMode="External"/><Relationship Id="rId1705" Type="http://schemas.openxmlformats.org/officeDocument/2006/relationships/hyperlink" Target="https://reklama.cncenter.cz/Online/Outstream" TargetMode="External"/><Relationship Id="rId1912" Type="http://schemas.openxmlformats.org/officeDocument/2006/relationships/hyperlink" Target="https://nemovitosti.blesk.cz/" TargetMode="External"/><Relationship Id="rId2328" Type="http://schemas.openxmlformats.org/officeDocument/2006/relationships/hyperlink" Target="https://reklama.cncenter.cz/Online/billboard-bottom" TargetMode="External"/><Relationship Id="rId286" Type="http://schemas.openxmlformats.org/officeDocument/2006/relationships/hyperlink" Target="https://auto.cz/" TargetMode="External"/><Relationship Id="rId493" Type="http://schemas.openxmlformats.org/officeDocument/2006/relationships/hyperlink" Target="https://blesk.cz/" TargetMode="External"/><Relationship Id="rId507" Type="http://schemas.openxmlformats.org/officeDocument/2006/relationships/hyperlink" Target="https://reklama.cncenter.cz/Online/mobilni-vineta" TargetMode="External"/><Relationship Id="rId714" Type="http://schemas.openxmlformats.org/officeDocument/2006/relationships/hyperlink" Target="https://reklama.cncenter.cz/Online/Outstream" TargetMode="External"/><Relationship Id="rId921" Type="http://schemas.openxmlformats.org/officeDocument/2006/relationships/hyperlink" Target="https://dama.cz/" TargetMode="External"/><Relationship Id="rId1137" Type="http://schemas.openxmlformats.org/officeDocument/2006/relationships/hyperlink" Target="https://f1sport.auto.cz/" TargetMode="External"/><Relationship Id="rId1344" Type="http://schemas.openxmlformats.org/officeDocument/2006/relationships/hyperlink" Target="https://frekvence1.cz/" TargetMode="External"/><Relationship Id="rId1551" Type="http://schemas.openxmlformats.org/officeDocument/2006/relationships/hyperlink" Target="https://lideazeme.cz/" TargetMode="External"/><Relationship Id="rId1789" Type="http://schemas.openxmlformats.org/officeDocument/2006/relationships/hyperlink" Target="https://reklama.cncenter.cz/Online/Bumper" TargetMode="External"/><Relationship Id="rId1996" Type="http://schemas.openxmlformats.org/officeDocument/2006/relationships/hyperlink" Target="https://reklama.cncenter.cz/Online/nativni-rectangle-cross-device" TargetMode="External"/><Relationship Id="rId2174" Type="http://schemas.openxmlformats.org/officeDocument/2006/relationships/hyperlink" Target="https://reflex.cz/" TargetMode="External"/><Relationship Id="rId2381" Type="http://schemas.openxmlformats.org/officeDocument/2006/relationships/hyperlink" Target="https://zeny.cz/" TargetMode="External"/><Relationship Id="rId50" Type="http://schemas.openxmlformats.org/officeDocument/2006/relationships/hyperlink" Target="https://abecedazahrady.dama.cz/" TargetMode="External"/><Relationship Id="rId146" Type="http://schemas.openxmlformats.org/officeDocument/2006/relationships/hyperlink" Target="https://abicko.cz/" TargetMode="External"/><Relationship Id="rId353" Type="http://schemas.openxmlformats.org/officeDocument/2006/relationships/hyperlink" Target="https://autorevue.cz/" TargetMode="External"/><Relationship Id="rId560" Type="http://schemas.openxmlformats.org/officeDocument/2006/relationships/hyperlink" Target="https://bleskprozeny.cz/" TargetMode="External"/><Relationship Id="rId798" Type="http://schemas.openxmlformats.org/officeDocument/2006/relationships/hyperlink" Target="https://digiarena.zive.cz/" TargetMode="External"/><Relationship Id="rId1190" Type="http://schemas.openxmlformats.org/officeDocument/2006/relationships/hyperlink" Target="http://www.facebook.com/" TargetMode="External"/><Relationship Id="rId1204" Type="http://schemas.openxmlformats.org/officeDocument/2006/relationships/hyperlink" Target="https://www.facebook.com/business/ads-guide/image/facebook-feed" TargetMode="External"/><Relationship Id="rId1411" Type="http://schemas.openxmlformats.org/officeDocument/2006/relationships/hyperlink" Target="http://www.instagram.com/" TargetMode="External"/><Relationship Id="rId1649" Type="http://schemas.openxmlformats.org/officeDocument/2006/relationships/hyperlink" Target="https://reklama.cncenter.cz/Online/branding" TargetMode="External"/><Relationship Id="rId1856" Type="http://schemas.openxmlformats.org/officeDocument/2006/relationships/hyperlink" Target="https://motogpsport.cz/" TargetMode="External"/><Relationship Id="rId2034" Type="http://schemas.openxmlformats.org/officeDocument/2006/relationships/hyperlink" Target="https://www.realitnitrh.cz/" TargetMode="External"/><Relationship Id="rId2241" Type="http://schemas.openxmlformats.org/officeDocument/2006/relationships/hyperlink" Target="https://sportrevue.cz/" TargetMode="External"/><Relationship Id="rId2479" Type="http://schemas.openxmlformats.org/officeDocument/2006/relationships/hyperlink" Target="https://zive.cz/" TargetMode="External"/><Relationship Id="rId213" Type="http://schemas.openxmlformats.org/officeDocument/2006/relationships/hyperlink" Target="https://ahaonline.cz/" TargetMode="External"/><Relationship Id="rId420" Type="http://schemas.openxmlformats.org/officeDocument/2006/relationships/hyperlink" Target="https://reklama.cncenter.cz/Online/billboard-bottom" TargetMode="External"/><Relationship Id="rId658" Type="http://schemas.openxmlformats.org/officeDocument/2006/relationships/hyperlink" Target="https://reklama.cncenter.cz/Online/branding" TargetMode="External"/><Relationship Id="rId865" Type="http://schemas.openxmlformats.org/officeDocument/2006/relationships/hyperlink" Target="https://reklama.cncenter.cz/Online/double-skyscraper" TargetMode="External"/><Relationship Id="rId1050" Type="http://schemas.openxmlformats.org/officeDocument/2006/relationships/hyperlink" Target="https://evropa2.cz/" TargetMode="External"/><Relationship Id="rId1288" Type="http://schemas.openxmlformats.org/officeDocument/2006/relationships/hyperlink" Target="https://reklama.cncenter.cz/Online/Outstream" TargetMode="External"/><Relationship Id="rId1495" Type="http://schemas.openxmlformats.org/officeDocument/2006/relationships/hyperlink" Target="https://reklama.cncenter.cz/Online/branding-cross-device" TargetMode="External"/><Relationship Id="rId1509" Type="http://schemas.openxmlformats.org/officeDocument/2006/relationships/hyperlink" Target="https://lideazeme.cz/" TargetMode="External"/><Relationship Id="rId1716" Type="http://schemas.openxmlformats.org/officeDocument/2006/relationships/hyperlink" Target="https://reklama.cncenter.cz/Online/mobilni-interscroller" TargetMode="External"/><Relationship Id="rId1923" Type="http://schemas.openxmlformats.org/officeDocument/2006/relationships/hyperlink" Target="http://nemovitosti.blesk.cz/" TargetMode="External"/><Relationship Id="rId2101" Type="http://schemas.openxmlformats.org/officeDocument/2006/relationships/hyperlink" Target="https://recepty.cz/" TargetMode="External"/><Relationship Id="rId2339" Type="http://schemas.openxmlformats.org/officeDocument/2006/relationships/hyperlink" Target="https://zeny.cz/" TargetMode="External"/><Relationship Id="rId297" Type="http://schemas.openxmlformats.org/officeDocument/2006/relationships/hyperlink" Target="https://auto.cz/" TargetMode="External"/><Relationship Id="rId518" Type="http://schemas.openxmlformats.org/officeDocument/2006/relationships/hyperlink" Target="https://reklama.cncenter.cz/Online/Outstream" TargetMode="External"/><Relationship Id="rId725" Type="http://schemas.openxmlformats.org/officeDocument/2006/relationships/hyperlink" Target="https://reklama.cncenter.cz/Online/Bumper" TargetMode="External"/><Relationship Id="rId932" Type="http://schemas.openxmlformats.org/officeDocument/2006/relationships/hyperlink" Target="https://dama.cz/" TargetMode="External"/><Relationship Id="rId1148" Type="http://schemas.openxmlformats.org/officeDocument/2006/relationships/hyperlink" Target="http://www.facebook.com/" TargetMode="External"/><Relationship Id="rId1355" Type="http://schemas.openxmlformats.org/officeDocument/2006/relationships/hyperlink" Target="https://hledejceny.cz/" TargetMode="External"/><Relationship Id="rId1562" Type="http://schemas.openxmlformats.org/officeDocument/2006/relationships/hyperlink" Target="https://maminka.cz/" TargetMode="External"/><Relationship Id="rId2185" Type="http://schemas.openxmlformats.org/officeDocument/2006/relationships/hyperlink" Target="https://reflex.cz/" TargetMode="External"/><Relationship Id="rId2392" Type="http://schemas.openxmlformats.org/officeDocument/2006/relationships/hyperlink" Target="https://reklama.cncenter.cz/?ads=PR%2520%25C4%258Dl%25C3%25A1nky" TargetMode="External"/><Relationship Id="rId2406" Type="http://schemas.openxmlformats.org/officeDocument/2006/relationships/hyperlink" Target="https://reklama.cncenter.cz/Online/billboard-bottom" TargetMode="External"/><Relationship Id="rId157" Type="http://schemas.openxmlformats.org/officeDocument/2006/relationships/hyperlink" Target="https://www.activegroup.cz/reklama" TargetMode="External"/><Relationship Id="rId364" Type="http://schemas.openxmlformats.org/officeDocument/2006/relationships/hyperlink" Target="https://autorevue.cz/" TargetMode="External"/><Relationship Id="rId1008" Type="http://schemas.openxmlformats.org/officeDocument/2006/relationships/hyperlink" Target="https://reklama.cncenter.cz/Online/mobilni-slide-up" TargetMode="External"/><Relationship Id="rId1215" Type="http://schemas.openxmlformats.org/officeDocument/2006/relationships/hyperlink" Target="http://www.facebook.com/" TargetMode="External"/><Relationship Id="rId1422" Type="http://schemas.openxmlformats.org/officeDocument/2006/relationships/hyperlink" Target="http://www.instagram.com/" TargetMode="External"/><Relationship Id="rId1867" Type="http://schemas.openxmlformats.org/officeDocument/2006/relationships/hyperlink" Target="https://motogpsport.cz/" TargetMode="External"/><Relationship Id="rId2045" Type="http://schemas.openxmlformats.org/officeDocument/2006/relationships/hyperlink" Target="https://www.realitnitrh.cz/" TargetMode="External"/><Relationship Id="rId61" Type="http://schemas.openxmlformats.org/officeDocument/2006/relationships/hyperlink" Target="https://abecedazahrady.dama.cz/" TargetMode="External"/><Relationship Id="rId571" Type="http://schemas.openxmlformats.org/officeDocument/2006/relationships/hyperlink" Target="https://bleskprozeny.cz/" TargetMode="External"/><Relationship Id="rId669" Type="http://schemas.openxmlformats.org/officeDocument/2006/relationships/hyperlink" Target="https://reklama.cncenter.cz/Online/Smarticle" TargetMode="External"/><Relationship Id="rId876" Type="http://schemas.openxmlformats.org/officeDocument/2006/relationships/hyperlink" Target="https://doupe.zive.cz/" TargetMode="External"/><Relationship Id="rId1299" Type="http://schemas.openxmlformats.org/officeDocument/2006/relationships/hyperlink" Target="https://heyfomo.cz/" TargetMode="External"/><Relationship Id="rId1727" Type="http://schemas.openxmlformats.org/officeDocument/2006/relationships/hyperlink" Target="https://reklama.cncenter.cz/Online/nativni-PR-premium" TargetMode="External"/><Relationship Id="rId1934" Type="http://schemas.openxmlformats.org/officeDocument/2006/relationships/hyperlink" Target="https://reklama.cncenter.cz/Online/nativni-PR-premium" TargetMode="External"/><Relationship Id="rId2252" Type="http://schemas.openxmlformats.org/officeDocument/2006/relationships/hyperlink" Target="https://vtm.zive.cz/" TargetMode="External"/><Relationship Id="rId19" Type="http://schemas.openxmlformats.org/officeDocument/2006/relationships/hyperlink" Target="https://abecedazahrady.dama.cz/" TargetMode="External"/><Relationship Id="rId224" Type="http://schemas.openxmlformats.org/officeDocument/2006/relationships/hyperlink" Target="https://ahaonline.cz/" TargetMode="External"/><Relationship Id="rId431" Type="http://schemas.openxmlformats.org/officeDocument/2006/relationships/hyperlink" Target="https://avmania.zive.cz/" TargetMode="External"/><Relationship Id="rId529" Type="http://schemas.openxmlformats.org/officeDocument/2006/relationships/hyperlink" Target="https://reklama.cncenter.cz/Online/branding-cross-device" TargetMode="External"/><Relationship Id="rId736" Type="http://schemas.openxmlformats.org/officeDocument/2006/relationships/hyperlink" Target="https://reklama.cncenter.cz/Online/mobilni-vineta" TargetMode="External"/><Relationship Id="rId1061" Type="http://schemas.openxmlformats.org/officeDocument/2006/relationships/hyperlink" Target="https://evropa2.cz/" TargetMode="External"/><Relationship Id="rId1159" Type="http://schemas.openxmlformats.org/officeDocument/2006/relationships/hyperlink" Target="https://www.facebook.com/business/ads-guide/image/facebook-feed" TargetMode="External"/><Relationship Id="rId1366" Type="http://schemas.openxmlformats.org/officeDocument/2006/relationships/hyperlink" Target="https://reklama.cncenter.cz/Online/billboard-bottom" TargetMode="External"/><Relationship Id="rId2112" Type="http://schemas.openxmlformats.org/officeDocument/2006/relationships/hyperlink" Target="https://recepty.cz/" TargetMode="External"/><Relationship Id="rId2196" Type="http://schemas.openxmlformats.org/officeDocument/2006/relationships/hyperlink" Target="https://reflex.cz/" TargetMode="External"/><Relationship Id="rId2417" Type="http://schemas.openxmlformats.org/officeDocument/2006/relationships/hyperlink" Target="https://zive.cz/" TargetMode="External"/><Relationship Id="rId168" Type="http://schemas.openxmlformats.org/officeDocument/2006/relationships/hyperlink" Target="https://reklama.cncenter.cz/Online/branding" TargetMode="External"/><Relationship Id="rId943" Type="http://schemas.openxmlformats.org/officeDocument/2006/relationships/hyperlink" Target="https://reklama.cncenter.cz/Online/mobilni-slide-up" TargetMode="External"/><Relationship Id="rId1019" Type="http://schemas.openxmlformats.org/officeDocument/2006/relationships/hyperlink" Target="https://reklama.cncenter.cz/Online/Outstream" TargetMode="External"/><Relationship Id="rId1573" Type="http://schemas.openxmlformats.org/officeDocument/2006/relationships/hyperlink" Target="https://reklama.cncenter.cz/Online/branding-cross-device" TargetMode="External"/><Relationship Id="rId1780" Type="http://schemas.openxmlformats.org/officeDocument/2006/relationships/hyperlink" Target="https://reklama.cncenter.cz/Online/mobilni-vineta" TargetMode="External"/><Relationship Id="rId1878" Type="http://schemas.openxmlformats.org/officeDocument/2006/relationships/hyperlink" Target="https://reklama.cncenter.cz/Online/mobilni-vineta" TargetMode="External"/><Relationship Id="rId72" Type="http://schemas.openxmlformats.org/officeDocument/2006/relationships/hyperlink" Target="https://abicko.cz/" TargetMode="External"/><Relationship Id="rId375" Type="http://schemas.openxmlformats.org/officeDocument/2006/relationships/hyperlink" Target="https://autorevue.cz/" TargetMode="External"/><Relationship Id="rId582" Type="http://schemas.openxmlformats.org/officeDocument/2006/relationships/hyperlink" Target="https://reklama.cncenter.cz/Online/nativni-PR-premium" TargetMode="External"/><Relationship Id="rId803" Type="http://schemas.openxmlformats.org/officeDocument/2006/relationships/hyperlink" Target="https://digiarena.zive.cz/" TargetMode="External"/><Relationship Id="rId1226" Type="http://schemas.openxmlformats.org/officeDocument/2006/relationships/hyperlink" Target="https://finexpert.cz/" TargetMode="External"/><Relationship Id="rId1433" Type="http://schemas.openxmlformats.org/officeDocument/2006/relationships/hyperlink" Target="http://www.instagram.com/" TargetMode="External"/><Relationship Id="rId1640" Type="http://schemas.openxmlformats.org/officeDocument/2006/relationships/hyperlink" Target="https://maminka.cz/" TargetMode="External"/><Relationship Id="rId1738" Type="http://schemas.openxmlformats.org/officeDocument/2006/relationships/hyperlink" Target="https://mobilmania.cz/" TargetMode="External"/><Relationship Id="rId2056" Type="http://schemas.openxmlformats.org/officeDocument/2006/relationships/hyperlink" Target="https://www.realitnitrh.cz/" TargetMode="External"/><Relationship Id="rId2263" Type="http://schemas.openxmlformats.org/officeDocument/2006/relationships/hyperlink" Target="https://vtm.zive.cz/" TargetMode="External"/><Relationship Id="rId2470" Type="http://schemas.openxmlformats.org/officeDocument/2006/relationships/hyperlink" Target="https://reklama.cncenter.cz/Online/Outstream" TargetMode="External"/><Relationship Id="rId3" Type="http://schemas.openxmlformats.org/officeDocument/2006/relationships/hyperlink" Target="https://abecedazahrady.dama.cz/" TargetMode="External"/><Relationship Id="rId235" Type="http://schemas.openxmlformats.org/officeDocument/2006/relationships/hyperlink" Target="https://ahaonline.cz/" TargetMode="External"/><Relationship Id="rId442" Type="http://schemas.openxmlformats.org/officeDocument/2006/relationships/hyperlink" Target="https://avmania.zive.cz/" TargetMode="External"/><Relationship Id="rId887" Type="http://schemas.openxmlformats.org/officeDocument/2006/relationships/hyperlink" Target="https://doupe.zive.cz/" TargetMode="External"/><Relationship Id="rId1072" Type="http://schemas.openxmlformats.org/officeDocument/2006/relationships/hyperlink" Target="https://reklama.cncenter.cz/Online/nativni-rectangle-cross-device" TargetMode="External"/><Relationship Id="rId1500" Type="http://schemas.openxmlformats.org/officeDocument/2006/relationships/hyperlink" Target="https://lideazeme.cz/" TargetMode="External"/><Relationship Id="rId1945" Type="http://schemas.openxmlformats.org/officeDocument/2006/relationships/hyperlink" Target="https://nemovitosti.blesk.cz/" TargetMode="External"/><Relationship Id="rId2123" Type="http://schemas.openxmlformats.org/officeDocument/2006/relationships/hyperlink" Target="https://reklama.cncenter.cz/Online/mobilni-vineta" TargetMode="External"/><Relationship Id="rId2330" Type="http://schemas.openxmlformats.org/officeDocument/2006/relationships/hyperlink" Target="https://zeny.cz/" TargetMode="External"/><Relationship Id="rId302" Type="http://schemas.openxmlformats.org/officeDocument/2006/relationships/hyperlink" Target="https://reklama.cncenter.cz/Online/mobilni-vineta" TargetMode="External"/><Relationship Id="rId747" Type="http://schemas.openxmlformats.org/officeDocument/2006/relationships/hyperlink" Target="https://reklama.cncenter.cz/Online/Outstream" TargetMode="External"/><Relationship Id="rId954" Type="http://schemas.openxmlformats.org/officeDocument/2006/relationships/hyperlink" Target="https://dama.cz/" TargetMode="External"/><Relationship Id="rId1377" Type="http://schemas.openxmlformats.org/officeDocument/2006/relationships/hyperlink" Target="https://hledejceny.cz/" TargetMode="External"/><Relationship Id="rId1584" Type="http://schemas.openxmlformats.org/officeDocument/2006/relationships/hyperlink" Target="https://maminka.cz/" TargetMode="External"/><Relationship Id="rId1791" Type="http://schemas.openxmlformats.org/officeDocument/2006/relationships/hyperlink" Target="https://mojezdravi.cz/" TargetMode="External"/><Relationship Id="rId1805" Type="http://schemas.openxmlformats.org/officeDocument/2006/relationships/hyperlink" Target="https://mojezdravi.cz/" TargetMode="External"/><Relationship Id="rId2428" Type="http://schemas.openxmlformats.org/officeDocument/2006/relationships/hyperlink" Target="https://zive.cz/" TargetMode="External"/><Relationship Id="rId83" Type="http://schemas.openxmlformats.org/officeDocument/2006/relationships/hyperlink" Target="https://reklama.cncenter.cz/Online/billboard-bottom" TargetMode="External"/><Relationship Id="rId179" Type="http://schemas.openxmlformats.org/officeDocument/2006/relationships/hyperlink" Target="https://ahaonline.cz/" TargetMode="External"/><Relationship Id="rId386" Type="http://schemas.openxmlformats.org/officeDocument/2006/relationships/hyperlink" Target="https://autorevue.cz/" TargetMode="External"/><Relationship Id="rId593" Type="http://schemas.openxmlformats.org/officeDocument/2006/relationships/hyperlink" Target="https://bleskprozeny.cz/" TargetMode="External"/><Relationship Id="rId607" Type="http://schemas.openxmlformats.org/officeDocument/2006/relationships/hyperlink" Target="https://bleskprozeny.cz/" TargetMode="External"/><Relationship Id="rId814" Type="http://schemas.openxmlformats.org/officeDocument/2006/relationships/hyperlink" Target="https://digiarena.zive.cz/" TargetMode="External"/><Relationship Id="rId1237" Type="http://schemas.openxmlformats.org/officeDocument/2006/relationships/hyperlink" Target="https://reklama.cncenter.cz/Online/billboard-bottom" TargetMode="External"/><Relationship Id="rId1444" Type="http://schemas.openxmlformats.org/officeDocument/2006/relationships/hyperlink" Target="http://www.instagram.com/" TargetMode="External"/><Relationship Id="rId1651" Type="http://schemas.openxmlformats.org/officeDocument/2006/relationships/hyperlink" Target="https://reklama.cncenter.cz/Online/mobilni-interscroller" TargetMode="External"/><Relationship Id="rId1889" Type="http://schemas.openxmlformats.org/officeDocument/2006/relationships/hyperlink" Target="https://reklama.cncenter.cz/?ads=PR%2520%25C4%258Dl%25C3%25A1nky" TargetMode="External"/><Relationship Id="rId2067" Type="http://schemas.openxmlformats.org/officeDocument/2006/relationships/hyperlink" Target="https://reklama.cncenter.cz/Online/branding-cross-device" TargetMode="External"/><Relationship Id="rId2274" Type="http://schemas.openxmlformats.org/officeDocument/2006/relationships/hyperlink" Target="https://reklama.cncenter.cz/Online/mobilni-interscroller" TargetMode="External"/><Relationship Id="rId2481" Type="http://schemas.openxmlformats.org/officeDocument/2006/relationships/hyperlink" Target="https://zive.cz/" TargetMode="External"/><Relationship Id="rId246" Type="http://schemas.openxmlformats.org/officeDocument/2006/relationships/hyperlink" Target="https://reklama.cncenter.cz/Online/branding-cross-device" TargetMode="External"/><Relationship Id="rId453" Type="http://schemas.openxmlformats.org/officeDocument/2006/relationships/hyperlink" Target="https://avmania.zive.cz/" TargetMode="External"/><Relationship Id="rId660" Type="http://schemas.openxmlformats.org/officeDocument/2006/relationships/hyperlink" Target="https://reklama.cncenter.cz/Online/branding-cross-device" TargetMode="External"/><Relationship Id="rId898" Type="http://schemas.openxmlformats.org/officeDocument/2006/relationships/hyperlink" Target="https://doupe.zive.cz/" TargetMode="External"/><Relationship Id="rId1083" Type="http://schemas.openxmlformats.org/officeDocument/2006/relationships/hyperlink" Target="https://reklama.cncenter.cz/Online/branding-cross-device" TargetMode="External"/><Relationship Id="rId1290" Type="http://schemas.openxmlformats.org/officeDocument/2006/relationships/hyperlink" Target="https://heyfomo.cz/" TargetMode="External"/><Relationship Id="rId1304" Type="http://schemas.openxmlformats.org/officeDocument/2006/relationships/hyperlink" Target="https://frekvence1.cz/" TargetMode="External"/><Relationship Id="rId1511" Type="http://schemas.openxmlformats.org/officeDocument/2006/relationships/hyperlink" Target="https://lideazeme.cz/" TargetMode="External"/><Relationship Id="rId1749" Type="http://schemas.openxmlformats.org/officeDocument/2006/relationships/hyperlink" Target="https://mojezdravi.cz/" TargetMode="External"/><Relationship Id="rId1956" Type="http://schemas.openxmlformats.org/officeDocument/2006/relationships/hyperlink" Target="https://nemovitosti.blesk.cz/" TargetMode="External"/><Relationship Id="rId2134" Type="http://schemas.openxmlformats.org/officeDocument/2006/relationships/hyperlink" Target="https://reklama.cncenter.cz/Online/Outstream" TargetMode="External"/><Relationship Id="rId2341" Type="http://schemas.openxmlformats.org/officeDocument/2006/relationships/hyperlink" Target="https://zeny.cz/" TargetMode="External"/><Relationship Id="rId106" Type="http://schemas.openxmlformats.org/officeDocument/2006/relationships/hyperlink" Target="https://abicko.cz/" TargetMode="External"/><Relationship Id="rId313" Type="http://schemas.openxmlformats.org/officeDocument/2006/relationships/hyperlink" Target="https://reklama.cncenter.cz/Online/Outstream" TargetMode="External"/><Relationship Id="rId758" Type="http://schemas.openxmlformats.org/officeDocument/2006/relationships/hyperlink" Target="https://reklama.cncenter.cz/Online/mobilni-interscroller" TargetMode="External"/><Relationship Id="rId965" Type="http://schemas.openxmlformats.org/officeDocument/2006/relationships/hyperlink" Target="https://dama.cz/" TargetMode="External"/><Relationship Id="rId1150" Type="http://schemas.openxmlformats.org/officeDocument/2006/relationships/hyperlink" Target="https://www.facebook.com/business/ads-guide/image/facebook-feed" TargetMode="External"/><Relationship Id="rId1388" Type="http://schemas.openxmlformats.org/officeDocument/2006/relationships/hyperlink" Target="http://www.instagram.com/" TargetMode="External"/><Relationship Id="rId1595" Type="http://schemas.openxmlformats.org/officeDocument/2006/relationships/hyperlink" Target="https://maminka.cz/" TargetMode="External"/><Relationship Id="rId1609" Type="http://schemas.openxmlformats.org/officeDocument/2006/relationships/hyperlink" Target="https://maminka.cz/" TargetMode="External"/><Relationship Id="rId1816" Type="http://schemas.openxmlformats.org/officeDocument/2006/relationships/hyperlink" Target="https://mojezdravi.cz/" TargetMode="External"/><Relationship Id="rId2439" Type="http://schemas.openxmlformats.org/officeDocument/2006/relationships/hyperlink" Target="https://reklama.cncenter.cz/Online/nativni-rectangle-cross-device" TargetMode="External"/><Relationship Id="rId10" Type="http://schemas.openxmlformats.org/officeDocument/2006/relationships/hyperlink" Target="https://abecedazahrady.dama.cz/" TargetMode="External"/><Relationship Id="rId94" Type="http://schemas.openxmlformats.org/officeDocument/2006/relationships/hyperlink" Target="https://abicko.cz/" TargetMode="External"/><Relationship Id="rId397" Type="http://schemas.openxmlformats.org/officeDocument/2006/relationships/hyperlink" Target="https://reklama.cncenter.cz/?ads=PR%2520%25C4%258Dl%25C3%25A1nky" TargetMode="External"/><Relationship Id="rId520" Type="http://schemas.openxmlformats.org/officeDocument/2006/relationships/hyperlink" Target="https://reklama.cncenter.cz/Online/Bumper" TargetMode="External"/><Relationship Id="rId618" Type="http://schemas.openxmlformats.org/officeDocument/2006/relationships/hyperlink" Target="https://bleskprozeny.cz/" TargetMode="External"/><Relationship Id="rId825" Type="http://schemas.openxmlformats.org/officeDocument/2006/relationships/hyperlink" Target="https://reklama.cncenter.cz/Online/mobilni-vineta" TargetMode="External"/><Relationship Id="rId1248" Type="http://schemas.openxmlformats.org/officeDocument/2006/relationships/hyperlink" Target="https://fitweb.cz/" TargetMode="External"/><Relationship Id="rId1455" Type="http://schemas.openxmlformats.org/officeDocument/2006/relationships/hyperlink" Target="http://www.instagram.com/" TargetMode="External"/><Relationship Id="rId1662" Type="http://schemas.openxmlformats.org/officeDocument/2006/relationships/hyperlink" Target="https://reklama.cncenter.cz/Online/Outstream" TargetMode="External"/><Relationship Id="rId2078" Type="http://schemas.openxmlformats.org/officeDocument/2006/relationships/hyperlink" Target="https://recepty.cz/" TargetMode="External"/><Relationship Id="rId2201" Type="http://schemas.openxmlformats.org/officeDocument/2006/relationships/hyperlink" Target="https://reklama.cncenter.cz/Online/Videospot" TargetMode="External"/><Relationship Id="rId2285" Type="http://schemas.openxmlformats.org/officeDocument/2006/relationships/hyperlink" Target="https://vtm.zive.cz/" TargetMode="External"/><Relationship Id="rId257" Type="http://schemas.openxmlformats.org/officeDocument/2006/relationships/hyperlink" Target="https://auto.cz/" TargetMode="External"/><Relationship Id="rId464" Type="http://schemas.openxmlformats.org/officeDocument/2006/relationships/hyperlink" Target="https://avmania.zive.cz/" TargetMode="External"/><Relationship Id="rId1010" Type="http://schemas.openxmlformats.org/officeDocument/2006/relationships/hyperlink" Target="https://reklama.cncenter.cz/Online/nativni-rectangle-cross-device" TargetMode="External"/><Relationship Id="rId1094" Type="http://schemas.openxmlformats.org/officeDocument/2006/relationships/hyperlink" Target="https://f1sport.auto.cz/" TargetMode="External"/><Relationship Id="rId1108" Type="http://schemas.openxmlformats.org/officeDocument/2006/relationships/hyperlink" Target="https://f1sport.auto.cz/" TargetMode="External"/><Relationship Id="rId1315" Type="http://schemas.openxmlformats.org/officeDocument/2006/relationships/hyperlink" Target="https://reklama.cncenter.cz/Online/branding" TargetMode="External"/><Relationship Id="rId1967" Type="http://schemas.openxmlformats.org/officeDocument/2006/relationships/hyperlink" Target="http://nemovitosti.blesk.cz/" TargetMode="External"/><Relationship Id="rId2145" Type="http://schemas.openxmlformats.org/officeDocument/2006/relationships/hyperlink" Target="https://recepty.cz/" TargetMode="External"/><Relationship Id="rId117" Type="http://schemas.openxmlformats.org/officeDocument/2006/relationships/hyperlink" Target="https://abicko.cz/" TargetMode="External"/><Relationship Id="rId671" Type="http://schemas.openxmlformats.org/officeDocument/2006/relationships/hyperlink" Target="https://reklama.cncenter.cz/Online/double-skyscraper" TargetMode="External"/><Relationship Id="rId769" Type="http://schemas.openxmlformats.org/officeDocument/2006/relationships/hyperlink" Target="https://reklama.cncenter.cz/Online/mobilni-vineta" TargetMode="External"/><Relationship Id="rId976" Type="http://schemas.openxmlformats.org/officeDocument/2006/relationships/hyperlink" Target="https://dama.cz/" TargetMode="External"/><Relationship Id="rId1399" Type="http://schemas.openxmlformats.org/officeDocument/2006/relationships/hyperlink" Target="http://www.instagram.com/" TargetMode="External"/><Relationship Id="rId2352" Type="http://schemas.openxmlformats.org/officeDocument/2006/relationships/hyperlink" Target="https://reklama.cncenter.cz/Online/nativni-PR-premium" TargetMode="External"/><Relationship Id="rId324" Type="http://schemas.openxmlformats.org/officeDocument/2006/relationships/hyperlink" Target="https://auto.cz/" TargetMode="External"/><Relationship Id="rId531" Type="http://schemas.openxmlformats.org/officeDocument/2006/relationships/hyperlink" Target="https://blesk.cz/" TargetMode="External"/><Relationship Id="rId629" Type="http://schemas.openxmlformats.org/officeDocument/2006/relationships/hyperlink" Target="https://bleskprozeny.cz/" TargetMode="External"/><Relationship Id="rId1161" Type="http://schemas.openxmlformats.org/officeDocument/2006/relationships/hyperlink" Target="http://www.facebook.com/" TargetMode="External"/><Relationship Id="rId1259" Type="http://schemas.openxmlformats.org/officeDocument/2006/relationships/hyperlink" Target="https://fitweb.cz/" TargetMode="External"/><Relationship Id="rId1466" Type="http://schemas.openxmlformats.org/officeDocument/2006/relationships/hyperlink" Target="https://reklama.cncenter.cz/Online/branding-cross-device" TargetMode="External"/><Relationship Id="rId2005" Type="http://schemas.openxmlformats.org/officeDocument/2006/relationships/hyperlink" Target="https://www.realitnitrh.cz/" TargetMode="External"/><Relationship Id="rId2212" Type="http://schemas.openxmlformats.org/officeDocument/2006/relationships/hyperlink" Target="https://reflex.cz/" TargetMode="External"/><Relationship Id="rId836" Type="http://schemas.openxmlformats.org/officeDocument/2006/relationships/hyperlink" Target="https://reklama.cncenter.cz/?ads=PR%2520%25C4%258Dl%25C3%25A1nky" TargetMode="External"/><Relationship Id="rId1021" Type="http://schemas.openxmlformats.org/officeDocument/2006/relationships/hyperlink" Target="https://reklama.cncenter.cz/Online/Bumper" TargetMode="External"/><Relationship Id="rId1119" Type="http://schemas.openxmlformats.org/officeDocument/2006/relationships/hyperlink" Target="https://f1sport.auto.cz/" TargetMode="External"/><Relationship Id="rId1673" Type="http://schemas.openxmlformats.org/officeDocument/2006/relationships/hyperlink" Target="https://mobilmania.cz/" TargetMode="External"/><Relationship Id="rId1880" Type="http://schemas.openxmlformats.org/officeDocument/2006/relationships/hyperlink" Target="https://motogpsport.cz/" TargetMode="External"/><Relationship Id="rId1978" Type="http://schemas.openxmlformats.org/officeDocument/2006/relationships/hyperlink" Target="https://reklama.cncenter.cz/?ads=PR%2520%25C4%258Dl%25C3%25A1nky" TargetMode="External"/><Relationship Id="rId903" Type="http://schemas.openxmlformats.org/officeDocument/2006/relationships/hyperlink" Target="https://doupe.zive.cz/" TargetMode="External"/><Relationship Id="rId1326" Type="http://schemas.openxmlformats.org/officeDocument/2006/relationships/hyperlink" Target="https://frekvence1.cz/" TargetMode="External"/><Relationship Id="rId1533" Type="http://schemas.openxmlformats.org/officeDocument/2006/relationships/hyperlink" Target="https://reklama.cncenter.cz/Online/mobilni-interscroller" TargetMode="External"/><Relationship Id="rId1740" Type="http://schemas.openxmlformats.org/officeDocument/2006/relationships/hyperlink" Target="https://mobilmania.cz/" TargetMode="External"/><Relationship Id="rId32" Type="http://schemas.openxmlformats.org/officeDocument/2006/relationships/hyperlink" Target="https://reklama.cncenter.cz/Online/mobilni-vineta" TargetMode="External"/><Relationship Id="rId1600" Type="http://schemas.openxmlformats.org/officeDocument/2006/relationships/hyperlink" Target="https://reklama.cncenter.cz/Online/Outstream" TargetMode="External"/><Relationship Id="rId1838" Type="http://schemas.openxmlformats.org/officeDocument/2006/relationships/hyperlink" Target="https://motogpsport.cz/" TargetMode="External"/><Relationship Id="rId181" Type="http://schemas.openxmlformats.org/officeDocument/2006/relationships/hyperlink" Target="https://ahaonline.cz/" TargetMode="External"/><Relationship Id="rId1905" Type="http://schemas.openxmlformats.org/officeDocument/2006/relationships/hyperlink" Target="https://nemovitosti.blesk.cz/" TargetMode="External"/><Relationship Id="rId279" Type="http://schemas.openxmlformats.org/officeDocument/2006/relationships/hyperlink" Target="https://reklama.cncenter.cz/Online/nativni-rectangle-cross-device" TargetMode="External"/><Relationship Id="rId486" Type="http://schemas.openxmlformats.org/officeDocument/2006/relationships/hyperlink" Target="https://blesk.cz/" TargetMode="External"/><Relationship Id="rId693" Type="http://schemas.openxmlformats.org/officeDocument/2006/relationships/hyperlink" Target="https://reklama.cncenter.cz/Online/Bumper" TargetMode="External"/><Relationship Id="rId2167" Type="http://schemas.openxmlformats.org/officeDocument/2006/relationships/hyperlink" Target="https://reflex.cz/" TargetMode="External"/><Relationship Id="rId2374" Type="http://schemas.openxmlformats.org/officeDocument/2006/relationships/hyperlink" Target="https://zeny.cz/" TargetMode="External"/><Relationship Id="rId139" Type="http://schemas.openxmlformats.org/officeDocument/2006/relationships/hyperlink" Target="https://abicko.cz/" TargetMode="External"/><Relationship Id="rId346" Type="http://schemas.openxmlformats.org/officeDocument/2006/relationships/hyperlink" Target="https://autorevue.cz/" TargetMode="External"/><Relationship Id="rId553" Type="http://schemas.openxmlformats.org/officeDocument/2006/relationships/hyperlink" Target="https://bleskprozeny.cz/" TargetMode="External"/><Relationship Id="rId760" Type="http://schemas.openxmlformats.org/officeDocument/2006/relationships/hyperlink" Target="https://reklama.cncenter.cz/Online/mobilni-vineta" TargetMode="External"/><Relationship Id="rId998" Type="http://schemas.openxmlformats.org/officeDocument/2006/relationships/hyperlink" Target="https://reklama.cncenter.cz/Online/Bumper" TargetMode="External"/><Relationship Id="rId1183" Type="http://schemas.openxmlformats.org/officeDocument/2006/relationships/hyperlink" Target="https://www.facebook.com/business/ads-guide/image/facebook-feed" TargetMode="External"/><Relationship Id="rId1390" Type="http://schemas.openxmlformats.org/officeDocument/2006/relationships/hyperlink" Target="http://www.instagram.com/" TargetMode="External"/><Relationship Id="rId2027" Type="http://schemas.openxmlformats.org/officeDocument/2006/relationships/hyperlink" Target="https://www.realitnitrh.cz/" TargetMode="External"/><Relationship Id="rId2234" Type="http://schemas.openxmlformats.org/officeDocument/2006/relationships/hyperlink" Target="https://sportrevue.cz/" TargetMode="External"/><Relationship Id="rId2441" Type="http://schemas.openxmlformats.org/officeDocument/2006/relationships/hyperlink" Target="https://zive.cz/" TargetMode="External"/><Relationship Id="rId206" Type="http://schemas.openxmlformats.org/officeDocument/2006/relationships/hyperlink" Target="https://reklama.cncenter.cz/Online/double-skyscraper" TargetMode="External"/><Relationship Id="rId413" Type="http://schemas.openxmlformats.org/officeDocument/2006/relationships/hyperlink" Target="https://avmania.zive.cz/" TargetMode="External"/><Relationship Id="rId858" Type="http://schemas.openxmlformats.org/officeDocument/2006/relationships/hyperlink" Target="https://doupe.zive.cz/" TargetMode="External"/><Relationship Id="rId1043" Type="http://schemas.openxmlformats.org/officeDocument/2006/relationships/hyperlink" Target="https://evropa2.cz/" TargetMode="External"/><Relationship Id="rId1488" Type="http://schemas.openxmlformats.org/officeDocument/2006/relationships/hyperlink" Target="https://lideazeme.cz/" TargetMode="External"/><Relationship Id="rId1695" Type="http://schemas.openxmlformats.org/officeDocument/2006/relationships/hyperlink" Target="https://mobilmania.cz/" TargetMode="External"/><Relationship Id="rId620" Type="http://schemas.openxmlformats.org/officeDocument/2006/relationships/hyperlink" Target="https://bleskprozeny.cz/" TargetMode="External"/><Relationship Id="rId718" Type="http://schemas.openxmlformats.org/officeDocument/2006/relationships/hyperlink" Target="https://reklama.cncenter.cz/Online/Videospot" TargetMode="External"/><Relationship Id="rId925" Type="http://schemas.openxmlformats.org/officeDocument/2006/relationships/hyperlink" Target="https://reklama.cncenter.cz/Online/billboard-bottom" TargetMode="External"/><Relationship Id="rId1250" Type="http://schemas.openxmlformats.org/officeDocument/2006/relationships/hyperlink" Target="https://fitweb.cz/" TargetMode="External"/><Relationship Id="rId1348" Type="http://schemas.openxmlformats.org/officeDocument/2006/relationships/hyperlink" Target="https://reklama.cncenter.cz/Online/nativni-rectangle-cross-device" TargetMode="External"/><Relationship Id="rId1555" Type="http://schemas.openxmlformats.org/officeDocument/2006/relationships/hyperlink" Target="https://lideazeme.cz/" TargetMode="External"/><Relationship Id="rId1762" Type="http://schemas.openxmlformats.org/officeDocument/2006/relationships/hyperlink" Target="https://reklama.cncenter.cz/Online/branding-cross-device" TargetMode="External"/><Relationship Id="rId2301" Type="http://schemas.openxmlformats.org/officeDocument/2006/relationships/hyperlink" Target="https://reklama.cncenter.cz/Online/nativni-rectangle-cross-device" TargetMode="External"/><Relationship Id="rId1110" Type="http://schemas.openxmlformats.org/officeDocument/2006/relationships/hyperlink" Target="https://reklama.cncenter.cz/Online/nativni-rectangle-cross-device" TargetMode="External"/><Relationship Id="rId1208" Type="http://schemas.openxmlformats.org/officeDocument/2006/relationships/hyperlink" Target="http://www.facebook.com/" TargetMode="External"/><Relationship Id="rId1415" Type="http://schemas.openxmlformats.org/officeDocument/2006/relationships/hyperlink" Target="http://www.instagram.com/" TargetMode="External"/><Relationship Id="rId54" Type="http://schemas.openxmlformats.org/officeDocument/2006/relationships/hyperlink" Target="https://abecedazahrady.dama.cz/" TargetMode="External"/><Relationship Id="rId1622" Type="http://schemas.openxmlformats.org/officeDocument/2006/relationships/hyperlink" Target="https://maminka.cz/" TargetMode="External"/><Relationship Id="rId1927" Type="http://schemas.openxmlformats.org/officeDocument/2006/relationships/hyperlink" Target="http://nemovitosti.blesk.cz/" TargetMode="External"/><Relationship Id="rId2091" Type="http://schemas.openxmlformats.org/officeDocument/2006/relationships/hyperlink" Target="https://reklama.cncenter.cz/Online/mobilni-slide-up" TargetMode="External"/><Relationship Id="rId2189" Type="http://schemas.openxmlformats.org/officeDocument/2006/relationships/hyperlink" Target="https://reflex.cz/" TargetMode="External"/><Relationship Id="rId270" Type="http://schemas.openxmlformats.org/officeDocument/2006/relationships/hyperlink" Target="https://reklama.cncenter.cz/Online/mobilni-slide-up" TargetMode="External"/><Relationship Id="rId2396" Type="http://schemas.openxmlformats.org/officeDocument/2006/relationships/hyperlink" Target="https://zeny.cz/" TargetMode="External"/><Relationship Id="rId130" Type="http://schemas.openxmlformats.org/officeDocument/2006/relationships/hyperlink" Target="https://abicko.cz/" TargetMode="External"/><Relationship Id="rId368" Type="http://schemas.openxmlformats.org/officeDocument/2006/relationships/hyperlink" Target="https://autorevue.cz/" TargetMode="External"/><Relationship Id="rId575" Type="http://schemas.openxmlformats.org/officeDocument/2006/relationships/hyperlink" Target="https://bleskprozeny.cz/" TargetMode="External"/><Relationship Id="rId782" Type="http://schemas.openxmlformats.org/officeDocument/2006/relationships/hyperlink" Target="https://digiarena.zive.cz/" TargetMode="External"/><Relationship Id="rId2049" Type="http://schemas.openxmlformats.org/officeDocument/2006/relationships/hyperlink" Target="https://www.realitnitrh.cz/" TargetMode="External"/><Relationship Id="rId2256" Type="http://schemas.openxmlformats.org/officeDocument/2006/relationships/hyperlink" Target="https://reklama.cncenter.cz/Online/branding-cross-device" TargetMode="External"/><Relationship Id="rId2463" Type="http://schemas.openxmlformats.org/officeDocument/2006/relationships/hyperlink" Target="https://zive.cz/" TargetMode="External"/><Relationship Id="rId228" Type="http://schemas.openxmlformats.org/officeDocument/2006/relationships/hyperlink" Target="https://ahaonline.cz/" TargetMode="External"/><Relationship Id="rId435" Type="http://schemas.openxmlformats.org/officeDocument/2006/relationships/hyperlink" Target="https://reklama.cncenter.cz/Online/mobilni-slide-up" TargetMode="External"/><Relationship Id="rId642" Type="http://schemas.openxmlformats.org/officeDocument/2006/relationships/hyperlink" Target="https://reklama.cncenter.cz/Online/mobilni-vineta" TargetMode="External"/><Relationship Id="rId1065" Type="http://schemas.openxmlformats.org/officeDocument/2006/relationships/hyperlink" Target="https://evropa2.cz/" TargetMode="External"/><Relationship Id="rId1272" Type="http://schemas.openxmlformats.org/officeDocument/2006/relationships/hyperlink" Target="https://fitweb.cz/" TargetMode="External"/><Relationship Id="rId2116" Type="http://schemas.openxmlformats.org/officeDocument/2006/relationships/hyperlink" Target="https://recepty.cz/" TargetMode="External"/><Relationship Id="rId2323" Type="http://schemas.openxmlformats.org/officeDocument/2006/relationships/hyperlink" Target="https://zeny.cz/" TargetMode="External"/><Relationship Id="rId502" Type="http://schemas.openxmlformats.org/officeDocument/2006/relationships/hyperlink" Target="https://reklama.cncenter.cz/Online/branding" TargetMode="External"/><Relationship Id="rId947" Type="http://schemas.openxmlformats.org/officeDocument/2006/relationships/hyperlink" Target="https://dama.cz/" TargetMode="External"/><Relationship Id="rId1132" Type="http://schemas.openxmlformats.org/officeDocument/2006/relationships/hyperlink" Target="https://reklama.cncenter.cz/Online/nativni-rectangle-cross-device" TargetMode="External"/><Relationship Id="rId1577" Type="http://schemas.openxmlformats.org/officeDocument/2006/relationships/hyperlink" Target="https://maminka.cz/" TargetMode="External"/><Relationship Id="rId1784" Type="http://schemas.openxmlformats.org/officeDocument/2006/relationships/hyperlink" Target="https://mojezdravi.cz/" TargetMode="External"/><Relationship Id="rId1991" Type="http://schemas.openxmlformats.org/officeDocument/2006/relationships/hyperlink" Target="https://www.poggers.cz/" TargetMode="External"/><Relationship Id="rId76" Type="http://schemas.openxmlformats.org/officeDocument/2006/relationships/hyperlink" Target="https://abicko.cz/" TargetMode="External"/><Relationship Id="rId807" Type="http://schemas.openxmlformats.org/officeDocument/2006/relationships/hyperlink" Target="https://digiarena.zive.cz/" TargetMode="External"/><Relationship Id="rId1437" Type="http://schemas.openxmlformats.org/officeDocument/2006/relationships/hyperlink" Target="http://www.instagram.com/" TargetMode="External"/><Relationship Id="rId1644" Type="http://schemas.openxmlformats.org/officeDocument/2006/relationships/hyperlink" Target="https://reklama.cncenter.cz/Online/billboard-bottom" TargetMode="External"/><Relationship Id="rId1851" Type="http://schemas.openxmlformats.org/officeDocument/2006/relationships/hyperlink" Target="https://motogpsport.cz/" TargetMode="External"/><Relationship Id="rId1504" Type="http://schemas.openxmlformats.org/officeDocument/2006/relationships/hyperlink" Target="https://reklama.cncenter.cz/Online/branding-cross-device" TargetMode="External"/><Relationship Id="rId1711" Type="http://schemas.openxmlformats.org/officeDocument/2006/relationships/hyperlink" Target="https://mobilmania.cz/" TargetMode="External"/><Relationship Id="rId1949" Type="http://schemas.openxmlformats.org/officeDocument/2006/relationships/hyperlink" Target="https://reklama.cncenter.cz/Online/double-skyscraper" TargetMode="External"/><Relationship Id="rId292" Type="http://schemas.openxmlformats.org/officeDocument/2006/relationships/hyperlink" Target="https://auto.cz/" TargetMode="External"/><Relationship Id="rId1809" Type="http://schemas.openxmlformats.org/officeDocument/2006/relationships/hyperlink" Target="https://mojezdravi.cz/" TargetMode="External"/><Relationship Id="rId597" Type="http://schemas.openxmlformats.org/officeDocument/2006/relationships/hyperlink" Target="https://bleskprozeny.cz/" TargetMode="External"/><Relationship Id="rId2180" Type="http://schemas.openxmlformats.org/officeDocument/2006/relationships/hyperlink" Target="https://reflex.cz/" TargetMode="External"/><Relationship Id="rId2278" Type="http://schemas.openxmlformats.org/officeDocument/2006/relationships/hyperlink" Target="https://vtm.zive.cz/" TargetMode="External"/><Relationship Id="rId152" Type="http://schemas.openxmlformats.org/officeDocument/2006/relationships/hyperlink" Target="https://www.activegroup.cz/reklama" TargetMode="External"/><Relationship Id="rId457" Type="http://schemas.openxmlformats.org/officeDocument/2006/relationships/hyperlink" Target="https://avmania.zive.cz/" TargetMode="External"/><Relationship Id="rId1087" Type="http://schemas.openxmlformats.org/officeDocument/2006/relationships/hyperlink" Target="https://f1sport.auto.cz/" TargetMode="External"/><Relationship Id="rId1294" Type="http://schemas.openxmlformats.org/officeDocument/2006/relationships/hyperlink" Target="https://heyfomo.cz/" TargetMode="External"/><Relationship Id="rId2040" Type="http://schemas.openxmlformats.org/officeDocument/2006/relationships/hyperlink" Target="https://www.realitnitrh.cz/" TargetMode="External"/><Relationship Id="rId2138" Type="http://schemas.openxmlformats.org/officeDocument/2006/relationships/hyperlink" Target="https://recepty.cz/" TargetMode="External"/><Relationship Id="rId664" Type="http://schemas.openxmlformats.org/officeDocument/2006/relationships/hyperlink" Target="https://reklama.cncenter.cz/Online/mobilni-interscroller" TargetMode="External"/><Relationship Id="rId871" Type="http://schemas.openxmlformats.org/officeDocument/2006/relationships/hyperlink" Target="https://reklama.cncenter.cz/Online/mobilni-slide-up" TargetMode="External"/><Relationship Id="rId969" Type="http://schemas.openxmlformats.org/officeDocument/2006/relationships/hyperlink" Target="https://reklama.cncenter.cz/Online/mobilni-interscroller" TargetMode="External"/><Relationship Id="rId1599" Type="http://schemas.openxmlformats.org/officeDocument/2006/relationships/hyperlink" Target="https://maminka.cz/" TargetMode="External"/><Relationship Id="rId2345" Type="http://schemas.openxmlformats.org/officeDocument/2006/relationships/hyperlink" Target="https://zeny.cz/" TargetMode="External"/><Relationship Id="rId317" Type="http://schemas.openxmlformats.org/officeDocument/2006/relationships/hyperlink" Target="https://auto.cz/" TargetMode="External"/><Relationship Id="rId524" Type="http://schemas.openxmlformats.org/officeDocument/2006/relationships/hyperlink" Target="https://blesk.cz/" TargetMode="External"/><Relationship Id="rId731" Type="http://schemas.openxmlformats.org/officeDocument/2006/relationships/hyperlink" Target="https://reklama.cncenter.cz/Online/branding" TargetMode="External"/><Relationship Id="rId1154" Type="http://schemas.openxmlformats.org/officeDocument/2006/relationships/hyperlink" Target="http://www.facebook.com/" TargetMode="External"/><Relationship Id="rId1361" Type="http://schemas.openxmlformats.org/officeDocument/2006/relationships/hyperlink" Target="https://hledejceny.cz/" TargetMode="External"/><Relationship Id="rId1459" Type="http://schemas.openxmlformats.org/officeDocument/2006/relationships/hyperlink" Target="http://www.instagram.com/" TargetMode="External"/><Relationship Id="rId2205" Type="http://schemas.openxmlformats.org/officeDocument/2006/relationships/hyperlink" Target="https://reflex.cz/" TargetMode="External"/><Relationship Id="rId2412" Type="http://schemas.openxmlformats.org/officeDocument/2006/relationships/hyperlink" Target="https://reklama.cncenter.cz/Online/branding" TargetMode="External"/><Relationship Id="rId98" Type="http://schemas.openxmlformats.org/officeDocument/2006/relationships/hyperlink" Target="https://reklama.cncenter.cz/Online/mobilni-slide-up" TargetMode="External"/><Relationship Id="rId829" Type="http://schemas.openxmlformats.org/officeDocument/2006/relationships/hyperlink" Target="https://digiarena.zive.cz/" TargetMode="External"/><Relationship Id="rId1014" Type="http://schemas.openxmlformats.org/officeDocument/2006/relationships/hyperlink" Target="https://reklama.cncenter.cz/Online/Videospot" TargetMode="External"/><Relationship Id="rId1221" Type="http://schemas.openxmlformats.org/officeDocument/2006/relationships/hyperlink" Target="https://finexpert.cz/" TargetMode="External"/><Relationship Id="rId1666" Type="http://schemas.openxmlformats.org/officeDocument/2006/relationships/hyperlink" Target="https://mobilmania.cz/" TargetMode="External"/><Relationship Id="rId1873" Type="http://schemas.openxmlformats.org/officeDocument/2006/relationships/hyperlink" Target="https://motogpsport.cz/" TargetMode="External"/><Relationship Id="rId1319" Type="http://schemas.openxmlformats.org/officeDocument/2006/relationships/hyperlink" Target="https://frekvence1.cz/" TargetMode="External"/><Relationship Id="rId1526" Type="http://schemas.openxmlformats.org/officeDocument/2006/relationships/hyperlink" Target="https://lideazeme.cz/" TargetMode="External"/><Relationship Id="rId1733" Type="http://schemas.openxmlformats.org/officeDocument/2006/relationships/hyperlink" Target="https://reklama.cncenter.cz/Online/Outstream" TargetMode="External"/><Relationship Id="rId1940" Type="http://schemas.openxmlformats.org/officeDocument/2006/relationships/hyperlink" Target="https://nemovitosti.blesk.cz/" TargetMode="External"/><Relationship Id="rId25" Type="http://schemas.openxmlformats.org/officeDocument/2006/relationships/hyperlink" Target="https://abecedazahrady.dama.cz/" TargetMode="External"/><Relationship Id="rId1800" Type="http://schemas.openxmlformats.org/officeDocument/2006/relationships/hyperlink" Target="https://reklama.cncenter.cz/Online/mobilni-interscroller" TargetMode="External"/><Relationship Id="rId174" Type="http://schemas.openxmlformats.org/officeDocument/2006/relationships/hyperlink" Target="https://reklama.cncenter.cz/Online/branding-cross-device" TargetMode="External"/><Relationship Id="rId381" Type="http://schemas.openxmlformats.org/officeDocument/2006/relationships/hyperlink" Target="https://autorevue.cz/" TargetMode="External"/><Relationship Id="rId2062" Type="http://schemas.openxmlformats.org/officeDocument/2006/relationships/hyperlink" Target="https://recepty.cz/" TargetMode="External"/><Relationship Id="rId241" Type="http://schemas.openxmlformats.org/officeDocument/2006/relationships/hyperlink" Target="https://auto.cz/" TargetMode="External"/><Relationship Id="rId479" Type="http://schemas.openxmlformats.org/officeDocument/2006/relationships/hyperlink" Target="https://blesk.cz/" TargetMode="External"/><Relationship Id="rId686" Type="http://schemas.openxmlformats.org/officeDocument/2006/relationships/hyperlink" Target="https://reklama.cncenter.cz/Online/double-skyscraper" TargetMode="External"/><Relationship Id="rId893" Type="http://schemas.openxmlformats.org/officeDocument/2006/relationships/hyperlink" Target="https://doupe.zive.cz/" TargetMode="External"/><Relationship Id="rId2367" Type="http://schemas.openxmlformats.org/officeDocument/2006/relationships/hyperlink" Target="https://zeny.cz/" TargetMode="External"/><Relationship Id="rId339" Type="http://schemas.openxmlformats.org/officeDocument/2006/relationships/hyperlink" Target="https://reklama.cncenter.cz/Online/billboard-bottom" TargetMode="External"/><Relationship Id="rId546" Type="http://schemas.openxmlformats.org/officeDocument/2006/relationships/hyperlink" Target="https://bleskprozeny.cz/" TargetMode="External"/><Relationship Id="rId753" Type="http://schemas.openxmlformats.org/officeDocument/2006/relationships/hyperlink" Target="https://reklama.cncenter.cz/Online/billboard-bottom" TargetMode="External"/><Relationship Id="rId1176" Type="http://schemas.openxmlformats.org/officeDocument/2006/relationships/hyperlink" Target="http://www.facebook.com/" TargetMode="External"/><Relationship Id="rId1383" Type="http://schemas.openxmlformats.org/officeDocument/2006/relationships/hyperlink" Target="http://www.instagram.com/" TargetMode="External"/><Relationship Id="rId2227" Type="http://schemas.openxmlformats.org/officeDocument/2006/relationships/hyperlink" Target="https://reflex.cz/" TargetMode="External"/><Relationship Id="rId2434" Type="http://schemas.openxmlformats.org/officeDocument/2006/relationships/hyperlink" Target="https://zive.cz/" TargetMode="External"/><Relationship Id="rId101" Type="http://schemas.openxmlformats.org/officeDocument/2006/relationships/hyperlink" Target="https://reklama.cncenter.cz/Online/mobilni-vineta" TargetMode="External"/><Relationship Id="rId406" Type="http://schemas.openxmlformats.org/officeDocument/2006/relationships/hyperlink" Target="https://reklama.cncenter.cz/Online/Bumper" TargetMode="External"/><Relationship Id="rId960" Type="http://schemas.openxmlformats.org/officeDocument/2006/relationships/hyperlink" Target="https://dama.cz/" TargetMode="External"/><Relationship Id="rId1036" Type="http://schemas.openxmlformats.org/officeDocument/2006/relationships/hyperlink" Target="https://reklama.cncenter.cz/Online/double-skyscraper" TargetMode="External"/><Relationship Id="rId1243" Type="http://schemas.openxmlformats.org/officeDocument/2006/relationships/hyperlink" Target="https://reklama.cncenter.cz/Online/branding" TargetMode="External"/><Relationship Id="rId1590" Type="http://schemas.openxmlformats.org/officeDocument/2006/relationships/hyperlink" Target="https://maminka.cz/" TargetMode="External"/><Relationship Id="rId1688" Type="http://schemas.openxmlformats.org/officeDocument/2006/relationships/hyperlink" Target="https://mobilmania.cz/" TargetMode="External"/><Relationship Id="rId1895" Type="http://schemas.openxmlformats.org/officeDocument/2006/relationships/hyperlink" Target="https://motogpsport.cz/" TargetMode="External"/><Relationship Id="rId613" Type="http://schemas.openxmlformats.org/officeDocument/2006/relationships/hyperlink" Target="https://reklama.cncenter.cz/Online/nativni-PR-premium" TargetMode="External"/><Relationship Id="rId820" Type="http://schemas.openxmlformats.org/officeDocument/2006/relationships/hyperlink" Target="https://digiarena.zive.cz/" TargetMode="External"/><Relationship Id="rId918" Type="http://schemas.openxmlformats.org/officeDocument/2006/relationships/hyperlink" Target="https://dama.cz/" TargetMode="External"/><Relationship Id="rId1450" Type="http://schemas.openxmlformats.org/officeDocument/2006/relationships/hyperlink" Target="http://www.instagram.com/" TargetMode="External"/><Relationship Id="rId1548" Type="http://schemas.openxmlformats.org/officeDocument/2006/relationships/hyperlink" Target="https://lideazeme.cz/" TargetMode="External"/><Relationship Id="rId1755" Type="http://schemas.openxmlformats.org/officeDocument/2006/relationships/hyperlink" Target="https://mojezdravi.cz/" TargetMode="External"/><Relationship Id="rId1103" Type="http://schemas.openxmlformats.org/officeDocument/2006/relationships/hyperlink" Target="https://f1sport.auto.cz/" TargetMode="External"/><Relationship Id="rId1310" Type="http://schemas.openxmlformats.org/officeDocument/2006/relationships/hyperlink" Target="https://frekvence1.cz/" TargetMode="External"/><Relationship Id="rId1408" Type="http://schemas.openxmlformats.org/officeDocument/2006/relationships/hyperlink" Target="http://www.instagram.com/" TargetMode="External"/><Relationship Id="rId1962" Type="http://schemas.openxmlformats.org/officeDocument/2006/relationships/hyperlink" Target="https://nemovitosti.blesk.cz/" TargetMode="External"/><Relationship Id="rId47" Type="http://schemas.openxmlformats.org/officeDocument/2006/relationships/hyperlink" Target="https://abecedazahrady.dama.cz/" TargetMode="External"/><Relationship Id="rId1615" Type="http://schemas.openxmlformats.org/officeDocument/2006/relationships/hyperlink" Target="https://maminka.cz/" TargetMode="External"/><Relationship Id="rId1822" Type="http://schemas.openxmlformats.org/officeDocument/2006/relationships/hyperlink" Target="https://mojezdravi.cz/" TargetMode="External"/><Relationship Id="rId196" Type="http://schemas.openxmlformats.org/officeDocument/2006/relationships/hyperlink" Target="https://ahaonline.cz/" TargetMode="External"/><Relationship Id="rId2084" Type="http://schemas.openxmlformats.org/officeDocument/2006/relationships/hyperlink" Target="https://recepty.cz/" TargetMode="External"/><Relationship Id="rId2291" Type="http://schemas.openxmlformats.org/officeDocument/2006/relationships/hyperlink" Target="https://vtm.zive.cz/" TargetMode="External"/><Relationship Id="rId263" Type="http://schemas.openxmlformats.org/officeDocument/2006/relationships/hyperlink" Target="https://auto.cz/" TargetMode="External"/><Relationship Id="rId470" Type="http://schemas.openxmlformats.org/officeDocument/2006/relationships/hyperlink" Target="https://avmania.zive.cz/" TargetMode="External"/><Relationship Id="rId2151" Type="http://schemas.openxmlformats.org/officeDocument/2006/relationships/hyperlink" Target="https://reklama.cncenter.cz/Online/billboard-bottom" TargetMode="External"/><Relationship Id="rId2389" Type="http://schemas.openxmlformats.org/officeDocument/2006/relationships/hyperlink" Target="https://reklama.cncenter.cz/Online/Outstream" TargetMode="External"/><Relationship Id="rId123" Type="http://schemas.openxmlformats.org/officeDocument/2006/relationships/hyperlink" Target="https://abicko.cz/" TargetMode="External"/><Relationship Id="rId330" Type="http://schemas.openxmlformats.org/officeDocument/2006/relationships/hyperlink" Target="https://reklama.cncenter.cz/Online/billboard-bottom" TargetMode="External"/><Relationship Id="rId568" Type="http://schemas.openxmlformats.org/officeDocument/2006/relationships/hyperlink" Target="https://bleskprozeny.cz/" TargetMode="External"/><Relationship Id="rId775" Type="http://schemas.openxmlformats.org/officeDocument/2006/relationships/hyperlink" Target="https://digiarena.zive.cz/" TargetMode="External"/><Relationship Id="rId982" Type="http://schemas.openxmlformats.org/officeDocument/2006/relationships/hyperlink" Target="https://dama.cz/" TargetMode="External"/><Relationship Id="rId1198" Type="http://schemas.openxmlformats.org/officeDocument/2006/relationships/hyperlink" Target="https://www.facebook.com/business/ads-guide/image/facebook-feed" TargetMode="External"/><Relationship Id="rId2011" Type="http://schemas.openxmlformats.org/officeDocument/2006/relationships/hyperlink" Target="https://www.realitnitrh.cz/" TargetMode="External"/><Relationship Id="rId2249" Type="http://schemas.openxmlformats.org/officeDocument/2006/relationships/hyperlink" Target="http://www.tiktok.com/" TargetMode="External"/><Relationship Id="rId2456" Type="http://schemas.openxmlformats.org/officeDocument/2006/relationships/hyperlink" Target="https://reklama.cncenter.cz/Online/mobilni-slide-up" TargetMode="External"/><Relationship Id="rId428" Type="http://schemas.openxmlformats.org/officeDocument/2006/relationships/hyperlink" Target="https://avmania.zive.cz/" TargetMode="External"/><Relationship Id="rId635" Type="http://schemas.openxmlformats.org/officeDocument/2006/relationships/hyperlink" Target="https://reklama.cncenter.cz/Online/billboard-bottom" TargetMode="External"/><Relationship Id="rId842" Type="http://schemas.openxmlformats.org/officeDocument/2006/relationships/hyperlink" Target="https://digiarena.zive.cz/" TargetMode="External"/><Relationship Id="rId1058" Type="http://schemas.openxmlformats.org/officeDocument/2006/relationships/hyperlink" Target="https://evropa2.cz/" TargetMode="External"/><Relationship Id="rId1265" Type="http://schemas.openxmlformats.org/officeDocument/2006/relationships/hyperlink" Target="https://fitweb.cz/" TargetMode="External"/><Relationship Id="rId1472" Type="http://schemas.openxmlformats.org/officeDocument/2006/relationships/hyperlink" Target="https://reklama.cncenter.cz/Online/Videospot" TargetMode="External"/><Relationship Id="rId2109" Type="http://schemas.openxmlformats.org/officeDocument/2006/relationships/hyperlink" Target="https://recepty.cz/" TargetMode="External"/><Relationship Id="rId2316" Type="http://schemas.openxmlformats.org/officeDocument/2006/relationships/hyperlink" Target="https://zeny.cz/" TargetMode="External"/><Relationship Id="rId702" Type="http://schemas.openxmlformats.org/officeDocument/2006/relationships/hyperlink" Target="https://reklama.cncenter.cz/Online/billboard-bottom" TargetMode="External"/><Relationship Id="rId1125" Type="http://schemas.openxmlformats.org/officeDocument/2006/relationships/hyperlink" Target="https://f1sport.auto.cz/" TargetMode="External"/><Relationship Id="rId1332" Type="http://schemas.openxmlformats.org/officeDocument/2006/relationships/hyperlink" Target="https://frekvence1.cz/" TargetMode="External"/><Relationship Id="rId1777" Type="http://schemas.openxmlformats.org/officeDocument/2006/relationships/hyperlink" Target="https://reklama.cncenter.cz/Online/mobilni-slide-up" TargetMode="External"/><Relationship Id="rId1984" Type="http://schemas.openxmlformats.org/officeDocument/2006/relationships/hyperlink" Target="https://nemovitosti.blesk.cz/" TargetMode="External"/><Relationship Id="rId69" Type="http://schemas.openxmlformats.org/officeDocument/2006/relationships/hyperlink" Target="https://abecedazahrady.dama.cz/" TargetMode="External"/><Relationship Id="rId1637" Type="http://schemas.openxmlformats.org/officeDocument/2006/relationships/hyperlink" Target="https://maminka.cz/" TargetMode="External"/><Relationship Id="rId1844" Type="http://schemas.openxmlformats.org/officeDocument/2006/relationships/hyperlink" Target="https://motogpsport.cz/" TargetMode="External"/><Relationship Id="rId1704" Type="http://schemas.openxmlformats.org/officeDocument/2006/relationships/hyperlink" Target="https://mobilmania.cz/" TargetMode="External"/><Relationship Id="rId285" Type="http://schemas.openxmlformats.org/officeDocument/2006/relationships/hyperlink" Target="https://reklama.cncenter.cz/Online/Bumper" TargetMode="External"/><Relationship Id="rId1911" Type="http://schemas.openxmlformats.org/officeDocument/2006/relationships/hyperlink" Target="http://nemovitosti.blesk.cz/" TargetMode="External"/><Relationship Id="rId492" Type="http://schemas.openxmlformats.org/officeDocument/2006/relationships/hyperlink" Target="https://blesk.cz/" TargetMode="External"/><Relationship Id="rId797" Type="http://schemas.openxmlformats.org/officeDocument/2006/relationships/hyperlink" Target="https://digiarena.zive.cz/" TargetMode="External"/><Relationship Id="rId2173" Type="http://schemas.openxmlformats.org/officeDocument/2006/relationships/hyperlink" Target="https://reflex.cz/" TargetMode="External"/><Relationship Id="rId2380" Type="http://schemas.openxmlformats.org/officeDocument/2006/relationships/hyperlink" Target="https://zeny.cz/" TargetMode="External"/><Relationship Id="rId2478" Type="http://schemas.openxmlformats.org/officeDocument/2006/relationships/hyperlink" Target="https://zive.cz/" TargetMode="External"/><Relationship Id="rId145" Type="http://schemas.openxmlformats.org/officeDocument/2006/relationships/hyperlink" Target="https://abicko.cz/" TargetMode="External"/><Relationship Id="rId352" Type="http://schemas.openxmlformats.org/officeDocument/2006/relationships/hyperlink" Target="https://autorevue.cz/" TargetMode="External"/><Relationship Id="rId1287" Type="http://schemas.openxmlformats.org/officeDocument/2006/relationships/hyperlink" Target="https://fitweb.cz/" TargetMode="External"/><Relationship Id="rId2033" Type="http://schemas.openxmlformats.org/officeDocument/2006/relationships/hyperlink" Target="https://www.realitnitrh.cz/" TargetMode="External"/><Relationship Id="rId2240" Type="http://schemas.openxmlformats.org/officeDocument/2006/relationships/hyperlink" Target="https://sportrevue.cz/" TargetMode="External"/><Relationship Id="rId212" Type="http://schemas.openxmlformats.org/officeDocument/2006/relationships/hyperlink" Target="https://reklama.cncenter.cz/Online/mobilni-slide-up" TargetMode="External"/><Relationship Id="rId657" Type="http://schemas.openxmlformats.org/officeDocument/2006/relationships/hyperlink" Target="https://reklama.cncenter.cz/Online/branding-cross-device" TargetMode="External"/><Relationship Id="rId864" Type="http://schemas.openxmlformats.org/officeDocument/2006/relationships/hyperlink" Target="https://doupe.zive.cz/" TargetMode="External"/><Relationship Id="rId1494" Type="http://schemas.openxmlformats.org/officeDocument/2006/relationships/hyperlink" Target="https://lideazeme.cz/" TargetMode="External"/><Relationship Id="rId1799" Type="http://schemas.openxmlformats.org/officeDocument/2006/relationships/hyperlink" Target="https://mojezdravi.cz/" TargetMode="External"/><Relationship Id="rId2100" Type="http://schemas.openxmlformats.org/officeDocument/2006/relationships/hyperlink" Target="https://reklama.cncenter.cz/Online/nativni-rectangle-cross-device" TargetMode="External"/><Relationship Id="rId2338" Type="http://schemas.openxmlformats.org/officeDocument/2006/relationships/hyperlink" Target="https://zeny.cz/" TargetMode="External"/><Relationship Id="rId517" Type="http://schemas.openxmlformats.org/officeDocument/2006/relationships/hyperlink" Target="https://reklama.cncenter.cz/Online/nativni-rectangle-cross-device" TargetMode="External"/><Relationship Id="rId724" Type="http://schemas.openxmlformats.org/officeDocument/2006/relationships/hyperlink" Target="https://reklama.cncenter.cz/Online/Smarticle" TargetMode="External"/><Relationship Id="rId931" Type="http://schemas.openxmlformats.org/officeDocument/2006/relationships/hyperlink" Target="https://reklama.cncenter.cz/Online/branding" TargetMode="External"/><Relationship Id="rId1147" Type="http://schemas.openxmlformats.org/officeDocument/2006/relationships/hyperlink" Target="https://www.facebook.com/business/ads-guide/image/facebook-feed" TargetMode="External"/><Relationship Id="rId1354" Type="http://schemas.openxmlformats.org/officeDocument/2006/relationships/hyperlink" Target="https://reklama.cncenter.cz/Online/heureka-wallpaper" TargetMode="External"/><Relationship Id="rId1561" Type="http://schemas.openxmlformats.org/officeDocument/2006/relationships/hyperlink" Target="https://reklama.cncenter.cz/Online/billboard-bottom" TargetMode="External"/><Relationship Id="rId2405" Type="http://schemas.openxmlformats.org/officeDocument/2006/relationships/hyperlink" Target="https://zive.cz/" TargetMode="External"/><Relationship Id="rId60" Type="http://schemas.openxmlformats.org/officeDocument/2006/relationships/hyperlink" Target="https://reklama.cncenter.cz/Online/Outstream" TargetMode="External"/><Relationship Id="rId1007" Type="http://schemas.openxmlformats.org/officeDocument/2006/relationships/hyperlink" Target="https://reklama.cncenter.cz/Online/mobilni-interscroller" TargetMode="External"/><Relationship Id="rId1214" Type="http://schemas.openxmlformats.org/officeDocument/2006/relationships/hyperlink" Target="http://www.facebook.com/" TargetMode="External"/><Relationship Id="rId1421" Type="http://schemas.openxmlformats.org/officeDocument/2006/relationships/hyperlink" Target="http://www.instagram.com/" TargetMode="External"/><Relationship Id="rId1659" Type="http://schemas.openxmlformats.org/officeDocument/2006/relationships/hyperlink" Target="https://reklama.cncenter.cz/Online/mobilni-slide-up" TargetMode="External"/><Relationship Id="rId1866" Type="http://schemas.openxmlformats.org/officeDocument/2006/relationships/hyperlink" Target="https://motogpsport.cz/" TargetMode="External"/><Relationship Id="rId1519" Type="http://schemas.openxmlformats.org/officeDocument/2006/relationships/hyperlink" Target="https://reklama.cncenter.cz/Online/mobilni-vineta" TargetMode="External"/><Relationship Id="rId1726" Type="http://schemas.openxmlformats.org/officeDocument/2006/relationships/hyperlink" Target="https://mobilmania.cz/" TargetMode="External"/><Relationship Id="rId1933" Type="http://schemas.openxmlformats.org/officeDocument/2006/relationships/hyperlink" Target="https://nemovitosti.blesk.cz/" TargetMode="External"/><Relationship Id="rId18" Type="http://schemas.openxmlformats.org/officeDocument/2006/relationships/hyperlink" Target="https://abecedazahrady.dama.cz/" TargetMode="External"/><Relationship Id="rId2195" Type="http://schemas.openxmlformats.org/officeDocument/2006/relationships/hyperlink" Target="https://reflex.cz/" TargetMode="External"/><Relationship Id="rId167" Type="http://schemas.openxmlformats.org/officeDocument/2006/relationships/hyperlink" Target="https://ahaonline.cz/" TargetMode="External"/><Relationship Id="rId374" Type="http://schemas.openxmlformats.org/officeDocument/2006/relationships/hyperlink" Target="https://reklama.cncenter.cz/Online/double-skyscraper" TargetMode="External"/><Relationship Id="rId581" Type="http://schemas.openxmlformats.org/officeDocument/2006/relationships/hyperlink" Target="https://bleskprozeny.cz/" TargetMode="External"/><Relationship Id="rId2055" Type="http://schemas.openxmlformats.org/officeDocument/2006/relationships/hyperlink" Target="https://www.realitnitrh.cz/" TargetMode="External"/><Relationship Id="rId2262" Type="http://schemas.openxmlformats.org/officeDocument/2006/relationships/hyperlink" Target="https://reklama.cncenter.cz/Online/billboard-bottom" TargetMode="External"/><Relationship Id="rId234" Type="http://schemas.openxmlformats.org/officeDocument/2006/relationships/hyperlink" Target="https://ahaonline.cz/" TargetMode="External"/><Relationship Id="rId679" Type="http://schemas.openxmlformats.org/officeDocument/2006/relationships/hyperlink" Target="https://reklama.cncenter.cz/Online/Bumper" TargetMode="External"/><Relationship Id="rId886" Type="http://schemas.openxmlformats.org/officeDocument/2006/relationships/hyperlink" Target="https://doupe.zive.cz/" TargetMode="External"/><Relationship Id="rId2" Type="http://schemas.openxmlformats.org/officeDocument/2006/relationships/hyperlink" Target="https://abecedazahrady.dama.cz/" TargetMode="External"/><Relationship Id="rId441" Type="http://schemas.openxmlformats.org/officeDocument/2006/relationships/hyperlink" Target="https://reklama.cncenter.cz/Online/nativni-rectangle-cross-device" TargetMode="External"/><Relationship Id="rId539" Type="http://schemas.openxmlformats.org/officeDocument/2006/relationships/hyperlink" Target="https://blesk.cz/" TargetMode="External"/><Relationship Id="rId746" Type="http://schemas.openxmlformats.org/officeDocument/2006/relationships/hyperlink" Target="https://reklama.cncenter.cz/Online/nativni-rectangle-cross-device" TargetMode="External"/><Relationship Id="rId1071" Type="http://schemas.openxmlformats.org/officeDocument/2006/relationships/hyperlink" Target="https://evropa2.cz/" TargetMode="External"/><Relationship Id="rId1169" Type="http://schemas.openxmlformats.org/officeDocument/2006/relationships/hyperlink" Target="http://www.facebook.com/" TargetMode="External"/><Relationship Id="rId1376" Type="http://schemas.openxmlformats.org/officeDocument/2006/relationships/hyperlink" Target="https://hledejceny.cz/" TargetMode="External"/><Relationship Id="rId1583" Type="http://schemas.openxmlformats.org/officeDocument/2006/relationships/hyperlink" Target="https://maminka.cz/" TargetMode="External"/><Relationship Id="rId2122" Type="http://schemas.openxmlformats.org/officeDocument/2006/relationships/hyperlink" Target="https://recepty.cz/" TargetMode="External"/><Relationship Id="rId2427" Type="http://schemas.openxmlformats.org/officeDocument/2006/relationships/hyperlink" Target="https://reklama.cncenter.cz/Online/mobilni-interscroller" TargetMode="External"/><Relationship Id="rId301" Type="http://schemas.openxmlformats.org/officeDocument/2006/relationships/hyperlink" Target="https://auto.cz/" TargetMode="External"/><Relationship Id="rId953" Type="http://schemas.openxmlformats.org/officeDocument/2006/relationships/hyperlink" Target="https://dama.cz/" TargetMode="External"/><Relationship Id="rId1029" Type="http://schemas.openxmlformats.org/officeDocument/2006/relationships/hyperlink" Target="https://evropa2.cz/" TargetMode="External"/><Relationship Id="rId1236" Type="http://schemas.openxmlformats.org/officeDocument/2006/relationships/hyperlink" Target="https://fitweb.cz/" TargetMode="External"/><Relationship Id="rId1790" Type="http://schemas.openxmlformats.org/officeDocument/2006/relationships/hyperlink" Target="https://mojezdravi.cz/" TargetMode="External"/><Relationship Id="rId1888" Type="http://schemas.openxmlformats.org/officeDocument/2006/relationships/hyperlink" Target="https://motogpsport.cz/" TargetMode="External"/><Relationship Id="rId82" Type="http://schemas.openxmlformats.org/officeDocument/2006/relationships/hyperlink" Target="https://abicko.cz/" TargetMode="External"/><Relationship Id="rId606" Type="http://schemas.openxmlformats.org/officeDocument/2006/relationships/hyperlink" Target="https://bleskprozeny.cz/" TargetMode="External"/><Relationship Id="rId813" Type="http://schemas.openxmlformats.org/officeDocument/2006/relationships/hyperlink" Target="https://digiarena.zive.cz/" TargetMode="External"/><Relationship Id="rId1443" Type="http://schemas.openxmlformats.org/officeDocument/2006/relationships/hyperlink" Target="http://www.instagram.com/" TargetMode="External"/><Relationship Id="rId1650" Type="http://schemas.openxmlformats.org/officeDocument/2006/relationships/hyperlink" Target="https://reklama.cncenter.cz/Online/double-skyscraper" TargetMode="External"/><Relationship Id="rId1748" Type="http://schemas.openxmlformats.org/officeDocument/2006/relationships/hyperlink" Target="https://mojezdravi.cz/" TargetMode="External"/><Relationship Id="rId1303" Type="http://schemas.openxmlformats.org/officeDocument/2006/relationships/hyperlink" Target="https://heyfomo.cz/" TargetMode="External"/><Relationship Id="rId1510" Type="http://schemas.openxmlformats.org/officeDocument/2006/relationships/hyperlink" Target="https://reklama.cncenter.cz/Online/double-skyscraper" TargetMode="External"/><Relationship Id="rId1955" Type="http://schemas.openxmlformats.org/officeDocument/2006/relationships/hyperlink" Target="https://nemovitosti.blesk.cz/" TargetMode="External"/><Relationship Id="rId1608" Type="http://schemas.openxmlformats.org/officeDocument/2006/relationships/hyperlink" Target="https://reklama.cncenter.cz/Online/double-skyscraper" TargetMode="External"/><Relationship Id="rId1815" Type="http://schemas.openxmlformats.org/officeDocument/2006/relationships/hyperlink" Target="https://mojezdravi.cz/" TargetMode="External"/><Relationship Id="rId189" Type="http://schemas.openxmlformats.org/officeDocument/2006/relationships/hyperlink" Target="https://reklama.cncenter.cz/Online/mobilni-vineta" TargetMode="External"/><Relationship Id="rId396" Type="http://schemas.openxmlformats.org/officeDocument/2006/relationships/hyperlink" Target="https://autorevue.cz/" TargetMode="External"/><Relationship Id="rId2077" Type="http://schemas.openxmlformats.org/officeDocument/2006/relationships/hyperlink" Target="https://recepty.cz/" TargetMode="External"/><Relationship Id="rId2284" Type="http://schemas.openxmlformats.org/officeDocument/2006/relationships/hyperlink" Target="https://vtm.zive.cz/" TargetMode="External"/><Relationship Id="rId256" Type="http://schemas.openxmlformats.org/officeDocument/2006/relationships/hyperlink" Target="https://auto.cz/" TargetMode="External"/><Relationship Id="rId463" Type="http://schemas.openxmlformats.org/officeDocument/2006/relationships/hyperlink" Target="https://reklama.cncenter.cz/Online/nativni-rectangle-cross-device" TargetMode="External"/><Relationship Id="rId670" Type="http://schemas.openxmlformats.org/officeDocument/2006/relationships/hyperlink" Target="https://reklama.cncenter.cz/Online/Bumper" TargetMode="External"/><Relationship Id="rId1093" Type="http://schemas.openxmlformats.org/officeDocument/2006/relationships/hyperlink" Target="https://f1sport.auto.cz/" TargetMode="External"/><Relationship Id="rId2144" Type="http://schemas.openxmlformats.org/officeDocument/2006/relationships/hyperlink" Target="https://recepty.cz/" TargetMode="External"/><Relationship Id="rId2351" Type="http://schemas.openxmlformats.org/officeDocument/2006/relationships/hyperlink" Target="https://zeny.cz/" TargetMode="External"/><Relationship Id="rId116" Type="http://schemas.openxmlformats.org/officeDocument/2006/relationships/hyperlink" Target="https://abicko.cz/" TargetMode="External"/><Relationship Id="rId323" Type="http://schemas.openxmlformats.org/officeDocument/2006/relationships/hyperlink" Target="https://auto.cz/" TargetMode="External"/><Relationship Id="rId530" Type="http://schemas.openxmlformats.org/officeDocument/2006/relationships/hyperlink" Target="https://blesk.cz/" TargetMode="External"/><Relationship Id="rId768" Type="http://schemas.openxmlformats.org/officeDocument/2006/relationships/hyperlink" Target="https://reklama.cncenter.cz/Online/mobilni-slide-up" TargetMode="External"/><Relationship Id="rId975" Type="http://schemas.openxmlformats.org/officeDocument/2006/relationships/hyperlink" Target="https://reklama.cncenter.cz/Online/mobilni-vineta" TargetMode="External"/><Relationship Id="rId1160" Type="http://schemas.openxmlformats.org/officeDocument/2006/relationships/hyperlink" Target="http://www.facebook.com/" TargetMode="External"/><Relationship Id="rId1398" Type="http://schemas.openxmlformats.org/officeDocument/2006/relationships/hyperlink" Target="http://www.instagram.com/" TargetMode="External"/><Relationship Id="rId2004" Type="http://schemas.openxmlformats.org/officeDocument/2006/relationships/hyperlink" Target="https://reklama.cncenter.cz/Online/branding-cross-device" TargetMode="External"/><Relationship Id="rId2211" Type="http://schemas.openxmlformats.org/officeDocument/2006/relationships/hyperlink" Target="https://reflex.cz/" TargetMode="External"/><Relationship Id="rId2449" Type="http://schemas.openxmlformats.org/officeDocument/2006/relationships/hyperlink" Target="https://zive.cz/" TargetMode="External"/><Relationship Id="rId628" Type="http://schemas.openxmlformats.org/officeDocument/2006/relationships/hyperlink" Target="https://bleskprozeny.cz/" TargetMode="External"/><Relationship Id="rId835" Type="http://schemas.openxmlformats.org/officeDocument/2006/relationships/hyperlink" Target="https://digiarena.zive.cz/" TargetMode="External"/><Relationship Id="rId1258" Type="http://schemas.openxmlformats.org/officeDocument/2006/relationships/hyperlink" Target="https://reklama.cncenter.cz/Online/mobilni-interscroller" TargetMode="External"/><Relationship Id="rId1465" Type="http://schemas.openxmlformats.org/officeDocument/2006/relationships/hyperlink" Target="https://reklama.cncenter.cz/Online/billboard-bottom" TargetMode="External"/><Relationship Id="rId1672" Type="http://schemas.openxmlformats.org/officeDocument/2006/relationships/hyperlink" Target="https://reklama.cncenter.cz/Online/branding-cross-device" TargetMode="External"/><Relationship Id="rId2309" Type="http://schemas.openxmlformats.org/officeDocument/2006/relationships/hyperlink" Target="https://youradio.cz/" TargetMode="External"/><Relationship Id="rId1020" Type="http://schemas.openxmlformats.org/officeDocument/2006/relationships/hyperlink" Target="https://reklama.cncenter.cz/?ads=PR%2520%25C4%258Dl%25C3%25A1nky" TargetMode="External"/><Relationship Id="rId1118" Type="http://schemas.openxmlformats.org/officeDocument/2006/relationships/hyperlink" Target="https://reklama.cncenter.cz/Online/double-skyscraper" TargetMode="External"/><Relationship Id="rId1325" Type="http://schemas.openxmlformats.org/officeDocument/2006/relationships/hyperlink" Target="https://frekvence1.cz/" TargetMode="External"/><Relationship Id="rId1532" Type="http://schemas.openxmlformats.org/officeDocument/2006/relationships/hyperlink" Target="https://lideazeme.cz/" TargetMode="External"/><Relationship Id="rId1977" Type="http://schemas.openxmlformats.org/officeDocument/2006/relationships/hyperlink" Target="https://nemovitosti.blesk.cz/" TargetMode="External"/><Relationship Id="rId902" Type="http://schemas.openxmlformats.org/officeDocument/2006/relationships/hyperlink" Target="https://reklama.cncenter.cz/Online/Outstream" TargetMode="External"/><Relationship Id="rId1837" Type="http://schemas.openxmlformats.org/officeDocument/2006/relationships/hyperlink" Target="https://reklama.cncenter.cz/Online/branding" TargetMode="External"/><Relationship Id="rId31" Type="http://schemas.openxmlformats.org/officeDocument/2006/relationships/hyperlink" Target="https://abecedazahrady.dama.cz/" TargetMode="External"/><Relationship Id="rId2099" Type="http://schemas.openxmlformats.org/officeDocument/2006/relationships/hyperlink" Target="https://recepty.cz/" TargetMode="External"/><Relationship Id="rId180" Type="http://schemas.openxmlformats.org/officeDocument/2006/relationships/hyperlink" Target="https://reklama.cncenter.cz/Online/double-skyscraper" TargetMode="External"/><Relationship Id="rId278" Type="http://schemas.openxmlformats.org/officeDocument/2006/relationships/hyperlink" Target="https://auto.cz/" TargetMode="External"/><Relationship Id="rId1904" Type="http://schemas.openxmlformats.org/officeDocument/2006/relationships/hyperlink" Target="https://nemovitosti.blesk.cz/" TargetMode="External"/><Relationship Id="rId485" Type="http://schemas.openxmlformats.org/officeDocument/2006/relationships/hyperlink" Target="https://blesk.cz/" TargetMode="External"/><Relationship Id="rId692" Type="http://schemas.openxmlformats.org/officeDocument/2006/relationships/hyperlink" Target="https://reklama.cncenter.cz/Online/Smarticle" TargetMode="External"/><Relationship Id="rId2166" Type="http://schemas.openxmlformats.org/officeDocument/2006/relationships/hyperlink" Target="https://reklama.cncenter.cz/Online/branding" TargetMode="External"/><Relationship Id="rId2373" Type="http://schemas.openxmlformats.org/officeDocument/2006/relationships/hyperlink" Target="https://zeny.cz/" TargetMode="External"/><Relationship Id="rId138" Type="http://schemas.openxmlformats.org/officeDocument/2006/relationships/hyperlink" Target="https://reklama.cncenter.cz/Online/Outstream" TargetMode="External"/><Relationship Id="rId345" Type="http://schemas.openxmlformats.org/officeDocument/2006/relationships/hyperlink" Target="https://reklama.cncenter.cz/Online/branding" TargetMode="External"/><Relationship Id="rId552" Type="http://schemas.openxmlformats.org/officeDocument/2006/relationships/hyperlink" Target="https://reklama.cncenter.cz/Online/branding-cross-device" TargetMode="External"/><Relationship Id="rId997" Type="http://schemas.openxmlformats.org/officeDocument/2006/relationships/hyperlink" Target="https://dama.cz/" TargetMode="External"/><Relationship Id="rId1182" Type="http://schemas.openxmlformats.org/officeDocument/2006/relationships/hyperlink" Target="http://www.facebook.com/" TargetMode="External"/><Relationship Id="rId2026" Type="http://schemas.openxmlformats.org/officeDocument/2006/relationships/hyperlink" Target="https://www.realitnitrh.cz/" TargetMode="External"/><Relationship Id="rId2233" Type="http://schemas.openxmlformats.org/officeDocument/2006/relationships/hyperlink" Target="https://reklama.cncenter.cz/Online/Bumper" TargetMode="External"/><Relationship Id="rId2440" Type="http://schemas.openxmlformats.org/officeDocument/2006/relationships/hyperlink" Target="https://zive.cz/" TargetMode="External"/><Relationship Id="rId205" Type="http://schemas.openxmlformats.org/officeDocument/2006/relationships/hyperlink" Target="https://ahaonline.cz/" TargetMode="External"/><Relationship Id="rId412" Type="http://schemas.openxmlformats.org/officeDocument/2006/relationships/hyperlink" Target="https://avmania.zive.cz/" TargetMode="External"/><Relationship Id="rId857" Type="http://schemas.openxmlformats.org/officeDocument/2006/relationships/hyperlink" Target="https://doupe.zive.cz/" TargetMode="External"/><Relationship Id="rId1042" Type="http://schemas.openxmlformats.org/officeDocument/2006/relationships/hyperlink" Target="https://reklama.cncenter.cz/Online/mobilni-interscroller" TargetMode="External"/><Relationship Id="rId1487" Type="http://schemas.openxmlformats.org/officeDocument/2006/relationships/hyperlink" Target="https://reklama.cncenter.cz/Online/Bumper" TargetMode="External"/><Relationship Id="rId1694" Type="http://schemas.openxmlformats.org/officeDocument/2006/relationships/hyperlink" Target="https://mobilmania.cz/" TargetMode="External"/><Relationship Id="rId2300" Type="http://schemas.openxmlformats.org/officeDocument/2006/relationships/hyperlink" Target="https://vtm.zive.cz/" TargetMode="External"/><Relationship Id="rId717" Type="http://schemas.openxmlformats.org/officeDocument/2006/relationships/hyperlink" Target="https://reklama.cncenter.cz/Online/double-skyscraper" TargetMode="External"/><Relationship Id="rId924" Type="http://schemas.openxmlformats.org/officeDocument/2006/relationships/hyperlink" Target="https://dama.cz/" TargetMode="External"/><Relationship Id="rId1347" Type="http://schemas.openxmlformats.org/officeDocument/2006/relationships/hyperlink" Target="https://frekvence1.cz/" TargetMode="External"/><Relationship Id="rId1554" Type="http://schemas.openxmlformats.org/officeDocument/2006/relationships/hyperlink" Target="https://lideazeme.cz/" TargetMode="External"/><Relationship Id="rId1761" Type="http://schemas.openxmlformats.org/officeDocument/2006/relationships/hyperlink" Target="https://mojezdravi.cz/" TargetMode="External"/><Relationship Id="rId1999" Type="http://schemas.openxmlformats.org/officeDocument/2006/relationships/hyperlink" Target="https://www.realitnitrh.cz/" TargetMode="External"/><Relationship Id="rId53" Type="http://schemas.openxmlformats.org/officeDocument/2006/relationships/hyperlink" Target="https://abecedazahrady.dama.cz/" TargetMode="External"/><Relationship Id="rId1207" Type="http://schemas.openxmlformats.org/officeDocument/2006/relationships/hyperlink" Target="https://www.facebook.com/business/ads-guide/image/facebook-feed" TargetMode="External"/><Relationship Id="rId1414" Type="http://schemas.openxmlformats.org/officeDocument/2006/relationships/hyperlink" Target="http://www.instagram.com/" TargetMode="External"/><Relationship Id="rId1621" Type="http://schemas.openxmlformats.org/officeDocument/2006/relationships/hyperlink" Target="https://maminka.cz/" TargetMode="External"/><Relationship Id="rId1859" Type="http://schemas.openxmlformats.org/officeDocument/2006/relationships/hyperlink" Target="https://motogpsport.cz/" TargetMode="External"/><Relationship Id="rId1719" Type="http://schemas.openxmlformats.org/officeDocument/2006/relationships/hyperlink" Target="https://reklama.cncenter.cz/Online/mobilni-slide-up" TargetMode="External"/><Relationship Id="rId1926" Type="http://schemas.openxmlformats.org/officeDocument/2006/relationships/hyperlink" Target="https://reklama.cncenter.cz/Online/double-skyscraper" TargetMode="External"/><Relationship Id="rId2090" Type="http://schemas.openxmlformats.org/officeDocument/2006/relationships/hyperlink" Target="https://recepty.cz/" TargetMode="External"/><Relationship Id="rId2188" Type="http://schemas.openxmlformats.org/officeDocument/2006/relationships/hyperlink" Target="https://reflex.cz/" TargetMode="External"/><Relationship Id="rId2395" Type="http://schemas.openxmlformats.org/officeDocument/2006/relationships/hyperlink" Target="https://zeny.cz/" TargetMode="External"/><Relationship Id="rId367" Type="http://schemas.openxmlformats.org/officeDocument/2006/relationships/hyperlink" Target="https://autorevue.cz/" TargetMode="External"/><Relationship Id="rId574" Type="http://schemas.openxmlformats.org/officeDocument/2006/relationships/hyperlink" Target="https://bleskprozeny.cz/" TargetMode="External"/><Relationship Id="rId2048" Type="http://schemas.openxmlformats.org/officeDocument/2006/relationships/hyperlink" Target="https://www.realitnitrh.cz/" TargetMode="External"/><Relationship Id="rId2255" Type="http://schemas.openxmlformats.org/officeDocument/2006/relationships/hyperlink" Target="https://vtm.zive.cz/" TargetMode="External"/><Relationship Id="rId227" Type="http://schemas.openxmlformats.org/officeDocument/2006/relationships/hyperlink" Target="https://ahaonline.cz/" TargetMode="External"/><Relationship Id="rId781" Type="http://schemas.openxmlformats.org/officeDocument/2006/relationships/hyperlink" Target="https://reklama.cncenter.cz/Online/branding-cross-device" TargetMode="External"/><Relationship Id="rId879" Type="http://schemas.openxmlformats.org/officeDocument/2006/relationships/hyperlink" Target="https://doupe.zive.cz/" TargetMode="External"/><Relationship Id="rId2462" Type="http://schemas.openxmlformats.org/officeDocument/2006/relationships/hyperlink" Target="https://zive.cz/" TargetMode="External"/><Relationship Id="rId434" Type="http://schemas.openxmlformats.org/officeDocument/2006/relationships/hyperlink" Target="https://avmania.zive.cz/" TargetMode="External"/><Relationship Id="rId641" Type="http://schemas.openxmlformats.org/officeDocument/2006/relationships/hyperlink" Target="https://reklama.cncenter.cz/Online/mobilni-slide-up" TargetMode="External"/><Relationship Id="rId739" Type="http://schemas.openxmlformats.org/officeDocument/2006/relationships/hyperlink" Target="https://reklama.cncenter.cz/Online/Smarticle" TargetMode="External"/><Relationship Id="rId1064" Type="http://schemas.openxmlformats.org/officeDocument/2006/relationships/hyperlink" Target="https://evropa2.cz/" TargetMode="External"/><Relationship Id="rId1271" Type="http://schemas.openxmlformats.org/officeDocument/2006/relationships/hyperlink" Target="https://fitweb.cz/" TargetMode="External"/><Relationship Id="rId1369" Type="http://schemas.openxmlformats.org/officeDocument/2006/relationships/hyperlink" Target="https://reklama.cncenter.cz/Online/branding-cross-device" TargetMode="External"/><Relationship Id="rId1576" Type="http://schemas.openxmlformats.org/officeDocument/2006/relationships/hyperlink" Target="https://reklama.cncenter.cz/Online/branding" TargetMode="External"/><Relationship Id="rId2115" Type="http://schemas.openxmlformats.org/officeDocument/2006/relationships/hyperlink" Target="https://recepty.cz/" TargetMode="External"/><Relationship Id="rId2322" Type="http://schemas.openxmlformats.org/officeDocument/2006/relationships/hyperlink" Target="https://reklama.cncenter.cz/Online/branding-cross-device" TargetMode="External"/><Relationship Id="rId501" Type="http://schemas.openxmlformats.org/officeDocument/2006/relationships/hyperlink" Target="https://reklama.cncenter.cz/Online/branding-cross-device" TargetMode="External"/><Relationship Id="rId946" Type="http://schemas.openxmlformats.org/officeDocument/2006/relationships/hyperlink" Target="https://reklama.cncenter.cz/Online/mobilni-vineta" TargetMode="External"/><Relationship Id="rId1131" Type="http://schemas.openxmlformats.org/officeDocument/2006/relationships/hyperlink" Target="https://f1sport.auto.cz/" TargetMode="External"/><Relationship Id="rId1229" Type="http://schemas.openxmlformats.org/officeDocument/2006/relationships/hyperlink" Target="https://finexpert.cz/" TargetMode="External"/><Relationship Id="rId1783" Type="http://schemas.openxmlformats.org/officeDocument/2006/relationships/hyperlink" Target="https://reklama.cncenter.cz/Online/nativni-rectangle-cross-device" TargetMode="External"/><Relationship Id="rId1990" Type="http://schemas.openxmlformats.org/officeDocument/2006/relationships/hyperlink" Target="https://reklama.cncenter.cz/Online/branding-cross-device" TargetMode="External"/><Relationship Id="rId75" Type="http://schemas.openxmlformats.org/officeDocument/2006/relationships/hyperlink" Target="https://abicko.cz/" TargetMode="External"/><Relationship Id="rId806" Type="http://schemas.openxmlformats.org/officeDocument/2006/relationships/hyperlink" Target="https://digiarena.zive.cz/" TargetMode="External"/><Relationship Id="rId1436" Type="http://schemas.openxmlformats.org/officeDocument/2006/relationships/hyperlink" Target="http://www.instagram.com/" TargetMode="External"/><Relationship Id="rId1643" Type="http://schemas.openxmlformats.org/officeDocument/2006/relationships/hyperlink" Target="https://reklama.cncenter.cz/Online/Bumper" TargetMode="External"/><Relationship Id="rId1850" Type="http://schemas.openxmlformats.org/officeDocument/2006/relationships/hyperlink" Target="https://motogpsport.cz/" TargetMode="External"/><Relationship Id="rId1503" Type="http://schemas.openxmlformats.org/officeDocument/2006/relationships/hyperlink" Target="https://lideazeme.cz/" TargetMode="External"/><Relationship Id="rId1710" Type="http://schemas.openxmlformats.org/officeDocument/2006/relationships/hyperlink" Target="https://mobilmania.cz/" TargetMode="External"/><Relationship Id="rId1948" Type="http://schemas.openxmlformats.org/officeDocument/2006/relationships/hyperlink" Target="https://nemovitosti.blesk.cz/" TargetMode="External"/><Relationship Id="rId291" Type="http://schemas.openxmlformats.org/officeDocument/2006/relationships/hyperlink" Target="https://auto.cz/" TargetMode="External"/><Relationship Id="rId1808" Type="http://schemas.openxmlformats.org/officeDocument/2006/relationships/hyperlink" Target="https://mojezdravi.cz/" TargetMode="External"/><Relationship Id="rId151" Type="http://schemas.openxmlformats.org/officeDocument/2006/relationships/hyperlink" Target="https://www.activegroup.cz/reklama" TargetMode="External"/><Relationship Id="rId389" Type="http://schemas.openxmlformats.org/officeDocument/2006/relationships/hyperlink" Target="https://autorevue.cz/" TargetMode="External"/><Relationship Id="rId596" Type="http://schemas.openxmlformats.org/officeDocument/2006/relationships/hyperlink" Target="https://reklama.cncenter.cz/Online/double-skyscraper" TargetMode="External"/><Relationship Id="rId2277" Type="http://schemas.openxmlformats.org/officeDocument/2006/relationships/hyperlink" Target="https://reklama.cncenter.cz/Online/mobilni-slide-up" TargetMode="External"/><Relationship Id="rId249" Type="http://schemas.openxmlformats.org/officeDocument/2006/relationships/hyperlink" Target="https://reklama.cncenter.cz/Online/branding" TargetMode="External"/><Relationship Id="rId456" Type="http://schemas.openxmlformats.org/officeDocument/2006/relationships/hyperlink" Target="https://avmania.zive.cz/" TargetMode="External"/><Relationship Id="rId663" Type="http://schemas.openxmlformats.org/officeDocument/2006/relationships/hyperlink" Target="https://reklama.cncenter.cz/Online/Videospot" TargetMode="External"/><Relationship Id="rId870" Type="http://schemas.openxmlformats.org/officeDocument/2006/relationships/hyperlink" Target="https://doupe.zive.cz/" TargetMode="External"/><Relationship Id="rId1086" Type="http://schemas.openxmlformats.org/officeDocument/2006/relationships/hyperlink" Target="https://reklama.cncenter.cz/Online/branding" TargetMode="External"/><Relationship Id="rId1293" Type="http://schemas.openxmlformats.org/officeDocument/2006/relationships/hyperlink" Target="https://heyfomo.cz/" TargetMode="External"/><Relationship Id="rId2137" Type="http://schemas.openxmlformats.org/officeDocument/2006/relationships/hyperlink" Target="https://reklama.cncenter.cz/?ads=PR%2520%25C4%258Dl%25C3%25A1nky" TargetMode="External"/><Relationship Id="rId2344" Type="http://schemas.openxmlformats.org/officeDocument/2006/relationships/hyperlink" Target="https://zeny.cz/" TargetMode="External"/><Relationship Id="rId109" Type="http://schemas.openxmlformats.org/officeDocument/2006/relationships/hyperlink" Target="https://abicko.cz/" TargetMode="External"/><Relationship Id="rId316" Type="http://schemas.openxmlformats.org/officeDocument/2006/relationships/hyperlink" Target="https://reklama.cncenter.cz/?ads=PR%2520%25C4%258Dl%25C3%25A1nky" TargetMode="External"/><Relationship Id="rId523" Type="http://schemas.openxmlformats.org/officeDocument/2006/relationships/hyperlink" Target="https://reklama.cncenter.cz/Online/branding-cross-device" TargetMode="External"/><Relationship Id="rId968" Type="http://schemas.openxmlformats.org/officeDocument/2006/relationships/hyperlink" Target="https://dama.cz/" TargetMode="External"/><Relationship Id="rId1153" Type="http://schemas.openxmlformats.org/officeDocument/2006/relationships/hyperlink" Target="https://www.facebook.com/business/ads-guide/image/facebook-feed" TargetMode="External"/><Relationship Id="rId1598" Type="http://schemas.openxmlformats.org/officeDocument/2006/relationships/hyperlink" Target="https://maminka.cz/" TargetMode="External"/><Relationship Id="rId2204" Type="http://schemas.openxmlformats.org/officeDocument/2006/relationships/hyperlink" Target="https://reklama.cncenter.cz/Online/mobilni-interscroller" TargetMode="External"/><Relationship Id="rId97" Type="http://schemas.openxmlformats.org/officeDocument/2006/relationships/hyperlink" Target="https://abicko.cz/" TargetMode="External"/><Relationship Id="rId730" Type="http://schemas.openxmlformats.org/officeDocument/2006/relationships/hyperlink" Target="https://reklama.cncenter.cz/Online/branding-cross-device" TargetMode="External"/><Relationship Id="rId828" Type="http://schemas.openxmlformats.org/officeDocument/2006/relationships/hyperlink" Target="https://digiarena.zive.cz/" TargetMode="External"/><Relationship Id="rId1013" Type="http://schemas.openxmlformats.org/officeDocument/2006/relationships/hyperlink" Target="https://reklama.cncenter.cz/Online/double-skyscraper" TargetMode="External"/><Relationship Id="rId1360" Type="http://schemas.openxmlformats.org/officeDocument/2006/relationships/hyperlink" Target="https://reklama.cncenter.cz/Online/branding-cross-device" TargetMode="External"/><Relationship Id="rId1458" Type="http://schemas.openxmlformats.org/officeDocument/2006/relationships/hyperlink" Target="http://www.instagram.com/" TargetMode="External"/><Relationship Id="rId1665" Type="http://schemas.openxmlformats.org/officeDocument/2006/relationships/hyperlink" Target="https://mobilmania.cz/" TargetMode="External"/><Relationship Id="rId1872" Type="http://schemas.openxmlformats.org/officeDocument/2006/relationships/hyperlink" Target="https://reklama.cncenter.cz/Online/mobilni-interscroller" TargetMode="External"/><Relationship Id="rId2411" Type="http://schemas.openxmlformats.org/officeDocument/2006/relationships/hyperlink" Target="https://zive.cz/" TargetMode="External"/><Relationship Id="rId1220" Type="http://schemas.openxmlformats.org/officeDocument/2006/relationships/hyperlink" Target="https://finexpert.cz/" TargetMode="External"/><Relationship Id="rId1318" Type="http://schemas.openxmlformats.org/officeDocument/2006/relationships/hyperlink" Target="https://reklama.cncenter.cz/Online/double-skyscraper" TargetMode="External"/><Relationship Id="rId1525" Type="http://schemas.openxmlformats.org/officeDocument/2006/relationships/hyperlink" Target="https://reklama.cncenter.cz/Online/Outstream" TargetMode="External"/><Relationship Id="rId1732" Type="http://schemas.openxmlformats.org/officeDocument/2006/relationships/hyperlink" Target="https://mobilmania.cz/" TargetMode="External"/><Relationship Id="rId24" Type="http://schemas.openxmlformats.org/officeDocument/2006/relationships/hyperlink" Target="https://abecedazahrady.dama.cz/" TargetMode="External"/><Relationship Id="rId2299" Type="http://schemas.openxmlformats.org/officeDocument/2006/relationships/hyperlink" Target="https://vtm.zive.cz/" TargetMode="External"/><Relationship Id="rId173" Type="http://schemas.openxmlformats.org/officeDocument/2006/relationships/hyperlink" Target="https://ahaonline.cz/" TargetMode="External"/><Relationship Id="rId380" Type="http://schemas.openxmlformats.org/officeDocument/2006/relationships/hyperlink" Target="https://reklama.cncenter.cz/Online/mobilni-slide-up" TargetMode="External"/><Relationship Id="rId2061" Type="http://schemas.openxmlformats.org/officeDocument/2006/relationships/hyperlink" Target="https://recepty.cz/" TargetMode="External"/><Relationship Id="rId240" Type="http://schemas.openxmlformats.org/officeDocument/2006/relationships/hyperlink" Target="https://auto.cz/" TargetMode="External"/><Relationship Id="rId478" Type="http://schemas.openxmlformats.org/officeDocument/2006/relationships/hyperlink" Target="https://blesk.cz/" TargetMode="External"/><Relationship Id="rId685" Type="http://schemas.openxmlformats.org/officeDocument/2006/relationships/hyperlink" Target="https://reklama.cncenter.cz/Online/branding" TargetMode="External"/><Relationship Id="rId892" Type="http://schemas.openxmlformats.org/officeDocument/2006/relationships/hyperlink" Target="https://doupe.zive.cz/" TargetMode="External"/><Relationship Id="rId2159" Type="http://schemas.openxmlformats.org/officeDocument/2006/relationships/hyperlink" Target="https://reflex.cz/" TargetMode="External"/><Relationship Id="rId2366" Type="http://schemas.openxmlformats.org/officeDocument/2006/relationships/hyperlink" Target="https://reklama.cncenter.cz/Online/double-skyscraper" TargetMode="External"/><Relationship Id="rId100" Type="http://schemas.openxmlformats.org/officeDocument/2006/relationships/hyperlink" Target="https://abicko.cz/" TargetMode="External"/><Relationship Id="rId338" Type="http://schemas.openxmlformats.org/officeDocument/2006/relationships/hyperlink" Target="https://autorevue.cz/" TargetMode="External"/><Relationship Id="rId545" Type="http://schemas.openxmlformats.org/officeDocument/2006/relationships/hyperlink" Target="https://bleskprozeny.cz/" TargetMode="External"/><Relationship Id="rId752" Type="http://schemas.openxmlformats.org/officeDocument/2006/relationships/hyperlink" Target="https://reklama.cncenter.cz/Online/branding" TargetMode="External"/><Relationship Id="rId1175" Type="http://schemas.openxmlformats.org/officeDocument/2006/relationships/hyperlink" Target="http://www.facebook.com/" TargetMode="External"/><Relationship Id="rId1382" Type="http://schemas.openxmlformats.org/officeDocument/2006/relationships/hyperlink" Target="http://www.instagram.com/" TargetMode="External"/><Relationship Id="rId2019" Type="http://schemas.openxmlformats.org/officeDocument/2006/relationships/hyperlink" Target="https://reklama.cncenter.cz/Online/double-skyscraper" TargetMode="External"/><Relationship Id="rId2226" Type="http://schemas.openxmlformats.org/officeDocument/2006/relationships/hyperlink" Target="https://reflex.cz/" TargetMode="External"/><Relationship Id="rId2433" Type="http://schemas.openxmlformats.org/officeDocument/2006/relationships/hyperlink" Target="https://reklama.cncenter.cz/Online/mobilni-vineta" TargetMode="External"/><Relationship Id="rId405" Type="http://schemas.openxmlformats.org/officeDocument/2006/relationships/hyperlink" Target="https://autorevue.cz/" TargetMode="External"/><Relationship Id="rId612" Type="http://schemas.openxmlformats.org/officeDocument/2006/relationships/hyperlink" Target="https://bleskprozeny.cz/" TargetMode="External"/><Relationship Id="rId1035" Type="http://schemas.openxmlformats.org/officeDocument/2006/relationships/hyperlink" Target="https://evropa2.cz/" TargetMode="External"/><Relationship Id="rId1242" Type="http://schemas.openxmlformats.org/officeDocument/2006/relationships/hyperlink" Target="https://fitweb.cz/" TargetMode="External"/><Relationship Id="rId1687" Type="http://schemas.openxmlformats.org/officeDocument/2006/relationships/hyperlink" Target="https://reklama.cncenter.cz/Online/double-skyscraper" TargetMode="External"/><Relationship Id="rId1894" Type="http://schemas.openxmlformats.org/officeDocument/2006/relationships/hyperlink" Target="https://motogpsport.cz/" TargetMode="External"/><Relationship Id="rId917" Type="http://schemas.openxmlformats.org/officeDocument/2006/relationships/hyperlink" Target="https://dama.cz/" TargetMode="External"/><Relationship Id="rId1102" Type="http://schemas.openxmlformats.org/officeDocument/2006/relationships/hyperlink" Target="https://f1sport.auto.cz/" TargetMode="External"/><Relationship Id="rId1547" Type="http://schemas.openxmlformats.org/officeDocument/2006/relationships/hyperlink" Target="https://reklama.cncenter.cz/Online/Outstream" TargetMode="External"/><Relationship Id="rId1754" Type="http://schemas.openxmlformats.org/officeDocument/2006/relationships/hyperlink" Target="https://mojezdravi.cz/" TargetMode="External"/><Relationship Id="rId1961" Type="http://schemas.openxmlformats.org/officeDocument/2006/relationships/hyperlink" Target="https://nemovitosti.blesk.cz/" TargetMode="External"/><Relationship Id="rId46" Type="http://schemas.openxmlformats.org/officeDocument/2006/relationships/hyperlink" Target="https://reklama.cncenter.cz/Online/mobilni-interscroller" TargetMode="External"/><Relationship Id="rId1407" Type="http://schemas.openxmlformats.org/officeDocument/2006/relationships/hyperlink" Target="http://www.instagram.com/" TargetMode="External"/><Relationship Id="rId1614" Type="http://schemas.openxmlformats.org/officeDocument/2006/relationships/hyperlink" Target="https://reklama.cncenter.cz/Online/mobilni-interscroller" TargetMode="External"/><Relationship Id="rId1821" Type="http://schemas.openxmlformats.org/officeDocument/2006/relationships/hyperlink" Target="https://mojezdravi.cz/" TargetMode="External"/><Relationship Id="rId195" Type="http://schemas.openxmlformats.org/officeDocument/2006/relationships/hyperlink" Target="https://reklama.cncenter.cz/Online/nativni-rectangle-cross-device" TargetMode="External"/><Relationship Id="rId1919" Type="http://schemas.openxmlformats.org/officeDocument/2006/relationships/hyperlink" Target="http://nemovitosti.blesk.cz/" TargetMode="External"/><Relationship Id="rId2083" Type="http://schemas.openxmlformats.org/officeDocument/2006/relationships/hyperlink" Target="https://recepty.cz/" TargetMode="External"/><Relationship Id="rId2290" Type="http://schemas.openxmlformats.org/officeDocument/2006/relationships/hyperlink" Target="https://vtm.zive.cz/" TargetMode="External"/><Relationship Id="rId2388" Type="http://schemas.openxmlformats.org/officeDocument/2006/relationships/hyperlink" Target="https://zeny.cz/" TargetMode="External"/><Relationship Id="rId262" Type="http://schemas.openxmlformats.org/officeDocument/2006/relationships/hyperlink" Target="https://auto.cz/" TargetMode="External"/><Relationship Id="rId567" Type="http://schemas.openxmlformats.org/officeDocument/2006/relationships/hyperlink" Target="https://reklama.cncenter.cz/Online/double-skyscraper" TargetMode="External"/><Relationship Id="rId1197" Type="http://schemas.openxmlformats.org/officeDocument/2006/relationships/hyperlink" Target="http://www.facebook.com/" TargetMode="External"/><Relationship Id="rId2150" Type="http://schemas.openxmlformats.org/officeDocument/2006/relationships/hyperlink" Target="https://reflex.cz/" TargetMode="External"/><Relationship Id="rId2248" Type="http://schemas.openxmlformats.org/officeDocument/2006/relationships/hyperlink" Target="https://sportrevue.cz/" TargetMode="External"/><Relationship Id="rId122" Type="http://schemas.openxmlformats.org/officeDocument/2006/relationships/hyperlink" Target="https://abicko.cz/" TargetMode="External"/><Relationship Id="rId774" Type="http://schemas.openxmlformats.org/officeDocument/2006/relationships/hyperlink" Target="https://digiarena.zive.cz/" TargetMode="External"/><Relationship Id="rId981" Type="http://schemas.openxmlformats.org/officeDocument/2006/relationships/hyperlink" Target="https://dama.cz/" TargetMode="External"/><Relationship Id="rId1057" Type="http://schemas.openxmlformats.org/officeDocument/2006/relationships/hyperlink" Target="https://reklama.cncenter.cz/Online/double-skyscraper" TargetMode="External"/><Relationship Id="rId2010" Type="http://schemas.openxmlformats.org/officeDocument/2006/relationships/hyperlink" Target="https://reklama.cncenter.cz/Online/billboard-bottom" TargetMode="External"/><Relationship Id="rId2455" Type="http://schemas.openxmlformats.org/officeDocument/2006/relationships/hyperlink" Target="https://zive.cz/" TargetMode="External"/><Relationship Id="rId427" Type="http://schemas.openxmlformats.org/officeDocument/2006/relationships/hyperlink" Target="https://avmania.zive.cz/" TargetMode="External"/><Relationship Id="rId634" Type="http://schemas.openxmlformats.org/officeDocument/2006/relationships/hyperlink" Target="https://reklama.cncenter.cz/Online/branding" TargetMode="External"/><Relationship Id="rId841" Type="http://schemas.openxmlformats.org/officeDocument/2006/relationships/hyperlink" Target="https://digiarena.zive.cz/" TargetMode="External"/><Relationship Id="rId1264" Type="http://schemas.openxmlformats.org/officeDocument/2006/relationships/hyperlink" Target="https://reklama.cncenter.cz/Online/mobilni-vineta" TargetMode="External"/><Relationship Id="rId1471" Type="http://schemas.openxmlformats.org/officeDocument/2006/relationships/hyperlink" Target="https://reklama.cncenter.cz/Online/double-skyscraper" TargetMode="External"/><Relationship Id="rId1569" Type="http://schemas.openxmlformats.org/officeDocument/2006/relationships/hyperlink" Target="https://maminka.cz/" TargetMode="External"/><Relationship Id="rId2108" Type="http://schemas.openxmlformats.org/officeDocument/2006/relationships/hyperlink" Target="https://recepty.cz/" TargetMode="External"/><Relationship Id="rId2315" Type="http://schemas.openxmlformats.org/officeDocument/2006/relationships/hyperlink" Target="https://zeny.cz/" TargetMode="External"/><Relationship Id="rId701" Type="http://schemas.openxmlformats.org/officeDocument/2006/relationships/hyperlink" Target="https://reklama.cncenter.cz/Online/Bumper" TargetMode="External"/><Relationship Id="rId939" Type="http://schemas.openxmlformats.org/officeDocument/2006/relationships/hyperlink" Target="https://dama.cz/" TargetMode="External"/><Relationship Id="rId1124" Type="http://schemas.openxmlformats.org/officeDocument/2006/relationships/hyperlink" Target="https://reklama.cncenter.cz/Online/mobilni-slide-up" TargetMode="External"/><Relationship Id="rId1331" Type="http://schemas.openxmlformats.org/officeDocument/2006/relationships/hyperlink" Target="https://frekvence1.cz/" TargetMode="External"/><Relationship Id="rId1776" Type="http://schemas.openxmlformats.org/officeDocument/2006/relationships/hyperlink" Target="https://mojezdravi.cz/" TargetMode="External"/><Relationship Id="rId1983" Type="http://schemas.openxmlformats.org/officeDocument/2006/relationships/hyperlink" Target="https://nemovitosti.blesk.cz/" TargetMode="External"/><Relationship Id="rId68" Type="http://schemas.openxmlformats.org/officeDocument/2006/relationships/hyperlink" Target="https://abecedazahrady.dama.cz/" TargetMode="External"/><Relationship Id="rId1429" Type="http://schemas.openxmlformats.org/officeDocument/2006/relationships/hyperlink" Target="http://www.instagram.com/" TargetMode="External"/><Relationship Id="rId1636" Type="http://schemas.openxmlformats.org/officeDocument/2006/relationships/hyperlink" Target="https://maminka.cz/" TargetMode="External"/><Relationship Id="rId1843" Type="http://schemas.openxmlformats.org/officeDocument/2006/relationships/hyperlink" Target="https://reklama.cncenter.cz/Online/branding-cross-device" TargetMode="External"/><Relationship Id="rId1703" Type="http://schemas.openxmlformats.org/officeDocument/2006/relationships/hyperlink" Target="https://mobilmania.cz/" TargetMode="External"/><Relationship Id="rId1910" Type="http://schemas.openxmlformats.org/officeDocument/2006/relationships/hyperlink" Target="https://reklama.cncenter.cz/Online/branding" TargetMode="External"/><Relationship Id="rId284" Type="http://schemas.openxmlformats.org/officeDocument/2006/relationships/hyperlink" Target="https://auto.cz/" TargetMode="External"/><Relationship Id="rId491" Type="http://schemas.openxmlformats.org/officeDocument/2006/relationships/hyperlink" Target="https://blesk.cz/" TargetMode="External"/><Relationship Id="rId2172" Type="http://schemas.openxmlformats.org/officeDocument/2006/relationships/hyperlink" Target="https://reklama.cncenter.cz/Online/Videospot" TargetMode="External"/><Relationship Id="rId144" Type="http://schemas.openxmlformats.org/officeDocument/2006/relationships/hyperlink" Target="https://abicko.cz/" TargetMode="External"/><Relationship Id="rId589" Type="http://schemas.openxmlformats.org/officeDocument/2006/relationships/hyperlink" Target="https://bleskprozeny.cz/" TargetMode="External"/><Relationship Id="rId796" Type="http://schemas.openxmlformats.org/officeDocument/2006/relationships/hyperlink" Target="https://reklama.cncenter.cz/Online/double-skyscraper" TargetMode="External"/><Relationship Id="rId2477" Type="http://schemas.openxmlformats.org/officeDocument/2006/relationships/hyperlink" Target="https://zive.cz/" TargetMode="External"/><Relationship Id="rId351" Type="http://schemas.openxmlformats.org/officeDocument/2006/relationships/hyperlink" Target="https://reklama.cncenter.cz/Online/mobilni-interscroller" TargetMode="External"/><Relationship Id="rId449" Type="http://schemas.openxmlformats.org/officeDocument/2006/relationships/hyperlink" Target="https://reklama.cncenter.cz/Online/double-skyscraper" TargetMode="External"/><Relationship Id="rId656" Type="http://schemas.openxmlformats.org/officeDocument/2006/relationships/hyperlink" Target="https://reklama.cncenter.cz/Online/billboard-bottom" TargetMode="External"/><Relationship Id="rId863" Type="http://schemas.openxmlformats.org/officeDocument/2006/relationships/hyperlink" Target="https://doupe.zive.cz/" TargetMode="External"/><Relationship Id="rId1079" Type="http://schemas.openxmlformats.org/officeDocument/2006/relationships/hyperlink" Target="https://f1sport.auto.cz/" TargetMode="External"/><Relationship Id="rId1286" Type="http://schemas.openxmlformats.org/officeDocument/2006/relationships/hyperlink" Target="https://fitweb.cz/" TargetMode="External"/><Relationship Id="rId1493" Type="http://schemas.openxmlformats.org/officeDocument/2006/relationships/hyperlink" Target="https://lideazeme.cz/" TargetMode="External"/><Relationship Id="rId2032" Type="http://schemas.openxmlformats.org/officeDocument/2006/relationships/hyperlink" Target="https://www.realitnitrh.cz/" TargetMode="External"/><Relationship Id="rId2337" Type="http://schemas.openxmlformats.org/officeDocument/2006/relationships/hyperlink" Target="https://reklama.cncenter.cz/Online/double-skyscraper" TargetMode="External"/><Relationship Id="rId211" Type="http://schemas.openxmlformats.org/officeDocument/2006/relationships/hyperlink" Target="https://ahaonline.cz/" TargetMode="External"/><Relationship Id="rId309" Type="http://schemas.openxmlformats.org/officeDocument/2006/relationships/hyperlink" Target="https://auto.cz/" TargetMode="External"/><Relationship Id="rId516" Type="http://schemas.openxmlformats.org/officeDocument/2006/relationships/hyperlink" Target="https://reklama.cncenter.cz/Online/mobilni-vineta" TargetMode="External"/><Relationship Id="rId1146" Type="http://schemas.openxmlformats.org/officeDocument/2006/relationships/hyperlink" Target="http://www.facebook.com/" TargetMode="External"/><Relationship Id="rId1798" Type="http://schemas.openxmlformats.org/officeDocument/2006/relationships/hyperlink" Target="https://mojezdravi.cz/" TargetMode="External"/><Relationship Id="rId723" Type="http://schemas.openxmlformats.org/officeDocument/2006/relationships/hyperlink" Target="https://reklama.cncenter.cz/Online/Outstream" TargetMode="External"/><Relationship Id="rId930" Type="http://schemas.openxmlformats.org/officeDocument/2006/relationships/hyperlink" Target="https://dama.cz/" TargetMode="External"/><Relationship Id="rId1006" Type="http://schemas.openxmlformats.org/officeDocument/2006/relationships/hyperlink" Target="https://reklama.cncenter.cz/Online/Videospot" TargetMode="External"/><Relationship Id="rId1353" Type="http://schemas.openxmlformats.org/officeDocument/2006/relationships/hyperlink" Target="https://www.heureka.cz/" TargetMode="External"/><Relationship Id="rId1560" Type="http://schemas.openxmlformats.org/officeDocument/2006/relationships/hyperlink" Target="https://maminka.cz/" TargetMode="External"/><Relationship Id="rId1658" Type="http://schemas.openxmlformats.org/officeDocument/2006/relationships/hyperlink" Target="https://reklama.cncenter.cz/Online/mobilni-interscroller" TargetMode="External"/><Relationship Id="rId1865" Type="http://schemas.openxmlformats.org/officeDocument/2006/relationships/hyperlink" Target="https://motogpsport.cz/" TargetMode="External"/><Relationship Id="rId2404" Type="http://schemas.openxmlformats.org/officeDocument/2006/relationships/hyperlink" Target="https://zive.cz/" TargetMode="External"/><Relationship Id="rId1213" Type="http://schemas.openxmlformats.org/officeDocument/2006/relationships/hyperlink" Target="https://www.facebook.com/business/ads-guide/image/facebook-feed" TargetMode="External"/><Relationship Id="rId1420" Type="http://schemas.openxmlformats.org/officeDocument/2006/relationships/hyperlink" Target="http://www.instagram.com/" TargetMode="External"/><Relationship Id="rId1518" Type="http://schemas.openxmlformats.org/officeDocument/2006/relationships/hyperlink" Target="https://lideazeme.cz/" TargetMode="External"/><Relationship Id="rId1725" Type="http://schemas.openxmlformats.org/officeDocument/2006/relationships/hyperlink" Target="https://mobilmania.cz/" TargetMode="External"/><Relationship Id="rId1932" Type="http://schemas.openxmlformats.org/officeDocument/2006/relationships/hyperlink" Target="https://nemovitosti.blesk.cz/" TargetMode="External"/><Relationship Id="rId17" Type="http://schemas.openxmlformats.org/officeDocument/2006/relationships/hyperlink" Target="https://reklama.cncenter.cz/Online/branding-cross-device" TargetMode="External"/><Relationship Id="rId2194" Type="http://schemas.openxmlformats.org/officeDocument/2006/relationships/hyperlink" Target="https://reflex.cz/" TargetMode="External"/><Relationship Id="rId166" Type="http://schemas.openxmlformats.org/officeDocument/2006/relationships/hyperlink" Target="https://ahaonline.cz/" TargetMode="External"/><Relationship Id="rId373" Type="http://schemas.openxmlformats.org/officeDocument/2006/relationships/hyperlink" Target="https://autorevue.cz/" TargetMode="External"/><Relationship Id="rId580" Type="http://schemas.openxmlformats.org/officeDocument/2006/relationships/hyperlink" Target="https://bleskprozeny.cz/" TargetMode="External"/><Relationship Id="rId2054" Type="http://schemas.openxmlformats.org/officeDocument/2006/relationships/hyperlink" Target="https://www.realitnitrh.cz/" TargetMode="External"/><Relationship Id="rId2261" Type="http://schemas.openxmlformats.org/officeDocument/2006/relationships/hyperlink" Target="https://vtm.zive.cz/" TargetMode="External"/><Relationship Id="rId1" Type="http://schemas.openxmlformats.org/officeDocument/2006/relationships/hyperlink" Target="https://abecedazahrady.dama.cz/" TargetMode="External"/><Relationship Id="rId233" Type="http://schemas.openxmlformats.org/officeDocument/2006/relationships/hyperlink" Target="https://ahaonline.cz/" TargetMode="External"/><Relationship Id="rId440" Type="http://schemas.openxmlformats.org/officeDocument/2006/relationships/hyperlink" Target="https://avmania.zive.cz/" TargetMode="External"/><Relationship Id="rId678" Type="http://schemas.openxmlformats.org/officeDocument/2006/relationships/hyperlink" Target="https://reklama.cncenter.cz/Online/Smarticle" TargetMode="External"/><Relationship Id="rId885" Type="http://schemas.openxmlformats.org/officeDocument/2006/relationships/hyperlink" Target="https://reklama.cncenter.cz/Online/double-skyscraper" TargetMode="External"/><Relationship Id="rId1070" Type="http://schemas.openxmlformats.org/officeDocument/2006/relationships/hyperlink" Target="https://evropa2.cz/" TargetMode="External"/><Relationship Id="rId2121" Type="http://schemas.openxmlformats.org/officeDocument/2006/relationships/hyperlink" Target="https://recepty.cz/" TargetMode="External"/><Relationship Id="rId2359" Type="http://schemas.openxmlformats.org/officeDocument/2006/relationships/hyperlink" Target="https://zeny.cz/" TargetMode="External"/><Relationship Id="rId300" Type="http://schemas.openxmlformats.org/officeDocument/2006/relationships/hyperlink" Target="https://auto.cz/" TargetMode="External"/><Relationship Id="rId538" Type="http://schemas.openxmlformats.org/officeDocument/2006/relationships/hyperlink" Target="https://reklama.cncenter.cz/Online/mobilni-slide-up" TargetMode="External"/><Relationship Id="rId745" Type="http://schemas.openxmlformats.org/officeDocument/2006/relationships/hyperlink" Target="https://reklama.cncenter.cz/Online/mobilni-vineta" TargetMode="External"/><Relationship Id="rId952" Type="http://schemas.openxmlformats.org/officeDocument/2006/relationships/hyperlink" Target="https://reklama.cncenter.cz/Online/nativni-rectangle-cross-device" TargetMode="External"/><Relationship Id="rId1168" Type="http://schemas.openxmlformats.org/officeDocument/2006/relationships/hyperlink" Target="https://www.facebook.com/business/ads-guide/image/facebook-feed" TargetMode="External"/><Relationship Id="rId1375" Type="http://schemas.openxmlformats.org/officeDocument/2006/relationships/hyperlink" Target="https://reklama.cncenter.cz/Online/double-skyscraper" TargetMode="External"/><Relationship Id="rId1582" Type="http://schemas.openxmlformats.org/officeDocument/2006/relationships/hyperlink" Target="https://reklama.cncenter.cz/Online/Videospot" TargetMode="External"/><Relationship Id="rId2219" Type="http://schemas.openxmlformats.org/officeDocument/2006/relationships/hyperlink" Target="https://reflex.cz/" TargetMode="External"/><Relationship Id="rId2426" Type="http://schemas.openxmlformats.org/officeDocument/2006/relationships/hyperlink" Target="https://zive.cz/" TargetMode="External"/><Relationship Id="rId81" Type="http://schemas.openxmlformats.org/officeDocument/2006/relationships/hyperlink" Target="https://abicko.cz/" TargetMode="External"/><Relationship Id="rId605" Type="http://schemas.openxmlformats.org/officeDocument/2006/relationships/hyperlink" Target="https://reklama.cncenter.cz/Online/mobilni-slide-up" TargetMode="External"/><Relationship Id="rId812" Type="http://schemas.openxmlformats.org/officeDocument/2006/relationships/hyperlink" Target="https://digiarena.zive.cz/" TargetMode="External"/><Relationship Id="rId1028" Type="http://schemas.openxmlformats.org/officeDocument/2006/relationships/hyperlink" Target="https://evropa2.cz/" TargetMode="External"/><Relationship Id="rId1235" Type="http://schemas.openxmlformats.org/officeDocument/2006/relationships/hyperlink" Target="https://fitweb.cz/" TargetMode="External"/><Relationship Id="rId1442" Type="http://schemas.openxmlformats.org/officeDocument/2006/relationships/hyperlink" Target="http://www.instagram.com/" TargetMode="External"/><Relationship Id="rId1887" Type="http://schemas.openxmlformats.org/officeDocument/2006/relationships/hyperlink" Target="https://motogpsport.cz/" TargetMode="External"/><Relationship Id="rId1302" Type="http://schemas.openxmlformats.org/officeDocument/2006/relationships/hyperlink" Target="https://heyfomo.cz/" TargetMode="External"/><Relationship Id="rId1747" Type="http://schemas.openxmlformats.org/officeDocument/2006/relationships/hyperlink" Target="https://mojezdravi.cz/" TargetMode="External"/><Relationship Id="rId1954" Type="http://schemas.openxmlformats.org/officeDocument/2006/relationships/hyperlink" Target="http://nemovitosti.blesk.cz/" TargetMode="External"/><Relationship Id="rId39" Type="http://schemas.openxmlformats.org/officeDocument/2006/relationships/hyperlink" Target="https://abecedazahrady.dama.cz/" TargetMode="External"/><Relationship Id="rId1607" Type="http://schemas.openxmlformats.org/officeDocument/2006/relationships/hyperlink" Target="https://maminka.cz/" TargetMode="External"/><Relationship Id="rId1814" Type="http://schemas.openxmlformats.org/officeDocument/2006/relationships/hyperlink" Target="https://reklama.cncenter.cz/Online/Outstream" TargetMode="External"/><Relationship Id="rId188" Type="http://schemas.openxmlformats.org/officeDocument/2006/relationships/hyperlink" Target="https://ahaonline.cz/" TargetMode="External"/><Relationship Id="rId395" Type="http://schemas.openxmlformats.org/officeDocument/2006/relationships/hyperlink" Target="https://autorevue.cz/" TargetMode="External"/><Relationship Id="rId2076" Type="http://schemas.openxmlformats.org/officeDocument/2006/relationships/hyperlink" Target="https://reklama.cncenter.cz/Online/branding-cross-device" TargetMode="External"/><Relationship Id="rId2283" Type="http://schemas.openxmlformats.org/officeDocument/2006/relationships/hyperlink" Target="https://reklama.cncenter.cz/Online/nativni-rectangle-cross-device" TargetMode="External"/><Relationship Id="rId255" Type="http://schemas.openxmlformats.org/officeDocument/2006/relationships/hyperlink" Target="https://reklama.cncenter.cz/Online/branding-cross-device" TargetMode="External"/><Relationship Id="rId462" Type="http://schemas.openxmlformats.org/officeDocument/2006/relationships/hyperlink" Target="https://avmania.zive.cz/" TargetMode="External"/><Relationship Id="rId1092" Type="http://schemas.openxmlformats.org/officeDocument/2006/relationships/hyperlink" Target="https://reklama.cncenter.cz/Online/branding-cross-device" TargetMode="External"/><Relationship Id="rId1397" Type="http://schemas.openxmlformats.org/officeDocument/2006/relationships/hyperlink" Target="http://www.instagram.com/" TargetMode="External"/><Relationship Id="rId2143" Type="http://schemas.openxmlformats.org/officeDocument/2006/relationships/hyperlink" Target="https://recepty.cz/" TargetMode="External"/><Relationship Id="rId2350" Type="http://schemas.openxmlformats.org/officeDocument/2006/relationships/hyperlink" Target="https://zeny.cz/" TargetMode="External"/><Relationship Id="rId115" Type="http://schemas.openxmlformats.org/officeDocument/2006/relationships/hyperlink" Target="https://abicko.cz/" TargetMode="External"/><Relationship Id="rId322" Type="http://schemas.openxmlformats.org/officeDocument/2006/relationships/hyperlink" Target="https://auto.cz/" TargetMode="External"/><Relationship Id="rId767" Type="http://schemas.openxmlformats.org/officeDocument/2006/relationships/hyperlink" Target="https://reklama.cncenter.cz/Online/mobilni-interscroller" TargetMode="External"/><Relationship Id="rId974" Type="http://schemas.openxmlformats.org/officeDocument/2006/relationships/hyperlink" Target="https://dama.cz/" TargetMode="External"/><Relationship Id="rId2003" Type="http://schemas.openxmlformats.org/officeDocument/2006/relationships/hyperlink" Target="https://www.realitnitrh.cz/" TargetMode="External"/><Relationship Id="rId2210" Type="http://schemas.openxmlformats.org/officeDocument/2006/relationships/hyperlink" Target="https://reklama.cncenter.cz/Online/mobilni-vineta" TargetMode="External"/><Relationship Id="rId2448" Type="http://schemas.openxmlformats.org/officeDocument/2006/relationships/hyperlink" Target="https://zive.cz/" TargetMode="External"/><Relationship Id="rId627" Type="http://schemas.openxmlformats.org/officeDocument/2006/relationships/hyperlink" Target="https://bleskprozeny.cz/" TargetMode="External"/><Relationship Id="rId834" Type="http://schemas.openxmlformats.org/officeDocument/2006/relationships/hyperlink" Target="https://digiarena.zive.cz/" TargetMode="External"/><Relationship Id="rId1257" Type="http://schemas.openxmlformats.org/officeDocument/2006/relationships/hyperlink" Target="https://fitweb.cz/" TargetMode="External"/><Relationship Id="rId1464" Type="http://schemas.openxmlformats.org/officeDocument/2006/relationships/hyperlink" Target="http://www.instagram.com/" TargetMode="External"/><Relationship Id="rId1671" Type="http://schemas.openxmlformats.org/officeDocument/2006/relationships/hyperlink" Target="https://mobilmania.cz/" TargetMode="External"/><Relationship Id="rId2308" Type="http://schemas.openxmlformats.org/officeDocument/2006/relationships/hyperlink" Target="https://x.com/" TargetMode="External"/><Relationship Id="rId901" Type="http://schemas.openxmlformats.org/officeDocument/2006/relationships/hyperlink" Target="https://doupe.zive.cz/" TargetMode="External"/><Relationship Id="rId1117" Type="http://schemas.openxmlformats.org/officeDocument/2006/relationships/hyperlink" Target="https://f1sport.auto.cz/" TargetMode="External"/><Relationship Id="rId1324" Type="http://schemas.openxmlformats.org/officeDocument/2006/relationships/hyperlink" Target="https://reklama.cncenter.cz/Online/mobilni-slide-up" TargetMode="External"/><Relationship Id="rId1531" Type="http://schemas.openxmlformats.org/officeDocument/2006/relationships/hyperlink" Target="https://lideazeme.cz/" TargetMode="External"/><Relationship Id="rId1769" Type="http://schemas.openxmlformats.org/officeDocument/2006/relationships/hyperlink" Target="https://mojezdravi.cz/" TargetMode="External"/><Relationship Id="rId1976" Type="http://schemas.openxmlformats.org/officeDocument/2006/relationships/hyperlink" Target="https://nemovitosti.blesk.cz/" TargetMode="External"/><Relationship Id="rId30" Type="http://schemas.openxmlformats.org/officeDocument/2006/relationships/hyperlink" Target="https://abecedazahrady.dama.cz/" TargetMode="External"/><Relationship Id="rId1629" Type="http://schemas.openxmlformats.org/officeDocument/2006/relationships/hyperlink" Target="https://maminka.cz/" TargetMode="External"/><Relationship Id="rId1836" Type="http://schemas.openxmlformats.org/officeDocument/2006/relationships/hyperlink" Target="https://motogpsport.cz/" TargetMode="External"/><Relationship Id="rId1903" Type="http://schemas.openxmlformats.org/officeDocument/2006/relationships/hyperlink" Target="http://nemovitosti.blesk.cz/" TargetMode="External"/><Relationship Id="rId2098" Type="http://schemas.openxmlformats.org/officeDocument/2006/relationships/hyperlink" Target="https://recepty.cz/" TargetMode="External"/><Relationship Id="rId277" Type="http://schemas.openxmlformats.org/officeDocument/2006/relationships/hyperlink" Target="https://auto.cz/" TargetMode="External"/><Relationship Id="rId484" Type="http://schemas.openxmlformats.org/officeDocument/2006/relationships/hyperlink" Target="https://blesk.cz/" TargetMode="External"/><Relationship Id="rId2165" Type="http://schemas.openxmlformats.org/officeDocument/2006/relationships/hyperlink" Target="https://reflex.cz/" TargetMode="External"/><Relationship Id="rId137" Type="http://schemas.openxmlformats.org/officeDocument/2006/relationships/hyperlink" Target="https://abicko.cz/" TargetMode="External"/><Relationship Id="rId344" Type="http://schemas.openxmlformats.org/officeDocument/2006/relationships/hyperlink" Target="https://autorevue.cz/" TargetMode="External"/><Relationship Id="rId691" Type="http://schemas.openxmlformats.org/officeDocument/2006/relationships/hyperlink" Target="https://reklama.cncenter.cz/Online/Outstream" TargetMode="External"/><Relationship Id="rId789" Type="http://schemas.openxmlformats.org/officeDocument/2006/relationships/hyperlink" Target="https://digiarena.zive.cz/" TargetMode="External"/><Relationship Id="rId996" Type="http://schemas.openxmlformats.org/officeDocument/2006/relationships/hyperlink" Target="https://dama.cz/" TargetMode="External"/><Relationship Id="rId2025" Type="http://schemas.openxmlformats.org/officeDocument/2006/relationships/hyperlink" Target="https://reklama.cncenter.cz/Online/nativni-PR-premium" TargetMode="External"/><Relationship Id="rId2372" Type="http://schemas.openxmlformats.org/officeDocument/2006/relationships/hyperlink" Target="https://reklama.cncenter.cz/Online/mobilni-interscroller" TargetMode="External"/><Relationship Id="rId551" Type="http://schemas.openxmlformats.org/officeDocument/2006/relationships/hyperlink" Target="https://bleskprozeny.cz/" TargetMode="External"/><Relationship Id="rId649" Type="http://schemas.openxmlformats.org/officeDocument/2006/relationships/hyperlink" Target="https://reklama.cncenter.cz/Online/mobilni-interscroller" TargetMode="External"/><Relationship Id="rId856" Type="http://schemas.openxmlformats.org/officeDocument/2006/relationships/hyperlink" Target="https://reklama.cncenter.cz/Online/billboard-bottom" TargetMode="External"/><Relationship Id="rId1181" Type="http://schemas.openxmlformats.org/officeDocument/2006/relationships/hyperlink" Target="http://www.facebook.com/" TargetMode="External"/><Relationship Id="rId1279" Type="http://schemas.openxmlformats.org/officeDocument/2006/relationships/hyperlink" Target="https://reklama.cncenter.cz/Online/mobilni-slide-up" TargetMode="External"/><Relationship Id="rId1486" Type="http://schemas.openxmlformats.org/officeDocument/2006/relationships/hyperlink" Target="https://reklama.cncenter.cz/?ads=PR%2520%25C4%258Dl%25C3%25A1nky" TargetMode="External"/><Relationship Id="rId2232" Type="http://schemas.openxmlformats.org/officeDocument/2006/relationships/hyperlink" Target="https://reflex.cz/" TargetMode="External"/><Relationship Id="rId204" Type="http://schemas.openxmlformats.org/officeDocument/2006/relationships/hyperlink" Target="https://ahaonline.cz/" TargetMode="External"/><Relationship Id="rId411" Type="http://schemas.openxmlformats.org/officeDocument/2006/relationships/hyperlink" Target="https://reklama.cncenter.cz/Online/billboard-bottom" TargetMode="External"/><Relationship Id="rId509" Type="http://schemas.openxmlformats.org/officeDocument/2006/relationships/hyperlink" Target="https://reklama.cncenter.cz/Online/Outstream" TargetMode="External"/><Relationship Id="rId1041" Type="http://schemas.openxmlformats.org/officeDocument/2006/relationships/hyperlink" Target="https://evropa2.cz/" TargetMode="External"/><Relationship Id="rId1139" Type="http://schemas.openxmlformats.org/officeDocument/2006/relationships/hyperlink" Target="https://f1sport.auto.cz/" TargetMode="External"/><Relationship Id="rId1346" Type="http://schemas.openxmlformats.org/officeDocument/2006/relationships/hyperlink" Target="https://frekvence1.cz/" TargetMode="External"/><Relationship Id="rId1693" Type="http://schemas.openxmlformats.org/officeDocument/2006/relationships/hyperlink" Target="https://reklama.cncenter.cz/Online/mobilni-slide-up" TargetMode="External"/><Relationship Id="rId1998" Type="http://schemas.openxmlformats.org/officeDocument/2006/relationships/hyperlink" Target="https://www.realitnitrh.cz/" TargetMode="External"/><Relationship Id="rId716" Type="http://schemas.openxmlformats.org/officeDocument/2006/relationships/hyperlink" Target="https://reklama.cncenter.cz/Online/Bumper" TargetMode="External"/><Relationship Id="rId923" Type="http://schemas.openxmlformats.org/officeDocument/2006/relationships/hyperlink" Target="https://dama.cz/" TargetMode="External"/><Relationship Id="rId1553" Type="http://schemas.openxmlformats.org/officeDocument/2006/relationships/hyperlink" Target="https://lideazeme.cz/" TargetMode="External"/><Relationship Id="rId1760" Type="http://schemas.openxmlformats.org/officeDocument/2006/relationships/hyperlink" Target="https://mojezdravi.cz/" TargetMode="External"/><Relationship Id="rId1858" Type="http://schemas.openxmlformats.org/officeDocument/2006/relationships/hyperlink" Target="https://reklama.cncenter.cz/Online/mobilni-vineta" TargetMode="External"/><Relationship Id="rId52" Type="http://schemas.openxmlformats.org/officeDocument/2006/relationships/hyperlink" Target="https://reklama.cncenter.cz/Online/mobilni-vineta" TargetMode="External"/><Relationship Id="rId1206" Type="http://schemas.openxmlformats.org/officeDocument/2006/relationships/hyperlink" Target="http://www.facebook.com/" TargetMode="External"/><Relationship Id="rId1413" Type="http://schemas.openxmlformats.org/officeDocument/2006/relationships/hyperlink" Target="http://www.instagram.com/" TargetMode="External"/><Relationship Id="rId1620" Type="http://schemas.openxmlformats.org/officeDocument/2006/relationships/hyperlink" Target="https://reklama.cncenter.cz/Online/mobilni-vineta" TargetMode="External"/><Relationship Id="rId1718" Type="http://schemas.openxmlformats.org/officeDocument/2006/relationships/hyperlink" Target="https://mobilmania.cz/" TargetMode="External"/><Relationship Id="rId1925" Type="http://schemas.openxmlformats.org/officeDocument/2006/relationships/hyperlink" Target="https://nemovitosti.blesk.cz/" TargetMode="External"/><Relationship Id="rId299" Type="http://schemas.openxmlformats.org/officeDocument/2006/relationships/hyperlink" Target="https://reklama.cncenter.cz/Online/mobilni-slide-up" TargetMode="External"/><Relationship Id="rId2187" Type="http://schemas.openxmlformats.org/officeDocument/2006/relationships/hyperlink" Target="https://reklama.cncenter.cz/Online/nativni-rectangle-cross-device" TargetMode="External"/><Relationship Id="rId2394" Type="http://schemas.openxmlformats.org/officeDocument/2006/relationships/hyperlink" Target="https://zeny.cz/" TargetMode="External"/><Relationship Id="rId159" Type="http://schemas.openxmlformats.org/officeDocument/2006/relationships/hyperlink" Target="https://ahaonline.cz/" TargetMode="External"/><Relationship Id="rId366" Type="http://schemas.openxmlformats.org/officeDocument/2006/relationships/hyperlink" Target="https://reklama.cncenter.cz/Online/Outstream" TargetMode="External"/><Relationship Id="rId573" Type="http://schemas.openxmlformats.org/officeDocument/2006/relationships/hyperlink" Target="https://reklama.cncenter.cz/Online/mobilni-interscroller" TargetMode="External"/><Relationship Id="rId780" Type="http://schemas.openxmlformats.org/officeDocument/2006/relationships/hyperlink" Target="https://digiarena.zive.cz/" TargetMode="External"/><Relationship Id="rId2047" Type="http://schemas.openxmlformats.org/officeDocument/2006/relationships/hyperlink" Target="https://reklama.cncenter.cz/Online/nativni-rectangle-cross-device" TargetMode="External"/><Relationship Id="rId2254" Type="http://schemas.openxmlformats.org/officeDocument/2006/relationships/hyperlink" Target="https://vtm.zive.cz/" TargetMode="External"/><Relationship Id="rId2461" Type="http://schemas.openxmlformats.org/officeDocument/2006/relationships/hyperlink" Target="https://zive.cz/" TargetMode="External"/><Relationship Id="rId226" Type="http://schemas.openxmlformats.org/officeDocument/2006/relationships/hyperlink" Target="https://reklama.cncenter.cz/Online/Outstream" TargetMode="External"/><Relationship Id="rId433" Type="http://schemas.openxmlformats.org/officeDocument/2006/relationships/hyperlink" Target="https://avmania.zive.cz/" TargetMode="External"/><Relationship Id="rId878" Type="http://schemas.openxmlformats.org/officeDocument/2006/relationships/hyperlink" Target="https://doupe.zive.cz/" TargetMode="External"/><Relationship Id="rId1063" Type="http://schemas.openxmlformats.org/officeDocument/2006/relationships/hyperlink" Target="https://reklama.cncenter.cz/Online/mobilni-interscroller" TargetMode="External"/><Relationship Id="rId1270" Type="http://schemas.openxmlformats.org/officeDocument/2006/relationships/hyperlink" Target="https://reklama.cncenter.cz/Online/Outstream" TargetMode="External"/><Relationship Id="rId2114" Type="http://schemas.openxmlformats.org/officeDocument/2006/relationships/hyperlink" Target="https://reklama.cncenter.cz/Online/Videospot" TargetMode="External"/><Relationship Id="rId640" Type="http://schemas.openxmlformats.org/officeDocument/2006/relationships/hyperlink" Target="https://reklama.cncenter.cz/Online/mobilni-interscroller" TargetMode="External"/><Relationship Id="rId738" Type="http://schemas.openxmlformats.org/officeDocument/2006/relationships/hyperlink" Target="https://reklama.cncenter.cz/Online/Outstream" TargetMode="External"/><Relationship Id="rId945" Type="http://schemas.openxmlformats.org/officeDocument/2006/relationships/hyperlink" Target="https://dama.cz/" TargetMode="External"/><Relationship Id="rId1368" Type="http://schemas.openxmlformats.org/officeDocument/2006/relationships/hyperlink" Target="https://hledejceny.cz/" TargetMode="External"/><Relationship Id="rId1575" Type="http://schemas.openxmlformats.org/officeDocument/2006/relationships/hyperlink" Target="https://maminka.cz/" TargetMode="External"/><Relationship Id="rId1782" Type="http://schemas.openxmlformats.org/officeDocument/2006/relationships/hyperlink" Target="https://mojezdravi.cz/" TargetMode="External"/><Relationship Id="rId2321" Type="http://schemas.openxmlformats.org/officeDocument/2006/relationships/hyperlink" Target="https://zeny.cz/" TargetMode="External"/><Relationship Id="rId2419" Type="http://schemas.openxmlformats.org/officeDocument/2006/relationships/hyperlink" Target="https://zive.cz/" TargetMode="External"/><Relationship Id="rId74" Type="http://schemas.openxmlformats.org/officeDocument/2006/relationships/hyperlink" Target="https://reklama.cncenter.cz/Online/billboard-bottom" TargetMode="External"/><Relationship Id="rId500" Type="http://schemas.openxmlformats.org/officeDocument/2006/relationships/hyperlink" Target="https://reklama.cncenter.cz/Online/billboard-bottom" TargetMode="External"/><Relationship Id="rId805" Type="http://schemas.openxmlformats.org/officeDocument/2006/relationships/hyperlink" Target="https://reklama.cncenter.cz/Online/mobilni-vineta" TargetMode="External"/><Relationship Id="rId1130" Type="http://schemas.openxmlformats.org/officeDocument/2006/relationships/hyperlink" Target="https://f1sport.auto.cz/" TargetMode="External"/><Relationship Id="rId1228" Type="http://schemas.openxmlformats.org/officeDocument/2006/relationships/hyperlink" Target="https://reklama.cncenter.cz/?ads=PR%2520%25C4%258Dl%25C3%25A1nky" TargetMode="External"/><Relationship Id="rId1435" Type="http://schemas.openxmlformats.org/officeDocument/2006/relationships/hyperlink" Target="http://www.instagram.com/" TargetMode="External"/><Relationship Id="rId1642" Type="http://schemas.openxmlformats.org/officeDocument/2006/relationships/hyperlink" Target="https://maminka.cz/" TargetMode="External"/><Relationship Id="rId1947" Type="http://schemas.openxmlformats.org/officeDocument/2006/relationships/hyperlink" Target="https://nemovitosti.blesk.cz/" TargetMode="External"/><Relationship Id="rId1502" Type="http://schemas.openxmlformats.org/officeDocument/2006/relationships/hyperlink" Target="https://lideazeme.cz/" TargetMode="External"/><Relationship Id="rId1807" Type="http://schemas.openxmlformats.org/officeDocument/2006/relationships/hyperlink" Target="https://mojezdravi.cz/" TargetMode="External"/><Relationship Id="rId290" Type="http://schemas.openxmlformats.org/officeDocument/2006/relationships/hyperlink" Target="https://reklama.cncenter.cz/Online/double-skyscraper" TargetMode="External"/><Relationship Id="rId388" Type="http://schemas.openxmlformats.org/officeDocument/2006/relationships/hyperlink" Target="https://reklama.cncenter.cz/Online/nativni-PR-premium" TargetMode="External"/><Relationship Id="rId2069" Type="http://schemas.openxmlformats.org/officeDocument/2006/relationships/hyperlink" Target="https://recepty.cz/" TargetMode="External"/><Relationship Id="rId150" Type="http://schemas.openxmlformats.org/officeDocument/2006/relationships/hyperlink" Target="https://reklama.cncenter.cz/Online/Bumper" TargetMode="External"/><Relationship Id="rId595" Type="http://schemas.openxmlformats.org/officeDocument/2006/relationships/hyperlink" Target="https://bleskprozeny.cz/" TargetMode="External"/><Relationship Id="rId2276" Type="http://schemas.openxmlformats.org/officeDocument/2006/relationships/hyperlink" Target="https://vtm.zive.cz/" TargetMode="External"/><Relationship Id="rId248" Type="http://schemas.openxmlformats.org/officeDocument/2006/relationships/hyperlink" Target="https://auto.cz/" TargetMode="External"/><Relationship Id="rId455" Type="http://schemas.openxmlformats.org/officeDocument/2006/relationships/hyperlink" Target="https://reklama.cncenter.cz/Online/mobilni-slide-up" TargetMode="External"/><Relationship Id="rId662" Type="http://schemas.openxmlformats.org/officeDocument/2006/relationships/hyperlink" Target="https://reklama.cncenter.cz/Online/double-skyscraper" TargetMode="External"/><Relationship Id="rId1085" Type="http://schemas.openxmlformats.org/officeDocument/2006/relationships/hyperlink" Target="https://f1sport.auto.cz/" TargetMode="External"/><Relationship Id="rId1292" Type="http://schemas.openxmlformats.org/officeDocument/2006/relationships/hyperlink" Target="https://heyfomo.cz/" TargetMode="External"/><Relationship Id="rId2136" Type="http://schemas.openxmlformats.org/officeDocument/2006/relationships/hyperlink" Target="https://recepty.cz/" TargetMode="External"/><Relationship Id="rId2343" Type="http://schemas.openxmlformats.org/officeDocument/2006/relationships/hyperlink" Target="https://reklama.cncenter.cz/Online/mobilni-interscroller" TargetMode="External"/><Relationship Id="rId108" Type="http://schemas.openxmlformats.org/officeDocument/2006/relationships/hyperlink" Target="https://abicko.cz/" TargetMode="External"/><Relationship Id="rId315" Type="http://schemas.openxmlformats.org/officeDocument/2006/relationships/hyperlink" Target="https://auto.cz/" TargetMode="External"/><Relationship Id="rId522" Type="http://schemas.openxmlformats.org/officeDocument/2006/relationships/hyperlink" Target="https://blesk.cz/" TargetMode="External"/><Relationship Id="rId967" Type="http://schemas.openxmlformats.org/officeDocument/2006/relationships/hyperlink" Target="https://dama.cz/" TargetMode="External"/><Relationship Id="rId1152" Type="http://schemas.openxmlformats.org/officeDocument/2006/relationships/hyperlink" Target="http://www.facebook.com/" TargetMode="External"/><Relationship Id="rId1597" Type="http://schemas.openxmlformats.org/officeDocument/2006/relationships/hyperlink" Target="https://reklama.cncenter.cz/Online/nativni-rectangle-cross-device" TargetMode="External"/><Relationship Id="rId2203" Type="http://schemas.openxmlformats.org/officeDocument/2006/relationships/hyperlink" Target="https://reflex.cz/" TargetMode="External"/><Relationship Id="rId2410" Type="http://schemas.openxmlformats.org/officeDocument/2006/relationships/hyperlink" Target="https://zive.cz/" TargetMode="External"/><Relationship Id="rId96" Type="http://schemas.openxmlformats.org/officeDocument/2006/relationships/hyperlink" Target="https://abicko.cz/" TargetMode="External"/><Relationship Id="rId827" Type="http://schemas.openxmlformats.org/officeDocument/2006/relationships/hyperlink" Target="https://digiarena.zive.cz/" TargetMode="External"/><Relationship Id="rId1012" Type="http://schemas.openxmlformats.org/officeDocument/2006/relationships/hyperlink" Target="https://reklama.cncenter.cz/Online/Bumper" TargetMode="External"/><Relationship Id="rId1457" Type="http://schemas.openxmlformats.org/officeDocument/2006/relationships/hyperlink" Target="http://www.instagram.com/" TargetMode="External"/><Relationship Id="rId1664" Type="http://schemas.openxmlformats.org/officeDocument/2006/relationships/hyperlink" Target="https://reklama.cncenter.cz/Online/Bumper" TargetMode="External"/><Relationship Id="rId1871" Type="http://schemas.openxmlformats.org/officeDocument/2006/relationships/hyperlink" Target="https://motogpsport.cz/" TargetMode="External"/><Relationship Id="rId1317" Type="http://schemas.openxmlformats.org/officeDocument/2006/relationships/hyperlink" Target="https://frekvence1.cz/" TargetMode="External"/><Relationship Id="rId1524" Type="http://schemas.openxmlformats.org/officeDocument/2006/relationships/hyperlink" Target="https://lideazeme.cz/" TargetMode="External"/><Relationship Id="rId1731" Type="http://schemas.openxmlformats.org/officeDocument/2006/relationships/hyperlink" Target="https://mobilmania.cz/" TargetMode="External"/><Relationship Id="rId1969" Type="http://schemas.openxmlformats.org/officeDocument/2006/relationships/hyperlink" Target="https://nemovitosti.blesk.cz/" TargetMode="External"/><Relationship Id="rId23" Type="http://schemas.openxmlformats.org/officeDocument/2006/relationships/hyperlink" Target="https://reklama.cncenter.cz/Online/double-skyscraper" TargetMode="External"/><Relationship Id="rId1829" Type="http://schemas.openxmlformats.org/officeDocument/2006/relationships/hyperlink" Target="https://motogpsport.cz/" TargetMode="External"/><Relationship Id="rId2298" Type="http://schemas.openxmlformats.org/officeDocument/2006/relationships/hyperlink" Target="https://reklama.cncenter.cz/Online/mobilni-vineta" TargetMode="External"/><Relationship Id="rId172" Type="http://schemas.openxmlformats.org/officeDocument/2006/relationships/hyperlink" Target="https://ahaonline.cz/" TargetMode="External"/><Relationship Id="rId477" Type="http://schemas.openxmlformats.org/officeDocument/2006/relationships/hyperlink" Target="https://blesk.cz/" TargetMode="External"/><Relationship Id="rId684" Type="http://schemas.openxmlformats.org/officeDocument/2006/relationships/hyperlink" Target="https://reklama.cncenter.cz/Online/branding-cross-device" TargetMode="External"/><Relationship Id="rId2060" Type="http://schemas.openxmlformats.org/officeDocument/2006/relationships/hyperlink" Target="https://recepty.cz/" TargetMode="External"/><Relationship Id="rId2158" Type="http://schemas.openxmlformats.org/officeDocument/2006/relationships/hyperlink" Target="https://reflex.cz/" TargetMode="External"/><Relationship Id="rId2365" Type="http://schemas.openxmlformats.org/officeDocument/2006/relationships/hyperlink" Target="https://zeny.cz/" TargetMode="External"/><Relationship Id="rId337" Type="http://schemas.openxmlformats.org/officeDocument/2006/relationships/hyperlink" Target="https://autorevue.cz/" TargetMode="External"/><Relationship Id="rId891" Type="http://schemas.openxmlformats.org/officeDocument/2006/relationships/hyperlink" Target="https://reklama.cncenter.cz/Online/mobilni-slide-up" TargetMode="External"/><Relationship Id="rId989" Type="http://schemas.openxmlformats.org/officeDocument/2006/relationships/hyperlink" Target="https://reklama.cncenter.cz/?ads=PR%2520%25C4%258Dl%25C3%25A1nky" TargetMode="External"/><Relationship Id="rId2018" Type="http://schemas.openxmlformats.org/officeDocument/2006/relationships/hyperlink" Target="https://www.realitnitrh.cz/" TargetMode="External"/><Relationship Id="rId544" Type="http://schemas.openxmlformats.org/officeDocument/2006/relationships/hyperlink" Target="https://reklama.cncenter.cz/Online/mobilni-slide-up" TargetMode="External"/><Relationship Id="rId751" Type="http://schemas.openxmlformats.org/officeDocument/2006/relationships/hyperlink" Target="https://reklama.cncenter.cz/Online/branding-cross-device" TargetMode="External"/><Relationship Id="rId849" Type="http://schemas.openxmlformats.org/officeDocument/2006/relationships/hyperlink" Target="https://doupe.zive.cz/" TargetMode="External"/><Relationship Id="rId1174" Type="http://schemas.openxmlformats.org/officeDocument/2006/relationships/hyperlink" Target="https://www.facebook.com/business/ads-guide/image/facebook-feed" TargetMode="External"/><Relationship Id="rId1381" Type="http://schemas.openxmlformats.org/officeDocument/2006/relationships/hyperlink" Target="http://www.instagram.com/" TargetMode="External"/><Relationship Id="rId1479" Type="http://schemas.openxmlformats.org/officeDocument/2006/relationships/hyperlink" Target="https://reklama.cncenter.cz/Online/double-skyscraper" TargetMode="External"/><Relationship Id="rId1686" Type="http://schemas.openxmlformats.org/officeDocument/2006/relationships/hyperlink" Target="https://mobilmania.cz/" TargetMode="External"/><Relationship Id="rId2225" Type="http://schemas.openxmlformats.org/officeDocument/2006/relationships/hyperlink" Target="https://reflex.cz/" TargetMode="External"/><Relationship Id="rId2432" Type="http://schemas.openxmlformats.org/officeDocument/2006/relationships/hyperlink" Target="https://zive.cz/" TargetMode="External"/><Relationship Id="rId404" Type="http://schemas.openxmlformats.org/officeDocument/2006/relationships/hyperlink" Target="https://autorevue.cz/" TargetMode="External"/><Relationship Id="rId611" Type="http://schemas.openxmlformats.org/officeDocument/2006/relationships/hyperlink" Target="https://bleskprozeny.cz/" TargetMode="External"/><Relationship Id="rId1034" Type="http://schemas.openxmlformats.org/officeDocument/2006/relationships/hyperlink" Target="https://evropa2.cz/" TargetMode="External"/><Relationship Id="rId1241" Type="http://schemas.openxmlformats.org/officeDocument/2006/relationships/hyperlink" Target="https://fitweb.cz/" TargetMode="External"/><Relationship Id="rId1339" Type="http://schemas.openxmlformats.org/officeDocument/2006/relationships/hyperlink" Target="https://reklama.cncenter.cz/Online/mobilni-interscroller" TargetMode="External"/><Relationship Id="rId1893" Type="http://schemas.openxmlformats.org/officeDocument/2006/relationships/hyperlink" Target="https://motogpsport.cz/" TargetMode="External"/><Relationship Id="rId709" Type="http://schemas.openxmlformats.org/officeDocument/2006/relationships/hyperlink" Target="https://reklama.cncenter.cz/Online/Videospot" TargetMode="External"/><Relationship Id="rId916" Type="http://schemas.openxmlformats.org/officeDocument/2006/relationships/hyperlink" Target="https://reklama.cncenter.cz/Online/billboard-bottom" TargetMode="External"/><Relationship Id="rId1101" Type="http://schemas.openxmlformats.org/officeDocument/2006/relationships/hyperlink" Target="https://reklama.cncenter.cz/Online/mobilni-interscroller" TargetMode="External"/><Relationship Id="rId1546" Type="http://schemas.openxmlformats.org/officeDocument/2006/relationships/hyperlink" Target="https://lideazeme.cz/" TargetMode="External"/><Relationship Id="rId1753" Type="http://schemas.openxmlformats.org/officeDocument/2006/relationships/hyperlink" Target="https://reklama.cncenter.cz/Online/branding-cross-device" TargetMode="External"/><Relationship Id="rId1960" Type="http://schemas.openxmlformats.org/officeDocument/2006/relationships/hyperlink" Target="http://nemovitosti.blesk.cz/" TargetMode="External"/><Relationship Id="rId45" Type="http://schemas.openxmlformats.org/officeDocument/2006/relationships/hyperlink" Target="https://abecedazahrady.dama.cz/" TargetMode="External"/><Relationship Id="rId1406" Type="http://schemas.openxmlformats.org/officeDocument/2006/relationships/hyperlink" Target="http://www.instagram.com/" TargetMode="External"/><Relationship Id="rId1613" Type="http://schemas.openxmlformats.org/officeDocument/2006/relationships/hyperlink" Target="https://maminka.cz/" TargetMode="External"/><Relationship Id="rId1820" Type="http://schemas.openxmlformats.org/officeDocument/2006/relationships/hyperlink" Target="https://mojezdravi.cz/" TargetMode="External"/><Relationship Id="rId194" Type="http://schemas.openxmlformats.org/officeDocument/2006/relationships/hyperlink" Target="https://ahaonline.cz/" TargetMode="External"/><Relationship Id="rId1918" Type="http://schemas.openxmlformats.org/officeDocument/2006/relationships/hyperlink" Target="https://reklama.cncenter.cz/Online/branding-cross-device" TargetMode="External"/><Relationship Id="rId2082" Type="http://schemas.openxmlformats.org/officeDocument/2006/relationships/hyperlink" Target="https://reklama.cncenter.cz/Online/double-skyscraper" TargetMode="External"/><Relationship Id="rId261" Type="http://schemas.openxmlformats.org/officeDocument/2006/relationships/hyperlink" Target="https://reklama.cncenter.cz/Online/double-skyscraper" TargetMode="External"/><Relationship Id="rId499" Type="http://schemas.openxmlformats.org/officeDocument/2006/relationships/hyperlink" Target="https://reklama.cncenter.cz/Online/branding" TargetMode="External"/><Relationship Id="rId2387" Type="http://schemas.openxmlformats.org/officeDocument/2006/relationships/hyperlink" Target="https://zeny.cz/" TargetMode="External"/><Relationship Id="rId359" Type="http://schemas.openxmlformats.org/officeDocument/2006/relationships/hyperlink" Target="https://autorevue.cz/" TargetMode="External"/><Relationship Id="rId566" Type="http://schemas.openxmlformats.org/officeDocument/2006/relationships/hyperlink" Target="https://bleskprozeny.cz/" TargetMode="External"/><Relationship Id="rId773" Type="http://schemas.openxmlformats.org/officeDocument/2006/relationships/hyperlink" Target="https://reklama.cncenter.cz/Online/Bumper" TargetMode="External"/><Relationship Id="rId1196" Type="http://schemas.openxmlformats.org/officeDocument/2006/relationships/hyperlink" Target="http://www.facebook.com/" TargetMode="External"/><Relationship Id="rId2247" Type="http://schemas.openxmlformats.org/officeDocument/2006/relationships/hyperlink" Target="https://sportrevue.cz/" TargetMode="External"/><Relationship Id="rId2454" Type="http://schemas.openxmlformats.org/officeDocument/2006/relationships/hyperlink" Target="https://zive.cz/" TargetMode="External"/><Relationship Id="rId121" Type="http://schemas.openxmlformats.org/officeDocument/2006/relationships/hyperlink" Target="https://reklama.cncenter.cz/Online/mobilni-interscroller" TargetMode="External"/><Relationship Id="rId219" Type="http://schemas.openxmlformats.org/officeDocument/2006/relationships/hyperlink" Target="https://ahaonline.cz/" TargetMode="External"/><Relationship Id="rId426" Type="http://schemas.openxmlformats.org/officeDocument/2006/relationships/hyperlink" Target="https://reklama.cncenter.cz/Online/branding" TargetMode="External"/><Relationship Id="rId633" Type="http://schemas.openxmlformats.org/officeDocument/2006/relationships/hyperlink" Target="https://reklama.cncenter.cz/Online/branding-cross-device" TargetMode="External"/><Relationship Id="rId980" Type="http://schemas.openxmlformats.org/officeDocument/2006/relationships/hyperlink" Target="https://reklama.cncenter.cz/Online/nativni-PR-premium" TargetMode="External"/><Relationship Id="rId1056" Type="http://schemas.openxmlformats.org/officeDocument/2006/relationships/hyperlink" Target="https://evropa2.cz/" TargetMode="External"/><Relationship Id="rId1263" Type="http://schemas.openxmlformats.org/officeDocument/2006/relationships/hyperlink" Target="https://fitweb.cz/" TargetMode="External"/><Relationship Id="rId2107" Type="http://schemas.openxmlformats.org/officeDocument/2006/relationships/hyperlink" Target="https://recepty.cz/" TargetMode="External"/><Relationship Id="rId2314" Type="http://schemas.openxmlformats.org/officeDocument/2006/relationships/hyperlink" Target="https://reklama.cncenter.cz/Online/double-skyscraper" TargetMode="External"/><Relationship Id="rId840" Type="http://schemas.openxmlformats.org/officeDocument/2006/relationships/hyperlink" Target="https://digiarena.zive.cz/" TargetMode="External"/><Relationship Id="rId938" Type="http://schemas.openxmlformats.org/officeDocument/2006/relationships/hyperlink" Target="https://dama.cz/" TargetMode="External"/><Relationship Id="rId1470" Type="http://schemas.openxmlformats.org/officeDocument/2006/relationships/hyperlink" Target="https://reklama.cncenter.cz/Online/branding" TargetMode="External"/><Relationship Id="rId1568" Type="http://schemas.openxmlformats.org/officeDocument/2006/relationships/hyperlink" Target="https://maminka.cz/" TargetMode="External"/><Relationship Id="rId1775" Type="http://schemas.openxmlformats.org/officeDocument/2006/relationships/hyperlink" Target="https://mojezdravi.cz/" TargetMode="External"/><Relationship Id="rId67" Type="http://schemas.openxmlformats.org/officeDocument/2006/relationships/hyperlink" Target="https://abecedazahrady.dama.cz/" TargetMode="External"/><Relationship Id="rId700" Type="http://schemas.openxmlformats.org/officeDocument/2006/relationships/hyperlink" Target="https://reklama.cncenter.cz/Online/Smarticle" TargetMode="External"/><Relationship Id="rId1123" Type="http://schemas.openxmlformats.org/officeDocument/2006/relationships/hyperlink" Target="https://f1sport.auto.cz/" TargetMode="External"/><Relationship Id="rId1330" Type="http://schemas.openxmlformats.org/officeDocument/2006/relationships/hyperlink" Target="https://reklama.cncenter.cz/Online/nativni-rectangle-cross-device" TargetMode="External"/><Relationship Id="rId1428" Type="http://schemas.openxmlformats.org/officeDocument/2006/relationships/hyperlink" Target="http://www.instagram.com/" TargetMode="External"/><Relationship Id="rId1635" Type="http://schemas.openxmlformats.org/officeDocument/2006/relationships/hyperlink" Target="https://maminka.cz/" TargetMode="External"/><Relationship Id="rId1982" Type="http://schemas.openxmlformats.org/officeDocument/2006/relationships/hyperlink" Target="http://nemovitosti.blesk.cz/" TargetMode="External"/><Relationship Id="rId1842" Type="http://schemas.openxmlformats.org/officeDocument/2006/relationships/hyperlink" Target="https://motogpsport.cz/" TargetMode="External"/><Relationship Id="rId1702" Type="http://schemas.openxmlformats.org/officeDocument/2006/relationships/hyperlink" Target="https://reklama.cncenter.cz/Online/nativni-rectangle-cross-device" TargetMode="External"/><Relationship Id="rId283" Type="http://schemas.openxmlformats.org/officeDocument/2006/relationships/hyperlink" Target="https://auto.cz/" TargetMode="External"/><Relationship Id="rId490" Type="http://schemas.openxmlformats.org/officeDocument/2006/relationships/hyperlink" Target="https://reklama.cncenter.cz/?ads=PR%2520%25C4%258Dl%25C3%25A1nky" TargetMode="External"/><Relationship Id="rId2171" Type="http://schemas.openxmlformats.org/officeDocument/2006/relationships/hyperlink" Target="https://reflex.cz/" TargetMode="External"/></Relationships>
</file>

<file path=xl/worksheets/_rels/sheet3.xml.rels><?xml version="1.0" encoding="UTF-8" standalone="yes"?>
<Relationships xmlns="http://schemas.openxmlformats.org/package/2006/relationships"><Relationship Id="rId1522" Type="http://schemas.openxmlformats.org/officeDocument/2006/relationships/hyperlink" Target="https://reklama.cncenter.cz/Online/nativni-rectangle-cross-device" TargetMode="External"/><Relationship Id="rId1827" Type="http://schemas.openxmlformats.org/officeDocument/2006/relationships/hyperlink" Target="https://motogpsport.cz/" TargetMode="External"/><Relationship Id="rId21" Type="http://schemas.openxmlformats.org/officeDocument/2006/relationships/hyperlink" Target="https://abecedazahrady.dama.cz/" TargetMode="External"/><Relationship Id="rId2089" Type="http://schemas.openxmlformats.org/officeDocument/2006/relationships/hyperlink" Target="https://recepty.cz/" TargetMode="External"/><Relationship Id="rId170" Type="http://schemas.openxmlformats.org/officeDocument/2006/relationships/hyperlink" Target="https://ahaonline.cz/" TargetMode="External"/><Relationship Id="rId2296" Type="http://schemas.openxmlformats.org/officeDocument/2006/relationships/hyperlink" Target="https://vtm.zive.cz/" TargetMode="External"/><Relationship Id="rId268" Type="http://schemas.openxmlformats.org/officeDocument/2006/relationships/hyperlink" Target="https://auto.cz/" TargetMode="External"/><Relationship Id="rId475" Type="http://schemas.openxmlformats.org/officeDocument/2006/relationships/hyperlink" Target="https://avmania.zive.cz/" TargetMode="External"/><Relationship Id="rId682" Type="http://schemas.openxmlformats.org/officeDocument/2006/relationships/hyperlink" Target="https://reklama.cncenter.cz/Online/branding" TargetMode="External"/><Relationship Id="rId2156" Type="http://schemas.openxmlformats.org/officeDocument/2006/relationships/hyperlink" Target="https://reflex.cz/" TargetMode="External"/><Relationship Id="rId2363" Type="http://schemas.openxmlformats.org/officeDocument/2006/relationships/hyperlink" Target="https://zeny.cz/" TargetMode="External"/><Relationship Id="rId128" Type="http://schemas.openxmlformats.org/officeDocument/2006/relationships/hyperlink" Target="https://abicko.cz/" TargetMode="External"/><Relationship Id="rId335" Type="http://schemas.openxmlformats.org/officeDocument/2006/relationships/hyperlink" Target="https://autorevue.cz/" TargetMode="External"/><Relationship Id="rId542" Type="http://schemas.openxmlformats.org/officeDocument/2006/relationships/hyperlink" Target="https://blesk.cz/" TargetMode="External"/><Relationship Id="rId987" Type="http://schemas.openxmlformats.org/officeDocument/2006/relationships/hyperlink" Target="https://dama.cz/" TargetMode="External"/><Relationship Id="rId1172" Type="http://schemas.openxmlformats.org/officeDocument/2006/relationships/hyperlink" Target="http://www.facebook.com/" TargetMode="External"/><Relationship Id="rId2016" Type="http://schemas.openxmlformats.org/officeDocument/2006/relationships/hyperlink" Target="https://reklama.cncenter.cz/Online/branding" TargetMode="External"/><Relationship Id="rId2223" Type="http://schemas.openxmlformats.org/officeDocument/2006/relationships/hyperlink" Target="https://reflex.cz/" TargetMode="External"/><Relationship Id="rId2430" Type="http://schemas.openxmlformats.org/officeDocument/2006/relationships/hyperlink" Target="https://reklama.cncenter.cz/Online/mobilni-slide-up" TargetMode="External"/><Relationship Id="rId402" Type="http://schemas.openxmlformats.org/officeDocument/2006/relationships/hyperlink" Target="https://autorevue.cz/" TargetMode="External"/><Relationship Id="rId847" Type="http://schemas.openxmlformats.org/officeDocument/2006/relationships/hyperlink" Target="https://reklama.cncenter.cz/Online/billboard-bottom" TargetMode="External"/><Relationship Id="rId1032" Type="http://schemas.openxmlformats.org/officeDocument/2006/relationships/hyperlink" Target="https://evropa2.cz/" TargetMode="External"/><Relationship Id="rId1477" Type="http://schemas.openxmlformats.org/officeDocument/2006/relationships/hyperlink" Target="https://reklama.cncenter.cz/Online/Outstream" TargetMode="External"/><Relationship Id="rId1684" Type="http://schemas.openxmlformats.org/officeDocument/2006/relationships/hyperlink" Target="https://reklama.cncenter.cz/Online/branding" TargetMode="External"/><Relationship Id="rId1891" Type="http://schemas.openxmlformats.org/officeDocument/2006/relationships/hyperlink" Target="https://motogpsport.cz/" TargetMode="External"/><Relationship Id="rId707" Type="http://schemas.openxmlformats.org/officeDocument/2006/relationships/hyperlink" Target="https://reklama.cncenter.cz/Online/branding" TargetMode="External"/><Relationship Id="rId914" Type="http://schemas.openxmlformats.org/officeDocument/2006/relationships/hyperlink" Target="https://dama.cz/" TargetMode="External"/><Relationship Id="rId1337" Type="http://schemas.openxmlformats.org/officeDocument/2006/relationships/hyperlink" Target="https://frekvence1.cz/" TargetMode="External"/><Relationship Id="rId1544" Type="http://schemas.openxmlformats.org/officeDocument/2006/relationships/hyperlink" Target="https://reklama.cncenter.cz/Online/nativni-rectangle-cross-device" TargetMode="External"/><Relationship Id="rId1751" Type="http://schemas.openxmlformats.org/officeDocument/2006/relationships/hyperlink" Target="https://mojezdravi.cz/" TargetMode="External"/><Relationship Id="rId1989" Type="http://schemas.openxmlformats.org/officeDocument/2006/relationships/hyperlink" Target="https://www.poggers.cz/" TargetMode="External"/><Relationship Id="rId43" Type="http://schemas.openxmlformats.org/officeDocument/2006/relationships/hyperlink" Target="https://reklama.cncenter.cz/Online/double-skyscraper" TargetMode="External"/><Relationship Id="rId1404" Type="http://schemas.openxmlformats.org/officeDocument/2006/relationships/hyperlink" Target="http://www.instagram.com/" TargetMode="External"/><Relationship Id="rId1611" Type="http://schemas.openxmlformats.org/officeDocument/2006/relationships/hyperlink" Target="https://reklama.cncenter.cz/Online/Videospot" TargetMode="External"/><Relationship Id="rId1849" Type="http://schemas.openxmlformats.org/officeDocument/2006/relationships/hyperlink" Target="https://reklama.cncenter.cz/Online/double-skyscraper" TargetMode="External"/><Relationship Id="rId192" Type="http://schemas.openxmlformats.org/officeDocument/2006/relationships/hyperlink" Target="https://reklama.cncenter.cz/Online/nativni-PR-premium" TargetMode="External"/><Relationship Id="rId1709" Type="http://schemas.openxmlformats.org/officeDocument/2006/relationships/hyperlink" Target="https://mobilmania.cz/" TargetMode="External"/><Relationship Id="rId1916" Type="http://schemas.openxmlformats.org/officeDocument/2006/relationships/hyperlink" Target="https://nemovitosti.blesk.cz/" TargetMode="External"/><Relationship Id="rId497" Type="http://schemas.openxmlformats.org/officeDocument/2006/relationships/hyperlink" Target="https://reklama.cncenter.cz/Online/billboard-bottom" TargetMode="External"/><Relationship Id="rId2080" Type="http://schemas.openxmlformats.org/officeDocument/2006/relationships/hyperlink" Target="https://recepty.cz/" TargetMode="External"/><Relationship Id="rId2178" Type="http://schemas.openxmlformats.org/officeDocument/2006/relationships/hyperlink" Target="https://reklama.cncenter.cz/Online/mobilni-slide-up" TargetMode="External"/><Relationship Id="rId2385" Type="http://schemas.openxmlformats.org/officeDocument/2006/relationships/hyperlink" Target="https://zeny.cz/" TargetMode="External"/><Relationship Id="rId357" Type="http://schemas.openxmlformats.org/officeDocument/2006/relationships/hyperlink" Target="https://reklama.cncenter.cz/Online/mobilni-vineta" TargetMode="External"/><Relationship Id="rId1194" Type="http://schemas.openxmlformats.org/officeDocument/2006/relationships/hyperlink" Target="http://www.facebook.com/" TargetMode="External"/><Relationship Id="rId2038" Type="http://schemas.openxmlformats.org/officeDocument/2006/relationships/hyperlink" Target="https://www.realitnitrh.cz/" TargetMode="External"/><Relationship Id="rId217" Type="http://schemas.openxmlformats.org/officeDocument/2006/relationships/hyperlink" Target="https://ahaonline.cz/" TargetMode="External"/><Relationship Id="rId564" Type="http://schemas.openxmlformats.org/officeDocument/2006/relationships/hyperlink" Target="https://reklama.cncenter.cz/Online/branding" TargetMode="External"/><Relationship Id="rId771" Type="http://schemas.openxmlformats.org/officeDocument/2006/relationships/hyperlink" Target="https://reklama.cncenter.cz/Online/Outstream" TargetMode="External"/><Relationship Id="rId869" Type="http://schemas.openxmlformats.org/officeDocument/2006/relationships/hyperlink" Target="https://doupe.zive.cz/" TargetMode="External"/><Relationship Id="rId1499" Type="http://schemas.openxmlformats.org/officeDocument/2006/relationships/hyperlink" Target="https://lideazeme.cz/" TargetMode="External"/><Relationship Id="rId2245" Type="http://schemas.openxmlformats.org/officeDocument/2006/relationships/hyperlink" Target="https://sportrevue.cz/" TargetMode="External"/><Relationship Id="rId2452" Type="http://schemas.openxmlformats.org/officeDocument/2006/relationships/hyperlink" Target="https://zive.cz/" TargetMode="External"/><Relationship Id="rId424" Type="http://schemas.openxmlformats.org/officeDocument/2006/relationships/hyperlink" Target="https://avmania.zive.cz/" TargetMode="External"/><Relationship Id="rId631" Type="http://schemas.openxmlformats.org/officeDocument/2006/relationships/hyperlink" Target="https://reklama.cncenter.cz/Online/Bumper" TargetMode="External"/><Relationship Id="rId729" Type="http://schemas.openxmlformats.org/officeDocument/2006/relationships/hyperlink" Target="https://reklama.cncenter.cz/Online/billboard-bottom" TargetMode="External"/><Relationship Id="rId1054" Type="http://schemas.openxmlformats.org/officeDocument/2006/relationships/hyperlink" Target="https://reklama.cncenter.cz/Online/Bumper" TargetMode="External"/><Relationship Id="rId1261" Type="http://schemas.openxmlformats.org/officeDocument/2006/relationships/hyperlink" Target="https://reklama.cncenter.cz/Online/mobilni-slide-up" TargetMode="External"/><Relationship Id="rId1359" Type="http://schemas.openxmlformats.org/officeDocument/2006/relationships/hyperlink" Target="https://hledejceny.cz/" TargetMode="External"/><Relationship Id="rId2105" Type="http://schemas.openxmlformats.org/officeDocument/2006/relationships/hyperlink" Target="https://recepty.cz/" TargetMode="External"/><Relationship Id="rId2312" Type="http://schemas.openxmlformats.org/officeDocument/2006/relationships/hyperlink" Target="https://youradio.cz/" TargetMode="External"/><Relationship Id="rId936" Type="http://schemas.openxmlformats.org/officeDocument/2006/relationships/hyperlink" Target="https://dama.cz/" TargetMode="External"/><Relationship Id="rId1121" Type="http://schemas.openxmlformats.org/officeDocument/2006/relationships/hyperlink" Target="https://reklama.cncenter.cz/Online/mobilni-interscroller" TargetMode="External"/><Relationship Id="rId1219" Type="http://schemas.openxmlformats.org/officeDocument/2006/relationships/hyperlink" Target="https://www.facebook.com/business/ads-guide/image/facebook-feed" TargetMode="External"/><Relationship Id="rId1566" Type="http://schemas.openxmlformats.org/officeDocument/2006/relationships/hyperlink" Target="https://maminka.cz/" TargetMode="External"/><Relationship Id="rId1773" Type="http://schemas.openxmlformats.org/officeDocument/2006/relationships/hyperlink" Target="https://mojezdravi.cz/" TargetMode="External"/><Relationship Id="rId1980" Type="http://schemas.openxmlformats.org/officeDocument/2006/relationships/hyperlink" Target="https://nemovitosti.blesk.cz/" TargetMode="External"/><Relationship Id="rId65" Type="http://schemas.openxmlformats.org/officeDocument/2006/relationships/hyperlink" Target="https://abecedazahrady.dama.cz/" TargetMode="External"/><Relationship Id="rId1426" Type="http://schemas.openxmlformats.org/officeDocument/2006/relationships/hyperlink" Target="http://www.instagram.com/" TargetMode="External"/><Relationship Id="rId1633" Type="http://schemas.openxmlformats.org/officeDocument/2006/relationships/hyperlink" Target="https://maminka.cz/" TargetMode="External"/><Relationship Id="rId1840" Type="http://schemas.openxmlformats.org/officeDocument/2006/relationships/hyperlink" Target="https://reklama.cncenter.cz/Online/billboard-bottom" TargetMode="External"/><Relationship Id="rId1700" Type="http://schemas.openxmlformats.org/officeDocument/2006/relationships/hyperlink" Target="https://mobilmania.cz/" TargetMode="External"/><Relationship Id="rId1938" Type="http://schemas.openxmlformats.org/officeDocument/2006/relationships/hyperlink" Target="https://reklama.cncenter.cz/Online/nativni-rectangle-cross-device" TargetMode="External"/><Relationship Id="rId281" Type="http://schemas.openxmlformats.org/officeDocument/2006/relationships/hyperlink" Target="https://auto.cz/" TargetMode="External"/><Relationship Id="rId141" Type="http://schemas.openxmlformats.org/officeDocument/2006/relationships/hyperlink" Target="https://reklama.cncenter.cz/?ads=PR%2520%25C4%258Dl%25C3%25A1nky" TargetMode="External"/><Relationship Id="rId379" Type="http://schemas.openxmlformats.org/officeDocument/2006/relationships/hyperlink" Target="https://autorevue.cz/" TargetMode="External"/><Relationship Id="rId586" Type="http://schemas.openxmlformats.org/officeDocument/2006/relationships/hyperlink" Target="https://bleskprozeny.cz/" TargetMode="External"/><Relationship Id="rId793" Type="http://schemas.openxmlformats.org/officeDocument/2006/relationships/hyperlink" Target="https://reklama.cncenter.cz/Online/branding" TargetMode="External"/><Relationship Id="rId2267" Type="http://schemas.openxmlformats.org/officeDocument/2006/relationships/hyperlink" Target="https://vtm.zive.cz/" TargetMode="External"/><Relationship Id="rId2474" Type="http://schemas.openxmlformats.org/officeDocument/2006/relationships/hyperlink" Target="https://zive.cz/" TargetMode="External"/><Relationship Id="rId7" Type="http://schemas.openxmlformats.org/officeDocument/2006/relationships/hyperlink" Target="https://abecedazahrady.dama.cz/" TargetMode="External"/><Relationship Id="rId239" Type="http://schemas.openxmlformats.org/officeDocument/2006/relationships/hyperlink" Target="https://auto.cz/" TargetMode="External"/><Relationship Id="rId446" Type="http://schemas.openxmlformats.org/officeDocument/2006/relationships/hyperlink" Target="https://avmania.zive.cz/" TargetMode="External"/><Relationship Id="rId653" Type="http://schemas.openxmlformats.org/officeDocument/2006/relationships/hyperlink" Target="https://reklama.cncenter.cz/Online/Outstream" TargetMode="External"/><Relationship Id="rId1076" Type="http://schemas.openxmlformats.org/officeDocument/2006/relationships/hyperlink" Target="https://f1sport.auto.cz/" TargetMode="External"/><Relationship Id="rId1283" Type="http://schemas.openxmlformats.org/officeDocument/2006/relationships/hyperlink" Target="https://fitweb.cz/" TargetMode="External"/><Relationship Id="rId1490" Type="http://schemas.openxmlformats.org/officeDocument/2006/relationships/hyperlink" Target="https://lideazeme.cz/" TargetMode="External"/><Relationship Id="rId2127" Type="http://schemas.openxmlformats.org/officeDocument/2006/relationships/hyperlink" Target="https://recepty.cz/" TargetMode="External"/><Relationship Id="rId2334" Type="http://schemas.openxmlformats.org/officeDocument/2006/relationships/hyperlink" Target="https://reklama.cncenter.cz/Online/branding" TargetMode="External"/><Relationship Id="rId306" Type="http://schemas.openxmlformats.org/officeDocument/2006/relationships/hyperlink" Target="https://auto.cz/" TargetMode="External"/><Relationship Id="rId860" Type="http://schemas.openxmlformats.org/officeDocument/2006/relationships/hyperlink" Target="https://doupe.zive.cz/" TargetMode="External"/><Relationship Id="rId958" Type="http://schemas.openxmlformats.org/officeDocument/2006/relationships/hyperlink" Target="https://reklama.cncenter.cz/Online/Bumper" TargetMode="External"/><Relationship Id="rId1143" Type="http://schemas.openxmlformats.org/officeDocument/2006/relationships/hyperlink" Target="https://f1sport.auto.cz/" TargetMode="External"/><Relationship Id="rId1588" Type="http://schemas.openxmlformats.org/officeDocument/2006/relationships/hyperlink" Target="https://reklama.cncenter.cz/Online/mobilni-slide-up" TargetMode="External"/><Relationship Id="rId1795" Type="http://schemas.openxmlformats.org/officeDocument/2006/relationships/hyperlink" Target="https://mojezdravi.cz/" TargetMode="External"/><Relationship Id="rId87" Type="http://schemas.openxmlformats.org/officeDocument/2006/relationships/hyperlink" Target="https://abicko.cz/" TargetMode="External"/><Relationship Id="rId513" Type="http://schemas.openxmlformats.org/officeDocument/2006/relationships/hyperlink" Target="https://reklama.cncenter.cz/Online/Videospot" TargetMode="External"/><Relationship Id="rId720" Type="http://schemas.openxmlformats.org/officeDocument/2006/relationships/hyperlink" Target="https://reklama.cncenter.cz/Online/mobilni-slide-up" TargetMode="External"/><Relationship Id="rId818" Type="http://schemas.openxmlformats.org/officeDocument/2006/relationships/hyperlink" Target="https://digiarena.zive.cz/" TargetMode="External"/><Relationship Id="rId1350" Type="http://schemas.openxmlformats.org/officeDocument/2006/relationships/hyperlink" Target="https://frekvence1.cz/" TargetMode="External"/><Relationship Id="rId1448" Type="http://schemas.openxmlformats.org/officeDocument/2006/relationships/hyperlink" Target="http://www.instagram.com/" TargetMode="External"/><Relationship Id="rId1655" Type="http://schemas.openxmlformats.org/officeDocument/2006/relationships/hyperlink" Target="https://reklama.cncenter.cz/Online/Outstream" TargetMode="External"/><Relationship Id="rId2401" Type="http://schemas.openxmlformats.org/officeDocument/2006/relationships/hyperlink" Target="https://reklama.cncenter.cz/Online/Bumper" TargetMode="External"/><Relationship Id="rId1003" Type="http://schemas.openxmlformats.org/officeDocument/2006/relationships/hyperlink" Target="https://reklama.cncenter.cz/Online/branding-cross-device" TargetMode="External"/><Relationship Id="rId1210" Type="http://schemas.openxmlformats.org/officeDocument/2006/relationships/hyperlink" Target="https://www.facebook.com/business/ads-guide/image/facebook-feed" TargetMode="External"/><Relationship Id="rId1308" Type="http://schemas.openxmlformats.org/officeDocument/2006/relationships/hyperlink" Target="https://frekvence1.cz/" TargetMode="External"/><Relationship Id="rId1862" Type="http://schemas.openxmlformats.org/officeDocument/2006/relationships/hyperlink" Target="https://motogpsport.cz/" TargetMode="External"/><Relationship Id="rId1515" Type="http://schemas.openxmlformats.org/officeDocument/2006/relationships/hyperlink" Target="https://lideazeme.cz/" TargetMode="External"/><Relationship Id="rId1722" Type="http://schemas.openxmlformats.org/officeDocument/2006/relationships/hyperlink" Target="https://reklama.cncenter.cz/Online/mobilni-vineta" TargetMode="External"/><Relationship Id="rId14" Type="http://schemas.openxmlformats.org/officeDocument/2006/relationships/hyperlink" Target="https://reklama.cncenter.cz/Online/billboard-bottom" TargetMode="External"/><Relationship Id="rId2191" Type="http://schemas.openxmlformats.org/officeDocument/2006/relationships/hyperlink" Target="https://reflex.cz/" TargetMode="External"/><Relationship Id="rId163" Type="http://schemas.openxmlformats.org/officeDocument/2006/relationships/hyperlink" Target="https://ahaonline.cz/" TargetMode="External"/><Relationship Id="rId370" Type="http://schemas.openxmlformats.org/officeDocument/2006/relationships/hyperlink" Target="https://autorevue.cz/" TargetMode="External"/><Relationship Id="rId2051" Type="http://schemas.openxmlformats.org/officeDocument/2006/relationships/hyperlink" Target="https://www.realitnitrh.cz/" TargetMode="External"/><Relationship Id="rId2289" Type="http://schemas.openxmlformats.org/officeDocument/2006/relationships/hyperlink" Target="https://reklama.cncenter.cz/Online/double-skyscraper" TargetMode="External"/><Relationship Id="rId230" Type="http://schemas.openxmlformats.org/officeDocument/2006/relationships/hyperlink" Target="https://ahaonline.cz/" TargetMode="External"/><Relationship Id="rId468" Type="http://schemas.openxmlformats.org/officeDocument/2006/relationships/hyperlink" Target="https://avmania.zive.cz/" TargetMode="External"/><Relationship Id="rId675" Type="http://schemas.openxmlformats.org/officeDocument/2006/relationships/hyperlink" Target="https://reklama.cncenter.cz/Online/mobilni-vineta" TargetMode="External"/><Relationship Id="rId882" Type="http://schemas.openxmlformats.org/officeDocument/2006/relationships/hyperlink" Target="https://doupe.zive.cz/" TargetMode="External"/><Relationship Id="rId1098" Type="http://schemas.openxmlformats.org/officeDocument/2006/relationships/hyperlink" Target="https://reklama.cncenter.cz/Online/double-skyscraper" TargetMode="External"/><Relationship Id="rId2149" Type="http://schemas.openxmlformats.org/officeDocument/2006/relationships/hyperlink" Target="https://reflex.cz/" TargetMode="External"/><Relationship Id="rId2356" Type="http://schemas.openxmlformats.org/officeDocument/2006/relationships/hyperlink" Target="https://zeny.cz/" TargetMode="External"/><Relationship Id="rId328" Type="http://schemas.openxmlformats.org/officeDocument/2006/relationships/hyperlink" Target="https://autorevue.cz/" TargetMode="External"/><Relationship Id="rId535" Type="http://schemas.openxmlformats.org/officeDocument/2006/relationships/hyperlink" Target="https://reklama.cncenter.cz/Online/mobilni-interscroller" TargetMode="External"/><Relationship Id="rId742" Type="http://schemas.openxmlformats.org/officeDocument/2006/relationships/hyperlink" Target="https://reklama.cncenter.cz/Online/Videospot" TargetMode="External"/><Relationship Id="rId1165" Type="http://schemas.openxmlformats.org/officeDocument/2006/relationships/hyperlink" Target="https://www.facebook.com/business/ads-guide/image/facebook-feed" TargetMode="External"/><Relationship Id="rId1372" Type="http://schemas.openxmlformats.org/officeDocument/2006/relationships/hyperlink" Target="https://reklama.cncenter.cz/Online/branding" TargetMode="External"/><Relationship Id="rId2009" Type="http://schemas.openxmlformats.org/officeDocument/2006/relationships/hyperlink" Target="https://www.realitnitrh.cz/" TargetMode="External"/><Relationship Id="rId2216" Type="http://schemas.openxmlformats.org/officeDocument/2006/relationships/hyperlink" Target="https://reflex.cz/" TargetMode="External"/><Relationship Id="rId2423" Type="http://schemas.openxmlformats.org/officeDocument/2006/relationships/hyperlink" Target="https://zive.cz/" TargetMode="External"/><Relationship Id="rId602" Type="http://schemas.openxmlformats.org/officeDocument/2006/relationships/hyperlink" Target="https://reklama.cncenter.cz/Online/mobilni-interscroller" TargetMode="External"/><Relationship Id="rId1025" Type="http://schemas.openxmlformats.org/officeDocument/2006/relationships/hyperlink" Target="https://evropa2.cz/" TargetMode="External"/><Relationship Id="rId1232" Type="http://schemas.openxmlformats.org/officeDocument/2006/relationships/hyperlink" Target="https://finexpert.cz/" TargetMode="External"/><Relationship Id="rId1677" Type="http://schemas.openxmlformats.org/officeDocument/2006/relationships/hyperlink" Target="https://mobilmania.cz/" TargetMode="External"/><Relationship Id="rId1884" Type="http://schemas.openxmlformats.org/officeDocument/2006/relationships/hyperlink" Target="https://motogpsport.cz/" TargetMode="External"/><Relationship Id="rId907" Type="http://schemas.openxmlformats.org/officeDocument/2006/relationships/hyperlink" Target="https://doupe.zive.cz/" TargetMode="External"/><Relationship Id="rId1537" Type="http://schemas.openxmlformats.org/officeDocument/2006/relationships/hyperlink" Target="https://lideazeme.cz/" TargetMode="External"/><Relationship Id="rId1744" Type="http://schemas.openxmlformats.org/officeDocument/2006/relationships/hyperlink" Target="https://mobilmania.cz/" TargetMode="External"/><Relationship Id="rId1951" Type="http://schemas.openxmlformats.org/officeDocument/2006/relationships/hyperlink" Target="https://nemovitosti.blesk.cz/" TargetMode="External"/><Relationship Id="rId36" Type="http://schemas.openxmlformats.org/officeDocument/2006/relationships/hyperlink" Target="https://abecedazahrady.dama.cz/" TargetMode="External"/><Relationship Id="rId1604" Type="http://schemas.openxmlformats.org/officeDocument/2006/relationships/hyperlink" Target="https://maminka.cz/" TargetMode="External"/><Relationship Id="rId185" Type="http://schemas.openxmlformats.org/officeDocument/2006/relationships/hyperlink" Target="https://ahaonline.cz/" TargetMode="External"/><Relationship Id="rId1811" Type="http://schemas.openxmlformats.org/officeDocument/2006/relationships/hyperlink" Target="https://reklama.cncenter.cz/Online/nativni-rectangle-cross-device" TargetMode="External"/><Relationship Id="rId1909" Type="http://schemas.openxmlformats.org/officeDocument/2006/relationships/hyperlink" Target="https://nemovitosti.blesk.cz/" TargetMode="External"/><Relationship Id="rId392" Type="http://schemas.openxmlformats.org/officeDocument/2006/relationships/hyperlink" Target="https://autorevue.cz/" TargetMode="External"/><Relationship Id="rId697" Type="http://schemas.openxmlformats.org/officeDocument/2006/relationships/hyperlink" Target="https://reklama.cncenter.cz/Online/mobilni-vineta" TargetMode="External"/><Relationship Id="rId2073" Type="http://schemas.openxmlformats.org/officeDocument/2006/relationships/hyperlink" Target="https://reklama.cncenter.cz/Online/billboard-bottom" TargetMode="External"/><Relationship Id="rId2280" Type="http://schemas.openxmlformats.org/officeDocument/2006/relationships/hyperlink" Target="https://reklama.cncenter.cz/Online/mobilni-vineta" TargetMode="External"/><Relationship Id="rId2378" Type="http://schemas.openxmlformats.org/officeDocument/2006/relationships/hyperlink" Target="https://reklama.cncenter.cz/Online/mobilni-vineta" TargetMode="External"/><Relationship Id="rId252" Type="http://schemas.openxmlformats.org/officeDocument/2006/relationships/hyperlink" Target="https://reklama.cncenter.cz/Online/billboard-bottom" TargetMode="External"/><Relationship Id="rId1187" Type="http://schemas.openxmlformats.org/officeDocument/2006/relationships/hyperlink" Target="http://www.facebook.com/" TargetMode="External"/><Relationship Id="rId2140" Type="http://schemas.openxmlformats.org/officeDocument/2006/relationships/hyperlink" Target="https://recepty.cz/" TargetMode="External"/><Relationship Id="rId112" Type="http://schemas.openxmlformats.org/officeDocument/2006/relationships/hyperlink" Target="https://abicko.cz/" TargetMode="External"/><Relationship Id="rId557" Type="http://schemas.openxmlformats.org/officeDocument/2006/relationships/hyperlink" Target="https://bleskprozeny.cz/" TargetMode="External"/><Relationship Id="rId764" Type="http://schemas.openxmlformats.org/officeDocument/2006/relationships/hyperlink" Target="https://reklama.cncenter.cz/Online/Bumper" TargetMode="External"/><Relationship Id="rId971" Type="http://schemas.openxmlformats.org/officeDocument/2006/relationships/hyperlink" Target="https://dama.cz/" TargetMode="External"/><Relationship Id="rId1394" Type="http://schemas.openxmlformats.org/officeDocument/2006/relationships/hyperlink" Target="http://www.instagram.com/" TargetMode="External"/><Relationship Id="rId1699" Type="http://schemas.openxmlformats.org/officeDocument/2006/relationships/hyperlink" Target="https://reklama.cncenter.cz/Online/nativni-PR-premium" TargetMode="External"/><Relationship Id="rId2000" Type="http://schemas.openxmlformats.org/officeDocument/2006/relationships/hyperlink" Target="https://www.realitnitrh.cz/" TargetMode="External"/><Relationship Id="rId2238" Type="http://schemas.openxmlformats.org/officeDocument/2006/relationships/hyperlink" Target="https://sportrevue.cz/" TargetMode="External"/><Relationship Id="rId2445" Type="http://schemas.openxmlformats.org/officeDocument/2006/relationships/hyperlink" Target="https://reklama.cncenter.cz/Online/Bumper" TargetMode="External"/><Relationship Id="rId417" Type="http://schemas.openxmlformats.org/officeDocument/2006/relationships/hyperlink" Target="https://reklama.cncenter.cz/Online/branding" TargetMode="External"/><Relationship Id="rId624" Type="http://schemas.openxmlformats.org/officeDocument/2006/relationships/hyperlink" Target="https://bleskprozeny.cz/" TargetMode="External"/><Relationship Id="rId831" Type="http://schemas.openxmlformats.org/officeDocument/2006/relationships/hyperlink" Target="https://digiarena.zive.cz/" TargetMode="External"/><Relationship Id="rId1047" Type="http://schemas.openxmlformats.org/officeDocument/2006/relationships/hyperlink" Target="https://evropa2.cz/" TargetMode="External"/><Relationship Id="rId1254" Type="http://schemas.openxmlformats.org/officeDocument/2006/relationships/hyperlink" Target="https://fitweb.cz/" TargetMode="External"/><Relationship Id="rId1461" Type="http://schemas.openxmlformats.org/officeDocument/2006/relationships/hyperlink" Target="http://www.instagram.com/" TargetMode="External"/><Relationship Id="rId2305" Type="http://schemas.openxmlformats.org/officeDocument/2006/relationships/hyperlink" Target="https://x.com/" TargetMode="External"/><Relationship Id="rId929" Type="http://schemas.openxmlformats.org/officeDocument/2006/relationships/hyperlink" Target="https://dama.cz/" TargetMode="External"/><Relationship Id="rId1114" Type="http://schemas.openxmlformats.org/officeDocument/2006/relationships/hyperlink" Target="https://f1sport.auto.cz/" TargetMode="External"/><Relationship Id="rId1321" Type="http://schemas.openxmlformats.org/officeDocument/2006/relationships/hyperlink" Target="https://reklama.cncenter.cz/Online/mobilni-interscroller" TargetMode="External"/><Relationship Id="rId1559" Type="http://schemas.openxmlformats.org/officeDocument/2006/relationships/hyperlink" Target="https://maminka.cz/" TargetMode="External"/><Relationship Id="rId1766" Type="http://schemas.openxmlformats.org/officeDocument/2006/relationships/hyperlink" Target="https://mojezdravi.cz/" TargetMode="External"/><Relationship Id="rId1973" Type="http://schemas.openxmlformats.org/officeDocument/2006/relationships/hyperlink" Target="https://nemovitosti.blesk.cz/" TargetMode="External"/><Relationship Id="rId58" Type="http://schemas.openxmlformats.org/officeDocument/2006/relationships/hyperlink" Target="https://abecedazahrady.dama.cz/" TargetMode="External"/><Relationship Id="rId1419" Type="http://schemas.openxmlformats.org/officeDocument/2006/relationships/hyperlink" Target="http://www.instagram.com/" TargetMode="External"/><Relationship Id="rId1626" Type="http://schemas.openxmlformats.org/officeDocument/2006/relationships/hyperlink" Target="https://maminka.cz/" TargetMode="External"/><Relationship Id="rId1833" Type="http://schemas.openxmlformats.org/officeDocument/2006/relationships/hyperlink" Target="https://motogpsport.cz/" TargetMode="External"/><Relationship Id="rId1900" Type="http://schemas.openxmlformats.org/officeDocument/2006/relationships/hyperlink" Target="https://nemovitosti.blesk.cz/" TargetMode="External"/><Relationship Id="rId2095" Type="http://schemas.openxmlformats.org/officeDocument/2006/relationships/hyperlink" Target="https://recepty.cz/" TargetMode="External"/><Relationship Id="rId274" Type="http://schemas.openxmlformats.org/officeDocument/2006/relationships/hyperlink" Target="https://auto.cz/" TargetMode="External"/><Relationship Id="rId481" Type="http://schemas.openxmlformats.org/officeDocument/2006/relationships/hyperlink" Target="https://blesk.cz/" TargetMode="External"/><Relationship Id="rId2162" Type="http://schemas.openxmlformats.org/officeDocument/2006/relationships/hyperlink" Target="https://reflex.cz/" TargetMode="External"/><Relationship Id="rId134" Type="http://schemas.openxmlformats.org/officeDocument/2006/relationships/hyperlink" Target="https://abicko.cz/" TargetMode="External"/><Relationship Id="rId579" Type="http://schemas.openxmlformats.org/officeDocument/2006/relationships/hyperlink" Target="https://reklama.cncenter.cz/Online/mobilni-vineta" TargetMode="External"/><Relationship Id="rId786" Type="http://schemas.openxmlformats.org/officeDocument/2006/relationships/hyperlink" Target="https://digiarena.zive.cz/" TargetMode="External"/><Relationship Id="rId993" Type="http://schemas.openxmlformats.org/officeDocument/2006/relationships/hyperlink" Target="https://dama.cz/" TargetMode="External"/><Relationship Id="rId2467" Type="http://schemas.openxmlformats.org/officeDocument/2006/relationships/hyperlink" Target="https://reklama.cncenter.cz/Online/nativni-rectangle-cross-device" TargetMode="External"/><Relationship Id="rId341" Type="http://schemas.openxmlformats.org/officeDocument/2006/relationships/hyperlink" Target="https://autorevue.cz/" TargetMode="External"/><Relationship Id="rId439" Type="http://schemas.openxmlformats.org/officeDocument/2006/relationships/hyperlink" Target="https://avmania.zive.cz/" TargetMode="External"/><Relationship Id="rId646" Type="http://schemas.openxmlformats.org/officeDocument/2006/relationships/hyperlink" Target="https://reklama.cncenter.cz/Online/Bumper" TargetMode="External"/><Relationship Id="rId1069" Type="http://schemas.openxmlformats.org/officeDocument/2006/relationships/hyperlink" Target="https://reklama.cncenter.cz/Online/mobilni-vineta" TargetMode="External"/><Relationship Id="rId1276" Type="http://schemas.openxmlformats.org/officeDocument/2006/relationships/hyperlink" Target="https://reklama.cncenter.cz/Online/mobilni-interscroller" TargetMode="External"/><Relationship Id="rId1483" Type="http://schemas.openxmlformats.org/officeDocument/2006/relationships/hyperlink" Target="https://reklama.cncenter.cz/Online/mobilni-vineta" TargetMode="External"/><Relationship Id="rId2022" Type="http://schemas.openxmlformats.org/officeDocument/2006/relationships/hyperlink" Target="https://reklama.cncenter.cz/Online/mobilni-interscroller" TargetMode="External"/><Relationship Id="rId2327" Type="http://schemas.openxmlformats.org/officeDocument/2006/relationships/hyperlink" Target="https://zeny.cz/" TargetMode="External"/><Relationship Id="rId201" Type="http://schemas.openxmlformats.org/officeDocument/2006/relationships/hyperlink" Target="https://reklama.cncenter.cz/Online/Bumper" TargetMode="External"/><Relationship Id="rId506" Type="http://schemas.openxmlformats.org/officeDocument/2006/relationships/hyperlink" Target="https://reklama.cncenter.cz/Online/mobilni-slide-up" TargetMode="External"/><Relationship Id="rId853" Type="http://schemas.openxmlformats.org/officeDocument/2006/relationships/hyperlink" Target="https://reklama.cncenter.cz/Online/branding" TargetMode="External"/><Relationship Id="rId1136" Type="http://schemas.openxmlformats.org/officeDocument/2006/relationships/hyperlink" Target="https://f1sport.auto.cz/" TargetMode="External"/><Relationship Id="rId1690" Type="http://schemas.openxmlformats.org/officeDocument/2006/relationships/hyperlink" Target="https://reklama.cncenter.cz/Online/mobilni-interscroller" TargetMode="External"/><Relationship Id="rId1788" Type="http://schemas.openxmlformats.org/officeDocument/2006/relationships/hyperlink" Target="https://mojezdravi.cz/" TargetMode="External"/><Relationship Id="rId1995" Type="http://schemas.openxmlformats.org/officeDocument/2006/relationships/hyperlink" Target="https://www.poggers.cz/" TargetMode="External"/><Relationship Id="rId713" Type="http://schemas.openxmlformats.org/officeDocument/2006/relationships/hyperlink" Target="https://reklama.cncenter.cz/Online/nativni-rectangle-cross-device" TargetMode="External"/><Relationship Id="rId920" Type="http://schemas.openxmlformats.org/officeDocument/2006/relationships/hyperlink" Target="https://dama.cz/" TargetMode="External"/><Relationship Id="rId1343" Type="http://schemas.openxmlformats.org/officeDocument/2006/relationships/hyperlink" Target="https://frekvence1.cz/" TargetMode="External"/><Relationship Id="rId1550" Type="http://schemas.openxmlformats.org/officeDocument/2006/relationships/hyperlink" Target="https://reklama.cncenter.cz/?ads=PR%2520%25C4%258Dl%25C3%25A1nky" TargetMode="External"/><Relationship Id="rId1648" Type="http://schemas.openxmlformats.org/officeDocument/2006/relationships/hyperlink" Target="https://reklama.cncenter.cz/Online/branding-cross-device" TargetMode="External"/><Relationship Id="rId1203" Type="http://schemas.openxmlformats.org/officeDocument/2006/relationships/hyperlink" Target="http://www.facebook.com/" TargetMode="External"/><Relationship Id="rId1410" Type="http://schemas.openxmlformats.org/officeDocument/2006/relationships/hyperlink" Target="http://www.instagram.com/" TargetMode="External"/><Relationship Id="rId1508" Type="http://schemas.openxmlformats.org/officeDocument/2006/relationships/hyperlink" Target="https://lideazeme.cz/" TargetMode="External"/><Relationship Id="rId1855" Type="http://schemas.openxmlformats.org/officeDocument/2006/relationships/hyperlink" Target="https://reklama.cncenter.cz/Online/mobilni-slide-up" TargetMode="External"/><Relationship Id="rId1715" Type="http://schemas.openxmlformats.org/officeDocument/2006/relationships/hyperlink" Target="https://mobilmania.cz/" TargetMode="External"/><Relationship Id="rId1922" Type="http://schemas.openxmlformats.org/officeDocument/2006/relationships/hyperlink" Target="https://reklama.cncenter.cz/Online/branding" TargetMode="External"/><Relationship Id="rId296" Type="http://schemas.openxmlformats.org/officeDocument/2006/relationships/hyperlink" Target="https://reklama.cncenter.cz/Online/mobilni-interscroller" TargetMode="External"/><Relationship Id="rId2184" Type="http://schemas.openxmlformats.org/officeDocument/2006/relationships/hyperlink" Target="https://reklama.cncenter.cz/Online/nativni-PR-premium" TargetMode="External"/><Relationship Id="rId2391" Type="http://schemas.openxmlformats.org/officeDocument/2006/relationships/hyperlink" Target="https://zeny.cz/" TargetMode="External"/><Relationship Id="rId156" Type="http://schemas.openxmlformats.org/officeDocument/2006/relationships/hyperlink" Target="https://www.activegroup.cz/reklama" TargetMode="External"/><Relationship Id="rId363" Type="http://schemas.openxmlformats.org/officeDocument/2006/relationships/hyperlink" Target="https://reklama.cncenter.cz/Online/nativni-rectangle-cross-device" TargetMode="External"/><Relationship Id="rId570" Type="http://schemas.openxmlformats.org/officeDocument/2006/relationships/hyperlink" Target="https://reklama.cncenter.cz/Online/Videospot" TargetMode="External"/><Relationship Id="rId2044" Type="http://schemas.openxmlformats.org/officeDocument/2006/relationships/hyperlink" Target="https://reklama.cncenter.cz/Online/nativni-PR-premium" TargetMode="External"/><Relationship Id="rId2251" Type="http://schemas.openxmlformats.org/officeDocument/2006/relationships/hyperlink" Target="https://vtm.zive.cz/" TargetMode="External"/><Relationship Id="rId223" Type="http://schemas.openxmlformats.org/officeDocument/2006/relationships/hyperlink" Target="https://reklama.cncenter.cz/Online/nativni-rectangle-cross-device" TargetMode="External"/><Relationship Id="rId430" Type="http://schemas.openxmlformats.org/officeDocument/2006/relationships/hyperlink" Target="https://avmania.zive.cz/" TargetMode="External"/><Relationship Id="rId668" Type="http://schemas.openxmlformats.org/officeDocument/2006/relationships/hyperlink" Target="https://reklama.cncenter.cz/Online/Outstream" TargetMode="External"/><Relationship Id="rId875" Type="http://schemas.openxmlformats.org/officeDocument/2006/relationships/hyperlink" Target="https://doupe.zive.cz/" TargetMode="External"/><Relationship Id="rId1060" Type="http://schemas.openxmlformats.org/officeDocument/2006/relationships/hyperlink" Target="https://reklama.cncenter.cz/Online/Videospot" TargetMode="External"/><Relationship Id="rId1298" Type="http://schemas.openxmlformats.org/officeDocument/2006/relationships/hyperlink" Target="https://heyfomo.cz/" TargetMode="External"/><Relationship Id="rId2111" Type="http://schemas.openxmlformats.org/officeDocument/2006/relationships/hyperlink" Target="https://reklama.cncenter.cz/Online/double-skyscraper" TargetMode="External"/><Relationship Id="rId2349" Type="http://schemas.openxmlformats.org/officeDocument/2006/relationships/hyperlink" Target="https://reklama.cncenter.cz/Online/mobilni-vineta" TargetMode="External"/><Relationship Id="rId528" Type="http://schemas.openxmlformats.org/officeDocument/2006/relationships/hyperlink" Target="https://blesk.cz/" TargetMode="External"/><Relationship Id="rId735" Type="http://schemas.openxmlformats.org/officeDocument/2006/relationships/hyperlink" Target="https://reklama.cncenter.cz/Online/mobilni-slide-up" TargetMode="External"/><Relationship Id="rId942" Type="http://schemas.openxmlformats.org/officeDocument/2006/relationships/hyperlink" Target="https://dama.cz/" TargetMode="External"/><Relationship Id="rId1158" Type="http://schemas.openxmlformats.org/officeDocument/2006/relationships/hyperlink" Target="http://www.facebook.com/" TargetMode="External"/><Relationship Id="rId1365" Type="http://schemas.openxmlformats.org/officeDocument/2006/relationships/hyperlink" Target="https://hledejceny.cz/" TargetMode="External"/><Relationship Id="rId1572" Type="http://schemas.openxmlformats.org/officeDocument/2006/relationships/hyperlink" Target="https://maminka.cz/" TargetMode="External"/><Relationship Id="rId2209" Type="http://schemas.openxmlformats.org/officeDocument/2006/relationships/hyperlink" Target="https://reflex.cz/" TargetMode="External"/><Relationship Id="rId2416" Type="http://schemas.openxmlformats.org/officeDocument/2006/relationships/hyperlink" Target="https://zive.cz/" TargetMode="External"/><Relationship Id="rId1018" Type="http://schemas.openxmlformats.org/officeDocument/2006/relationships/hyperlink" Target="https://reklama.cncenter.cz/Online/nativni-rectangle-cross-device" TargetMode="External"/><Relationship Id="rId1225" Type="http://schemas.openxmlformats.org/officeDocument/2006/relationships/hyperlink" Target="https://finexpert.cz/" TargetMode="External"/><Relationship Id="rId1432" Type="http://schemas.openxmlformats.org/officeDocument/2006/relationships/hyperlink" Target="http://www.instagram.com/" TargetMode="External"/><Relationship Id="rId1877" Type="http://schemas.openxmlformats.org/officeDocument/2006/relationships/hyperlink" Target="https://motogpsport.cz/" TargetMode="External"/><Relationship Id="rId71" Type="http://schemas.openxmlformats.org/officeDocument/2006/relationships/hyperlink" Target="https://abicko.cz/" TargetMode="External"/><Relationship Id="rId802" Type="http://schemas.openxmlformats.org/officeDocument/2006/relationships/hyperlink" Target="https://reklama.cncenter.cz/Online/mobilni-slide-up" TargetMode="External"/><Relationship Id="rId1737" Type="http://schemas.openxmlformats.org/officeDocument/2006/relationships/hyperlink" Target="https://mobilmania.cz/" TargetMode="External"/><Relationship Id="rId1944" Type="http://schemas.openxmlformats.org/officeDocument/2006/relationships/hyperlink" Target="https://nemovitosti.blesk.cz/" TargetMode="External"/><Relationship Id="rId29" Type="http://schemas.openxmlformats.org/officeDocument/2006/relationships/hyperlink" Target="https://reklama.cncenter.cz/Online/mobilni-slide-up" TargetMode="External"/><Relationship Id="rId178" Type="http://schemas.openxmlformats.org/officeDocument/2006/relationships/hyperlink" Target="https://ahaonline.cz/" TargetMode="External"/><Relationship Id="rId1804" Type="http://schemas.openxmlformats.org/officeDocument/2006/relationships/hyperlink" Target="https://mojezdravi.cz/" TargetMode="External"/><Relationship Id="rId385" Type="http://schemas.openxmlformats.org/officeDocument/2006/relationships/hyperlink" Target="https://autorevue.cz/" TargetMode="External"/><Relationship Id="rId592" Type="http://schemas.openxmlformats.org/officeDocument/2006/relationships/hyperlink" Target="https://bleskprozeny.cz/" TargetMode="External"/><Relationship Id="rId2066" Type="http://schemas.openxmlformats.org/officeDocument/2006/relationships/hyperlink" Target="https://recepty.cz/" TargetMode="External"/><Relationship Id="rId2273" Type="http://schemas.openxmlformats.org/officeDocument/2006/relationships/hyperlink" Target="https://vtm.zive.cz/" TargetMode="External"/><Relationship Id="rId2480" Type="http://schemas.openxmlformats.org/officeDocument/2006/relationships/hyperlink" Target="https://zive.cz/" TargetMode="External"/><Relationship Id="rId245" Type="http://schemas.openxmlformats.org/officeDocument/2006/relationships/hyperlink" Target="https://auto.cz/" TargetMode="External"/><Relationship Id="rId452" Type="http://schemas.openxmlformats.org/officeDocument/2006/relationships/hyperlink" Target="https://reklama.cncenter.cz/Online/mobilni-interscroller" TargetMode="External"/><Relationship Id="rId897" Type="http://schemas.openxmlformats.org/officeDocument/2006/relationships/hyperlink" Target="https://doupe.zive.cz/" TargetMode="External"/><Relationship Id="rId1082" Type="http://schemas.openxmlformats.org/officeDocument/2006/relationships/hyperlink" Target="https://f1sport.auto.cz/" TargetMode="External"/><Relationship Id="rId2133" Type="http://schemas.openxmlformats.org/officeDocument/2006/relationships/hyperlink" Target="https://recepty.cz/" TargetMode="External"/><Relationship Id="rId2340" Type="http://schemas.openxmlformats.org/officeDocument/2006/relationships/hyperlink" Target="https://reklama.cncenter.cz/Online/Videospot" TargetMode="External"/><Relationship Id="rId105" Type="http://schemas.openxmlformats.org/officeDocument/2006/relationships/hyperlink" Target="https://abicko.cz/" TargetMode="External"/><Relationship Id="rId312" Type="http://schemas.openxmlformats.org/officeDocument/2006/relationships/hyperlink" Target="https://auto.cz/" TargetMode="External"/><Relationship Id="rId757" Type="http://schemas.openxmlformats.org/officeDocument/2006/relationships/hyperlink" Target="https://reklama.cncenter.cz/Online/Videospot" TargetMode="External"/><Relationship Id="rId964" Type="http://schemas.openxmlformats.org/officeDocument/2006/relationships/hyperlink" Target="https://dama.cz/" TargetMode="External"/><Relationship Id="rId1387" Type="http://schemas.openxmlformats.org/officeDocument/2006/relationships/hyperlink" Target="http://www.instagram.com/" TargetMode="External"/><Relationship Id="rId1594" Type="http://schemas.openxmlformats.org/officeDocument/2006/relationships/hyperlink" Target="https://reklama.cncenter.cz/Online/nativni-PR-premium" TargetMode="External"/><Relationship Id="rId2200" Type="http://schemas.openxmlformats.org/officeDocument/2006/relationships/hyperlink" Target="https://reflex.cz/" TargetMode="External"/><Relationship Id="rId2438" Type="http://schemas.openxmlformats.org/officeDocument/2006/relationships/hyperlink" Target="https://zive.cz/" TargetMode="External"/><Relationship Id="rId93" Type="http://schemas.openxmlformats.org/officeDocument/2006/relationships/hyperlink" Target="https://abicko.cz/" TargetMode="External"/><Relationship Id="rId617" Type="http://schemas.openxmlformats.org/officeDocument/2006/relationships/hyperlink" Target="https://bleskprozeny.cz/" TargetMode="External"/><Relationship Id="rId824" Type="http://schemas.openxmlformats.org/officeDocument/2006/relationships/hyperlink" Target="https://digiarena.zive.cz/" TargetMode="External"/><Relationship Id="rId1247" Type="http://schemas.openxmlformats.org/officeDocument/2006/relationships/hyperlink" Target="https://fitweb.cz/" TargetMode="External"/><Relationship Id="rId1454" Type="http://schemas.openxmlformats.org/officeDocument/2006/relationships/hyperlink" Target="http://www.instagram.com/" TargetMode="External"/><Relationship Id="rId1661" Type="http://schemas.openxmlformats.org/officeDocument/2006/relationships/hyperlink" Target="https://reklama.cncenter.cz/Online/nativni-rectangle-cross-device" TargetMode="External"/><Relationship Id="rId1899" Type="http://schemas.openxmlformats.org/officeDocument/2006/relationships/hyperlink" Target="http://nemovitosti.blesk.cz/" TargetMode="External"/><Relationship Id="rId1107" Type="http://schemas.openxmlformats.org/officeDocument/2006/relationships/hyperlink" Target="https://reklama.cncenter.cz/Online/mobilni-vineta" TargetMode="External"/><Relationship Id="rId1314" Type="http://schemas.openxmlformats.org/officeDocument/2006/relationships/hyperlink" Target="https://frekvence1.cz/" TargetMode="External"/><Relationship Id="rId1521" Type="http://schemas.openxmlformats.org/officeDocument/2006/relationships/hyperlink" Target="https://lideazeme.cz/" TargetMode="External"/><Relationship Id="rId1759" Type="http://schemas.openxmlformats.org/officeDocument/2006/relationships/hyperlink" Target="https://reklama.cncenter.cz/Online/billboard-bottom" TargetMode="External"/><Relationship Id="rId1966" Type="http://schemas.openxmlformats.org/officeDocument/2006/relationships/hyperlink" Target="https://reklama.cncenter.cz/Online/nativni-PR-premium" TargetMode="External"/><Relationship Id="rId1619" Type="http://schemas.openxmlformats.org/officeDocument/2006/relationships/hyperlink" Target="https://maminka.cz/" TargetMode="External"/><Relationship Id="rId1826" Type="http://schemas.openxmlformats.org/officeDocument/2006/relationships/hyperlink" Target="https://reklama.cncenter.cz/Online/Bumper" TargetMode="External"/><Relationship Id="rId20" Type="http://schemas.openxmlformats.org/officeDocument/2006/relationships/hyperlink" Target="https://reklama.cncenter.cz/Online/branding" TargetMode="External"/><Relationship Id="rId2088" Type="http://schemas.openxmlformats.org/officeDocument/2006/relationships/hyperlink" Target="https://reklama.cncenter.cz/Online/mobilni-interscroller" TargetMode="External"/><Relationship Id="rId2295" Type="http://schemas.openxmlformats.org/officeDocument/2006/relationships/hyperlink" Target="https://reklama.cncenter.cz/Online/mobilni-slide-up" TargetMode="External"/><Relationship Id="rId267" Type="http://schemas.openxmlformats.org/officeDocument/2006/relationships/hyperlink" Target="https://reklama.cncenter.cz/Online/mobilni-interscroller" TargetMode="External"/><Relationship Id="rId474" Type="http://schemas.openxmlformats.org/officeDocument/2006/relationships/hyperlink" Target="https://avmania.zive.cz/" TargetMode="External"/><Relationship Id="rId2155" Type="http://schemas.openxmlformats.org/officeDocument/2006/relationships/hyperlink" Target="https://reflex.cz/" TargetMode="External"/><Relationship Id="rId127" Type="http://schemas.openxmlformats.org/officeDocument/2006/relationships/hyperlink" Target="https://reklama.cncenter.cz/Online/mobilni-vineta" TargetMode="External"/><Relationship Id="rId681" Type="http://schemas.openxmlformats.org/officeDocument/2006/relationships/hyperlink" Target="https://reklama.cncenter.cz/Online/branding-cross-device" TargetMode="External"/><Relationship Id="rId779" Type="http://schemas.openxmlformats.org/officeDocument/2006/relationships/hyperlink" Target="https://digiarena.zive.cz/" TargetMode="External"/><Relationship Id="rId986" Type="http://schemas.openxmlformats.org/officeDocument/2006/relationships/hyperlink" Target="https://reklama.cncenter.cz/Online/Outstream" TargetMode="External"/><Relationship Id="rId2362" Type="http://schemas.openxmlformats.org/officeDocument/2006/relationships/hyperlink" Target="https://zeny.cz/" TargetMode="External"/><Relationship Id="rId334" Type="http://schemas.openxmlformats.org/officeDocument/2006/relationships/hyperlink" Target="https://autorevue.cz/" TargetMode="External"/><Relationship Id="rId541" Type="http://schemas.openxmlformats.org/officeDocument/2006/relationships/hyperlink" Target="https://reklama.cncenter.cz/Online/mobilni-interscroller" TargetMode="External"/><Relationship Id="rId639" Type="http://schemas.openxmlformats.org/officeDocument/2006/relationships/hyperlink" Target="https://reklama.cncenter.cz/Online/Videospot" TargetMode="External"/><Relationship Id="rId1171" Type="http://schemas.openxmlformats.org/officeDocument/2006/relationships/hyperlink" Target="https://www.facebook.com/business/ads-guide/image/facebook-feed" TargetMode="External"/><Relationship Id="rId1269" Type="http://schemas.openxmlformats.org/officeDocument/2006/relationships/hyperlink" Target="https://fitweb.cz/" TargetMode="External"/><Relationship Id="rId1476" Type="http://schemas.openxmlformats.org/officeDocument/2006/relationships/hyperlink" Target="https://reklama.cncenter.cz/Online/nativni-rectangle-cross-device" TargetMode="External"/><Relationship Id="rId2015" Type="http://schemas.openxmlformats.org/officeDocument/2006/relationships/hyperlink" Target="https://www.realitnitrh.cz/" TargetMode="External"/><Relationship Id="rId2222" Type="http://schemas.openxmlformats.org/officeDocument/2006/relationships/hyperlink" Target="https://reflex.cz/" TargetMode="External"/><Relationship Id="rId401" Type="http://schemas.openxmlformats.org/officeDocument/2006/relationships/hyperlink" Target="https://autorevue.cz/" TargetMode="External"/><Relationship Id="rId846" Type="http://schemas.openxmlformats.org/officeDocument/2006/relationships/hyperlink" Target="https://doupe.zive.cz/" TargetMode="External"/><Relationship Id="rId1031" Type="http://schemas.openxmlformats.org/officeDocument/2006/relationships/hyperlink" Target="https://evropa2.cz/" TargetMode="External"/><Relationship Id="rId1129" Type="http://schemas.openxmlformats.org/officeDocument/2006/relationships/hyperlink" Target="https://f1sport.auto.cz/" TargetMode="External"/><Relationship Id="rId1683" Type="http://schemas.openxmlformats.org/officeDocument/2006/relationships/hyperlink" Target="https://mobilmania.cz/" TargetMode="External"/><Relationship Id="rId1890" Type="http://schemas.openxmlformats.org/officeDocument/2006/relationships/hyperlink" Target="https://motogpsport.cz/" TargetMode="External"/><Relationship Id="rId1988" Type="http://schemas.openxmlformats.org/officeDocument/2006/relationships/hyperlink" Target="https://www.poggers.cz/" TargetMode="External"/><Relationship Id="rId706" Type="http://schemas.openxmlformats.org/officeDocument/2006/relationships/hyperlink" Target="https://reklama.cncenter.cz/Online/branding-cross-device" TargetMode="External"/><Relationship Id="rId913" Type="http://schemas.openxmlformats.org/officeDocument/2006/relationships/hyperlink" Target="https://dama.cz/" TargetMode="External"/><Relationship Id="rId1336" Type="http://schemas.openxmlformats.org/officeDocument/2006/relationships/hyperlink" Target="https://reklama.cncenter.cz/Online/double-skyscraper" TargetMode="External"/><Relationship Id="rId1543" Type="http://schemas.openxmlformats.org/officeDocument/2006/relationships/hyperlink" Target="https://lideazeme.cz/" TargetMode="External"/><Relationship Id="rId1750" Type="http://schemas.openxmlformats.org/officeDocument/2006/relationships/hyperlink" Target="https://reklama.cncenter.cz/Online/billboard-bottom" TargetMode="External"/><Relationship Id="rId42" Type="http://schemas.openxmlformats.org/officeDocument/2006/relationships/hyperlink" Target="https://abecedazahrady.dama.cz/" TargetMode="External"/><Relationship Id="rId1403" Type="http://schemas.openxmlformats.org/officeDocument/2006/relationships/hyperlink" Target="http://www.instagram.com/" TargetMode="External"/><Relationship Id="rId1610" Type="http://schemas.openxmlformats.org/officeDocument/2006/relationships/hyperlink" Target="https://maminka.cz/" TargetMode="External"/><Relationship Id="rId1848" Type="http://schemas.openxmlformats.org/officeDocument/2006/relationships/hyperlink" Target="https://motogpsport.cz/" TargetMode="External"/><Relationship Id="rId191" Type="http://schemas.openxmlformats.org/officeDocument/2006/relationships/hyperlink" Target="https://ahaonline.cz/" TargetMode="External"/><Relationship Id="rId1708" Type="http://schemas.openxmlformats.org/officeDocument/2006/relationships/hyperlink" Target="https://reklama.cncenter.cz/Online/Bumper" TargetMode="External"/><Relationship Id="rId1915" Type="http://schemas.openxmlformats.org/officeDocument/2006/relationships/hyperlink" Target="http://nemovitosti.blesk.cz/" TargetMode="External"/><Relationship Id="rId289" Type="http://schemas.openxmlformats.org/officeDocument/2006/relationships/hyperlink" Target="https://auto.cz/" TargetMode="External"/><Relationship Id="rId496" Type="http://schemas.openxmlformats.org/officeDocument/2006/relationships/hyperlink" Target="https://blesk.cz/" TargetMode="External"/><Relationship Id="rId2177" Type="http://schemas.openxmlformats.org/officeDocument/2006/relationships/hyperlink" Target="https://reflex.cz/" TargetMode="External"/><Relationship Id="rId2384" Type="http://schemas.openxmlformats.org/officeDocument/2006/relationships/hyperlink" Target="https://zeny.cz/" TargetMode="External"/><Relationship Id="rId149" Type="http://schemas.openxmlformats.org/officeDocument/2006/relationships/hyperlink" Target="https://abicko.cz/" TargetMode="External"/><Relationship Id="rId356" Type="http://schemas.openxmlformats.org/officeDocument/2006/relationships/hyperlink" Target="https://autorevue.cz/" TargetMode="External"/><Relationship Id="rId563" Type="http://schemas.openxmlformats.org/officeDocument/2006/relationships/hyperlink" Target="https://bleskprozeny.cz/" TargetMode="External"/><Relationship Id="rId770" Type="http://schemas.openxmlformats.org/officeDocument/2006/relationships/hyperlink" Target="https://reklama.cncenter.cz/Online/nativni-rectangle-cross-device" TargetMode="External"/><Relationship Id="rId1193" Type="http://schemas.openxmlformats.org/officeDocument/2006/relationships/hyperlink" Target="http://www.facebook.com/" TargetMode="External"/><Relationship Id="rId2037" Type="http://schemas.openxmlformats.org/officeDocument/2006/relationships/hyperlink" Target="https://www.realitnitrh.cz/" TargetMode="External"/><Relationship Id="rId2244" Type="http://schemas.openxmlformats.org/officeDocument/2006/relationships/hyperlink" Target="https://sportrevue.cz/" TargetMode="External"/><Relationship Id="rId2451" Type="http://schemas.openxmlformats.org/officeDocument/2006/relationships/hyperlink" Target="https://zive.cz/" TargetMode="External"/><Relationship Id="rId216" Type="http://schemas.openxmlformats.org/officeDocument/2006/relationships/hyperlink" Target="https://ahaonline.cz/" TargetMode="External"/><Relationship Id="rId423" Type="http://schemas.openxmlformats.org/officeDocument/2006/relationships/hyperlink" Target="https://reklama.cncenter.cz/Online/branding-cross-device" TargetMode="External"/><Relationship Id="rId868" Type="http://schemas.openxmlformats.org/officeDocument/2006/relationships/hyperlink" Target="https://reklama.cncenter.cz/Online/mobilni-interscroller" TargetMode="External"/><Relationship Id="rId1053" Type="http://schemas.openxmlformats.org/officeDocument/2006/relationships/hyperlink" Target="https://evropa2.cz/" TargetMode="External"/><Relationship Id="rId1260" Type="http://schemas.openxmlformats.org/officeDocument/2006/relationships/hyperlink" Target="https://fitweb.cz/" TargetMode="External"/><Relationship Id="rId1498" Type="http://schemas.openxmlformats.org/officeDocument/2006/relationships/hyperlink" Target="https://reklama.cncenter.cz/Online/branding" TargetMode="External"/><Relationship Id="rId2104" Type="http://schemas.openxmlformats.org/officeDocument/2006/relationships/hyperlink" Target="https://recepty.cz/" TargetMode="External"/><Relationship Id="rId630" Type="http://schemas.openxmlformats.org/officeDocument/2006/relationships/hyperlink" Target="https://bleskprozeny.cz/" TargetMode="External"/><Relationship Id="rId728" Type="http://schemas.openxmlformats.org/officeDocument/2006/relationships/hyperlink" Target="https://reklama.cncenter.cz/Online/branding" TargetMode="External"/><Relationship Id="rId935" Type="http://schemas.openxmlformats.org/officeDocument/2006/relationships/hyperlink" Target="https://dama.cz/" TargetMode="External"/><Relationship Id="rId1358" Type="http://schemas.openxmlformats.org/officeDocument/2006/relationships/hyperlink" Target="https://hledejceny.cz/" TargetMode="External"/><Relationship Id="rId1565" Type="http://schemas.openxmlformats.org/officeDocument/2006/relationships/hyperlink" Target="https://maminka.cz/" TargetMode="External"/><Relationship Id="rId1772" Type="http://schemas.openxmlformats.org/officeDocument/2006/relationships/hyperlink" Target="https://mojezdravi.cz/" TargetMode="External"/><Relationship Id="rId2311" Type="http://schemas.openxmlformats.org/officeDocument/2006/relationships/hyperlink" Target="https://reklama.cncenter.cz/Online/double-skyscraper" TargetMode="External"/><Relationship Id="rId2409" Type="http://schemas.openxmlformats.org/officeDocument/2006/relationships/hyperlink" Target="https://reklama.cncenter.cz/Online/branding-cross-device" TargetMode="External"/><Relationship Id="rId64" Type="http://schemas.openxmlformats.org/officeDocument/2006/relationships/hyperlink" Target="https://abecedazahrady.dama.cz/" TargetMode="External"/><Relationship Id="rId1120" Type="http://schemas.openxmlformats.org/officeDocument/2006/relationships/hyperlink" Target="https://f1sport.auto.cz/" TargetMode="External"/><Relationship Id="rId1218" Type="http://schemas.openxmlformats.org/officeDocument/2006/relationships/hyperlink" Target="http://www.facebook.com/" TargetMode="External"/><Relationship Id="rId1425" Type="http://schemas.openxmlformats.org/officeDocument/2006/relationships/hyperlink" Target="http://www.instagram.com/" TargetMode="External"/><Relationship Id="rId1632" Type="http://schemas.openxmlformats.org/officeDocument/2006/relationships/hyperlink" Target="https://maminka.cz/" TargetMode="External"/><Relationship Id="rId1937" Type="http://schemas.openxmlformats.org/officeDocument/2006/relationships/hyperlink" Target="https://nemovitosti.blesk.cz/" TargetMode="External"/><Relationship Id="rId2199" Type="http://schemas.openxmlformats.org/officeDocument/2006/relationships/hyperlink" Target="https://reflex.cz/" TargetMode="External"/><Relationship Id="rId280" Type="http://schemas.openxmlformats.org/officeDocument/2006/relationships/hyperlink" Target="https://auto.cz/" TargetMode="External"/><Relationship Id="rId140" Type="http://schemas.openxmlformats.org/officeDocument/2006/relationships/hyperlink" Target="https://abicko.cz/" TargetMode="External"/><Relationship Id="rId378" Type="http://schemas.openxmlformats.org/officeDocument/2006/relationships/hyperlink" Target="https://autorevue.cz/" TargetMode="External"/><Relationship Id="rId585" Type="http://schemas.openxmlformats.org/officeDocument/2006/relationships/hyperlink" Target="https://reklama.cncenter.cz/Online/nativni-rectangle-cross-device" TargetMode="External"/><Relationship Id="rId792" Type="http://schemas.openxmlformats.org/officeDocument/2006/relationships/hyperlink" Target="https://digiarena.zive.cz/" TargetMode="External"/><Relationship Id="rId2059" Type="http://schemas.openxmlformats.org/officeDocument/2006/relationships/hyperlink" Target="https://www.realitnitrh.cz/" TargetMode="External"/><Relationship Id="rId2266" Type="http://schemas.openxmlformats.org/officeDocument/2006/relationships/hyperlink" Target="https://vtm.zive.cz/" TargetMode="External"/><Relationship Id="rId2473" Type="http://schemas.openxmlformats.org/officeDocument/2006/relationships/hyperlink" Target="https://reklama.cncenter.cz/?ads=PR%2520%25C4%258Dl%25C3%25A1nky" TargetMode="External"/><Relationship Id="rId6" Type="http://schemas.openxmlformats.org/officeDocument/2006/relationships/hyperlink" Target="https://abecedazahrady.dama.cz/" TargetMode="External"/><Relationship Id="rId238" Type="http://schemas.openxmlformats.org/officeDocument/2006/relationships/hyperlink" Target="https://reklama.cncenter.cz/Online/Bumper" TargetMode="External"/><Relationship Id="rId445" Type="http://schemas.openxmlformats.org/officeDocument/2006/relationships/hyperlink" Target="https://avmania.zive.cz/" TargetMode="External"/><Relationship Id="rId652" Type="http://schemas.openxmlformats.org/officeDocument/2006/relationships/hyperlink" Target="https://reklama.cncenter.cz/Online/nativni-rectangle-cross-device" TargetMode="External"/><Relationship Id="rId1075" Type="http://schemas.openxmlformats.org/officeDocument/2006/relationships/hyperlink" Target="https://reklama.cncenter.cz/Online/Bumper" TargetMode="External"/><Relationship Id="rId1282" Type="http://schemas.openxmlformats.org/officeDocument/2006/relationships/hyperlink" Target="https://reklama.cncenter.cz/Online/mobilni-vineta" TargetMode="External"/><Relationship Id="rId2126" Type="http://schemas.openxmlformats.org/officeDocument/2006/relationships/hyperlink" Target="https://recepty.cz/" TargetMode="External"/><Relationship Id="rId2333" Type="http://schemas.openxmlformats.org/officeDocument/2006/relationships/hyperlink" Target="https://zeny.cz/" TargetMode="External"/><Relationship Id="rId305" Type="http://schemas.openxmlformats.org/officeDocument/2006/relationships/hyperlink" Target="https://auto.cz/" TargetMode="External"/><Relationship Id="rId512" Type="http://schemas.openxmlformats.org/officeDocument/2006/relationships/hyperlink" Target="https://reklama.cncenter.cz/Online/double-skyscraper" TargetMode="External"/><Relationship Id="rId957" Type="http://schemas.openxmlformats.org/officeDocument/2006/relationships/hyperlink" Target="https://dama.cz/" TargetMode="External"/><Relationship Id="rId1142" Type="http://schemas.openxmlformats.org/officeDocument/2006/relationships/hyperlink" Target="https://f1sport.auto.cz/" TargetMode="External"/><Relationship Id="rId1587" Type="http://schemas.openxmlformats.org/officeDocument/2006/relationships/hyperlink" Target="https://maminka.cz/" TargetMode="External"/><Relationship Id="rId1794" Type="http://schemas.openxmlformats.org/officeDocument/2006/relationships/hyperlink" Target="https://reklama.cncenter.cz/Online/double-skyscraper" TargetMode="External"/><Relationship Id="rId2400" Type="http://schemas.openxmlformats.org/officeDocument/2006/relationships/hyperlink" Target="https://zeny.cz/" TargetMode="External"/><Relationship Id="rId86" Type="http://schemas.openxmlformats.org/officeDocument/2006/relationships/hyperlink" Target="https://reklama.cncenter.cz/Online/branding-cross-device" TargetMode="External"/><Relationship Id="rId817" Type="http://schemas.openxmlformats.org/officeDocument/2006/relationships/hyperlink" Target="https://digiarena.zive.cz/" TargetMode="External"/><Relationship Id="rId1002" Type="http://schemas.openxmlformats.org/officeDocument/2006/relationships/hyperlink" Target="https://reklama.cncenter.cz/Online/billboard-bottom" TargetMode="External"/><Relationship Id="rId1447" Type="http://schemas.openxmlformats.org/officeDocument/2006/relationships/hyperlink" Target="http://www.instagram.com/" TargetMode="External"/><Relationship Id="rId1654" Type="http://schemas.openxmlformats.org/officeDocument/2006/relationships/hyperlink" Target="https://reklama.cncenter.cz/Online/nativni-rectangle-cross-device" TargetMode="External"/><Relationship Id="rId1861" Type="http://schemas.openxmlformats.org/officeDocument/2006/relationships/hyperlink" Target="https://reklama.cncenter.cz/Online/nativni-rectangle-cross-device" TargetMode="External"/><Relationship Id="rId1307" Type="http://schemas.openxmlformats.org/officeDocument/2006/relationships/hyperlink" Target="https://frekvence1.cz/" TargetMode="External"/><Relationship Id="rId1514" Type="http://schemas.openxmlformats.org/officeDocument/2006/relationships/hyperlink" Target="https://lideazeme.cz/" TargetMode="External"/><Relationship Id="rId1721" Type="http://schemas.openxmlformats.org/officeDocument/2006/relationships/hyperlink" Target="https://mobilmania.cz/" TargetMode="External"/><Relationship Id="rId1959" Type="http://schemas.openxmlformats.org/officeDocument/2006/relationships/hyperlink" Target="https://nemovitosti.blesk.cz/" TargetMode="External"/><Relationship Id="rId13" Type="http://schemas.openxmlformats.org/officeDocument/2006/relationships/hyperlink" Target="https://abecedazahrady.dama.cz/" TargetMode="External"/><Relationship Id="rId1819" Type="http://schemas.openxmlformats.org/officeDocument/2006/relationships/hyperlink" Target="https://mojezdravi.cz/" TargetMode="External"/><Relationship Id="rId2190" Type="http://schemas.openxmlformats.org/officeDocument/2006/relationships/hyperlink" Target="https://reklama.cncenter.cz/Online/Outstream" TargetMode="External"/><Relationship Id="rId2288" Type="http://schemas.openxmlformats.org/officeDocument/2006/relationships/hyperlink" Target="https://vtm.zive.cz/" TargetMode="External"/><Relationship Id="rId162" Type="http://schemas.openxmlformats.org/officeDocument/2006/relationships/hyperlink" Target="https://reklama.cncenter.cz/Online/billboard-bottom" TargetMode="External"/><Relationship Id="rId467" Type="http://schemas.openxmlformats.org/officeDocument/2006/relationships/hyperlink" Target="https://avmania.zive.cz/" TargetMode="External"/><Relationship Id="rId1097" Type="http://schemas.openxmlformats.org/officeDocument/2006/relationships/hyperlink" Target="https://f1sport.auto.cz/" TargetMode="External"/><Relationship Id="rId2050" Type="http://schemas.openxmlformats.org/officeDocument/2006/relationships/hyperlink" Target="https://reklama.cncenter.cz/Online/Outstream" TargetMode="External"/><Relationship Id="rId2148" Type="http://schemas.openxmlformats.org/officeDocument/2006/relationships/hyperlink" Target="https://reflex.cz/" TargetMode="External"/><Relationship Id="rId674" Type="http://schemas.openxmlformats.org/officeDocument/2006/relationships/hyperlink" Target="https://reklama.cncenter.cz/Online/mobilni-slide-up" TargetMode="External"/><Relationship Id="rId881" Type="http://schemas.openxmlformats.org/officeDocument/2006/relationships/hyperlink" Target="https://doupe.zive.cz/" TargetMode="External"/><Relationship Id="rId979" Type="http://schemas.openxmlformats.org/officeDocument/2006/relationships/hyperlink" Target="https://dama.cz/" TargetMode="External"/><Relationship Id="rId2355" Type="http://schemas.openxmlformats.org/officeDocument/2006/relationships/hyperlink" Target="https://reklama.cncenter.cz/Online/nativni-rectangle-cross-device" TargetMode="External"/><Relationship Id="rId327" Type="http://schemas.openxmlformats.org/officeDocument/2006/relationships/hyperlink" Target="https://autorevue.cz/" TargetMode="External"/><Relationship Id="rId534" Type="http://schemas.openxmlformats.org/officeDocument/2006/relationships/hyperlink" Target="https://blesk.cz/" TargetMode="External"/><Relationship Id="rId741" Type="http://schemas.openxmlformats.org/officeDocument/2006/relationships/hyperlink" Target="https://reklama.cncenter.cz/Online/double-skyscraper" TargetMode="External"/><Relationship Id="rId839" Type="http://schemas.openxmlformats.org/officeDocument/2006/relationships/hyperlink" Target="https://digiarena.zive.cz/" TargetMode="External"/><Relationship Id="rId1164" Type="http://schemas.openxmlformats.org/officeDocument/2006/relationships/hyperlink" Target="http://www.facebook.com/" TargetMode="External"/><Relationship Id="rId1371" Type="http://schemas.openxmlformats.org/officeDocument/2006/relationships/hyperlink" Target="https://hledejceny.cz/" TargetMode="External"/><Relationship Id="rId1469" Type="http://schemas.openxmlformats.org/officeDocument/2006/relationships/hyperlink" Target="https://reklama.cncenter.cz/Online/branding-cross-device" TargetMode="External"/><Relationship Id="rId2008" Type="http://schemas.openxmlformats.org/officeDocument/2006/relationships/hyperlink" Target="https://www.realitnitrh.cz/" TargetMode="External"/><Relationship Id="rId2215" Type="http://schemas.openxmlformats.org/officeDocument/2006/relationships/hyperlink" Target="https://reklama.cncenter.cz/Online/nativni-PR-premium" TargetMode="External"/><Relationship Id="rId2422" Type="http://schemas.openxmlformats.org/officeDocument/2006/relationships/hyperlink" Target="https://zive.cz/" TargetMode="External"/><Relationship Id="rId601" Type="http://schemas.openxmlformats.org/officeDocument/2006/relationships/hyperlink" Target="https://bleskprozeny.cz/" TargetMode="External"/><Relationship Id="rId1024" Type="http://schemas.openxmlformats.org/officeDocument/2006/relationships/hyperlink" Target="https://reklama.cncenter.cz/Online/branding-cross-device" TargetMode="External"/><Relationship Id="rId1231" Type="http://schemas.openxmlformats.org/officeDocument/2006/relationships/hyperlink" Target="https://finexpert.cz/" TargetMode="External"/><Relationship Id="rId1676" Type="http://schemas.openxmlformats.org/officeDocument/2006/relationships/hyperlink" Target="https://mobilmania.cz/" TargetMode="External"/><Relationship Id="rId1883" Type="http://schemas.openxmlformats.org/officeDocument/2006/relationships/hyperlink" Target="https://reklama.cncenter.cz/Online/nativni-rectangle-cross-device" TargetMode="External"/><Relationship Id="rId906" Type="http://schemas.openxmlformats.org/officeDocument/2006/relationships/hyperlink" Target="https://doupe.zive.cz/" TargetMode="External"/><Relationship Id="rId1329" Type="http://schemas.openxmlformats.org/officeDocument/2006/relationships/hyperlink" Target="https://frekvence1.cz/" TargetMode="External"/><Relationship Id="rId1536" Type="http://schemas.openxmlformats.org/officeDocument/2006/relationships/hyperlink" Target="https://reklama.cncenter.cz/Online/mobilni-slide-up" TargetMode="External"/><Relationship Id="rId1743" Type="http://schemas.openxmlformats.org/officeDocument/2006/relationships/hyperlink" Target="https://mobilmania.cz/" TargetMode="External"/><Relationship Id="rId1950" Type="http://schemas.openxmlformats.org/officeDocument/2006/relationships/hyperlink" Target="http://nemovitosti.blesk.cz/" TargetMode="External"/><Relationship Id="rId35" Type="http://schemas.openxmlformats.org/officeDocument/2006/relationships/hyperlink" Target="https://reklama.cncenter.cz/Online/nativni-rectangle-cross-device" TargetMode="External"/><Relationship Id="rId1603" Type="http://schemas.openxmlformats.org/officeDocument/2006/relationships/hyperlink" Target="https://reklama.cncenter.cz/Online/Bumper" TargetMode="External"/><Relationship Id="rId1810" Type="http://schemas.openxmlformats.org/officeDocument/2006/relationships/hyperlink" Target="https://mojezdravi.cz/" TargetMode="External"/><Relationship Id="rId184" Type="http://schemas.openxmlformats.org/officeDocument/2006/relationships/hyperlink" Target="https://ahaonline.cz/" TargetMode="External"/><Relationship Id="rId391" Type="http://schemas.openxmlformats.org/officeDocument/2006/relationships/hyperlink" Target="https://reklama.cncenter.cz/Online/nativni-rectangle-cross-device" TargetMode="External"/><Relationship Id="rId1908" Type="http://schemas.openxmlformats.org/officeDocument/2006/relationships/hyperlink" Target="https://nemovitosti.blesk.cz/" TargetMode="External"/><Relationship Id="rId2072" Type="http://schemas.openxmlformats.org/officeDocument/2006/relationships/hyperlink" Target="https://recepty.cz/" TargetMode="External"/><Relationship Id="rId251" Type="http://schemas.openxmlformats.org/officeDocument/2006/relationships/hyperlink" Target="https://auto.cz/" TargetMode="External"/><Relationship Id="rId489" Type="http://schemas.openxmlformats.org/officeDocument/2006/relationships/hyperlink" Target="https://blesk.cz/" TargetMode="External"/><Relationship Id="rId696" Type="http://schemas.openxmlformats.org/officeDocument/2006/relationships/hyperlink" Target="https://reklama.cncenter.cz/Online/mobilni-slide-up" TargetMode="External"/><Relationship Id="rId2377" Type="http://schemas.openxmlformats.org/officeDocument/2006/relationships/hyperlink" Target="https://zeny.cz/" TargetMode="External"/><Relationship Id="rId349" Type="http://schemas.openxmlformats.org/officeDocument/2006/relationships/hyperlink" Target="https://autorevue.cz/" TargetMode="External"/><Relationship Id="rId556" Type="http://schemas.openxmlformats.org/officeDocument/2006/relationships/hyperlink" Target="https://bleskprozeny.cz/" TargetMode="External"/><Relationship Id="rId763" Type="http://schemas.openxmlformats.org/officeDocument/2006/relationships/hyperlink" Target="https://reklama.cncenter.cz/Online/Smarticle" TargetMode="External"/><Relationship Id="rId1186" Type="http://schemas.openxmlformats.org/officeDocument/2006/relationships/hyperlink" Target="https://www.facebook.com/business/ads-guide/image/facebook-feed" TargetMode="External"/><Relationship Id="rId1393" Type="http://schemas.openxmlformats.org/officeDocument/2006/relationships/hyperlink" Target="http://www.instagram.com/" TargetMode="External"/><Relationship Id="rId2237" Type="http://schemas.openxmlformats.org/officeDocument/2006/relationships/hyperlink" Target="https://sportrevue.cz/" TargetMode="External"/><Relationship Id="rId2444" Type="http://schemas.openxmlformats.org/officeDocument/2006/relationships/hyperlink" Target="https://zive.cz/" TargetMode="External"/><Relationship Id="rId111" Type="http://schemas.openxmlformats.org/officeDocument/2006/relationships/hyperlink" Target="https://abicko.cz/" TargetMode="External"/><Relationship Id="rId209" Type="http://schemas.openxmlformats.org/officeDocument/2006/relationships/hyperlink" Target="https://reklama.cncenter.cz/Online/mobilni-interscroller" TargetMode="External"/><Relationship Id="rId416" Type="http://schemas.openxmlformats.org/officeDocument/2006/relationships/hyperlink" Target="https://avmania.zive.cz/" TargetMode="External"/><Relationship Id="rId970" Type="http://schemas.openxmlformats.org/officeDocument/2006/relationships/hyperlink" Target="https://dama.cz/" TargetMode="External"/><Relationship Id="rId1046" Type="http://schemas.openxmlformats.org/officeDocument/2006/relationships/hyperlink" Target="https://evropa2.cz/" TargetMode="External"/><Relationship Id="rId1253" Type="http://schemas.openxmlformats.org/officeDocument/2006/relationships/hyperlink" Target="https://fitweb.cz/" TargetMode="External"/><Relationship Id="rId1698" Type="http://schemas.openxmlformats.org/officeDocument/2006/relationships/hyperlink" Target="https://mobilmania.cz/" TargetMode="External"/><Relationship Id="rId623" Type="http://schemas.openxmlformats.org/officeDocument/2006/relationships/hyperlink" Target="https://bleskprozeny.cz/" TargetMode="External"/><Relationship Id="rId830" Type="http://schemas.openxmlformats.org/officeDocument/2006/relationships/hyperlink" Target="https://reklama.cncenter.cz/Online/nativni-rectangle-cross-device" TargetMode="External"/><Relationship Id="rId928" Type="http://schemas.openxmlformats.org/officeDocument/2006/relationships/hyperlink" Target="https://reklama.cncenter.cz/Online/branding-cross-device" TargetMode="External"/><Relationship Id="rId1460" Type="http://schemas.openxmlformats.org/officeDocument/2006/relationships/hyperlink" Target="http://www.instagram.com/" TargetMode="External"/><Relationship Id="rId1558" Type="http://schemas.openxmlformats.org/officeDocument/2006/relationships/hyperlink" Target="https://maminka.cz/" TargetMode="External"/><Relationship Id="rId1765" Type="http://schemas.openxmlformats.org/officeDocument/2006/relationships/hyperlink" Target="https://reklama.cncenter.cz/Online/branding" TargetMode="External"/><Relationship Id="rId2304" Type="http://schemas.openxmlformats.org/officeDocument/2006/relationships/hyperlink" Target="https://reklama.cncenter.cz/Online/Outstream" TargetMode="External"/><Relationship Id="rId57" Type="http://schemas.openxmlformats.org/officeDocument/2006/relationships/hyperlink" Target="https://reklama.cncenter.cz/Online/nativni-rectangle-cross-device" TargetMode="External"/><Relationship Id="rId1113" Type="http://schemas.openxmlformats.org/officeDocument/2006/relationships/hyperlink" Target="https://reklama.cncenter.cz/Online/Outstream" TargetMode="External"/><Relationship Id="rId1320" Type="http://schemas.openxmlformats.org/officeDocument/2006/relationships/hyperlink" Target="https://frekvence1.cz/" TargetMode="External"/><Relationship Id="rId1418" Type="http://schemas.openxmlformats.org/officeDocument/2006/relationships/hyperlink" Target="http://www.instagram.com/" TargetMode="External"/><Relationship Id="rId1972" Type="http://schemas.openxmlformats.org/officeDocument/2006/relationships/hyperlink" Target="https://nemovitosti.blesk.cz/" TargetMode="External"/><Relationship Id="rId1625" Type="http://schemas.openxmlformats.org/officeDocument/2006/relationships/hyperlink" Target="https://reklama.cncenter.cz/Online/nativni-PR-premium" TargetMode="External"/><Relationship Id="rId1832" Type="http://schemas.openxmlformats.org/officeDocument/2006/relationships/hyperlink" Target="https://motogpsport.cz/" TargetMode="External"/><Relationship Id="rId2094" Type="http://schemas.openxmlformats.org/officeDocument/2006/relationships/hyperlink" Target="https://reklama.cncenter.cz/Online/mobilni-vineta" TargetMode="External"/><Relationship Id="rId273" Type="http://schemas.openxmlformats.org/officeDocument/2006/relationships/hyperlink" Target="https://reklama.cncenter.cz/Online/mobilni-vineta" TargetMode="External"/><Relationship Id="rId480" Type="http://schemas.openxmlformats.org/officeDocument/2006/relationships/hyperlink" Target="https://reklama.cncenter.cz/Online/nativni-rectangle-cross-device" TargetMode="External"/><Relationship Id="rId2161" Type="http://schemas.openxmlformats.org/officeDocument/2006/relationships/hyperlink" Target="https://reflex.cz/" TargetMode="External"/><Relationship Id="rId2399" Type="http://schemas.openxmlformats.org/officeDocument/2006/relationships/hyperlink" Target="https://zeny.cz/" TargetMode="External"/><Relationship Id="rId133" Type="http://schemas.openxmlformats.org/officeDocument/2006/relationships/hyperlink" Target="https://abicko.cz/" TargetMode="External"/><Relationship Id="rId340" Type="http://schemas.openxmlformats.org/officeDocument/2006/relationships/hyperlink" Target="https://autorevue.cz/" TargetMode="External"/><Relationship Id="rId578" Type="http://schemas.openxmlformats.org/officeDocument/2006/relationships/hyperlink" Target="https://bleskprozeny.cz/" TargetMode="External"/><Relationship Id="rId785" Type="http://schemas.openxmlformats.org/officeDocument/2006/relationships/hyperlink" Target="https://digiarena.zive.cz/" TargetMode="External"/><Relationship Id="rId992" Type="http://schemas.openxmlformats.org/officeDocument/2006/relationships/hyperlink" Target="https://dama.cz/" TargetMode="External"/><Relationship Id="rId2021" Type="http://schemas.openxmlformats.org/officeDocument/2006/relationships/hyperlink" Target="https://www.realitnitrh.cz/" TargetMode="External"/><Relationship Id="rId2259" Type="http://schemas.openxmlformats.org/officeDocument/2006/relationships/hyperlink" Target="https://reklama.cncenter.cz/Online/branding" TargetMode="External"/><Relationship Id="rId2466" Type="http://schemas.openxmlformats.org/officeDocument/2006/relationships/hyperlink" Target="https://zive.cz/" TargetMode="External"/><Relationship Id="rId200" Type="http://schemas.openxmlformats.org/officeDocument/2006/relationships/hyperlink" Target="https://ahaonline.cz/" TargetMode="External"/><Relationship Id="rId438" Type="http://schemas.openxmlformats.org/officeDocument/2006/relationships/hyperlink" Target="https://reklama.cncenter.cz/Online/mobilni-vineta" TargetMode="External"/><Relationship Id="rId645" Type="http://schemas.openxmlformats.org/officeDocument/2006/relationships/hyperlink" Target="https://reklama.cncenter.cz/Online/Smarticle" TargetMode="External"/><Relationship Id="rId852" Type="http://schemas.openxmlformats.org/officeDocument/2006/relationships/hyperlink" Target="https://doupe.zive.cz/" TargetMode="External"/><Relationship Id="rId1068" Type="http://schemas.openxmlformats.org/officeDocument/2006/relationships/hyperlink" Target="https://evropa2.cz/" TargetMode="External"/><Relationship Id="rId1275" Type="http://schemas.openxmlformats.org/officeDocument/2006/relationships/hyperlink" Target="https://fitweb.cz/" TargetMode="External"/><Relationship Id="rId1482" Type="http://schemas.openxmlformats.org/officeDocument/2006/relationships/hyperlink" Target="https://reklama.cncenter.cz/Online/mobilni-slide-up" TargetMode="External"/><Relationship Id="rId2119" Type="http://schemas.openxmlformats.org/officeDocument/2006/relationships/hyperlink" Target="https://recepty.cz/" TargetMode="External"/><Relationship Id="rId2326" Type="http://schemas.openxmlformats.org/officeDocument/2006/relationships/hyperlink" Target="https://zeny.cz/" TargetMode="External"/><Relationship Id="rId505" Type="http://schemas.openxmlformats.org/officeDocument/2006/relationships/hyperlink" Target="https://reklama.cncenter.cz/Online/mobilni-interscroller" TargetMode="External"/><Relationship Id="rId712" Type="http://schemas.openxmlformats.org/officeDocument/2006/relationships/hyperlink" Target="https://reklama.cncenter.cz/Online/mobilni-vineta" TargetMode="External"/><Relationship Id="rId1135" Type="http://schemas.openxmlformats.org/officeDocument/2006/relationships/hyperlink" Target="https://reklama.cncenter.cz/Online/Outstream" TargetMode="External"/><Relationship Id="rId1342" Type="http://schemas.openxmlformats.org/officeDocument/2006/relationships/hyperlink" Target="https://reklama.cncenter.cz/Online/mobilni-slide-up" TargetMode="External"/><Relationship Id="rId1787" Type="http://schemas.openxmlformats.org/officeDocument/2006/relationships/hyperlink" Target="https://mojezdravi.cz/" TargetMode="External"/><Relationship Id="rId1994" Type="http://schemas.openxmlformats.org/officeDocument/2006/relationships/hyperlink" Target="https://www.poggers.cz/" TargetMode="External"/><Relationship Id="rId79" Type="http://schemas.openxmlformats.org/officeDocument/2006/relationships/hyperlink" Target="https://abicko.cz/" TargetMode="External"/><Relationship Id="rId1202" Type="http://schemas.openxmlformats.org/officeDocument/2006/relationships/hyperlink" Target="http://www.facebook.com/" TargetMode="External"/><Relationship Id="rId1647" Type="http://schemas.openxmlformats.org/officeDocument/2006/relationships/hyperlink" Target="https://reklama.cncenter.cz/Online/billboard-bottom" TargetMode="External"/><Relationship Id="rId1854" Type="http://schemas.openxmlformats.org/officeDocument/2006/relationships/hyperlink" Target="https://motogpsport.cz/" TargetMode="External"/><Relationship Id="rId1507" Type="http://schemas.openxmlformats.org/officeDocument/2006/relationships/hyperlink" Target="https://reklama.cncenter.cz/Online/branding" TargetMode="External"/><Relationship Id="rId1714" Type="http://schemas.openxmlformats.org/officeDocument/2006/relationships/hyperlink" Target="https://mobilmania.cz/" TargetMode="External"/><Relationship Id="rId295" Type="http://schemas.openxmlformats.org/officeDocument/2006/relationships/hyperlink" Target="https://auto.cz/" TargetMode="External"/><Relationship Id="rId1921" Type="http://schemas.openxmlformats.org/officeDocument/2006/relationships/hyperlink" Target="https://nemovitosti.blesk.cz/" TargetMode="External"/><Relationship Id="rId2183" Type="http://schemas.openxmlformats.org/officeDocument/2006/relationships/hyperlink" Target="https://reflex.cz/" TargetMode="External"/><Relationship Id="rId2390" Type="http://schemas.openxmlformats.org/officeDocument/2006/relationships/hyperlink" Target="https://zeny.cz/" TargetMode="External"/><Relationship Id="rId155" Type="http://schemas.openxmlformats.org/officeDocument/2006/relationships/hyperlink" Target="https://www.activegroup.cz/reklama" TargetMode="External"/><Relationship Id="rId362" Type="http://schemas.openxmlformats.org/officeDocument/2006/relationships/hyperlink" Target="https://autorevue.cz/" TargetMode="External"/><Relationship Id="rId1297" Type="http://schemas.openxmlformats.org/officeDocument/2006/relationships/hyperlink" Target="https://reklama.cncenter.cz/?ads=PR%2520%25C4%258Dl%25C3%25A1nky" TargetMode="External"/><Relationship Id="rId2043" Type="http://schemas.openxmlformats.org/officeDocument/2006/relationships/hyperlink" Target="https://www.realitnitrh.cz/" TargetMode="External"/><Relationship Id="rId2250" Type="http://schemas.openxmlformats.org/officeDocument/2006/relationships/hyperlink" Target="http://www.tiktok.com/" TargetMode="External"/><Relationship Id="rId222" Type="http://schemas.openxmlformats.org/officeDocument/2006/relationships/hyperlink" Target="https://ahaonline.cz/" TargetMode="External"/><Relationship Id="rId667" Type="http://schemas.openxmlformats.org/officeDocument/2006/relationships/hyperlink" Target="https://reklama.cncenter.cz/Online/nativni-rectangle-cross-device" TargetMode="External"/><Relationship Id="rId874" Type="http://schemas.openxmlformats.org/officeDocument/2006/relationships/hyperlink" Target="https://reklama.cncenter.cz/Online/mobilni-vineta" TargetMode="External"/><Relationship Id="rId2110" Type="http://schemas.openxmlformats.org/officeDocument/2006/relationships/hyperlink" Target="https://recepty.cz/" TargetMode="External"/><Relationship Id="rId2348" Type="http://schemas.openxmlformats.org/officeDocument/2006/relationships/hyperlink" Target="https://zeny.cz/" TargetMode="External"/><Relationship Id="rId527" Type="http://schemas.openxmlformats.org/officeDocument/2006/relationships/hyperlink" Target="https://blesk.cz/" TargetMode="External"/><Relationship Id="rId734" Type="http://schemas.openxmlformats.org/officeDocument/2006/relationships/hyperlink" Target="https://reklama.cncenter.cz/Online/mobilni-interscroller" TargetMode="External"/><Relationship Id="rId941" Type="http://schemas.openxmlformats.org/officeDocument/2006/relationships/hyperlink" Target="https://dama.cz/" TargetMode="External"/><Relationship Id="rId1157" Type="http://schemas.openxmlformats.org/officeDocument/2006/relationships/hyperlink" Target="http://www.facebook.com/" TargetMode="External"/><Relationship Id="rId1364" Type="http://schemas.openxmlformats.org/officeDocument/2006/relationships/hyperlink" Target="https://hledejceny.cz/" TargetMode="External"/><Relationship Id="rId1571" Type="http://schemas.openxmlformats.org/officeDocument/2006/relationships/hyperlink" Target="https://maminka.cz/" TargetMode="External"/><Relationship Id="rId2208" Type="http://schemas.openxmlformats.org/officeDocument/2006/relationships/hyperlink" Target="https://reflex.cz/" TargetMode="External"/><Relationship Id="rId2415" Type="http://schemas.openxmlformats.org/officeDocument/2006/relationships/hyperlink" Target="https://reklama.cncenter.cz/Online/billboard-bottom" TargetMode="External"/><Relationship Id="rId70" Type="http://schemas.openxmlformats.org/officeDocument/2006/relationships/hyperlink" Target="https://abicko.cz/" TargetMode="External"/><Relationship Id="rId801" Type="http://schemas.openxmlformats.org/officeDocument/2006/relationships/hyperlink" Target="https://digiarena.zive.cz/" TargetMode="External"/><Relationship Id="rId1017" Type="http://schemas.openxmlformats.org/officeDocument/2006/relationships/hyperlink" Target="https://reklama.cncenter.cz/Online/mobilni-vineta" TargetMode="External"/><Relationship Id="rId1224" Type="http://schemas.openxmlformats.org/officeDocument/2006/relationships/hyperlink" Target="https://finexpert.cz/" TargetMode="External"/><Relationship Id="rId1431" Type="http://schemas.openxmlformats.org/officeDocument/2006/relationships/hyperlink" Target="http://www.instagram.com/" TargetMode="External"/><Relationship Id="rId1669" Type="http://schemas.openxmlformats.org/officeDocument/2006/relationships/hyperlink" Target="https://reklama.cncenter.cz/Online/billboard-bottom" TargetMode="External"/><Relationship Id="rId1876" Type="http://schemas.openxmlformats.org/officeDocument/2006/relationships/hyperlink" Target="https://motogpsport.cz/" TargetMode="External"/><Relationship Id="rId1529" Type="http://schemas.openxmlformats.org/officeDocument/2006/relationships/hyperlink" Target="https://lideazeme.cz/" TargetMode="External"/><Relationship Id="rId1736" Type="http://schemas.openxmlformats.org/officeDocument/2006/relationships/hyperlink" Target="https://reklama.cncenter.cz/?ads=PR%2520%25C4%258Dl%25C3%25A1nky" TargetMode="External"/><Relationship Id="rId1943" Type="http://schemas.openxmlformats.org/officeDocument/2006/relationships/hyperlink" Target="http://nemovitosti.blesk.cz/" TargetMode="External"/><Relationship Id="rId28" Type="http://schemas.openxmlformats.org/officeDocument/2006/relationships/hyperlink" Target="https://abecedazahrady.dama.cz/" TargetMode="External"/><Relationship Id="rId1803" Type="http://schemas.openxmlformats.org/officeDocument/2006/relationships/hyperlink" Target="https://reklama.cncenter.cz/Online/mobilni-slide-up" TargetMode="External"/><Relationship Id="rId177" Type="http://schemas.openxmlformats.org/officeDocument/2006/relationships/hyperlink" Target="https://reklama.cncenter.cz/Online/branding" TargetMode="External"/><Relationship Id="rId384" Type="http://schemas.openxmlformats.org/officeDocument/2006/relationships/hyperlink" Target="https://autorevue.cz/" TargetMode="External"/><Relationship Id="rId591" Type="http://schemas.openxmlformats.org/officeDocument/2006/relationships/hyperlink" Target="https://reklama.cncenter.cz/Online/Bumper" TargetMode="External"/><Relationship Id="rId2065" Type="http://schemas.openxmlformats.org/officeDocument/2006/relationships/hyperlink" Target="https://recepty.cz/" TargetMode="External"/><Relationship Id="rId2272" Type="http://schemas.openxmlformats.org/officeDocument/2006/relationships/hyperlink" Target="https://vtm.zive.cz/" TargetMode="External"/><Relationship Id="rId244" Type="http://schemas.openxmlformats.org/officeDocument/2006/relationships/hyperlink" Target="https://auto.cz/" TargetMode="External"/><Relationship Id="rId689" Type="http://schemas.openxmlformats.org/officeDocument/2006/relationships/hyperlink" Target="https://reklama.cncenter.cz/Online/mobilni-vineta" TargetMode="External"/><Relationship Id="rId896" Type="http://schemas.openxmlformats.org/officeDocument/2006/relationships/hyperlink" Target="https://doupe.zive.cz/" TargetMode="External"/><Relationship Id="rId1081" Type="http://schemas.openxmlformats.org/officeDocument/2006/relationships/hyperlink" Target="https://f1sport.auto.cz/" TargetMode="External"/><Relationship Id="rId451" Type="http://schemas.openxmlformats.org/officeDocument/2006/relationships/hyperlink" Target="https://avmania.zive.cz/" TargetMode="External"/><Relationship Id="rId549" Type="http://schemas.openxmlformats.org/officeDocument/2006/relationships/hyperlink" Target="https://reklama.cncenter.cz/Online/billboard-bottom" TargetMode="External"/><Relationship Id="rId756" Type="http://schemas.openxmlformats.org/officeDocument/2006/relationships/hyperlink" Target="https://reklama.cncenter.cz/Online/double-skyscraper" TargetMode="External"/><Relationship Id="rId1179" Type="http://schemas.openxmlformats.org/officeDocument/2006/relationships/hyperlink" Target="http://www.facebook.com/" TargetMode="External"/><Relationship Id="rId1386" Type="http://schemas.openxmlformats.org/officeDocument/2006/relationships/hyperlink" Target="http://www.instagram.com/" TargetMode="External"/><Relationship Id="rId1593" Type="http://schemas.openxmlformats.org/officeDocument/2006/relationships/hyperlink" Target="https://maminka.cz/" TargetMode="External"/><Relationship Id="rId2132" Type="http://schemas.openxmlformats.org/officeDocument/2006/relationships/hyperlink" Target="https://recepty.cz/" TargetMode="External"/><Relationship Id="rId2437" Type="http://schemas.openxmlformats.org/officeDocument/2006/relationships/hyperlink" Target="https://zive.cz/" TargetMode="External"/><Relationship Id="rId104" Type="http://schemas.openxmlformats.org/officeDocument/2006/relationships/hyperlink" Target="https://reklama.cncenter.cz/Online/nativni-PR-premium" TargetMode="External"/><Relationship Id="rId311" Type="http://schemas.openxmlformats.org/officeDocument/2006/relationships/hyperlink" Target="https://auto.cz/" TargetMode="External"/><Relationship Id="rId409" Type="http://schemas.openxmlformats.org/officeDocument/2006/relationships/hyperlink" Target="https://avmania.zive.cz/" TargetMode="External"/><Relationship Id="rId963" Type="http://schemas.openxmlformats.org/officeDocument/2006/relationships/hyperlink" Target="https://reklama.cncenter.cz/Online/double-skyscraper" TargetMode="External"/><Relationship Id="rId1039" Type="http://schemas.openxmlformats.org/officeDocument/2006/relationships/hyperlink" Target="https://reklama.cncenter.cz/Online/Videospot" TargetMode="External"/><Relationship Id="rId1246" Type="http://schemas.openxmlformats.org/officeDocument/2006/relationships/hyperlink" Target="https://reklama.cncenter.cz/Online/billboard-bottom" TargetMode="External"/><Relationship Id="rId1898" Type="http://schemas.openxmlformats.org/officeDocument/2006/relationships/hyperlink" Target="https://nemovitosti.blesk.cz/" TargetMode="External"/><Relationship Id="rId92" Type="http://schemas.openxmlformats.org/officeDocument/2006/relationships/hyperlink" Target="https://reklama.cncenter.cz/Online/double-skyscraper" TargetMode="External"/><Relationship Id="rId616" Type="http://schemas.openxmlformats.org/officeDocument/2006/relationships/hyperlink" Target="https://reklama.cncenter.cz/Online/nativni-rectangle-cross-device" TargetMode="External"/><Relationship Id="rId823" Type="http://schemas.openxmlformats.org/officeDocument/2006/relationships/hyperlink" Target="https://digiarena.zive.cz/" TargetMode="External"/><Relationship Id="rId1453" Type="http://schemas.openxmlformats.org/officeDocument/2006/relationships/hyperlink" Target="http://www.instagram.com/" TargetMode="External"/><Relationship Id="rId1660" Type="http://schemas.openxmlformats.org/officeDocument/2006/relationships/hyperlink" Target="https://reklama.cncenter.cz/Online/mobilni-vineta" TargetMode="External"/><Relationship Id="rId1758" Type="http://schemas.openxmlformats.org/officeDocument/2006/relationships/hyperlink" Target="https://mojezdravi.cz/" TargetMode="External"/><Relationship Id="rId1106" Type="http://schemas.openxmlformats.org/officeDocument/2006/relationships/hyperlink" Target="https://f1sport.auto.cz/" TargetMode="External"/><Relationship Id="rId1313" Type="http://schemas.openxmlformats.org/officeDocument/2006/relationships/hyperlink" Target="https://frekvence1.cz/" TargetMode="External"/><Relationship Id="rId1520" Type="http://schemas.openxmlformats.org/officeDocument/2006/relationships/hyperlink" Target="https://lideazeme.cz/" TargetMode="External"/><Relationship Id="rId1965" Type="http://schemas.openxmlformats.org/officeDocument/2006/relationships/hyperlink" Target="https://nemovitosti.blesk.cz/" TargetMode="External"/><Relationship Id="rId1618" Type="http://schemas.openxmlformats.org/officeDocument/2006/relationships/hyperlink" Target="https://maminka.cz/" TargetMode="External"/><Relationship Id="rId1825" Type="http://schemas.openxmlformats.org/officeDocument/2006/relationships/hyperlink" Target="https://mojezdravi.cz/" TargetMode="External"/><Relationship Id="rId199" Type="http://schemas.openxmlformats.org/officeDocument/2006/relationships/hyperlink" Target="https://ahaonline.cz/" TargetMode="External"/><Relationship Id="rId2087" Type="http://schemas.openxmlformats.org/officeDocument/2006/relationships/hyperlink" Target="https://recepty.cz/" TargetMode="External"/><Relationship Id="rId2294" Type="http://schemas.openxmlformats.org/officeDocument/2006/relationships/hyperlink" Target="https://vtm.zive.cz/" TargetMode="External"/><Relationship Id="rId266" Type="http://schemas.openxmlformats.org/officeDocument/2006/relationships/hyperlink" Target="https://auto.cz/" TargetMode="External"/><Relationship Id="rId473" Type="http://schemas.openxmlformats.org/officeDocument/2006/relationships/hyperlink" Target="https://avmania.zive.cz/" TargetMode="External"/><Relationship Id="rId680" Type="http://schemas.openxmlformats.org/officeDocument/2006/relationships/hyperlink" Target="https://reklama.cncenter.cz/Online/billboard-bottom" TargetMode="External"/><Relationship Id="rId2154" Type="http://schemas.openxmlformats.org/officeDocument/2006/relationships/hyperlink" Target="https://reklama.cncenter.cz/Online/branding-cross-device" TargetMode="External"/><Relationship Id="rId2361" Type="http://schemas.openxmlformats.org/officeDocument/2006/relationships/hyperlink" Target="https://reklama.cncenter.cz/Online/Bumper" TargetMode="External"/><Relationship Id="rId126" Type="http://schemas.openxmlformats.org/officeDocument/2006/relationships/hyperlink" Target="https://abicko.cz/" TargetMode="External"/><Relationship Id="rId333" Type="http://schemas.openxmlformats.org/officeDocument/2006/relationships/hyperlink" Target="https://reklama.cncenter.cz/Online/branding-cross-device" TargetMode="External"/><Relationship Id="rId540" Type="http://schemas.openxmlformats.org/officeDocument/2006/relationships/hyperlink" Target="https://blesk.cz/" TargetMode="External"/><Relationship Id="rId778" Type="http://schemas.openxmlformats.org/officeDocument/2006/relationships/hyperlink" Target="https://reklama.cncenter.cz/Online/billboard-bottom" TargetMode="External"/><Relationship Id="rId985" Type="http://schemas.openxmlformats.org/officeDocument/2006/relationships/hyperlink" Target="https://dama.cz/" TargetMode="External"/><Relationship Id="rId1170" Type="http://schemas.openxmlformats.org/officeDocument/2006/relationships/hyperlink" Target="http://www.facebook.com/" TargetMode="External"/><Relationship Id="rId2014" Type="http://schemas.openxmlformats.org/officeDocument/2006/relationships/hyperlink" Target="https://www.realitnitrh.cz/" TargetMode="External"/><Relationship Id="rId2221" Type="http://schemas.openxmlformats.org/officeDocument/2006/relationships/hyperlink" Target="https://reklama.cncenter.cz/Online/Outstream" TargetMode="External"/><Relationship Id="rId2459" Type="http://schemas.openxmlformats.org/officeDocument/2006/relationships/hyperlink" Target="https://reklama.cncenter.cz/Online/mobilni-vineta" TargetMode="External"/><Relationship Id="rId638" Type="http://schemas.openxmlformats.org/officeDocument/2006/relationships/hyperlink" Target="https://reklama.cncenter.cz/Online/double-skyscraper" TargetMode="External"/><Relationship Id="rId845" Type="http://schemas.openxmlformats.org/officeDocument/2006/relationships/hyperlink" Target="https://doupe.zive.cz/" TargetMode="External"/><Relationship Id="rId1030" Type="http://schemas.openxmlformats.org/officeDocument/2006/relationships/hyperlink" Target="https://reklama.cncenter.cz/Online/branding-cross-device" TargetMode="External"/><Relationship Id="rId1268" Type="http://schemas.openxmlformats.org/officeDocument/2006/relationships/hyperlink" Target="https://fitweb.cz/" TargetMode="External"/><Relationship Id="rId1475" Type="http://schemas.openxmlformats.org/officeDocument/2006/relationships/hyperlink" Target="https://reklama.cncenter.cz/Online/mobilni-vineta" TargetMode="External"/><Relationship Id="rId1682" Type="http://schemas.openxmlformats.org/officeDocument/2006/relationships/hyperlink" Target="https://mobilmania.cz/" TargetMode="External"/><Relationship Id="rId2319" Type="http://schemas.openxmlformats.org/officeDocument/2006/relationships/hyperlink" Target="https://reklama.cncenter.cz/Online/billboard-bottom" TargetMode="External"/><Relationship Id="rId400" Type="http://schemas.openxmlformats.org/officeDocument/2006/relationships/hyperlink" Target="https://autorevue.cz/" TargetMode="External"/><Relationship Id="rId705" Type="http://schemas.openxmlformats.org/officeDocument/2006/relationships/hyperlink" Target="https://reklama.cncenter.cz/Online/billboard-bottom" TargetMode="External"/><Relationship Id="rId1128" Type="http://schemas.openxmlformats.org/officeDocument/2006/relationships/hyperlink" Target="https://f1sport.auto.cz/" TargetMode="External"/><Relationship Id="rId1335" Type="http://schemas.openxmlformats.org/officeDocument/2006/relationships/hyperlink" Target="https://frekvence1.cz/" TargetMode="External"/><Relationship Id="rId1542" Type="http://schemas.openxmlformats.org/officeDocument/2006/relationships/hyperlink" Target="https://lideazeme.cz/" TargetMode="External"/><Relationship Id="rId1987" Type="http://schemas.openxmlformats.org/officeDocument/2006/relationships/hyperlink" Target="https://nemovitosti.blesk.cz/" TargetMode="External"/><Relationship Id="rId912" Type="http://schemas.openxmlformats.org/officeDocument/2006/relationships/hyperlink" Target="https://dama.cz/" TargetMode="External"/><Relationship Id="rId1847" Type="http://schemas.openxmlformats.org/officeDocument/2006/relationships/hyperlink" Target="https://motogpsport.cz/" TargetMode="External"/><Relationship Id="rId41" Type="http://schemas.openxmlformats.org/officeDocument/2006/relationships/hyperlink" Target="https://abecedazahrady.dama.cz/" TargetMode="External"/><Relationship Id="rId1402" Type="http://schemas.openxmlformats.org/officeDocument/2006/relationships/hyperlink" Target="http://www.instagram.com/" TargetMode="External"/><Relationship Id="rId1707" Type="http://schemas.openxmlformats.org/officeDocument/2006/relationships/hyperlink" Target="https://mobilmania.cz/" TargetMode="External"/><Relationship Id="rId190" Type="http://schemas.openxmlformats.org/officeDocument/2006/relationships/hyperlink" Target="https://ahaonline.cz/" TargetMode="External"/><Relationship Id="rId288" Type="http://schemas.openxmlformats.org/officeDocument/2006/relationships/hyperlink" Target="https://auto.cz/" TargetMode="External"/><Relationship Id="rId1914" Type="http://schemas.openxmlformats.org/officeDocument/2006/relationships/hyperlink" Target="https://reklama.cncenter.cz/Online/billboard-bottom" TargetMode="External"/><Relationship Id="rId495" Type="http://schemas.openxmlformats.org/officeDocument/2006/relationships/hyperlink" Target="https://blesk.cz/" TargetMode="External"/><Relationship Id="rId2176" Type="http://schemas.openxmlformats.org/officeDocument/2006/relationships/hyperlink" Target="https://reflex.cz/" TargetMode="External"/><Relationship Id="rId2383" Type="http://schemas.openxmlformats.org/officeDocument/2006/relationships/hyperlink" Target="https://reklama.cncenter.cz/Online/nativni-PR-premium" TargetMode="External"/><Relationship Id="rId148" Type="http://schemas.openxmlformats.org/officeDocument/2006/relationships/hyperlink" Target="https://abicko.cz/" TargetMode="External"/><Relationship Id="rId355" Type="http://schemas.openxmlformats.org/officeDocument/2006/relationships/hyperlink" Target="https://autorevue.cz/" TargetMode="External"/><Relationship Id="rId562" Type="http://schemas.openxmlformats.org/officeDocument/2006/relationships/hyperlink" Target="https://bleskprozeny.cz/" TargetMode="External"/><Relationship Id="rId1192" Type="http://schemas.openxmlformats.org/officeDocument/2006/relationships/hyperlink" Target="https://www.facebook.com/business/ads-guide/image/facebook-feed" TargetMode="External"/><Relationship Id="rId2036" Type="http://schemas.openxmlformats.org/officeDocument/2006/relationships/hyperlink" Target="https://reklama.cncenter.cz/Online/double-skyscraper" TargetMode="External"/><Relationship Id="rId2243" Type="http://schemas.openxmlformats.org/officeDocument/2006/relationships/hyperlink" Target="https://sportrevue.cz/" TargetMode="External"/><Relationship Id="rId2450" Type="http://schemas.openxmlformats.org/officeDocument/2006/relationships/hyperlink" Target="https://reklama.cncenter.cz/Online/double-skyscraper" TargetMode="External"/><Relationship Id="rId215" Type="http://schemas.openxmlformats.org/officeDocument/2006/relationships/hyperlink" Target="https://reklama.cncenter.cz/Online/mobilni-vineta" TargetMode="External"/><Relationship Id="rId422" Type="http://schemas.openxmlformats.org/officeDocument/2006/relationships/hyperlink" Target="https://avmania.zive.cz/" TargetMode="External"/><Relationship Id="rId867" Type="http://schemas.openxmlformats.org/officeDocument/2006/relationships/hyperlink" Target="https://doupe.zive.cz/" TargetMode="External"/><Relationship Id="rId1052" Type="http://schemas.openxmlformats.org/officeDocument/2006/relationships/hyperlink" Target="https://evropa2.cz/" TargetMode="External"/><Relationship Id="rId1497" Type="http://schemas.openxmlformats.org/officeDocument/2006/relationships/hyperlink" Target="https://lideazeme.cz/" TargetMode="External"/><Relationship Id="rId2103" Type="http://schemas.openxmlformats.org/officeDocument/2006/relationships/hyperlink" Target="https://reklama.cncenter.cz/Online/Outstream" TargetMode="External"/><Relationship Id="rId2310" Type="http://schemas.openxmlformats.org/officeDocument/2006/relationships/hyperlink" Target="https://youradio.cz/" TargetMode="External"/><Relationship Id="rId727" Type="http://schemas.openxmlformats.org/officeDocument/2006/relationships/hyperlink" Target="https://reklama.cncenter.cz/Online/branding-cross-device" TargetMode="External"/><Relationship Id="rId934" Type="http://schemas.openxmlformats.org/officeDocument/2006/relationships/hyperlink" Target="https://reklama.cncenter.cz/Online/double-skyscraper" TargetMode="External"/><Relationship Id="rId1357" Type="http://schemas.openxmlformats.org/officeDocument/2006/relationships/hyperlink" Target="https://reklama.cncenter.cz/Online/billboard-bottom" TargetMode="External"/><Relationship Id="rId1564" Type="http://schemas.openxmlformats.org/officeDocument/2006/relationships/hyperlink" Target="https://reklama.cncenter.cz/Online/branding-cross-device" TargetMode="External"/><Relationship Id="rId1771" Type="http://schemas.openxmlformats.org/officeDocument/2006/relationships/hyperlink" Target="https://reklama.cncenter.cz/Online/Videospot" TargetMode="External"/><Relationship Id="rId2408" Type="http://schemas.openxmlformats.org/officeDocument/2006/relationships/hyperlink" Target="https://zive.cz/" TargetMode="External"/><Relationship Id="rId63" Type="http://schemas.openxmlformats.org/officeDocument/2006/relationships/hyperlink" Target="https://reklama.cncenter.cz/?ads=PR%2520%25C4%258Dl%25C3%25A1nky" TargetMode="External"/><Relationship Id="rId1217" Type="http://schemas.openxmlformats.org/officeDocument/2006/relationships/hyperlink" Target="http://www.facebook.com/" TargetMode="External"/><Relationship Id="rId1424" Type="http://schemas.openxmlformats.org/officeDocument/2006/relationships/hyperlink" Target="http://www.instagram.com/" TargetMode="External"/><Relationship Id="rId1631" Type="http://schemas.openxmlformats.org/officeDocument/2006/relationships/hyperlink" Target="https://reklama.cncenter.cz/Online/Outstream" TargetMode="External"/><Relationship Id="rId1869" Type="http://schemas.openxmlformats.org/officeDocument/2006/relationships/hyperlink" Target="https://reklama.cncenter.cz/Online/double-skyscraper" TargetMode="External"/><Relationship Id="rId1729" Type="http://schemas.openxmlformats.org/officeDocument/2006/relationships/hyperlink" Target="https://mobilmania.cz/" TargetMode="External"/><Relationship Id="rId1936" Type="http://schemas.openxmlformats.org/officeDocument/2006/relationships/hyperlink" Target="https://nemovitosti.blesk.cz/" TargetMode="External"/><Relationship Id="rId2198" Type="http://schemas.openxmlformats.org/officeDocument/2006/relationships/hyperlink" Target="https://reklama.cncenter.cz/Online/double-skyscraper" TargetMode="External"/><Relationship Id="rId377" Type="http://schemas.openxmlformats.org/officeDocument/2006/relationships/hyperlink" Target="https://reklama.cncenter.cz/Online/mobilni-interscroller" TargetMode="External"/><Relationship Id="rId584" Type="http://schemas.openxmlformats.org/officeDocument/2006/relationships/hyperlink" Target="https://bleskprozeny.cz/" TargetMode="External"/><Relationship Id="rId2058" Type="http://schemas.openxmlformats.org/officeDocument/2006/relationships/hyperlink" Target="https://www.realitnitrh.cz/" TargetMode="External"/><Relationship Id="rId2265" Type="http://schemas.openxmlformats.org/officeDocument/2006/relationships/hyperlink" Target="https://reklama.cncenter.cz/Online/branding-cross-device" TargetMode="External"/><Relationship Id="rId5" Type="http://schemas.openxmlformats.org/officeDocument/2006/relationships/hyperlink" Target="https://reklama.cncenter.cz/Online/billboard-bottom" TargetMode="External"/><Relationship Id="rId237" Type="http://schemas.openxmlformats.org/officeDocument/2006/relationships/hyperlink" Target="https://ahaonline.cz/" TargetMode="External"/><Relationship Id="rId791" Type="http://schemas.openxmlformats.org/officeDocument/2006/relationships/hyperlink" Target="https://digiarena.zive.cz/" TargetMode="External"/><Relationship Id="rId889" Type="http://schemas.openxmlformats.org/officeDocument/2006/relationships/hyperlink" Target="https://doupe.zive.cz/" TargetMode="External"/><Relationship Id="rId1074" Type="http://schemas.openxmlformats.org/officeDocument/2006/relationships/hyperlink" Target="https://evropa2.cz/" TargetMode="External"/><Relationship Id="rId2472" Type="http://schemas.openxmlformats.org/officeDocument/2006/relationships/hyperlink" Target="https://zive.cz/" TargetMode="External"/><Relationship Id="rId444" Type="http://schemas.openxmlformats.org/officeDocument/2006/relationships/hyperlink" Target="https://reklama.cncenter.cz/Online/Outstream" TargetMode="External"/><Relationship Id="rId651" Type="http://schemas.openxmlformats.org/officeDocument/2006/relationships/hyperlink" Target="https://reklama.cncenter.cz/Online/mobilni-vineta" TargetMode="External"/><Relationship Id="rId749" Type="http://schemas.openxmlformats.org/officeDocument/2006/relationships/hyperlink" Target="https://reklama.cncenter.cz/Online/Bumper" TargetMode="External"/><Relationship Id="rId1281" Type="http://schemas.openxmlformats.org/officeDocument/2006/relationships/hyperlink" Target="https://fitweb.cz/" TargetMode="External"/><Relationship Id="rId1379" Type="http://schemas.openxmlformats.org/officeDocument/2006/relationships/hyperlink" Target="http://www.instagram.com/" TargetMode="External"/><Relationship Id="rId1586" Type="http://schemas.openxmlformats.org/officeDocument/2006/relationships/hyperlink" Target="https://maminka.cz/" TargetMode="External"/><Relationship Id="rId2125" Type="http://schemas.openxmlformats.org/officeDocument/2006/relationships/hyperlink" Target="https://recepty.cz/" TargetMode="External"/><Relationship Id="rId2332" Type="http://schemas.openxmlformats.org/officeDocument/2006/relationships/hyperlink" Target="https://zeny.cz/" TargetMode="External"/><Relationship Id="rId304" Type="http://schemas.openxmlformats.org/officeDocument/2006/relationships/hyperlink" Target="https://auto.cz/" TargetMode="External"/><Relationship Id="rId511" Type="http://schemas.openxmlformats.org/officeDocument/2006/relationships/hyperlink" Target="https://reklama.cncenter.cz/Online/Bumper" TargetMode="External"/><Relationship Id="rId609" Type="http://schemas.openxmlformats.org/officeDocument/2006/relationships/hyperlink" Target="https://bleskprozeny.cz/" TargetMode="External"/><Relationship Id="rId956" Type="http://schemas.openxmlformats.org/officeDocument/2006/relationships/hyperlink" Target="https://dama.cz/" TargetMode="External"/><Relationship Id="rId1141" Type="http://schemas.openxmlformats.org/officeDocument/2006/relationships/hyperlink" Target="https://f1sport.auto.cz/" TargetMode="External"/><Relationship Id="rId1239" Type="http://schemas.openxmlformats.org/officeDocument/2006/relationships/hyperlink" Target="https://fitweb.cz/" TargetMode="External"/><Relationship Id="rId1793" Type="http://schemas.openxmlformats.org/officeDocument/2006/relationships/hyperlink" Target="https://mojezdravi.cz/" TargetMode="External"/><Relationship Id="rId85" Type="http://schemas.openxmlformats.org/officeDocument/2006/relationships/hyperlink" Target="https://abicko.cz/" TargetMode="External"/><Relationship Id="rId816" Type="http://schemas.openxmlformats.org/officeDocument/2006/relationships/hyperlink" Target="https://reklama.cncenter.cz/Online/double-skyscraper" TargetMode="External"/><Relationship Id="rId1001" Type="http://schemas.openxmlformats.org/officeDocument/2006/relationships/hyperlink" Target="https://reklama.cncenter.cz/Online/branding" TargetMode="External"/><Relationship Id="rId1446" Type="http://schemas.openxmlformats.org/officeDocument/2006/relationships/hyperlink" Target="http://www.instagram.com/" TargetMode="External"/><Relationship Id="rId1653" Type="http://schemas.openxmlformats.org/officeDocument/2006/relationships/hyperlink" Target="https://reklama.cncenter.cz/Online/mobilni-vineta" TargetMode="External"/><Relationship Id="rId1860" Type="http://schemas.openxmlformats.org/officeDocument/2006/relationships/hyperlink" Target="https://motogpsport.cz/" TargetMode="External"/><Relationship Id="rId1306" Type="http://schemas.openxmlformats.org/officeDocument/2006/relationships/hyperlink" Target="https://reklama.cncenter.cz/Online/branding-cross-device" TargetMode="External"/><Relationship Id="rId1513" Type="http://schemas.openxmlformats.org/officeDocument/2006/relationships/hyperlink" Target="https://reklama.cncenter.cz/Online/mobilni-interscroller" TargetMode="External"/><Relationship Id="rId1720" Type="http://schemas.openxmlformats.org/officeDocument/2006/relationships/hyperlink" Target="https://mobilmania.cz/" TargetMode="External"/><Relationship Id="rId1958" Type="http://schemas.openxmlformats.org/officeDocument/2006/relationships/hyperlink" Target="https://nemovitosti.blesk.cz/" TargetMode="External"/><Relationship Id="rId12" Type="http://schemas.openxmlformats.org/officeDocument/2006/relationships/hyperlink" Target="https://abecedazahrady.dama.cz/" TargetMode="External"/><Relationship Id="rId1818" Type="http://schemas.openxmlformats.org/officeDocument/2006/relationships/hyperlink" Target="https://mojezdravi.cz/" TargetMode="External"/><Relationship Id="rId161" Type="http://schemas.openxmlformats.org/officeDocument/2006/relationships/hyperlink" Target="https://ahaonline.cz/" TargetMode="External"/><Relationship Id="rId399" Type="http://schemas.openxmlformats.org/officeDocument/2006/relationships/hyperlink" Target="https://autorevue.cz/" TargetMode="External"/><Relationship Id="rId2287" Type="http://schemas.openxmlformats.org/officeDocument/2006/relationships/hyperlink" Target="https://vtm.zive.cz/" TargetMode="External"/><Relationship Id="rId259" Type="http://schemas.openxmlformats.org/officeDocument/2006/relationships/hyperlink" Target="https://auto.cz/" TargetMode="External"/><Relationship Id="rId466" Type="http://schemas.openxmlformats.org/officeDocument/2006/relationships/hyperlink" Target="https://reklama.cncenter.cz/Online/Outstream" TargetMode="External"/><Relationship Id="rId673" Type="http://schemas.openxmlformats.org/officeDocument/2006/relationships/hyperlink" Target="https://reklama.cncenter.cz/Online/mobilni-interscroller" TargetMode="External"/><Relationship Id="rId880" Type="http://schemas.openxmlformats.org/officeDocument/2006/relationships/hyperlink" Target="https://reklama.cncenter.cz/Online/Outstream" TargetMode="External"/><Relationship Id="rId1096" Type="http://schemas.openxmlformats.org/officeDocument/2006/relationships/hyperlink" Target="https://f1sport.auto.cz/" TargetMode="External"/><Relationship Id="rId2147" Type="http://schemas.openxmlformats.org/officeDocument/2006/relationships/hyperlink" Target="https://reflex.cz/" TargetMode="External"/><Relationship Id="rId2354" Type="http://schemas.openxmlformats.org/officeDocument/2006/relationships/hyperlink" Target="https://zeny.cz/" TargetMode="External"/><Relationship Id="rId119" Type="http://schemas.openxmlformats.org/officeDocument/2006/relationships/hyperlink" Target="https://abicko.cz/" TargetMode="External"/><Relationship Id="rId326" Type="http://schemas.openxmlformats.org/officeDocument/2006/relationships/hyperlink" Target="https://autorevue.cz/" TargetMode="External"/><Relationship Id="rId533" Type="http://schemas.openxmlformats.org/officeDocument/2006/relationships/hyperlink" Target="https://blesk.cz/" TargetMode="External"/><Relationship Id="rId978" Type="http://schemas.openxmlformats.org/officeDocument/2006/relationships/hyperlink" Target="https://dama.cz/" TargetMode="External"/><Relationship Id="rId1163" Type="http://schemas.openxmlformats.org/officeDocument/2006/relationships/hyperlink" Target="http://www.facebook.com/" TargetMode="External"/><Relationship Id="rId1370" Type="http://schemas.openxmlformats.org/officeDocument/2006/relationships/hyperlink" Target="https://hledejceny.cz/" TargetMode="External"/><Relationship Id="rId2007" Type="http://schemas.openxmlformats.org/officeDocument/2006/relationships/hyperlink" Target="https://reklama.cncenter.cz/Online/branding" TargetMode="External"/><Relationship Id="rId2214" Type="http://schemas.openxmlformats.org/officeDocument/2006/relationships/hyperlink" Target="https://reflex.cz/" TargetMode="External"/><Relationship Id="rId740" Type="http://schemas.openxmlformats.org/officeDocument/2006/relationships/hyperlink" Target="https://reklama.cncenter.cz/Online/Bumper" TargetMode="External"/><Relationship Id="rId838" Type="http://schemas.openxmlformats.org/officeDocument/2006/relationships/hyperlink" Target="https://digiarena.zive.cz/" TargetMode="External"/><Relationship Id="rId1023" Type="http://schemas.openxmlformats.org/officeDocument/2006/relationships/hyperlink" Target="https://evropa2.cz/" TargetMode="External"/><Relationship Id="rId1468" Type="http://schemas.openxmlformats.org/officeDocument/2006/relationships/hyperlink" Target="https://reklama.cncenter.cz/Online/billboard-bottom" TargetMode="External"/><Relationship Id="rId1675" Type="http://schemas.openxmlformats.org/officeDocument/2006/relationships/hyperlink" Target="https://reklama.cncenter.cz/Online/branding" TargetMode="External"/><Relationship Id="rId1882" Type="http://schemas.openxmlformats.org/officeDocument/2006/relationships/hyperlink" Target="https://motogpsport.cz/" TargetMode="External"/><Relationship Id="rId2421" Type="http://schemas.openxmlformats.org/officeDocument/2006/relationships/hyperlink" Target="https://reklama.cncenter.cz/Online/branding" TargetMode="External"/><Relationship Id="rId600" Type="http://schemas.openxmlformats.org/officeDocument/2006/relationships/hyperlink" Target="https://bleskprozeny.cz/" TargetMode="External"/><Relationship Id="rId1230" Type="http://schemas.openxmlformats.org/officeDocument/2006/relationships/hyperlink" Target="https://finexpert.cz/" TargetMode="External"/><Relationship Id="rId1328" Type="http://schemas.openxmlformats.org/officeDocument/2006/relationships/hyperlink" Target="https://frekvence1.cz/" TargetMode="External"/><Relationship Id="rId1535" Type="http://schemas.openxmlformats.org/officeDocument/2006/relationships/hyperlink" Target="https://lideazeme.cz/" TargetMode="External"/><Relationship Id="rId905" Type="http://schemas.openxmlformats.org/officeDocument/2006/relationships/hyperlink" Target="https://reklama.cncenter.cz/?ads=PR%2520%25C4%258Dl%25C3%25A1nky" TargetMode="External"/><Relationship Id="rId1742" Type="http://schemas.openxmlformats.org/officeDocument/2006/relationships/hyperlink" Target="https://mobilmania.cz/" TargetMode="External"/><Relationship Id="rId34" Type="http://schemas.openxmlformats.org/officeDocument/2006/relationships/hyperlink" Target="https://abecedazahrady.dama.cz/" TargetMode="External"/><Relationship Id="rId1602" Type="http://schemas.openxmlformats.org/officeDocument/2006/relationships/hyperlink" Target="https://maminka.cz/" TargetMode="External"/><Relationship Id="rId183" Type="http://schemas.openxmlformats.org/officeDocument/2006/relationships/hyperlink" Target="https://reklama.cncenter.cz/Online/mobilni-interscroller" TargetMode="External"/><Relationship Id="rId390" Type="http://schemas.openxmlformats.org/officeDocument/2006/relationships/hyperlink" Target="https://autorevue.cz/" TargetMode="External"/><Relationship Id="rId1907" Type="http://schemas.openxmlformats.org/officeDocument/2006/relationships/hyperlink" Target="http://nemovitosti.blesk.cz/" TargetMode="External"/><Relationship Id="rId2071" Type="http://schemas.openxmlformats.org/officeDocument/2006/relationships/hyperlink" Target="https://recepty.cz/" TargetMode="External"/><Relationship Id="rId250" Type="http://schemas.openxmlformats.org/officeDocument/2006/relationships/hyperlink" Target="https://auto.cz/" TargetMode="External"/><Relationship Id="rId488" Type="http://schemas.openxmlformats.org/officeDocument/2006/relationships/hyperlink" Target="https://blesk.cz/" TargetMode="External"/><Relationship Id="rId695" Type="http://schemas.openxmlformats.org/officeDocument/2006/relationships/hyperlink" Target="https://reklama.cncenter.cz/Online/mobilni-interscroller" TargetMode="External"/><Relationship Id="rId2169" Type="http://schemas.openxmlformats.org/officeDocument/2006/relationships/hyperlink" Target="https://reklama.cncenter.cz/Online/double-skyscraper" TargetMode="External"/><Relationship Id="rId2376" Type="http://schemas.openxmlformats.org/officeDocument/2006/relationships/hyperlink" Target="https://zeny.cz/" TargetMode="External"/><Relationship Id="rId110" Type="http://schemas.openxmlformats.org/officeDocument/2006/relationships/hyperlink" Target="https://reklama.cncenter.cz/Online/Outstream" TargetMode="External"/><Relationship Id="rId348" Type="http://schemas.openxmlformats.org/officeDocument/2006/relationships/hyperlink" Target="https://reklama.cncenter.cz/Online/double-skyscraper" TargetMode="External"/><Relationship Id="rId555" Type="http://schemas.openxmlformats.org/officeDocument/2006/relationships/hyperlink" Target="https://reklama.cncenter.cz/Online/branding" TargetMode="External"/><Relationship Id="rId762" Type="http://schemas.openxmlformats.org/officeDocument/2006/relationships/hyperlink" Target="https://reklama.cncenter.cz/Online/Outstream" TargetMode="External"/><Relationship Id="rId1185" Type="http://schemas.openxmlformats.org/officeDocument/2006/relationships/hyperlink" Target="http://www.facebook.com/" TargetMode="External"/><Relationship Id="rId1392" Type="http://schemas.openxmlformats.org/officeDocument/2006/relationships/hyperlink" Target="http://www.instagram.com/" TargetMode="External"/><Relationship Id="rId2029" Type="http://schemas.openxmlformats.org/officeDocument/2006/relationships/hyperlink" Target="https://www.realitnitrh.cz/" TargetMode="External"/><Relationship Id="rId2236" Type="http://schemas.openxmlformats.org/officeDocument/2006/relationships/hyperlink" Target="https://sportrevue.cz/" TargetMode="External"/><Relationship Id="rId2443" Type="http://schemas.openxmlformats.org/officeDocument/2006/relationships/hyperlink" Target="https://zive.cz/" TargetMode="External"/><Relationship Id="rId208" Type="http://schemas.openxmlformats.org/officeDocument/2006/relationships/hyperlink" Target="https://ahaonline.cz/" TargetMode="External"/><Relationship Id="rId415" Type="http://schemas.openxmlformats.org/officeDocument/2006/relationships/hyperlink" Target="https://avmania.zive.cz/" TargetMode="External"/><Relationship Id="rId622" Type="http://schemas.openxmlformats.org/officeDocument/2006/relationships/hyperlink" Target="https://reklama.cncenter.cz/?ads=PR%2520%25C4%258Dl%25C3%25A1nky" TargetMode="External"/><Relationship Id="rId1045" Type="http://schemas.openxmlformats.org/officeDocument/2006/relationships/hyperlink" Target="https://reklama.cncenter.cz/Online/mobilni-slide-up" TargetMode="External"/><Relationship Id="rId1252" Type="http://schemas.openxmlformats.org/officeDocument/2006/relationships/hyperlink" Target="https://reklama.cncenter.cz/Online/branding" TargetMode="External"/><Relationship Id="rId1697" Type="http://schemas.openxmlformats.org/officeDocument/2006/relationships/hyperlink" Target="https://mobilmania.cz/" TargetMode="External"/><Relationship Id="rId2303" Type="http://schemas.openxmlformats.org/officeDocument/2006/relationships/hyperlink" Target="https://vtm.zive.cz/" TargetMode="External"/><Relationship Id="rId927" Type="http://schemas.openxmlformats.org/officeDocument/2006/relationships/hyperlink" Target="https://dama.cz/" TargetMode="External"/><Relationship Id="rId1112" Type="http://schemas.openxmlformats.org/officeDocument/2006/relationships/hyperlink" Target="https://f1sport.auto.cz/" TargetMode="External"/><Relationship Id="rId1557" Type="http://schemas.openxmlformats.org/officeDocument/2006/relationships/hyperlink" Target="https://maminka.cz/" TargetMode="External"/><Relationship Id="rId1764" Type="http://schemas.openxmlformats.org/officeDocument/2006/relationships/hyperlink" Target="https://mojezdravi.cz/" TargetMode="External"/><Relationship Id="rId1971" Type="http://schemas.openxmlformats.org/officeDocument/2006/relationships/hyperlink" Target="http://nemovitosti.blesk.cz/" TargetMode="External"/><Relationship Id="rId56" Type="http://schemas.openxmlformats.org/officeDocument/2006/relationships/hyperlink" Target="https://abecedazahrady.dama.cz/" TargetMode="External"/><Relationship Id="rId1417" Type="http://schemas.openxmlformats.org/officeDocument/2006/relationships/hyperlink" Target="http://www.instagram.com/" TargetMode="External"/><Relationship Id="rId1624" Type="http://schemas.openxmlformats.org/officeDocument/2006/relationships/hyperlink" Target="https://maminka.cz/" TargetMode="External"/><Relationship Id="rId1831" Type="http://schemas.openxmlformats.org/officeDocument/2006/relationships/hyperlink" Target="https://reklama.cncenter.cz/Online/billboard-bottom" TargetMode="External"/><Relationship Id="rId1929" Type="http://schemas.openxmlformats.org/officeDocument/2006/relationships/hyperlink" Target="https://nemovitosti.blesk.cz/" TargetMode="External"/><Relationship Id="rId2093" Type="http://schemas.openxmlformats.org/officeDocument/2006/relationships/hyperlink" Target="https://recepty.cz/" TargetMode="External"/><Relationship Id="rId2398" Type="http://schemas.openxmlformats.org/officeDocument/2006/relationships/hyperlink" Target="https://zeny.cz/" TargetMode="External"/><Relationship Id="rId272" Type="http://schemas.openxmlformats.org/officeDocument/2006/relationships/hyperlink" Target="https://auto.cz/" TargetMode="External"/><Relationship Id="rId577" Type="http://schemas.openxmlformats.org/officeDocument/2006/relationships/hyperlink" Target="https://bleskprozeny.cz/" TargetMode="External"/><Relationship Id="rId2160" Type="http://schemas.openxmlformats.org/officeDocument/2006/relationships/hyperlink" Target="https://reklama.cncenter.cz/Online/billboard-bottom" TargetMode="External"/><Relationship Id="rId2258" Type="http://schemas.openxmlformats.org/officeDocument/2006/relationships/hyperlink" Target="https://vtm.zive.cz/" TargetMode="External"/><Relationship Id="rId132" Type="http://schemas.openxmlformats.org/officeDocument/2006/relationships/hyperlink" Target="https://reklama.cncenter.cz/Online/nativni-PR-premium" TargetMode="External"/><Relationship Id="rId784" Type="http://schemas.openxmlformats.org/officeDocument/2006/relationships/hyperlink" Target="https://reklama.cncenter.cz/Online/branding" TargetMode="External"/><Relationship Id="rId991" Type="http://schemas.openxmlformats.org/officeDocument/2006/relationships/hyperlink" Target="https://dama.cz/" TargetMode="External"/><Relationship Id="rId1067" Type="http://schemas.openxmlformats.org/officeDocument/2006/relationships/hyperlink" Target="https://evropa2.cz/" TargetMode="External"/><Relationship Id="rId2020" Type="http://schemas.openxmlformats.org/officeDocument/2006/relationships/hyperlink" Target="https://www.realitnitrh.cz/" TargetMode="External"/><Relationship Id="rId2465" Type="http://schemas.openxmlformats.org/officeDocument/2006/relationships/hyperlink" Target="https://zive.cz/" TargetMode="External"/><Relationship Id="rId437" Type="http://schemas.openxmlformats.org/officeDocument/2006/relationships/hyperlink" Target="https://avmania.zive.cz/" TargetMode="External"/><Relationship Id="rId644" Type="http://schemas.openxmlformats.org/officeDocument/2006/relationships/hyperlink" Target="https://reklama.cncenter.cz/Online/Outstream" TargetMode="External"/><Relationship Id="rId851" Type="http://schemas.openxmlformats.org/officeDocument/2006/relationships/hyperlink" Target="https://doupe.zive.cz/" TargetMode="External"/><Relationship Id="rId1274" Type="http://schemas.openxmlformats.org/officeDocument/2006/relationships/hyperlink" Target="https://fitweb.cz/" TargetMode="External"/><Relationship Id="rId1481" Type="http://schemas.openxmlformats.org/officeDocument/2006/relationships/hyperlink" Target="https://reklama.cncenter.cz/Online/mobilni-interscroller" TargetMode="External"/><Relationship Id="rId1579" Type="http://schemas.openxmlformats.org/officeDocument/2006/relationships/hyperlink" Target="https://reklama.cncenter.cz/Online/double-skyscraper" TargetMode="External"/><Relationship Id="rId2118" Type="http://schemas.openxmlformats.org/officeDocument/2006/relationships/hyperlink" Target="https://recepty.cz/" TargetMode="External"/><Relationship Id="rId2325" Type="http://schemas.openxmlformats.org/officeDocument/2006/relationships/hyperlink" Target="https://reklama.cncenter.cz/Online/branding" TargetMode="External"/><Relationship Id="rId504" Type="http://schemas.openxmlformats.org/officeDocument/2006/relationships/hyperlink" Target="https://reklama.cncenter.cz/Online/Videospot" TargetMode="External"/><Relationship Id="rId711" Type="http://schemas.openxmlformats.org/officeDocument/2006/relationships/hyperlink" Target="https://reklama.cncenter.cz/Online/mobilni-slide-up" TargetMode="External"/><Relationship Id="rId949" Type="http://schemas.openxmlformats.org/officeDocument/2006/relationships/hyperlink" Target="https://reklama.cncenter.cz/Online/nativni-PR-premium" TargetMode="External"/><Relationship Id="rId1134" Type="http://schemas.openxmlformats.org/officeDocument/2006/relationships/hyperlink" Target="https://f1sport.auto.cz/" TargetMode="External"/><Relationship Id="rId1341" Type="http://schemas.openxmlformats.org/officeDocument/2006/relationships/hyperlink" Target="https://frekvence1.cz/" TargetMode="External"/><Relationship Id="rId1786" Type="http://schemas.openxmlformats.org/officeDocument/2006/relationships/hyperlink" Target="https://reklama.cncenter.cz/Online/Outstream" TargetMode="External"/><Relationship Id="rId1993" Type="http://schemas.openxmlformats.org/officeDocument/2006/relationships/hyperlink" Target="https://reklama.cncenter.cz/Online/double-skyscraper" TargetMode="External"/><Relationship Id="rId78" Type="http://schemas.openxmlformats.org/officeDocument/2006/relationships/hyperlink" Target="https://abicko.cz/" TargetMode="External"/><Relationship Id="rId143" Type="http://schemas.openxmlformats.org/officeDocument/2006/relationships/hyperlink" Target="https://abicko.cz/" TargetMode="External"/><Relationship Id="rId350" Type="http://schemas.openxmlformats.org/officeDocument/2006/relationships/hyperlink" Target="https://autorevue.cz/" TargetMode="External"/><Relationship Id="rId588" Type="http://schemas.openxmlformats.org/officeDocument/2006/relationships/hyperlink" Target="https://reklama.cncenter.cz/Online/Outstream" TargetMode="External"/><Relationship Id="rId795" Type="http://schemas.openxmlformats.org/officeDocument/2006/relationships/hyperlink" Target="https://digiarena.zive.cz/" TargetMode="External"/><Relationship Id="rId809" Type="http://schemas.openxmlformats.org/officeDocument/2006/relationships/hyperlink" Target="https://digiarena.zive.cz/" TargetMode="External"/><Relationship Id="rId1201" Type="http://schemas.openxmlformats.org/officeDocument/2006/relationships/hyperlink" Target="https://www.facebook.com/business/ads-guide/image/facebook-feed" TargetMode="External"/><Relationship Id="rId1439" Type="http://schemas.openxmlformats.org/officeDocument/2006/relationships/hyperlink" Target="http://www.instagram.com/" TargetMode="External"/><Relationship Id="rId1646" Type="http://schemas.openxmlformats.org/officeDocument/2006/relationships/hyperlink" Target="https://reklama.cncenter.cz/Online/branding" TargetMode="External"/><Relationship Id="rId1853" Type="http://schemas.openxmlformats.org/officeDocument/2006/relationships/hyperlink" Target="https://motogpsport.cz/" TargetMode="External"/><Relationship Id="rId2031" Type="http://schemas.openxmlformats.org/officeDocument/2006/relationships/hyperlink" Target="https://reklama.cncenter.cz/Online/Outstream" TargetMode="External"/><Relationship Id="rId2269" Type="http://schemas.openxmlformats.org/officeDocument/2006/relationships/hyperlink" Target="https://vtm.zive.cz/" TargetMode="External"/><Relationship Id="rId2476" Type="http://schemas.openxmlformats.org/officeDocument/2006/relationships/hyperlink" Target="https://zive.cz/" TargetMode="External"/><Relationship Id="rId9" Type="http://schemas.openxmlformats.org/officeDocument/2006/relationships/hyperlink" Target="https://abecedazahrady.dama.cz/" TargetMode="External"/><Relationship Id="rId210" Type="http://schemas.openxmlformats.org/officeDocument/2006/relationships/hyperlink" Target="https://ahaonline.cz/" TargetMode="External"/><Relationship Id="rId448" Type="http://schemas.openxmlformats.org/officeDocument/2006/relationships/hyperlink" Target="https://avmania.zive.cz/" TargetMode="External"/><Relationship Id="rId655" Type="http://schemas.openxmlformats.org/officeDocument/2006/relationships/hyperlink" Target="https://reklama.cncenter.cz/Online/Bumper" TargetMode="External"/><Relationship Id="rId862" Type="http://schemas.openxmlformats.org/officeDocument/2006/relationships/hyperlink" Target="https://reklama.cncenter.cz/Online/branding" TargetMode="External"/><Relationship Id="rId1078" Type="http://schemas.openxmlformats.org/officeDocument/2006/relationships/hyperlink" Target="https://f1sport.auto.cz/" TargetMode="External"/><Relationship Id="rId1285" Type="http://schemas.openxmlformats.org/officeDocument/2006/relationships/hyperlink" Target="https://reklama.cncenter.cz/Online/nativni-rectangle-cross-device" TargetMode="External"/><Relationship Id="rId1492" Type="http://schemas.openxmlformats.org/officeDocument/2006/relationships/hyperlink" Target="https://reklama.cncenter.cz/Online/billboard-bottom" TargetMode="External"/><Relationship Id="rId1506" Type="http://schemas.openxmlformats.org/officeDocument/2006/relationships/hyperlink" Target="https://lideazeme.cz/" TargetMode="External"/><Relationship Id="rId1713" Type="http://schemas.openxmlformats.org/officeDocument/2006/relationships/hyperlink" Target="https://reklama.cncenter.cz/Online/double-skyscraper" TargetMode="External"/><Relationship Id="rId1920" Type="http://schemas.openxmlformats.org/officeDocument/2006/relationships/hyperlink" Target="https://nemovitosti.blesk.cz/" TargetMode="External"/><Relationship Id="rId2129" Type="http://schemas.openxmlformats.org/officeDocument/2006/relationships/hyperlink" Target="https://recepty.cz/" TargetMode="External"/><Relationship Id="rId2336" Type="http://schemas.openxmlformats.org/officeDocument/2006/relationships/hyperlink" Target="https://zeny.cz/" TargetMode="External"/><Relationship Id="rId294" Type="http://schemas.openxmlformats.org/officeDocument/2006/relationships/hyperlink" Target="https://auto.cz/" TargetMode="External"/><Relationship Id="rId308" Type="http://schemas.openxmlformats.org/officeDocument/2006/relationships/hyperlink" Target="https://auto.cz/" TargetMode="External"/><Relationship Id="rId515" Type="http://schemas.openxmlformats.org/officeDocument/2006/relationships/hyperlink" Target="https://reklama.cncenter.cz/Online/mobilni-slide-up" TargetMode="External"/><Relationship Id="rId722" Type="http://schemas.openxmlformats.org/officeDocument/2006/relationships/hyperlink" Target="https://reklama.cncenter.cz/Online/nativni-rectangle-cross-device" TargetMode="External"/><Relationship Id="rId1145" Type="http://schemas.openxmlformats.org/officeDocument/2006/relationships/hyperlink" Target="http://www.facebook.com/" TargetMode="External"/><Relationship Id="rId1352" Type="http://schemas.openxmlformats.org/officeDocument/2006/relationships/hyperlink" Target="https://www.heureka.cz/" TargetMode="External"/><Relationship Id="rId1797" Type="http://schemas.openxmlformats.org/officeDocument/2006/relationships/hyperlink" Target="https://reklama.cncenter.cz/Online/Videospot" TargetMode="External"/><Relationship Id="rId2182" Type="http://schemas.openxmlformats.org/officeDocument/2006/relationships/hyperlink" Target="https://reflex.cz/" TargetMode="External"/><Relationship Id="rId2403" Type="http://schemas.openxmlformats.org/officeDocument/2006/relationships/hyperlink" Target="https://zive.cz/" TargetMode="External"/><Relationship Id="rId89" Type="http://schemas.openxmlformats.org/officeDocument/2006/relationships/hyperlink" Target="https://reklama.cncenter.cz/Online/branding" TargetMode="External"/><Relationship Id="rId154" Type="http://schemas.openxmlformats.org/officeDocument/2006/relationships/hyperlink" Target="https://www.activegroup.cz/reklama" TargetMode="External"/><Relationship Id="rId361" Type="http://schemas.openxmlformats.org/officeDocument/2006/relationships/hyperlink" Target="https://autorevue.cz/" TargetMode="External"/><Relationship Id="rId599" Type="http://schemas.openxmlformats.org/officeDocument/2006/relationships/hyperlink" Target="https://reklama.cncenter.cz/Online/Videospot" TargetMode="External"/><Relationship Id="rId1005" Type="http://schemas.openxmlformats.org/officeDocument/2006/relationships/hyperlink" Target="https://reklama.cncenter.cz/Online/double-skyscraper" TargetMode="External"/><Relationship Id="rId1212" Type="http://schemas.openxmlformats.org/officeDocument/2006/relationships/hyperlink" Target="http://www.facebook.com/" TargetMode="External"/><Relationship Id="rId1657" Type="http://schemas.openxmlformats.org/officeDocument/2006/relationships/hyperlink" Target="https://reklama.cncenter.cz/Online/double-skyscraper" TargetMode="External"/><Relationship Id="rId1864" Type="http://schemas.openxmlformats.org/officeDocument/2006/relationships/hyperlink" Target="https://reklama.cncenter.cz/Online/Outstream" TargetMode="External"/><Relationship Id="rId2042" Type="http://schemas.openxmlformats.org/officeDocument/2006/relationships/hyperlink" Target="https://www.realitnitrh.cz/" TargetMode="External"/><Relationship Id="rId459" Type="http://schemas.openxmlformats.org/officeDocument/2006/relationships/hyperlink" Target="https://avmania.zive.cz/" TargetMode="External"/><Relationship Id="rId666" Type="http://schemas.openxmlformats.org/officeDocument/2006/relationships/hyperlink" Target="https://reklama.cncenter.cz/Online/mobilni-vineta" TargetMode="External"/><Relationship Id="rId873" Type="http://schemas.openxmlformats.org/officeDocument/2006/relationships/hyperlink" Target="https://doupe.zive.cz/" TargetMode="External"/><Relationship Id="rId1089" Type="http://schemas.openxmlformats.org/officeDocument/2006/relationships/hyperlink" Target="https://reklama.cncenter.cz/Online/billboard-bottom" TargetMode="External"/><Relationship Id="rId1296" Type="http://schemas.openxmlformats.org/officeDocument/2006/relationships/hyperlink" Target="https://heyfomo.cz/" TargetMode="External"/><Relationship Id="rId1517" Type="http://schemas.openxmlformats.org/officeDocument/2006/relationships/hyperlink" Target="https://lideazeme.cz/" TargetMode="External"/><Relationship Id="rId1724" Type="http://schemas.openxmlformats.org/officeDocument/2006/relationships/hyperlink" Target="https://mobilmania.cz/" TargetMode="External"/><Relationship Id="rId2347" Type="http://schemas.openxmlformats.org/officeDocument/2006/relationships/hyperlink" Target="https://zeny.cz/" TargetMode="External"/><Relationship Id="rId16" Type="http://schemas.openxmlformats.org/officeDocument/2006/relationships/hyperlink" Target="https://abecedazahrady.dama.cz/" TargetMode="External"/><Relationship Id="rId221" Type="http://schemas.openxmlformats.org/officeDocument/2006/relationships/hyperlink" Target="https://ahaonline.cz/" TargetMode="External"/><Relationship Id="rId319" Type="http://schemas.openxmlformats.org/officeDocument/2006/relationships/hyperlink" Target="https://auto.cz/" TargetMode="External"/><Relationship Id="rId526" Type="http://schemas.openxmlformats.org/officeDocument/2006/relationships/hyperlink" Target="https://reklama.cncenter.cz/Online/branding" TargetMode="External"/><Relationship Id="rId1156" Type="http://schemas.openxmlformats.org/officeDocument/2006/relationships/hyperlink" Target="https://www.facebook.com/business/ads-guide/image/facebook-feed" TargetMode="External"/><Relationship Id="rId1363" Type="http://schemas.openxmlformats.org/officeDocument/2006/relationships/hyperlink" Target="https://reklama.cncenter.cz/Online/branding" TargetMode="External"/><Relationship Id="rId1931" Type="http://schemas.openxmlformats.org/officeDocument/2006/relationships/hyperlink" Target="http://nemovitosti.blesk.cz/" TargetMode="External"/><Relationship Id="rId2207" Type="http://schemas.openxmlformats.org/officeDocument/2006/relationships/hyperlink" Target="https://reklama.cncenter.cz/Online/mobilni-slide-up" TargetMode="External"/><Relationship Id="rId733" Type="http://schemas.openxmlformats.org/officeDocument/2006/relationships/hyperlink" Target="https://reklama.cncenter.cz/Online/Videospot" TargetMode="External"/><Relationship Id="rId940" Type="http://schemas.openxmlformats.org/officeDocument/2006/relationships/hyperlink" Target="https://reklama.cncenter.cz/Online/mobilni-interscroller" TargetMode="External"/><Relationship Id="rId1016" Type="http://schemas.openxmlformats.org/officeDocument/2006/relationships/hyperlink" Target="https://reklama.cncenter.cz/Online/mobilni-slide-up" TargetMode="External"/><Relationship Id="rId1570" Type="http://schemas.openxmlformats.org/officeDocument/2006/relationships/hyperlink" Target="https://reklama.cncenter.cz/Online/billboard-bottom" TargetMode="External"/><Relationship Id="rId1668" Type="http://schemas.openxmlformats.org/officeDocument/2006/relationships/hyperlink" Target="https://mobilmania.cz/" TargetMode="External"/><Relationship Id="rId1875" Type="http://schemas.openxmlformats.org/officeDocument/2006/relationships/hyperlink" Target="https://reklama.cncenter.cz/Online/mobilni-slide-up" TargetMode="External"/><Relationship Id="rId2193" Type="http://schemas.openxmlformats.org/officeDocument/2006/relationships/hyperlink" Target="https://reklama.cncenter.cz/Online/Bumper" TargetMode="External"/><Relationship Id="rId2414" Type="http://schemas.openxmlformats.org/officeDocument/2006/relationships/hyperlink" Target="https://zive.cz/" TargetMode="External"/><Relationship Id="rId165" Type="http://schemas.openxmlformats.org/officeDocument/2006/relationships/hyperlink" Target="https://reklama.cncenter.cz/Online/branding-cross-device" TargetMode="External"/><Relationship Id="rId372" Type="http://schemas.openxmlformats.org/officeDocument/2006/relationships/hyperlink" Target="https://autorevue.cz/" TargetMode="External"/><Relationship Id="rId677" Type="http://schemas.openxmlformats.org/officeDocument/2006/relationships/hyperlink" Target="https://reklama.cncenter.cz/Online/Outstream" TargetMode="External"/><Relationship Id="rId800" Type="http://schemas.openxmlformats.org/officeDocument/2006/relationships/hyperlink" Target="https://digiarena.zive.cz/" TargetMode="External"/><Relationship Id="rId1223" Type="http://schemas.openxmlformats.org/officeDocument/2006/relationships/hyperlink" Target="https://finexpert.cz/" TargetMode="External"/><Relationship Id="rId1430" Type="http://schemas.openxmlformats.org/officeDocument/2006/relationships/hyperlink" Target="http://www.instagram.com/" TargetMode="External"/><Relationship Id="rId1528" Type="http://schemas.openxmlformats.org/officeDocument/2006/relationships/hyperlink" Target="https://lideazeme.cz/" TargetMode="External"/><Relationship Id="rId2053" Type="http://schemas.openxmlformats.org/officeDocument/2006/relationships/hyperlink" Target="https://reklama.cncenter.cz/?ads=PR%2520%25C4%258Dl%25C3%25A1nky" TargetMode="External"/><Relationship Id="rId2260" Type="http://schemas.openxmlformats.org/officeDocument/2006/relationships/hyperlink" Target="https://vtm.zive.cz/" TargetMode="External"/><Relationship Id="rId2358" Type="http://schemas.openxmlformats.org/officeDocument/2006/relationships/hyperlink" Target="https://reklama.cncenter.cz/Online/Outstream" TargetMode="External"/><Relationship Id="rId232" Type="http://schemas.openxmlformats.org/officeDocument/2006/relationships/hyperlink" Target="https://ahaonline.cz/" TargetMode="External"/><Relationship Id="rId884" Type="http://schemas.openxmlformats.org/officeDocument/2006/relationships/hyperlink" Target="https://doupe.zive.cz/" TargetMode="External"/><Relationship Id="rId1735" Type="http://schemas.openxmlformats.org/officeDocument/2006/relationships/hyperlink" Target="https://mobilmania.cz/" TargetMode="External"/><Relationship Id="rId1942" Type="http://schemas.openxmlformats.org/officeDocument/2006/relationships/hyperlink" Target="https://reklama.cncenter.cz/Online/Outstream" TargetMode="External"/><Relationship Id="rId2120" Type="http://schemas.openxmlformats.org/officeDocument/2006/relationships/hyperlink" Target="https://reklama.cncenter.cz/Online/mobilni-slide-up" TargetMode="External"/><Relationship Id="rId27" Type="http://schemas.openxmlformats.org/officeDocument/2006/relationships/hyperlink" Target="https://abecedazahrady.dama.cz/" TargetMode="External"/><Relationship Id="rId537" Type="http://schemas.openxmlformats.org/officeDocument/2006/relationships/hyperlink" Target="https://blesk.cz/" TargetMode="External"/><Relationship Id="rId744" Type="http://schemas.openxmlformats.org/officeDocument/2006/relationships/hyperlink" Target="https://reklama.cncenter.cz/Online/mobilni-slide-up" TargetMode="External"/><Relationship Id="rId951" Type="http://schemas.openxmlformats.org/officeDocument/2006/relationships/hyperlink" Target="https://dama.cz/" TargetMode="External"/><Relationship Id="rId1167" Type="http://schemas.openxmlformats.org/officeDocument/2006/relationships/hyperlink" Target="http://www.facebook.com/" TargetMode="External"/><Relationship Id="rId1374" Type="http://schemas.openxmlformats.org/officeDocument/2006/relationships/hyperlink" Target="https://hledejceny.cz/" TargetMode="External"/><Relationship Id="rId1581" Type="http://schemas.openxmlformats.org/officeDocument/2006/relationships/hyperlink" Target="https://maminka.cz/" TargetMode="External"/><Relationship Id="rId1679" Type="http://schemas.openxmlformats.org/officeDocument/2006/relationships/hyperlink" Target="https://mobilmania.cz/" TargetMode="External"/><Relationship Id="rId1802" Type="http://schemas.openxmlformats.org/officeDocument/2006/relationships/hyperlink" Target="https://mojezdravi.cz/" TargetMode="External"/><Relationship Id="rId2218" Type="http://schemas.openxmlformats.org/officeDocument/2006/relationships/hyperlink" Target="https://reklama.cncenter.cz/Online/nativni-rectangle-cross-device" TargetMode="External"/><Relationship Id="rId2425" Type="http://schemas.openxmlformats.org/officeDocument/2006/relationships/hyperlink" Target="https://zive.cz/" TargetMode="External"/><Relationship Id="rId80" Type="http://schemas.openxmlformats.org/officeDocument/2006/relationships/hyperlink" Target="https://reklama.cncenter.cz/Online/branding" TargetMode="External"/><Relationship Id="rId176" Type="http://schemas.openxmlformats.org/officeDocument/2006/relationships/hyperlink" Target="https://ahaonline.cz/" TargetMode="External"/><Relationship Id="rId383" Type="http://schemas.openxmlformats.org/officeDocument/2006/relationships/hyperlink" Target="https://reklama.cncenter.cz/Online/mobilni-vineta" TargetMode="External"/><Relationship Id="rId590" Type="http://schemas.openxmlformats.org/officeDocument/2006/relationships/hyperlink" Target="https://bleskprozeny.cz/" TargetMode="External"/><Relationship Id="rId604" Type="http://schemas.openxmlformats.org/officeDocument/2006/relationships/hyperlink" Target="https://bleskprozeny.cz/" TargetMode="External"/><Relationship Id="rId811" Type="http://schemas.openxmlformats.org/officeDocument/2006/relationships/hyperlink" Target="https://reklama.cncenter.cz/Online/Outstream" TargetMode="External"/><Relationship Id="rId1027" Type="http://schemas.openxmlformats.org/officeDocument/2006/relationships/hyperlink" Target="https://reklama.cncenter.cz/Online/branding" TargetMode="External"/><Relationship Id="rId1234" Type="http://schemas.openxmlformats.org/officeDocument/2006/relationships/hyperlink" Target="https://finexpert.cz/" TargetMode="External"/><Relationship Id="rId1441" Type="http://schemas.openxmlformats.org/officeDocument/2006/relationships/hyperlink" Target="http://www.instagram.com/" TargetMode="External"/><Relationship Id="rId1886" Type="http://schemas.openxmlformats.org/officeDocument/2006/relationships/hyperlink" Target="https://reklama.cncenter.cz/Online/Outstream" TargetMode="External"/><Relationship Id="rId2064" Type="http://schemas.openxmlformats.org/officeDocument/2006/relationships/hyperlink" Target="https://reklama.cncenter.cz/Online/billboard-bottom" TargetMode="External"/><Relationship Id="rId2271" Type="http://schemas.openxmlformats.org/officeDocument/2006/relationships/hyperlink" Target="https://reklama.cncenter.cz/Online/double-skyscraper" TargetMode="External"/><Relationship Id="rId243" Type="http://schemas.openxmlformats.org/officeDocument/2006/relationships/hyperlink" Target="https://reklama.cncenter.cz/Online/billboard-bottom" TargetMode="External"/><Relationship Id="rId450" Type="http://schemas.openxmlformats.org/officeDocument/2006/relationships/hyperlink" Target="https://avmania.zive.cz/" TargetMode="External"/><Relationship Id="rId688" Type="http://schemas.openxmlformats.org/officeDocument/2006/relationships/hyperlink" Target="https://reklama.cncenter.cz/Online/mobilni-slide-up" TargetMode="External"/><Relationship Id="rId895" Type="http://schemas.openxmlformats.org/officeDocument/2006/relationships/hyperlink" Target="https://doupe.zive.cz/" TargetMode="External"/><Relationship Id="rId909" Type="http://schemas.openxmlformats.org/officeDocument/2006/relationships/hyperlink" Target="https://doupe.zive.cz/" TargetMode="External"/><Relationship Id="rId1080" Type="http://schemas.openxmlformats.org/officeDocument/2006/relationships/hyperlink" Target="https://reklama.cncenter.cz/Online/billboard-bottom" TargetMode="External"/><Relationship Id="rId1301" Type="http://schemas.openxmlformats.org/officeDocument/2006/relationships/hyperlink" Target="https://heyfomo.cz/" TargetMode="External"/><Relationship Id="rId1539" Type="http://schemas.openxmlformats.org/officeDocument/2006/relationships/hyperlink" Target="https://reklama.cncenter.cz/Online/mobilni-vineta" TargetMode="External"/><Relationship Id="rId1746" Type="http://schemas.openxmlformats.org/officeDocument/2006/relationships/hyperlink" Target="https://mojezdravi.cz/" TargetMode="External"/><Relationship Id="rId1953" Type="http://schemas.openxmlformats.org/officeDocument/2006/relationships/hyperlink" Target="https://reklama.cncenter.cz/Online/mobilni-interscroller" TargetMode="External"/><Relationship Id="rId2131" Type="http://schemas.openxmlformats.org/officeDocument/2006/relationships/hyperlink" Target="https://reklama.cncenter.cz/Online/nativni-rectangle-cross-device" TargetMode="External"/><Relationship Id="rId2369" Type="http://schemas.openxmlformats.org/officeDocument/2006/relationships/hyperlink" Target="https://reklama.cncenter.cz/Online/Videospot" TargetMode="External"/><Relationship Id="rId38" Type="http://schemas.openxmlformats.org/officeDocument/2006/relationships/hyperlink" Target="https://reklama.cncenter.cz/Online/Outstream" TargetMode="External"/><Relationship Id="rId103" Type="http://schemas.openxmlformats.org/officeDocument/2006/relationships/hyperlink" Target="https://abicko.cz/" TargetMode="External"/><Relationship Id="rId310" Type="http://schemas.openxmlformats.org/officeDocument/2006/relationships/hyperlink" Target="https://reklama.cncenter.cz/Online/nativni-rectangle-cross-device" TargetMode="External"/><Relationship Id="rId548" Type="http://schemas.openxmlformats.org/officeDocument/2006/relationships/hyperlink" Target="https://bleskprozeny.cz/" TargetMode="External"/><Relationship Id="rId755" Type="http://schemas.openxmlformats.org/officeDocument/2006/relationships/hyperlink" Target="https://reklama.cncenter.cz/Online/branding" TargetMode="External"/><Relationship Id="rId962" Type="http://schemas.openxmlformats.org/officeDocument/2006/relationships/hyperlink" Target="https://dama.cz/" TargetMode="External"/><Relationship Id="rId1178" Type="http://schemas.openxmlformats.org/officeDocument/2006/relationships/hyperlink" Target="http://www.facebook.com/" TargetMode="External"/><Relationship Id="rId1385" Type="http://schemas.openxmlformats.org/officeDocument/2006/relationships/hyperlink" Target="http://www.instagram.com/" TargetMode="External"/><Relationship Id="rId1592" Type="http://schemas.openxmlformats.org/officeDocument/2006/relationships/hyperlink" Target="https://maminka.cz/" TargetMode="External"/><Relationship Id="rId1606" Type="http://schemas.openxmlformats.org/officeDocument/2006/relationships/hyperlink" Target="https://maminka.cz/" TargetMode="External"/><Relationship Id="rId1813" Type="http://schemas.openxmlformats.org/officeDocument/2006/relationships/hyperlink" Target="https://mojezdravi.cz/" TargetMode="External"/><Relationship Id="rId2229" Type="http://schemas.openxmlformats.org/officeDocument/2006/relationships/hyperlink" Target="https://reflex.cz/" TargetMode="External"/><Relationship Id="rId2436" Type="http://schemas.openxmlformats.org/officeDocument/2006/relationships/hyperlink" Target="https://reklama.cncenter.cz/Online/nativni-PR-premium" TargetMode="External"/><Relationship Id="rId91" Type="http://schemas.openxmlformats.org/officeDocument/2006/relationships/hyperlink" Target="https://abicko.cz/" TargetMode="External"/><Relationship Id="rId187" Type="http://schemas.openxmlformats.org/officeDocument/2006/relationships/hyperlink" Target="https://ahaonline.cz/" TargetMode="External"/><Relationship Id="rId394" Type="http://schemas.openxmlformats.org/officeDocument/2006/relationships/hyperlink" Target="https://reklama.cncenter.cz/Online/Outstream" TargetMode="External"/><Relationship Id="rId408" Type="http://schemas.openxmlformats.org/officeDocument/2006/relationships/hyperlink" Target="https://avmania.zive.cz/" TargetMode="External"/><Relationship Id="rId615" Type="http://schemas.openxmlformats.org/officeDocument/2006/relationships/hyperlink" Target="https://bleskprozeny.cz/" TargetMode="External"/><Relationship Id="rId822" Type="http://schemas.openxmlformats.org/officeDocument/2006/relationships/hyperlink" Target="https://reklama.cncenter.cz/Online/mobilni-slide-up" TargetMode="External"/><Relationship Id="rId1038" Type="http://schemas.openxmlformats.org/officeDocument/2006/relationships/hyperlink" Target="https://evropa2.cz/" TargetMode="External"/><Relationship Id="rId1245" Type="http://schemas.openxmlformats.org/officeDocument/2006/relationships/hyperlink" Target="https://fitweb.cz/" TargetMode="External"/><Relationship Id="rId1452" Type="http://schemas.openxmlformats.org/officeDocument/2006/relationships/hyperlink" Target="http://www.instagram.com/" TargetMode="External"/><Relationship Id="rId1897" Type="http://schemas.openxmlformats.org/officeDocument/2006/relationships/hyperlink" Target="https://nemovitosti.blesk.cz/" TargetMode="External"/><Relationship Id="rId2075" Type="http://schemas.openxmlformats.org/officeDocument/2006/relationships/hyperlink" Target="https://recepty.cz/" TargetMode="External"/><Relationship Id="rId2282" Type="http://schemas.openxmlformats.org/officeDocument/2006/relationships/hyperlink" Target="https://vtm.zive.cz/" TargetMode="External"/><Relationship Id="rId254" Type="http://schemas.openxmlformats.org/officeDocument/2006/relationships/hyperlink" Target="https://auto.cz/" TargetMode="External"/><Relationship Id="rId699" Type="http://schemas.openxmlformats.org/officeDocument/2006/relationships/hyperlink" Target="https://reklama.cncenter.cz/Online/Outstream" TargetMode="External"/><Relationship Id="rId1091" Type="http://schemas.openxmlformats.org/officeDocument/2006/relationships/hyperlink" Target="https://f1sport.auto.cz/" TargetMode="External"/><Relationship Id="rId1105" Type="http://schemas.openxmlformats.org/officeDocument/2006/relationships/hyperlink" Target="https://f1sport.auto.cz/" TargetMode="External"/><Relationship Id="rId1312" Type="http://schemas.openxmlformats.org/officeDocument/2006/relationships/hyperlink" Target="https://reklama.cncenter.cz/Online/branding-cross-device" TargetMode="External"/><Relationship Id="rId1757" Type="http://schemas.openxmlformats.org/officeDocument/2006/relationships/hyperlink" Target="https://mojezdravi.cz/" TargetMode="External"/><Relationship Id="rId1964" Type="http://schemas.openxmlformats.org/officeDocument/2006/relationships/hyperlink" Target="https://nemovitosti.blesk.cz/" TargetMode="External"/><Relationship Id="rId49" Type="http://schemas.openxmlformats.org/officeDocument/2006/relationships/hyperlink" Target="https://reklama.cncenter.cz/Online/mobilni-slide-up" TargetMode="External"/><Relationship Id="rId114" Type="http://schemas.openxmlformats.org/officeDocument/2006/relationships/hyperlink" Target="https://abicko.cz/" TargetMode="External"/><Relationship Id="rId461" Type="http://schemas.openxmlformats.org/officeDocument/2006/relationships/hyperlink" Target="https://avmania.zive.cz/" TargetMode="External"/><Relationship Id="rId559" Type="http://schemas.openxmlformats.org/officeDocument/2006/relationships/hyperlink" Target="https://bleskprozeny.cz/" TargetMode="External"/><Relationship Id="rId766" Type="http://schemas.openxmlformats.org/officeDocument/2006/relationships/hyperlink" Target="https://reklama.cncenter.cz/Online/Videospot" TargetMode="External"/><Relationship Id="rId1189" Type="http://schemas.openxmlformats.org/officeDocument/2006/relationships/hyperlink" Target="https://www.facebook.com/business/ads-guide/image/facebook-feed" TargetMode="External"/><Relationship Id="rId1396" Type="http://schemas.openxmlformats.org/officeDocument/2006/relationships/hyperlink" Target="http://www.instagram.com/" TargetMode="External"/><Relationship Id="rId1617" Type="http://schemas.openxmlformats.org/officeDocument/2006/relationships/hyperlink" Target="https://reklama.cncenter.cz/Online/mobilni-slide-up" TargetMode="External"/><Relationship Id="rId1824" Type="http://schemas.openxmlformats.org/officeDocument/2006/relationships/hyperlink" Target="https://mojezdravi.cz/" TargetMode="External"/><Relationship Id="rId2142" Type="http://schemas.openxmlformats.org/officeDocument/2006/relationships/hyperlink" Target="https://recepty.cz/" TargetMode="External"/><Relationship Id="rId2447" Type="http://schemas.openxmlformats.org/officeDocument/2006/relationships/hyperlink" Target="https://zive.cz/" TargetMode="External"/><Relationship Id="rId198" Type="http://schemas.openxmlformats.org/officeDocument/2006/relationships/hyperlink" Target="https://reklama.cncenter.cz/Online/Outstream" TargetMode="External"/><Relationship Id="rId321" Type="http://schemas.openxmlformats.org/officeDocument/2006/relationships/hyperlink" Target="https://auto.cz/" TargetMode="External"/><Relationship Id="rId419" Type="http://schemas.openxmlformats.org/officeDocument/2006/relationships/hyperlink" Target="https://avmania.zive.cz/" TargetMode="External"/><Relationship Id="rId626" Type="http://schemas.openxmlformats.org/officeDocument/2006/relationships/hyperlink" Target="https://bleskprozeny.cz/" TargetMode="External"/><Relationship Id="rId973" Type="http://schemas.openxmlformats.org/officeDocument/2006/relationships/hyperlink" Target="https://dama.cz/" TargetMode="External"/><Relationship Id="rId1049" Type="http://schemas.openxmlformats.org/officeDocument/2006/relationships/hyperlink" Target="https://evropa2.cz/" TargetMode="External"/><Relationship Id="rId1256" Type="http://schemas.openxmlformats.org/officeDocument/2006/relationships/hyperlink" Target="https://fitweb.cz/" TargetMode="External"/><Relationship Id="rId2002" Type="http://schemas.openxmlformats.org/officeDocument/2006/relationships/hyperlink" Target="https://www.realitnitrh.cz/" TargetMode="External"/><Relationship Id="rId2086" Type="http://schemas.openxmlformats.org/officeDocument/2006/relationships/hyperlink" Target="https://recepty.cz/" TargetMode="External"/><Relationship Id="rId2307" Type="http://schemas.openxmlformats.org/officeDocument/2006/relationships/hyperlink" Target="https://x.com/" TargetMode="External"/><Relationship Id="rId833" Type="http://schemas.openxmlformats.org/officeDocument/2006/relationships/hyperlink" Target="https://reklama.cncenter.cz/Online/Outstream" TargetMode="External"/><Relationship Id="rId1116" Type="http://schemas.openxmlformats.org/officeDocument/2006/relationships/hyperlink" Target="https://f1sport.auto.cz/" TargetMode="External"/><Relationship Id="rId1463" Type="http://schemas.openxmlformats.org/officeDocument/2006/relationships/hyperlink" Target="http://www.instagram.com/" TargetMode="External"/><Relationship Id="rId1670" Type="http://schemas.openxmlformats.org/officeDocument/2006/relationships/hyperlink" Target="https://mobilmania.cz/" TargetMode="External"/><Relationship Id="rId1768" Type="http://schemas.openxmlformats.org/officeDocument/2006/relationships/hyperlink" Target="https://reklama.cncenter.cz/Online/double-skyscraper" TargetMode="External"/><Relationship Id="rId2293" Type="http://schemas.openxmlformats.org/officeDocument/2006/relationships/hyperlink" Target="https://vtm.zive.cz/" TargetMode="External"/><Relationship Id="rId265" Type="http://schemas.openxmlformats.org/officeDocument/2006/relationships/hyperlink" Target="https://auto.cz/" TargetMode="External"/><Relationship Id="rId472" Type="http://schemas.openxmlformats.org/officeDocument/2006/relationships/hyperlink" Target="https://avmania.zive.cz/" TargetMode="External"/><Relationship Id="rId900" Type="http://schemas.openxmlformats.org/officeDocument/2006/relationships/hyperlink" Target="https://doupe.zive.cz/" TargetMode="External"/><Relationship Id="rId1323" Type="http://schemas.openxmlformats.org/officeDocument/2006/relationships/hyperlink" Target="https://frekvence1.cz/" TargetMode="External"/><Relationship Id="rId1530" Type="http://schemas.openxmlformats.org/officeDocument/2006/relationships/hyperlink" Target="https://reklama.cncenter.cz/Online/double-skyscraper" TargetMode="External"/><Relationship Id="rId1628" Type="http://schemas.openxmlformats.org/officeDocument/2006/relationships/hyperlink" Target="https://reklama.cncenter.cz/Online/nativni-rectangle-cross-device" TargetMode="External"/><Relationship Id="rId1975" Type="http://schemas.openxmlformats.org/officeDocument/2006/relationships/hyperlink" Target="http://nemovitosti.blesk.cz/" TargetMode="External"/><Relationship Id="rId2153" Type="http://schemas.openxmlformats.org/officeDocument/2006/relationships/hyperlink" Target="https://reflex.cz/" TargetMode="External"/><Relationship Id="rId2360" Type="http://schemas.openxmlformats.org/officeDocument/2006/relationships/hyperlink" Target="https://zeny.cz/" TargetMode="External"/><Relationship Id="rId125" Type="http://schemas.openxmlformats.org/officeDocument/2006/relationships/hyperlink" Target="https://abicko.cz/" TargetMode="External"/><Relationship Id="rId332" Type="http://schemas.openxmlformats.org/officeDocument/2006/relationships/hyperlink" Target="https://autorevue.cz/" TargetMode="External"/><Relationship Id="rId777" Type="http://schemas.openxmlformats.org/officeDocument/2006/relationships/hyperlink" Target="https://digiarena.zive.cz/" TargetMode="External"/><Relationship Id="rId984" Type="http://schemas.openxmlformats.org/officeDocument/2006/relationships/hyperlink" Target="https://dama.cz/" TargetMode="External"/><Relationship Id="rId1835" Type="http://schemas.openxmlformats.org/officeDocument/2006/relationships/hyperlink" Target="https://motogpsport.cz/" TargetMode="External"/><Relationship Id="rId2013" Type="http://schemas.openxmlformats.org/officeDocument/2006/relationships/hyperlink" Target="https://reklama.cncenter.cz/Online/branding-cross-device" TargetMode="External"/><Relationship Id="rId2220" Type="http://schemas.openxmlformats.org/officeDocument/2006/relationships/hyperlink" Target="https://reflex.cz/" TargetMode="External"/><Relationship Id="rId2458" Type="http://schemas.openxmlformats.org/officeDocument/2006/relationships/hyperlink" Target="https://zive.cz/" TargetMode="External"/><Relationship Id="rId637" Type="http://schemas.openxmlformats.org/officeDocument/2006/relationships/hyperlink" Target="https://reklama.cncenter.cz/Online/branding" TargetMode="External"/><Relationship Id="rId844" Type="http://schemas.openxmlformats.org/officeDocument/2006/relationships/hyperlink" Target="https://doupe.zive.cz/" TargetMode="External"/><Relationship Id="rId1267" Type="http://schemas.openxmlformats.org/officeDocument/2006/relationships/hyperlink" Target="https://reklama.cncenter.cz/Online/nativni-rectangle-cross-device" TargetMode="External"/><Relationship Id="rId1474" Type="http://schemas.openxmlformats.org/officeDocument/2006/relationships/hyperlink" Target="https://reklama.cncenter.cz/Online/mobilni-slide-up" TargetMode="External"/><Relationship Id="rId1681" Type="http://schemas.openxmlformats.org/officeDocument/2006/relationships/hyperlink" Target="https://reklama.cncenter.cz/Online/branding-cross-device" TargetMode="External"/><Relationship Id="rId1902" Type="http://schemas.openxmlformats.org/officeDocument/2006/relationships/hyperlink" Target="https://reklama.cncenter.cz/Online/billboard-bottom" TargetMode="External"/><Relationship Id="rId2097" Type="http://schemas.openxmlformats.org/officeDocument/2006/relationships/hyperlink" Target="https://reklama.cncenter.cz/Online/nativni-PR-premium" TargetMode="External"/><Relationship Id="rId2318" Type="http://schemas.openxmlformats.org/officeDocument/2006/relationships/hyperlink" Target="https://zeny.cz/" TargetMode="External"/><Relationship Id="rId276" Type="http://schemas.openxmlformats.org/officeDocument/2006/relationships/hyperlink" Target="https://reklama.cncenter.cz/Online/nativni-PR-premium" TargetMode="External"/><Relationship Id="rId483" Type="http://schemas.openxmlformats.org/officeDocument/2006/relationships/hyperlink" Target="https://blesk.cz/" TargetMode="External"/><Relationship Id="rId690" Type="http://schemas.openxmlformats.org/officeDocument/2006/relationships/hyperlink" Target="https://reklama.cncenter.cz/Online/nativni-rectangle-cross-device" TargetMode="External"/><Relationship Id="rId704" Type="http://schemas.openxmlformats.org/officeDocument/2006/relationships/hyperlink" Target="https://reklama.cncenter.cz/Online/branding" TargetMode="External"/><Relationship Id="rId911" Type="http://schemas.openxmlformats.org/officeDocument/2006/relationships/hyperlink" Target="https://doupe.zive.cz/" TargetMode="External"/><Relationship Id="rId1127" Type="http://schemas.openxmlformats.org/officeDocument/2006/relationships/hyperlink" Target="https://reklama.cncenter.cz/Online/mobilni-vineta" TargetMode="External"/><Relationship Id="rId1334" Type="http://schemas.openxmlformats.org/officeDocument/2006/relationships/hyperlink" Target="https://frekvence1.cz/" TargetMode="External"/><Relationship Id="rId1541" Type="http://schemas.openxmlformats.org/officeDocument/2006/relationships/hyperlink" Target="https://lideazeme.cz/" TargetMode="External"/><Relationship Id="rId1779" Type="http://schemas.openxmlformats.org/officeDocument/2006/relationships/hyperlink" Target="https://mojezdravi.cz/" TargetMode="External"/><Relationship Id="rId1986" Type="http://schemas.openxmlformats.org/officeDocument/2006/relationships/hyperlink" Target="https://nemovitosti.blesk.cz/" TargetMode="External"/><Relationship Id="rId2164" Type="http://schemas.openxmlformats.org/officeDocument/2006/relationships/hyperlink" Target="https://reflex.cz/" TargetMode="External"/><Relationship Id="rId2371" Type="http://schemas.openxmlformats.org/officeDocument/2006/relationships/hyperlink" Target="https://zeny.cz/" TargetMode="External"/><Relationship Id="rId40" Type="http://schemas.openxmlformats.org/officeDocument/2006/relationships/hyperlink" Target="https://abecedazahrady.dama.cz/" TargetMode="External"/><Relationship Id="rId136" Type="http://schemas.openxmlformats.org/officeDocument/2006/relationships/hyperlink" Target="https://abicko.cz/" TargetMode="External"/><Relationship Id="rId343" Type="http://schemas.openxmlformats.org/officeDocument/2006/relationships/hyperlink" Target="https://autorevue.cz/" TargetMode="External"/><Relationship Id="rId550" Type="http://schemas.openxmlformats.org/officeDocument/2006/relationships/hyperlink" Target="https://bleskprozeny.cz/" TargetMode="External"/><Relationship Id="rId788" Type="http://schemas.openxmlformats.org/officeDocument/2006/relationships/hyperlink" Target="https://digiarena.zive.cz/" TargetMode="External"/><Relationship Id="rId995" Type="http://schemas.openxmlformats.org/officeDocument/2006/relationships/hyperlink" Target="https://dama.cz/" TargetMode="External"/><Relationship Id="rId1180" Type="http://schemas.openxmlformats.org/officeDocument/2006/relationships/hyperlink" Target="https://www.facebook.com/business/ads-guide/image/facebook-feed" TargetMode="External"/><Relationship Id="rId1401" Type="http://schemas.openxmlformats.org/officeDocument/2006/relationships/hyperlink" Target="http://www.instagram.com/" TargetMode="External"/><Relationship Id="rId1639" Type="http://schemas.openxmlformats.org/officeDocument/2006/relationships/hyperlink" Target="https://maminka.cz/" TargetMode="External"/><Relationship Id="rId1846" Type="http://schemas.openxmlformats.org/officeDocument/2006/relationships/hyperlink" Target="https://reklama.cncenter.cz/Online/branding" TargetMode="External"/><Relationship Id="rId2024" Type="http://schemas.openxmlformats.org/officeDocument/2006/relationships/hyperlink" Target="https://www.realitnitrh.cz/" TargetMode="External"/><Relationship Id="rId2231" Type="http://schemas.openxmlformats.org/officeDocument/2006/relationships/hyperlink" Target="https://reflex.cz/" TargetMode="External"/><Relationship Id="rId2469" Type="http://schemas.openxmlformats.org/officeDocument/2006/relationships/hyperlink" Target="https://zive.cz/" TargetMode="External"/><Relationship Id="rId203" Type="http://schemas.openxmlformats.org/officeDocument/2006/relationships/hyperlink" Target="https://ahaonline.cz/" TargetMode="External"/><Relationship Id="rId648" Type="http://schemas.openxmlformats.org/officeDocument/2006/relationships/hyperlink" Target="https://reklama.cncenter.cz/Online/Videospot" TargetMode="External"/><Relationship Id="rId855" Type="http://schemas.openxmlformats.org/officeDocument/2006/relationships/hyperlink" Target="https://doupe.zive.cz/" TargetMode="External"/><Relationship Id="rId1040" Type="http://schemas.openxmlformats.org/officeDocument/2006/relationships/hyperlink" Target="https://evropa2.cz/" TargetMode="External"/><Relationship Id="rId1278" Type="http://schemas.openxmlformats.org/officeDocument/2006/relationships/hyperlink" Target="https://fitweb.cz/" TargetMode="External"/><Relationship Id="rId1485" Type="http://schemas.openxmlformats.org/officeDocument/2006/relationships/hyperlink" Target="https://reklama.cncenter.cz/Online/Outstream" TargetMode="External"/><Relationship Id="rId1692" Type="http://schemas.openxmlformats.org/officeDocument/2006/relationships/hyperlink" Target="https://mobilmania.cz/" TargetMode="External"/><Relationship Id="rId1706" Type="http://schemas.openxmlformats.org/officeDocument/2006/relationships/hyperlink" Target="https://mobilmania.cz/" TargetMode="External"/><Relationship Id="rId1913" Type="http://schemas.openxmlformats.org/officeDocument/2006/relationships/hyperlink" Target="https://nemovitosti.blesk.cz/" TargetMode="External"/><Relationship Id="rId2329" Type="http://schemas.openxmlformats.org/officeDocument/2006/relationships/hyperlink" Target="https://zeny.cz/" TargetMode="External"/><Relationship Id="rId287" Type="http://schemas.openxmlformats.org/officeDocument/2006/relationships/hyperlink" Target="https://auto.cz/" TargetMode="External"/><Relationship Id="rId410" Type="http://schemas.openxmlformats.org/officeDocument/2006/relationships/hyperlink" Target="https://avmania.zive.cz/" TargetMode="External"/><Relationship Id="rId494" Type="http://schemas.openxmlformats.org/officeDocument/2006/relationships/hyperlink" Target="https://blesk.cz/" TargetMode="External"/><Relationship Id="rId508" Type="http://schemas.openxmlformats.org/officeDocument/2006/relationships/hyperlink" Target="https://reklama.cncenter.cz/Online/nativni-rectangle-cross-device" TargetMode="External"/><Relationship Id="rId715" Type="http://schemas.openxmlformats.org/officeDocument/2006/relationships/hyperlink" Target="https://reklama.cncenter.cz/Online/Smarticle" TargetMode="External"/><Relationship Id="rId922" Type="http://schemas.openxmlformats.org/officeDocument/2006/relationships/hyperlink" Target="https://reklama.cncenter.cz/Online/branding" TargetMode="External"/><Relationship Id="rId1138" Type="http://schemas.openxmlformats.org/officeDocument/2006/relationships/hyperlink" Target="https://reklama.cncenter.cz/?ads=PR%2520%25C4%258Dl%25C3%25A1nky" TargetMode="External"/><Relationship Id="rId1345" Type="http://schemas.openxmlformats.org/officeDocument/2006/relationships/hyperlink" Target="https://reklama.cncenter.cz/Online/mobilni-vineta" TargetMode="External"/><Relationship Id="rId1552" Type="http://schemas.openxmlformats.org/officeDocument/2006/relationships/hyperlink" Target="https://lideazeme.cz/" TargetMode="External"/><Relationship Id="rId1997" Type="http://schemas.openxmlformats.org/officeDocument/2006/relationships/hyperlink" Target="https://www.realitnitrh.cz/" TargetMode="External"/><Relationship Id="rId2175" Type="http://schemas.openxmlformats.org/officeDocument/2006/relationships/hyperlink" Target="https://reklama.cncenter.cz/Online/mobilni-interscroller" TargetMode="External"/><Relationship Id="rId2382" Type="http://schemas.openxmlformats.org/officeDocument/2006/relationships/hyperlink" Target="https://zeny.cz/" TargetMode="External"/><Relationship Id="rId147" Type="http://schemas.openxmlformats.org/officeDocument/2006/relationships/hyperlink" Target="https://abicko.cz/" TargetMode="External"/><Relationship Id="rId354" Type="http://schemas.openxmlformats.org/officeDocument/2006/relationships/hyperlink" Target="https://reklama.cncenter.cz/Online/mobilni-slide-up" TargetMode="External"/><Relationship Id="rId799" Type="http://schemas.openxmlformats.org/officeDocument/2006/relationships/hyperlink" Target="https://reklama.cncenter.cz/Online/mobilni-interscroller" TargetMode="External"/><Relationship Id="rId1191" Type="http://schemas.openxmlformats.org/officeDocument/2006/relationships/hyperlink" Target="http://www.facebook.com/" TargetMode="External"/><Relationship Id="rId1205" Type="http://schemas.openxmlformats.org/officeDocument/2006/relationships/hyperlink" Target="http://www.facebook.com/" TargetMode="External"/><Relationship Id="rId1857" Type="http://schemas.openxmlformats.org/officeDocument/2006/relationships/hyperlink" Target="https://motogpsport.cz/" TargetMode="External"/><Relationship Id="rId2035" Type="http://schemas.openxmlformats.org/officeDocument/2006/relationships/hyperlink" Target="https://www.realitnitrh.cz/" TargetMode="External"/><Relationship Id="rId51" Type="http://schemas.openxmlformats.org/officeDocument/2006/relationships/hyperlink" Target="https://abecedazahrady.dama.cz/" TargetMode="External"/><Relationship Id="rId561" Type="http://schemas.openxmlformats.org/officeDocument/2006/relationships/hyperlink" Target="https://reklama.cncenter.cz/Online/branding-cross-device" TargetMode="External"/><Relationship Id="rId659" Type="http://schemas.openxmlformats.org/officeDocument/2006/relationships/hyperlink" Target="https://reklama.cncenter.cz/Online/billboard-bottom" TargetMode="External"/><Relationship Id="rId866" Type="http://schemas.openxmlformats.org/officeDocument/2006/relationships/hyperlink" Target="https://doupe.zive.cz/" TargetMode="External"/><Relationship Id="rId1289" Type="http://schemas.openxmlformats.org/officeDocument/2006/relationships/hyperlink" Target="https://heyfomo.cz/" TargetMode="External"/><Relationship Id="rId1412" Type="http://schemas.openxmlformats.org/officeDocument/2006/relationships/hyperlink" Target="http://www.instagram.com/" TargetMode="External"/><Relationship Id="rId1496" Type="http://schemas.openxmlformats.org/officeDocument/2006/relationships/hyperlink" Target="https://lideazeme.cz/" TargetMode="External"/><Relationship Id="rId1717" Type="http://schemas.openxmlformats.org/officeDocument/2006/relationships/hyperlink" Target="https://mobilmania.cz/" TargetMode="External"/><Relationship Id="rId1924" Type="http://schemas.openxmlformats.org/officeDocument/2006/relationships/hyperlink" Target="https://nemovitosti.blesk.cz/" TargetMode="External"/><Relationship Id="rId2242" Type="http://schemas.openxmlformats.org/officeDocument/2006/relationships/hyperlink" Target="https://reklama.cncenter.cz/?ads=PR%2520%25C4%258Dl%25C3%25A1nky" TargetMode="External"/><Relationship Id="rId214" Type="http://schemas.openxmlformats.org/officeDocument/2006/relationships/hyperlink" Target="https://ahaonline.cz/" TargetMode="External"/><Relationship Id="rId298" Type="http://schemas.openxmlformats.org/officeDocument/2006/relationships/hyperlink" Target="https://auto.cz/" TargetMode="External"/><Relationship Id="rId421" Type="http://schemas.openxmlformats.org/officeDocument/2006/relationships/hyperlink" Target="https://avmania.zive.cz/" TargetMode="External"/><Relationship Id="rId519" Type="http://schemas.openxmlformats.org/officeDocument/2006/relationships/hyperlink" Target="https://reklama.cncenter.cz/Online/Smarticle" TargetMode="External"/><Relationship Id="rId1051" Type="http://schemas.openxmlformats.org/officeDocument/2006/relationships/hyperlink" Target="https://reklama.cncenter.cz/Online/nativni-rectangle-cross-device" TargetMode="External"/><Relationship Id="rId1149" Type="http://schemas.openxmlformats.org/officeDocument/2006/relationships/hyperlink" Target="http://www.facebook.com/" TargetMode="External"/><Relationship Id="rId1356" Type="http://schemas.openxmlformats.org/officeDocument/2006/relationships/hyperlink" Target="https://hledejceny.cz/" TargetMode="External"/><Relationship Id="rId2102" Type="http://schemas.openxmlformats.org/officeDocument/2006/relationships/hyperlink" Target="https://recepty.cz/" TargetMode="External"/><Relationship Id="rId158" Type="http://schemas.openxmlformats.org/officeDocument/2006/relationships/hyperlink" Target="https://ahaonline.cz/" TargetMode="External"/><Relationship Id="rId726" Type="http://schemas.openxmlformats.org/officeDocument/2006/relationships/hyperlink" Target="https://reklama.cncenter.cz/Online/billboard-bottom" TargetMode="External"/><Relationship Id="rId933" Type="http://schemas.openxmlformats.org/officeDocument/2006/relationships/hyperlink" Target="https://dama.cz/" TargetMode="External"/><Relationship Id="rId1009" Type="http://schemas.openxmlformats.org/officeDocument/2006/relationships/hyperlink" Target="https://reklama.cncenter.cz/Online/mobilni-vineta" TargetMode="External"/><Relationship Id="rId1563" Type="http://schemas.openxmlformats.org/officeDocument/2006/relationships/hyperlink" Target="https://maminka.cz/" TargetMode="External"/><Relationship Id="rId1770" Type="http://schemas.openxmlformats.org/officeDocument/2006/relationships/hyperlink" Target="https://mojezdravi.cz/" TargetMode="External"/><Relationship Id="rId1868" Type="http://schemas.openxmlformats.org/officeDocument/2006/relationships/hyperlink" Target="https://motogpsport.cz/" TargetMode="External"/><Relationship Id="rId2186" Type="http://schemas.openxmlformats.org/officeDocument/2006/relationships/hyperlink" Target="https://reflex.cz/" TargetMode="External"/><Relationship Id="rId2393" Type="http://schemas.openxmlformats.org/officeDocument/2006/relationships/hyperlink" Target="https://zeny.cz/" TargetMode="External"/><Relationship Id="rId2407" Type="http://schemas.openxmlformats.org/officeDocument/2006/relationships/hyperlink" Target="https://zive.cz/" TargetMode="External"/><Relationship Id="rId62" Type="http://schemas.openxmlformats.org/officeDocument/2006/relationships/hyperlink" Target="https://abecedazahrady.dama.cz/" TargetMode="External"/><Relationship Id="rId365" Type="http://schemas.openxmlformats.org/officeDocument/2006/relationships/hyperlink" Target="https://autorevue.cz/" TargetMode="External"/><Relationship Id="rId572" Type="http://schemas.openxmlformats.org/officeDocument/2006/relationships/hyperlink" Target="https://bleskprozeny.cz/" TargetMode="External"/><Relationship Id="rId1216" Type="http://schemas.openxmlformats.org/officeDocument/2006/relationships/hyperlink" Target="https://www.facebook.com/business/ads-guide/image/facebook-feed" TargetMode="External"/><Relationship Id="rId1423" Type="http://schemas.openxmlformats.org/officeDocument/2006/relationships/hyperlink" Target="http://www.instagram.com/" TargetMode="External"/><Relationship Id="rId1630" Type="http://schemas.openxmlformats.org/officeDocument/2006/relationships/hyperlink" Target="https://maminka.cz/" TargetMode="External"/><Relationship Id="rId2046" Type="http://schemas.openxmlformats.org/officeDocument/2006/relationships/hyperlink" Target="https://www.realitnitrh.cz/" TargetMode="External"/><Relationship Id="rId2253" Type="http://schemas.openxmlformats.org/officeDocument/2006/relationships/hyperlink" Target="https://reklama.cncenter.cz/Online/billboard-bottom" TargetMode="External"/><Relationship Id="rId2460" Type="http://schemas.openxmlformats.org/officeDocument/2006/relationships/hyperlink" Target="https://zive.cz/" TargetMode="External"/><Relationship Id="rId225" Type="http://schemas.openxmlformats.org/officeDocument/2006/relationships/hyperlink" Target="https://ahaonline.cz/" TargetMode="External"/><Relationship Id="rId432" Type="http://schemas.openxmlformats.org/officeDocument/2006/relationships/hyperlink" Target="https://reklama.cncenter.cz/Online/mobilni-interscroller" TargetMode="External"/><Relationship Id="rId877" Type="http://schemas.openxmlformats.org/officeDocument/2006/relationships/hyperlink" Target="https://reklama.cncenter.cz/Online/nativni-rectangle-cross-device" TargetMode="External"/><Relationship Id="rId1062" Type="http://schemas.openxmlformats.org/officeDocument/2006/relationships/hyperlink" Target="https://evropa2.cz/" TargetMode="External"/><Relationship Id="rId1728" Type="http://schemas.openxmlformats.org/officeDocument/2006/relationships/hyperlink" Target="https://mobilmania.cz/" TargetMode="External"/><Relationship Id="rId1935" Type="http://schemas.openxmlformats.org/officeDocument/2006/relationships/hyperlink" Target="http://nemovitosti.blesk.cz/" TargetMode="External"/><Relationship Id="rId2113" Type="http://schemas.openxmlformats.org/officeDocument/2006/relationships/hyperlink" Target="https://recepty.cz/" TargetMode="External"/><Relationship Id="rId2320" Type="http://schemas.openxmlformats.org/officeDocument/2006/relationships/hyperlink" Target="https://zeny.cz/" TargetMode="External"/><Relationship Id="rId737" Type="http://schemas.openxmlformats.org/officeDocument/2006/relationships/hyperlink" Target="https://reklama.cncenter.cz/Online/nativni-rectangle-cross-device" TargetMode="External"/><Relationship Id="rId944" Type="http://schemas.openxmlformats.org/officeDocument/2006/relationships/hyperlink" Target="https://dama.cz/" TargetMode="External"/><Relationship Id="rId1367" Type="http://schemas.openxmlformats.org/officeDocument/2006/relationships/hyperlink" Target="https://hledejceny.cz/" TargetMode="External"/><Relationship Id="rId1574" Type="http://schemas.openxmlformats.org/officeDocument/2006/relationships/hyperlink" Target="https://maminka.cz/" TargetMode="External"/><Relationship Id="rId1781" Type="http://schemas.openxmlformats.org/officeDocument/2006/relationships/hyperlink" Target="https://mojezdravi.cz/" TargetMode="External"/><Relationship Id="rId2197" Type="http://schemas.openxmlformats.org/officeDocument/2006/relationships/hyperlink" Target="https://reflex.cz/" TargetMode="External"/><Relationship Id="rId2418" Type="http://schemas.openxmlformats.org/officeDocument/2006/relationships/hyperlink" Target="https://reklama.cncenter.cz/Online/branding-cross-device" TargetMode="External"/><Relationship Id="rId73" Type="http://schemas.openxmlformats.org/officeDocument/2006/relationships/hyperlink" Target="https://abicko.cz/" TargetMode="External"/><Relationship Id="rId169" Type="http://schemas.openxmlformats.org/officeDocument/2006/relationships/hyperlink" Target="https://ahaonline.cz/" TargetMode="External"/><Relationship Id="rId376" Type="http://schemas.openxmlformats.org/officeDocument/2006/relationships/hyperlink" Target="https://autorevue.cz/" TargetMode="External"/><Relationship Id="rId583" Type="http://schemas.openxmlformats.org/officeDocument/2006/relationships/hyperlink" Target="https://bleskprozeny.cz/" TargetMode="External"/><Relationship Id="rId790" Type="http://schemas.openxmlformats.org/officeDocument/2006/relationships/hyperlink" Target="https://reklama.cncenter.cz/Online/branding-cross-device" TargetMode="External"/><Relationship Id="rId804" Type="http://schemas.openxmlformats.org/officeDocument/2006/relationships/hyperlink" Target="https://digiarena.zive.cz/" TargetMode="External"/><Relationship Id="rId1227" Type="http://schemas.openxmlformats.org/officeDocument/2006/relationships/hyperlink" Target="https://finexpert.cz/" TargetMode="External"/><Relationship Id="rId1434" Type="http://schemas.openxmlformats.org/officeDocument/2006/relationships/hyperlink" Target="http://www.instagram.com/" TargetMode="External"/><Relationship Id="rId1641" Type="http://schemas.openxmlformats.org/officeDocument/2006/relationships/hyperlink" Target="https://maminka.cz/" TargetMode="External"/><Relationship Id="rId1879" Type="http://schemas.openxmlformats.org/officeDocument/2006/relationships/hyperlink" Target="https://motogpsport.cz/" TargetMode="External"/><Relationship Id="rId2057" Type="http://schemas.openxmlformats.org/officeDocument/2006/relationships/hyperlink" Target="https://www.realitnitrh.cz/" TargetMode="External"/><Relationship Id="rId2264" Type="http://schemas.openxmlformats.org/officeDocument/2006/relationships/hyperlink" Target="https://vtm.zive.cz/" TargetMode="External"/><Relationship Id="rId2471" Type="http://schemas.openxmlformats.org/officeDocument/2006/relationships/hyperlink" Target="https://zive.cz/" TargetMode="External"/><Relationship Id="rId4" Type="http://schemas.openxmlformats.org/officeDocument/2006/relationships/hyperlink" Target="https://abecedazahrady.dama.cz/" TargetMode="External"/><Relationship Id="rId236" Type="http://schemas.openxmlformats.org/officeDocument/2006/relationships/hyperlink" Target="https://ahaonline.cz/" TargetMode="External"/><Relationship Id="rId443" Type="http://schemas.openxmlformats.org/officeDocument/2006/relationships/hyperlink" Target="https://avmania.zive.cz/" TargetMode="External"/><Relationship Id="rId650" Type="http://schemas.openxmlformats.org/officeDocument/2006/relationships/hyperlink" Target="https://reklama.cncenter.cz/Online/mobilni-slide-up" TargetMode="External"/><Relationship Id="rId888" Type="http://schemas.openxmlformats.org/officeDocument/2006/relationships/hyperlink" Target="https://reklama.cncenter.cz/Online/mobilni-interscroller" TargetMode="External"/><Relationship Id="rId1073" Type="http://schemas.openxmlformats.org/officeDocument/2006/relationships/hyperlink" Target="https://evropa2.cz/" TargetMode="External"/><Relationship Id="rId1280" Type="http://schemas.openxmlformats.org/officeDocument/2006/relationships/hyperlink" Target="https://fitweb.cz/" TargetMode="External"/><Relationship Id="rId1501" Type="http://schemas.openxmlformats.org/officeDocument/2006/relationships/hyperlink" Target="https://reklama.cncenter.cz/Online/billboard-bottom" TargetMode="External"/><Relationship Id="rId1739" Type="http://schemas.openxmlformats.org/officeDocument/2006/relationships/hyperlink" Target="https://mobilmania.cz/" TargetMode="External"/><Relationship Id="rId1946" Type="http://schemas.openxmlformats.org/officeDocument/2006/relationships/hyperlink" Target="http://nemovitosti.blesk.cz/" TargetMode="External"/><Relationship Id="rId2124" Type="http://schemas.openxmlformats.org/officeDocument/2006/relationships/hyperlink" Target="https://recepty.cz/" TargetMode="External"/><Relationship Id="rId2331" Type="http://schemas.openxmlformats.org/officeDocument/2006/relationships/hyperlink" Target="https://reklama.cncenter.cz/Online/branding-cross-device" TargetMode="External"/><Relationship Id="rId303" Type="http://schemas.openxmlformats.org/officeDocument/2006/relationships/hyperlink" Target="https://auto.cz/" TargetMode="External"/><Relationship Id="rId748" Type="http://schemas.openxmlformats.org/officeDocument/2006/relationships/hyperlink" Target="https://reklama.cncenter.cz/Online/Smarticle" TargetMode="External"/><Relationship Id="rId955" Type="http://schemas.openxmlformats.org/officeDocument/2006/relationships/hyperlink" Target="https://reklama.cncenter.cz/Online/Outstream" TargetMode="External"/><Relationship Id="rId1140" Type="http://schemas.openxmlformats.org/officeDocument/2006/relationships/hyperlink" Target="https://f1sport.auto.cz/" TargetMode="External"/><Relationship Id="rId1378" Type="http://schemas.openxmlformats.org/officeDocument/2006/relationships/hyperlink" Target="https://reklama.cncenter.cz/Online/double-skyscraper" TargetMode="External"/><Relationship Id="rId1585" Type="http://schemas.openxmlformats.org/officeDocument/2006/relationships/hyperlink" Target="https://reklama.cncenter.cz/Online/mobilni-interscroller" TargetMode="External"/><Relationship Id="rId1792" Type="http://schemas.openxmlformats.org/officeDocument/2006/relationships/hyperlink" Target="https://mojezdravi.cz/" TargetMode="External"/><Relationship Id="rId1806" Type="http://schemas.openxmlformats.org/officeDocument/2006/relationships/hyperlink" Target="https://reklama.cncenter.cz/Online/mobilni-vineta" TargetMode="External"/><Relationship Id="rId2429" Type="http://schemas.openxmlformats.org/officeDocument/2006/relationships/hyperlink" Target="https://zive.cz/" TargetMode="External"/><Relationship Id="rId84" Type="http://schemas.openxmlformats.org/officeDocument/2006/relationships/hyperlink" Target="https://abicko.cz/" TargetMode="External"/><Relationship Id="rId387" Type="http://schemas.openxmlformats.org/officeDocument/2006/relationships/hyperlink" Target="https://autorevue.cz/" TargetMode="External"/><Relationship Id="rId510" Type="http://schemas.openxmlformats.org/officeDocument/2006/relationships/hyperlink" Target="https://reklama.cncenter.cz/Online/Smarticle" TargetMode="External"/><Relationship Id="rId594" Type="http://schemas.openxmlformats.org/officeDocument/2006/relationships/hyperlink" Target="https://bleskprozeny.cz/" TargetMode="External"/><Relationship Id="rId608" Type="http://schemas.openxmlformats.org/officeDocument/2006/relationships/hyperlink" Target="https://reklama.cncenter.cz/Online/mobilni-vineta" TargetMode="External"/><Relationship Id="rId815" Type="http://schemas.openxmlformats.org/officeDocument/2006/relationships/hyperlink" Target="https://digiarena.zive.cz/" TargetMode="External"/><Relationship Id="rId1238" Type="http://schemas.openxmlformats.org/officeDocument/2006/relationships/hyperlink" Target="https://fitweb.cz/" TargetMode="External"/><Relationship Id="rId1445" Type="http://schemas.openxmlformats.org/officeDocument/2006/relationships/hyperlink" Target="http://www.instagram.com/" TargetMode="External"/><Relationship Id="rId1652" Type="http://schemas.openxmlformats.org/officeDocument/2006/relationships/hyperlink" Target="https://reklama.cncenter.cz/Online/mobilni-slide-up" TargetMode="External"/><Relationship Id="rId2068" Type="http://schemas.openxmlformats.org/officeDocument/2006/relationships/hyperlink" Target="https://recepty.cz/" TargetMode="External"/><Relationship Id="rId2275" Type="http://schemas.openxmlformats.org/officeDocument/2006/relationships/hyperlink" Target="https://vtm.zive.cz/" TargetMode="External"/><Relationship Id="rId247" Type="http://schemas.openxmlformats.org/officeDocument/2006/relationships/hyperlink" Target="https://auto.cz/" TargetMode="External"/><Relationship Id="rId899" Type="http://schemas.openxmlformats.org/officeDocument/2006/relationships/hyperlink" Target="https://reklama.cncenter.cz/Online/nativni-rectangle-cross-device" TargetMode="External"/><Relationship Id="rId1000" Type="http://schemas.openxmlformats.org/officeDocument/2006/relationships/hyperlink" Target="https://reklama.cncenter.cz/Online/branding-cross-device" TargetMode="External"/><Relationship Id="rId1084" Type="http://schemas.openxmlformats.org/officeDocument/2006/relationships/hyperlink" Target="https://f1sport.auto.cz/" TargetMode="External"/><Relationship Id="rId1305" Type="http://schemas.openxmlformats.org/officeDocument/2006/relationships/hyperlink" Target="https://frekvence1.cz/" TargetMode="External"/><Relationship Id="rId1957" Type="http://schemas.openxmlformats.org/officeDocument/2006/relationships/hyperlink" Target="http://nemovitosti.blesk.cz/" TargetMode="External"/><Relationship Id="rId2482" Type="http://schemas.openxmlformats.org/officeDocument/2006/relationships/hyperlink" Target="https://reklama.cncenter.cz/Online/Bumper" TargetMode="External"/><Relationship Id="rId107" Type="http://schemas.openxmlformats.org/officeDocument/2006/relationships/hyperlink" Target="https://reklama.cncenter.cz/Online/nativni-rectangle-cross-device" TargetMode="External"/><Relationship Id="rId454" Type="http://schemas.openxmlformats.org/officeDocument/2006/relationships/hyperlink" Target="https://avmania.zive.cz/" TargetMode="External"/><Relationship Id="rId661" Type="http://schemas.openxmlformats.org/officeDocument/2006/relationships/hyperlink" Target="https://reklama.cncenter.cz/Online/branding" TargetMode="External"/><Relationship Id="rId759" Type="http://schemas.openxmlformats.org/officeDocument/2006/relationships/hyperlink" Target="https://reklama.cncenter.cz/Online/mobilni-slide-up" TargetMode="External"/><Relationship Id="rId966" Type="http://schemas.openxmlformats.org/officeDocument/2006/relationships/hyperlink" Target="https://reklama.cncenter.cz/Online/Videospot" TargetMode="External"/><Relationship Id="rId1291" Type="http://schemas.openxmlformats.org/officeDocument/2006/relationships/hyperlink" Target="https://heyfomo.cz/" TargetMode="External"/><Relationship Id="rId1389" Type="http://schemas.openxmlformats.org/officeDocument/2006/relationships/hyperlink" Target="http://www.instagram.com/" TargetMode="External"/><Relationship Id="rId1512" Type="http://schemas.openxmlformats.org/officeDocument/2006/relationships/hyperlink" Target="https://lideazeme.cz/" TargetMode="External"/><Relationship Id="rId1596" Type="http://schemas.openxmlformats.org/officeDocument/2006/relationships/hyperlink" Target="https://maminka.cz/" TargetMode="External"/><Relationship Id="rId1817" Type="http://schemas.openxmlformats.org/officeDocument/2006/relationships/hyperlink" Target="https://reklama.cncenter.cz/?ads=PR%2520%25C4%258Dl%25C3%25A1nky" TargetMode="External"/><Relationship Id="rId2135" Type="http://schemas.openxmlformats.org/officeDocument/2006/relationships/hyperlink" Target="https://recepty.cz/" TargetMode="External"/><Relationship Id="rId2342" Type="http://schemas.openxmlformats.org/officeDocument/2006/relationships/hyperlink" Target="https://zeny.cz/" TargetMode="External"/><Relationship Id="rId11" Type="http://schemas.openxmlformats.org/officeDocument/2006/relationships/hyperlink" Target="https://reklama.cncenter.cz/Online/branding" TargetMode="External"/><Relationship Id="rId314" Type="http://schemas.openxmlformats.org/officeDocument/2006/relationships/hyperlink" Target="https://auto.cz/" TargetMode="External"/><Relationship Id="rId398" Type="http://schemas.openxmlformats.org/officeDocument/2006/relationships/hyperlink" Target="https://autorevue.cz/" TargetMode="External"/><Relationship Id="rId521" Type="http://schemas.openxmlformats.org/officeDocument/2006/relationships/hyperlink" Target="https://blesk.cz/" TargetMode="External"/><Relationship Id="rId619" Type="http://schemas.openxmlformats.org/officeDocument/2006/relationships/hyperlink" Target="https://reklama.cncenter.cz/Online/Outstream" TargetMode="External"/><Relationship Id="rId1151" Type="http://schemas.openxmlformats.org/officeDocument/2006/relationships/hyperlink" Target="http://www.facebook.com/" TargetMode="External"/><Relationship Id="rId1249" Type="http://schemas.openxmlformats.org/officeDocument/2006/relationships/hyperlink" Target="https://reklama.cncenter.cz/Online/branding-cross-device" TargetMode="External"/><Relationship Id="rId2079" Type="http://schemas.openxmlformats.org/officeDocument/2006/relationships/hyperlink" Target="https://reklama.cncenter.cz/Online/branding" TargetMode="External"/><Relationship Id="rId2202" Type="http://schemas.openxmlformats.org/officeDocument/2006/relationships/hyperlink" Target="https://reflex.cz/" TargetMode="External"/><Relationship Id="rId95" Type="http://schemas.openxmlformats.org/officeDocument/2006/relationships/hyperlink" Target="https://reklama.cncenter.cz/Online/mobilni-interscroller" TargetMode="External"/><Relationship Id="rId160" Type="http://schemas.openxmlformats.org/officeDocument/2006/relationships/hyperlink" Target="https://ahaonline.cz/" TargetMode="External"/><Relationship Id="rId826" Type="http://schemas.openxmlformats.org/officeDocument/2006/relationships/hyperlink" Target="https://digiarena.zive.cz/" TargetMode="External"/><Relationship Id="rId1011" Type="http://schemas.openxmlformats.org/officeDocument/2006/relationships/hyperlink" Target="https://reklama.cncenter.cz/Online/Outstream" TargetMode="External"/><Relationship Id="rId1109" Type="http://schemas.openxmlformats.org/officeDocument/2006/relationships/hyperlink" Target="https://f1sport.auto.cz/" TargetMode="External"/><Relationship Id="rId1456" Type="http://schemas.openxmlformats.org/officeDocument/2006/relationships/hyperlink" Target="http://www.instagram.com/" TargetMode="External"/><Relationship Id="rId1663" Type="http://schemas.openxmlformats.org/officeDocument/2006/relationships/hyperlink" Target="https://reklama.cncenter.cz/?ads=PR%2520%25C4%258Dl%25C3%25A1nky" TargetMode="External"/><Relationship Id="rId1870" Type="http://schemas.openxmlformats.org/officeDocument/2006/relationships/hyperlink" Target="https://motogpsport.cz/" TargetMode="External"/><Relationship Id="rId1968" Type="http://schemas.openxmlformats.org/officeDocument/2006/relationships/hyperlink" Target="https://nemovitosti.blesk.cz/" TargetMode="External"/><Relationship Id="rId2286" Type="http://schemas.openxmlformats.org/officeDocument/2006/relationships/hyperlink" Target="https://reklama.cncenter.cz/Online/Outstream" TargetMode="External"/><Relationship Id="rId258" Type="http://schemas.openxmlformats.org/officeDocument/2006/relationships/hyperlink" Target="https://reklama.cncenter.cz/Online/branding" TargetMode="External"/><Relationship Id="rId465" Type="http://schemas.openxmlformats.org/officeDocument/2006/relationships/hyperlink" Target="https://avmania.zive.cz/" TargetMode="External"/><Relationship Id="rId672" Type="http://schemas.openxmlformats.org/officeDocument/2006/relationships/hyperlink" Target="https://reklama.cncenter.cz/Online/Videospot" TargetMode="External"/><Relationship Id="rId1095" Type="http://schemas.openxmlformats.org/officeDocument/2006/relationships/hyperlink" Target="https://reklama.cncenter.cz/Online/branding" TargetMode="External"/><Relationship Id="rId1316" Type="http://schemas.openxmlformats.org/officeDocument/2006/relationships/hyperlink" Target="https://frekvence1.cz/" TargetMode="External"/><Relationship Id="rId1523" Type="http://schemas.openxmlformats.org/officeDocument/2006/relationships/hyperlink" Target="https://lideazeme.cz/" TargetMode="External"/><Relationship Id="rId1730" Type="http://schemas.openxmlformats.org/officeDocument/2006/relationships/hyperlink" Target="https://reklama.cncenter.cz/Online/nativni-rectangle-cross-device" TargetMode="External"/><Relationship Id="rId2146" Type="http://schemas.openxmlformats.org/officeDocument/2006/relationships/hyperlink" Target="https://reklama.cncenter.cz/Online/Bumper" TargetMode="External"/><Relationship Id="rId2353" Type="http://schemas.openxmlformats.org/officeDocument/2006/relationships/hyperlink" Target="https://zeny.cz/" TargetMode="External"/><Relationship Id="rId22" Type="http://schemas.openxmlformats.org/officeDocument/2006/relationships/hyperlink" Target="https://abecedazahrady.dama.cz/" TargetMode="External"/><Relationship Id="rId118" Type="http://schemas.openxmlformats.org/officeDocument/2006/relationships/hyperlink" Target="https://reklama.cncenter.cz/Online/double-skyscraper" TargetMode="External"/><Relationship Id="rId325" Type="http://schemas.openxmlformats.org/officeDocument/2006/relationships/hyperlink" Target="https://reklama.cncenter.cz/Online/Bumper" TargetMode="External"/><Relationship Id="rId532" Type="http://schemas.openxmlformats.org/officeDocument/2006/relationships/hyperlink" Target="https://reklama.cncenter.cz/Online/branding" TargetMode="External"/><Relationship Id="rId977" Type="http://schemas.openxmlformats.org/officeDocument/2006/relationships/hyperlink" Target="https://dama.cz/" TargetMode="External"/><Relationship Id="rId1162" Type="http://schemas.openxmlformats.org/officeDocument/2006/relationships/hyperlink" Target="https://www.facebook.com/business/ads-guide/image/facebook-feed" TargetMode="External"/><Relationship Id="rId1828" Type="http://schemas.openxmlformats.org/officeDocument/2006/relationships/hyperlink" Target="https://motogpsport.cz/" TargetMode="External"/><Relationship Id="rId2006" Type="http://schemas.openxmlformats.org/officeDocument/2006/relationships/hyperlink" Target="https://www.realitnitrh.cz/" TargetMode="External"/><Relationship Id="rId2213" Type="http://schemas.openxmlformats.org/officeDocument/2006/relationships/hyperlink" Target="https://reflex.cz/" TargetMode="External"/><Relationship Id="rId2420" Type="http://schemas.openxmlformats.org/officeDocument/2006/relationships/hyperlink" Target="https://zive.cz/" TargetMode="External"/><Relationship Id="rId171" Type="http://schemas.openxmlformats.org/officeDocument/2006/relationships/hyperlink" Target="https://reklama.cncenter.cz/Online/billboard-bottom" TargetMode="External"/><Relationship Id="rId837" Type="http://schemas.openxmlformats.org/officeDocument/2006/relationships/hyperlink" Target="https://digiarena.zive.cz/" TargetMode="External"/><Relationship Id="rId1022" Type="http://schemas.openxmlformats.org/officeDocument/2006/relationships/hyperlink" Target="https://evropa2.cz/" TargetMode="External"/><Relationship Id="rId1467" Type="http://schemas.openxmlformats.org/officeDocument/2006/relationships/hyperlink" Target="https://reklama.cncenter.cz/Online/branding" TargetMode="External"/><Relationship Id="rId1674" Type="http://schemas.openxmlformats.org/officeDocument/2006/relationships/hyperlink" Target="https://mobilmania.cz/" TargetMode="External"/><Relationship Id="rId1881" Type="http://schemas.openxmlformats.org/officeDocument/2006/relationships/hyperlink" Target="https://motogpsport.cz/" TargetMode="External"/><Relationship Id="rId2297" Type="http://schemas.openxmlformats.org/officeDocument/2006/relationships/hyperlink" Target="https://vtm.zive.cz/" TargetMode="External"/><Relationship Id="rId269" Type="http://schemas.openxmlformats.org/officeDocument/2006/relationships/hyperlink" Target="https://auto.cz/" TargetMode="External"/><Relationship Id="rId476" Type="http://schemas.openxmlformats.org/officeDocument/2006/relationships/hyperlink" Target="https://blesk.cz/" TargetMode="External"/><Relationship Id="rId683" Type="http://schemas.openxmlformats.org/officeDocument/2006/relationships/hyperlink" Target="https://reklama.cncenter.cz/Online/billboard-bottom" TargetMode="External"/><Relationship Id="rId890" Type="http://schemas.openxmlformats.org/officeDocument/2006/relationships/hyperlink" Target="https://doupe.zive.cz/" TargetMode="External"/><Relationship Id="rId904" Type="http://schemas.openxmlformats.org/officeDocument/2006/relationships/hyperlink" Target="https://doupe.zive.cz/" TargetMode="External"/><Relationship Id="rId1327" Type="http://schemas.openxmlformats.org/officeDocument/2006/relationships/hyperlink" Target="https://reklama.cncenter.cz/Online/mobilni-vineta" TargetMode="External"/><Relationship Id="rId1534" Type="http://schemas.openxmlformats.org/officeDocument/2006/relationships/hyperlink" Target="https://lideazeme.cz/" TargetMode="External"/><Relationship Id="rId1741" Type="http://schemas.openxmlformats.org/officeDocument/2006/relationships/hyperlink" Target="https://mobilmania.cz/" TargetMode="External"/><Relationship Id="rId1979" Type="http://schemas.openxmlformats.org/officeDocument/2006/relationships/hyperlink" Target="http://nemovitosti.blesk.cz/" TargetMode="External"/><Relationship Id="rId2157" Type="http://schemas.openxmlformats.org/officeDocument/2006/relationships/hyperlink" Target="https://reklama.cncenter.cz/Online/branding" TargetMode="External"/><Relationship Id="rId2364" Type="http://schemas.openxmlformats.org/officeDocument/2006/relationships/hyperlink" Target="https://zeny.cz/" TargetMode="External"/><Relationship Id="rId33" Type="http://schemas.openxmlformats.org/officeDocument/2006/relationships/hyperlink" Target="https://abecedazahrady.dama.cz/" TargetMode="External"/><Relationship Id="rId129" Type="http://schemas.openxmlformats.org/officeDocument/2006/relationships/hyperlink" Target="https://abicko.cz/" TargetMode="External"/><Relationship Id="rId336" Type="http://schemas.openxmlformats.org/officeDocument/2006/relationships/hyperlink" Target="https://reklama.cncenter.cz/Online/branding" TargetMode="External"/><Relationship Id="rId543" Type="http://schemas.openxmlformats.org/officeDocument/2006/relationships/hyperlink" Target="https://blesk.cz/" TargetMode="External"/><Relationship Id="rId988" Type="http://schemas.openxmlformats.org/officeDocument/2006/relationships/hyperlink" Target="https://dama.cz/" TargetMode="External"/><Relationship Id="rId1173" Type="http://schemas.openxmlformats.org/officeDocument/2006/relationships/hyperlink" Target="http://www.facebook.com/" TargetMode="External"/><Relationship Id="rId1380" Type="http://schemas.openxmlformats.org/officeDocument/2006/relationships/hyperlink" Target="http://www.instagram.com/" TargetMode="External"/><Relationship Id="rId1601" Type="http://schemas.openxmlformats.org/officeDocument/2006/relationships/hyperlink" Target="https://maminka.cz/" TargetMode="External"/><Relationship Id="rId1839" Type="http://schemas.openxmlformats.org/officeDocument/2006/relationships/hyperlink" Target="https://motogpsport.cz/" TargetMode="External"/><Relationship Id="rId2017" Type="http://schemas.openxmlformats.org/officeDocument/2006/relationships/hyperlink" Target="https://www.realitnitrh.cz/" TargetMode="External"/><Relationship Id="rId2224" Type="http://schemas.openxmlformats.org/officeDocument/2006/relationships/hyperlink" Target="https://reklama.cncenter.cz/?ads=PR%2520%25C4%258Dl%25C3%25A1nky" TargetMode="External"/><Relationship Id="rId182" Type="http://schemas.openxmlformats.org/officeDocument/2006/relationships/hyperlink" Target="https://ahaonline.cz/" TargetMode="External"/><Relationship Id="rId403" Type="http://schemas.openxmlformats.org/officeDocument/2006/relationships/hyperlink" Target="https://autorevue.cz/" TargetMode="External"/><Relationship Id="rId750" Type="http://schemas.openxmlformats.org/officeDocument/2006/relationships/hyperlink" Target="https://reklama.cncenter.cz/Online/billboard-bottom" TargetMode="External"/><Relationship Id="rId848" Type="http://schemas.openxmlformats.org/officeDocument/2006/relationships/hyperlink" Target="https://doupe.zive.cz/" TargetMode="External"/><Relationship Id="rId1033" Type="http://schemas.openxmlformats.org/officeDocument/2006/relationships/hyperlink" Target="https://reklama.cncenter.cz/Online/branding" TargetMode="External"/><Relationship Id="rId1478" Type="http://schemas.openxmlformats.org/officeDocument/2006/relationships/hyperlink" Target="https://reklama.cncenter.cz/Online/Bumper" TargetMode="External"/><Relationship Id="rId1685" Type="http://schemas.openxmlformats.org/officeDocument/2006/relationships/hyperlink" Target="https://mobilmania.cz/" TargetMode="External"/><Relationship Id="rId1892" Type="http://schemas.openxmlformats.org/officeDocument/2006/relationships/hyperlink" Target="https://motogpsport.cz/" TargetMode="External"/><Relationship Id="rId1906" Type="http://schemas.openxmlformats.org/officeDocument/2006/relationships/hyperlink" Target="https://reklama.cncenter.cz/Online/branding-cross-device" TargetMode="External"/><Relationship Id="rId2431" Type="http://schemas.openxmlformats.org/officeDocument/2006/relationships/hyperlink" Target="https://zive.cz/" TargetMode="External"/><Relationship Id="rId487" Type="http://schemas.openxmlformats.org/officeDocument/2006/relationships/hyperlink" Target="https://reklama.cncenter.cz/Online/nativni-rectangle-cross-device" TargetMode="External"/><Relationship Id="rId610" Type="http://schemas.openxmlformats.org/officeDocument/2006/relationships/hyperlink" Target="https://bleskprozeny.cz/" TargetMode="External"/><Relationship Id="rId694" Type="http://schemas.openxmlformats.org/officeDocument/2006/relationships/hyperlink" Target="https://reklama.cncenter.cz/Online/double-skyscraper" TargetMode="External"/><Relationship Id="rId708" Type="http://schemas.openxmlformats.org/officeDocument/2006/relationships/hyperlink" Target="https://reklama.cncenter.cz/Online/double-skyscraper" TargetMode="External"/><Relationship Id="rId915" Type="http://schemas.openxmlformats.org/officeDocument/2006/relationships/hyperlink" Target="https://dama.cz/" TargetMode="External"/><Relationship Id="rId1240" Type="http://schemas.openxmlformats.org/officeDocument/2006/relationships/hyperlink" Target="https://reklama.cncenter.cz/Online/branding-cross-device" TargetMode="External"/><Relationship Id="rId1338" Type="http://schemas.openxmlformats.org/officeDocument/2006/relationships/hyperlink" Target="https://frekvence1.cz/" TargetMode="External"/><Relationship Id="rId1545" Type="http://schemas.openxmlformats.org/officeDocument/2006/relationships/hyperlink" Target="https://lideazeme.cz/" TargetMode="External"/><Relationship Id="rId2070" Type="http://schemas.openxmlformats.org/officeDocument/2006/relationships/hyperlink" Target="https://reklama.cncenter.cz/Online/branding" TargetMode="External"/><Relationship Id="rId2168" Type="http://schemas.openxmlformats.org/officeDocument/2006/relationships/hyperlink" Target="https://reflex.cz/" TargetMode="External"/><Relationship Id="rId2375" Type="http://schemas.openxmlformats.org/officeDocument/2006/relationships/hyperlink" Target="https://reklama.cncenter.cz/Online/mobilni-slide-up" TargetMode="External"/><Relationship Id="rId347" Type="http://schemas.openxmlformats.org/officeDocument/2006/relationships/hyperlink" Target="https://autorevue.cz/" TargetMode="External"/><Relationship Id="rId999" Type="http://schemas.openxmlformats.org/officeDocument/2006/relationships/hyperlink" Target="https://reklama.cncenter.cz/Online/billboard-bottom" TargetMode="External"/><Relationship Id="rId1100" Type="http://schemas.openxmlformats.org/officeDocument/2006/relationships/hyperlink" Target="https://f1sport.auto.cz/" TargetMode="External"/><Relationship Id="rId1184" Type="http://schemas.openxmlformats.org/officeDocument/2006/relationships/hyperlink" Target="http://www.facebook.com/" TargetMode="External"/><Relationship Id="rId1405" Type="http://schemas.openxmlformats.org/officeDocument/2006/relationships/hyperlink" Target="http://www.instagram.com/" TargetMode="External"/><Relationship Id="rId1752" Type="http://schemas.openxmlformats.org/officeDocument/2006/relationships/hyperlink" Target="https://mojezdravi.cz/" TargetMode="External"/><Relationship Id="rId2028" Type="http://schemas.openxmlformats.org/officeDocument/2006/relationships/hyperlink" Target="https://reklama.cncenter.cz/Online/nativni-rectangle-cross-device" TargetMode="External"/><Relationship Id="rId44" Type="http://schemas.openxmlformats.org/officeDocument/2006/relationships/hyperlink" Target="https://abecedazahrady.dama.cz/" TargetMode="External"/><Relationship Id="rId554" Type="http://schemas.openxmlformats.org/officeDocument/2006/relationships/hyperlink" Target="https://bleskprozeny.cz/" TargetMode="External"/><Relationship Id="rId761" Type="http://schemas.openxmlformats.org/officeDocument/2006/relationships/hyperlink" Target="https://reklama.cncenter.cz/Online/nativni-rectangle-cross-device" TargetMode="External"/><Relationship Id="rId859" Type="http://schemas.openxmlformats.org/officeDocument/2006/relationships/hyperlink" Target="https://reklama.cncenter.cz/Online/branding-cross-device" TargetMode="External"/><Relationship Id="rId1391" Type="http://schemas.openxmlformats.org/officeDocument/2006/relationships/hyperlink" Target="http://www.instagram.com/" TargetMode="External"/><Relationship Id="rId1489" Type="http://schemas.openxmlformats.org/officeDocument/2006/relationships/hyperlink" Target="https://lideazeme.cz/" TargetMode="External"/><Relationship Id="rId1612" Type="http://schemas.openxmlformats.org/officeDocument/2006/relationships/hyperlink" Target="https://maminka.cz/" TargetMode="External"/><Relationship Id="rId1696" Type="http://schemas.openxmlformats.org/officeDocument/2006/relationships/hyperlink" Target="https://reklama.cncenter.cz/Online/mobilni-vineta" TargetMode="External"/><Relationship Id="rId1917" Type="http://schemas.openxmlformats.org/officeDocument/2006/relationships/hyperlink" Target="https://nemovitosti.blesk.cz/" TargetMode="External"/><Relationship Id="rId2235" Type="http://schemas.openxmlformats.org/officeDocument/2006/relationships/hyperlink" Target="https://sportrevue.cz/" TargetMode="External"/><Relationship Id="rId2442" Type="http://schemas.openxmlformats.org/officeDocument/2006/relationships/hyperlink" Target="https://reklama.cncenter.cz/Online/Outstream" TargetMode="External"/><Relationship Id="rId193" Type="http://schemas.openxmlformats.org/officeDocument/2006/relationships/hyperlink" Target="https://ahaonline.cz/" TargetMode="External"/><Relationship Id="rId207" Type="http://schemas.openxmlformats.org/officeDocument/2006/relationships/hyperlink" Target="https://ahaonline.cz/" TargetMode="External"/><Relationship Id="rId414" Type="http://schemas.openxmlformats.org/officeDocument/2006/relationships/hyperlink" Target="https://reklama.cncenter.cz/Online/branding-cross-device" TargetMode="External"/><Relationship Id="rId498" Type="http://schemas.openxmlformats.org/officeDocument/2006/relationships/hyperlink" Target="https://reklama.cncenter.cz/Online/branding-cross-device" TargetMode="External"/><Relationship Id="rId621" Type="http://schemas.openxmlformats.org/officeDocument/2006/relationships/hyperlink" Target="https://bleskprozeny.cz/" TargetMode="External"/><Relationship Id="rId1044" Type="http://schemas.openxmlformats.org/officeDocument/2006/relationships/hyperlink" Target="https://evropa2.cz/" TargetMode="External"/><Relationship Id="rId1251" Type="http://schemas.openxmlformats.org/officeDocument/2006/relationships/hyperlink" Target="https://fitweb.cz/" TargetMode="External"/><Relationship Id="rId1349" Type="http://schemas.openxmlformats.org/officeDocument/2006/relationships/hyperlink" Target="https://frekvence1.cz/" TargetMode="External"/><Relationship Id="rId2081" Type="http://schemas.openxmlformats.org/officeDocument/2006/relationships/hyperlink" Target="https://recepty.cz/" TargetMode="External"/><Relationship Id="rId2179" Type="http://schemas.openxmlformats.org/officeDocument/2006/relationships/hyperlink" Target="https://reflex.cz/" TargetMode="External"/><Relationship Id="rId2302" Type="http://schemas.openxmlformats.org/officeDocument/2006/relationships/hyperlink" Target="https://vtm.zive.cz/" TargetMode="External"/><Relationship Id="rId260" Type="http://schemas.openxmlformats.org/officeDocument/2006/relationships/hyperlink" Target="https://auto.cz/" TargetMode="External"/><Relationship Id="rId719" Type="http://schemas.openxmlformats.org/officeDocument/2006/relationships/hyperlink" Target="https://reklama.cncenter.cz/Online/mobilni-interscroller" TargetMode="External"/><Relationship Id="rId926" Type="http://schemas.openxmlformats.org/officeDocument/2006/relationships/hyperlink" Target="https://dama.cz/" TargetMode="External"/><Relationship Id="rId1111" Type="http://schemas.openxmlformats.org/officeDocument/2006/relationships/hyperlink" Target="https://f1sport.auto.cz/" TargetMode="External"/><Relationship Id="rId1556" Type="http://schemas.openxmlformats.org/officeDocument/2006/relationships/hyperlink" Target="https://lideazeme.cz/" TargetMode="External"/><Relationship Id="rId1763" Type="http://schemas.openxmlformats.org/officeDocument/2006/relationships/hyperlink" Target="https://mojezdravi.cz/" TargetMode="External"/><Relationship Id="rId1970" Type="http://schemas.openxmlformats.org/officeDocument/2006/relationships/hyperlink" Target="https://reklama.cncenter.cz/Online/nativni-rectangle-cross-device" TargetMode="External"/><Relationship Id="rId2386" Type="http://schemas.openxmlformats.org/officeDocument/2006/relationships/hyperlink" Target="https://reklama.cncenter.cz/Online/nativni-rectangle-cross-device" TargetMode="External"/><Relationship Id="rId55" Type="http://schemas.openxmlformats.org/officeDocument/2006/relationships/hyperlink" Target="https://abecedazahrady.dama.cz/" TargetMode="External"/><Relationship Id="rId120" Type="http://schemas.openxmlformats.org/officeDocument/2006/relationships/hyperlink" Target="https://abicko.cz/" TargetMode="External"/><Relationship Id="rId358" Type="http://schemas.openxmlformats.org/officeDocument/2006/relationships/hyperlink" Target="https://autorevue.cz/" TargetMode="External"/><Relationship Id="rId565" Type="http://schemas.openxmlformats.org/officeDocument/2006/relationships/hyperlink" Target="https://bleskprozeny.cz/" TargetMode="External"/><Relationship Id="rId772" Type="http://schemas.openxmlformats.org/officeDocument/2006/relationships/hyperlink" Target="https://reklama.cncenter.cz/Online/Smarticle" TargetMode="External"/><Relationship Id="rId1195" Type="http://schemas.openxmlformats.org/officeDocument/2006/relationships/hyperlink" Target="https://www.facebook.com/business/ads-guide/image/facebook-feed" TargetMode="External"/><Relationship Id="rId1209" Type="http://schemas.openxmlformats.org/officeDocument/2006/relationships/hyperlink" Target="http://www.facebook.com/" TargetMode="External"/><Relationship Id="rId1416" Type="http://schemas.openxmlformats.org/officeDocument/2006/relationships/hyperlink" Target="http://www.instagram.com/" TargetMode="External"/><Relationship Id="rId1623" Type="http://schemas.openxmlformats.org/officeDocument/2006/relationships/hyperlink" Target="https://maminka.cz/" TargetMode="External"/><Relationship Id="rId1830" Type="http://schemas.openxmlformats.org/officeDocument/2006/relationships/hyperlink" Target="https://motogpsport.cz/" TargetMode="External"/><Relationship Id="rId2039" Type="http://schemas.openxmlformats.org/officeDocument/2006/relationships/hyperlink" Target="https://reklama.cncenter.cz/Online/mobilni-interscroller" TargetMode="External"/><Relationship Id="rId2246" Type="http://schemas.openxmlformats.org/officeDocument/2006/relationships/hyperlink" Target="https://sportrevue.cz/" TargetMode="External"/><Relationship Id="rId2453" Type="http://schemas.openxmlformats.org/officeDocument/2006/relationships/hyperlink" Target="https://reklama.cncenter.cz/Online/mobilni-interscroller" TargetMode="External"/><Relationship Id="rId218" Type="http://schemas.openxmlformats.org/officeDocument/2006/relationships/hyperlink" Target="https://ahaonline.cz/" TargetMode="External"/><Relationship Id="rId425" Type="http://schemas.openxmlformats.org/officeDocument/2006/relationships/hyperlink" Target="https://avmania.zive.cz/" TargetMode="External"/><Relationship Id="rId632" Type="http://schemas.openxmlformats.org/officeDocument/2006/relationships/hyperlink" Target="https://reklama.cncenter.cz/Online/billboard-bottom" TargetMode="External"/><Relationship Id="rId1055" Type="http://schemas.openxmlformats.org/officeDocument/2006/relationships/hyperlink" Target="https://evropa2.cz/" TargetMode="External"/><Relationship Id="rId1262" Type="http://schemas.openxmlformats.org/officeDocument/2006/relationships/hyperlink" Target="https://fitweb.cz/" TargetMode="External"/><Relationship Id="rId1928" Type="http://schemas.openxmlformats.org/officeDocument/2006/relationships/hyperlink" Target="https://nemovitosti.blesk.cz/" TargetMode="External"/><Relationship Id="rId2092" Type="http://schemas.openxmlformats.org/officeDocument/2006/relationships/hyperlink" Target="https://recepty.cz/" TargetMode="External"/><Relationship Id="rId2106" Type="http://schemas.openxmlformats.org/officeDocument/2006/relationships/hyperlink" Target="https://reklama.cncenter.cz/Online/Bumper" TargetMode="External"/><Relationship Id="rId2313" Type="http://schemas.openxmlformats.org/officeDocument/2006/relationships/hyperlink" Target="https://youradio.cz/" TargetMode="External"/><Relationship Id="rId271" Type="http://schemas.openxmlformats.org/officeDocument/2006/relationships/hyperlink" Target="https://auto.cz/" TargetMode="External"/><Relationship Id="rId937" Type="http://schemas.openxmlformats.org/officeDocument/2006/relationships/hyperlink" Target="https://reklama.cncenter.cz/Online/Videospot" TargetMode="External"/><Relationship Id="rId1122" Type="http://schemas.openxmlformats.org/officeDocument/2006/relationships/hyperlink" Target="https://f1sport.auto.cz/" TargetMode="External"/><Relationship Id="rId1567" Type="http://schemas.openxmlformats.org/officeDocument/2006/relationships/hyperlink" Target="https://reklama.cncenter.cz/Online/branding" TargetMode="External"/><Relationship Id="rId1774" Type="http://schemas.openxmlformats.org/officeDocument/2006/relationships/hyperlink" Target="https://reklama.cncenter.cz/Online/mobilni-interscroller" TargetMode="External"/><Relationship Id="rId1981" Type="http://schemas.openxmlformats.org/officeDocument/2006/relationships/hyperlink" Target="https://nemovitosti.blesk.cz/" TargetMode="External"/><Relationship Id="rId2397" Type="http://schemas.openxmlformats.org/officeDocument/2006/relationships/hyperlink" Target="https://zeny.cz/" TargetMode="External"/><Relationship Id="rId66" Type="http://schemas.openxmlformats.org/officeDocument/2006/relationships/hyperlink" Target="https://abecedazahrady.dama.cz/" TargetMode="External"/><Relationship Id="rId131" Type="http://schemas.openxmlformats.org/officeDocument/2006/relationships/hyperlink" Target="https://abicko.cz/" TargetMode="External"/><Relationship Id="rId369" Type="http://schemas.openxmlformats.org/officeDocument/2006/relationships/hyperlink" Target="https://reklama.cncenter.cz/Online/Bumper" TargetMode="External"/><Relationship Id="rId576" Type="http://schemas.openxmlformats.org/officeDocument/2006/relationships/hyperlink" Target="https://reklama.cncenter.cz/Online/mobilni-slide-up" TargetMode="External"/><Relationship Id="rId783" Type="http://schemas.openxmlformats.org/officeDocument/2006/relationships/hyperlink" Target="https://digiarena.zive.cz/" TargetMode="External"/><Relationship Id="rId990" Type="http://schemas.openxmlformats.org/officeDocument/2006/relationships/hyperlink" Target="https://dama.cz/" TargetMode="External"/><Relationship Id="rId1427" Type="http://schemas.openxmlformats.org/officeDocument/2006/relationships/hyperlink" Target="http://www.instagram.com/" TargetMode="External"/><Relationship Id="rId1634" Type="http://schemas.openxmlformats.org/officeDocument/2006/relationships/hyperlink" Target="https://reklama.cncenter.cz/?ads=PR%2520%25C4%258Dl%25C3%25A1nky" TargetMode="External"/><Relationship Id="rId1841" Type="http://schemas.openxmlformats.org/officeDocument/2006/relationships/hyperlink" Target="https://motogpsport.cz/" TargetMode="External"/><Relationship Id="rId2257" Type="http://schemas.openxmlformats.org/officeDocument/2006/relationships/hyperlink" Target="https://vtm.zive.cz/" TargetMode="External"/><Relationship Id="rId2464" Type="http://schemas.openxmlformats.org/officeDocument/2006/relationships/hyperlink" Target="https://reklama.cncenter.cz/Online/nativni-PR-premium" TargetMode="External"/><Relationship Id="rId229" Type="http://schemas.openxmlformats.org/officeDocument/2006/relationships/hyperlink" Target="https://reklama.cncenter.cz/?ads=PR%2520%25C4%258Dl%25C3%25A1nky" TargetMode="External"/><Relationship Id="rId436" Type="http://schemas.openxmlformats.org/officeDocument/2006/relationships/hyperlink" Target="https://avmania.zive.cz/" TargetMode="External"/><Relationship Id="rId643" Type="http://schemas.openxmlformats.org/officeDocument/2006/relationships/hyperlink" Target="https://reklama.cncenter.cz/Online/nativni-rectangle-cross-device" TargetMode="External"/><Relationship Id="rId1066" Type="http://schemas.openxmlformats.org/officeDocument/2006/relationships/hyperlink" Target="https://reklama.cncenter.cz/Online/mobilni-slide-up" TargetMode="External"/><Relationship Id="rId1273" Type="http://schemas.openxmlformats.org/officeDocument/2006/relationships/hyperlink" Target="https://reklama.cncenter.cz/Online/double-skyscraper" TargetMode="External"/><Relationship Id="rId1480" Type="http://schemas.openxmlformats.org/officeDocument/2006/relationships/hyperlink" Target="https://reklama.cncenter.cz/Online/Videospot" TargetMode="External"/><Relationship Id="rId1939" Type="http://schemas.openxmlformats.org/officeDocument/2006/relationships/hyperlink" Target="http://nemovitosti.blesk.cz/" TargetMode="External"/><Relationship Id="rId2117" Type="http://schemas.openxmlformats.org/officeDocument/2006/relationships/hyperlink" Target="https://reklama.cncenter.cz/Online/mobilni-interscroller" TargetMode="External"/><Relationship Id="rId2324" Type="http://schemas.openxmlformats.org/officeDocument/2006/relationships/hyperlink" Target="https://zeny.cz/" TargetMode="External"/><Relationship Id="rId850" Type="http://schemas.openxmlformats.org/officeDocument/2006/relationships/hyperlink" Target="https://reklama.cncenter.cz/Online/branding-cross-device" TargetMode="External"/><Relationship Id="rId948" Type="http://schemas.openxmlformats.org/officeDocument/2006/relationships/hyperlink" Target="https://dama.cz/" TargetMode="External"/><Relationship Id="rId1133" Type="http://schemas.openxmlformats.org/officeDocument/2006/relationships/hyperlink" Target="https://f1sport.auto.cz/" TargetMode="External"/><Relationship Id="rId1578" Type="http://schemas.openxmlformats.org/officeDocument/2006/relationships/hyperlink" Target="https://maminka.cz/" TargetMode="External"/><Relationship Id="rId1701" Type="http://schemas.openxmlformats.org/officeDocument/2006/relationships/hyperlink" Target="https://mobilmania.cz/" TargetMode="External"/><Relationship Id="rId1785" Type="http://schemas.openxmlformats.org/officeDocument/2006/relationships/hyperlink" Target="https://mojezdravi.cz/" TargetMode="External"/><Relationship Id="rId1992" Type="http://schemas.openxmlformats.org/officeDocument/2006/relationships/hyperlink" Target="https://www.poggers.cz/" TargetMode="External"/><Relationship Id="rId77" Type="http://schemas.openxmlformats.org/officeDocument/2006/relationships/hyperlink" Target="https://reklama.cncenter.cz/Online/branding-cross-device" TargetMode="External"/><Relationship Id="rId282" Type="http://schemas.openxmlformats.org/officeDocument/2006/relationships/hyperlink" Target="https://reklama.cncenter.cz/Online/Outstream" TargetMode="External"/><Relationship Id="rId503" Type="http://schemas.openxmlformats.org/officeDocument/2006/relationships/hyperlink" Target="https://reklama.cncenter.cz/Online/double-skyscraper" TargetMode="External"/><Relationship Id="rId587" Type="http://schemas.openxmlformats.org/officeDocument/2006/relationships/hyperlink" Target="https://bleskprozeny.cz/" TargetMode="External"/><Relationship Id="rId710" Type="http://schemas.openxmlformats.org/officeDocument/2006/relationships/hyperlink" Target="https://reklama.cncenter.cz/Online/mobilni-interscroller" TargetMode="External"/><Relationship Id="rId808" Type="http://schemas.openxmlformats.org/officeDocument/2006/relationships/hyperlink" Target="https://reklama.cncenter.cz/Online/nativni-rectangle-cross-device" TargetMode="External"/><Relationship Id="rId1340" Type="http://schemas.openxmlformats.org/officeDocument/2006/relationships/hyperlink" Target="https://frekvence1.cz/" TargetMode="External"/><Relationship Id="rId1438" Type="http://schemas.openxmlformats.org/officeDocument/2006/relationships/hyperlink" Target="http://www.instagram.com/" TargetMode="External"/><Relationship Id="rId1645" Type="http://schemas.openxmlformats.org/officeDocument/2006/relationships/hyperlink" Target="https://reklama.cncenter.cz/Online/branding-cross-device" TargetMode="External"/><Relationship Id="rId2170" Type="http://schemas.openxmlformats.org/officeDocument/2006/relationships/hyperlink" Target="https://reflex.cz/" TargetMode="External"/><Relationship Id="rId2268" Type="http://schemas.openxmlformats.org/officeDocument/2006/relationships/hyperlink" Target="https://reklama.cncenter.cz/Online/branding" TargetMode="External"/><Relationship Id="rId8" Type="http://schemas.openxmlformats.org/officeDocument/2006/relationships/hyperlink" Target="https://reklama.cncenter.cz/Online/branding-cross-device" TargetMode="External"/><Relationship Id="rId142" Type="http://schemas.openxmlformats.org/officeDocument/2006/relationships/hyperlink" Target="https://abicko.cz/" TargetMode="External"/><Relationship Id="rId447" Type="http://schemas.openxmlformats.org/officeDocument/2006/relationships/hyperlink" Target="https://avmania.zive.cz/" TargetMode="External"/><Relationship Id="rId794" Type="http://schemas.openxmlformats.org/officeDocument/2006/relationships/hyperlink" Target="https://digiarena.zive.cz/" TargetMode="External"/><Relationship Id="rId1077" Type="http://schemas.openxmlformats.org/officeDocument/2006/relationships/hyperlink" Target="https://f1sport.auto.cz/" TargetMode="External"/><Relationship Id="rId1200" Type="http://schemas.openxmlformats.org/officeDocument/2006/relationships/hyperlink" Target="http://www.facebook.com/" TargetMode="External"/><Relationship Id="rId1852" Type="http://schemas.openxmlformats.org/officeDocument/2006/relationships/hyperlink" Target="https://reklama.cncenter.cz/Online/mobilni-interscroller" TargetMode="External"/><Relationship Id="rId2030" Type="http://schemas.openxmlformats.org/officeDocument/2006/relationships/hyperlink" Target="https://www.realitnitrh.cz/" TargetMode="External"/><Relationship Id="rId2128" Type="http://schemas.openxmlformats.org/officeDocument/2006/relationships/hyperlink" Target="https://reklama.cncenter.cz/Online/nativni-PR-premium" TargetMode="External"/><Relationship Id="rId2475" Type="http://schemas.openxmlformats.org/officeDocument/2006/relationships/hyperlink" Target="https://zive.cz/" TargetMode="External"/><Relationship Id="rId654" Type="http://schemas.openxmlformats.org/officeDocument/2006/relationships/hyperlink" Target="https://reklama.cncenter.cz/Online/Smarticle" TargetMode="External"/><Relationship Id="rId861" Type="http://schemas.openxmlformats.org/officeDocument/2006/relationships/hyperlink" Target="https://doupe.zive.cz/" TargetMode="External"/><Relationship Id="rId959" Type="http://schemas.openxmlformats.org/officeDocument/2006/relationships/hyperlink" Target="https://dama.cz/" TargetMode="External"/><Relationship Id="rId1284" Type="http://schemas.openxmlformats.org/officeDocument/2006/relationships/hyperlink" Target="https://fitweb.cz/" TargetMode="External"/><Relationship Id="rId1491" Type="http://schemas.openxmlformats.org/officeDocument/2006/relationships/hyperlink" Target="https://lideazeme.cz/" TargetMode="External"/><Relationship Id="rId1505" Type="http://schemas.openxmlformats.org/officeDocument/2006/relationships/hyperlink" Target="https://lideazeme.cz/" TargetMode="External"/><Relationship Id="rId1589" Type="http://schemas.openxmlformats.org/officeDocument/2006/relationships/hyperlink" Target="https://maminka.cz/" TargetMode="External"/><Relationship Id="rId1712" Type="http://schemas.openxmlformats.org/officeDocument/2006/relationships/hyperlink" Target="https://mobilmania.cz/" TargetMode="External"/><Relationship Id="rId2335" Type="http://schemas.openxmlformats.org/officeDocument/2006/relationships/hyperlink" Target="https://zeny.cz/" TargetMode="External"/><Relationship Id="rId293" Type="http://schemas.openxmlformats.org/officeDocument/2006/relationships/hyperlink" Target="https://reklama.cncenter.cz/Online/Videospot" TargetMode="External"/><Relationship Id="rId307" Type="http://schemas.openxmlformats.org/officeDocument/2006/relationships/hyperlink" Target="https://reklama.cncenter.cz/Online/nativni-PR-premium" TargetMode="External"/><Relationship Id="rId514" Type="http://schemas.openxmlformats.org/officeDocument/2006/relationships/hyperlink" Target="https://reklama.cncenter.cz/Online/mobilni-interscroller" TargetMode="External"/><Relationship Id="rId721" Type="http://schemas.openxmlformats.org/officeDocument/2006/relationships/hyperlink" Target="https://reklama.cncenter.cz/Online/mobilni-vineta" TargetMode="External"/><Relationship Id="rId1144" Type="http://schemas.openxmlformats.org/officeDocument/2006/relationships/hyperlink" Target="https://f1sport.auto.cz/" TargetMode="External"/><Relationship Id="rId1351" Type="http://schemas.openxmlformats.org/officeDocument/2006/relationships/hyperlink" Target="https://reklama.cncenter.cz/Online/Bumper" TargetMode="External"/><Relationship Id="rId1449" Type="http://schemas.openxmlformats.org/officeDocument/2006/relationships/hyperlink" Target="http://www.instagram.com/" TargetMode="External"/><Relationship Id="rId1796" Type="http://schemas.openxmlformats.org/officeDocument/2006/relationships/hyperlink" Target="https://mojezdravi.cz/" TargetMode="External"/><Relationship Id="rId2181" Type="http://schemas.openxmlformats.org/officeDocument/2006/relationships/hyperlink" Target="https://reklama.cncenter.cz/Online/mobilni-vineta" TargetMode="External"/><Relationship Id="rId2402" Type="http://schemas.openxmlformats.org/officeDocument/2006/relationships/hyperlink" Target="https://zive.cz/" TargetMode="External"/><Relationship Id="rId88" Type="http://schemas.openxmlformats.org/officeDocument/2006/relationships/hyperlink" Target="https://abicko.cz/" TargetMode="External"/><Relationship Id="rId153" Type="http://schemas.openxmlformats.org/officeDocument/2006/relationships/hyperlink" Target="https://www.activegroup.cz/reklama" TargetMode="External"/><Relationship Id="rId360" Type="http://schemas.openxmlformats.org/officeDocument/2006/relationships/hyperlink" Target="https://reklama.cncenter.cz/Online/nativni-PR-premium" TargetMode="External"/><Relationship Id="rId598" Type="http://schemas.openxmlformats.org/officeDocument/2006/relationships/hyperlink" Target="https://bleskprozeny.cz/" TargetMode="External"/><Relationship Id="rId819" Type="http://schemas.openxmlformats.org/officeDocument/2006/relationships/hyperlink" Target="https://reklama.cncenter.cz/Online/mobilni-interscroller" TargetMode="External"/><Relationship Id="rId1004" Type="http://schemas.openxmlformats.org/officeDocument/2006/relationships/hyperlink" Target="https://reklama.cncenter.cz/Online/branding" TargetMode="External"/><Relationship Id="rId1211" Type="http://schemas.openxmlformats.org/officeDocument/2006/relationships/hyperlink" Target="http://www.facebook.com/" TargetMode="External"/><Relationship Id="rId1656" Type="http://schemas.openxmlformats.org/officeDocument/2006/relationships/hyperlink" Target="https://reklama.cncenter.cz/Online/Bumper" TargetMode="External"/><Relationship Id="rId1863" Type="http://schemas.openxmlformats.org/officeDocument/2006/relationships/hyperlink" Target="https://motogpsport.cz/" TargetMode="External"/><Relationship Id="rId2041" Type="http://schemas.openxmlformats.org/officeDocument/2006/relationships/hyperlink" Target="https://www.realitnitrh.cz/" TargetMode="External"/><Relationship Id="rId2279" Type="http://schemas.openxmlformats.org/officeDocument/2006/relationships/hyperlink" Target="https://vtm.zive.cz/" TargetMode="External"/><Relationship Id="rId220" Type="http://schemas.openxmlformats.org/officeDocument/2006/relationships/hyperlink" Target="https://reklama.cncenter.cz/Online/nativni-PR-premium" TargetMode="External"/><Relationship Id="rId458" Type="http://schemas.openxmlformats.org/officeDocument/2006/relationships/hyperlink" Target="https://reklama.cncenter.cz/Online/mobilni-vineta" TargetMode="External"/><Relationship Id="rId665" Type="http://schemas.openxmlformats.org/officeDocument/2006/relationships/hyperlink" Target="https://reklama.cncenter.cz/Online/mobilni-slide-up" TargetMode="External"/><Relationship Id="rId872" Type="http://schemas.openxmlformats.org/officeDocument/2006/relationships/hyperlink" Target="https://doupe.zive.cz/" TargetMode="External"/><Relationship Id="rId1088" Type="http://schemas.openxmlformats.org/officeDocument/2006/relationships/hyperlink" Target="https://f1sport.auto.cz/" TargetMode="External"/><Relationship Id="rId1295" Type="http://schemas.openxmlformats.org/officeDocument/2006/relationships/hyperlink" Target="https://heyfomo.cz/" TargetMode="External"/><Relationship Id="rId1309" Type="http://schemas.openxmlformats.org/officeDocument/2006/relationships/hyperlink" Target="https://reklama.cncenter.cz/Online/branding" TargetMode="External"/><Relationship Id="rId1516" Type="http://schemas.openxmlformats.org/officeDocument/2006/relationships/hyperlink" Target="https://reklama.cncenter.cz/Online/mobilni-slide-up" TargetMode="External"/><Relationship Id="rId1723" Type="http://schemas.openxmlformats.org/officeDocument/2006/relationships/hyperlink" Target="https://mobilmania.cz/" TargetMode="External"/><Relationship Id="rId1930" Type="http://schemas.openxmlformats.org/officeDocument/2006/relationships/hyperlink" Target="https://reklama.cncenter.cz/Online/mobilni-interscroller" TargetMode="External"/><Relationship Id="rId2139" Type="http://schemas.openxmlformats.org/officeDocument/2006/relationships/hyperlink" Target="https://recepty.cz/" TargetMode="External"/><Relationship Id="rId2346" Type="http://schemas.openxmlformats.org/officeDocument/2006/relationships/hyperlink" Target="https://reklama.cncenter.cz/Online/mobilni-slide-up" TargetMode="External"/><Relationship Id="rId15" Type="http://schemas.openxmlformats.org/officeDocument/2006/relationships/hyperlink" Target="https://abecedazahrady.dama.cz/" TargetMode="External"/><Relationship Id="rId318" Type="http://schemas.openxmlformats.org/officeDocument/2006/relationships/hyperlink" Target="https://auto.cz/" TargetMode="External"/><Relationship Id="rId525" Type="http://schemas.openxmlformats.org/officeDocument/2006/relationships/hyperlink" Target="https://blesk.cz/" TargetMode="External"/><Relationship Id="rId732" Type="http://schemas.openxmlformats.org/officeDocument/2006/relationships/hyperlink" Target="https://reklama.cncenter.cz/Online/double-skyscraper" TargetMode="External"/><Relationship Id="rId1155" Type="http://schemas.openxmlformats.org/officeDocument/2006/relationships/hyperlink" Target="http://www.facebook.com/" TargetMode="External"/><Relationship Id="rId1362" Type="http://schemas.openxmlformats.org/officeDocument/2006/relationships/hyperlink" Target="https://hledejceny.cz/" TargetMode="External"/><Relationship Id="rId2192" Type="http://schemas.openxmlformats.org/officeDocument/2006/relationships/hyperlink" Target="https://reflex.cz/" TargetMode="External"/><Relationship Id="rId2206" Type="http://schemas.openxmlformats.org/officeDocument/2006/relationships/hyperlink" Target="https://reflex.cz/" TargetMode="External"/><Relationship Id="rId2413" Type="http://schemas.openxmlformats.org/officeDocument/2006/relationships/hyperlink" Target="https://zive.cz/" TargetMode="External"/><Relationship Id="rId99" Type="http://schemas.openxmlformats.org/officeDocument/2006/relationships/hyperlink" Target="https://abicko.cz/" TargetMode="External"/><Relationship Id="rId164" Type="http://schemas.openxmlformats.org/officeDocument/2006/relationships/hyperlink" Target="https://ahaonline.cz/" TargetMode="External"/><Relationship Id="rId371" Type="http://schemas.openxmlformats.org/officeDocument/2006/relationships/hyperlink" Target="https://autorevue.cz/" TargetMode="External"/><Relationship Id="rId1015" Type="http://schemas.openxmlformats.org/officeDocument/2006/relationships/hyperlink" Target="https://reklama.cncenter.cz/Online/mobilni-interscroller" TargetMode="External"/><Relationship Id="rId1222" Type="http://schemas.openxmlformats.org/officeDocument/2006/relationships/hyperlink" Target="https://finexpert.cz/" TargetMode="External"/><Relationship Id="rId1667" Type="http://schemas.openxmlformats.org/officeDocument/2006/relationships/hyperlink" Target="https://mobilmania.cz/" TargetMode="External"/><Relationship Id="rId1874" Type="http://schemas.openxmlformats.org/officeDocument/2006/relationships/hyperlink" Target="https://motogpsport.cz/" TargetMode="External"/><Relationship Id="rId2052" Type="http://schemas.openxmlformats.org/officeDocument/2006/relationships/hyperlink" Target="https://www.realitnitrh.cz/" TargetMode="External"/><Relationship Id="rId469" Type="http://schemas.openxmlformats.org/officeDocument/2006/relationships/hyperlink" Target="https://reklama.cncenter.cz/?ads=PR%2520%25C4%258Dl%25C3%25A1nky" TargetMode="External"/><Relationship Id="rId676" Type="http://schemas.openxmlformats.org/officeDocument/2006/relationships/hyperlink" Target="https://reklama.cncenter.cz/Online/nativni-rectangle-cross-device" TargetMode="External"/><Relationship Id="rId883" Type="http://schemas.openxmlformats.org/officeDocument/2006/relationships/hyperlink" Target="https://doupe.zive.cz/" TargetMode="External"/><Relationship Id="rId1099" Type="http://schemas.openxmlformats.org/officeDocument/2006/relationships/hyperlink" Target="https://f1sport.auto.cz/" TargetMode="External"/><Relationship Id="rId1527" Type="http://schemas.openxmlformats.org/officeDocument/2006/relationships/hyperlink" Target="https://lideazeme.cz/" TargetMode="External"/><Relationship Id="rId1734" Type="http://schemas.openxmlformats.org/officeDocument/2006/relationships/hyperlink" Target="https://mobilmania.cz/" TargetMode="External"/><Relationship Id="rId1941" Type="http://schemas.openxmlformats.org/officeDocument/2006/relationships/hyperlink" Target="https://nemovitosti.blesk.cz/" TargetMode="External"/><Relationship Id="rId2357" Type="http://schemas.openxmlformats.org/officeDocument/2006/relationships/hyperlink" Target="https://zeny.cz/" TargetMode="External"/><Relationship Id="rId26" Type="http://schemas.openxmlformats.org/officeDocument/2006/relationships/hyperlink" Target="https://reklama.cncenter.cz/Online/mobilni-interscroller" TargetMode="External"/><Relationship Id="rId231" Type="http://schemas.openxmlformats.org/officeDocument/2006/relationships/hyperlink" Target="https://ahaonline.cz/" TargetMode="External"/><Relationship Id="rId329" Type="http://schemas.openxmlformats.org/officeDocument/2006/relationships/hyperlink" Target="https://autorevue.cz/" TargetMode="External"/><Relationship Id="rId536" Type="http://schemas.openxmlformats.org/officeDocument/2006/relationships/hyperlink" Target="https://blesk.cz/" TargetMode="External"/><Relationship Id="rId1166" Type="http://schemas.openxmlformats.org/officeDocument/2006/relationships/hyperlink" Target="http://www.facebook.com/" TargetMode="External"/><Relationship Id="rId1373" Type="http://schemas.openxmlformats.org/officeDocument/2006/relationships/hyperlink" Target="https://hledejceny.cz/" TargetMode="External"/><Relationship Id="rId2217" Type="http://schemas.openxmlformats.org/officeDocument/2006/relationships/hyperlink" Target="https://reflex.cz/" TargetMode="External"/><Relationship Id="rId175" Type="http://schemas.openxmlformats.org/officeDocument/2006/relationships/hyperlink" Target="https://ahaonline.cz/" TargetMode="External"/><Relationship Id="rId743" Type="http://schemas.openxmlformats.org/officeDocument/2006/relationships/hyperlink" Target="https://reklama.cncenter.cz/Online/mobilni-interscroller" TargetMode="External"/><Relationship Id="rId950" Type="http://schemas.openxmlformats.org/officeDocument/2006/relationships/hyperlink" Target="https://dama.cz/" TargetMode="External"/><Relationship Id="rId1026" Type="http://schemas.openxmlformats.org/officeDocument/2006/relationships/hyperlink" Target="https://evropa2.cz/" TargetMode="External"/><Relationship Id="rId1580" Type="http://schemas.openxmlformats.org/officeDocument/2006/relationships/hyperlink" Target="https://maminka.cz/" TargetMode="External"/><Relationship Id="rId1678" Type="http://schemas.openxmlformats.org/officeDocument/2006/relationships/hyperlink" Target="https://reklama.cncenter.cz/Online/billboard-bottom" TargetMode="External"/><Relationship Id="rId1801" Type="http://schemas.openxmlformats.org/officeDocument/2006/relationships/hyperlink" Target="https://mojezdravi.cz/" TargetMode="External"/><Relationship Id="rId1885" Type="http://schemas.openxmlformats.org/officeDocument/2006/relationships/hyperlink" Target="https://motogpsport.cz/" TargetMode="External"/><Relationship Id="rId2424" Type="http://schemas.openxmlformats.org/officeDocument/2006/relationships/hyperlink" Target="https://reklama.cncenter.cz/Online/double-skyscraper" TargetMode="External"/><Relationship Id="rId382" Type="http://schemas.openxmlformats.org/officeDocument/2006/relationships/hyperlink" Target="https://autorevue.cz/" TargetMode="External"/><Relationship Id="rId603" Type="http://schemas.openxmlformats.org/officeDocument/2006/relationships/hyperlink" Target="https://bleskprozeny.cz/" TargetMode="External"/><Relationship Id="rId687" Type="http://schemas.openxmlformats.org/officeDocument/2006/relationships/hyperlink" Target="https://reklama.cncenter.cz/Online/mobilni-interscroller" TargetMode="External"/><Relationship Id="rId810" Type="http://schemas.openxmlformats.org/officeDocument/2006/relationships/hyperlink" Target="https://digiarena.zive.cz/" TargetMode="External"/><Relationship Id="rId908" Type="http://schemas.openxmlformats.org/officeDocument/2006/relationships/hyperlink" Target="https://doupe.zive.cz/" TargetMode="External"/><Relationship Id="rId1233" Type="http://schemas.openxmlformats.org/officeDocument/2006/relationships/hyperlink" Target="https://finexpert.cz/" TargetMode="External"/><Relationship Id="rId1440" Type="http://schemas.openxmlformats.org/officeDocument/2006/relationships/hyperlink" Target="http://www.instagram.com/" TargetMode="External"/><Relationship Id="rId1538" Type="http://schemas.openxmlformats.org/officeDocument/2006/relationships/hyperlink" Target="https://lideazeme.cz/" TargetMode="External"/><Relationship Id="rId2063" Type="http://schemas.openxmlformats.org/officeDocument/2006/relationships/hyperlink" Target="https://recepty.cz/" TargetMode="External"/><Relationship Id="rId2270" Type="http://schemas.openxmlformats.org/officeDocument/2006/relationships/hyperlink" Target="https://vtm.zive.cz/" TargetMode="External"/><Relationship Id="rId2368" Type="http://schemas.openxmlformats.org/officeDocument/2006/relationships/hyperlink" Target="https://zeny.cz/" TargetMode="External"/><Relationship Id="rId242" Type="http://schemas.openxmlformats.org/officeDocument/2006/relationships/hyperlink" Target="https://auto.cz/" TargetMode="External"/><Relationship Id="rId894" Type="http://schemas.openxmlformats.org/officeDocument/2006/relationships/hyperlink" Target="https://reklama.cncenter.cz/Online/mobilni-vineta" TargetMode="External"/><Relationship Id="rId1177" Type="http://schemas.openxmlformats.org/officeDocument/2006/relationships/hyperlink" Target="https://www.facebook.com/business/ads-guide/image/facebook-feed" TargetMode="External"/><Relationship Id="rId1300" Type="http://schemas.openxmlformats.org/officeDocument/2006/relationships/hyperlink" Target="https://heyfomo.cz/" TargetMode="External"/><Relationship Id="rId1745" Type="http://schemas.openxmlformats.org/officeDocument/2006/relationships/hyperlink" Target="https://reklama.cncenter.cz/Online/Bumper" TargetMode="External"/><Relationship Id="rId1952" Type="http://schemas.openxmlformats.org/officeDocument/2006/relationships/hyperlink" Target="https://nemovitosti.blesk.cz/" TargetMode="External"/><Relationship Id="rId2130" Type="http://schemas.openxmlformats.org/officeDocument/2006/relationships/hyperlink" Target="https://recepty.cz/" TargetMode="External"/><Relationship Id="rId37" Type="http://schemas.openxmlformats.org/officeDocument/2006/relationships/hyperlink" Target="https://abecedazahrady.dama.cz/" TargetMode="External"/><Relationship Id="rId102" Type="http://schemas.openxmlformats.org/officeDocument/2006/relationships/hyperlink" Target="https://abicko.cz/" TargetMode="External"/><Relationship Id="rId547" Type="http://schemas.openxmlformats.org/officeDocument/2006/relationships/hyperlink" Target="https://bleskprozeny.cz/" TargetMode="External"/><Relationship Id="rId754" Type="http://schemas.openxmlformats.org/officeDocument/2006/relationships/hyperlink" Target="https://reklama.cncenter.cz/Online/branding-cross-device" TargetMode="External"/><Relationship Id="rId961" Type="http://schemas.openxmlformats.org/officeDocument/2006/relationships/hyperlink" Target="https://dama.cz/" TargetMode="External"/><Relationship Id="rId1384" Type="http://schemas.openxmlformats.org/officeDocument/2006/relationships/hyperlink" Target="http://www.instagram.com/" TargetMode="External"/><Relationship Id="rId1591" Type="http://schemas.openxmlformats.org/officeDocument/2006/relationships/hyperlink" Target="https://reklama.cncenter.cz/Online/mobilni-vineta" TargetMode="External"/><Relationship Id="rId1605" Type="http://schemas.openxmlformats.org/officeDocument/2006/relationships/hyperlink" Target="https://maminka.cz/" TargetMode="External"/><Relationship Id="rId1689" Type="http://schemas.openxmlformats.org/officeDocument/2006/relationships/hyperlink" Target="https://mobilmania.cz/" TargetMode="External"/><Relationship Id="rId1812" Type="http://schemas.openxmlformats.org/officeDocument/2006/relationships/hyperlink" Target="https://mojezdravi.cz/" TargetMode="External"/><Relationship Id="rId2228" Type="http://schemas.openxmlformats.org/officeDocument/2006/relationships/hyperlink" Target="https://reflex.cz/" TargetMode="External"/><Relationship Id="rId2435" Type="http://schemas.openxmlformats.org/officeDocument/2006/relationships/hyperlink" Target="https://zive.cz/" TargetMode="External"/><Relationship Id="rId90" Type="http://schemas.openxmlformats.org/officeDocument/2006/relationships/hyperlink" Target="https://abicko.cz/" TargetMode="External"/><Relationship Id="rId186" Type="http://schemas.openxmlformats.org/officeDocument/2006/relationships/hyperlink" Target="https://reklama.cncenter.cz/Online/mobilni-slide-up" TargetMode="External"/><Relationship Id="rId393" Type="http://schemas.openxmlformats.org/officeDocument/2006/relationships/hyperlink" Target="https://autorevue.cz/" TargetMode="External"/><Relationship Id="rId407" Type="http://schemas.openxmlformats.org/officeDocument/2006/relationships/hyperlink" Target="https://avmania.zive.cz/" TargetMode="External"/><Relationship Id="rId614" Type="http://schemas.openxmlformats.org/officeDocument/2006/relationships/hyperlink" Target="https://bleskprozeny.cz/" TargetMode="External"/><Relationship Id="rId821" Type="http://schemas.openxmlformats.org/officeDocument/2006/relationships/hyperlink" Target="https://digiarena.zive.cz/" TargetMode="External"/><Relationship Id="rId1037" Type="http://schemas.openxmlformats.org/officeDocument/2006/relationships/hyperlink" Target="https://evropa2.cz/" TargetMode="External"/><Relationship Id="rId1244" Type="http://schemas.openxmlformats.org/officeDocument/2006/relationships/hyperlink" Target="https://fitweb.cz/" TargetMode="External"/><Relationship Id="rId1451" Type="http://schemas.openxmlformats.org/officeDocument/2006/relationships/hyperlink" Target="http://www.instagram.com/" TargetMode="External"/><Relationship Id="rId1896" Type="http://schemas.openxmlformats.org/officeDocument/2006/relationships/hyperlink" Target="http://nemovitosti.blesk.cz/" TargetMode="External"/><Relationship Id="rId2074" Type="http://schemas.openxmlformats.org/officeDocument/2006/relationships/hyperlink" Target="https://recepty.cz/" TargetMode="External"/><Relationship Id="rId2281" Type="http://schemas.openxmlformats.org/officeDocument/2006/relationships/hyperlink" Target="https://vtm.zive.cz/" TargetMode="External"/><Relationship Id="rId253" Type="http://schemas.openxmlformats.org/officeDocument/2006/relationships/hyperlink" Target="https://auto.cz/" TargetMode="External"/><Relationship Id="rId460" Type="http://schemas.openxmlformats.org/officeDocument/2006/relationships/hyperlink" Target="https://avmania.zive.cz/" TargetMode="External"/><Relationship Id="rId698" Type="http://schemas.openxmlformats.org/officeDocument/2006/relationships/hyperlink" Target="https://reklama.cncenter.cz/Online/nativni-rectangle-cross-device" TargetMode="External"/><Relationship Id="rId919" Type="http://schemas.openxmlformats.org/officeDocument/2006/relationships/hyperlink" Target="https://reklama.cncenter.cz/Online/branding-cross-device" TargetMode="External"/><Relationship Id="rId1090" Type="http://schemas.openxmlformats.org/officeDocument/2006/relationships/hyperlink" Target="https://f1sport.auto.cz/" TargetMode="External"/><Relationship Id="rId1104" Type="http://schemas.openxmlformats.org/officeDocument/2006/relationships/hyperlink" Target="https://reklama.cncenter.cz/Online/mobilni-slide-up" TargetMode="External"/><Relationship Id="rId1311" Type="http://schemas.openxmlformats.org/officeDocument/2006/relationships/hyperlink" Target="https://frekvence1.cz/" TargetMode="External"/><Relationship Id="rId1549" Type="http://schemas.openxmlformats.org/officeDocument/2006/relationships/hyperlink" Target="https://lideazeme.cz/" TargetMode="External"/><Relationship Id="rId1756" Type="http://schemas.openxmlformats.org/officeDocument/2006/relationships/hyperlink" Target="https://reklama.cncenter.cz/Online/branding" TargetMode="External"/><Relationship Id="rId1963" Type="http://schemas.openxmlformats.org/officeDocument/2006/relationships/hyperlink" Target="http://nemovitosti.blesk.cz/" TargetMode="External"/><Relationship Id="rId2141" Type="http://schemas.openxmlformats.org/officeDocument/2006/relationships/hyperlink" Target="https://recepty.cz/" TargetMode="External"/><Relationship Id="rId2379" Type="http://schemas.openxmlformats.org/officeDocument/2006/relationships/hyperlink" Target="https://zeny.cz/" TargetMode="External"/><Relationship Id="rId48" Type="http://schemas.openxmlformats.org/officeDocument/2006/relationships/hyperlink" Target="https://abecedazahrady.dama.cz/" TargetMode="External"/><Relationship Id="rId113" Type="http://schemas.openxmlformats.org/officeDocument/2006/relationships/hyperlink" Target="https://reklama.cncenter.cz/Online/Bumper" TargetMode="External"/><Relationship Id="rId320" Type="http://schemas.openxmlformats.org/officeDocument/2006/relationships/hyperlink" Target="https://auto.cz/" TargetMode="External"/><Relationship Id="rId558" Type="http://schemas.openxmlformats.org/officeDocument/2006/relationships/hyperlink" Target="https://reklama.cncenter.cz/Online/billboard-bottom" TargetMode="External"/><Relationship Id="rId765" Type="http://schemas.openxmlformats.org/officeDocument/2006/relationships/hyperlink" Target="https://reklama.cncenter.cz/Online/double-skyscraper" TargetMode="External"/><Relationship Id="rId972" Type="http://schemas.openxmlformats.org/officeDocument/2006/relationships/hyperlink" Target="https://reklama.cncenter.cz/Online/mobilni-slide-up" TargetMode="External"/><Relationship Id="rId1188" Type="http://schemas.openxmlformats.org/officeDocument/2006/relationships/hyperlink" Target="http://www.facebook.com/" TargetMode="External"/><Relationship Id="rId1395" Type="http://schemas.openxmlformats.org/officeDocument/2006/relationships/hyperlink" Target="http://www.instagram.com/" TargetMode="External"/><Relationship Id="rId1409" Type="http://schemas.openxmlformats.org/officeDocument/2006/relationships/hyperlink" Target="http://www.instagram.com/" TargetMode="External"/><Relationship Id="rId1616" Type="http://schemas.openxmlformats.org/officeDocument/2006/relationships/hyperlink" Target="https://maminka.cz/" TargetMode="External"/><Relationship Id="rId1823" Type="http://schemas.openxmlformats.org/officeDocument/2006/relationships/hyperlink" Target="https://mojezdravi.cz/" TargetMode="External"/><Relationship Id="rId2001" Type="http://schemas.openxmlformats.org/officeDocument/2006/relationships/hyperlink" Target="https://reklama.cncenter.cz/Online/billboard-bottom" TargetMode="External"/><Relationship Id="rId2239" Type="http://schemas.openxmlformats.org/officeDocument/2006/relationships/hyperlink" Target="https://sportrevue.cz/" TargetMode="External"/><Relationship Id="rId2446" Type="http://schemas.openxmlformats.org/officeDocument/2006/relationships/hyperlink" Target="https://zive.cz/" TargetMode="External"/><Relationship Id="rId197" Type="http://schemas.openxmlformats.org/officeDocument/2006/relationships/hyperlink" Target="https://ahaonline.cz/" TargetMode="External"/><Relationship Id="rId418" Type="http://schemas.openxmlformats.org/officeDocument/2006/relationships/hyperlink" Target="https://avmania.zive.cz/" TargetMode="External"/><Relationship Id="rId625" Type="http://schemas.openxmlformats.org/officeDocument/2006/relationships/hyperlink" Target="https://bleskprozeny.cz/" TargetMode="External"/><Relationship Id="rId832" Type="http://schemas.openxmlformats.org/officeDocument/2006/relationships/hyperlink" Target="https://digiarena.zive.cz/" TargetMode="External"/><Relationship Id="rId1048" Type="http://schemas.openxmlformats.org/officeDocument/2006/relationships/hyperlink" Target="https://reklama.cncenter.cz/Online/mobilni-vineta" TargetMode="External"/><Relationship Id="rId1255" Type="http://schemas.openxmlformats.org/officeDocument/2006/relationships/hyperlink" Target="https://reklama.cncenter.cz/Online/double-skyscraper" TargetMode="External"/><Relationship Id="rId1462" Type="http://schemas.openxmlformats.org/officeDocument/2006/relationships/hyperlink" Target="http://www.instagram.com/" TargetMode="External"/><Relationship Id="rId2085" Type="http://schemas.openxmlformats.org/officeDocument/2006/relationships/hyperlink" Target="https://reklama.cncenter.cz/Online/Videospot" TargetMode="External"/><Relationship Id="rId2292" Type="http://schemas.openxmlformats.org/officeDocument/2006/relationships/hyperlink" Target="https://reklama.cncenter.cz/Online/mobilni-interscroller" TargetMode="External"/><Relationship Id="rId2306" Type="http://schemas.openxmlformats.org/officeDocument/2006/relationships/hyperlink" Target="https://x.com/" TargetMode="External"/><Relationship Id="rId264" Type="http://schemas.openxmlformats.org/officeDocument/2006/relationships/hyperlink" Target="https://reklama.cncenter.cz/Online/Videospot" TargetMode="External"/><Relationship Id="rId471" Type="http://schemas.openxmlformats.org/officeDocument/2006/relationships/hyperlink" Target="https://avmania.zive.cz/" TargetMode="External"/><Relationship Id="rId1115" Type="http://schemas.openxmlformats.org/officeDocument/2006/relationships/hyperlink" Target="https://f1sport.auto.cz/" TargetMode="External"/><Relationship Id="rId1322" Type="http://schemas.openxmlformats.org/officeDocument/2006/relationships/hyperlink" Target="https://frekvence1.cz/" TargetMode="External"/><Relationship Id="rId1767" Type="http://schemas.openxmlformats.org/officeDocument/2006/relationships/hyperlink" Target="https://mojezdravi.cz/" TargetMode="External"/><Relationship Id="rId1974" Type="http://schemas.openxmlformats.org/officeDocument/2006/relationships/hyperlink" Target="https://reklama.cncenter.cz/Online/Outstream" TargetMode="External"/><Relationship Id="rId2152" Type="http://schemas.openxmlformats.org/officeDocument/2006/relationships/hyperlink" Target="https://reflex.cz/" TargetMode="External"/><Relationship Id="rId59" Type="http://schemas.openxmlformats.org/officeDocument/2006/relationships/hyperlink" Target="https://abecedazahrady.dama.cz/" TargetMode="External"/><Relationship Id="rId124" Type="http://schemas.openxmlformats.org/officeDocument/2006/relationships/hyperlink" Target="https://reklama.cncenter.cz/Online/mobilni-slide-up" TargetMode="External"/><Relationship Id="rId569" Type="http://schemas.openxmlformats.org/officeDocument/2006/relationships/hyperlink" Target="https://bleskprozeny.cz/" TargetMode="External"/><Relationship Id="rId776" Type="http://schemas.openxmlformats.org/officeDocument/2006/relationships/hyperlink" Target="https://digiarena.zive.cz/" TargetMode="External"/><Relationship Id="rId983" Type="http://schemas.openxmlformats.org/officeDocument/2006/relationships/hyperlink" Target="https://reklama.cncenter.cz/Online/nativni-rectangle-cross-device" TargetMode="External"/><Relationship Id="rId1199" Type="http://schemas.openxmlformats.org/officeDocument/2006/relationships/hyperlink" Target="http://www.facebook.com/" TargetMode="External"/><Relationship Id="rId1627" Type="http://schemas.openxmlformats.org/officeDocument/2006/relationships/hyperlink" Target="https://maminka.cz/" TargetMode="External"/><Relationship Id="rId1834" Type="http://schemas.openxmlformats.org/officeDocument/2006/relationships/hyperlink" Target="https://reklama.cncenter.cz/Online/branding-cross-device" TargetMode="External"/><Relationship Id="rId2457" Type="http://schemas.openxmlformats.org/officeDocument/2006/relationships/hyperlink" Target="https://zive.cz/" TargetMode="External"/><Relationship Id="rId331" Type="http://schemas.openxmlformats.org/officeDocument/2006/relationships/hyperlink" Target="https://autorevue.cz/" TargetMode="External"/><Relationship Id="rId429" Type="http://schemas.openxmlformats.org/officeDocument/2006/relationships/hyperlink" Target="https://reklama.cncenter.cz/Online/double-skyscraper" TargetMode="External"/><Relationship Id="rId636" Type="http://schemas.openxmlformats.org/officeDocument/2006/relationships/hyperlink" Target="https://reklama.cncenter.cz/Online/branding-cross-device" TargetMode="External"/><Relationship Id="rId1059" Type="http://schemas.openxmlformats.org/officeDocument/2006/relationships/hyperlink" Target="https://evropa2.cz/" TargetMode="External"/><Relationship Id="rId1266" Type="http://schemas.openxmlformats.org/officeDocument/2006/relationships/hyperlink" Target="https://fitweb.cz/" TargetMode="External"/><Relationship Id="rId1473" Type="http://schemas.openxmlformats.org/officeDocument/2006/relationships/hyperlink" Target="https://reklama.cncenter.cz/Online/mobilni-interscroller" TargetMode="External"/><Relationship Id="rId2012" Type="http://schemas.openxmlformats.org/officeDocument/2006/relationships/hyperlink" Target="https://www.realitnitrh.cz/" TargetMode="External"/><Relationship Id="rId2096" Type="http://schemas.openxmlformats.org/officeDocument/2006/relationships/hyperlink" Target="https://recepty.cz/" TargetMode="External"/><Relationship Id="rId2317" Type="http://schemas.openxmlformats.org/officeDocument/2006/relationships/hyperlink" Target="https://zeny.cz/" TargetMode="External"/><Relationship Id="rId843" Type="http://schemas.openxmlformats.org/officeDocument/2006/relationships/hyperlink" Target="https://doupe.zive.cz/" TargetMode="External"/><Relationship Id="rId1126" Type="http://schemas.openxmlformats.org/officeDocument/2006/relationships/hyperlink" Target="https://f1sport.auto.cz/" TargetMode="External"/><Relationship Id="rId1680" Type="http://schemas.openxmlformats.org/officeDocument/2006/relationships/hyperlink" Target="https://mobilmania.cz/" TargetMode="External"/><Relationship Id="rId1778" Type="http://schemas.openxmlformats.org/officeDocument/2006/relationships/hyperlink" Target="https://mojezdravi.cz/" TargetMode="External"/><Relationship Id="rId1901" Type="http://schemas.openxmlformats.org/officeDocument/2006/relationships/hyperlink" Target="https://nemovitosti.blesk.cz/" TargetMode="External"/><Relationship Id="rId1985" Type="http://schemas.openxmlformats.org/officeDocument/2006/relationships/hyperlink" Target="http://nemovitosti.blesk.cz/" TargetMode="External"/><Relationship Id="rId275" Type="http://schemas.openxmlformats.org/officeDocument/2006/relationships/hyperlink" Target="https://auto.cz/" TargetMode="External"/><Relationship Id="rId482" Type="http://schemas.openxmlformats.org/officeDocument/2006/relationships/hyperlink" Target="https://blesk.cz/" TargetMode="External"/><Relationship Id="rId703" Type="http://schemas.openxmlformats.org/officeDocument/2006/relationships/hyperlink" Target="https://reklama.cncenter.cz/Online/branding-cross-device" TargetMode="External"/><Relationship Id="rId910" Type="http://schemas.openxmlformats.org/officeDocument/2006/relationships/hyperlink" Target="https://doupe.zive.cz/" TargetMode="External"/><Relationship Id="rId1333" Type="http://schemas.openxmlformats.org/officeDocument/2006/relationships/hyperlink" Target="https://reklama.cncenter.cz/Online/Bumper" TargetMode="External"/><Relationship Id="rId1540" Type="http://schemas.openxmlformats.org/officeDocument/2006/relationships/hyperlink" Target="https://lideazeme.cz/" TargetMode="External"/><Relationship Id="rId1638" Type="http://schemas.openxmlformats.org/officeDocument/2006/relationships/hyperlink" Target="https://maminka.cz/" TargetMode="External"/><Relationship Id="rId2163" Type="http://schemas.openxmlformats.org/officeDocument/2006/relationships/hyperlink" Target="https://reklama.cncenter.cz/Online/branding-cross-device" TargetMode="External"/><Relationship Id="rId2370" Type="http://schemas.openxmlformats.org/officeDocument/2006/relationships/hyperlink" Target="https://zeny.cz/" TargetMode="External"/><Relationship Id="rId135" Type="http://schemas.openxmlformats.org/officeDocument/2006/relationships/hyperlink" Target="https://reklama.cncenter.cz/Online/nativni-rectangle-cross-device" TargetMode="External"/><Relationship Id="rId342" Type="http://schemas.openxmlformats.org/officeDocument/2006/relationships/hyperlink" Target="https://reklama.cncenter.cz/Online/branding-cross-device" TargetMode="External"/><Relationship Id="rId787" Type="http://schemas.openxmlformats.org/officeDocument/2006/relationships/hyperlink" Target="https://reklama.cncenter.cz/Online/billboard-bottom" TargetMode="External"/><Relationship Id="rId994" Type="http://schemas.openxmlformats.org/officeDocument/2006/relationships/hyperlink" Target="https://dama.cz/" TargetMode="External"/><Relationship Id="rId1400" Type="http://schemas.openxmlformats.org/officeDocument/2006/relationships/hyperlink" Target="http://www.instagram.com/" TargetMode="External"/><Relationship Id="rId1845" Type="http://schemas.openxmlformats.org/officeDocument/2006/relationships/hyperlink" Target="https://motogpsport.cz/" TargetMode="External"/><Relationship Id="rId2023" Type="http://schemas.openxmlformats.org/officeDocument/2006/relationships/hyperlink" Target="https://www.realitnitrh.cz/" TargetMode="External"/><Relationship Id="rId2230" Type="http://schemas.openxmlformats.org/officeDocument/2006/relationships/hyperlink" Target="https://reflex.cz/" TargetMode="External"/><Relationship Id="rId2468" Type="http://schemas.openxmlformats.org/officeDocument/2006/relationships/hyperlink" Target="https://zive.cz/" TargetMode="External"/><Relationship Id="rId202" Type="http://schemas.openxmlformats.org/officeDocument/2006/relationships/hyperlink" Target="https://ahaonline.cz/" TargetMode="External"/><Relationship Id="rId647" Type="http://schemas.openxmlformats.org/officeDocument/2006/relationships/hyperlink" Target="https://reklama.cncenter.cz/Online/double-skyscraper" TargetMode="External"/><Relationship Id="rId854" Type="http://schemas.openxmlformats.org/officeDocument/2006/relationships/hyperlink" Target="https://doupe.zive.cz/" TargetMode="External"/><Relationship Id="rId1277" Type="http://schemas.openxmlformats.org/officeDocument/2006/relationships/hyperlink" Target="https://fitweb.cz/" TargetMode="External"/><Relationship Id="rId1484" Type="http://schemas.openxmlformats.org/officeDocument/2006/relationships/hyperlink" Target="https://reklama.cncenter.cz/Online/nativni-rectangle-cross-device" TargetMode="External"/><Relationship Id="rId1691" Type="http://schemas.openxmlformats.org/officeDocument/2006/relationships/hyperlink" Target="https://mobilmania.cz/" TargetMode="External"/><Relationship Id="rId1705" Type="http://schemas.openxmlformats.org/officeDocument/2006/relationships/hyperlink" Target="https://reklama.cncenter.cz/Online/Outstream" TargetMode="External"/><Relationship Id="rId1912" Type="http://schemas.openxmlformats.org/officeDocument/2006/relationships/hyperlink" Target="https://nemovitosti.blesk.cz/" TargetMode="External"/><Relationship Id="rId2328" Type="http://schemas.openxmlformats.org/officeDocument/2006/relationships/hyperlink" Target="https://reklama.cncenter.cz/Online/billboard-bottom" TargetMode="External"/><Relationship Id="rId286" Type="http://schemas.openxmlformats.org/officeDocument/2006/relationships/hyperlink" Target="https://auto.cz/" TargetMode="External"/><Relationship Id="rId493" Type="http://schemas.openxmlformats.org/officeDocument/2006/relationships/hyperlink" Target="https://blesk.cz/" TargetMode="External"/><Relationship Id="rId507" Type="http://schemas.openxmlformats.org/officeDocument/2006/relationships/hyperlink" Target="https://reklama.cncenter.cz/Online/mobilni-vineta" TargetMode="External"/><Relationship Id="rId714" Type="http://schemas.openxmlformats.org/officeDocument/2006/relationships/hyperlink" Target="https://reklama.cncenter.cz/Online/Outstream" TargetMode="External"/><Relationship Id="rId921" Type="http://schemas.openxmlformats.org/officeDocument/2006/relationships/hyperlink" Target="https://dama.cz/" TargetMode="External"/><Relationship Id="rId1137" Type="http://schemas.openxmlformats.org/officeDocument/2006/relationships/hyperlink" Target="https://f1sport.auto.cz/" TargetMode="External"/><Relationship Id="rId1344" Type="http://schemas.openxmlformats.org/officeDocument/2006/relationships/hyperlink" Target="https://frekvence1.cz/" TargetMode="External"/><Relationship Id="rId1551" Type="http://schemas.openxmlformats.org/officeDocument/2006/relationships/hyperlink" Target="https://lideazeme.cz/" TargetMode="External"/><Relationship Id="rId1789" Type="http://schemas.openxmlformats.org/officeDocument/2006/relationships/hyperlink" Target="https://reklama.cncenter.cz/Online/Bumper" TargetMode="External"/><Relationship Id="rId1996" Type="http://schemas.openxmlformats.org/officeDocument/2006/relationships/hyperlink" Target="https://reklama.cncenter.cz/Online/nativni-rectangle-cross-device" TargetMode="External"/><Relationship Id="rId2174" Type="http://schemas.openxmlformats.org/officeDocument/2006/relationships/hyperlink" Target="https://reflex.cz/" TargetMode="External"/><Relationship Id="rId2381" Type="http://schemas.openxmlformats.org/officeDocument/2006/relationships/hyperlink" Target="https://zeny.cz/" TargetMode="External"/><Relationship Id="rId50" Type="http://schemas.openxmlformats.org/officeDocument/2006/relationships/hyperlink" Target="https://abecedazahrady.dama.cz/" TargetMode="External"/><Relationship Id="rId146" Type="http://schemas.openxmlformats.org/officeDocument/2006/relationships/hyperlink" Target="https://abicko.cz/" TargetMode="External"/><Relationship Id="rId353" Type="http://schemas.openxmlformats.org/officeDocument/2006/relationships/hyperlink" Target="https://autorevue.cz/" TargetMode="External"/><Relationship Id="rId560" Type="http://schemas.openxmlformats.org/officeDocument/2006/relationships/hyperlink" Target="https://bleskprozeny.cz/" TargetMode="External"/><Relationship Id="rId798" Type="http://schemas.openxmlformats.org/officeDocument/2006/relationships/hyperlink" Target="https://digiarena.zive.cz/" TargetMode="External"/><Relationship Id="rId1190" Type="http://schemas.openxmlformats.org/officeDocument/2006/relationships/hyperlink" Target="http://www.facebook.com/" TargetMode="External"/><Relationship Id="rId1204" Type="http://schemas.openxmlformats.org/officeDocument/2006/relationships/hyperlink" Target="https://www.facebook.com/business/ads-guide/image/facebook-feed" TargetMode="External"/><Relationship Id="rId1411" Type="http://schemas.openxmlformats.org/officeDocument/2006/relationships/hyperlink" Target="http://www.instagram.com/" TargetMode="External"/><Relationship Id="rId1649" Type="http://schemas.openxmlformats.org/officeDocument/2006/relationships/hyperlink" Target="https://reklama.cncenter.cz/Online/branding" TargetMode="External"/><Relationship Id="rId1856" Type="http://schemas.openxmlformats.org/officeDocument/2006/relationships/hyperlink" Target="https://motogpsport.cz/" TargetMode="External"/><Relationship Id="rId2034" Type="http://schemas.openxmlformats.org/officeDocument/2006/relationships/hyperlink" Target="https://www.realitnitrh.cz/" TargetMode="External"/><Relationship Id="rId2241" Type="http://schemas.openxmlformats.org/officeDocument/2006/relationships/hyperlink" Target="https://sportrevue.cz/" TargetMode="External"/><Relationship Id="rId2479" Type="http://schemas.openxmlformats.org/officeDocument/2006/relationships/hyperlink" Target="https://zive.cz/" TargetMode="External"/><Relationship Id="rId213" Type="http://schemas.openxmlformats.org/officeDocument/2006/relationships/hyperlink" Target="https://ahaonline.cz/" TargetMode="External"/><Relationship Id="rId420" Type="http://schemas.openxmlformats.org/officeDocument/2006/relationships/hyperlink" Target="https://reklama.cncenter.cz/Online/billboard-bottom" TargetMode="External"/><Relationship Id="rId658" Type="http://schemas.openxmlformats.org/officeDocument/2006/relationships/hyperlink" Target="https://reklama.cncenter.cz/Online/branding" TargetMode="External"/><Relationship Id="rId865" Type="http://schemas.openxmlformats.org/officeDocument/2006/relationships/hyperlink" Target="https://reklama.cncenter.cz/Online/double-skyscraper" TargetMode="External"/><Relationship Id="rId1050" Type="http://schemas.openxmlformats.org/officeDocument/2006/relationships/hyperlink" Target="https://evropa2.cz/" TargetMode="External"/><Relationship Id="rId1288" Type="http://schemas.openxmlformats.org/officeDocument/2006/relationships/hyperlink" Target="https://reklama.cncenter.cz/Online/Outstream" TargetMode="External"/><Relationship Id="rId1495" Type="http://schemas.openxmlformats.org/officeDocument/2006/relationships/hyperlink" Target="https://reklama.cncenter.cz/Online/branding-cross-device" TargetMode="External"/><Relationship Id="rId1509" Type="http://schemas.openxmlformats.org/officeDocument/2006/relationships/hyperlink" Target="https://lideazeme.cz/" TargetMode="External"/><Relationship Id="rId1716" Type="http://schemas.openxmlformats.org/officeDocument/2006/relationships/hyperlink" Target="https://reklama.cncenter.cz/Online/mobilni-interscroller" TargetMode="External"/><Relationship Id="rId1923" Type="http://schemas.openxmlformats.org/officeDocument/2006/relationships/hyperlink" Target="http://nemovitosti.blesk.cz/" TargetMode="External"/><Relationship Id="rId2101" Type="http://schemas.openxmlformats.org/officeDocument/2006/relationships/hyperlink" Target="https://recepty.cz/" TargetMode="External"/><Relationship Id="rId2339" Type="http://schemas.openxmlformats.org/officeDocument/2006/relationships/hyperlink" Target="https://zeny.cz/" TargetMode="External"/><Relationship Id="rId297" Type="http://schemas.openxmlformats.org/officeDocument/2006/relationships/hyperlink" Target="https://auto.cz/" TargetMode="External"/><Relationship Id="rId518" Type="http://schemas.openxmlformats.org/officeDocument/2006/relationships/hyperlink" Target="https://reklama.cncenter.cz/Online/Outstream" TargetMode="External"/><Relationship Id="rId725" Type="http://schemas.openxmlformats.org/officeDocument/2006/relationships/hyperlink" Target="https://reklama.cncenter.cz/Online/Bumper" TargetMode="External"/><Relationship Id="rId932" Type="http://schemas.openxmlformats.org/officeDocument/2006/relationships/hyperlink" Target="https://dama.cz/" TargetMode="External"/><Relationship Id="rId1148" Type="http://schemas.openxmlformats.org/officeDocument/2006/relationships/hyperlink" Target="http://www.facebook.com/" TargetMode="External"/><Relationship Id="rId1355" Type="http://schemas.openxmlformats.org/officeDocument/2006/relationships/hyperlink" Target="https://hledejceny.cz/" TargetMode="External"/><Relationship Id="rId1562" Type="http://schemas.openxmlformats.org/officeDocument/2006/relationships/hyperlink" Target="https://maminka.cz/" TargetMode="External"/><Relationship Id="rId2185" Type="http://schemas.openxmlformats.org/officeDocument/2006/relationships/hyperlink" Target="https://reflex.cz/" TargetMode="External"/><Relationship Id="rId2392" Type="http://schemas.openxmlformats.org/officeDocument/2006/relationships/hyperlink" Target="https://reklama.cncenter.cz/?ads=PR%2520%25C4%258Dl%25C3%25A1nky" TargetMode="External"/><Relationship Id="rId2406" Type="http://schemas.openxmlformats.org/officeDocument/2006/relationships/hyperlink" Target="https://reklama.cncenter.cz/Online/billboard-bottom" TargetMode="External"/><Relationship Id="rId157" Type="http://schemas.openxmlformats.org/officeDocument/2006/relationships/hyperlink" Target="https://www.activegroup.cz/reklama" TargetMode="External"/><Relationship Id="rId364" Type="http://schemas.openxmlformats.org/officeDocument/2006/relationships/hyperlink" Target="https://autorevue.cz/" TargetMode="External"/><Relationship Id="rId1008" Type="http://schemas.openxmlformats.org/officeDocument/2006/relationships/hyperlink" Target="https://reklama.cncenter.cz/Online/mobilni-slide-up" TargetMode="External"/><Relationship Id="rId1215" Type="http://schemas.openxmlformats.org/officeDocument/2006/relationships/hyperlink" Target="http://www.facebook.com/" TargetMode="External"/><Relationship Id="rId1422" Type="http://schemas.openxmlformats.org/officeDocument/2006/relationships/hyperlink" Target="http://www.instagram.com/" TargetMode="External"/><Relationship Id="rId1867" Type="http://schemas.openxmlformats.org/officeDocument/2006/relationships/hyperlink" Target="https://motogpsport.cz/" TargetMode="External"/><Relationship Id="rId2045" Type="http://schemas.openxmlformats.org/officeDocument/2006/relationships/hyperlink" Target="https://www.realitnitrh.cz/" TargetMode="External"/><Relationship Id="rId61" Type="http://schemas.openxmlformats.org/officeDocument/2006/relationships/hyperlink" Target="https://abecedazahrady.dama.cz/" TargetMode="External"/><Relationship Id="rId571" Type="http://schemas.openxmlformats.org/officeDocument/2006/relationships/hyperlink" Target="https://bleskprozeny.cz/" TargetMode="External"/><Relationship Id="rId669" Type="http://schemas.openxmlformats.org/officeDocument/2006/relationships/hyperlink" Target="https://reklama.cncenter.cz/Online/Smarticle" TargetMode="External"/><Relationship Id="rId876" Type="http://schemas.openxmlformats.org/officeDocument/2006/relationships/hyperlink" Target="https://doupe.zive.cz/" TargetMode="External"/><Relationship Id="rId1299" Type="http://schemas.openxmlformats.org/officeDocument/2006/relationships/hyperlink" Target="https://heyfomo.cz/" TargetMode="External"/><Relationship Id="rId1727" Type="http://schemas.openxmlformats.org/officeDocument/2006/relationships/hyperlink" Target="https://reklama.cncenter.cz/Online/nativni-PR-premium" TargetMode="External"/><Relationship Id="rId1934" Type="http://schemas.openxmlformats.org/officeDocument/2006/relationships/hyperlink" Target="https://reklama.cncenter.cz/Online/nativni-PR-premium" TargetMode="External"/><Relationship Id="rId2252" Type="http://schemas.openxmlformats.org/officeDocument/2006/relationships/hyperlink" Target="https://vtm.zive.cz/" TargetMode="External"/><Relationship Id="rId19" Type="http://schemas.openxmlformats.org/officeDocument/2006/relationships/hyperlink" Target="https://abecedazahrady.dama.cz/" TargetMode="External"/><Relationship Id="rId224" Type="http://schemas.openxmlformats.org/officeDocument/2006/relationships/hyperlink" Target="https://ahaonline.cz/" TargetMode="External"/><Relationship Id="rId431" Type="http://schemas.openxmlformats.org/officeDocument/2006/relationships/hyperlink" Target="https://avmania.zive.cz/" TargetMode="External"/><Relationship Id="rId529" Type="http://schemas.openxmlformats.org/officeDocument/2006/relationships/hyperlink" Target="https://reklama.cncenter.cz/Online/branding-cross-device" TargetMode="External"/><Relationship Id="rId736" Type="http://schemas.openxmlformats.org/officeDocument/2006/relationships/hyperlink" Target="https://reklama.cncenter.cz/Online/mobilni-vineta" TargetMode="External"/><Relationship Id="rId1061" Type="http://schemas.openxmlformats.org/officeDocument/2006/relationships/hyperlink" Target="https://evropa2.cz/" TargetMode="External"/><Relationship Id="rId1159" Type="http://schemas.openxmlformats.org/officeDocument/2006/relationships/hyperlink" Target="https://www.facebook.com/business/ads-guide/image/facebook-feed" TargetMode="External"/><Relationship Id="rId1366" Type="http://schemas.openxmlformats.org/officeDocument/2006/relationships/hyperlink" Target="https://reklama.cncenter.cz/Online/billboard-bottom" TargetMode="External"/><Relationship Id="rId2112" Type="http://schemas.openxmlformats.org/officeDocument/2006/relationships/hyperlink" Target="https://recepty.cz/" TargetMode="External"/><Relationship Id="rId2196" Type="http://schemas.openxmlformats.org/officeDocument/2006/relationships/hyperlink" Target="https://reflex.cz/" TargetMode="External"/><Relationship Id="rId2417" Type="http://schemas.openxmlformats.org/officeDocument/2006/relationships/hyperlink" Target="https://zive.cz/" TargetMode="External"/><Relationship Id="rId168" Type="http://schemas.openxmlformats.org/officeDocument/2006/relationships/hyperlink" Target="https://reklama.cncenter.cz/Online/branding" TargetMode="External"/><Relationship Id="rId943" Type="http://schemas.openxmlformats.org/officeDocument/2006/relationships/hyperlink" Target="https://reklama.cncenter.cz/Online/mobilni-slide-up" TargetMode="External"/><Relationship Id="rId1019" Type="http://schemas.openxmlformats.org/officeDocument/2006/relationships/hyperlink" Target="https://reklama.cncenter.cz/Online/Outstream" TargetMode="External"/><Relationship Id="rId1573" Type="http://schemas.openxmlformats.org/officeDocument/2006/relationships/hyperlink" Target="https://reklama.cncenter.cz/Online/branding-cross-device" TargetMode="External"/><Relationship Id="rId1780" Type="http://schemas.openxmlformats.org/officeDocument/2006/relationships/hyperlink" Target="https://reklama.cncenter.cz/Online/mobilni-vineta" TargetMode="External"/><Relationship Id="rId1878" Type="http://schemas.openxmlformats.org/officeDocument/2006/relationships/hyperlink" Target="https://reklama.cncenter.cz/Online/mobilni-vineta" TargetMode="External"/><Relationship Id="rId72" Type="http://schemas.openxmlformats.org/officeDocument/2006/relationships/hyperlink" Target="https://abicko.cz/" TargetMode="External"/><Relationship Id="rId375" Type="http://schemas.openxmlformats.org/officeDocument/2006/relationships/hyperlink" Target="https://autorevue.cz/" TargetMode="External"/><Relationship Id="rId582" Type="http://schemas.openxmlformats.org/officeDocument/2006/relationships/hyperlink" Target="https://reklama.cncenter.cz/Online/nativni-PR-premium" TargetMode="External"/><Relationship Id="rId803" Type="http://schemas.openxmlformats.org/officeDocument/2006/relationships/hyperlink" Target="https://digiarena.zive.cz/" TargetMode="External"/><Relationship Id="rId1226" Type="http://schemas.openxmlformats.org/officeDocument/2006/relationships/hyperlink" Target="https://finexpert.cz/" TargetMode="External"/><Relationship Id="rId1433" Type="http://schemas.openxmlformats.org/officeDocument/2006/relationships/hyperlink" Target="http://www.instagram.com/" TargetMode="External"/><Relationship Id="rId1640" Type="http://schemas.openxmlformats.org/officeDocument/2006/relationships/hyperlink" Target="https://maminka.cz/" TargetMode="External"/><Relationship Id="rId1738" Type="http://schemas.openxmlformats.org/officeDocument/2006/relationships/hyperlink" Target="https://mobilmania.cz/" TargetMode="External"/><Relationship Id="rId2056" Type="http://schemas.openxmlformats.org/officeDocument/2006/relationships/hyperlink" Target="https://www.realitnitrh.cz/" TargetMode="External"/><Relationship Id="rId2263" Type="http://schemas.openxmlformats.org/officeDocument/2006/relationships/hyperlink" Target="https://vtm.zive.cz/" TargetMode="External"/><Relationship Id="rId2470" Type="http://schemas.openxmlformats.org/officeDocument/2006/relationships/hyperlink" Target="https://reklama.cncenter.cz/Online/Outstream" TargetMode="External"/><Relationship Id="rId3" Type="http://schemas.openxmlformats.org/officeDocument/2006/relationships/hyperlink" Target="https://abecedazahrady.dama.cz/" TargetMode="External"/><Relationship Id="rId235" Type="http://schemas.openxmlformats.org/officeDocument/2006/relationships/hyperlink" Target="https://ahaonline.cz/" TargetMode="External"/><Relationship Id="rId442" Type="http://schemas.openxmlformats.org/officeDocument/2006/relationships/hyperlink" Target="https://avmania.zive.cz/" TargetMode="External"/><Relationship Id="rId887" Type="http://schemas.openxmlformats.org/officeDocument/2006/relationships/hyperlink" Target="https://doupe.zive.cz/" TargetMode="External"/><Relationship Id="rId1072" Type="http://schemas.openxmlformats.org/officeDocument/2006/relationships/hyperlink" Target="https://reklama.cncenter.cz/Online/nativni-rectangle-cross-device" TargetMode="External"/><Relationship Id="rId1500" Type="http://schemas.openxmlformats.org/officeDocument/2006/relationships/hyperlink" Target="https://lideazeme.cz/" TargetMode="External"/><Relationship Id="rId1945" Type="http://schemas.openxmlformats.org/officeDocument/2006/relationships/hyperlink" Target="https://nemovitosti.blesk.cz/" TargetMode="External"/><Relationship Id="rId2123" Type="http://schemas.openxmlformats.org/officeDocument/2006/relationships/hyperlink" Target="https://reklama.cncenter.cz/Online/mobilni-vineta" TargetMode="External"/><Relationship Id="rId2330" Type="http://schemas.openxmlformats.org/officeDocument/2006/relationships/hyperlink" Target="https://zeny.cz/" TargetMode="External"/><Relationship Id="rId302" Type="http://schemas.openxmlformats.org/officeDocument/2006/relationships/hyperlink" Target="https://reklama.cncenter.cz/Online/mobilni-vineta" TargetMode="External"/><Relationship Id="rId747" Type="http://schemas.openxmlformats.org/officeDocument/2006/relationships/hyperlink" Target="https://reklama.cncenter.cz/Online/Outstream" TargetMode="External"/><Relationship Id="rId954" Type="http://schemas.openxmlformats.org/officeDocument/2006/relationships/hyperlink" Target="https://dama.cz/" TargetMode="External"/><Relationship Id="rId1377" Type="http://schemas.openxmlformats.org/officeDocument/2006/relationships/hyperlink" Target="https://hledejceny.cz/" TargetMode="External"/><Relationship Id="rId1584" Type="http://schemas.openxmlformats.org/officeDocument/2006/relationships/hyperlink" Target="https://maminka.cz/" TargetMode="External"/><Relationship Id="rId1791" Type="http://schemas.openxmlformats.org/officeDocument/2006/relationships/hyperlink" Target="https://mojezdravi.cz/" TargetMode="External"/><Relationship Id="rId1805" Type="http://schemas.openxmlformats.org/officeDocument/2006/relationships/hyperlink" Target="https://mojezdravi.cz/" TargetMode="External"/><Relationship Id="rId2428" Type="http://schemas.openxmlformats.org/officeDocument/2006/relationships/hyperlink" Target="https://zive.cz/" TargetMode="External"/><Relationship Id="rId83" Type="http://schemas.openxmlformats.org/officeDocument/2006/relationships/hyperlink" Target="https://reklama.cncenter.cz/Online/billboard-bottom" TargetMode="External"/><Relationship Id="rId179" Type="http://schemas.openxmlformats.org/officeDocument/2006/relationships/hyperlink" Target="https://ahaonline.cz/" TargetMode="External"/><Relationship Id="rId386" Type="http://schemas.openxmlformats.org/officeDocument/2006/relationships/hyperlink" Target="https://autorevue.cz/" TargetMode="External"/><Relationship Id="rId593" Type="http://schemas.openxmlformats.org/officeDocument/2006/relationships/hyperlink" Target="https://bleskprozeny.cz/" TargetMode="External"/><Relationship Id="rId607" Type="http://schemas.openxmlformats.org/officeDocument/2006/relationships/hyperlink" Target="https://bleskprozeny.cz/" TargetMode="External"/><Relationship Id="rId814" Type="http://schemas.openxmlformats.org/officeDocument/2006/relationships/hyperlink" Target="https://digiarena.zive.cz/" TargetMode="External"/><Relationship Id="rId1237" Type="http://schemas.openxmlformats.org/officeDocument/2006/relationships/hyperlink" Target="https://reklama.cncenter.cz/Online/billboard-bottom" TargetMode="External"/><Relationship Id="rId1444" Type="http://schemas.openxmlformats.org/officeDocument/2006/relationships/hyperlink" Target="http://www.instagram.com/" TargetMode="External"/><Relationship Id="rId1651" Type="http://schemas.openxmlformats.org/officeDocument/2006/relationships/hyperlink" Target="https://reklama.cncenter.cz/Online/mobilni-interscroller" TargetMode="External"/><Relationship Id="rId1889" Type="http://schemas.openxmlformats.org/officeDocument/2006/relationships/hyperlink" Target="https://reklama.cncenter.cz/?ads=PR%2520%25C4%258Dl%25C3%25A1nky" TargetMode="External"/><Relationship Id="rId2067" Type="http://schemas.openxmlformats.org/officeDocument/2006/relationships/hyperlink" Target="https://reklama.cncenter.cz/Online/branding-cross-device" TargetMode="External"/><Relationship Id="rId2274" Type="http://schemas.openxmlformats.org/officeDocument/2006/relationships/hyperlink" Target="https://reklama.cncenter.cz/Online/mobilni-interscroller" TargetMode="External"/><Relationship Id="rId2481" Type="http://schemas.openxmlformats.org/officeDocument/2006/relationships/hyperlink" Target="https://zive.cz/" TargetMode="External"/><Relationship Id="rId246" Type="http://schemas.openxmlformats.org/officeDocument/2006/relationships/hyperlink" Target="https://reklama.cncenter.cz/Online/branding-cross-device" TargetMode="External"/><Relationship Id="rId453" Type="http://schemas.openxmlformats.org/officeDocument/2006/relationships/hyperlink" Target="https://avmania.zive.cz/" TargetMode="External"/><Relationship Id="rId660" Type="http://schemas.openxmlformats.org/officeDocument/2006/relationships/hyperlink" Target="https://reklama.cncenter.cz/Online/branding-cross-device" TargetMode="External"/><Relationship Id="rId898" Type="http://schemas.openxmlformats.org/officeDocument/2006/relationships/hyperlink" Target="https://doupe.zive.cz/" TargetMode="External"/><Relationship Id="rId1083" Type="http://schemas.openxmlformats.org/officeDocument/2006/relationships/hyperlink" Target="https://reklama.cncenter.cz/Online/branding-cross-device" TargetMode="External"/><Relationship Id="rId1290" Type="http://schemas.openxmlformats.org/officeDocument/2006/relationships/hyperlink" Target="https://heyfomo.cz/" TargetMode="External"/><Relationship Id="rId1304" Type="http://schemas.openxmlformats.org/officeDocument/2006/relationships/hyperlink" Target="https://frekvence1.cz/" TargetMode="External"/><Relationship Id="rId1511" Type="http://schemas.openxmlformats.org/officeDocument/2006/relationships/hyperlink" Target="https://lideazeme.cz/" TargetMode="External"/><Relationship Id="rId1749" Type="http://schemas.openxmlformats.org/officeDocument/2006/relationships/hyperlink" Target="https://mojezdravi.cz/" TargetMode="External"/><Relationship Id="rId1956" Type="http://schemas.openxmlformats.org/officeDocument/2006/relationships/hyperlink" Target="https://nemovitosti.blesk.cz/" TargetMode="External"/><Relationship Id="rId2134" Type="http://schemas.openxmlformats.org/officeDocument/2006/relationships/hyperlink" Target="https://reklama.cncenter.cz/Online/Outstream" TargetMode="External"/><Relationship Id="rId2341" Type="http://schemas.openxmlformats.org/officeDocument/2006/relationships/hyperlink" Target="https://zeny.cz/" TargetMode="External"/><Relationship Id="rId106" Type="http://schemas.openxmlformats.org/officeDocument/2006/relationships/hyperlink" Target="https://abicko.cz/" TargetMode="External"/><Relationship Id="rId313" Type="http://schemas.openxmlformats.org/officeDocument/2006/relationships/hyperlink" Target="https://reklama.cncenter.cz/Online/Outstream" TargetMode="External"/><Relationship Id="rId758" Type="http://schemas.openxmlformats.org/officeDocument/2006/relationships/hyperlink" Target="https://reklama.cncenter.cz/Online/mobilni-interscroller" TargetMode="External"/><Relationship Id="rId965" Type="http://schemas.openxmlformats.org/officeDocument/2006/relationships/hyperlink" Target="https://dama.cz/" TargetMode="External"/><Relationship Id="rId1150" Type="http://schemas.openxmlformats.org/officeDocument/2006/relationships/hyperlink" Target="https://www.facebook.com/business/ads-guide/image/facebook-feed" TargetMode="External"/><Relationship Id="rId1388" Type="http://schemas.openxmlformats.org/officeDocument/2006/relationships/hyperlink" Target="http://www.instagram.com/" TargetMode="External"/><Relationship Id="rId1595" Type="http://schemas.openxmlformats.org/officeDocument/2006/relationships/hyperlink" Target="https://maminka.cz/" TargetMode="External"/><Relationship Id="rId1609" Type="http://schemas.openxmlformats.org/officeDocument/2006/relationships/hyperlink" Target="https://maminka.cz/" TargetMode="External"/><Relationship Id="rId1816" Type="http://schemas.openxmlformats.org/officeDocument/2006/relationships/hyperlink" Target="https://mojezdravi.cz/" TargetMode="External"/><Relationship Id="rId2439" Type="http://schemas.openxmlformats.org/officeDocument/2006/relationships/hyperlink" Target="https://reklama.cncenter.cz/Online/nativni-rectangle-cross-device" TargetMode="External"/><Relationship Id="rId10" Type="http://schemas.openxmlformats.org/officeDocument/2006/relationships/hyperlink" Target="https://abecedazahrady.dama.cz/" TargetMode="External"/><Relationship Id="rId94" Type="http://schemas.openxmlformats.org/officeDocument/2006/relationships/hyperlink" Target="https://abicko.cz/" TargetMode="External"/><Relationship Id="rId397" Type="http://schemas.openxmlformats.org/officeDocument/2006/relationships/hyperlink" Target="https://reklama.cncenter.cz/?ads=PR%2520%25C4%258Dl%25C3%25A1nky" TargetMode="External"/><Relationship Id="rId520" Type="http://schemas.openxmlformats.org/officeDocument/2006/relationships/hyperlink" Target="https://reklama.cncenter.cz/Online/Bumper" TargetMode="External"/><Relationship Id="rId618" Type="http://schemas.openxmlformats.org/officeDocument/2006/relationships/hyperlink" Target="https://bleskprozeny.cz/" TargetMode="External"/><Relationship Id="rId825" Type="http://schemas.openxmlformats.org/officeDocument/2006/relationships/hyperlink" Target="https://reklama.cncenter.cz/Online/mobilni-vineta" TargetMode="External"/><Relationship Id="rId1248" Type="http://schemas.openxmlformats.org/officeDocument/2006/relationships/hyperlink" Target="https://fitweb.cz/" TargetMode="External"/><Relationship Id="rId1455" Type="http://schemas.openxmlformats.org/officeDocument/2006/relationships/hyperlink" Target="http://www.instagram.com/" TargetMode="External"/><Relationship Id="rId1662" Type="http://schemas.openxmlformats.org/officeDocument/2006/relationships/hyperlink" Target="https://reklama.cncenter.cz/Online/Outstream" TargetMode="External"/><Relationship Id="rId2078" Type="http://schemas.openxmlformats.org/officeDocument/2006/relationships/hyperlink" Target="https://recepty.cz/" TargetMode="External"/><Relationship Id="rId2201" Type="http://schemas.openxmlformats.org/officeDocument/2006/relationships/hyperlink" Target="https://reklama.cncenter.cz/Online/Videospot" TargetMode="External"/><Relationship Id="rId2285" Type="http://schemas.openxmlformats.org/officeDocument/2006/relationships/hyperlink" Target="https://vtm.zive.cz/" TargetMode="External"/><Relationship Id="rId257" Type="http://schemas.openxmlformats.org/officeDocument/2006/relationships/hyperlink" Target="https://auto.cz/" TargetMode="External"/><Relationship Id="rId464" Type="http://schemas.openxmlformats.org/officeDocument/2006/relationships/hyperlink" Target="https://avmania.zive.cz/" TargetMode="External"/><Relationship Id="rId1010" Type="http://schemas.openxmlformats.org/officeDocument/2006/relationships/hyperlink" Target="https://reklama.cncenter.cz/Online/nativni-rectangle-cross-device" TargetMode="External"/><Relationship Id="rId1094" Type="http://schemas.openxmlformats.org/officeDocument/2006/relationships/hyperlink" Target="https://f1sport.auto.cz/" TargetMode="External"/><Relationship Id="rId1108" Type="http://schemas.openxmlformats.org/officeDocument/2006/relationships/hyperlink" Target="https://f1sport.auto.cz/" TargetMode="External"/><Relationship Id="rId1315" Type="http://schemas.openxmlformats.org/officeDocument/2006/relationships/hyperlink" Target="https://reklama.cncenter.cz/Online/branding" TargetMode="External"/><Relationship Id="rId1967" Type="http://schemas.openxmlformats.org/officeDocument/2006/relationships/hyperlink" Target="http://nemovitosti.blesk.cz/" TargetMode="External"/><Relationship Id="rId2145" Type="http://schemas.openxmlformats.org/officeDocument/2006/relationships/hyperlink" Target="https://recepty.cz/" TargetMode="External"/><Relationship Id="rId117" Type="http://schemas.openxmlformats.org/officeDocument/2006/relationships/hyperlink" Target="https://abicko.cz/" TargetMode="External"/><Relationship Id="rId671" Type="http://schemas.openxmlformats.org/officeDocument/2006/relationships/hyperlink" Target="https://reklama.cncenter.cz/Online/double-skyscraper" TargetMode="External"/><Relationship Id="rId769" Type="http://schemas.openxmlformats.org/officeDocument/2006/relationships/hyperlink" Target="https://reklama.cncenter.cz/Online/mobilni-vineta" TargetMode="External"/><Relationship Id="rId976" Type="http://schemas.openxmlformats.org/officeDocument/2006/relationships/hyperlink" Target="https://dama.cz/" TargetMode="External"/><Relationship Id="rId1399" Type="http://schemas.openxmlformats.org/officeDocument/2006/relationships/hyperlink" Target="http://www.instagram.com/" TargetMode="External"/><Relationship Id="rId2352" Type="http://schemas.openxmlformats.org/officeDocument/2006/relationships/hyperlink" Target="https://reklama.cncenter.cz/Online/nativni-PR-premium" TargetMode="External"/><Relationship Id="rId324" Type="http://schemas.openxmlformats.org/officeDocument/2006/relationships/hyperlink" Target="https://auto.cz/" TargetMode="External"/><Relationship Id="rId531" Type="http://schemas.openxmlformats.org/officeDocument/2006/relationships/hyperlink" Target="https://blesk.cz/" TargetMode="External"/><Relationship Id="rId629" Type="http://schemas.openxmlformats.org/officeDocument/2006/relationships/hyperlink" Target="https://bleskprozeny.cz/" TargetMode="External"/><Relationship Id="rId1161" Type="http://schemas.openxmlformats.org/officeDocument/2006/relationships/hyperlink" Target="http://www.facebook.com/" TargetMode="External"/><Relationship Id="rId1259" Type="http://schemas.openxmlformats.org/officeDocument/2006/relationships/hyperlink" Target="https://fitweb.cz/" TargetMode="External"/><Relationship Id="rId1466" Type="http://schemas.openxmlformats.org/officeDocument/2006/relationships/hyperlink" Target="https://reklama.cncenter.cz/Online/branding-cross-device" TargetMode="External"/><Relationship Id="rId2005" Type="http://schemas.openxmlformats.org/officeDocument/2006/relationships/hyperlink" Target="https://www.realitnitrh.cz/" TargetMode="External"/><Relationship Id="rId2212" Type="http://schemas.openxmlformats.org/officeDocument/2006/relationships/hyperlink" Target="https://reflex.cz/" TargetMode="External"/><Relationship Id="rId836" Type="http://schemas.openxmlformats.org/officeDocument/2006/relationships/hyperlink" Target="https://reklama.cncenter.cz/?ads=PR%2520%25C4%258Dl%25C3%25A1nky" TargetMode="External"/><Relationship Id="rId1021" Type="http://schemas.openxmlformats.org/officeDocument/2006/relationships/hyperlink" Target="https://reklama.cncenter.cz/Online/Bumper" TargetMode="External"/><Relationship Id="rId1119" Type="http://schemas.openxmlformats.org/officeDocument/2006/relationships/hyperlink" Target="https://f1sport.auto.cz/" TargetMode="External"/><Relationship Id="rId1673" Type="http://schemas.openxmlformats.org/officeDocument/2006/relationships/hyperlink" Target="https://mobilmania.cz/" TargetMode="External"/><Relationship Id="rId1880" Type="http://schemas.openxmlformats.org/officeDocument/2006/relationships/hyperlink" Target="https://motogpsport.cz/" TargetMode="External"/><Relationship Id="rId1978" Type="http://schemas.openxmlformats.org/officeDocument/2006/relationships/hyperlink" Target="https://reklama.cncenter.cz/?ads=PR%2520%25C4%258Dl%25C3%25A1nky" TargetMode="External"/><Relationship Id="rId903" Type="http://schemas.openxmlformats.org/officeDocument/2006/relationships/hyperlink" Target="https://doupe.zive.cz/" TargetMode="External"/><Relationship Id="rId1326" Type="http://schemas.openxmlformats.org/officeDocument/2006/relationships/hyperlink" Target="https://frekvence1.cz/" TargetMode="External"/><Relationship Id="rId1533" Type="http://schemas.openxmlformats.org/officeDocument/2006/relationships/hyperlink" Target="https://reklama.cncenter.cz/Online/mobilni-interscroller" TargetMode="External"/><Relationship Id="rId1740" Type="http://schemas.openxmlformats.org/officeDocument/2006/relationships/hyperlink" Target="https://mobilmania.cz/" TargetMode="External"/><Relationship Id="rId32" Type="http://schemas.openxmlformats.org/officeDocument/2006/relationships/hyperlink" Target="https://reklama.cncenter.cz/Online/mobilni-vineta" TargetMode="External"/><Relationship Id="rId1600" Type="http://schemas.openxmlformats.org/officeDocument/2006/relationships/hyperlink" Target="https://reklama.cncenter.cz/Online/Outstream" TargetMode="External"/><Relationship Id="rId1838" Type="http://schemas.openxmlformats.org/officeDocument/2006/relationships/hyperlink" Target="https://motogpsport.cz/" TargetMode="External"/><Relationship Id="rId181" Type="http://schemas.openxmlformats.org/officeDocument/2006/relationships/hyperlink" Target="https://ahaonline.cz/" TargetMode="External"/><Relationship Id="rId1905" Type="http://schemas.openxmlformats.org/officeDocument/2006/relationships/hyperlink" Target="https://nemovitosti.blesk.cz/" TargetMode="External"/><Relationship Id="rId279" Type="http://schemas.openxmlformats.org/officeDocument/2006/relationships/hyperlink" Target="https://reklama.cncenter.cz/Online/nativni-rectangle-cross-device" TargetMode="External"/><Relationship Id="rId486" Type="http://schemas.openxmlformats.org/officeDocument/2006/relationships/hyperlink" Target="https://blesk.cz/" TargetMode="External"/><Relationship Id="rId693" Type="http://schemas.openxmlformats.org/officeDocument/2006/relationships/hyperlink" Target="https://reklama.cncenter.cz/Online/Bumper" TargetMode="External"/><Relationship Id="rId2167" Type="http://schemas.openxmlformats.org/officeDocument/2006/relationships/hyperlink" Target="https://reflex.cz/" TargetMode="External"/><Relationship Id="rId2374" Type="http://schemas.openxmlformats.org/officeDocument/2006/relationships/hyperlink" Target="https://zeny.cz/" TargetMode="External"/><Relationship Id="rId139" Type="http://schemas.openxmlformats.org/officeDocument/2006/relationships/hyperlink" Target="https://abicko.cz/" TargetMode="External"/><Relationship Id="rId346" Type="http://schemas.openxmlformats.org/officeDocument/2006/relationships/hyperlink" Target="https://autorevue.cz/" TargetMode="External"/><Relationship Id="rId553" Type="http://schemas.openxmlformats.org/officeDocument/2006/relationships/hyperlink" Target="https://bleskprozeny.cz/" TargetMode="External"/><Relationship Id="rId760" Type="http://schemas.openxmlformats.org/officeDocument/2006/relationships/hyperlink" Target="https://reklama.cncenter.cz/Online/mobilni-vineta" TargetMode="External"/><Relationship Id="rId998" Type="http://schemas.openxmlformats.org/officeDocument/2006/relationships/hyperlink" Target="https://reklama.cncenter.cz/Online/Bumper" TargetMode="External"/><Relationship Id="rId1183" Type="http://schemas.openxmlformats.org/officeDocument/2006/relationships/hyperlink" Target="https://www.facebook.com/business/ads-guide/image/facebook-feed" TargetMode="External"/><Relationship Id="rId1390" Type="http://schemas.openxmlformats.org/officeDocument/2006/relationships/hyperlink" Target="http://www.instagram.com/" TargetMode="External"/><Relationship Id="rId2027" Type="http://schemas.openxmlformats.org/officeDocument/2006/relationships/hyperlink" Target="https://www.realitnitrh.cz/" TargetMode="External"/><Relationship Id="rId2234" Type="http://schemas.openxmlformats.org/officeDocument/2006/relationships/hyperlink" Target="https://sportrevue.cz/" TargetMode="External"/><Relationship Id="rId2441" Type="http://schemas.openxmlformats.org/officeDocument/2006/relationships/hyperlink" Target="https://zive.cz/" TargetMode="External"/><Relationship Id="rId206" Type="http://schemas.openxmlformats.org/officeDocument/2006/relationships/hyperlink" Target="https://reklama.cncenter.cz/Online/double-skyscraper" TargetMode="External"/><Relationship Id="rId413" Type="http://schemas.openxmlformats.org/officeDocument/2006/relationships/hyperlink" Target="https://avmania.zive.cz/" TargetMode="External"/><Relationship Id="rId858" Type="http://schemas.openxmlformats.org/officeDocument/2006/relationships/hyperlink" Target="https://doupe.zive.cz/" TargetMode="External"/><Relationship Id="rId1043" Type="http://schemas.openxmlformats.org/officeDocument/2006/relationships/hyperlink" Target="https://evropa2.cz/" TargetMode="External"/><Relationship Id="rId1488" Type="http://schemas.openxmlformats.org/officeDocument/2006/relationships/hyperlink" Target="https://lideazeme.cz/" TargetMode="External"/><Relationship Id="rId1695" Type="http://schemas.openxmlformats.org/officeDocument/2006/relationships/hyperlink" Target="https://mobilmania.cz/" TargetMode="External"/><Relationship Id="rId620" Type="http://schemas.openxmlformats.org/officeDocument/2006/relationships/hyperlink" Target="https://bleskprozeny.cz/" TargetMode="External"/><Relationship Id="rId718" Type="http://schemas.openxmlformats.org/officeDocument/2006/relationships/hyperlink" Target="https://reklama.cncenter.cz/Online/Videospot" TargetMode="External"/><Relationship Id="rId925" Type="http://schemas.openxmlformats.org/officeDocument/2006/relationships/hyperlink" Target="https://reklama.cncenter.cz/Online/billboard-bottom" TargetMode="External"/><Relationship Id="rId1250" Type="http://schemas.openxmlformats.org/officeDocument/2006/relationships/hyperlink" Target="https://fitweb.cz/" TargetMode="External"/><Relationship Id="rId1348" Type="http://schemas.openxmlformats.org/officeDocument/2006/relationships/hyperlink" Target="https://reklama.cncenter.cz/Online/nativni-rectangle-cross-device" TargetMode="External"/><Relationship Id="rId1555" Type="http://schemas.openxmlformats.org/officeDocument/2006/relationships/hyperlink" Target="https://lideazeme.cz/" TargetMode="External"/><Relationship Id="rId1762" Type="http://schemas.openxmlformats.org/officeDocument/2006/relationships/hyperlink" Target="https://reklama.cncenter.cz/Online/branding-cross-device" TargetMode="External"/><Relationship Id="rId2301" Type="http://schemas.openxmlformats.org/officeDocument/2006/relationships/hyperlink" Target="https://reklama.cncenter.cz/Online/nativni-rectangle-cross-device" TargetMode="External"/><Relationship Id="rId1110" Type="http://schemas.openxmlformats.org/officeDocument/2006/relationships/hyperlink" Target="https://reklama.cncenter.cz/Online/nativni-rectangle-cross-device" TargetMode="External"/><Relationship Id="rId1208" Type="http://schemas.openxmlformats.org/officeDocument/2006/relationships/hyperlink" Target="http://www.facebook.com/" TargetMode="External"/><Relationship Id="rId1415" Type="http://schemas.openxmlformats.org/officeDocument/2006/relationships/hyperlink" Target="http://www.instagram.com/" TargetMode="External"/><Relationship Id="rId54" Type="http://schemas.openxmlformats.org/officeDocument/2006/relationships/hyperlink" Target="https://abecedazahrady.dama.cz/" TargetMode="External"/><Relationship Id="rId1622" Type="http://schemas.openxmlformats.org/officeDocument/2006/relationships/hyperlink" Target="https://maminka.cz/" TargetMode="External"/><Relationship Id="rId1927" Type="http://schemas.openxmlformats.org/officeDocument/2006/relationships/hyperlink" Target="http://nemovitosti.blesk.cz/" TargetMode="External"/><Relationship Id="rId2091" Type="http://schemas.openxmlformats.org/officeDocument/2006/relationships/hyperlink" Target="https://reklama.cncenter.cz/Online/mobilni-slide-up" TargetMode="External"/><Relationship Id="rId2189" Type="http://schemas.openxmlformats.org/officeDocument/2006/relationships/hyperlink" Target="https://reflex.cz/" TargetMode="External"/><Relationship Id="rId270" Type="http://schemas.openxmlformats.org/officeDocument/2006/relationships/hyperlink" Target="https://reklama.cncenter.cz/Online/mobilni-slide-up" TargetMode="External"/><Relationship Id="rId2396" Type="http://schemas.openxmlformats.org/officeDocument/2006/relationships/hyperlink" Target="https://zeny.cz/" TargetMode="External"/><Relationship Id="rId130" Type="http://schemas.openxmlformats.org/officeDocument/2006/relationships/hyperlink" Target="https://abicko.cz/" TargetMode="External"/><Relationship Id="rId368" Type="http://schemas.openxmlformats.org/officeDocument/2006/relationships/hyperlink" Target="https://autorevue.cz/" TargetMode="External"/><Relationship Id="rId575" Type="http://schemas.openxmlformats.org/officeDocument/2006/relationships/hyperlink" Target="https://bleskprozeny.cz/" TargetMode="External"/><Relationship Id="rId782" Type="http://schemas.openxmlformats.org/officeDocument/2006/relationships/hyperlink" Target="https://digiarena.zive.cz/" TargetMode="External"/><Relationship Id="rId2049" Type="http://schemas.openxmlformats.org/officeDocument/2006/relationships/hyperlink" Target="https://www.realitnitrh.cz/" TargetMode="External"/><Relationship Id="rId2256" Type="http://schemas.openxmlformats.org/officeDocument/2006/relationships/hyperlink" Target="https://reklama.cncenter.cz/Online/branding-cross-device" TargetMode="External"/><Relationship Id="rId2463" Type="http://schemas.openxmlformats.org/officeDocument/2006/relationships/hyperlink" Target="https://zive.cz/" TargetMode="External"/><Relationship Id="rId228" Type="http://schemas.openxmlformats.org/officeDocument/2006/relationships/hyperlink" Target="https://ahaonline.cz/" TargetMode="External"/><Relationship Id="rId435" Type="http://schemas.openxmlformats.org/officeDocument/2006/relationships/hyperlink" Target="https://reklama.cncenter.cz/Online/mobilni-slide-up" TargetMode="External"/><Relationship Id="rId642" Type="http://schemas.openxmlformats.org/officeDocument/2006/relationships/hyperlink" Target="https://reklama.cncenter.cz/Online/mobilni-vineta" TargetMode="External"/><Relationship Id="rId1065" Type="http://schemas.openxmlformats.org/officeDocument/2006/relationships/hyperlink" Target="https://evropa2.cz/" TargetMode="External"/><Relationship Id="rId1272" Type="http://schemas.openxmlformats.org/officeDocument/2006/relationships/hyperlink" Target="https://fitweb.cz/" TargetMode="External"/><Relationship Id="rId2116" Type="http://schemas.openxmlformats.org/officeDocument/2006/relationships/hyperlink" Target="https://recepty.cz/" TargetMode="External"/><Relationship Id="rId2323" Type="http://schemas.openxmlformats.org/officeDocument/2006/relationships/hyperlink" Target="https://zeny.cz/" TargetMode="External"/><Relationship Id="rId502" Type="http://schemas.openxmlformats.org/officeDocument/2006/relationships/hyperlink" Target="https://reklama.cncenter.cz/Online/branding" TargetMode="External"/><Relationship Id="rId947" Type="http://schemas.openxmlformats.org/officeDocument/2006/relationships/hyperlink" Target="https://dama.cz/" TargetMode="External"/><Relationship Id="rId1132" Type="http://schemas.openxmlformats.org/officeDocument/2006/relationships/hyperlink" Target="https://reklama.cncenter.cz/Online/nativni-rectangle-cross-device" TargetMode="External"/><Relationship Id="rId1577" Type="http://schemas.openxmlformats.org/officeDocument/2006/relationships/hyperlink" Target="https://maminka.cz/" TargetMode="External"/><Relationship Id="rId1784" Type="http://schemas.openxmlformats.org/officeDocument/2006/relationships/hyperlink" Target="https://mojezdravi.cz/" TargetMode="External"/><Relationship Id="rId1991" Type="http://schemas.openxmlformats.org/officeDocument/2006/relationships/hyperlink" Target="https://www.poggers.cz/" TargetMode="External"/><Relationship Id="rId76" Type="http://schemas.openxmlformats.org/officeDocument/2006/relationships/hyperlink" Target="https://abicko.cz/" TargetMode="External"/><Relationship Id="rId807" Type="http://schemas.openxmlformats.org/officeDocument/2006/relationships/hyperlink" Target="https://digiarena.zive.cz/" TargetMode="External"/><Relationship Id="rId1437" Type="http://schemas.openxmlformats.org/officeDocument/2006/relationships/hyperlink" Target="http://www.instagram.com/" TargetMode="External"/><Relationship Id="rId1644" Type="http://schemas.openxmlformats.org/officeDocument/2006/relationships/hyperlink" Target="https://reklama.cncenter.cz/Online/billboard-bottom" TargetMode="External"/><Relationship Id="rId1851" Type="http://schemas.openxmlformats.org/officeDocument/2006/relationships/hyperlink" Target="https://motogpsport.cz/" TargetMode="External"/><Relationship Id="rId1504" Type="http://schemas.openxmlformats.org/officeDocument/2006/relationships/hyperlink" Target="https://reklama.cncenter.cz/Online/branding-cross-device" TargetMode="External"/><Relationship Id="rId1711" Type="http://schemas.openxmlformats.org/officeDocument/2006/relationships/hyperlink" Target="https://mobilmania.cz/" TargetMode="External"/><Relationship Id="rId1949" Type="http://schemas.openxmlformats.org/officeDocument/2006/relationships/hyperlink" Target="https://reklama.cncenter.cz/Online/double-skyscraper" TargetMode="External"/><Relationship Id="rId292" Type="http://schemas.openxmlformats.org/officeDocument/2006/relationships/hyperlink" Target="https://auto.cz/" TargetMode="External"/><Relationship Id="rId1809" Type="http://schemas.openxmlformats.org/officeDocument/2006/relationships/hyperlink" Target="https://mojezdravi.cz/" TargetMode="External"/><Relationship Id="rId597" Type="http://schemas.openxmlformats.org/officeDocument/2006/relationships/hyperlink" Target="https://bleskprozeny.cz/" TargetMode="External"/><Relationship Id="rId2180" Type="http://schemas.openxmlformats.org/officeDocument/2006/relationships/hyperlink" Target="https://reflex.cz/" TargetMode="External"/><Relationship Id="rId2278" Type="http://schemas.openxmlformats.org/officeDocument/2006/relationships/hyperlink" Target="https://vtm.zive.cz/" TargetMode="External"/><Relationship Id="rId152" Type="http://schemas.openxmlformats.org/officeDocument/2006/relationships/hyperlink" Target="https://www.activegroup.cz/reklama" TargetMode="External"/><Relationship Id="rId457" Type="http://schemas.openxmlformats.org/officeDocument/2006/relationships/hyperlink" Target="https://avmania.zive.cz/" TargetMode="External"/><Relationship Id="rId1087" Type="http://schemas.openxmlformats.org/officeDocument/2006/relationships/hyperlink" Target="https://f1sport.auto.cz/" TargetMode="External"/><Relationship Id="rId1294" Type="http://schemas.openxmlformats.org/officeDocument/2006/relationships/hyperlink" Target="https://heyfomo.cz/" TargetMode="External"/><Relationship Id="rId2040" Type="http://schemas.openxmlformats.org/officeDocument/2006/relationships/hyperlink" Target="https://www.realitnitrh.cz/" TargetMode="External"/><Relationship Id="rId2138" Type="http://schemas.openxmlformats.org/officeDocument/2006/relationships/hyperlink" Target="https://recepty.cz/" TargetMode="External"/><Relationship Id="rId664" Type="http://schemas.openxmlformats.org/officeDocument/2006/relationships/hyperlink" Target="https://reklama.cncenter.cz/Online/mobilni-interscroller" TargetMode="External"/><Relationship Id="rId871" Type="http://schemas.openxmlformats.org/officeDocument/2006/relationships/hyperlink" Target="https://reklama.cncenter.cz/Online/mobilni-slide-up" TargetMode="External"/><Relationship Id="rId969" Type="http://schemas.openxmlformats.org/officeDocument/2006/relationships/hyperlink" Target="https://reklama.cncenter.cz/Online/mobilni-interscroller" TargetMode="External"/><Relationship Id="rId1599" Type="http://schemas.openxmlformats.org/officeDocument/2006/relationships/hyperlink" Target="https://maminka.cz/" TargetMode="External"/><Relationship Id="rId2345" Type="http://schemas.openxmlformats.org/officeDocument/2006/relationships/hyperlink" Target="https://zeny.cz/" TargetMode="External"/><Relationship Id="rId317" Type="http://schemas.openxmlformats.org/officeDocument/2006/relationships/hyperlink" Target="https://auto.cz/" TargetMode="External"/><Relationship Id="rId524" Type="http://schemas.openxmlformats.org/officeDocument/2006/relationships/hyperlink" Target="https://blesk.cz/" TargetMode="External"/><Relationship Id="rId731" Type="http://schemas.openxmlformats.org/officeDocument/2006/relationships/hyperlink" Target="https://reklama.cncenter.cz/Online/branding" TargetMode="External"/><Relationship Id="rId1154" Type="http://schemas.openxmlformats.org/officeDocument/2006/relationships/hyperlink" Target="http://www.facebook.com/" TargetMode="External"/><Relationship Id="rId1361" Type="http://schemas.openxmlformats.org/officeDocument/2006/relationships/hyperlink" Target="https://hledejceny.cz/" TargetMode="External"/><Relationship Id="rId1459" Type="http://schemas.openxmlformats.org/officeDocument/2006/relationships/hyperlink" Target="http://www.instagram.com/" TargetMode="External"/><Relationship Id="rId2205" Type="http://schemas.openxmlformats.org/officeDocument/2006/relationships/hyperlink" Target="https://reflex.cz/" TargetMode="External"/><Relationship Id="rId2412" Type="http://schemas.openxmlformats.org/officeDocument/2006/relationships/hyperlink" Target="https://reklama.cncenter.cz/Online/branding" TargetMode="External"/><Relationship Id="rId98" Type="http://schemas.openxmlformats.org/officeDocument/2006/relationships/hyperlink" Target="https://reklama.cncenter.cz/Online/mobilni-slide-up" TargetMode="External"/><Relationship Id="rId829" Type="http://schemas.openxmlformats.org/officeDocument/2006/relationships/hyperlink" Target="https://digiarena.zive.cz/" TargetMode="External"/><Relationship Id="rId1014" Type="http://schemas.openxmlformats.org/officeDocument/2006/relationships/hyperlink" Target="https://reklama.cncenter.cz/Online/Videospot" TargetMode="External"/><Relationship Id="rId1221" Type="http://schemas.openxmlformats.org/officeDocument/2006/relationships/hyperlink" Target="https://finexpert.cz/" TargetMode="External"/><Relationship Id="rId1666" Type="http://schemas.openxmlformats.org/officeDocument/2006/relationships/hyperlink" Target="https://mobilmania.cz/" TargetMode="External"/><Relationship Id="rId1873" Type="http://schemas.openxmlformats.org/officeDocument/2006/relationships/hyperlink" Target="https://motogpsport.cz/" TargetMode="External"/><Relationship Id="rId1319" Type="http://schemas.openxmlformats.org/officeDocument/2006/relationships/hyperlink" Target="https://frekvence1.cz/" TargetMode="External"/><Relationship Id="rId1526" Type="http://schemas.openxmlformats.org/officeDocument/2006/relationships/hyperlink" Target="https://lideazeme.cz/" TargetMode="External"/><Relationship Id="rId1733" Type="http://schemas.openxmlformats.org/officeDocument/2006/relationships/hyperlink" Target="https://reklama.cncenter.cz/Online/Outstream" TargetMode="External"/><Relationship Id="rId1940" Type="http://schemas.openxmlformats.org/officeDocument/2006/relationships/hyperlink" Target="https://nemovitosti.blesk.cz/" TargetMode="External"/><Relationship Id="rId25" Type="http://schemas.openxmlformats.org/officeDocument/2006/relationships/hyperlink" Target="https://abecedazahrady.dama.cz/" TargetMode="External"/><Relationship Id="rId1800" Type="http://schemas.openxmlformats.org/officeDocument/2006/relationships/hyperlink" Target="https://reklama.cncenter.cz/Online/mobilni-interscroller" TargetMode="External"/><Relationship Id="rId174" Type="http://schemas.openxmlformats.org/officeDocument/2006/relationships/hyperlink" Target="https://reklama.cncenter.cz/Online/branding-cross-device" TargetMode="External"/><Relationship Id="rId381" Type="http://schemas.openxmlformats.org/officeDocument/2006/relationships/hyperlink" Target="https://autorevue.cz/" TargetMode="External"/><Relationship Id="rId2062" Type="http://schemas.openxmlformats.org/officeDocument/2006/relationships/hyperlink" Target="https://recepty.cz/" TargetMode="External"/><Relationship Id="rId241" Type="http://schemas.openxmlformats.org/officeDocument/2006/relationships/hyperlink" Target="https://auto.cz/" TargetMode="External"/><Relationship Id="rId479" Type="http://schemas.openxmlformats.org/officeDocument/2006/relationships/hyperlink" Target="https://blesk.cz/" TargetMode="External"/><Relationship Id="rId686" Type="http://schemas.openxmlformats.org/officeDocument/2006/relationships/hyperlink" Target="https://reklama.cncenter.cz/Online/double-skyscraper" TargetMode="External"/><Relationship Id="rId893" Type="http://schemas.openxmlformats.org/officeDocument/2006/relationships/hyperlink" Target="https://doupe.zive.cz/" TargetMode="External"/><Relationship Id="rId2367" Type="http://schemas.openxmlformats.org/officeDocument/2006/relationships/hyperlink" Target="https://zeny.cz/" TargetMode="External"/><Relationship Id="rId339" Type="http://schemas.openxmlformats.org/officeDocument/2006/relationships/hyperlink" Target="https://reklama.cncenter.cz/Online/billboard-bottom" TargetMode="External"/><Relationship Id="rId546" Type="http://schemas.openxmlformats.org/officeDocument/2006/relationships/hyperlink" Target="https://bleskprozeny.cz/" TargetMode="External"/><Relationship Id="rId753" Type="http://schemas.openxmlformats.org/officeDocument/2006/relationships/hyperlink" Target="https://reklama.cncenter.cz/Online/billboard-bottom" TargetMode="External"/><Relationship Id="rId1176" Type="http://schemas.openxmlformats.org/officeDocument/2006/relationships/hyperlink" Target="http://www.facebook.com/" TargetMode="External"/><Relationship Id="rId1383" Type="http://schemas.openxmlformats.org/officeDocument/2006/relationships/hyperlink" Target="http://www.instagram.com/" TargetMode="External"/><Relationship Id="rId2227" Type="http://schemas.openxmlformats.org/officeDocument/2006/relationships/hyperlink" Target="https://reflex.cz/" TargetMode="External"/><Relationship Id="rId2434" Type="http://schemas.openxmlformats.org/officeDocument/2006/relationships/hyperlink" Target="https://zive.cz/" TargetMode="External"/><Relationship Id="rId101" Type="http://schemas.openxmlformats.org/officeDocument/2006/relationships/hyperlink" Target="https://reklama.cncenter.cz/Online/mobilni-vineta" TargetMode="External"/><Relationship Id="rId406" Type="http://schemas.openxmlformats.org/officeDocument/2006/relationships/hyperlink" Target="https://reklama.cncenter.cz/Online/Bumper" TargetMode="External"/><Relationship Id="rId960" Type="http://schemas.openxmlformats.org/officeDocument/2006/relationships/hyperlink" Target="https://dama.cz/" TargetMode="External"/><Relationship Id="rId1036" Type="http://schemas.openxmlformats.org/officeDocument/2006/relationships/hyperlink" Target="https://reklama.cncenter.cz/Online/double-skyscraper" TargetMode="External"/><Relationship Id="rId1243" Type="http://schemas.openxmlformats.org/officeDocument/2006/relationships/hyperlink" Target="https://reklama.cncenter.cz/Online/branding" TargetMode="External"/><Relationship Id="rId1590" Type="http://schemas.openxmlformats.org/officeDocument/2006/relationships/hyperlink" Target="https://maminka.cz/" TargetMode="External"/><Relationship Id="rId1688" Type="http://schemas.openxmlformats.org/officeDocument/2006/relationships/hyperlink" Target="https://mobilmania.cz/" TargetMode="External"/><Relationship Id="rId1895" Type="http://schemas.openxmlformats.org/officeDocument/2006/relationships/hyperlink" Target="https://motogpsport.cz/" TargetMode="External"/><Relationship Id="rId613" Type="http://schemas.openxmlformats.org/officeDocument/2006/relationships/hyperlink" Target="https://reklama.cncenter.cz/Online/nativni-PR-premium" TargetMode="External"/><Relationship Id="rId820" Type="http://schemas.openxmlformats.org/officeDocument/2006/relationships/hyperlink" Target="https://digiarena.zive.cz/" TargetMode="External"/><Relationship Id="rId918" Type="http://schemas.openxmlformats.org/officeDocument/2006/relationships/hyperlink" Target="https://dama.cz/" TargetMode="External"/><Relationship Id="rId1450" Type="http://schemas.openxmlformats.org/officeDocument/2006/relationships/hyperlink" Target="http://www.instagram.com/" TargetMode="External"/><Relationship Id="rId1548" Type="http://schemas.openxmlformats.org/officeDocument/2006/relationships/hyperlink" Target="https://lideazeme.cz/" TargetMode="External"/><Relationship Id="rId1755" Type="http://schemas.openxmlformats.org/officeDocument/2006/relationships/hyperlink" Target="https://mojezdravi.cz/" TargetMode="External"/><Relationship Id="rId1103" Type="http://schemas.openxmlformats.org/officeDocument/2006/relationships/hyperlink" Target="https://f1sport.auto.cz/" TargetMode="External"/><Relationship Id="rId1310" Type="http://schemas.openxmlformats.org/officeDocument/2006/relationships/hyperlink" Target="https://frekvence1.cz/" TargetMode="External"/><Relationship Id="rId1408" Type="http://schemas.openxmlformats.org/officeDocument/2006/relationships/hyperlink" Target="http://www.instagram.com/" TargetMode="External"/><Relationship Id="rId1962" Type="http://schemas.openxmlformats.org/officeDocument/2006/relationships/hyperlink" Target="https://nemovitosti.blesk.cz/" TargetMode="External"/><Relationship Id="rId47" Type="http://schemas.openxmlformats.org/officeDocument/2006/relationships/hyperlink" Target="https://abecedazahrady.dama.cz/" TargetMode="External"/><Relationship Id="rId1615" Type="http://schemas.openxmlformats.org/officeDocument/2006/relationships/hyperlink" Target="https://maminka.cz/" TargetMode="External"/><Relationship Id="rId1822" Type="http://schemas.openxmlformats.org/officeDocument/2006/relationships/hyperlink" Target="https://mojezdravi.cz/" TargetMode="External"/><Relationship Id="rId196" Type="http://schemas.openxmlformats.org/officeDocument/2006/relationships/hyperlink" Target="https://ahaonline.cz/" TargetMode="External"/><Relationship Id="rId2084" Type="http://schemas.openxmlformats.org/officeDocument/2006/relationships/hyperlink" Target="https://recepty.cz/" TargetMode="External"/><Relationship Id="rId2291" Type="http://schemas.openxmlformats.org/officeDocument/2006/relationships/hyperlink" Target="https://vtm.zive.cz/" TargetMode="External"/><Relationship Id="rId263" Type="http://schemas.openxmlformats.org/officeDocument/2006/relationships/hyperlink" Target="https://auto.cz/" TargetMode="External"/><Relationship Id="rId470" Type="http://schemas.openxmlformats.org/officeDocument/2006/relationships/hyperlink" Target="https://avmania.zive.cz/" TargetMode="External"/><Relationship Id="rId2151" Type="http://schemas.openxmlformats.org/officeDocument/2006/relationships/hyperlink" Target="https://reklama.cncenter.cz/Online/billboard-bottom" TargetMode="External"/><Relationship Id="rId2389" Type="http://schemas.openxmlformats.org/officeDocument/2006/relationships/hyperlink" Target="https://reklama.cncenter.cz/Online/Outstream" TargetMode="External"/><Relationship Id="rId123" Type="http://schemas.openxmlformats.org/officeDocument/2006/relationships/hyperlink" Target="https://abicko.cz/" TargetMode="External"/><Relationship Id="rId330" Type="http://schemas.openxmlformats.org/officeDocument/2006/relationships/hyperlink" Target="https://reklama.cncenter.cz/Online/billboard-bottom" TargetMode="External"/><Relationship Id="rId568" Type="http://schemas.openxmlformats.org/officeDocument/2006/relationships/hyperlink" Target="https://bleskprozeny.cz/" TargetMode="External"/><Relationship Id="rId775" Type="http://schemas.openxmlformats.org/officeDocument/2006/relationships/hyperlink" Target="https://digiarena.zive.cz/" TargetMode="External"/><Relationship Id="rId982" Type="http://schemas.openxmlformats.org/officeDocument/2006/relationships/hyperlink" Target="https://dama.cz/" TargetMode="External"/><Relationship Id="rId1198" Type="http://schemas.openxmlformats.org/officeDocument/2006/relationships/hyperlink" Target="https://www.facebook.com/business/ads-guide/image/facebook-feed" TargetMode="External"/><Relationship Id="rId2011" Type="http://schemas.openxmlformats.org/officeDocument/2006/relationships/hyperlink" Target="https://www.realitnitrh.cz/" TargetMode="External"/><Relationship Id="rId2249" Type="http://schemas.openxmlformats.org/officeDocument/2006/relationships/hyperlink" Target="http://www.tiktok.com/" TargetMode="External"/><Relationship Id="rId2456" Type="http://schemas.openxmlformats.org/officeDocument/2006/relationships/hyperlink" Target="https://reklama.cncenter.cz/Online/mobilni-slide-up" TargetMode="External"/><Relationship Id="rId428" Type="http://schemas.openxmlformats.org/officeDocument/2006/relationships/hyperlink" Target="https://avmania.zive.cz/" TargetMode="External"/><Relationship Id="rId635" Type="http://schemas.openxmlformats.org/officeDocument/2006/relationships/hyperlink" Target="https://reklama.cncenter.cz/Online/billboard-bottom" TargetMode="External"/><Relationship Id="rId842" Type="http://schemas.openxmlformats.org/officeDocument/2006/relationships/hyperlink" Target="https://digiarena.zive.cz/" TargetMode="External"/><Relationship Id="rId1058" Type="http://schemas.openxmlformats.org/officeDocument/2006/relationships/hyperlink" Target="https://evropa2.cz/" TargetMode="External"/><Relationship Id="rId1265" Type="http://schemas.openxmlformats.org/officeDocument/2006/relationships/hyperlink" Target="https://fitweb.cz/" TargetMode="External"/><Relationship Id="rId1472" Type="http://schemas.openxmlformats.org/officeDocument/2006/relationships/hyperlink" Target="https://reklama.cncenter.cz/Online/Videospot" TargetMode="External"/><Relationship Id="rId2109" Type="http://schemas.openxmlformats.org/officeDocument/2006/relationships/hyperlink" Target="https://recepty.cz/" TargetMode="External"/><Relationship Id="rId2316" Type="http://schemas.openxmlformats.org/officeDocument/2006/relationships/hyperlink" Target="https://zeny.cz/" TargetMode="External"/><Relationship Id="rId702" Type="http://schemas.openxmlformats.org/officeDocument/2006/relationships/hyperlink" Target="https://reklama.cncenter.cz/Online/billboard-bottom" TargetMode="External"/><Relationship Id="rId1125" Type="http://schemas.openxmlformats.org/officeDocument/2006/relationships/hyperlink" Target="https://f1sport.auto.cz/" TargetMode="External"/><Relationship Id="rId1332" Type="http://schemas.openxmlformats.org/officeDocument/2006/relationships/hyperlink" Target="https://frekvence1.cz/" TargetMode="External"/><Relationship Id="rId1777" Type="http://schemas.openxmlformats.org/officeDocument/2006/relationships/hyperlink" Target="https://reklama.cncenter.cz/Online/mobilni-slide-up" TargetMode="External"/><Relationship Id="rId1984" Type="http://schemas.openxmlformats.org/officeDocument/2006/relationships/hyperlink" Target="https://nemovitosti.blesk.cz/" TargetMode="External"/><Relationship Id="rId69" Type="http://schemas.openxmlformats.org/officeDocument/2006/relationships/hyperlink" Target="https://abecedazahrady.dama.cz/" TargetMode="External"/><Relationship Id="rId1637" Type="http://schemas.openxmlformats.org/officeDocument/2006/relationships/hyperlink" Target="https://maminka.cz/" TargetMode="External"/><Relationship Id="rId1844" Type="http://schemas.openxmlformats.org/officeDocument/2006/relationships/hyperlink" Target="https://motogpsport.cz/" TargetMode="External"/><Relationship Id="rId1704" Type="http://schemas.openxmlformats.org/officeDocument/2006/relationships/hyperlink" Target="https://mobilmania.cz/" TargetMode="External"/><Relationship Id="rId285" Type="http://schemas.openxmlformats.org/officeDocument/2006/relationships/hyperlink" Target="https://reklama.cncenter.cz/Online/Bumper" TargetMode="External"/><Relationship Id="rId1911" Type="http://schemas.openxmlformats.org/officeDocument/2006/relationships/hyperlink" Target="http://nemovitosti.blesk.cz/" TargetMode="External"/><Relationship Id="rId492" Type="http://schemas.openxmlformats.org/officeDocument/2006/relationships/hyperlink" Target="https://blesk.cz/" TargetMode="External"/><Relationship Id="rId797" Type="http://schemas.openxmlformats.org/officeDocument/2006/relationships/hyperlink" Target="https://digiarena.zive.cz/" TargetMode="External"/><Relationship Id="rId2173" Type="http://schemas.openxmlformats.org/officeDocument/2006/relationships/hyperlink" Target="https://reflex.cz/" TargetMode="External"/><Relationship Id="rId2380" Type="http://schemas.openxmlformats.org/officeDocument/2006/relationships/hyperlink" Target="https://zeny.cz/" TargetMode="External"/><Relationship Id="rId2478" Type="http://schemas.openxmlformats.org/officeDocument/2006/relationships/hyperlink" Target="https://zive.cz/" TargetMode="External"/><Relationship Id="rId145" Type="http://schemas.openxmlformats.org/officeDocument/2006/relationships/hyperlink" Target="https://abicko.cz/" TargetMode="External"/><Relationship Id="rId352" Type="http://schemas.openxmlformats.org/officeDocument/2006/relationships/hyperlink" Target="https://autorevue.cz/" TargetMode="External"/><Relationship Id="rId1287" Type="http://schemas.openxmlformats.org/officeDocument/2006/relationships/hyperlink" Target="https://fitweb.cz/" TargetMode="External"/><Relationship Id="rId2033" Type="http://schemas.openxmlformats.org/officeDocument/2006/relationships/hyperlink" Target="https://www.realitnitrh.cz/" TargetMode="External"/><Relationship Id="rId2240" Type="http://schemas.openxmlformats.org/officeDocument/2006/relationships/hyperlink" Target="https://sportrevue.cz/" TargetMode="External"/><Relationship Id="rId212" Type="http://schemas.openxmlformats.org/officeDocument/2006/relationships/hyperlink" Target="https://reklama.cncenter.cz/Online/mobilni-slide-up" TargetMode="External"/><Relationship Id="rId657" Type="http://schemas.openxmlformats.org/officeDocument/2006/relationships/hyperlink" Target="https://reklama.cncenter.cz/Online/branding-cross-device" TargetMode="External"/><Relationship Id="rId864" Type="http://schemas.openxmlformats.org/officeDocument/2006/relationships/hyperlink" Target="https://doupe.zive.cz/" TargetMode="External"/><Relationship Id="rId1494" Type="http://schemas.openxmlformats.org/officeDocument/2006/relationships/hyperlink" Target="https://lideazeme.cz/" TargetMode="External"/><Relationship Id="rId1799" Type="http://schemas.openxmlformats.org/officeDocument/2006/relationships/hyperlink" Target="https://mojezdravi.cz/" TargetMode="External"/><Relationship Id="rId2100" Type="http://schemas.openxmlformats.org/officeDocument/2006/relationships/hyperlink" Target="https://reklama.cncenter.cz/Online/nativni-rectangle-cross-device" TargetMode="External"/><Relationship Id="rId2338" Type="http://schemas.openxmlformats.org/officeDocument/2006/relationships/hyperlink" Target="https://zeny.cz/" TargetMode="External"/><Relationship Id="rId517" Type="http://schemas.openxmlformats.org/officeDocument/2006/relationships/hyperlink" Target="https://reklama.cncenter.cz/Online/nativni-rectangle-cross-device" TargetMode="External"/><Relationship Id="rId724" Type="http://schemas.openxmlformats.org/officeDocument/2006/relationships/hyperlink" Target="https://reklama.cncenter.cz/Online/Smarticle" TargetMode="External"/><Relationship Id="rId931" Type="http://schemas.openxmlformats.org/officeDocument/2006/relationships/hyperlink" Target="https://reklama.cncenter.cz/Online/branding" TargetMode="External"/><Relationship Id="rId1147" Type="http://schemas.openxmlformats.org/officeDocument/2006/relationships/hyperlink" Target="https://www.facebook.com/business/ads-guide/image/facebook-feed" TargetMode="External"/><Relationship Id="rId1354" Type="http://schemas.openxmlformats.org/officeDocument/2006/relationships/hyperlink" Target="https://reklama.cncenter.cz/Online/heureka-wallpaper" TargetMode="External"/><Relationship Id="rId1561" Type="http://schemas.openxmlformats.org/officeDocument/2006/relationships/hyperlink" Target="https://reklama.cncenter.cz/Online/billboard-bottom" TargetMode="External"/><Relationship Id="rId2405" Type="http://schemas.openxmlformats.org/officeDocument/2006/relationships/hyperlink" Target="https://zive.cz/" TargetMode="External"/><Relationship Id="rId60" Type="http://schemas.openxmlformats.org/officeDocument/2006/relationships/hyperlink" Target="https://reklama.cncenter.cz/Online/Outstream" TargetMode="External"/><Relationship Id="rId1007" Type="http://schemas.openxmlformats.org/officeDocument/2006/relationships/hyperlink" Target="https://reklama.cncenter.cz/Online/mobilni-interscroller" TargetMode="External"/><Relationship Id="rId1214" Type="http://schemas.openxmlformats.org/officeDocument/2006/relationships/hyperlink" Target="http://www.facebook.com/" TargetMode="External"/><Relationship Id="rId1421" Type="http://schemas.openxmlformats.org/officeDocument/2006/relationships/hyperlink" Target="http://www.instagram.com/" TargetMode="External"/><Relationship Id="rId1659" Type="http://schemas.openxmlformats.org/officeDocument/2006/relationships/hyperlink" Target="https://reklama.cncenter.cz/Online/mobilni-slide-up" TargetMode="External"/><Relationship Id="rId1866" Type="http://schemas.openxmlformats.org/officeDocument/2006/relationships/hyperlink" Target="https://motogpsport.cz/" TargetMode="External"/><Relationship Id="rId1519" Type="http://schemas.openxmlformats.org/officeDocument/2006/relationships/hyperlink" Target="https://reklama.cncenter.cz/Online/mobilni-vineta" TargetMode="External"/><Relationship Id="rId1726" Type="http://schemas.openxmlformats.org/officeDocument/2006/relationships/hyperlink" Target="https://mobilmania.cz/" TargetMode="External"/><Relationship Id="rId1933" Type="http://schemas.openxmlformats.org/officeDocument/2006/relationships/hyperlink" Target="https://nemovitosti.blesk.cz/" TargetMode="External"/><Relationship Id="rId18" Type="http://schemas.openxmlformats.org/officeDocument/2006/relationships/hyperlink" Target="https://abecedazahrady.dama.cz/" TargetMode="External"/><Relationship Id="rId2195" Type="http://schemas.openxmlformats.org/officeDocument/2006/relationships/hyperlink" Target="https://reflex.cz/" TargetMode="External"/><Relationship Id="rId167" Type="http://schemas.openxmlformats.org/officeDocument/2006/relationships/hyperlink" Target="https://ahaonline.cz/" TargetMode="External"/><Relationship Id="rId374" Type="http://schemas.openxmlformats.org/officeDocument/2006/relationships/hyperlink" Target="https://reklama.cncenter.cz/Online/double-skyscraper" TargetMode="External"/><Relationship Id="rId581" Type="http://schemas.openxmlformats.org/officeDocument/2006/relationships/hyperlink" Target="https://bleskprozeny.cz/" TargetMode="External"/><Relationship Id="rId2055" Type="http://schemas.openxmlformats.org/officeDocument/2006/relationships/hyperlink" Target="https://www.realitnitrh.cz/" TargetMode="External"/><Relationship Id="rId2262" Type="http://schemas.openxmlformats.org/officeDocument/2006/relationships/hyperlink" Target="https://reklama.cncenter.cz/Online/billboard-bottom" TargetMode="External"/><Relationship Id="rId234" Type="http://schemas.openxmlformats.org/officeDocument/2006/relationships/hyperlink" Target="https://ahaonline.cz/" TargetMode="External"/><Relationship Id="rId679" Type="http://schemas.openxmlformats.org/officeDocument/2006/relationships/hyperlink" Target="https://reklama.cncenter.cz/Online/Bumper" TargetMode="External"/><Relationship Id="rId886" Type="http://schemas.openxmlformats.org/officeDocument/2006/relationships/hyperlink" Target="https://doupe.zive.cz/" TargetMode="External"/><Relationship Id="rId2" Type="http://schemas.openxmlformats.org/officeDocument/2006/relationships/hyperlink" Target="https://abecedazahrady.dama.cz/" TargetMode="External"/><Relationship Id="rId441" Type="http://schemas.openxmlformats.org/officeDocument/2006/relationships/hyperlink" Target="https://reklama.cncenter.cz/Online/nativni-rectangle-cross-device" TargetMode="External"/><Relationship Id="rId539" Type="http://schemas.openxmlformats.org/officeDocument/2006/relationships/hyperlink" Target="https://blesk.cz/" TargetMode="External"/><Relationship Id="rId746" Type="http://schemas.openxmlformats.org/officeDocument/2006/relationships/hyperlink" Target="https://reklama.cncenter.cz/Online/nativni-rectangle-cross-device" TargetMode="External"/><Relationship Id="rId1071" Type="http://schemas.openxmlformats.org/officeDocument/2006/relationships/hyperlink" Target="https://evropa2.cz/" TargetMode="External"/><Relationship Id="rId1169" Type="http://schemas.openxmlformats.org/officeDocument/2006/relationships/hyperlink" Target="http://www.facebook.com/" TargetMode="External"/><Relationship Id="rId1376" Type="http://schemas.openxmlformats.org/officeDocument/2006/relationships/hyperlink" Target="https://hledejceny.cz/" TargetMode="External"/><Relationship Id="rId1583" Type="http://schemas.openxmlformats.org/officeDocument/2006/relationships/hyperlink" Target="https://maminka.cz/" TargetMode="External"/><Relationship Id="rId2122" Type="http://schemas.openxmlformats.org/officeDocument/2006/relationships/hyperlink" Target="https://recepty.cz/" TargetMode="External"/><Relationship Id="rId2427" Type="http://schemas.openxmlformats.org/officeDocument/2006/relationships/hyperlink" Target="https://reklama.cncenter.cz/Online/mobilni-interscroller" TargetMode="External"/><Relationship Id="rId301" Type="http://schemas.openxmlformats.org/officeDocument/2006/relationships/hyperlink" Target="https://auto.cz/" TargetMode="External"/><Relationship Id="rId953" Type="http://schemas.openxmlformats.org/officeDocument/2006/relationships/hyperlink" Target="https://dama.cz/" TargetMode="External"/><Relationship Id="rId1029" Type="http://schemas.openxmlformats.org/officeDocument/2006/relationships/hyperlink" Target="https://evropa2.cz/" TargetMode="External"/><Relationship Id="rId1236" Type="http://schemas.openxmlformats.org/officeDocument/2006/relationships/hyperlink" Target="https://fitweb.cz/" TargetMode="External"/><Relationship Id="rId1790" Type="http://schemas.openxmlformats.org/officeDocument/2006/relationships/hyperlink" Target="https://mojezdravi.cz/" TargetMode="External"/><Relationship Id="rId1888" Type="http://schemas.openxmlformats.org/officeDocument/2006/relationships/hyperlink" Target="https://motogpsport.cz/" TargetMode="External"/><Relationship Id="rId82" Type="http://schemas.openxmlformats.org/officeDocument/2006/relationships/hyperlink" Target="https://abicko.cz/" TargetMode="External"/><Relationship Id="rId606" Type="http://schemas.openxmlformats.org/officeDocument/2006/relationships/hyperlink" Target="https://bleskprozeny.cz/" TargetMode="External"/><Relationship Id="rId813" Type="http://schemas.openxmlformats.org/officeDocument/2006/relationships/hyperlink" Target="https://digiarena.zive.cz/" TargetMode="External"/><Relationship Id="rId1443" Type="http://schemas.openxmlformats.org/officeDocument/2006/relationships/hyperlink" Target="http://www.instagram.com/" TargetMode="External"/><Relationship Id="rId1650" Type="http://schemas.openxmlformats.org/officeDocument/2006/relationships/hyperlink" Target="https://reklama.cncenter.cz/Online/double-skyscraper" TargetMode="External"/><Relationship Id="rId1748" Type="http://schemas.openxmlformats.org/officeDocument/2006/relationships/hyperlink" Target="https://mojezdravi.cz/" TargetMode="External"/><Relationship Id="rId1303" Type="http://schemas.openxmlformats.org/officeDocument/2006/relationships/hyperlink" Target="https://heyfomo.cz/" TargetMode="External"/><Relationship Id="rId1510" Type="http://schemas.openxmlformats.org/officeDocument/2006/relationships/hyperlink" Target="https://reklama.cncenter.cz/Online/double-skyscraper" TargetMode="External"/><Relationship Id="rId1955" Type="http://schemas.openxmlformats.org/officeDocument/2006/relationships/hyperlink" Target="https://nemovitosti.blesk.cz/" TargetMode="External"/><Relationship Id="rId1608" Type="http://schemas.openxmlformats.org/officeDocument/2006/relationships/hyperlink" Target="https://reklama.cncenter.cz/Online/double-skyscraper" TargetMode="External"/><Relationship Id="rId1815" Type="http://schemas.openxmlformats.org/officeDocument/2006/relationships/hyperlink" Target="https://mojezdravi.cz/" TargetMode="External"/><Relationship Id="rId189" Type="http://schemas.openxmlformats.org/officeDocument/2006/relationships/hyperlink" Target="https://reklama.cncenter.cz/Online/mobilni-vineta" TargetMode="External"/><Relationship Id="rId396" Type="http://schemas.openxmlformats.org/officeDocument/2006/relationships/hyperlink" Target="https://autorevue.cz/" TargetMode="External"/><Relationship Id="rId2077" Type="http://schemas.openxmlformats.org/officeDocument/2006/relationships/hyperlink" Target="https://recepty.cz/" TargetMode="External"/><Relationship Id="rId2284" Type="http://schemas.openxmlformats.org/officeDocument/2006/relationships/hyperlink" Target="https://vtm.zive.cz/" TargetMode="External"/><Relationship Id="rId256" Type="http://schemas.openxmlformats.org/officeDocument/2006/relationships/hyperlink" Target="https://auto.cz/" TargetMode="External"/><Relationship Id="rId463" Type="http://schemas.openxmlformats.org/officeDocument/2006/relationships/hyperlink" Target="https://reklama.cncenter.cz/Online/nativni-rectangle-cross-device" TargetMode="External"/><Relationship Id="rId670" Type="http://schemas.openxmlformats.org/officeDocument/2006/relationships/hyperlink" Target="https://reklama.cncenter.cz/Online/Bumper" TargetMode="External"/><Relationship Id="rId1093" Type="http://schemas.openxmlformats.org/officeDocument/2006/relationships/hyperlink" Target="https://f1sport.auto.cz/" TargetMode="External"/><Relationship Id="rId2144" Type="http://schemas.openxmlformats.org/officeDocument/2006/relationships/hyperlink" Target="https://recepty.cz/" TargetMode="External"/><Relationship Id="rId2351" Type="http://schemas.openxmlformats.org/officeDocument/2006/relationships/hyperlink" Target="https://zeny.cz/" TargetMode="External"/><Relationship Id="rId116" Type="http://schemas.openxmlformats.org/officeDocument/2006/relationships/hyperlink" Target="https://abicko.cz/" TargetMode="External"/><Relationship Id="rId323" Type="http://schemas.openxmlformats.org/officeDocument/2006/relationships/hyperlink" Target="https://auto.cz/" TargetMode="External"/><Relationship Id="rId530" Type="http://schemas.openxmlformats.org/officeDocument/2006/relationships/hyperlink" Target="https://blesk.cz/" TargetMode="External"/><Relationship Id="rId768" Type="http://schemas.openxmlformats.org/officeDocument/2006/relationships/hyperlink" Target="https://reklama.cncenter.cz/Online/mobilni-slide-up" TargetMode="External"/><Relationship Id="rId975" Type="http://schemas.openxmlformats.org/officeDocument/2006/relationships/hyperlink" Target="https://reklama.cncenter.cz/Online/mobilni-vineta" TargetMode="External"/><Relationship Id="rId1160" Type="http://schemas.openxmlformats.org/officeDocument/2006/relationships/hyperlink" Target="http://www.facebook.com/" TargetMode="External"/><Relationship Id="rId1398" Type="http://schemas.openxmlformats.org/officeDocument/2006/relationships/hyperlink" Target="http://www.instagram.com/" TargetMode="External"/><Relationship Id="rId2004" Type="http://schemas.openxmlformats.org/officeDocument/2006/relationships/hyperlink" Target="https://reklama.cncenter.cz/Online/branding-cross-device" TargetMode="External"/><Relationship Id="rId2211" Type="http://schemas.openxmlformats.org/officeDocument/2006/relationships/hyperlink" Target="https://reflex.cz/" TargetMode="External"/><Relationship Id="rId2449" Type="http://schemas.openxmlformats.org/officeDocument/2006/relationships/hyperlink" Target="https://zive.cz/" TargetMode="External"/><Relationship Id="rId628" Type="http://schemas.openxmlformats.org/officeDocument/2006/relationships/hyperlink" Target="https://bleskprozeny.cz/" TargetMode="External"/><Relationship Id="rId835" Type="http://schemas.openxmlformats.org/officeDocument/2006/relationships/hyperlink" Target="https://digiarena.zive.cz/" TargetMode="External"/><Relationship Id="rId1258" Type="http://schemas.openxmlformats.org/officeDocument/2006/relationships/hyperlink" Target="https://reklama.cncenter.cz/Online/mobilni-interscroller" TargetMode="External"/><Relationship Id="rId1465" Type="http://schemas.openxmlformats.org/officeDocument/2006/relationships/hyperlink" Target="https://reklama.cncenter.cz/Online/billboard-bottom" TargetMode="External"/><Relationship Id="rId1672" Type="http://schemas.openxmlformats.org/officeDocument/2006/relationships/hyperlink" Target="https://reklama.cncenter.cz/Online/branding-cross-device" TargetMode="External"/><Relationship Id="rId2309" Type="http://schemas.openxmlformats.org/officeDocument/2006/relationships/hyperlink" Target="https://youradio.cz/" TargetMode="External"/><Relationship Id="rId1020" Type="http://schemas.openxmlformats.org/officeDocument/2006/relationships/hyperlink" Target="https://reklama.cncenter.cz/?ads=PR%2520%25C4%258Dl%25C3%25A1nky" TargetMode="External"/><Relationship Id="rId1118" Type="http://schemas.openxmlformats.org/officeDocument/2006/relationships/hyperlink" Target="https://reklama.cncenter.cz/Online/double-skyscraper" TargetMode="External"/><Relationship Id="rId1325" Type="http://schemas.openxmlformats.org/officeDocument/2006/relationships/hyperlink" Target="https://frekvence1.cz/" TargetMode="External"/><Relationship Id="rId1532" Type="http://schemas.openxmlformats.org/officeDocument/2006/relationships/hyperlink" Target="https://lideazeme.cz/" TargetMode="External"/><Relationship Id="rId1977" Type="http://schemas.openxmlformats.org/officeDocument/2006/relationships/hyperlink" Target="https://nemovitosti.blesk.cz/" TargetMode="External"/><Relationship Id="rId902" Type="http://schemas.openxmlformats.org/officeDocument/2006/relationships/hyperlink" Target="https://reklama.cncenter.cz/Online/Outstream" TargetMode="External"/><Relationship Id="rId1837" Type="http://schemas.openxmlformats.org/officeDocument/2006/relationships/hyperlink" Target="https://reklama.cncenter.cz/Online/branding" TargetMode="External"/><Relationship Id="rId31" Type="http://schemas.openxmlformats.org/officeDocument/2006/relationships/hyperlink" Target="https://abecedazahrady.dama.cz/" TargetMode="External"/><Relationship Id="rId2099" Type="http://schemas.openxmlformats.org/officeDocument/2006/relationships/hyperlink" Target="https://recepty.cz/" TargetMode="External"/><Relationship Id="rId180" Type="http://schemas.openxmlformats.org/officeDocument/2006/relationships/hyperlink" Target="https://reklama.cncenter.cz/Online/double-skyscraper" TargetMode="External"/><Relationship Id="rId278" Type="http://schemas.openxmlformats.org/officeDocument/2006/relationships/hyperlink" Target="https://auto.cz/" TargetMode="External"/><Relationship Id="rId1904" Type="http://schemas.openxmlformats.org/officeDocument/2006/relationships/hyperlink" Target="https://nemovitosti.blesk.cz/" TargetMode="External"/><Relationship Id="rId485" Type="http://schemas.openxmlformats.org/officeDocument/2006/relationships/hyperlink" Target="https://blesk.cz/" TargetMode="External"/><Relationship Id="rId692" Type="http://schemas.openxmlformats.org/officeDocument/2006/relationships/hyperlink" Target="https://reklama.cncenter.cz/Online/Smarticle" TargetMode="External"/><Relationship Id="rId2166" Type="http://schemas.openxmlformats.org/officeDocument/2006/relationships/hyperlink" Target="https://reklama.cncenter.cz/Online/branding" TargetMode="External"/><Relationship Id="rId2373" Type="http://schemas.openxmlformats.org/officeDocument/2006/relationships/hyperlink" Target="https://zeny.cz/" TargetMode="External"/><Relationship Id="rId138" Type="http://schemas.openxmlformats.org/officeDocument/2006/relationships/hyperlink" Target="https://reklama.cncenter.cz/Online/Outstream" TargetMode="External"/><Relationship Id="rId345" Type="http://schemas.openxmlformats.org/officeDocument/2006/relationships/hyperlink" Target="https://reklama.cncenter.cz/Online/branding" TargetMode="External"/><Relationship Id="rId552" Type="http://schemas.openxmlformats.org/officeDocument/2006/relationships/hyperlink" Target="https://reklama.cncenter.cz/Online/branding-cross-device" TargetMode="External"/><Relationship Id="rId997" Type="http://schemas.openxmlformats.org/officeDocument/2006/relationships/hyperlink" Target="https://dama.cz/" TargetMode="External"/><Relationship Id="rId1182" Type="http://schemas.openxmlformats.org/officeDocument/2006/relationships/hyperlink" Target="http://www.facebook.com/" TargetMode="External"/><Relationship Id="rId2026" Type="http://schemas.openxmlformats.org/officeDocument/2006/relationships/hyperlink" Target="https://www.realitnitrh.cz/" TargetMode="External"/><Relationship Id="rId2233" Type="http://schemas.openxmlformats.org/officeDocument/2006/relationships/hyperlink" Target="https://reklama.cncenter.cz/Online/Bumper" TargetMode="External"/><Relationship Id="rId2440" Type="http://schemas.openxmlformats.org/officeDocument/2006/relationships/hyperlink" Target="https://zive.cz/" TargetMode="External"/><Relationship Id="rId205" Type="http://schemas.openxmlformats.org/officeDocument/2006/relationships/hyperlink" Target="https://ahaonline.cz/" TargetMode="External"/><Relationship Id="rId412" Type="http://schemas.openxmlformats.org/officeDocument/2006/relationships/hyperlink" Target="https://avmania.zive.cz/" TargetMode="External"/><Relationship Id="rId857" Type="http://schemas.openxmlformats.org/officeDocument/2006/relationships/hyperlink" Target="https://doupe.zive.cz/" TargetMode="External"/><Relationship Id="rId1042" Type="http://schemas.openxmlformats.org/officeDocument/2006/relationships/hyperlink" Target="https://reklama.cncenter.cz/Online/mobilni-interscroller" TargetMode="External"/><Relationship Id="rId1487" Type="http://schemas.openxmlformats.org/officeDocument/2006/relationships/hyperlink" Target="https://reklama.cncenter.cz/Online/Bumper" TargetMode="External"/><Relationship Id="rId1694" Type="http://schemas.openxmlformats.org/officeDocument/2006/relationships/hyperlink" Target="https://mobilmania.cz/" TargetMode="External"/><Relationship Id="rId2300" Type="http://schemas.openxmlformats.org/officeDocument/2006/relationships/hyperlink" Target="https://vtm.zive.cz/" TargetMode="External"/><Relationship Id="rId717" Type="http://schemas.openxmlformats.org/officeDocument/2006/relationships/hyperlink" Target="https://reklama.cncenter.cz/Online/double-skyscraper" TargetMode="External"/><Relationship Id="rId924" Type="http://schemas.openxmlformats.org/officeDocument/2006/relationships/hyperlink" Target="https://dama.cz/" TargetMode="External"/><Relationship Id="rId1347" Type="http://schemas.openxmlformats.org/officeDocument/2006/relationships/hyperlink" Target="https://frekvence1.cz/" TargetMode="External"/><Relationship Id="rId1554" Type="http://schemas.openxmlformats.org/officeDocument/2006/relationships/hyperlink" Target="https://lideazeme.cz/" TargetMode="External"/><Relationship Id="rId1761" Type="http://schemas.openxmlformats.org/officeDocument/2006/relationships/hyperlink" Target="https://mojezdravi.cz/" TargetMode="External"/><Relationship Id="rId1999" Type="http://schemas.openxmlformats.org/officeDocument/2006/relationships/hyperlink" Target="https://www.realitnitrh.cz/" TargetMode="External"/><Relationship Id="rId53" Type="http://schemas.openxmlformats.org/officeDocument/2006/relationships/hyperlink" Target="https://abecedazahrady.dama.cz/" TargetMode="External"/><Relationship Id="rId1207" Type="http://schemas.openxmlformats.org/officeDocument/2006/relationships/hyperlink" Target="https://www.facebook.com/business/ads-guide/image/facebook-feed" TargetMode="External"/><Relationship Id="rId1414" Type="http://schemas.openxmlformats.org/officeDocument/2006/relationships/hyperlink" Target="http://www.instagram.com/" TargetMode="External"/><Relationship Id="rId1621" Type="http://schemas.openxmlformats.org/officeDocument/2006/relationships/hyperlink" Target="https://maminka.cz/" TargetMode="External"/><Relationship Id="rId1859" Type="http://schemas.openxmlformats.org/officeDocument/2006/relationships/hyperlink" Target="https://motogpsport.cz/" TargetMode="External"/><Relationship Id="rId1719" Type="http://schemas.openxmlformats.org/officeDocument/2006/relationships/hyperlink" Target="https://reklama.cncenter.cz/Online/mobilni-slide-up" TargetMode="External"/><Relationship Id="rId1926" Type="http://schemas.openxmlformats.org/officeDocument/2006/relationships/hyperlink" Target="https://reklama.cncenter.cz/Online/double-skyscraper" TargetMode="External"/><Relationship Id="rId2090" Type="http://schemas.openxmlformats.org/officeDocument/2006/relationships/hyperlink" Target="https://recepty.cz/" TargetMode="External"/><Relationship Id="rId2188" Type="http://schemas.openxmlformats.org/officeDocument/2006/relationships/hyperlink" Target="https://reflex.cz/" TargetMode="External"/><Relationship Id="rId2395" Type="http://schemas.openxmlformats.org/officeDocument/2006/relationships/hyperlink" Target="https://zeny.cz/" TargetMode="External"/><Relationship Id="rId367" Type="http://schemas.openxmlformats.org/officeDocument/2006/relationships/hyperlink" Target="https://autorevue.cz/" TargetMode="External"/><Relationship Id="rId574" Type="http://schemas.openxmlformats.org/officeDocument/2006/relationships/hyperlink" Target="https://bleskprozeny.cz/" TargetMode="External"/><Relationship Id="rId2048" Type="http://schemas.openxmlformats.org/officeDocument/2006/relationships/hyperlink" Target="https://www.realitnitrh.cz/" TargetMode="External"/><Relationship Id="rId2255" Type="http://schemas.openxmlformats.org/officeDocument/2006/relationships/hyperlink" Target="https://vtm.zive.cz/" TargetMode="External"/><Relationship Id="rId227" Type="http://schemas.openxmlformats.org/officeDocument/2006/relationships/hyperlink" Target="https://ahaonline.cz/" TargetMode="External"/><Relationship Id="rId781" Type="http://schemas.openxmlformats.org/officeDocument/2006/relationships/hyperlink" Target="https://reklama.cncenter.cz/Online/branding-cross-device" TargetMode="External"/><Relationship Id="rId879" Type="http://schemas.openxmlformats.org/officeDocument/2006/relationships/hyperlink" Target="https://doupe.zive.cz/" TargetMode="External"/><Relationship Id="rId2462" Type="http://schemas.openxmlformats.org/officeDocument/2006/relationships/hyperlink" Target="https://zive.cz/" TargetMode="External"/><Relationship Id="rId434" Type="http://schemas.openxmlformats.org/officeDocument/2006/relationships/hyperlink" Target="https://avmania.zive.cz/" TargetMode="External"/><Relationship Id="rId641" Type="http://schemas.openxmlformats.org/officeDocument/2006/relationships/hyperlink" Target="https://reklama.cncenter.cz/Online/mobilni-slide-up" TargetMode="External"/><Relationship Id="rId739" Type="http://schemas.openxmlformats.org/officeDocument/2006/relationships/hyperlink" Target="https://reklama.cncenter.cz/Online/Smarticle" TargetMode="External"/><Relationship Id="rId1064" Type="http://schemas.openxmlformats.org/officeDocument/2006/relationships/hyperlink" Target="https://evropa2.cz/" TargetMode="External"/><Relationship Id="rId1271" Type="http://schemas.openxmlformats.org/officeDocument/2006/relationships/hyperlink" Target="https://fitweb.cz/" TargetMode="External"/><Relationship Id="rId1369" Type="http://schemas.openxmlformats.org/officeDocument/2006/relationships/hyperlink" Target="https://reklama.cncenter.cz/Online/branding-cross-device" TargetMode="External"/><Relationship Id="rId1576" Type="http://schemas.openxmlformats.org/officeDocument/2006/relationships/hyperlink" Target="https://reklama.cncenter.cz/Online/branding" TargetMode="External"/><Relationship Id="rId2115" Type="http://schemas.openxmlformats.org/officeDocument/2006/relationships/hyperlink" Target="https://recepty.cz/" TargetMode="External"/><Relationship Id="rId2322" Type="http://schemas.openxmlformats.org/officeDocument/2006/relationships/hyperlink" Target="https://reklama.cncenter.cz/Online/branding-cross-device" TargetMode="External"/><Relationship Id="rId501" Type="http://schemas.openxmlformats.org/officeDocument/2006/relationships/hyperlink" Target="https://reklama.cncenter.cz/Online/branding-cross-device" TargetMode="External"/><Relationship Id="rId946" Type="http://schemas.openxmlformats.org/officeDocument/2006/relationships/hyperlink" Target="https://reklama.cncenter.cz/Online/mobilni-vineta" TargetMode="External"/><Relationship Id="rId1131" Type="http://schemas.openxmlformats.org/officeDocument/2006/relationships/hyperlink" Target="https://f1sport.auto.cz/" TargetMode="External"/><Relationship Id="rId1229" Type="http://schemas.openxmlformats.org/officeDocument/2006/relationships/hyperlink" Target="https://finexpert.cz/" TargetMode="External"/><Relationship Id="rId1783" Type="http://schemas.openxmlformats.org/officeDocument/2006/relationships/hyperlink" Target="https://reklama.cncenter.cz/Online/nativni-rectangle-cross-device" TargetMode="External"/><Relationship Id="rId1990" Type="http://schemas.openxmlformats.org/officeDocument/2006/relationships/hyperlink" Target="https://reklama.cncenter.cz/Online/branding-cross-device" TargetMode="External"/><Relationship Id="rId75" Type="http://schemas.openxmlformats.org/officeDocument/2006/relationships/hyperlink" Target="https://abicko.cz/" TargetMode="External"/><Relationship Id="rId806" Type="http://schemas.openxmlformats.org/officeDocument/2006/relationships/hyperlink" Target="https://digiarena.zive.cz/" TargetMode="External"/><Relationship Id="rId1436" Type="http://schemas.openxmlformats.org/officeDocument/2006/relationships/hyperlink" Target="http://www.instagram.com/" TargetMode="External"/><Relationship Id="rId1643" Type="http://schemas.openxmlformats.org/officeDocument/2006/relationships/hyperlink" Target="https://reklama.cncenter.cz/Online/Bumper" TargetMode="External"/><Relationship Id="rId1850" Type="http://schemas.openxmlformats.org/officeDocument/2006/relationships/hyperlink" Target="https://motogpsport.cz/" TargetMode="External"/><Relationship Id="rId1503" Type="http://schemas.openxmlformats.org/officeDocument/2006/relationships/hyperlink" Target="https://lideazeme.cz/" TargetMode="External"/><Relationship Id="rId1710" Type="http://schemas.openxmlformats.org/officeDocument/2006/relationships/hyperlink" Target="https://mobilmania.cz/" TargetMode="External"/><Relationship Id="rId1948" Type="http://schemas.openxmlformats.org/officeDocument/2006/relationships/hyperlink" Target="https://nemovitosti.blesk.cz/" TargetMode="External"/><Relationship Id="rId291" Type="http://schemas.openxmlformats.org/officeDocument/2006/relationships/hyperlink" Target="https://auto.cz/" TargetMode="External"/><Relationship Id="rId1808" Type="http://schemas.openxmlformats.org/officeDocument/2006/relationships/hyperlink" Target="https://mojezdravi.cz/" TargetMode="External"/><Relationship Id="rId151" Type="http://schemas.openxmlformats.org/officeDocument/2006/relationships/hyperlink" Target="https://www.activegroup.cz/reklama" TargetMode="External"/><Relationship Id="rId389" Type="http://schemas.openxmlformats.org/officeDocument/2006/relationships/hyperlink" Target="https://autorevue.cz/" TargetMode="External"/><Relationship Id="rId596" Type="http://schemas.openxmlformats.org/officeDocument/2006/relationships/hyperlink" Target="https://reklama.cncenter.cz/Online/double-skyscraper" TargetMode="External"/><Relationship Id="rId2277" Type="http://schemas.openxmlformats.org/officeDocument/2006/relationships/hyperlink" Target="https://reklama.cncenter.cz/Online/mobilni-slide-up" TargetMode="External"/><Relationship Id="rId249" Type="http://schemas.openxmlformats.org/officeDocument/2006/relationships/hyperlink" Target="https://reklama.cncenter.cz/Online/branding" TargetMode="External"/><Relationship Id="rId456" Type="http://schemas.openxmlformats.org/officeDocument/2006/relationships/hyperlink" Target="https://avmania.zive.cz/" TargetMode="External"/><Relationship Id="rId663" Type="http://schemas.openxmlformats.org/officeDocument/2006/relationships/hyperlink" Target="https://reklama.cncenter.cz/Online/Videospot" TargetMode="External"/><Relationship Id="rId870" Type="http://schemas.openxmlformats.org/officeDocument/2006/relationships/hyperlink" Target="https://doupe.zive.cz/" TargetMode="External"/><Relationship Id="rId1086" Type="http://schemas.openxmlformats.org/officeDocument/2006/relationships/hyperlink" Target="https://reklama.cncenter.cz/Online/branding" TargetMode="External"/><Relationship Id="rId1293" Type="http://schemas.openxmlformats.org/officeDocument/2006/relationships/hyperlink" Target="https://heyfomo.cz/" TargetMode="External"/><Relationship Id="rId2137" Type="http://schemas.openxmlformats.org/officeDocument/2006/relationships/hyperlink" Target="https://reklama.cncenter.cz/?ads=PR%2520%25C4%258Dl%25C3%25A1nky" TargetMode="External"/><Relationship Id="rId2344" Type="http://schemas.openxmlformats.org/officeDocument/2006/relationships/hyperlink" Target="https://zeny.cz/" TargetMode="External"/><Relationship Id="rId109" Type="http://schemas.openxmlformats.org/officeDocument/2006/relationships/hyperlink" Target="https://abicko.cz/" TargetMode="External"/><Relationship Id="rId316" Type="http://schemas.openxmlformats.org/officeDocument/2006/relationships/hyperlink" Target="https://reklama.cncenter.cz/?ads=PR%2520%25C4%258Dl%25C3%25A1nky" TargetMode="External"/><Relationship Id="rId523" Type="http://schemas.openxmlformats.org/officeDocument/2006/relationships/hyperlink" Target="https://reklama.cncenter.cz/Online/branding-cross-device" TargetMode="External"/><Relationship Id="rId968" Type="http://schemas.openxmlformats.org/officeDocument/2006/relationships/hyperlink" Target="https://dama.cz/" TargetMode="External"/><Relationship Id="rId1153" Type="http://schemas.openxmlformats.org/officeDocument/2006/relationships/hyperlink" Target="https://www.facebook.com/business/ads-guide/image/facebook-feed" TargetMode="External"/><Relationship Id="rId1598" Type="http://schemas.openxmlformats.org/officeDocument/2006/relationships/hyperlink" Target="https://maminka.cz/" TargetMode="External"/><Relationship Id="rId2204" Type="http://schemas.openxmlformats.org/officeDocument/2006/relationships/hyperlink" Target="https://reklama.cncenter.cz/Online/mobilni-interscroller" TargetMode="External"/><Relationship Id="rId97" Type="http://schemas.openxmlformats.org/officeDocument/2006/relationships/hyperlink" Target="https://abicko.cz/" TargetMode="External"/><Relationship Id="rId730" Type="http://schemas.openxmlformats.org/officeDocument/2006/relationships/hyperlink" Target="https://reklama.cncenter.cz/Online/branding-cross-device" TargetMode="External"/><Relationship Id="rId828" Type="http://schemas.openxmlformats.org/officeDocument/2006/relationships/hyperlink" Target="https://digiarena.zive.cz/" TargetMode="External"/><Relationship Id="rId1013" Type="http://schemas.openxmlformats.org/officeDocument/2006/relationships/hyperlink" Target="https://reklama.cncenter.cz/Online/double-skyscraper" TargetMode="External"/><Relationship Id="rId1360" Type="http://schemas.openxmlformats.org/officeDocument/2006/relationships/hyperlink" Target="https://reklama.cncenter.cz/Online/branding-cross-device" TargetMode="External"/><Relationship Id="rId1458" Type="http://schemas.openxmlformats.org/officeDocument/2006/relationships/hyperlink" Target="http://www.instagram.com/" TargetMode="External"/><Relationship Id="rId1665" Type="http://schemas.openxmlformats.org/officeDocument/2006/relationships/hyperlink" Target="https://mobilmania.cz/" TargetMode="External"/><Relationship Id="rId1872" Type="http://schemas.openxmlformats.org/officeDocument/2006/relationships/hyperlink" Target="https://reklama.cncenter.cz/Online/mobilni-interscroller" TargetMode="External"/><Relationship Id="rId2411" Type="http://schemas.openxmlformats.org/officeDocument/2006/relationships/hyperlink" Target="https://zive.cz/" TargetMode="External"/><Relationship Id="rId1220" Type="http://schemas.openxmlformats.org/officeDocument/2006/relationships/hyperlink" Target="https://finexpert.cz/" TargetMode="External"/><Relationship Id="rId1318" Type="http://schemas.openxmlformats.org/officeDocument/2006/relationships/hyperlink" Target="https://reklama.cncenter.cz/Online/double-skyscraper" TargetMode="External"/><Relationship Id="rId1525" Type="http://schemas.openxmlformats.org/officeDocument/2006/relationships/hyperlink" Target="https://reklama.cncenter.cz/Online/Outstream" TargetMode="External"/><Relationship Id="rId1732" Type="http://schemas.openxmlformats.org/officeDocument/2006/relationships/hyperlink" Target="https://mobilmania.cz/" TargetMode="External"/><Relationship Id="rId24" Type="http://schemas.openxmlformats.org/officeDocument/2006/relationships/hyperlink" Target="https://abecedazahrady.dama.cz/" TargetMode="External"/><Relationship Id="rId2299" Type="http://schemas.openxmlformats.org/officeDocument/2006/relationships/hyperlink" Target="https://vtm.zive.cz/" TargetMode="External"/><Relationship Id="rId173" Type="http://schemas.openxmlformats.org/officeDocument/2006/relationships/hyperlink" Target="https://ahaonline.cz/" TargetMode="External"/><Relationship Id="rId380" Type="http://schemas.openxmlformats.org/officeDocument/2006/relationships/hyperlink" Target="https://reklama.cncenter.cz/Online/mobilni-slide-up" TargetMode="External"/><Relationship Id="rId2061" Type="http://schemas.openxmlformats.org/officeDocument/2006/relationships/hyperlink" Target="https://recepty.cz/" TargetMode="External"/><Relationship Id="rId240" Type="http://schemas.openxmlformats.org/officeDocument/2006/relationships/hyperlink" Target="https://auto.cz/" TargetMode="External"/><Relationship Id="rId478" Type="http://schemas.openxmlformats.org/officeDocument/2006/relationships/hyperlink" Target="https://blesk.cz/" TargetMode="External"/><Relationship Id="rId685" Type="http://schemas.openxmlformats.org/officeDocument/2006/relationships/hyperlink" Target="https://reklama.cncenter.cz/Online/branding" TargetMode="External"/><Relationship Id="rId892" Type="http://schemas.openxmlformats.org/officeDocument/2006/relationships/hyperlink" Target="https://doupe.zive.cz/" TargetMode="External"/><Relationship Id="rId2159" Type="http://schemas.openxmlformats.org/officeDocument/2006/relationships/hyperlink" Target="https://reflex.cz/" TargetMode="External"/><Relationship Id="rId2366" Type="http://schemas.openxmlformats.org/officeDocument/2006/relationships/hyperlink" Target="https://reklama.cncenter.cz/Online/double-skyscraper" TargetMode="External"/><Relationship Id="rId100" Type="http://schemas.openxmlformats.org/officeDocument/2006/relationships/hyperlink" Target="https://abicko.cz/" TargetMode="External"/><Relationship Id="rId338" Type="http://schemas.openxmlformats.org/officeDocument/2006/relationships/hyperlink" Target="https://autorevue.cz/" TargetMode="External"/><Relationship Id="rId545" Type="http://schemas.openxmlformats.org/officeDocument/2006/relationships/hyperlink" Target="https://bleskprozeny.cz/" TargetMode="External"/><Relationship Id="rId752" Type="http://schemas.openxmlformats.org/officeDocument/2006/relationships/hyperlink" Target="https://reklama.cncenter.cz/Online/branding" TargetMode="External"/><Relationship Id="rId1175" Type="http://schemas.openxmlformats.org/officeDocument/2006/relationships/hyperlink" Target="http://www.facebook.com/" TargetMode="External"/><Relationship Id="rId1382" Type="http://schemas.openxmlformats.org/officeDocument/2006/relationships/hyperlink" Target="http://www.instagram.com/" TargetMode="External"/><Relationship Id="rId2019" Type="http://schemas.openxmlformats.org/officeDocument/2006/relationships/hyperlink" Target="https://reklama.cncenter.cz/Online/double-skyscraper" TargetMode="External"/><Relationship Id="rId2226" Type="http://schemas.openxmlformats.org/officeDocument/2006/relationships/hyperlink" Target="https://reflex.cz/" TargetMode="External"/><Relationship Id="rId2433" Type="http://schemas.openxmlformats.org/officeDocument/2006/relationships/hyperlink" Target="https://reklama.cncenter.cz/Online/mobilni-vineta" TargetMode="External"/><Relationship Id="rId405" Type="http://schemas.openxmlformats.org/officeDocument/2006/relationships/hyperlink" Target="https://autorevue.cz/" TargetMode="External"/><Relationship Id="rId612" Type="http://schemas.openxmlformats.org/officeDocument/2006/relationships/hyperlink" Target="https://bleskprozeny.cz/" TargetMode="External"/><Relationship Id="rId1035" Type="http://schemas.openxmlformats.org/officeDocument/2006/relationships/hyperlink" Target="https://evropa2.cz/" TargetMode="External"/><Relationship Id="rId1242" Type="http://schemas.openxmlformats.org/officeDocument/2006/relationships/hyperlink" Target="https://fitweb.cz/" TargetMode="External"/><Relationship Id="rId1687" Type="http://schemas.openxmlformats.org/officeDocument/2006/relationships/hyperlink" Target="https://reklama.cncenter.cz/Online/double-skyscraper" TargetMode="External"/><Relationship Id="rId1894" Type="http://schemas.openxmlformats.org/officeDocument/2006/relationships/hyperlink" Target="https://motogpsport.cz/" TargetMode="External"/><Relationship Id="rId917" Type="http://schemas.openxmlformats.org/officeDocument/2006/relationships/hyperlink" Target="https://dama.cz/" TargetMode="External"/><Relationship Id="rId1102" Type="http://schemas.openxmlformats.org/officeDocument/2006/relationships/hyperlink" Target="https://f1sport.auto.cz/" TargetMode="External"/><Relationship Id="rId1547" Type="http://schemas.openxmlformats.org/officeDocument/2006/relationships/hyperlink" Target="https://reklama.cncenter.cz/Online/Outstream" TargetMode="External"/><Relationship Id="rId1754" Type="http://schemas.openxmlformats.org/officeDocument/2006/relationships/hyperlink" Target="https://mojezdravi.cz/" TargetMode="External"/><Relationship Id="rId1961" Type="http://schemas.openxmlformats.org/officeDocument/2006/relationships/hyperlink" Target="https://nemovitosti.blesk.cz/" TargetMode="External"/><Relationship Id="rId46" Type="http://schemas.openxmlformats.org/officeDocument/2006/relationships/hyperlink" Target="https://reklama.cncenter.cz/Online/mobilni-interscroller" TargetMode="External"/><Relationship Id="rId1407" Type="http://schemas.openxmlformats.org/officeDocument/2006/relationships/hyperlink" Target="http://www.instagram.com/" TargetMode="External"/><Relationship Id="rId1614" Type="http://schemas.openxmlformats.org/officeDocument/2006/relationships/hyperlink" Target="https://reklama.cncenter.cz/Online/mobilni-interscroller" TargetMode="External"/><Relationship Id="rId1821" Type="http://schemas.openxmlformats.org/officeDocument/2006/relationships/hyperlink" Target="https://mojezdravi.cz/" TargetMode="External"/><Relationship Id="rId195" Type="http://schemas.openxmlformats.org/officeDocument/2006/relationships/hyperlink" Target="https://reklama.cncenter.cz/Online/nativni-rectangle-cross-device" TargetMode="External"/><Relationship Id="rId1919" Type="http://schemas.openxmlformats.org/officeDocument/2006/relationships/hyperlink" Target="http://nemovitosti.blesk.cz/" TargetMode="External"/><Relationship Id="rId2083" Type="http://schemas.openxmlformats.org/officeDocument/2006/relationships/hyperlink" Target="https://recepty.cz/" TargetMode="External"/><Relationship Id="rId2290" Type="http://schemas.openxmlformats.org/officeDocument/2006/relationships/hyperlink" Target="https://vtm.zive.cz/" TargetMode="External"/><Relationship Id="rId2388" Type="http://schemas.openxmlformats.org/officeDocument/2006/relationships/hyperlink" Target="https://zeny.cz/" TargetMode="External"/><Relationship Id="rId262" Type="http://schemas.openxmlformats.org/officeDocument/2006/relationships/hyperlink" Target="https://auto.cz/" TargetMode="External"/><Relationship Id="rId567" Type="http://schemas.openxmlformats.org/officeDocument/2006/relationships/hyperlink" Target="https://reklama.cncenter.cz/Online/double-skyscraper" TargetMode="External"/><Relationship Id="rId1197" Type="http://schemas.openxmlformats.org/officeDocument/2006/relationships/hyperlink" Target="http://www.facebook.com/" TargetMode="External"/><Relationship Id="rId2150" Type="http://schemas.openxmlformats.org/officeDocument/2006/relationships/hyperlink" Target="https://reflex.cz/" TargetMode="External"/><Relationship Id="rId2248" Type="http://schemas.openxmlformats.org/officeDocument/2006/relationships/hyperlink" Target="https://sportrevue.cz/" TargetMode="External"/><Relationship Id="rId122" Type="http://schemas.openxmlformats.org/officeDocument/2006/relationships/hyperlink" Target="https://abicko.cz/" TargetMode="External"/><Relationship Id="rId774" Type="http://schemas.openxmlformats.org/officeDocument/2006/relationships/hyperlink" Target="https://digiarena.zive.cz/" TargetMode="External"/><Relationship Id="rId981" Type="http://schemas.openxmlformats.org/officeDocument/2006/relationships/hyperlink" Target="https://dama.cz/" TargetMode="External"/><Relationship Id="rId1057" Type="http://schemas.openxmlformats.org/officeDocument/2006/relationships/hyperlink" Target="https://reklama.cncenter.cz/Online/double-skyscraper" TargetMode="External"/><Relationship Id="rId2010" Type="http://schemas.openxmlformats.org/officeDocument/2006/relationships/hyperlink" Target="https://reklama.cncenter.cz/Online/billboard-bottom" TargetMode="External"/><Relationship Id="rId2455" Type="http://schemas.openxmlformats.org/officeDocument/2006/relationships/hyperlink" Target="https://zive.cz/" TargetMode="External"/><Relationship Id="rId427" Type="http://schemas.openxmlformats.org/officeDocument/2006/relationships/hyperlink" Target="https://avmania.zive.cz/" TargetMode="External"/><Relationship Id="rId634" Type="http://schemas.openxmlformats.org/officeDocument/2006/relationships/hyperlink" Target="https://reklama.cncenter.cz/Online/branding" TargetMode="External"/><Relationship Id="rId841" Type="http://schemas.openxmlformats.org/officeDocument/2006/relationships/hyperlink" Target="https://digiarena.zive.cz/" TargetMode="External"/><Relationship Id="rId1264" Type="http://schemas.openxmlformats.org/officeDocument/2006/relationships/hyperlink" Target="https://reklama.cncenter.cz/Online/mobilni-vineta" TargetMode="External"/><Relationship Id="rId1471" Type="http://schemas.openxmlformats.org/officeDocument/2006/relationships/hyperlink" Target="https://reklama.cncenter.cz/Online/double-skyscraper" TargetMode="External"/><Relationship Id="rId1569" Type="http://schemas.openxmlformats.org/officeDocument/2006/relationships/hyperlink" Target="https://maminka.cz/" TargetMode="External"/><Relationship Id="rId2108" Type="http://schemas.openxmlformats.org/officeDocument/2006/relationships/hyperlink" Target="https://recepty.cz/" TargetMode="External"/><Relationship Id="rId2315" Type="http://schemas.openxmlformats.org/officeDocument/2006/relationships/hyperlink" Target="https://zeny.cz/" TargetMode="External"/><Relationship Id="rId701" Type="http://schemas.openxmlformats.org/officeDocument/2006/relationships/hyperlink" Target="https://reklama.cncenter.cz/Online/Bumper" TargetMode="External"/><Relationship Id="rId939" Type="http://schemas.openxmlformats.org/officeDocument/2006/relationships/hyperlink" Target="https://dama.cz/" TargetMode="External"/><Relationship Id="rId1124" Type="http://schemas.openxmlformats.org/officeDocument/2006/relationships/hyperlink" Target="https://reklama.cncenter.cz/Online/mobilni-slide-up" TargetMode="External"/><Relationship Id="rId1331" Type="http://schemas.openxmlformats.org/officeDocument/2006/relationships/hyperlink" Target="https://frekvence1.cz/" TargetMode="External"/><Relationship Id="rId1776" Type="http://schemas.openxmlformats.org/officeDocument/2006/relationships/hyperlink" Target="https://mojezdravi.cz/" TargetMode="External"/><Relationship Id="rId1983" Type="http://schemas.openxmlformats.org/officeDocument/2006/relationships/hyperlink" Target="https://nemovitosti.blesk.cz/" TargetMode="External"/><Relationship Id="rId68" Type="http://schemas.openxmlformats.org/officeDocument/2006/relationships/hyperlink" Target="https://abecedazahrady.dama.cz/" TargetMode="External"/><Relationship Id="rId1429" Type="http://schemas.openxmlformats.org/officeDocument/2006/relationships/hyperlink" Target="http://www.instagram.com/" TargetMode="External"/><Relationship Id="rId1636" Type="http://schemas.openxmlformats.org/officeDocument/2006/relationships/hyperlink" Target="https://maminka.cz/" TargetMode="External"/><Relationship Id="rId1843" Type="http://schemas.openxmlformats.org/officeDocument/2006/relationships/hyperlink" Target="https://reklama.cncenter.cz/Online/branding-cross-device" TargetMode="External"/><Relationship Id="rId1703" Type="http://schemas.openxmlformats.org/officeDocument/2006/relationships/hyperlink" Target="https://mobilmania.cz/" TargetMode="External"/><Relationship Id="rId1910" Type="http://schemas.openxmlformats.org/officeDocument/2006/relationships/hyperlink" Target="https://reklama.cncenter.cz/Online/branding" TargetMode="External"/><Relationship Id="rId284" Type="http://schemas.openxmlformats.org/officeDocument/2006/relationships/hyperlink" Target="https://auto.cz/" TargetMode="External"/><Relationship Id="rId491" Type="http://schemas.openxmlformats.org/officeDocument/2006/relationships/hyperlink" Target="https://blesk.cz/" TargetMode="External"/><Relationship Id="rId2172" Type="http://schemas.openxmlformats.org/officeDocument/2006/relationships/hyperlink" Target="https://reklama.cncenter.cz/Online/Videospot" TargetMode="External"/><Relationship Id="rId144" Type="http://schemas.openxmlformats.org/officeDocument/2006/relationships/hyperlink" Target="https://abicko.cz/" TargetMode="External"/><Relationship Id="rId589" Type="http://schemas.openxmlformats.org/officeDocument/2006/relationships/hyperlink" Target="https://bleskprozeny.cz/" TargetMode="External"/><Relationship Id="rId796" Type="http://schemas.openxmlformats.org/officeDocument/2006/relationships/hyperlink" Target="https://reklama.cncenter.cz/Online/double-skyscraper" TargetMode="External"/><Relationship Id="rId2477" Type="http://schemas.openxmlformats.org/officeDocument/2006/relationships/hyperlink" Target="https://zive.cz/" TargetMode="External"/><Relationship Id="rId351" Type="http://schemas.openxmlformats.org/officeDocument/2006/relationships/hyperlink" Target="https://reklama.cncenter.cz/Online/mobilni-interscroller" TargetMode="External"/><Relationship Id="rId449" Type="http://schemas.openxmlformats.org/officeDocument/2006/relationships/hyperlink" Target="https://reklama.cncenter.cz/Online/double-skyscraper" TargetMode="External"/><Relationship Id="rId656" Type="http://schemas.openxmlformats.org/officeDocument/2006/relationships/hyperlink" Target="https://reklama.cncenter.cz/Online/billboard-bottom" TargetMode="External"/><Relationship Id="rId863" Type="http://schemas.openxmlformats.org/officeDocument/2006/relationships/hyperlink" Target="https://doupe.zive.cz/" TargetMode="External"/><Relationship Id="rId1079" Type="http://schemas.openxmlformats.org/officeDocument/2006/relationships/hyperlink" Target="https://f1sport.auto.cz/" TargetMode="External"/><Relationship Id="rId1286" Type="http://schemas.openxmlformats.org/officeDocument/2006/relationships/hyperlink" Target="https://fitweb.cz/" TargetMode="External"/><Relationship Id="rId1493" Type="http://schemas.openxmlformats.org/officeDocument/2006/relationships/hyperlink" Target="https://lideazeme.cz/" TargetMode="External"/><Relationship Id="rId2032" Type="http://schemas.openxmlformats.org/officeDocument/2006/relationships/hyperlink" Target="https://www.realitnitrh.cz/" TargetMode="External"/><Relationship Id="rId2337" Type="http://schemas.openxmlformats.org/officeDocument/2006/relationships/hyperlink" Target="https://reklama.cncenter.cz/Online/double-skyscraper" TargetMode="External"/><Relationship Id="rId211" Type="http://schemas.openxmlformats.org/officeDocument/2006/relationships/hyperlink" Target="https://ahaonline.cz/" TargetMode="External"/><Relationship Id="rId309" Type="http://schemas.openxmlformats.org/officeDocument/2006/relationships/hyperlink" Target="https://auto.cz/" TargetMode="External"/><Relationship Id="rId516" Type="http://schemas.openxmlformats.org/officeDocument/2006/relationships/hyperlink" Target="https://reklama.cncenter.cz/Online/mobilni-vineta" TargetMode="External"/><Relationship Id="rId1146" Type="http://schemas.openxmlformats.org/officeDocument/2006/relationships/hyperlink" Target="http://www.facebook.com/" TargetMode="External"/><Relationship Id="rId1798" Type="http://schemas.openxmlformats.org/officeDocument/2006/relationships/hyperlink" Target="https://mojezdravi.cz/" TargetMode="External"/><Relationship Id="rId723" Type="http://schemas.openxmlformats.org/officeDocument/2006/relationships/hyperlink" Target="https://reklama.cncenter.cz/Online/Outstream" TargetMode="External"/><Relationship Id="rId930" Type="http://schemas.openxmlformats.org/officeDocument/2006/relationships/hyperlink" Target="https://dama.cz/" TargetMode="External"/><Relationship Id="rId1006" Type="http://schemas.openxmlformats.org/officeDocument/2006/relationships/hyperlink" Target="https://reklama.cncenter.cz/Online/Videospot" TargetMode="External"/><Relationship Id="rId1353" Type="http://schemas.openxmlformats.org/officeDocument/2006/relationships/hyperlink" Target="https://www.heureka.cz/" TargetMode="External"/><Relationship Id="rId1560" Type="http://schemas.openxmlformats.org/officeDocument/2006/relationships/hyperlink" Target="https://maminka.cz/" TargetMode="External"/><Relationship Id="rId1658" Type="http://schemas.openxmlformats.org/officeDocument/2006/relationships/hyperlink" Target="https://reklama.cncenter.cz/Online/mobilni-interscroller" TargetMode="External"/><Relationship Id="rId1865" Type="http://schemas.openxmlformats.org/officeDocument/2006/relationships/hyperlink" Target="https://motogpsport.cz/" TargetMode="External"/><Relationship Id="rId2404" Type="http://schemas.openxmlformats.org/officeDocument/2006/relationships/hyperlink" Target="https://zive.cz/" TargetMode="External"/><Relationship Id="rId1213" Type="http://schemas.openxmlformats.org/officeDocument/2006/relationships/hyperlink" Target="https://www.facebook.com/business/ads-guide/image/facebook-feed" TargetMode="External"/><Relationship Id="rId1420" Type="http://schemas.openxmlformats.org/officeDocument/2006/relationships/hyperlink" Target="http://www.instagram.com/" TargetMode="External"/><Relationship Id="rId1518" Type="http://schemas.openxmlformats.org/officeDocument/2006/relationships/hyperlink" Target="https://lideazeme.cz/" TargetMode="External"/><Relationship Id="rId1725" Type="http://schemas.openxmlformats.org/officeDocument/2006/relationships/hyperlink" Target="https://mobilmania.cz/" TargetMode="External"/><Relationship Id="rId1932" Type="http://schemas.openxmlformats.org/officeDocument/2006/relationships/hyperlink" Target="https://nemovitosti.blesk.cz/" TargetMode="External"/><Relationship Id="rId17" Type="http://schemas.openxmlformats.org/officeDocument/2006/relationships/hyperlink" Target="https://reklama.cncenter.cz/Online/branding-cross-device" TargetMode="External"/><Relationship Id="rId2194" Type="http://schemas.openxmlformats.org/officeDocument/2006/relationships/hyperlink" Target="https://reflex.cz/" TargetMode="External"/><Relationship Id="rId166" Type="http://schemas.openxmlformats.org/officeDocument/2006/relationships/hyperlink" Target="https://ahaonline.cz/" TargetMode="External"/><Relationship Id="rId373" Type="http://schemas.openxmlformats.org/officeDocument/2006/relationships/hyperlink" Target="https://autorevue.cz/" TargetMode="External"/><Relationship Id="rId580" Type="http://schemas.openxmlformats.org/officeDocument/2006/relationships/hyperlink" Target="https://bleskprozeny.cz/" TargetMode="External"/><Relationship Id="rId2054" Type="http://schemas.openxmlformats.org/officeDocument/2006/relationships/hyperlink" Target="https://www.realitnitrh.cz/" TargetMode="External"/><Relationship Id="rId2261" Type="http://schemas.openxmlformats.org/officeDocument/2006/relationships/hyperlink" Target="https://vtm.zive.cz/" TargetMode="External"/><Relationship Id="rId1" Type="http://schemas.openxmlformats.org/officeDocument/2006/relationships/hyperlink" Target="https://abecedazahrady.dama.cz/" TargetMode="External"/><Relationship Id="rId233" Type="http://schemas.openxmlformats.org/officeDocument/2006/relationships/hyperlink" Target="https://ahaonline.cz/" TargetMode="External"/><Relationship Id="rId440" Type="http://schemas.openxmlformats.org/officeDocument/2006/relationships/hyperlink" Target="https://avmania.zive.cz/" TargetMode="External"/><Relationship Id="rId678" Type="http://schemas.openxmlformats.org/officeDocument/2006/relationships/hyperlink" Target="https://reklama.cncenter.cz/Online/Smarticle" TargetMode="External"/><Relationship Id="rId885" Type="http://schemas.openxmlformats.org/officeDocument/2006/relationships/hyperlink" Target="https://reklama.cncenter.cz/Online/double-skyscraper" TargetMode="External"/><Relationship Id="rId1070" Type="http://schemas.openxmlformats.org/officeDocument/2006/relationships/hyperlink" Target="https://evropa2.cz/" TargetMode="External"/><Relationship Id="rId2121" Type="http://schemas.openxmlformats.org/officeDocument/2006/relationships/hyperlink" Target="https://recepty.cz/" TargetMode="External"/><Relationship Id="rId2359" Type="http://schemas.openxmlformats.org/officeDocument/2006/relationships/hyperlink" Target="https://zeny.cz/" TargetMode="External"/><Relationship Id="rId300" Type="http://schemas.openxmlformats.org/officeDocument/2006/relationships/hyperlink" Target="https://auto.cz/" TargetMode="External"/><Relationship Id="rId538" Type="http://schemas.openxmlformats.org/officeDocument/2006/relationships/hyperlink" Target="https://reklama.cncenter.cz/Online/mobilni-slide-up" TargetMode="External"/><Relationship Id="rId745" Type="http://schemas.openxmlformats.org/officeDocument/2006/relationships/hyperlink" Target="https://reklama.cncenter.cz/Online/mobilni-vineta" TargetMode="External"/><Relationship Id="rId952" Type="http://schemas.openxmlformats.org/officeDocument/2006/relationships/hyperlink" Target="https://reklama.cncenter.cz/Online/nativni-rectangle-cross-device" TargetMode="External"/><Relationship Id="rId1168" Type="http://schemas.openxmlformats.org/officeDocument/2006/relationships/hyperlink" Target="https://www.facebook.com/business/ads-guide/image/facebook-feed" TargetMode="External"/><Relationship Id="rId1375" Type="http://schemas.openxmlformats.org/officeDocument/2006/relationships/hyperlink" Target="https://reklama.cncenter.cz/Online/double-skyscraper" TargetMode="External"/><Relationship Id="rId1582" Type="http://schemas.openxmlformats.org/officeDocument/2006/relationships/hyperlink" Target="https://reklama.cncenter.cz/Online/Videospot" TargetMode="External"/><Relationship Id="rId2219" Type="http://schemas.openxmlformats.org/officeDocument/2006/relationships/hyperlink" Target="https://reflex.cz/" TargetMode="External"/><Relationship Id="rId2426" Type="http://schemas.openxmlformats.org/officeDocument/2006/relationships/hyperlink" Target="https://zive.cz/" TargetMode="External"/><Relationship Id="rId81" Type="http://schemas.openxmlformats.org/officeDocument/2006/relationships/hyperlink" Target="https://abicko.cz/" TargetMode="External"/><Relationship Id="rId605" Type="http://schemas.openxmlformats.org/officeDocument/2006/relationships/hyperlink" Target="https://reklama.cncenter.cz/Online/mobilni-slide-up" TargetMode="External"/><Relationship Id="rId812" Type="http://schemas.openxmlformats.org/officeDocument/2006/relationships/hyperlink" Target="https://digiarena.zive.cz/" TargetMode="External"/><Relationship Id="rId1028" Type="http://schemas.openxmlformats.org/officeDocument/2006/relationships/hyperlink" Target="https://evropa2.cz/" TargetMode="External"/><Relationship Id="rId1235" Type="http://schemas.openxmlformats.org/officeDocument/2006/relationships/hyperlink" Target="https://fitweb.cz/" TargetMode="External"/><Relationship Id="rId1442" Type="http://schemas.openxmlformats.org/officeDocument/2006/relationships/hyperlink" Target="http://www.instagram.com/" TargetMode="External"/><Relationship Id="rId1887" Type="http://schemas.openxmlformats.org/officeDocument/2006/relationships/hyperlink" Target="https://motogpsport.cz/" TargetMode="External"/><Relationship Id="rId1302" Type="http://schemas.openxmlformats.org/officeDocument/2006/relationships/hyperlink" Target="https://heyfomo.cz/" TargetMode="External"/><Relationship Id="rId1747" Type="http://schemas.openxmlformats.org/officeDocument/2006/relationships/hyperlink" Target="https://mojezdravi.cz/" TargetMode="External"/><Relationship Id="rId1954" Type="http://schemas.openxmlformats.org/officeDocument/2006/relationships/hyperlink" Target="http://nemovitosti.blesk.cz/" TargetMode="External"/><Relationship Id="rId39" Type="http://schemas.openxmlformats.org/officeDocument/2006/relationships/hyperlink" Target="https://abecedazahrady.dama.cz/" TargetMode="External"/><Relationship Id="rId1607" Type="http://schemas.openxmlformats.org/officeDocument/2006/relationships/hyperlink" Target="https://maminka.cz/" TargetMode="External"/><Relationship Id="rId1814" Type="http://schemas.openxmlformats.org/officeDocument/2006/relationships/hyperlink" Target="https://reklama.cncenter.cz/Online/Outstream" TargetMode="External"/><Relationship Id="rId188" Type="http://schemas.openxmlformats.org/officeDocument/2006/relationships/hyperlink" Target="https://ahaonline.cz/" TargetMode="External"/><Relationship Id="rId395" Type="http://schemas.openxmlformats.org/officeDocument/2006/relationships/hyperlink" Target="https://autorevue.cz/" TargetMode="External"/><Relationship Id="rId2076" Type="http://schemas.openxmlformats.org/officeDocument/2006/relationships/hyperlink" Target="https://reklama.cncenter.cz/Online/branding-cross-device" TargetMode="External"/><Relationship Id="rId2283" Type="http://schemas.openxmlformats.org/officeDocument/2006/relationships/hyperlink" Target="https://reklama.cncenter.cz/Online/nativni-rectangle-cross-device" TargetMode="External"/><Relationship Id="rId255" Type="http://schemas.openxmlformats.org/officeDocument/2006/relationships/hyperlink" Target="https://reklama.cncenter.cz/Online/branding-cross-device" TargetMode="External"/><Relationship Id="rId462" Type="http://schemas.openxmlformats.org/officeDocument/2006/relationships/hyperlink" Target="https://avmania.zive.cz/" TargetMode="External"/><Relationship Id="rId1092" Type="http://schemas.openxmlformats.org/officeDocument/2006/relationships/hyperlink" Target="https://reklama.cncenter.cz/Online/branding-cross-device" TargetMode="External"/><Relationship Id="rId1397" Type="http://schemas.openxmlformats.org/officeDocument/2006/relationships/hyperlink" Target="http://www.instagram.com/" TargetMode="External"/><Relationship Id="rId2143" Type="http://schemas.openxmlformats.org/officeDocument/2006/relationships/hyperlink" Target="https://recepty.cz/" TargetMode="External"/><Relationship Id="rId2350" Type="http://schemas.openxmlformats.org/officeDocument/2006/relationships/hyperlink" Target="https://zeny.cz/" TargetMode="External"/><Relationship Id="rId115" Type="http://schemas.openxmlformats.org/officeDocument/2006/relationships/hyperlink" Target="https://abicko.cz/" TargetMode="External"/><Relationship Id="rId322" Type="http://schemas.openxmlformats.org/officeDocument/2006/relationships/hyperlink" Target="https://auto.cz/" TargetMode="External"/><Relationship Id="rId767" Type="http://schemas.openxmlformats.org/officeDocument/2006/relationships/hyperlink" Target="https://reklama.cncenter.cz/Online/mobilni-interscroller" TargetMode="External"/><Relationship Id="rId974" Type="http://schemas.openxmlformats.org/officeDocument/2006/relationships/hyperlink" Target="https://dama.cz/" TargetMode="External"/><Relationship Id="rId2003" Type="http://schemas.openxmlformats.org/officeDocument/2006/relationships/hyperlink" Target="https://www.realitnitrh.cz/" TargetMode="External"/><Relationship Id="rId2210" Type="http://schemas.openxmlformats.org/officeDocument/2006/relationships/hyperlink" Target="https://reklama.cncenter.cz/Online/mobilni-vineta" TargetMode="External"/><Relationship Id="rId2448" Type="http://schemas.openxmlformats.org/officeDocument/2006/relationships/hyperlink" Target="https://zive.cz/" TargetMode="External"/><Relationship Id="rId627" Type="http://schemas.openxmlformats.org/officeDocument/2006/relationships/hyperlink" Target="https://bleskprozeny.cz/" TargetMode="External"/><Relationship Id="rId834" Type="http://schemas.openxmlformats.org/officeDocument/2006/relationships/hyperlink" Target="https://digiarena.zive.cz/" TargetMode="External"/><Relationship Id="rId1257" Type="http://schemas.openxmlformats.org/officeDocument/2006/relationships/hyperlink" Target="https://fitweb.cz/" TargetMode="External"/><Relationship Id="rId1464" Type="http://schemas.openxmlformats.org/officeDocument/2006/relationships/hyperlink" Target="http://www.instagram.com/" TargetMode="External"/><Relationship Id="rId1671" Type="http://schemas.openxmlformats.org/officeDocument/2006/relationships/hyperlink" Target="https://mobilmania.cz/" TargetMode="External"/><Relationship Id="rId2308" Type="http://schemas.openxmlformats.org/officeDocument/2006/relationships/hyperlink" Target="https://x.com/" TargetMode="External"/><Relationship Id="rId901" Type="http://schemas.openxmlformats.org/officeDocument/2006/relationships/hyperlink" Target="https://doupe.zive.cz/" TargetMode="External"/><Relationship Id="rId1117" Type="http://schemas.openxmlformats.org/officeDocument/2006/relationships/hyperlink" Target="https://f1sport.auto.cz/" TargetMode="External"/><Relationship Id="rId1324" Type="http://schemas.openxmlformats.org/officeDocument/2006/relationships/hyperlink" Target="https://reklama.cncenter.cz/Online/mobilni-slide-up" TargetMode="External"/><Relationship Id="rId1531" Type="http://schemas.openxmlformats.org/officeDocument/2006/relationships/hyperlink" Target="https://lideazeme.cz/" TargetMode="External"/><Relationship Id="rId1769" Type="http://schemas.openxmlformats.org/officeDocument/2006/relationships/hyperlink" Target="https://mojezdravi.cz/" TargetMode="External"/><Relationship Id="rId1976" Type="http://schemas.openxmlformats.org/officeDocument/2006/relationships/hyperlink" Target="https://nemovitosti.blesk.cz/" TargetMode="External"/><Relationship Id="rId30" Type="http://schemas.openxmlformats.org/officeDocument/2006/relationships/hyperlink" Target="https://abecedazahrady.dama.cz/" TargetMode="External"/><Relationship Id="rId1629" Type="http://schemas.openxmlformats.org/officeDocument/2006/relationships/hyperlink" Target="https://maminka.cz/" TargetMode="External"/><Relationship Id="rId1836" Type="http://schemas.openxmlformats.org/officeDocument/2006/relationships/hyperlink" Target="https://motogpsport.cz/" TargetMode="External"/><Relationship Id="rId1903" Type="http://schemas.openxmlformats.org/officeDocument/2006/relationships/hyperlink" Target="http://nemovitosti.blesk.cz/" TargetMode="External"/><Relationship Id="rId2098" Type="http://schemas.openxmlformats.org/officeDocument/2006/relationships/hyperlink" Target="https://recepty.cz/" TargetMode="External"/><Relationship Id="rId277" Type="http://schemas.openxmlformats.org/officeDocument/2006/relationships/hyperlink" Target="https://auto.cz/" TargetMode="External"/><Relationship Id="rId484" Type="http://schemas.openxmlformats.org/officeDocument/2006/relationships/hyperlink" Target="https://blesk.cz/" TargetMode="External"/><Relationship Id="rId2165" Type="http://schemas.openxmlformats.org/officeDocument/2006/relationships/hyperlink" Target="https://reflex.cz/" TargetMode="External"/><Relationship Id="rId137" Type="http://schemas.openxmlformats.org/officeDocument/2006/relationships/hyperlink" Target="https://abicko.cz/" TargetMode="External"/><Relationship Id="rId344" Type="http://schemas.openxmlformats.org/officeDocument/2006/relationships/hyperlink" Target="https://autorevue.cz/" TargetMode="External"/><Relationship Id="rId691" Type="http://schemas.openxmlformats.org/officeDocument/2006/relationships/hyperlink" Target="https://reklama.cncenter.cz/Online/Outstream" TargetMode="External"/><Relationship Id="rId789" Type="http://schemas.openxmlformats.org/officeDocument/2006/relationships/hyperlink" Target="https://digiarena.zive.cz/" TargetMode="External"/><Relationship Id="rId996" Type="http://schemas.openxmlformats.org/officeDocument/2006/relationships/hyperlink" Target="https://dama.cz/" TargetMode="External"/><Relationship Id="rId2025" Type="http://schemas.openxmlformats.org/officeDocument/2006/relationships/hyperlink" Target="https://reklama.cncenter.cz/Online/nativni-PR-premium" TargetMode="External"/><Relationship Id="rId2372" Type="http://schemas.openxmlformats.org/officeDocument/2006/relationships/hyperlink" Target="https://reklama.cncenter.cz/Online/mobilni-interscroller" TargetMode="External"/><Relationship Id="rId551" Type="http://schemas.openxmlformats.org/officeDocument/2006/relationships/hyperlink" Target="https://bleskprozeny.cz/" TargetMode="External"/><Relationship Id="rId649" Type="http://schemas.openxmlformats.org/officeDocument/2006/relationships/hyperlink" Target="https://reklama.cncenter.cz/Online/mobilni-interscroller" TargetMode="External"/><Relationship Id="rId856" Type="http://schemas.openxmlformats.org/officeDocument/2006/relationships/hyperlink" Target="https://reklama.cncenter.cz/Online/billboard-bottom" TargetMode="External"/><Relationship Id="rId1181" Type="http://schemas.openxmlformats.org/officeDocument/2006/relationships/hyperlink" Target="http://www.facebook.com/" TargetMode="External"/><Relationship Id="rId1279" Type="http://schemas.openxmlformats.org/officeDocument/2006/relationships/hyperlink" Target="https://reklama.cncenter.cz/Online/mobilni-slide-up" TargetMode="External"/><Relationship Id="rId1486" Type="http://schemas.openxmlformats.org/officeDocument/2006/relationships/hyperlink" Target="https://reklama.cncenter.cz/?ads=PR%2520%25C4%258Dl%25C3%25A1nky" TargetMode="External"/><Relationship Id="rId2232" Type="http://schemas.openxmlformats.org/officeDocument/2006/relationships/hyperlink" Target="https://reflex.cz/" TargetMode="External"/><Relationship Id="rId204" Type="http://schemas.openxmlformats.org/officeDocument/2006/relationships/hyperlink" Target="https://ahaonline.cz/" TargetMode="External"/><Relationship Id="rId411" Type="http://schemas.openxmlformats.org/officeDocument/2006/relationships/hyperlink" Target="https://reklama.cncenter.cz/Online/billboard-bottom" TargetMode="External"/><Relationship Id="rId509" Type="http://schemas.openxmlformats.org/officeDocument/2006/relationships/hyperlink" Target="https://reklama.cncenter.cz/Online/Outstream" TargetMode="External"/><Relationship Id="rId1041" Type="http://schemas.openxmlformats.org/officeDocument/2006/relationships/hyperlink" Target="https://evropa2.cz/" TargetMode="External"/><Relationship Id="rId1139" Type="http://schemas.openxmlformats.org/officeDocument/2006/relationships/hyperlink" Target="https://f1sport.auto.cz/" TargetMode="External"/><Relationship Id="rId1346" Type="http://schemas.openxmlformats.org/officeDocument/2006/relationships/hyperlink" Target="https://frekvence1.cz/" TargetMode="External"/><Relationship Id="rId1693" Type="http://schemas.openxmlformats.org/officeDocument/2006/relationships/hyperlink" Target="https://reklama.cncenter.cz/Online/mobilni-slide-up" TargetMode="External"/><Relationship Id="rId1998" Type="http://schemas.openxmlformats.org/officeDocument/2006/relationships/hyperlink" Target="https://www.realitnitrh.cz/" TargetMode="External"/><Relationship Id="rId716" Type="http://schemas.openxmlformats.org/officeDocument/2006/relationships/hyperlink" Target="https://reklama.cncenter.cz/Online/Bumper" TargetMode="External"/><Relationship Id="rId923" Type="http://schemas.openxmlformats.org/officeDocument/2006/relationships/hyperlink" Target="https://dama.cz/" TargetMode="External"/><Relationship Id="rId1553" Type="http://schemas.openxmlformats.org/officeDocument/2006/relationships/hyperlink" Target="https://lideazeme.cz/" TargetMode="External"/><Relationship Id="rId1760" Type="http://schemas.openxmlformats.org/officeDocument/2006/relationships/hyperlink" Target="https://mojezdravi.cz/" TargetMode="External"/><Relationship Id="rId1858" Type="http://schemas.openxmlformats.org/officeDocument/2006/relationships/hyperlink" Target="https://reklama.cncenter.cz/Online/mobilni-vineta" TargetMode="External"/><Relationship Id="rId52" Type="http://schemas.openxmlformats.org/officeDocument/2006/relationships/hyperlink" Target="https://reklama.cncenter.cz/Online/mobilni-vineta" TargetMode="External"/><Relationship Id="rId1206" Type="http://schemas.openxmlformats.org/officeDocument/2006/relationships/hyperlink" Target="http://www.facebook.com/" TargetMode="External"/><Relationship Id="rId1413" Type="http://schemas.openxmlformats.org/officeDocument/2006/relationships/hyperlink" Target="http://www.instagram.com/" TargetMode="External"/><Relationship Id="rId1620" Type="http://schemas.openxmlformats.org/officeDocument/2006/relationships/hyperlink" Target="https://reklama.cncenter.cz/Online/mobilni-vineta" TargetMode="External"/><Relationship Id="rId1718" Type="http://schemas.openxmlformats.org/officeDocument/2006/relationships/hyperlink" Target="https://mobilmania.cz/" TargetMode="External"/><Relationship Id="rId1925" Type="http://schemas.openxmlformats.org/officeDocument/2006/relationships/hyperlink" Target="https://nemovitosti.blesk.cz/" TargetMode="External"/><Relationship Id="rId299" Type="http://schemas.openxmlformats.org/officeDocument/2006/relationships/hyperlink" Target="https://reklama.cncenter.cz/Online/mobilni-slide-up" TargetMode="External"/><Relationship Id="rId2187" Type="http://schemas.openxmlformats.org/officeDocument/2006/relationships/hyperlink" Target="https://reklama.cncenter.cz/Online/nativni-rectangle-cross-device" TargetMode="External"/><Relationship Id="rId2394" Type="http://schemas.openxmlformats.org/officeDocument/2006/relationships/hyperlink" Target="https://zeny.cz/" TargetMode="External"/><Relationship Id="rId159" Type="http://schemas.openxmlformats.org/officeDocument/2006/relationships/hyperlink" Target="https://ahaonline.cz/" TargetMode="External"/><Relationship Id="rId366" Type="http://schemas.openxmlformats.org/officeDocument/2006/relationships/hyperlink" Target="https://reklama.cncenter.cz/Online/Outstream" TargetMode="External"/><Relationship Id="rId573" Type="http://schemas.openxmlformats.org/officeDocument/2006/relationships/hyperlink" Target="https://reklama.cncenter.cz/Online/mobilni-interscroller" TargetMode="External"/><Relationship Id="rId780" Type="http://schemas.openxmlformats.org/officeDocument/2006/relationships/hyperlink" Target="https://digiarena.zive.cz/" TargetMode="External"/><Relationship Id="rId2047" Type="http://schemas.openxmlformats.org/officeDocument/2006/relationships/hyperlink" Target="https://reklama.cncenter.cz/Online/nativni-rectangle-cross-device" TargetMode="External"/><Relationship Id="rId2254" Type="http://schemas.openxmlformats.org/officeDocument/2006/relationships/hyperlink" Target="https://vtm.zive.cz/" TargetMode="External"/><Relationship Id="rId2461" Type="http://schemas.openxmlformats.org/officeDocument/2006/relationships/hyperlink" Target="https://zive.cz/" TargetMode="External"/><Relationship Id="rId226" Type="http://schemas.openxmlformats.org/officeDocument/2006/relationships/hyperlink" Target="https://reklama.cncenter.cz/Online/Outstream" TargetMode="External"/><Relationship Id="rId433" Type="http://schemas.openxmlformats.org/officeDocument/2006/relationships/hyperlink" Target="https://avmania.zive.cz/" TargetMode="External"/><Relationship Id="rId878" Type="http://schemas.openxmlformats.org/officeDocument/2006/relationships/hyperlink" Target="https://doupe.zive.cz/" TargetMode="External"/><Relationship Id="rId1063" Type="http://schemas.openxmlformats.org/officeDocument/2006/relationships/hyperlink" Target="https://reklama.cncenter.cz/Online/mobilni-interscroller" TargetMode="External"/><Relationship Id="rId1270" Type="http://schemas.openxmlformats.org/officeDocument/2006/relationships/hyperlink" Target="https://reklama.cncenter.cz/Online/Outstream" TargetMode="External"/><Relationship Id="rId2114" Type="http://schemas.openxmlformats.org/officeDocument/2006/relationships/hyperlink" Target="https://reklama.cncenter.cz/Online/Videospot" TargetMode="External"/><Relationship Id="rId640" Type="http://schemas.openxmlformats.org/officeDocument/2006/relationships/hyperlink" Target="https://reklama.cncenter.cz/Online/mobilni-interscroller" TargetMode="External"/><Relationship Id="rId738" Type="http://schemas.openxmlformats.org/officeDocument/2006/relationships/hyperlink" Target="https://reklama.cncenter.cz/Online/Outstream" TargetMode="External"/><Relationship Id="rId945" Type="http://schemas.openxmlformats.org/officeDocument/2006/relationships/hyperlink" Target="https://dama.cz/" TargetMode="External"/><Relationship Id="rId1368" Type="http://schemas.openxmlformats.org/officeDocument/2006/relationships/hyperlink" Target="https://hledejceny.cz/" TargetMode="External"/><Relationship Id="rId1575" Type="http://schemas.openxmlformats.org/officeDocument/2006/relationships/hyperlink" Target="https://maminka.cz/" TargetMode="External"/><Relationship Id="rId1782" Type="http://schemas.openxmlformats.org/officeDocument/2006/relationships/hyperlink" Target="https://mojezdravi.cz/" TargetMode="External"/><Relationship Id="rId2321" Type="http://schemas.openxmlformats.org/officeDocument/2006/relationships/hyperlink" Target="https://zeny.cz/" TargetMode="External"/><Relationship Id="rId2419" Type="http://schemas.openxmlformats.org/officeDocument/2006/relationships/hyperlink" Target="https://zive.cz/" TargetMode="External"/><Relationship Id="rId74" Type="http://schemas.openxmlformats.org/officeDocument/2006/relationships/hyperlink" Target="https://reklama.cncenter.cz/Online/billboard-bottom" TargetMode="External"/><Relationship Id="rId500" Type="http://schemas.openxmlformats.org/officeDocument/2006/relationships/hyperlink" Target="https://reklama.cncenter.cz/Online/billboard-bottom" TargetMode="External"/><Relationship Id="rId805" Type="http://schemas.openxmlformats.org/officeDocument/2006/relationships/hyperlink" Target="https://reklama.cncenter.cz/Online/mobilni-vineta" TargetMode="External"/><Relationship Id="rId1130" Type="http://schemas.openxmlformats.org/officeDocument/2006/relationships/hyperlink" Target="https://f1sport.auto.cz/" TargetMode="External"/><Relationship Id="rId1228" Type="http://schemas.openxmlformats.org/officeDocument/2006/relationships/hyperlink" Target="https://reklama.cncenter.cz/?ads=PR%2520%25C4%258Dl%25C3%25A1nky" TargetMode="External"/><Relationship Id="rId1435" Type="http://schemas.openxmlformats.org/officeDocument/2006/relationships/hyperlink" Target="http://www.instagram.com/" TargetMode="External"/><Relationship Id="rId1642" Type="http://schemas.openxmlformats.org/officeDocument/2006/relationships/hyperlink" Target="https://maminka.cz/" TargetMode="External"/><Relationship Id="rId1947" Type="http://schemas.openxmlformats.org/officeDocument/2006/relationships/hyperlink" Target="https://nemovitosti.blesk.cz/" TargetMode="External"/><Relationship Id="rId1502" Type="http://schemas.openxmlformats.org/officeDocument/2006/relationships/hyperlink" Target="https://lideazeme.cz/" TargetMode="External"/><Relationship Id="rId1807" Type="http://schemas.openxmlformats.org/officeDocument/2006/relationships/hyperlink" Target="https://mojezdravi.cz/" TargetMode="External"/><Relationship Id="rId290" Type="http://schemas.openxmlformats.org/officeDocument/2006/relationships/hyperlink" Target="https://reklama.cncenter.cz/Online/double-skyscraper" TargetMode="External"/><Relationship Id="rId388" Type="http://schemas.openxmlformats.org/officeDocument/2006/relationships/hyperlink" Target="https://reklama.cncenter.cz/Online/nativni-PR-premium" TargetMode="External"/><Relationship Id="rId2069" Type="http://schemas.openxmlformats.org/officeDocument/2006/relationships/hyperlink" Target="https://recepty.cz/" TargetMode="External"/><Relationship Id="rId150" Type="http://schemas.openxmlformats.org/officeDocument/2006/relationships/hyperlink" Target="https://reklama.cncenter.cz/Online/Bumper" TargetMode="External"/><Relationship Id="rId595" Type="http://schemas.openxmlformats.org/officeDocument/2006/relationships/hyperlink" Target="https://bleskprozeny.cz/" TargetMode="External"/><Relationship Id="rId2276" Type="http://schemas.openxmlformats.org/officeDocument/2006/relationships/hyperlink" Target="https://vtm.zive.cz/" TargetMode="External"/><Relationship Id="rId248" Type="http://schemas.openxmlformats.org/officeDocument/2006/relationships/hyperlink" Target="https://auto.cz/" TargetMode="External"/><Relationship Id="rId455" Type="http://schemas.openxmlformats.org/officeDocument/2006/relationships/hyperlink" Target="https://reklama.cncenter.cz/Online/mobilni-slide-up" TargetMode="External"/><Relationship Id="rId662" Type="http://schemas.openxmlformats.org/officeDocument/2006/relationships/hyperlink" Target="https://reklama.cncenter.cz/Online/double-skyscraper" TargetMode="External"/><Relationship Id="rId1085" Type="http://schemas.openxmlformats.org/officeDocument/2006/relationships/hyperlink" Target="https://f1sport.auto.cz/" TargetMode="External"/><Relationship Id="rId1292" Type="http://schemas.openxmlformats.org/officeDocument/2006/relationships/hyperlink" Target="https://heyfomo.cz/" TargetMode="External"/><Relationship Id="rId2136" Type="http://schemas.openxmlformats.org/officeDocument/2006/relationships/hyperlink" Target="https://recepty.cz/" TargetMode="External"/><Relationship Id="rId2343" Type="http://schemas.openxmlformats.org/officeDocument/2006/relationships/hyperlink" Target="https://reklama.cncenter.cz/Online/mobilni-interscroller" TargetMode="External"/><Relationship Id="rId108" Type="http://schemas.openxmlformats.org/officeDocument/2006/relationships/hyperlink" Target="https://abicko.cz/" TargetMode="External"/><Relationship Id="rId315" Type="http://schemas.openxmlformats.org/officeDocument/2006/relationships/hyperlink" Target="https://auto.cz/" TargetMode="External"/><Relationship Id="rId522" Type="http://schemas.openxmlformats.org/officeDocument/2006/relationships/hyperlink" Target="https://blesk.cz/" TargetMode="External"/><Relationship Id="rId967" Type="http://schemas.openxmlformats.org/officeDocument/2006/relationships/hyperlink" Target="https://dama.cz/" TargetMode="External"/><Relationship Id="rId1152" Type="http://schemas.openxmlformats.org/officeDocument/2006/relationships/hyperlink" Target="http://www.facebook.com/" TargetMode="External"/><Relationship Id="rId1597" Type="http://schemas.openxmlformats.org/officeDocument/2006/relationships/hyperlink" Target="https://reklama.cncenter.cz/Online/nativni-rectangle-cross-device" TargetMode="External"/><Relationship Id="rId2203" Type="http://schemas.openxmlformats.org/officeDocument/2006/relationships/hyperlink" Target="https://reflex.cz/" TargetMode="External"/><Relationship Id="rId2410" Type="http://schemas.openxmlformats.org/officeDocument/2006/relationships/hyperlink" Target="https://zive.cz/" TargetMode="External"/><Relationship Id="rId96" Type="http://schemas.openxmlformats.org/officeDocument/2006/relationships/hyperlink" Target="https://abicko.cz/" TargetMode="External"/><Relationship Id="rId827" Type="http://schemas.openxmlformats.org/officeDocument/2006/relationships/hyperlink" Target="https://digiarena.zive.cz/" TargetMode="External"/><Relationship Id="rId1012" Type="http://schemas.openxmlformats.org/officeDocument/2006/relationships/hyperlink" Target="https://reklama.cncenter.cz/Online/Bumper" TargetMode="External"/><Relationship Id="rId1457" Type="http://schemas.openxmlformats.org/officeDocument/2006/relationships/hyperlink" Target="http://www.instagram.com/" TargetMode="External"/><Relationship Id="rId1664" Type="http://schemas.openxmlformats.org/officeDocument/2006/relationships/hyperlink" Target="https://reklama.cncenter.cz/Online/Bumper" TargetMode="External"/><Relationship Id="rId1871" Type="http://schemas.openxmlformats.org/officeDocument/2006/relationships/hyperlink" Target="https://motogpsport.cz/" TargetMode="External"/><Relationship Id="rId1317" Type="http://schemas.openxmlformats.org/officeDocument/2006/relationships/hyperlink" Target="https://frekvence1.cz/" TargetMode="External"/><Relationship Id="rId1524" Type="http://schemas.openxmlformats.org/officeDocument/2006/relationships/hyperlink" Target="https://lideazeme.cz/" TargetMode="External"/><Relationship Id="rId1731" Type="http://schemas.openxmlformats.org/officeDocument/2006/relationships/hyperlink" Target="https://mobilmania.cz/" TargetMode="External"/><Relationship Id="rId1969" Type="http://schemas.openxmlformats.org/officeDocument/2006/relationships/hyperlink" Target="https://nemovitosti.blesk.cz/" TargetMode="External"/><Relationship Id="rId23" Type="http://schemas.openxmlformats.org/officeDocument/2006/relationships/hyperlink" Target="https://reklama.cncenter.cz/Online/double-skyscraper" TargetMode="External"/><Relationship Id="rId1829" Type="http://schemas.openxmlformats.org/officeDocument/2006/relationships/hyperlink" Target="https://motogpsport.cz/" TargetMode="External"/><Relationship Id="rId2298" Type="http://schemas.openxmlformats.org/officeDocument/2006/relationships/hyperlink" Target="https://reklama.cncenter.cz/Online/mobilni-vineta" TargetMode="External"/><Relationship Id="rId172" Type="http://schemas.openxmlformats.org/officeDocument/2006/relationships/hyperlink" Target="https://ahaonline.cz/" TargetMode="External"/><Relationship Id="rId477" Type="http://schemas.openxmlformats.org/officeDocument/2006/relationships/hyperlink" Target="https://blesk.cz/" TargetMode="External"/><Relationship Id="rId684" Type="http://schemas.openxmlformats.org/officeDocument/2006/relationships/hyperlink" Target="https://reklama.cncenter.cz/Online/branding-cross-device" TargetMode="External"/><Relationship Id="rId2060" Type="http://schemas.openxmlformats.org/officeDocument/2006/relationships/hyperlink" Target="https://recepty.cz/" TargetMode="External"/><Relationship Id="rId2158" Type="http://schemas.openxmlformats.org/officeDocument/2006/relationships/hyperlink" Target="https://reflex.cz/" TargetMode="External"/><Relationship Id="rId2365" Type="http://schemas.openxmlformats.org/officeDocument/2006/relationships/hyperlink" Target="https://zeny.cz/" TargetMode="External"/><Relationship Id="rId337" Type="http://schemas.openxmlformats.org/officeDocument/2006/relationships/hyperlink" Target="https://autorevue.cz/" TargetMode="External"/><Relationship Id="rId891" Type="http://schemas.openxmlformats.org/officeDocument/2006/relationships/hyperlink" Target="https://reklama.cncenter.cz/Online/mobilni-slide-up" TargetMode="External"/><Relationship Id="rId989" Type="http://schemas.openxmlformats.org/officeDocument/2006/relationships/hyperlink" Target="https://reklama.cncenter.cz/?ads=PR%2520%25C4%258Dl%25C3%25A1nky" TargetMode="External"/><Relationship Id="rId2018" Type="http://schemas.openxmlformats.org/officeDocument/2006/relationships/hyperlink" Target="https://www.realitnitrh.cz/" TargetMode="External"/><Relationship Id="rId544" Type="http://schemas.openxmlformats.org/officeDocument/2006/relationships/hyperlink" Target="https://reklama.cncenter.cz/Online/mobilni-slide-up" TargetMode="External"/><Relationship Id="rId751" Type="http://schemas.openxmlformats.org/officeDocument/2006/relationships/hyperlink" Target="https://reklama.cncenter.cz/Online/branding-cross-device" TargetMode="External"/><Relationship Id="rId849" Type="http://schemas.openxmlformats.org/officeDocument/2006/relationships/hyperlink" Target="https://doupe.zive.cz/" TargetMode="External"/><Relationship Id="rId1174" Type="http://schemas.openxmlformats.org/officeDocument/2006/relationships/hyperlink" Target="https://www.facebook.com/business/ads-guide/image/facebook-feed" TargetMode="External"/><Relationship Id="rId1381" Type="http://schemas.openxmlformats.org/officeDocument/2006/relationships/hyperlink" Target="http://www.instagram.com/" TargetMode="External"/><Relationship Id="rId1479" Type="http://schemas.openxmlformats.org/officeDocument/2006/relationships/hyperlink" Target="https://reklama.cncenter.cz/Online/double-skyscraper" TargetMode="External"/><Relationship Id="rId1686" Type="http://schemas.openxmlformats.org/officeDocument/2006/relationships/hyperlink" Target="https://mobilmania.cz/" TargetMode="External"/><Relationship Id="rId2225" Type="http://schemas.openxmlformats.org/officeDocument/2006/relationships/hyperlink" Target="https://reflex.cz/" TargetMode="External"/><Relationship Id="rId2432" Type="http://schemas.openxmlformats.org/officeDocument/2006/relationships/hyperlink" Target="https://zive.cz/" TargetMode="External"/><Relationship Id="rId404" Type="http://schemas.openxmlformats.org/officeDocument/2006/relationships/hyperlink" Target="https://autorevue.cz/" TargetMode="External"/><Relationship Id="rId611" Type="http://schemas.openxmlformats.org/officeDocument/2006/relationships/hyperlink" Target="https://bleskprozeny.cz/" TargetMode="External"/><Relationship Id="rId1034" Type="http://schemas.openxmlformats.org/officeDocument/2006/relationships/hyperlink" Target="https://evropa2.cz/" TargetMode="External"/><Relationship Id="rId1241" Type="http://schemas.openxmlformats.org/officeDocument/2006/relationships/hyperlink" Target="https://fitweb.cz/" TargetMode="External"/><Relationship Id="rId1339" Type="http://schemas.openxmlformats.org/officeDocument/2006/relationships/hyperlink" Target="https://reklama.cncenter.cz/Online/mobilni-interscroller" TargetMode="External"/><Relationship Id="rId1893" Type="http://schemas.openxmlformats.org/officeDocument/2006/relationships/hyperlink" Target="https://motogpsport.cz/" TargetMode="External"/><Relationship Id="rId709" Type="http://schemas.openxmlformats.org/officeDocument/2006/relationships/hyperlink" Target="https://reklama.cncenter.cz/Online/Videospot" TargetMode="External"/><Relationship Id="rId916" Type="http://schemas.openxmlformats.org/officeDocument/2006/relationships/hyperlink" Target="https://reklama.cncenter.cz/Online/billboard-bottom" TargetMode="External"/><Relationship Id="rId1101" Type="http://schemas.openxmlformats.org/officeDocument/2006/relationships/hyperlink" Target="https://reklama.cncenter.cz/Online/mobilni-interscroller" TargetMode="External"/><Relationship Id="rId1546" Type="http://schemas.openxmlformats.org/officeDocument/2006/relationships/hyperlink" Target="https://lideazeme.cz/" TargetMode="External"/><Relationship Id="rId1753" Type="http://schemas.openxmlformats.org/officeDocument/2006/relationships/hyperlink" Target="https://reklama.cncenter.cz/Online/branding-cross-device" TargetMode="External"/><Relationship Id="rId1960" Type="http://schemas.openxmlformats.org/officeDocument/2006/relationships/hyperlink" Target="http://nemovitosti.blesk.cz/" TargetMode="External"/><Relationship Id="rId45" Type="http://schemas.openxmlformats.org/officeDocument/2006/relationships/hyperlink" Target="https://abecedazahrady.dama.cz/" TargetMode="External"/><Relationship Id="rId1406" Type="http://schemas.openxmlformats.org/officeDocument/2006/relationships/hyperlink" Target="http://www.instagram.com/" TargetMode="External"/><Relationship Id="rId1613" Type="http://schemas.openxmlformats.org/officeDocument/2006/relationships/hyperlink" Target="https://maminka.cz/" TargetMode="External"/><Relationship Id="rId1820" Type="http://schemas.openxmlformats.org/officeDocument/2006/relationships/hyperlink" Target="https://mojezdravi.cz/" TargetMode="External"/><Relationship Id="rId194" Type="http://schemas.openxmlformats.org/officeDocument/2006/relationships/hyperlink" Target="https://ahaonline.cz/" TargetMode="External"/><Relationship Id="rId1918" Type="http://schemas.openxmlformats.org/officeDocument/2006/relationships/hyperlink" Target="https://reklama.cncenter.cz/Online/branding-cross-device" TargetMode="External"/><Relationship Id="rId2082" Type="http://schemas.openxmlformats.org/officeDocument/2006/relationships/hyperlink" Target="https://reklama.cncenter.cz/Online/double-skyscraper" TargetMode="External"/><Relationship Id="rId261" Type="http://schemas.openxmlformats.org/officeDocument/2006/relationships/hyperlink" Target="https://reklama.cncenter.cz/Online/double-skyscraper" TargetMode="External"/><Relationship Id="rId499" Type="http://schemas.openxmlformats.org/officeDocument/2006/relationships/hyperlink" Target="https://reklama.cncenter.cz/Online/branding" TargetMode="External"/><Relationship Id="rId2387" Type="http://schemas.openxmlformats.org/officeDocument/2006/relationships/hyperlink" Target="https://zeny.cz/" TargetMode="External"/><Relationship Id="rId359" Type="http://schemas.openxmlformats.org/officeDocument/2006/relationships/hyperlink" Target="https://autorevue.cz/" TargetMode="External"/><Relationship Id="rId566" Type="http://schemas.openxmlformats.org/officeDocument/2006/relationships/hyperlink" Target="https://bleskprozeny.cz/" TargetMode="External"/><Relationship Id="rId773" Type="http://schemas.openxmlformats.org/officeDocument/2006/relationships/hyperlink" Target="https://reklama.cncenter.cz/Online/Bumper" TargetMode="External"/><Relationship Id="rId1196" Type="http://schemas.openxmlformats.org/officeDocument/2006/relationships/hyperlink" Target="http://www.facebook.com/" TargetMode="External"/><Relationship Id="rId2247" Type="http://schemas.openxmlformats.org/officeDocument/2006/relationships/hyperlink" Target="https://sportrevue.cz/" TargetMode="External"/><Relationship Id="rId2454" Type="http://schemas.openxmlformats.org/officeDocument/2006/relationships/hyperlink" Target="https://zive.cz/" TargetMode="External"/><Relationship Id="rId121" Type="http://schemas.openxmlformats.org/officeDocument/2006/relationships/hyperlink" Target="https://reklama.cncenter.cz/Online/mobilni-interscroller" TargetMode="External"/><Relationship Id="rId219" Type="http://schemas.openxmlformats.org/officeDocument/2006/relationships/hyperlink" Target="https://ahaonline.cz/" TargetMode="External"/><Relationship Id="rId426" Type="http://schemas.openxmlformats.org/officeDocument/2006/relationships/hyperlink" Target="https://reklama.cncenter.cz/Online/branding" TargetMode="External"/><Relationship Id="rId633" Type="http://schemas.openxmlformats.org/officeDocument/2006/relationships/hyperlink" Target="https://reklama.cncenter.cz/Online/branding-cross-device" TargetMode="External"/><Relationship Id="rId980" Type="http://schemas.openxmlformats.org/officeDocument/2006/relationships/hyperlink" Target="https://reklama.cncenter.cz/Online/nativni-PR-premium" TargetMode="External"/><Relationship Id="rId1056" Type="http://schemas.openxmlformats.org/officeDocument/2006/relationships/hyperlink" Target="https://evropa2.cz/" TargetMode="External"/><Relationship Id="rId1263" Type="http://schemas.openxmlformats.org/officeDocument/2006/relationships/hyperlink" Target="https://fitweb.cz/" TargetMode="External"/><Relationship Id="rId2107" Type="http://schemas.openxmlformats.org/officeDocument/2006/relationships/hyperlink" Target="https://recepty.cz/" TargetMode="External"/><Relationship Id="rId2314" Type="http://schemas.openxmlformats.org/officeDocument/2006/relationships/hyperlink" Target="https://reklama.cncenter.cz/Online/double-skyscraper" TargetMode="External"/><Relationship Id="rId840" Type="http://schemas.openxmlformats.org/officeDocument/2006/relationships/hyperlink" Target="https://digiarena.zive.cz/" TargetMode="External"/><Relationship Id="rId938" Type="http://schemas.openxmlformats.org/officeDocument/2006/relationships/hyperlink" Target="https://dama.cz/" TargetMode="External"/><Relationship Id="rId1470" Type="http://schemas.openxmlformats.org/officeDocument/2006/relationships/hyperlink" Target="https://reklama.cncenter.cz/Online/branding" TargetMode="External"/><Relationship Id="rId1568" Type="http://schemas.openxmlformats.org/officeDocument/2006/relationships/hyperlink" Target="https://maminka.cz/" TargetMode="External"/><Relationship Id="rId1775" Type="http://schemas.openxmlformats.org/officeDocument/2006/relationships/hyperlink" Target="https://mojezdravi.cz/" TargetMode="External"/><Relationship Id="rId67" Type="http://schemas.openxmlformats.org/officeDocument/2006/relationships/hyperlink" Target="https://abecedazahrady.dama.cz/" TargetMode="External"/><Relationship Id="rId700" Type="http://schemas.openxmlformats.org/officeDocument/2006/relationships/hyperlink" Target="https://reklama.cncenter.cz/Online/Smarticle" TargetMode="External"/><Relationship Id="rId1123" Type="http://schemas.openxmlformats.org/officeDocument/2006/relationships/hyperlink" Target="https://f1sport.auto.cz/" TargetMode="External"/><Relationship Id="rId1330" Type="http://schemas.openxmlformats.org/officeDocument/2006/relationships/hyperlink" Target="https://reklama.cncenter.cz/Online/nativni-rectangle-cross-device" TargetMode="External"/><Relationship Id="rId1428" Type="http://schemas.openxmlformats.org/officeDocument/2006/relationships/hyperlink" Target="http://www.instagram.com/" TargetMode="External"/><Relationship Id="rId1635" Type="http://schemas.openxmlformats.org/officeDocument/2006/relationships/hyperlink" Target="https://maminka.cz/" TargetMode="External"/><Relationship Id="rId1982" Type="http://schemas.openxmlformats.org/officeDocument/2006/relationships/hyperlink" Target="http://nemovitosti.blesk.cz/" TargetMode="External"/><Relationship Id="rId1842" Type="http://schemas.openxmlformats.org/officeDocument/2006/relationships/hyperlink" Target="https://motogpsport.cz/" TargetMode="External"/><Relationship Id="rId1702" Type="http://schemas.openxmlformats.org/officeDocument/2006/relationships/hyperlink" Target="https://reklama.cncenter.cz/Online/nativni-rectangle-cross-device" TargetMode="External"/><Relationship Id="rId283" Type="http://schemas.openxmlformats.org/officeDocument/2006/relationships/hyperlink" Target="https://auto.cz/" TargetMode="External"/><Relationship Id="rId490" Type="http://schemas.openxmlformats.org/officeDocument/2006/relationships/hyperlink" Target="https://reklama.cncenter.cz/?ads=PR%2520%25C4%258Dl%25C3%25A1nky" TargetMode="External"/><Relationship Id="rId2171" Type="http://schemas.openxmlformats.org/officeDocument/2006/relationships/hyperlink" Target="https://reflex.cz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074"/>
  <sheetViews>
    <sheetView workbookViewId="0">
      <selection sqref="A1:XFD1"/>
    </sheetView>
  </sheetViews>
  <sheetFormatPr defaultRowHeight="14.4" x14ac:dyDescent="0.3"/>
  <sheetData>
    <row r="1" spans="1:67" s="2" customFormat="1" ht="46.5" customHeight="1" x14ac:dyDescent="0.3">
      <c r="A1" s="1" t="s">
        <v>0</v>
      </c>
      <c r="B1" s="1" t="s">
        <v>1</v>
      </c>
      <c r="C1" s="1" t="str">
        <f ca="1">IFERROR(__xludf.DUMMYFUNCTION("QUERY({'weby  packy sprava'!C1:BD1242;  'pr produkty sprava'!C2:BD1242; 'idvert sprava'!C2:BD1242; 'SoMe site sprava'!C2:BD1242; 'active radio sprava'!C2:BD1242;  'kvizuj sprava'!C2:BD1242;  'heureka sprava'!C2:BD1242;  'tivio sprava'!C2:BD1242}, ""SELECT"&amp;" Col1, Col2, Col3, Col4, Col5, Col6, Col7, Col8, Col9, Col10, Col11, Col12, Col13, Col14, Col15, Col16, Col17,Col18, Col19, Col20, Col21, Col22, Col23, Col24, Col25, Col26, Col27, Col28, Col29, Col30, Col31, Col32, Col33, Col34, Col35, Col36, Col37, Col38"&amp;", Col39, Col40, Col41, Col42,  Col44, Col45, Col54 WHERE (Not Col50 Like '%bazary%' OR Not Col50 Like '%zbozaky%') And (Col51 Like '%mid season%' OR Col51 Like '%Celorok%') And Col53 is null Order By Col1, Col5 "")"),"web_name")</f>
        <v>web_name</v>
      </c>
      <c r="D1" s="1" t="str">
        <f ca="1">IFERROR(__xludf.DUMMYFUNCTION("""COMPUTED_VALUE"""),"web_url")</f>
        <v>web_url</v>
      </c>
      <c r="E1" s="1" t="str">
        <f ca="1">IFERROR(__xludf.DUMMYFUNCTION("""COMPUTED_VALUE"""),"section_name")</f>
        <v>section_name</v>
      </c>
      <c r="F1" s="1" t="str">
        <f ca="1">IFERROR(__xludf.DUMMYFUNCTION("""COMPUTED_VALUE"""),"section_url")</f>
        <v>section_url</v>
      </c>
      <c r="G1" s="1" t="str">
        <f ca="1">IFERROR(__xludf.DUMMYFUNCTION("""COMPUTED_VALUE"""),"format_name")</f>
        <v>format_name</v>
      </c>
      <c r="H1" s="1" t="str">
        <f ca="1">IFERROR(__xludf.DUMMYFUNCTION("""COMPUTED_VALUE"""),"buy_unit_days")</f>
        <v>buy_unit_days</v>
      </c>
      <c r="I1" s="1" t="str">
        <f ca="1">IFERROR(__xludf.DUMMYFUNCTION("""COMPUTED_VALUE"""),"price_units_number")</f>
        <v>price_units_number</v>
      </c>
      <c r="J1" s="1" t="str">
        <f ca="1">IFERROR(__xludf.DUMMYFUNCTION("""COMPUTED_VALUE"""),"price")</f>
        <v>price</v>
      </c>
      <c r="K1" s="1" t="str">
        <f ca="1">IFERROR(__xludf.DUMMYFUNCTION("""COMPUTED_VALUE"""),"users")</f>
        <v>users</v>
      </c>
      <c r="L1" s="1" t="str">
        <f ca="1">IFERROR(__xludf.DUMMYFUNCTION("""COMPUTED_VALUE"""),"buying_model")</f>
        <v>buying_model</v>
      </c>
      <c r="M1" s="1" t="str">
        <f ca="1">IFERROR(__xludf.DUMMYFUNCTION("""COMPUTED_VALUE"""),"fixed_position")</f>
        <v>fixed_position</v>
      </c>
      <c r="N1" s="1" t="str">
        <f ca="1">IFERROR(__xludf.DUMMYFUNCTION("""COMPUTED_VALUE"""),"format_max_symbols")</f>
        <v>format_max_symbols</v>
      </c>
      <c r="O1" s="1" t="str">
        <f ca="1">IFERROR(__xludf.DUMMYFUNCTION("""COMPUTED_VALUE"""),"format_width")</f>
        <v>format_width</v>
      </c>
      <c r="P1" s="1" t="str">
        <f ca="1">IFERROR(__xludf.DUMMYFUNCTION("""COMPUTED_VALUE"""),"format_height")</f>
        <v>format_height</v>
      </c>
      <c r="Q1" s="1" t="str">
        <f ca="1">IFERROR(__xludf.DUMMYFUNCTION("""COMPUTED_VALUE"""),"format_next_dimensions")</f>
        <v>format_next_dimensions</v>
      </c>
      <c r="R1" s="1" t="str">
        <f ca="1">IFERROR(__xludf.DUMMYFUNCTION("""COMPUTED_VALUE"""),"position_description")</f>
        <v>position_description</v>
      </c>
      <c r="S1" s="1" t="str">
        <f ca="1">IFERROR(__xludf.DUMMYFUNCTION("""COMPUTED_VALUE"""),"format_max_KB")</f>
        <v>format_max_KB</v>
      </c>
      <c r="T1" s="1" t="str">
        <f ca="1">IFERROR(__xludf.DUMMYFUNCTION("""COMPUTED_VALUE"""),"rotation")</f>
        <v>rotation</v>
      </c>
      <c r="U1" s="1" t="str">
        <f ca="1">IFERROR(__xludf.DUMMYFUNCTION("""COMPUTED_VALUE"""),"position_category")</f>
        <v>position_category</v>
      </c>
      <c r="V1" s="1" t="str">
        <f ca="1">IFERROR(__xludf.DUMMYFUNCTION("""COMPUTED_VALUE"""),"web_description_tp")</f>
        <v>web_description_tp</v>
      </c>
      <c r="W1" s="1" t="str">
        <f ca="1">IFERROR(__xludf.DUMMYFUNCTION("""COMPUTED_VALUE"""),"position_description_tp")</f>
        <v>position_description_tp</v>
      </c>
      <c r="X1" s="1" t="str">
        <f ca="1">IFERROR(__xludf.DUMMYFUNCTION("""COMPUTED_VALUE"""),"seller_email_reservation")</f>
        <v>seller_email_reservation</v>
      </c>
      <c r="Y1" s="1" t="str">
        <f ca="1">IFERROR(__xludf.DUMMYFUNCTION("""COMPUTED_VALUE"""),"seller_email_order")</f>
        <v>seller_email_order</v>
      </c>
      <c r="Z1" s="1" t="str">
        <f ca="1">IFERROR(__xludf.DUMMYFUNCTION("""COMPUTED_VALUE"""),"seller_email_materials")</f>
        <v>seller_email_materials</v>
      </c>
      <c r="AA1" s="1" t="str">
        <f ca="1">IFERROR(__xludf.DUMMYFUNCTION("""COMPUTED_VALUE"""),"seller_description_tp")</f>
        <v>seller_description_tp</v>
      </c>
      <c r="AB1" s="1" t="str">
        <f ca="1">IFERROR(__xludf.DUMMYFUNCTION("""COMPUTED_VALUE"""),"screenshot_url")</f>
        <v>screenshot_url</v>
      </c>
      <c r="AC1" s="1" t="str">
        <f ca="1">IFERROR(__xludf.DUMMYFUNCTION("""COMPUTED_VALUE"""),"screenshot_url_0")</f>
        <v>screenshot_url_0</v>
      </c>
      <c r="AD1" s="1" t="str">
        <f ca="1">IFERROR(__xludf.DUMMYFUNCTION("""COMPUTED_VALUE"""),"screenshot_url_1")</f>
        <v>screenshot_url_1</v>
      </c>
      <c r="AE1" s="1" t="str">
        <f ca="1">IFERROR(__xludf.DUMMYFUNCTION("""COMPUTED_VALUE"""),"screenshot_url_2")</f>
        <v>screenshot_url_2</v>
      </c>
      <c r="AF1" s="1" t="str">
        <f ca="1">IFERROR(__xludf.DUMMYFUNCTION("""COMPUTED_VALUE"""),"non_ac")</f>
        <v>non_ac</v>
      </c>
      <c r="AG1" s="1" t="str">
        <f ca="1">IFERROR(__xludf.DUMMYFUNCTION("""COMPUTED_VALUE"""),"non_fee")</f>
        <v>non_fee</v>
      </c>
      <c r="AH1" s="1" t="str">
        <f ca="1">IFERROR(__xludf.DUMMYFUNCTION("""COMPUTED_VALUE"""),"private_position")</f>
        <v>private_position</v>
      </c>
      <c r="AI1" s="1" t="str">
        <f ca="1">IFERROR(__xludf.DUMMYFUNCTION("""COMPUTED_VALUE"""),"position_charges")</f>
        <v>position_charges</v>
      </c>
      <c r="AJ1" s="1" t="str">
        <f ca="1">IFERROR(__xludf.DUMMYFUNCTION("""COMPUTED_VALUE"""),"maximum_capacity")</f>
        <v>maximum_capacity</v>
      </c>
      <c r="AK1" s="1" t="str">
        <f ca="1">IFERROR(__xludf.DUMMYFUNCTION("""COMPUTED_VALUE"""),"language")</f>
        <v>language</v>
      </c>
      <c r="AL1" s="1" t="str">
        <f ca="1">IFERROR(__xludf.DUMMYFUNCTION("""COMPUTED_VALUE"""),"click_tag")</f>
        <v>click_tag</v>
      </c>
      <c r="AM1" s="1" t="str">
        <f ca="1">IFERROR(__xludf.DUMMYFUNCTION("""COMPUTED_VALUE"""),"file_types")</f>
        <v>file_types</v>
      </c>
      <c r="AN1" s="1" t="str">
        <f ca="1">IFERROR(__xludf.DUMMYFUNCTION("""COMPUTED_VALUE"""),"platform")</f>
        <v>platform</v>
      </c>
      <c r="AO1" s="1" t="str">
        <f ca="1">IFERROR(__xludf.DUMMYFUNCTION("""COMPUTED_VALUE"""),"cat1")</f>
        <v>cat1</v>
      </c>
      <c r="AP1" s="1" t="str">
        <f ca="1">IFERROR(__xludf.DUMMYFUNCTION("""COMPUTED_VALUE"""),"cat2")</f>
        <v>cat2</v>
      </c>
      <c r="AQ1" s="1" t="str">
        <f ca="1">IFERROR(__xludf.DUMMYFUNCTION("""COMPUTED_VALUE"""),"cat3")</f>
        <v>cat3</v>
      </c>
      <c r="AR1" s="1" t="str">
        <f ca="1">IFERROR(__xludf.DUMMYFUNCTION("""COMPUTED_VALUE"""),"cat4")</f>
        <v>cat4</v>
      </c>
      <c r="AS1" s="1" t="str">
        <f ca="1">IFERROR(__xludf.DUMMYFUNCTION("""COMPUTED_VALUE"""),"cat6")</f>
        <v>cat6</v>
      </c>
      <c r="AT1" s="1" t="str">
        <f ca="1">IFERROR(__xludf.DUMMYFUNCTION("""COMPUTED_VALUE"""),"cat7")</f>
        <v>cat7</v>
      </c>
      <c r="AU1" s="1" t="str">
        <f ca="1">IFERROR(__xludf.DUMMYFUNCTION("""COMPUTED_VALUE"""),"format_name_admon")</f>
        <v>format_name_admon</v>
      </c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 x14ac:dyDescent="0.3">
      <c r="A2" s="3">
        <f t="array" ref="A2:A1074" ca="1">IF(ISTEXT(C2:INDIRECT("C"&amp;(COUNTA(C:C)))),seller_ic_def,"")</f>
        <v>2346826</v>
      </c>
      <c r="B2" s="3" t="str">
        <f t="array" ref="B2:B1074" ca="1">IF(ISTEXT(C2:INDIRECT("C"&amp;(COUNTA(C:C)))),seller_name_def,"")</f>
        <v>CZECH NEWS CENTER a. s.</v>
      </c>
      <c r="C2" s="3" t="str">
        <f ca="1">IFERROR(__xludf.DUMMYFUNCTION("""COMPUTED_VALUE"""),"Abeceda zahrady")</f>
        <v>Abeceda zahrady</v>
      </c>
      <c r="D2" s="4" t="str">
        <f ca="1">IFERROR(__xludf.DUMMYFUNCTION("""COMPUTED_VALUE"""),"https://abecedazahrady.dama.cz")</f>
        <v>https://abecedazahrady.dama.cz</v>
      </c>
      <c r="E2" s="3" t="str">
        <f ca="1">IFERROR(__xludf.DUMMYFUNCTION("""COMPUTED_VALUE"""),"celý web")</f>
        <v>celý web</v>
      </c>
      <c r="F2" s="4" t="str">
        <f ca="1">IFERROR(__xludf.DUMMYFUNCTION("""COMPUTED_VALUE"""),"https://abecedazahrady.dama.cz")</f>
        <v>https://abecedazahrady.dama.cz</v>
      </c>
      <c r="G2" s="3" t="str">
        <f ca="1">IFERROR(__xludf.DUMMYFUNCTION("""COMPUTED_VALUE"""),"Advertorial low season")</f>
        <v>Advertorial low season</v>
      </c>
      <c r="H2" s="3">
        <f ca="1">IFERROR(__xludf.DUMMYFUNCTION("""COMPUTED_VALUE"""),1)</f>
        <v>1</v>
      </c>
      <c r="I2" s="5">
        <f ca="1">IFERROR(__xludf.DUMMYFUNCTION("""COMPUTED_VALUE"""),1)</f>
        <v>1</v>
      </c>
      <c r="J2" s="5">
        <f ca="1">IFERROR(__xludf.DUMMYFUNCTION("""COMPUTED_VALUE"""),90000)</f>
        <v>90000</v>
      </c>
      <c r="K2" s="3"/>
      <c r="L2" s="3" t="str">
        <f ca="1">IFERROR(__xludf.DUMMYFUNCTION("""COMPUTED_VALUE"""),"Cost per instance")</f>
        <v>Cost per instance</v>
      </c>
      <c r="M2" s="3"/>
      <c r="N2" s="3"/>
      <c r="O2" s="3"/>
      <c r="P2" s="3"/>
      <c r="Q2" s="3"/>
      <c r="R2" s="3"/>
      <c r="S2" s="3" t="str">
        <f ca="1">IFERROR(__xludf.DUMMYFUNCTION("""COMPUTED_VALUE"""),"100")</f>
        <v>100</v>
      </c>
      <c r="T2" s="3"/>
      <c r="U2" s="3" t="str">
        <f ca="1">IFERROR(__xludf.DUMMYFUNCTION("""COMPUTED_VALUE"""),"pr článek")</f>
        <v>pr článek</v>
      </c>
      <c r="V2" s="3"/>
      <c r="W2" s="3"/>
      <c r="X2" s="3"/>
      <c r="Y2" s="3"/>
      <c r="Z2" s="3" t="str">
        <f ca="1">IFERROR(__xludf.DUMMYFUNCTION("""COMPUTED_VALUE"""),"podklady@cncenter.cz")</f>
        <v>podklady@cncenter.cz</v>
      </c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 t="str">
        <f ca="1">IFERROR(__xludf.DUMMYFUNCTION("""COMPUTED_VALUE"""),"cross-device")</f>
        <v>cross-device</v>
      </c>
      <c r="AO2" s="3"/>
      <c r="AP2" s="3"/>
      <c r="AQ2" s="3"/>
      <c r="AR2" s="3"/>
      <c r="AS2" s="3"/>
      <c r="AT2" s="3"/>
      <c r="AU2" s="3" t="str">
        <f ca="1">IFERROR(__xludf.DUMMYFUNCTION("""COMPUTED_VALUE"""),"Advertorial")</f>
        <v>Advertorial</v>
      </c>
    </row>
    <row r="3" spans="1:67" x14ac:dyDescent="0.3">
      <c r="A3" s="3">
        <f ca="1"/>
        <v>2346826</v>
      </c>
      <c r="B3" s="3" t="str">
        <f ca="1"/>
        <v>CZECH NEWS CENTER a. s.</v>
      </c>
      <c r="C3" s="3" t="str">
        <f ca="1">IFERROR(__xludf.DUMMYFUNCTION("""COMPUTED_VALUE"""),"Abeceda zahrady")</f>
        <v>Abeceda zahrady</v>
      </c>
      <c r="D3" s="4" t="str">
        <f ca="1">IFERROR(__xludf.DUMMYFUNCTION("""COMPUTED_VALUE"""),"https://abecedazahrady.dama.cz")</f>
        <v>https://abecedazahrady.dama.cz</v>
      </c>
      <c r="E3" s="3" t="str">
        <f ca="1">IFERROR(__xludf.DUMMYFUNCTION("""COMPUTED_VALUE"""),"celý web")</f>
        <v>celý web</v>
      </c>
      <c r="F3" s="4" t="str">
        <f ca="1">IFERROR(__xludf.DUMMYFUNCTION("""COMPUTED_VALUE"""),"https://abecedazahrady.dama.cz")</f>
        <v>https://abecedazahrady.dama.cz</v>
      </c>
      <c r="G3" s="3" t="str">
        <f ca="1">IFERROR(__xludf.DUMMYFUNCTION("""COMPUTED_VALUE"""),"billboard bottom low season")</f>
        <v>billboard bottom low season</v>
      </c>
      <c r="H3" s="3">
        <f ca="1">IFERROR(__xludf.DUMMYFUNCTION("""COMPUTED_VALUE"""),7)</f>
        <v>7</v>
      </c>
      <c r="I3" s="5">
        <f ca="1">IFERROR(__xludf.DUMMYFUNCTION("""COMPUTED_VALUE"""),1000)</f>
        <v>1000</v>
      </c>
      <c r="J3" s="5">
        <f ca="1">IFERROR(__xludf.DUMMYFUNCTION("""COMPUTED_VALUE"""),240)</f>
        <v>240</v>
      </c>
      <c r="K3" s="3"/>
      <c r="L3" s="3" t="str">
        <f ca="1">IFERROR(__xludf.DUMMYFUNCTION("""COMPUTED_VALUE"""),"Cost per period")</f>
        <v>Cost per period</v>
      </c>
      <c r="M3" s="3"/>
      <c r="N3" s="3"/>
      <c r="O3" s="3" t="str">
        <f ca="1">IFERROR(__xludf.DUMMYFUNCTION("""COMPUTED_VALUE"""),"970")</f>
        <v>970</v>
      </c>
      <c r="P3" s="3" t="str">
        <f ca="1">IFERROR(__xludf.DUMMYFUNCTION("""COMPUTED_VALUE"""),"250")</f>
        <v>250</v>
      </c>
      <c r="Q3" s="3" t="str">
        <f ca="1">IFERROR(__xludf.DUMMYFUNCTION("""COMPUTED_VALUE"""),"970x250")</f>
        <v>970x250</v>
      </c>
      <c r="R3" s="3"/>
      <c r="S3" s="3" t="str">
        <f ca="1">IFERROR(__xludf.DUMMYFUNCTION("""COMPUTED_VALUE"""),"100 (200 - HTML5)")</f>
        <v>100 (200 - HTML5)</v>
      </c>
      <c r="T3" s="3"/>
      <c r="U3" s="3" t="str">
        <f ca="1">IFERROR(__xludf.DUMMYFUNCTION("""COMPUTED_VALUE"""),"banner standard")</f>
        <v>banner standard</v>
      </c>
      <c r="V3" s="3"/>
      <c r="W3" s="4" t="str">
        <f ca="1">IFERROR(__xludf.DUMMYFUNCTION("""COMPUTED_VALUE"""),"https://reklama.cncenter.cz/Online/billboard-bottom")</f>
        <v>https://reklama.cncenter.cz/Online/billboard-bottom</v>
      </c>
      <c r="X3" s="3"/>
      <c r="Y3" s="3"/>
      <c r="Z3" s="3" t="str">
        <f ca="1">IFERROR(__xludf.DUMMYFUNCTION("""COMPUTED_VALUE"""),"podklady@cncenter.cz")</f>
        <v>podklady@cncenter.cz</v>
      </c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 t="str">
        <f ca="1">IFERROR(__xludf.DUMMYFUNCTION("""COMPUTED_VALUE"""),"desktop")</f>
        <v>desktop</v>
      </c>
      <c r="AO3" s="3"/>
      <c r="AP3" s="3"/>
      <c r="AQ3" s="3"/>
      <c r="AR3" s="3"/>
      <c r="AS3" s="3"/>
      <c r="AT3" s="3"/>
      <c r="AU3" s="3" t="str">
        <f ca="1">IFERROR(__xludf.DUMMYFUNCTION("""COMPUTED_VALUE"""),"billboard bottom")</f>
        <v>billboard bottom</v>
      </c>
    </row>
    <row r="4" spans="1:67" x14ac:dyDescent="0.3">
      <c r="A4" s="3">
        <f ca="1"/>
        <v>2346826</v>
      </c>
      <c r="B4" s="3" t="str">
        <f ca="1"/>
        <v>CZECH NEWS CENTER a. s.</v>
      </c>
      <c r="C4" s="3" t="str">
        <f ca="1">IFERROR(__xludf.DUMMYFUNCTION("""COMPUTED_VALUE"""),"Abeceda zahrady")</f>
        <v>Abeceda zahrady</v>
      </c>
      <c r="D4" s="4" t="str">
        <f ca="1">IFERROR(__xludf.DUMMYFUNCTION("""COMPUTED_VALUE"""),"https://abecedazahrady.dama.cz")</f>
        <v>https://abecedazahrady.dama.cz</v>
      </c>
      <c r="E4" s="3" t="str">
        <f ca="1">IFERROR(__xludf.DUMMYFUNCTION("""COMPUTED_VALUE"""),"celý web")</f>
        <v>celý web</v>
      </c>
      <c r="F4" s="4" t="str">
        <f ca="1">IFERROR(__xludf.DUMMYFUNCTION("""COMPUTED_VALUE"""),"https://abecedazahrady.dama.cz")</f>
        <v>https://abecedazahrady.dama.cz</v>
      </c>
      <c r="G4" s="3" t="str">
        <f ca="1">IFERROR(__xludf.DUMMYFUNCTION("""COMPUTED_VALUE"""),"branding cross-device low season")</f>
        <v>branding cross-device low season</v>
      </c>
      <c r="H4" s="3">
        <f ca="1">IFERROR(__xludf.DUMMYFUNCTION("""COMPUTED_VALUE"""),7)</f>
        <v>7</v>
      </c>
      <c r="I4" s="5">
        <f ca="1">IFERROR(__xludf.DUMMYFUNCTION("""COMPUTED_VALUE"""),1000)</f>
        <v>1000</v>
      </c>
      <c r="J4" s="5">
        <f ca="1">IFERROR(__xludf.DUMMYFUNCTION("""COMPUTED_VALUE"""),300)</f>
        <v>300</v>
      </c>
      <c r="K4" s="3"/>
      <c r="L4" s="3" t="str">
        <f ca="1">IFERROR(__xludf.DUMMYFUNCTION("""COMPUTED_VALUE"""),"Cost per period")</f>
        <v>Cost per period</v>
      </c>
      <c r="M4" s="3"/>
      <c r="N4" s="3"/>
      <c r="O4" s="3" t="str">
        <f ca="1">IFERROR(__xludf.DUMMYFUNCTION("""COMPUTED_VALUE"""),"2000")</f>
        <v>2000</v>
      </c>
      <c r="P4" s="3" t="str">
        <f ca="1">IFERROR(__xludf.DUMMYFUNCTION("""COMPUTED_VALUE"""),"1400")</f>
        <v>1400</v>
      </c>
      <c r="Q4" s="3" t="str">
        <f ca="1">IFERROR(__xludf.DUMMYFUNCTION("""COMPUTED_VALUE"""),"2000x1400 + 600x1080")</f>
        <v>2000x1400 + 600x1080</v>
      </c>
      <c r="R4" s="3"/>
      <c r="S4" s="3" t="str">
        <f ca="1">IFERROR(__xludf.DUMMYFUNCTION("""COMPUTED_VALUE"""),"500 (600 - HTLM5)")</f>
        <v>500 (600 - HTLM5)</v>
      </c>
      <c r="T4" s="3"/>
      <c r="U4" s="3" t="str">
        <f ca="1">IFERROR(__xludf.DUMMYFUNCTION("""COMPUTED_VALUE"""),"banner standard")</f>
        <v>banner standard</v>
      </c>
      <c r="V4" s="3"/>
      <c r="W4" s="4" t="str">
        <f ca="1">IFERROR(__xludf.DUMMYFUNCTION("""COMPUTED_VALUE"""),"https://reklama.cncenter.cz/Online/branding-cross-device")</f>
        <v>https://reklama.cncenter.cz/Online/branding-cross-device</v>
      </c>
      <c r="X4" s="3"/>
      <c r="Y4" s="3"/>
      <c r="Z4" s="3" t="str">
        <f ca="1">IFERROR(__xludf.DUMMYFUNCTION("""COMPUTED_VALUE"""),"podklady@cncenter.cz")</f>
        <v>podklady@cncenter.cz</v>
      </c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 t="str">
        <f ca="1">IFERROR(__xludf.DUMMYFUNCTION("""COMPUTED_VALUE"""),"cross-device")</f>
        <v>cross-device</v>
      </c>
      <c r="AO4" s="3"/>
      <c r="AP4" s="3"/>
      <c r="AQ4" s="3"/>
      <c r="AR4" s="3"/>
      <c r="AS4" s="3"/>
      <c r="AT4" s="3"/>
      <c r="AU4" s="3" t="str">
        <f ca="1">IFERROR(__xludf.DUMMYFUNCTION("""COMPUTED_VALUE"""),"branding cross-device")</f>
        <v>branding cross-device</v>
      </c>
    </row>
    <row r="5" spans="1:67" x14ac:dyDescent="0.3">
      <c r="A5" s="3">
        <f ca="1"/>
        <v>2346826</v>
      </c>
      <c r="B5" s="3" t="str">
        <f ca="1"/>
        <v>CZECH NEWS CENTER a. s.</v>
      </c>
      <c r="C5" s="3" t="str">
        <f ca="1">IFERROR(__xludf.DUMMYFUNCTION("""COMPUTED_VALUE"""),"Abeceda zahrady")</f>
        <v>Abeceda zahrady</v>
      </c>
      <c r="D5" s="4" t="str">
        <f ca="1">IFERROR(__xludf.DUMMYFUNCTION("""COMPUTED_VALUE"""),"https://abecedazahrady.dama.cz")</f>
        <v>https://abecedazahrady.dama.cz</v>
      </c>
      <c r="E5" s="3" t="str">
        <f ca="1">IFERROR(__xludf.DUMMYFUNCTION("""COMPUTED_VALUE"""),"celý web")</f>
        <v>celý web</v>
      </c>
      <c r="F5" s="4" t="str">
        <f ca="1">IFERROR(__xludf.DUMMYFUNCTION("""COMPUTED_VALUE"""),"https://abecedazahrady.dama.cz")</f>
        <v>https://abecedazahrady.dama.cz</v>
      </c>
      <c r="G5" s="3" t="str">
        <f ca="1">IFERROR(__xludf.DUMMYFUNCTION("""COMPUTED_VALUE"""),"branding low season")</f>
        <v>branding low season</v>
      </c>
      <c r="H5" s="3">
        <f ca="1">IFERROR(__xludf.DUMMYFUNCTION("""COMPUTED_VALUE"""),7)</f>
        <v>7</v>
      </c>
      <c r="I5" s="5">
        <f ca="1">IFERROR(__xludf.DUMMYFUNCTION("""COMPUTED_VALUE"""),1000)</f>
        <v>1000</v>
      </c>
      <c r="J5" s="5">
        <f ca="1">IFERROR(__xludf.DUMMYFUNCTION("""COMPUTED_VALUE"""),490)</f>
        <v>490</v>
      </c>
      <c r="K5" s="3"/>
      <c r="L5" s="3" t="str">
        <f ca="1">IFERROR(__xludf.DUMMYFUNCTION("""COMPUTED_VALUE"""),"Cost per period")</f>
        <v>Cost per period</v>
      </c>
      <c r="M5" s="3"/>
      <c r="N5" s="3"/>
      <c r="O5" s="3" t="str">
        <f ca="1">IFERROR(__xludf.DUMMYFUNCTION("""COMPUTED_VALUE"""),"2000")</f>
        <v>2000</v>
      </c>
      <c r="P5" s="3" t="str">
        <f ca="1">IFERROR(__xludf.DUMMYFUNCTION("""COMPUTED_VALUE"""),"1400")</f>
        <v>1400</v>
      </c>
      <c r="Q5" s="3" t="str">
        <f ca="1">IFERROR(__xludf.DUMMYFUNCTION("""COMPUTED_VALUE"""),"2000x1400")</f>
        <v>2000x1400</v>
      </c>
      <c r="R5" s="3"/>
      <c r="S5" s="3" t="str">
        <f ca="1">IFERROR(__xludf.DUMMYFUNCTION("""COMPUTED_VALUE"""),"500 + 200 (600+200 HTML5)")</f>
        <v>500 + 200 (600+200 HTML5)</v>
      </c>
      <c r="T5" s="3"/>
      <c r="U5" s="3" t="str">
        <f ca="1">IFERROR(__xludf.DUMMYFUNCTION("""COMPUTED_VALUE"""),"banner standard")</f>
        <v>banner standard</v>
      </c>
      <c r="V5" s="3"/>
      <c r="W5" s="4" t="str">
        <f ca="1">IFERROR(__xludf.DUMMYFUNCTION("""COMPUTED_VALUE"""),"https://reklama.cncenter.cz/Online/branding")</f>
        <v>https://reklama.cncenter.cz/Online/branding</v>
      </c>
      <c r="X5" s="3"/>
      <c r="Y5" s="3"/>
      <c r="Z5" s="3" t="str">
        <f ca="1">IFERROR(__xludf.DUMMYFUNCTION("""COMPUTED_VALUE"""),"podklady@cncenter.cz")</f>
        <v>podklady@cncenter.cz</v>
      </c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 t="str">
        <f ca="1">IFERROR(__xludf.DUMMYFUNCTION("""COMPUTED_VALUE"""),"desktop")</f>
        <v>desktop</v>
      </c>
      <c r="AO5" s="3"/>
      <c r="AP5" s="3"/>
      <c r="AQ5" s="3"/>
      <c r="AR5" s="3"/>
      <c r="AS5" s="3"/>
      <c r="AT5" s="3"/>
      <c r="AU5" s="3" t="str">
        <f ca="1">IFERROR(__xludf.DUMMYFUNCTION("""COMPUTED_VALUE"""),"branding")</f>
        <v>branding</v>
      </c>
    </row>
    <row r="6" spans="1:67" x14ac:dyDescent="0.3">
      <c r="A6" s="3">
        <f ca="1"/>
        <v>2346826</v>
      </c>
      <c r="B6" s="3" t="str">
        <f ca="1"/>
        <v>CZECH NEWS CENTER a. s.</v>
      </c>
      <c r="C6" s="3" t="str">
        <f ca="1">IFERROR(__xludf.DUMMYFUNCTION("""COMPUTED_VALUE"""),"Abeceda zahrady")</f>
        <v>Abeceda zahrady</v>
      </c>
      <c r="D6" s="4" t="str">
        <f ca="1">IFERROR(__xludf.DUMMYFUNCTION("""COMPUTED_VALUE"""),"https://abecedazahrady.dama.cz")</f>
        <v>https://abecedazahrady.dama.cz</v>
      </c>
      <c r="E6" s="3" t="str">
        <f ca="1">IFERROR(__xludf.DUMMYFUNCTION("""COMPUTED_VALUE"""),"celý web")</f>
        <v>celý web</v>
      </c>
      <c r="F6" s="4" t="str">
        <f ca="1">IFERROR(__xludf.DUMMYFUNCTION("""COMPUTED_VALUE"""),"https://abecedazahrady.dama.cz")</f>
        <v>https://abecedazahrady.dama.cz</v>
      </c>
      <c r="G6" s="3" t="str">
        <f ca="1">IFERROR(__xludf.DUMMYFUNCTION("""COMPUTED_VALUE"""),"cílený billboard bottom low season")</f>
        <v>cílený billboard bottom low season</v>
      </c>
      <c r="H6" s="3">
        <f ca="1">IFERROR(__xludf.DUMMYFUNCTION("""COMPUTED_VALUE"""),7)</f>
        <v>7</v>
      </c>
      <c r="I6" s="5">
        <f ca="1">IFERROR(__xludf.DUMMYFUNCTION("""COMPUTED_VALUE"""),1000)</f>
        <v>1000</v>
      </c>
      <c r="J6" s="5">
        <f ca="1">IFERROR(__xludf.DUMMYFUNCTION("""COMPUTED_VALUE"""),288)</f>
        <v>288</v>
      </c>
      <c r="K6" s="3"/>
      <c r="L6" s="3" t="str">
        <f ca="1">IFERROR(__xludf.DUMMYFUNCTION("""COMPUTED_VALUE"""),"Cost per period")</f>
        <v>Cost per period</v>
      </c>
      <c r="M6" s="3"/>
      <c r="N6" s="3"/>
      <c r="O6" s="3" t="str">
        <f ca="1">IFERROR(__xludf.DUMMYFUNCTION("""COMPUTED_VALUE"""),"970")</f>
        <v>970</v>
      </c>
      <c r="P6" s="3" t="str">
        <f ca="1">IFERROR(__xludf.DUMMYFUNCTION("""COMPUTED_VALUE"""),"250")</f>
        <v>250</v>
      </c>
      <c r="Q6" s="3" t="str">
        <f ca="1">IFERROR(__xludf.DUMMYFUNCTION("""COMPUTED_VALUE"""),"970x250")</f>
        <v>970x250</v>
      </c>
      <c r="R6" s="3"/>
      <c r="S6" s="3" t="str">
        <f ca="1">IFERROR(__xludf.DUMMYFUNCTION("""COMPUTED_VALUE"""),"100 (200 - HTML5)")</f>
        <v>100 (200 - HTML5)</v>
      </c>
      <c r="T6" s="3"/>
      <c r="U6" s="3" t="str">
        <f ca="1">IFERROR(__xludf.DUMMYFUNCTION("""COMPUTED_VALUE"""),"banner standard")</f>
        <v>banner standard</v>
      </c>
      <c r="V6" s="3"/>
      <c r="W6" s="4" t="str">
        <f ca="1">IFERROR(__xludf.DUMMYFUNCTION("""COMPUTED_VALUE"""),"https://reklama.cncenter.cz/Online/billboard-bottom")</f>
        <v>https://reklama.cncenter.cz/Online/billboard-bottom</v>
      </c>
      <c r="X6" s="3"/>
      <c r="Y6" s="3"/>
      <c r="Z6" s="3" t="str">
        <f ca="1">IFERROR(__xludf.DUMMYFUNCTION("""COMPUTED_VALUE"""),"podklady@cncenter.cz")</f>
        <v>podklady@cncenter.cz</v>
      </c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 t="str">
        <f ca="1">IFERROR(__xludf.DUMMYFUNCTION("""COMPUTED_VALUE"""),"desktop")</f>
        <v>desktop</v>
      </c>
      <c r="AO6" s="3"/>
      <c r="AP6" s="3"/>
      <c r="AQ6" s="3"/>
      <c r="AR6" s="3"/>
      <c r="AS6" s="3"/>
      <c r="AT6" s="3"/>
      <c r="AU6" s="3" t="str">
        <f ca="1">IFERROR(__xludf.DUMMYFUNCTION("""COMPUTED_VALUE"""),"cílený billboard bottom")</f>
        <v>cílený billboard bottom</v>
      </c>
    </row>
    <row r="7" spans="1:67" x14ac:dyDescent="0.3">
      <c r="A7" s="3">
        <f ca="1"/>
        <v>2346826</v>
      </c>
      <c r="B7" s="3" t="str">
        <f ca="1"/>
        <v>CZECH NEWS CENTER a. s.</v>
      </c>
      <c r="C7" s="3" t="str">
        <f ca="1">IFERROR(__xludf.DUMMYFUNCTION("""COMPUTED_VALUE"""),"Abeceda zahrady")</f>
        <v>Abeceda zahrady</v>
      </c>
      <c r="D7" s="4" t="str">
        <f ca="1">IFERROR(__xludf.DUMMYFUNCTION("""COMPUTED_VALUE"""),"https://abecedazahrady.dama.cz")</f>
        <v>https://abecedazahrady.dama.cz</v>
      </c>
      <c r="E7" s="3" t="str">
        <f ca="1">IFERROR(__xludf.DUMMYFUNCTION("""COMPUTED_VALUE"""),"celý web")</f>
        <v>celý web</v>
      </c>
      <c r="F7" s="4" t="str">
        <f ca="1">IFERROR(__xludf.DUMMYFUNCTION("""COMPUTED_VALUE"""),"https://abecedazahrady.dama.cz")</f>
        <v>https://abecedazahrady.dama.cz</v>
      </c>
      <c r="G7" s="3" t="str">
        <f ca="1">IFERROR(__xludf.DUMMYFUNCTION("""COMPUTED_VALUE"""),"cílený branding cross-device low season")</f>
        <v>cílený branding cross-device low season</v>
      </c>
      <c r="H7" s="3">
        <f ca="1">IFERROR(__xludf.DUMMYFUNCTION("""COMPUTED_VALUE"""),7)</f>
        <v>7</v>
      </c>
      <c r="I7" s="5">
        <f ca="1">IFERROR(__xludf.DUMMYFUNCTION("""COMPUTED_VALUE"""),1000)</f>
        <v>1000</v>
      </c>
      <c r="J7" s="5">
        <f ca="1">IFERROR(__xludf.DUMMYFUNCTION("""COMPUTED_VALUE"""),360)</f>
        <v>360</v>
      </c>
      <c r="K7" s="3"/>
      <c r="L7" s="3" t="str">
        <f ca="1">IFERROR(__xludf.DUMMYFUNCTION("""COMPUTED_VALUE"""),"Cost per period")</f>
        <v>Cost per period</v>
      </c>
      <c r="M7" s="3"/>
      <c r="N7" s="3"/>
      <c r="O7" s="3" t="str">
        <f ca="1">IFERROR(__xludf.DUMMYFUNCTION("""COMPUTED_VALUE"""),"2000")</f>
        <v>2000</v>
      </c>
      <c r="P7" s="3" t="str">
        <f ca="1">IFERROR(__xludf.DUMMYFUNCTION("""COMPUTED_VALUE"""),"1400")</f>
        <v>1400</v>
      </c>
      <c r="Q7" s="3" t="str">
        <f ca="1">IFERROR(__xludf.DUMMYFUNCTION("""COMPUTED_VALUE"""),"2000x1400 + 600x1080")</f>
        <v>2000x1400 + 600x1080</v>
      </c>
      <c r="R7" s="3"/>
      <c r="S7" s="3" t="str">
        <f ca="1">IFERROR(__xludf.DUMMYFUNCTION("""COMPUTED_VALUE"""),"500 (600 - HTLM5)")</f>
        <v>500 (600 - HTLM5)</v>
      </c>
      <c r="T7" s="3"/>
      <c r="U7" s="3" t="str">
        <f ca="1">IFERROR(__xludf.DUMMYFUNCTION("""COMPUTED_VALUE"""),"banner standard")</f>
        <v>banner standard</v>
      </c>
      <c r="V7" s="3"/>
      <c r="W7" s="4" t="str">
        <f ca="1">IFERROR(__xludf.DUMMYFUNCTION("""COMPUTED_VALUE"""),"https://reklama.cncenter.cz/Online/branding-cross-device")</f>
        <v>https://reklama.cncenter.cz/Online/branding-cross-device</v>
      </c>
      <c r="X7" s="3"/>
      <c r="Y7" s="3"/>
      <c r="Z7" s="3" t="str">
        <f ca="1">IFERROR(__xludf.DUMMYFUNCTION("""COMPUTED_VALUE"""),"podklady@cncenter.cz")</f>
        <v>podklady@cncenter.cz</v>
      </c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 t="str">
        <f ca="1">IFERROR(__xludf.DUMMYFUNCTION("""COMPUTED_VALUE"""),"cross-device")</f>
        <v>cross-device</v>
      </c>
      <c r="AO7" s="3"/>
      <c r="AP7" s="3"/>
      <c r="AQ7" s="3"/>
      <c r="AR7" s="3"/>
      <c r="AS7" s="3"/>
      <c r="AT7" s="3"/>
      <c r="AU7" s="3" t="str">
        <f ca="1">IFERROR(__xludf.DUMMYFUNCTION("""COMPUTED_VALUE"""),"cílený branding cross-device")</f>
        <v>cílený branding cross-device</v>
      </c>
    </row>
    <row r="8" spans="1:67" x14ac:dyDescent="0.3">
      <c r="A8" s="3">
        <f ca="1"/>
        <v>2346826</v>
      </c>
      <c r="B8" s="3" t="str">
        <f ca="1"/>
        <v>CZECH NEWS CENTER a. s.</v>
      </c>
      <c r="C8" s="3" t="str">
        <f ca="1">IFERROR(__xludf.DUMMYFUNCTION("""COMPUTED_VALUE"""),"Abeceda zahrady")</f>
        <v>Abeceda zahrady</v>
      </c>
      <c r="D8" s="4" t="str">
        <f ca="1">IFERROR(__xludf.DUMMYFUNCTION("""COMPUTED_VALUE"""),"https://abecedazahrady.dama.cz")</f>
        <v>https://abecedazahrady.dama.cz</v>
      </c>
      <c r="E8" s="3" t="str">
        <f ca="1">IFERROR(__xludf.DUMMYFUNCTION("""COMPUTED_VALUE"""),"celý web")</f>
        <v>celý web</v>
      </c>
      <c r="F8" s="4" t="str">
        <f ca="1">IFERROR(__xludf.DUMMYFUNCTION("""COMPUTED_VALUE"""),"https://abecedazahrady.dama.cz")</f>
        <v>https://abecedazahrady.dama.cz</v>
      </c>
      <c r="G8" s="3" t="str">
        <f ca="1">IFERROR(__xludf.DUMMYFUNCTION("""COMPUTED_VALUE"""),"cílený branding low season")</f>
        <v>cílený branding low season</v>
      </c>
      <c r="H8" s="3">
        <f ca="1">IFERROR(__xludf.DUMMYFUNCTION("""COMPUTED_VALUE"""),7)</f>
        <v>7</v>
      </c>
      <c r="I8" s="5">
        <f ca="1">IFERROR(__xludf.DUMMYFUNCTION("""COMPUTED_VALUE"""),1000)</f>
        <v>1000</v>
      </c>
      <c r="J8" s="5">
        <f ca="1">IFERROR(__xludf.DUMMYFUNCTION("""COMPUTED_VALUE"""),588)</f>
        <v>588</v>
      </c>
      <c r="K8" s="3"/>
      <c r="L8" s="3" t="str">
        <f ca="1">IFERROR(__xludf.DUMMYFUNCTION("""COMPUTED_VALUE"""),"Cost per period")</f>
        <v>Cost per period</v>
      </c>
      <c r="M8" s="3"/>
      <c r="N8" s="3"/>
      <c r="O8" s="3" t="str">
        <f ca="1">IFERROR(__xludf.DUMMYFUNCTION("""COMPUTED_VALUE"""),"2000")</f>
        <v>2000</v>
      </c>
      <c r="P8" s="3" t="str">
        <f ca="1">IFERROR(__xludf.DUMMYFUNCTION("""COMPUTED_VALUE"""),"1400")</f>
        <v>1400</v>
      </c>
      <c r="Q8" s="3" t="str">
        <f ca="1">IFERROR(__xludf.DUMMYFUNCTION("""COMPUTED_VALUE"""),"2000x1400")</f>
        <v>2000x1400</v>
      </c>
      <c r="R8" s="3"/>
      <c r="S8" s="3" t="str">
        <f ca="1">IFERROR(__xludf.DUMMYFUNCTION("""COMPUTED_VALUE"""),"500 + 200 (600+200 HTML5)")</f>
        <v>500 + 200 (600+200 HTML5)</v>
      </c>
      <c r="T8" s="3"/>
      <c r="U8" s="3" t="str">
        <f ca="1">IFERROR(__xludf.DUMMYFUNCTION("""COMPUTED_VALUE"""),"banner standard")</f>
        <v>banner standard</v>
      </c>
      <c r="V8" s="3"/>
      <c r="W8" s="4" t="str">
        <f ca="1">IFERROR(__xludf.DUMMYFUNCTION("""COMPUTED_VALUE"""),"https://reklama.cncenter.cz/Online/branding")</f>
        <v>https://reklama.cncenter.cz/Online/branding</v>
      </c>
      <c r="X8" s="3"/>
      <c r="Y8" s="3"/>
      <c r="Z8" s="3" t="str">
        <f ca="1">IFERROR(__xludf.DUMMYFUNCTION("""COMPUTED_VALUE"""),"podklady@cncenter.cz")</f>
        <v>podklady@cncenter.cz</v>
      </c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 t="str">
        <f ca="1">IFERROR(__xludf.DUMMYFUNCTION("""COMPUTED_VALUE"""),"desktop")</f>
        <v>desktop</v>
      </c>
      <c r="AO8" s="3"/>
      <c r="AP8" s="3"/>
      <c r="AQ8" s="3"/>
      <c r="AR8" s="3"/>
      <c r="AS8" s="3"/>
      <c r="AT8" s="3"/>
      <c r="AU8" s="3" t="str">
        <f ca="1">IFERROR(__xludf.DUMMYFUNCTION("""COMPUTED_VALUE"""),"cílený branding")</f>
        <v>cílený branding</v>
      </c>
    </row>
    <row r="9" spans="1:67" x14ac:dyDescent="0.3">
      <c r="A9" s="3">
        <f ca="1"/>
        <v>2346826</v>
      </c>
      <c r="B9" s="3" t="str">
        <f ca="1"/>
        <v>CZECH NEWS CENTER a. s.</v>
      </c>
      <c r="C9" s="3" t="str">
        <f ca="1">IFERROR(__xludf.DUMMYFUNCTION("""COMPUTED_VALUE"""),"Abeceda zahrady")</f>
        <v>Abeceda zahrady</v>
      </c>
      <c r="D9" s="4" t="str">
        <f ca="1">IFERROR(__xludf.DUMMYFUNCTION("""COMPUTED_VALUE"""),"https://abecedazahrady.dama.cz")</f>
        <v>https://abecedazahrady.dama.cz</v>
      </c>
      <c r="E9" s="3" t="str">
        <f ca="1">IFERROR(__xludf.DUMMYFUNCTION("""COMPUTED_VALUE"""),"celý web")</f>
        <v>celý web</v>
      </c>
      <c r="F9" s="4" t="str">
        <f ca="1">IFERROR(__xludf.DUMMYFUNCTION("""COMPUTED_VALUE"""),"https://abecedazahrady.dama.cz")</f>
        <v>https://abecedazahrady.dama.cz</v>
      </c>
      <c r="G9" s="3" t="str">
        <f ca="1">IFERROR(__xludf.DUMMYFUNCTION("""COMPUTED_VALUE"""),"cílený double skyscraper low season")</f>
        <v>cílený double skyscraper low season</v>
      </c>
      <c r="H9" s="3">
        <f ca="1">IFERROR(__xludf.DUMMYFUNCTION("""COMPUTED_VALUE"""),7)</f>
        <v>7</v>
      </c>
      <c r="I9" s="5">
        <f ca="1">IFERROR(__xludf.DUMMYFUNCTION("""COMPUTED_VALUE"""),1000)</f>
        <v>1000</v>
      </c>
      <c r="J9" s="5">
        <f ca="1">IFERROR(__xludf.DUMMYFUNCTION("""COMPUTED_VALUE"""),228)</f>
        <v>228</v>
      </c>
      <c r="K9" s="3"/>
      <c r="L9" s="3" t="str">
        <f ca="1">IFERROR(__xludf.DUMMYFUNCTION("""COMPUTED_VALUE"""),"Cost per period")</f>
        <v>Cost per period</v>
      </c>
      <c r="M9" s="3"/>
      <c r="N9" s="3"/>
      <c r="O9" s="3" t="str">
        <f ca="1">IFERROR(__xludf.DUMMYFUNCTION("""COMPUTED_VALUE"""),"300")</f>
        <v>300</v>
      </c>
      <c r="P9" s="3" t="str">
        <f ca="1">IFERROR(__xludf.DUMMYFUNCTION("""COMPUTED_VALUE"""),"600")</f>
        <v>600</v>
      </c>
      <c r="Q9" s="3" t="str">
        <f ca="1">IFERROR(__xludf.DUMMYFUNCTION("""COMPUTED_VALUE"""),"300x600")</f>
        <v>300x600</v>
      </c>
      <c r="R9" s="3"/>
      <c r="S9" s="3" t="str">
        <f ca="1">IFERROR(__xludf.DUMMYFUNCTION("""COMPUTED_VALUE"""),"100 (200 - HTML5)")</f>
        <v>100 (200 - HTML5)</v>
      </c>
      <c r="T9" s="3"/>
      <c r="U9" s="3" t="str">
        <f ca="1">IFERROR(__xludf.DUMMYFUNCTION("""COMPUTED_VALUE"""),"banner standard")</f>
        <v>banner standard</v>
      </c>
      <c r="V9" s="3"/>
      <c r="W9" s="4" t="str">
        <f ca="1">IFERROR(__xludf.DUMMYFUNCTION("""COMPUTED_VALUE"""),"https://reklama.cncenter.cz/Online/double-skyscraper")</f>
        <v>https://reklama.cncenter.cz/Online/double-skyscraper</v>
      </c>
      <c r="X9" s="3"/>
      <c r="Y9" s="3"/>
      <c r="Z9" s="3" t="str">
        <f ca="1">IFERROR(__xludf.DUMMYFUNCTION("""COMPUTED_VALUE"""),"podklady@cncenter.cz")</f>
        <v>podklady@cncenter.cz</v>
      </c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 t="str">
        <f ca="1">IFERROR(__xludf.DUMMYFUNCTION("""COMPUTED_VALUE"""),"desktop")</f>
        <v>desktop</v>
      </c>
      <c r="AO9" s="3"/>
      <c r="AP9" s="3"/>
      <c r="AQ9" s="3"/>
      <c r="AR9" s="3"/>
      <c r="AS9" s="3"/>
      <c r="AT9" s="3"/>
      <c r="AU9" s="3" t="str">
        <f ca="1">IFERROR(__xludf.DUMMYFUNCTION("""COMPUTED_VALUE"""),"cílený double skyscraper")</f>
        <v>cílený double skyscraper</v>
      </c>
    </row>
    <row r="10" spans="1:67" x14ac:dyDescent="0.3">
      <c r="A10" s="3">
        <f ca="1"/>
        <v>2346826</v>
      </c>
      <c r="B10" s="3" t="str">
        <f ca="1"/>
        <v>CZECH NEWS CENTER a. s.</v>
      </c>
      <c r="C10" s="3" t="str">
        <f ca="1">IFERROR(__xludf.DUMMYFUNCTION("""COMPUTED_VALUE"""),"Abeceda zahrady")</f>
        <v>Abeceda zahrady</v>
      </c>
      <c r="D10" s="4" t="str">
        <f ca="1">IFERROR(__xludf.DUMMYFUNCTION("""COMPUTED_VALUE"""),"https://abecedazahrady.dama.cz")</f>
        <v>https://abecedazahrady.dama.cz</v>
      </c>
      <c r="E10" s="3" t="str">
        <f ca="1">IFERROR(__xludf.DUMMYFUNCTION("""COMPUTED_VALUE"""),"celý web")</f>
        <v>celý web</v>
      </c>
      <c r="F10" s="4" t="str">
        <f ca="1">IFERROR(__xludf.DUMMYFUNCTION("""COMPUTED_VALUE"""),"https://abecedazahrady.dama.cz")</f>
        <v>https://abecedazahrady.dama.cz</v>
      </c>
      <c r="G10" s="3" t="str">
        <f ca="1">IFERROR(__xludf.DUMMYFUNCTION("""COMPUTED_VALUE"""),"cílený mobilní interscroller low season")</f>
        <v>cílený mobilní interscroller low season</v>
      </c>
      <c r="H10" s="3">
        <f ca="1">IFERROR(__xludf.DUMMYFUNCTION("""COMPUTED_VALUE"""),7)</f>
        <v>7</v>
      </c>
      <c r="I10" s="5">
        <f ca="1">IFERROR(__xludf.DUMMYFUNCTION("""COMPUTED_VALUE"""),1000)</f>
        <v>1000</v>
      </c>
      <c r="J10" s="5">
        <f ca="1">IFERROR(__xludf.DUMMYFUNCTION("""COMPUTED_VALUE"""),300)</f>
        <v>300</v>
      </c>
      <c r="K10" s="3"/>
      <c r="L10" s="3" t="str">
        <f ca="1">IFERROR(__xludf.DUMMYFUNCTION("""COMPUTED_VALUE"""),"Cost per period")</f>
        <v>Cost per period</v>
      </c>
      <c r="M10" s="3"/>
      <c r="N10" s="3"/>
      <c r="O10" s="3" t="str">
        <f ca="1">IFERROR(__xludf.DUMMYFUNCTION("""COMPUTED_VALUE"""),"600")</f>
        <v>600</v>
      </c>
      <c r="P10" s="3" t="str">
        <f ca="1">IFERROR(__xludf.DUMMYFUNCTION("""COMPUTED_VALUE"""),"1080")</f>
        <v>1080</v>
      </c>
      <c r="Q10" s="3" t="str">
        <f ca="1">IFERROR(__xludf.DUMMYFUNCTION("""COMPUTED_VALUE"""),"600x1080")</f>
        <v>600x1080</v>
      </c>
      <c r="R10" s="3"/>
      <c r="S10" s="3" t="str">
        <f ca="1">IFERROR(__xludf.DUMMYFUNCTION("""COMPUTED_VALUE"""),"200")</f>
        <v>200</v>
      </c>
      <c r="T10" s="3"/>
      <c r="U10" s="3" t="str">
        <f ca="1">IFERROR(__xludf.DUMMYFUNCTION("""COMPUTED_VALUE"""),"banner standard")</f>
        <v>banner standard</v>
      </c>
      <c r="V10" s="3"/>
      <c r="W10" s="4" t="str">
        <f ca="1">IFERROR(__xludf.DUMMYFUNCTION("""COMPUTED_VALUE"""),"https://reklama.cncenter.cz/Online/mobilni-interscroller")</f>
        <v>https://reklama.cncenter.cz/Online/mobilni-interscroller</v>
      </c>
      <c r="X10" s="3"/>
      <c r="Y10" s="3"/>
      <c r="Z10" s="3" t="str">
        <f ca="1">IFERROR(__xludf.DUMMYFUNCTION("""COMPUTED_VALUE"""),"podklady@cncenter.cz")</f>
        <v>podklady@cncenter.cz</v>
      </c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 t="str">
        <f ca="1">IFERROR(__xludf.DUMMYFUNCTION("""COMPUTED_VALUE"""),"mobile")</f>
        <v>mobile</v>
      </c>
      <c r="AO10" s="3"/>
      <c r="AP10" s="3"/>
      <c r="AQ10" s="3"/>
      <c r="AR10" s="3"/>
      <c r="AS10" s="3"/>
      <c r="AT10" s="3"/>
      <c r="AU10" s="3" t="str">
        <f ca="1">IFERROR(__xludf.DUMMYFUNCTION("""COMPUTED_VALUE"""),"cílený mobilní interscroller")</f>
        <v>cílený mobilní interscroller</v>
      </c>
    </row>
    <row r="11" spans="1:67" x14ac:dyDescent="0.3">
      <c r="A11" s="3">
        <f ca="1"/>
        <v>2346826</v>
      </c>
      <c r="B11" s="3" t="str">
        <f ca="1"/>
        <v>CZECH NEWS CENTER a. s.</v>
      </c>
      <c r="C11" s="3" t="str">
        <f ca="1">IFERROR(__xludf.DUMMYFUNCTION("""COMPUTED_VALUE"""),"Abeceda zahrady")</f>
        <v>Abeceda zahrady</v>
      </c>
      <c r="D11" s="4" t="str">
        <f ca="1">IFERROR(__xludf.DUMMYFUNCTION("""COMPUTED_VALUE"""),"https://abecedazahrady.dama.cz")</f>
        <v>https://abecedazahrady.dama.cz</v>
      </c>
      <c r="E11" s="3" t="str">
        <f ca="1">IFERROR(__xludf.DUMMYFUNCTION("""COMPUTED_VALUE"""),"celý web")</f>
        <v>celý web</v>
      </c>
      <c r="F11" s="4" t="str">
        <f ca="1">IFERROR(__xludf.DUMMYFUNCTION("""COMPUTED_VALUE"""),"https://abecedazahrady.dama.cz")</f>
        <v>https://abecedazahrady.dama.cz</v>
      </c>
      <c r="G11" s="3" t="str">
        <f ca="1">IFERROR(__xludf.DUMMYFUNCTION("""COMPUTED_VALUE"""),"cílený mobilní slide-up low season")</f>
        <v>cílený mobilní slide-up low season</v>
      </c>
      <c r="H11" s="3">
        <f ca="1">IFERROR(__xludf.DUMMYFUNCTION("""COMPUTED_VALUE"""),7)</f>
        <v>7</v>
      </c>
      <c r="I11" s="5">
        <f ca="1">IFERROR(__xludf.DUMMYFUNCTION("""COMPUTED_VALUE"""),1000)</f>
        <v>1000</v>
      </c>
      <c r="J11" s="5">
        <f ca="1">IFERROR(__xludf.DUMMYFUNCTION("""COMPUTED_VALUE"""),612)</f>
        <v>612</v>
      </c>
      <c r="K11" s="3"/>
      <c r="L11" s="3" t="str">
        <f ca="1">IFERROR(__xludf.DUMMYFUNCTION("""COMPUTED_VALUE"""),"Cost per period")</f>
        <v>Cost per period</v>
      </c>
      <c r="M11" s="3"/>
      <c r="N11" s="3"/>
      <c r="O11" s="3" t="str">
        <f ca="1">IFERROR(__xludf.DUMMYFUNCTION("""COMPUTED_VALUE"""),"300")</f>
        <v>300</v>
      </c>
      <c r="P11" s="3" t="str">
        <f ca="1">IFERROR(__xludf.DUMMYFUNCTION("""COMPUTED_VALUE"""),"120")</f>
        <v>120</v>
      </c>
      <c r="Q11" s="3" t="str">
        <f ca="1">IFERROR(__xludf.DUMMYFUNCTION("""COMPUTED_VALUE"""),"300x120")</f>
        <v>300x120</v>
      </c>
      <c r="R11" s="3"/>
      <c r="S11" s="3" t="str">
        <f ca="1">IFERROR(__xludf.DUMMYFUNCTION("""COMPUTED_VALUE"""),"100")</f>
        <v>100</v>
      </c>
      <c r="T11" s="3"/>
      <c r="U11" s="3" t="str">
        <f ca="1">IFERROR(__xludf.DUMMYFUNCTION("""COMPUTED_VALUE"""),"banner standard")</f>
        <v>banner standard</v>
      </c>
      <c r="V11" s="3"/>
      <c r="W11" s="4" t="str">
        <f ca="1">IFERROR(__xludf.DUMMYFUNCTION("""COMPUTED_VALUE"""),"https://reklama.cncenter.cz/Online/mobilni-slide-up")</f>
        <v>https://reklama.cncenter.cz/Online/mobilni-slide-up</v>
      </c>
      <c r="X11" s="3"/>
      <c r="Y11" s="3"/>
      <c r="Z11" s="3" t="str">
        <f ca="1">IFERROR(__xludf.DUMMYFUNCTION("""COMPUTED_VALUE"""),"podklady@cncenter.cz")</f>
        <v>podklady@cncenter.cz</v>
      </c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 t="str">
        <f ca="1">IFERROR(__xludf.DUMMYFUNCTION("""COMPUTED_VALUE"""),"mobile")</f>
        <v>mobile</v>
      </c>
      <c r="AO11" s="3"/>
      <c r="AP11" s="3"/>
      <c r="AQ11" s="3"/>
      <c r="AR11" s="3"/>
      <c r="AS11" s="3"/>
      <c r="AT11" s="3"/>
      <c r="AU11" s="3" t="str">
        <f ca="1">IFERROR(__xludf.DUMMYFUNCTION("""COMPUTED_VALUE"""),"cílený mobilní slide-up")</f>
        <v>cílený mobilní slide-up</v>
      </c>
    </row>
    <row r="12" spans="1:67" x14ac:dyDescent="0.3">
      <c r="A12" s="3">
        <f ca="1"/>
        <v>2346826</v>
      </c>
      <c r="B12" s="3" t="str">
        <f ca="1"/>
        <v>CZECH NEWS CENTER a. s.</v>
      </c>
      <c r="C12" s="3" t="str">
        <f ca="1">IFERROR(__xludf.DUMMYFUNCTION("""COMPUTED_VALUE"""),"Abeceda zahrady")</f>
        <v>Abeceda zahrady</v>
      </c>
      <c r="D12" s="4" t="str">
        <f ca="1">IFERROR(__xludf.DUMMYFUNCTION("""COMPUTED_VALUE"""),"https://abecedazahrady.dama.cz")</f>
        <v>https://abecedazahrady.dama.cz</v>
      </c>
      <c r="E12" s="3" t="str">
        <f ca="1">IFERROR(__xludf.DUMMYFUNCTION("""COMPUTED_VALUE"""),"celý web")</f>
        <v>celý web</v>
      </c>
      <c r="F12" s="4" t="str">
        <f ca="1">IFERROR(__xludf.DUMMYFUNCTION("""COMPUTED_VALUE"""),"https://abecedazahrady.dama.cz")</f>
        <v>https://abecedazahrady.dama.cz</v>
      </c>
      <c r="G12" s="3" t="str">
        <f ca="1">IFERROR(__xludf.DUMMYFUNCTION("""COMPUTED_VALUE"""),"cílený mobilní viněta low season")</f>
        <v>cílený mobilní viněta low season</v>
      </c>
      <c r="H12" s="3">
        <f ca="1">IFERROR(__xludf.DUMMYFUNCTION("""COMPUTED_VALUE"""),7)</f>
        <v>7</v>
      </c>
      <c r="I12" s="5">
        <f ca="1">IFERROR(__xludf.DUMMYFUNCTION("""COMPUTED_VALUE"""),1000)</f>
        <v>1000</v>
      </c>
      <c r="J12" s="5">
        <f ca="1">IFERROR(__xludf.DUMMYFUNCTION("""COMPUTED_VALUE"""),1056)</f>
        <v>1056</v>
      </c>
      <c r="K12" s="3"/>
      <c r="L12" s="3" t="str">
        <f ca="1">IFERROR(__xludf.DUMMYFUNCTION("""COMPUTED_VALUE"""),"Cost per period")</f>
        <v>Cost per period</v>
      </c>
      <c r="M12" s="3"/>
      <c r="N12" s="3"/>
      <c r="O12" s="3" t="str">
        <f ca="1">IFERROR(__xludf.DUMMYFUNCTION("""COMPUTED_VALUE"""),"600")</f>
        <v>600</v>
      </c>
      <c r="P12" s="3" t="str">
        <f ca="1">IFERROR(__xludf.DUMMYFUNCTION("""COMPUTED_VALUE"""),"800")</f>
        <v>800</v>
      </c>
      <c r="Q12" s="3" t="str">
        <f ca="1">IFERROR(__xludf.DUMMYFUNCTION("""COMPUTED_VALUE"""),"300x250 nebo 600x800")</f>
        <v>300x250 nebo 600x800</v>
      </c>
      <c r="R12" s="3"/>
      <c r="S12" s="3" t="str">
        <f ca="1">IFERROR(__xludf.DUMMYFUNCTION("""COMPUTED_VALUE"""),"100")</f>
        <v>100</v>
      </c>
      <c r="T12" s="3"/>
      <c r="U12" s="3" t="str">
        <f ca="1">IFERROR(__xludf.DUMMYFUNCTION("""COMPUTED_VALUE"""),"banner standard")</f>
        <v>banner standard</v>
      </c>
      <c r="V12" s="3"/>
      <c r="W12" s="4" t="str">
        <f ca="1">IFERROR(__xludf.DUMMYFUNCTION("""COMPUTED_VALUE"""),"https://reklama.cncenter.cz/Online/mobilni-vineta")</f>
        <v>https://reklama.cncenter.cz/Online/mobilni-vineta</v>
      </c>
      <c r="X12" s="3"/>
      <c r="Y12" s="3"/>
      <c r="Z12" s="3" t="str">
        <f ca="1">IFERROR(__xludf.DUMMYFUNCTION("""COMPUTED_VALUE"""),"podklady@cncenter.cz")</f>
        <v>podklady@cncenter.cz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 t="str">
        <f ca="1">IFERROR(__xludf.DUMMYFUNCTION("""COMPUTED_VALUE"""),"mobile")</f>
        <v>mobile</v>
      </c>
      <c r="AO12" s="3"/>
      <c r="AP12" s="3"/>
      <c r="AQ12" s="3"/>
      <c r="AR12" s="3"/>
      <c r="AS12" s="3"/>
      <c r="AT12" s="3"/>
      <c r="AU12" s="3" t="str">
        <f ca="1">IFERROR(__xludf.DUMMYFUNCTION("""COMPUTED_VALUE"""),"cílený mobilní viněta")</f>
        <v>cílený mobilní viněta</v>
      </c>
    </row>
    <row r="13" spans="1:67" x14ac:dyDescent="0.3">
      <c r="A13" s="3">
        <f ca="1"/>
        <v>2346826</v>
      </c>
      <c r="B13" s="3" t="str">
        <f ca="1"/>
        <v>CZECH NEWS CENTER a. s.</v>
      </c>
      <c r="C13" s="3" t="str">
        <f ca="1">IFERROR(__xludf.DUMMYFUNCTION("""COMPUTED_VALUE"""),"Abeceda zahrady")</f>
        <v>Abeceda zahrady</v>
      </c>
      <c r="D13" s="4" t="str">
        <f ca="1">IFERROR(__xludf.DUMMYFUNCTION("""COMPUTED_VALUE"""),"https://abecedazahrady.dama.cz")</f>
        <v>https://abecedazahrady.dama.cz</v>
      </c>
      <c r="E13" s="3" t="str">
        <f ca="1">IFERROR(__xludf.DUMMYFUNCTION("""COMPUTED_VALUE"""),"celý web")</f>
        <v>celý web</v>
      </c>
      <c r="F13" s="4" t="str">
        <f ca="1">IFERROR(__xludf.DUMMYFUNCTION("""COMPUTED_VALUE"""),"https://abecedazahrady.dama.cz")</f>
        <v>https://abecedazahrady.dama.cz</v>
      </c>
      <c r="G13" s="3" t="str">
        <f ca="1">IFERROR(__xludf.DUMMYFUNCTION("""COMPUTED_VALUE"""),"cílený nativní rectangle cross-device low season")</f>
        <v>cílený nativní rectangle cross-device low season</v>
      </c>
      <c r="H13" s="3">
        <f ca="1">IFERROR(__xludf.DUMMYFUNCTION("""COMPUTED_VALUE"""),7)</f>
        <v>7</v>
      </c>
      <c r="I13" s="5">
        <f ca="1">IFERROR(__xludf.DUMMYFUNCTION("""COMPUTED_VALUE"""),1000)</f>
        <v>1000</v>
      </c>
      <c r="J13" s="5">
        <f ca="1">IFERROR(__xludf.DUMMYFUNCTION("""COMPUTED_VALUE"""),240)</f>
        <v>240</v>
      </c>
      <c r="K13" s="3"/>
      <c r="L13" s="3" t="str">
        <f ca="1">IFERROR(__xludf.DUMMYFUNCTION("""COMPUTED_VALUE"""),"Cost per period")</f>
        <v>Cost per period</v>
      </c>
      <c r="M13" s="3"/>
      <c r="N13" s="3"/>
      <c r="O13" s="3" t="str">
        <f ca="1">IFERROR(__xludf.DUMMYFUNCTION("""COMPUTED_VALUE"""),"640")</f>
        <v>640</v>
      </c>
      <c r="P13" s="3" t="str">
        <f ca="1">IFERROR(__xludf.DUMMYFUNCTION("""COMPUTED_VALUE"""),"335, 640")</f>
        <v>335, 640</v>
      </c>
      <c r="Q13" s="3" t="str">
        <f ca="1">IFERROR(__xludf.DUMMYFUNCTION("""COMPUTED_VALUE"""),"640x640 a 640x335 + text + logo")</f>
        <v>640x640 a 640x335 + text + logo</v>
      </c>
      <c r="R13" s="3"/>
      <c r="S13" s="3" t="str">
        <f ca="1">IFERROR(__xludf.DUMMYFUNCTION("""COMPUTED_VALUE"""),"45")</f>
        <v>45</v>
      </c>
      <c r="T13" s="3"/>
      <c r="U13" s="3" t="str">
        <f ca="1">IFERROR(__xludf.DUMMYFUNCTION("""COMPUTED_VALUE"""),"nativní reklama")</f>
        <v>nativní reklama</v>
      </c>
      <c r="V13" s="3"/>
      <c r="W13" s="4" t="str">
        <f ca="1">IFERROR(__xludf.DUMMYFUNCTION("""COMPUTED_VALUE"""),"https://reklama.cncenter.cz/Online/nativni-rectangle-cross-device")</f>
        <v>https://reklama.cncenter.cz/Online/nativni-rectangle-cross-device</v>
      </c>
      <c r="X13" s="3"/>
      <c r="Y13" s="3"/>
      <c r="Z13" s="3" t="str">
        <f ca="1">IFERROR(__xludf.DUMMYFUNCTION("""COMPUTED_VALUE"""),"podklady@cncenter.cz")</f>
        <v>podklady@cncenter.cz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 t="str">
        <f ca="1">IFERROR(__xludf.DUMMYFUNCTION("""COMPUTED_VALUE"""),"cross-device")</f>
        <v>cross-device</v>
      </c>
      <c r="AO13" s="3"/>
      <c r="AP13" s="3"/>
      <c r="AQ13" s="3"/>
      <c r="AR13" s="3"/>
      <c r="AS13" s="3"/>
      <c r="AT13" s="3"/>
      <c r="AU13" s="3" t="str">
        <f ca="1">IFERROR(__xludf.DUMMYFUNCTION("""COMPUTED_VALUE"""),"cílený nativní rectangle cross-device")</f>
        <v>cílený nativní rectangle cross-device</v>
      </c>
    </row>
    <row r="14" spans="1:67" x14ac:dyDescent="0.3">
      <c r="A14" s="3">
        <f ca="1"/>
        <v>2346826</v>
      </c>
      <c r="B14" s="3" t="str">
        <f ca="1"/>
        <v>CZECH NEWS CENTER a. s.</v>
      </c>
      <c r="C14" s="3" t="str">
        <f ca="1">IFERROR(__xludf.DUMMYFUNCTION("""COMPUTED_VALUE"""),"Abeceda zahrady")</f>
        <v>Abeceda zahrady</v>
      </c>
      <c r="D14" s="4" t="str">
        <f ca="1">IFERROR(__xludf.DUMMYFUNCTION("""COMPUTED_VALUE"""),"https://abecedazahrady.dama.cz")</f>
        <v>https://abecedazahrady.dama.cz</v>
      </c>
      <c r="E14" s="3" t="str">
        <f ca="1">IFERROR(__xludf.DUMMYFUNCTION("""COMPUTED_VALUE"""),"celý web")</f>
        <v>celý web</v>
      </c>
      <c r="F14" s="4" t="str">
        <f ca="1">IFERROR(__xludf.DUMMYFUNCTION("""COMPUTED_VALUE"""),"https://abecedazahrady.dama.cz")</f>
        <v>https://abecedazahrady.dama.cz</v>
      </c>
      <c r="G14" s="3" t="str">
        <f ca="1">IFERROR(__xludf.DUMMYFUNCTION("""COMPUTED_VALUE"""),"cílený outstream low season")</f>
        <v>cílený outstream low season</v>
      </c>
      <c r="H14" s="3">
        <f ca="1">IFERROR(__xludf.DUMMYFUNCTION("""COMPUTED_VALUE"""),7)</f>
        <v>7</v>
      </c>
      <c r="I14" s="5">
        <f ca="1">IFERROR(__xludf.DUMMYFUNCTION("""COMPUTED_VALUE"""),1000)</f>
        <v>1000</v>
      </c>
      <c r="J14" s="5">
        <f ca="1">IFERROR(__xludf.DUMMYFUNCTION("""COMPUTED_VALUE"""),300)</f>
        <v>300</v>
      </c>
      <c r="K14" s="3"/>
      <c r="L14" s="3" t="str">
        <f ca="1">IFERROR(__xludf.DUMMYFUNCTION("""COMPUTED_VALUE"""),"Cost per period")</f>
        <v>Cost per period</v>
      </c>
      <c r="M14" s="3"/>
      <c r="N14" s="3"/>
      <c r="O14" s="3" t="str">
        <f ca="1">IFERROR(__xludf.DUMMYFUNCTION("""COMPUTED_VALUE"""),"1280")</f>
        <v>1280</v>
      </c>
      <c r="P14" s="3" t="str">
        <f ca="1">IFERROR(__xludf.DUMMYFUNCTION("""COMPUTED_VALUE"""),"720")</f>
        <v>720</v>
      </c>
      <c r="Q14" s="3" t="str">
        <f ca="1">IFERROR(__xludf.DUMMYFUNCTION("""COMPUTED_VALUE"""),"16:9")</f>
        <v>16:9</v>
      </c>
      <c r="R14" s="3"/>
      <c r="S14" s="3" t="str">
        <f ca="1">IFERROR(__xludf.DUMMYFUNCTION("""COMPUTED_VALUE"""),"100")</f>
        <v>100</v>
      </c>
      <c r="T14" s="3"/>
      <c r="U14" s="3" t="str">
        <f ca="1">IFERROR(__xludf.DUMMYFUNCTION("""COMPUTED_VALUE"""),"videospot")</f>
        <v>videospot</v>
      </c>
      <c r="V14" s="3"/>
      <c r="W14" s="4" t="str">
        <f ca="1">IFERROR(__xludf.DUMMYFUNCTION("""COMPUTED_VALUE"""),"https://reklama.cncenter.cz/Online/Outstream")</f>
        <v>https://reklama.cncenter.cz/Online/Outstream</v>
      </c>
      <c r="X14" s="3"/>
      <c r="Y14" s="3"/>
      <c r="Z14" s="3" t="str">
        <f ca="1">IFERROR(__xludf.DUMMYFUNCTION("""COMPUTED_VALUE"""),"podklady@cncenter.cz")</f>
        <v>podklady@cncenter.cz</v>
      </c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 t="str">
        <f ca="1">IFERROR(__xludf.DUMMYFUNCTION("""COMPUTED_VALUE"""),"cross-device")</f>
        <v>cross-device</v>
      </c>
      <c r="AO14" s="3"/>
      <c r="AP14" s="3"/>
      <c r="AQ14" s="3"/>
      <c r="AR14" s="3"/>
      <c r="AS14" s="3"/>
      <c r="AT14" s="3"/>
      <c r="AU14" s="3" t="str">
        <f ca="1">IFERROR(__xludf.DUMMYFUNCTION("""COMPUTED_VALUE"""),"cílený outstream")</f>
        <v>cílený outstream</v>
      </c>
    </row>
    <row r="15" spans="1:67" x14ac:dyDescent="0.3">
      <c r="A15" s="3">
        <f ca="1"/>
        <v>2346826</v>
      </c>
      <c r="B15" s="3" t="str">
        <f ca="1"/>
        <v>CZECH NEWS CENTER a. s.</v>
      </c>
      <c r="C15" s="3" t="str">
        <f ca="1">IFERROR(__xludf.DUMMYFUNCTION("""COMPUTED_VALUE"""),"Abeceda zahrady")</f>
        <v>Abeceda zahrady</v>
      </c>
      <c r="D15" s="4" t="str">
        <f ca="1">IFERROR(__xludf.DUMMYFUNCTION("""COMPUTED_VALUE"""),"https://abecedazahrady.dama.cz")</f>
        <v>https://abecedazahrady.dama.cz</v>
      </c>
      <c r="E15" s="3" t="str">
        <f ca="1">IFERROR(__xludf.DUMMYFUNCTION("""COMPUTED_VALUE"""),"celý web")</f>
        <v>celý web</v>
      </c>
      <c r="F15" s="4" t="str">
        <f ca="1">IFERROR(__xludf.DUMMYFUNCTION("""COMPUTED_VALUE"""),"https://abecedazahrady.dama.cz")</f>
        <v>https://abecedazahrady.dama.cz</v>
      </c>
      <c r="G15" s="3" t="str">
        <f ca="1">IFERROR(__xludf.DUMMYFUNCTION("""COMPUTED_VALUE"""),"dokoupení proma o 2 týdny - 10 000 PV *** low season")</f>
        <v>dokoupení proma o 2 týdny - 10 000 PV *** low season</v>
      </c>
      <c r="H15" s="3">
        <f ca="1">IFERROR(__xludf.DUMMYFUNCTION("""COMPUTED_VALUE"""),1)</f>
        <v>1</v>
      </c>
      <c r="I15" s="5">
        <f ca="1">IFERROR(__xludf.DUMMYFUNCTION("""COMPUTED_VALUE"""),1)</f>
        <v>1</v>
      </c>
      <c r="J15" s="5">
        <f ca="1">IFERROR(__xludf.DUMMYFUNCTION("""COMPUTED_VALUE"""),60000)</f>
        <v>60000</v>
      </c>
      <c r="K15" s="3"/>
      <c r="L15" s="3" t="str">
        <f ca="1">IFERROR(__xludf.DUMMYFUNCTION("""COMPUTED_VALUE"""),"Cost per instance")</f>
        <v>Cost per instance</v>
      </c>
      <c r="M15" s="3"/>
      <c r="N15" s="3"/>
      <c r="O15" s="3"/>
      <c r="P15" s="3"/>
      <c r="Q15" s="3"/>
      <c r="R15" s="3"/>
      <c r="S15" s="3" t="str">
        <f ca="1">IFERROR(__xludf.DUMMYFUNCTION("""COMPUTED_VALUE"""),"100")</f>
        <v>100</v>
      </c>
      <c r="T15" s="3"/>
      <c r="U15" s="3" t="str">
        <f ca="1">IFERROR(__xludf.DUMMYFUNCTION("""COMPUTED_VALUE"""),"microsite")</f>
        <v>microsite</v>
      </c>
      <c r="V15" s="3"/>
      <c r="W15" s="3"/>
      <c r="X15" s="3"/>
      <c r="Y15" s="3"/>
      <c r="Z15" s="3" t="str">
        <f ca="1">IFERROR(__xludf.DUMMYFUNCTION("""COMPUTED_VALUE"""),"podklady@cncenter.cz")</f>
        <v>podklady@cncenter.cz</v>
      </c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 t="str">
        <f ca="1">IFERROR(__xludf.DUMMYFUNCTION("""COMPUTED_VALUE"""),"cross-device")</f>
        <v>cross-device</v>
      </c>
      <c r="AO15" s="3"/>
      <c r="AP15" s="3"/>
      <c r="AQ15" s="3"/>
      <c r="AR15" s="3"/>
      <c r="AS15" s="3"/>
      <c r="AT15" s="3"/>
      <c r="AU15" s="3" t="str">
        <f ca="1">IFERROR(__xludf.DUMMYFUNCTION("""COMPUTED_VALUE"""),"dokoupení proma o 2 týdny - 10 000 PV ***")</f>
        <v>dokoupení proma o 2 týdny - 10 000 PV ***</v>
      </c>
    </row>
    <row r="16" spans="1:67" x14ac:dyDescent="0.3">
      <c r="A16" s="3">
        <f ca="1"/>
        <v>2346826</v>
      </c>
      <c r="B16" s="3" t="str">
        <f ca="1"/>
        <v>CZECH NEWS CENTER a. s.</v>
      </c>
      <c r="C16" s="3" t="str">
        <f ca="1">IFERROR(__xludf.DUMMYFUNCTION("""COMPUTED_VALUE"""),"Abeceda zahrady")</f>
        <v>Abeceda zahrady</v>
      </c>
      <c r="D16" s="4" t="str">
        <f ca="1">IFERROR(__xludf.DUMMYFUNCTION("""COMPUTED_VALUE"""),"https://abecedazahrady.dama.cz")</f>
        <v>https://abecedazahrady.dama.cz</v>
      </c>
      <c r="E16" s="3" t="str">
        <f ca="1">IFERROR(__xludf.DUMMYFUNCTION("""COMPUTED_VALUE"""),"celý web")</f>
        <v>celý web</v>
      </c>
      <c r="F16" s="4" t="str">
        <f ca="1">IFERROR(__xludf.DUMMYFUNCTION("""COMPUTED_VALUE"""),"https://abecedazahrady.dama.cz")</f>
        <v>https://abecedazahrady.dama.cz</v>
      </c>
      <c r="G16" s="3" t="str">
        <f ca="1">IFERROR(__xludf.DUMMYFUNCTION("""COMPUTED_VALUE"""),"double skyscraper low season")</f>
        <v>double skyscraper low season</v>
      </c>
      <c r="H16" s="3">
        <f ca="1">IFERROR(__xludf.DUMMYFUNCTION("""COMPUTED_VALUE"""),7)</f>
        <v>7</v>
      </c>
      <c r="I16" s="5">
        <f ca="1">IFERROR(__xludf.DUMMYFUNCTION("""COMPUTED_VALUE"""),1000)</f>
        <v>1000</v>
      </c>
      <c r="J16" s="5">
        <f ca="1">IFERROR(__xludf.DUMMYFUNCTION("""COMPUTED_VALUE"""),190)</f>
        <v>190</v>
      </c>
      <c r="K16" s="3"/>
      <c r="L16" s="3" t="str">
        <f ca="1">IFERROR(__xludf.DUMMYFUNCTION("""COMPUTED_VALUE"""),"Cost per period")</f>
        <v>Cost per period</v>
      </c>
      <c r="M16" s="3"/>
      <c r="N16" s="3"/>
      <c r="O16" s="3" t="str">
        <f ca="1">IFERROR(__xludf.DUMMYFUNCTION("""COMPUTED_VALUE"""),"300")</f>
        <v>300</v>
      </c>
      <c r="P16" s="3" t="str">
        <f ca="1">IFERROR(__xludf.DUMMYFUNCTION("""COMPUTED_VALUE"""),"600")</f>
        <v>600</v>
      </c>
      <c r="Q16" s="3" t="str">
        <f ca="1">IFERROR(__xludf.DUMMYFUNCTION("""COMPUTED_VALUE"""),"300x600")</f>
        <v>300x600</v>
      </c>
      <c r="R16" s="3"/>
      <c r="S16" s="3" t="str">
        <f ca="1">IFERROR(__xludf.DUMMYFUNCTION("""COMPUTED_VALUE"""),"100 (200 - HTML5)")</f>
        <v>100 (200 - HTML5)</v>
      </c>
      <c r="T16" s="3"/>
      <c r="U16" s="3" t="str">
        <f ca="1">IFERROR(__xludf.DUMMYFUNCTION("""COMPUTED_VALUE"""),"banner standard")</f>
        <v>banner standard</v>
      </c>
      <c r="V16" s="3"/>
      <c r="W16" s="4" t="str">
        <f ca="1">IFERROR(__xludf.DUMMYFUNCTION("""COMPUTED_VALUE"""),"https://reklama.cncenter.cz/Online/double-skyscraper")</f>
        <v>https://reklama.cncenter.cz/Online/double-skyscraper</v>
      </c>
      <c r="X16" s="3"/>
      <c r="Y16" s="3"/>
      <c r="Z16" s="3" t="str">
        <f ca="1">IFERROR(__xludf.DUMMYFUNCTION("""COMPUTED_VALUE"""),"podklady@cncenter.cz")</f>
        <v>podklady@cncenter.cz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 t="str">
        <f ca="1">IFERROR(__xludf.DUMMYFUNCTION("""COMPUTED_VALUE"""),"desktop")</f>
        <v>desktop</v>
      </c>
      <c r="AO16" s="3"/>
      <c r="AP16" s="3"/>
      <c r="AQ16" s="3"/>
      <c r="AR16" s="3"/>
      <c r="AS16" s="3"/>
      <c r="AT16" s="3"/>
      <c r="AU16" s="3" t="str">
        <f ca="1">IFERROR(__xludf.DUMMYFUNCTION("""COMPUTED_VALUE"""),"double skyscraper")</f>
        <v>double skyscraper</v>
      </c>
    </row>
    <row r="17" spans="1:47" x14ac:dyDescent="0.3">
      <c r="A17" s="3">
        <f ca="1"/>
        <v>2346826</v>
      </c>
      <c r="B17" s="3" t="str">
        <f ca="1"/>
        <v>CZECH NEWS CENTER a. s.</v>
      </c>
      <c r="C17" s="3" t="str">
        <f ca="1">IFERROR(__xludf.DUMMYFUNCTION("""COMPUTED_VALUE"""),"Abeceda zahrady")</f>
        <v>Abeceda zahrady</v>
      </c>
      <c r="D17" s="4" t="str">
        <f ca="1">IFERROR(__xludf.DUMMYFUNCTION("""COMPUTED_VALUE"""),"https://abecedazahrady.dama.cz")</f>
        <v>https://abecedazahrady.dama.cz</v>
      </c>
      <c r="E17" s="3" t="str">
        <f ca="1">IFERROR(__xludf.DUMMYFUNCTION("""COMPUTED_VALUE"""),"celý web")</f>
        <v>celý web</v>
      </c>
      <c r="F17" s="4" t="str">
        <f ca="1">IFERROR(__xludf.DUMMYFUNCTION("""COMPUTED_VALUE"""),"https://abecedazahrady.dama.cz")</f>
        <v>https://abecedazahrady.dama.cz</v>
      </c>
      <c r="G17" s="3" t="str">
        <f ca="1">IFERROR(__xludf.DUMMYFUNCTION("""COMPUTED_VALUE"""),"mobilní interscroller low season")</f>
        <v>mobilní interscroller low season</v>
      </c>
      <c r="H17" s="3">
        <f ca="1">IFERROR(__xludf.DUMMYFUNCTION("""COMPUTED_VALUE"""),7)</f>
        <v>7</v>
      </c>
      <c r="I17" s="5">
        <f ca="1">IFERROR(__xludf.DUMMYFUNCTION("""COMPUTED_VALUE"""),1000)</f>
        <v>1000</v>
      </c>
      <c r="J17" s="5">
        <f ca="1">IFERROR(__xludf.DUMMYFUNCTION("""COMPUTED_VALUE"""),250)</f>
        <v>250</v>
      </c>
      <c r="K17" s="3"/>
      <c r="L17" s="3" t="str">
        <f ca="1">IFERROR(__xludf.DUMMYFUNCTION("""COMPUTED_VALUE"""),"Cost per period")</f>
        <v>Cost per period</v>
      </c>
      <c r="M17" s="3"/>
      <c r="N17" s="3"/>
      <c r="O17" s="3" t="str">
        <f ca="1">IFERROR(__xludf.DUMMYFUNCTION("""COMPUTED_VALUE"""),"600")</f>
        <v>600</v>
      </c>
      <c r="P17" s="3" t="str">
        <f ca="1">IFERROR(__xludf.DUMMYFUNCTION("""COMPUTED_VALUE"""),"1080")</f>
        <v>1080</v>
      </c>
      <c r="Q17" s="3" t="str">
        <f ca="1">IFERROR(__xludf.DUMMYFUNCTION("""COMPUTED_VALUE"""),"600x1080")</f>
        <v>600x1080</v>
      </c>
      <c r="R17" s="3"/>
      <c r="S17" s="3" t="str">
        <f ca="1">IFERROR(__xludf.DUMMYFUNCTION("""COMPUTED_VALUE"""),"200")</f>
        <v>200</v>
      </c>
      <c r="T17" s="3"/>
      <c r="U17" s="3" t="str">
        <f ca="1">IFERROR(__xludf.DUMMYFUNCTION("""COMPUTED_VALUE"""),"banner standard")</f>
        <v>banner standard</v>
      </c>
      <c r="V17" s="3"/>
      <c r="W17" s="4" t="str">
        <f ca="1">IFERROR(__xludf.DUMMYFUNCTION("""COMPUTED_VALUE"""),"https://reklama.cncenter.cz/Online/mobilni-interscroller")</f>
        <v>https://reklama.cncenter.cz/Online/mobilni-interscroller</v>
      </c>
      <c r="X17" s="3"/>
      <c r="Y17" s="3"/>
      <c r="Z17" s="3" t="str">
        <f ca="1">IFERROR(__xludf.DUMMYFUNCTION("""COMPUTED_VALUE"""),"podklady@cncenter.cz")</f>
        <v>podklady@cncenter.cz</v>
      </c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 t="str">
        <f ca="1">IFERROR(__xludf.DUMMYFUNCTION("""COMPUTED_VALUE"""),"mobile")</f>
        <v>mobile</v>
      </c>
      <c r="AO17" s="3"/>
      <c r="AP17" s="3"/>
      <c r="AQ17" s="3"/>
      <c r="AR17" s="3"/>
      <c r="AS17" s="3"/>
      <c r="AT17" s="3"/>
      <c r="AU17" s="3" t="str">
        <f ca="1">IFERROR(__xludf.DUMMYFUNCTION("""COMPUTED_VALUE"""),"mobilní interscroller")</f>
        <v>mobilní interscroller</v>
      </c>
    </row>
    <row r="18" spans="1:47" x14ac:dyDescent="0.3">
      <c r="A18" s="3">
        <f ca="1"/>
        <v>2346826</v>
      </c>
      <c r="B18" s="3" t="str">
        <f ca="1"/>
        <v>CZECH NEWS CENTER a. s.</v>
      </c>
      <c r="C18" s="3" t="str">
        <f ca="1">IFERROR(__xludf.DUMMYFUNCTION("""COMPUTED_VALUE"""),"Abeceda zahrady")</f>
        <v>Abeceda zahrady</v>
      </c>
      <c r="D18" s="4" t="str">
        <f ca="1">IFERROR(__xludf.DUMMYFUNCTION("""COMPUTED_VALUE"""),"https://abecedazahrady.dama.cz")</f>
        <v>https://abecedazahrady.dama.cz</v>
      </c>
      <c r="E18" s="3" t="str">
        <f ca="1">IFERROR(__xludf.DUMMYFUNCTION("""COMPUTED_VALUE"""),"celý web")</f>
        <v>celý web</v>
      </c>
      <c r="F18" s="4" t="str">
        <f ca="1">IFERROR(__xludf.DUMMYFUNCTION("""COMPUTED_VALUE"""),"https://abecedazahrady.dama.cz")</f>
        <v>https://abecedazahrady.dama.cz</v>
      </c>
      <c r="G18" s="3" t="str">
        <f ca="1">IFERROR(__xludf.DUMMYFUNCTION("""COMPUTED_VALUE"""),"mobilní slide-up low season")</f>
        <v>mobilní slide-up low season</v>
      </c>
      <c r="H18" s="3">
        <f ca="1">IFERROR(__xludf.DUMMYFUNCTION("""COMPUTED_VALUE"""),7)</f>
        <v>7</v>
      </c>
      <c r="I18" s="5">
        <f ca="1">IFERROR(__xludf.DUMMYFUNCTION("""COMPUTED_VALUE"""),1000)</f>
        <v>1000</v>
      </c>
      <c r="J18" s="5">
        <f ca="1">IFERROR(__xludf.DUMMYFUNCTION("""COMPUTED_VALUE"""),510)</f>
        <v>510</v>
      </c>
      <c r="K18" s="3"/>
      <c r="L18" s="3" t="str">
        <f ca="1">IFERROR(__xludf.DUMMYFUNCTION("""COMPUTED_VALUE"""),"Cost per period")</f>
        <v>Cost per period</v>
      </c>
      <c r="M18" s="3"/>
      <c r="N18" s="3"/>
      <c r="O18" s="3" t="str">
        <f ca="1">IFERROR(__xludf.DUMMYFUNCTION("""COMPUTED_VALUE"""),"300")</f>
        <v>300</v>
      </c>
      <c r="P18" s="3" t="str">
        <f ca="1">IFERROR(__xludf.DUMMYFUNCTION("""COMPUTED_VALUE"""),"120")</f>
        <v>120</v>
      </c>
      <c r="Q18" s="3" t="str">
        <f ca="1">IFERROR(__xludf.DUMMYFUNCTION("""COMPUTED_VALUE"""),"300x120")</f>
        <v>300x120</v>
      </c>
      <c r="R18" s="3"/>
      <c r="S18" s="3" t="str">
        <f ca="1">IFERROR(__xludf.DUMMYFUNCTION("""COMPUTED_VALUE"""),"100")</f>
        <v>100</v>
      </c>
      <c r="T18" s="3"/>
      <c r="U18" s="3" t="str">
        <f ca="1">IFERROR(__xludf.DUMMYFUNCTION("""COMPUTED_VALUE"""),"banner standard")</f>
        <v>banner standard</v>
      </c>
      <c r="V18" s="3"/>
      <c r="W18" s="4" t="str">
        <f ca="1">IFERROR(__xludf.DUMMYFUNCTION("""COMPUTED_VALUE"""),"https://reklama.cncenter.cz/Online/mobilni-slide-up")</f>
        <v>https://reklama.cncenter.cz/Online/mobilni-slide-up</v>
      </c>
      <c r="X18" s="3"/>
      <c r="Y18" s="3"/>
      <c r="Z18" s="3" t="str">
        <f ca="1">IFERROR(__xludf.DUMMYFUNCTION("""COMPUTED_VALUE"""),"podklady@cncenter.cz")</f>
        <v>podklady@cncenter.cz</v>
      </c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 t="str">
        <f ca="1">IFERROR(__xludf.DUMMYFUNCTION("""COMPUTED_VALUE"""),"mobile")</f>
        <v>mobile</v>
      </c>
      <c r="AO18" s="3"/>
      <c r="AP18" s="3"/>
      <c r="AQ18" s="3"/>
      <c r="AR18" s="3"/>
      <c r="AS18" s="3"/>
      <c r="AT18" s="3"/>
      <c r="AU18" s="3" t="str">
        <f ca="1">IFERROR(__xludf.DUMMYFUNCTION("""COMPUTED_VALUE"""),"mobilní slide-up")</f>
        <v>mobilní slide-up</v>
      </c>
    </row>
    <row r="19" spans="1:47" x14ac:dyDescent="0.3">
      <c r="A19" s="3">
        <f ca="1"/>
        <v>2346826</v>
      </c>
      <c r="B19" s="3" t="str">
        <f ca="1"/>
        <v>CZECH NEWS CENTER a. s.</v>
      </c>
      <c r="C19" s="3" t="str">
        <f ca="1">IFERROR(__xludf.DUMMYFUNCTION("""COMPUTED_VALUE"""),"Abeceda zahrady")</f>
        <v>Abeceda zahrady</v>
      </c>
      <c r="D19" s="4" t="str">
        <f ca="1">IFERROR(__xludf.DUMMYFUNCTION("""COMPUTED_VALUE"""),"https://abecedazahrady.dama.cz")</f>
        <v>https://abecedazahrady.dama.cz</v>
      </c>
      <c r="E19" s="3" t="str">
        <f ca="1">IFERROR(__xludf.DUMMYFUNCTION("""COMPUTED_VALUE"""),"celý web")</f>
        <v>celý web</v>
      </c>
      <c r="F19" s="4" t="str">
        <f ca="1">IFERROR(__xludf.DUMMYFUNCTION("""COMPUTED_VALUE"""),"https://abecedazahrady.dama.cz")</f>
        <v>https://abecedazahrady.dama.cz</v>
      </c>
      <c r="G19" s="3" t="str">
        <f ca="1">IFERROR(__xludf.DUMMYFUNCTION("""COMPUTED_VALUE"""),"mobilní viněta low season")</f>
        <v>mobilní viněta low season</v>
      </c>
      <c r="H19" s="3">
        <f ca="1">IFERROR(__xludf.DUMMYFUNCTION("""COMPUTED_VALUE"""),7)</f>
        <v>7</v>
      </c>
      <c r="I19" s="5">
        <f ca="1">IFERROR(__xludf.DUMMYFUNCTION("""COMPUTED_VALUE"""),1000)</f>
        <v>1000</v>
      </c>
      <c r="J19" s="5">
        <f ca="1">IFERROR(__xludf.DUMMYFUNCTION("""COMPUTED_VALUE"""),880)</f>
        <v>880</v>
      </c>
      <c r="K19" s="3"/>
      <c r="L19" s="3" t="str">
        <f ca="1">IFERROR(__xludf.DUMMYFUNCTION("""COMPUTED_VALUE"""),"Cost per period")</f>
        <v>Cost per period</v>
      </c>
      <c r="M19" s="3"/>
      <c r="N19" s="3"/>
      <c r="O19" s="3" t="str">
        <f ca="1">IFERROR(__xludf.DUMMYFUNCTION("""COMPUTED_VALUE"""),"600")</f>
        <v>600</v>
      </c>
      <c r="P19" s="3" t="str">
        <f ca="1">IFERROR(__xludf.DUMMYFUNCTION("""COMPUTED_VALUE"""),"800")</f>
        <v>800</v>
      </c>
      <c r="Q19" s="3" t="str">
        <f ca="1">IFERROR(__xludf.DUMMYFUNCTION("""COMPUTED_VALUE"""),"300x250 nebo 600x800")</f>
        <v>300x250 nebo 600x800</v>
      </c>
      <c r="R19" s="3"/>
      <c r="S19" s="3" t="str">
        <f ca="1">IFERROR(__xludf.DUMMYFUNCTION("""COMPUTED_VALUE"""),"100")</f>
        <v>100</v>
      </c>
      <c r="T19" s="3"/>
      <c r="U19" s="3" t="str">
        <f ca="1">IFERROR(__xludf.DUMMYFUNCTION("""COMPUTED_VALUE"""),"banner standard")</f>
        <v>banner standard</v>
      </c>
      <c r="V19" s="3"/>
      <c r="W19" s="4" t="str">
        <f ca="1">IFERROR(__xludf.DUMMYFUNCTION("""COMPUTED_VALUE"""),"https://reklama.cncenter.cz/Online/mobilni-vineta")</f>
        <v>https://reklama.cncenter.cz/Online/mobilni-vineta</v>
      </c>
      <c r="X19" s="3"/>
      <c r="Y19" s="3"/>
      <c r="Z19" s="3" t="str">
        <f ca="1">IFERROR(__xludf.DUMMYFUNCTION("""COMPUTED_VALUE"""),"podklady@cncenter.cz")</f>
        <v>podklady@cncenter.cz</v>
      </c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 t="str">
        <f ca="1">IFERROR(__xludf.DUMMYFUNCTION("""COMPUTED_VALUE"""),"mobile")</f>
        <v>mobile</v>
      </c>
      <c r="AO19" s="3"/>
      <c r="AP19" s="3"/>
      <c r="AQ19" s="3"/>
      <c r="AR19" s="3"/>
      <c r="AS19" s="3"/>
      <c r="AT19" s="3"/>
      <c r="AU19" s="3" t="str">
        <f ca="1">IFERROR(__xludf.DUMMYFUNCTION("""COMPUTED_VALUE"""),"mobilní viněta")</f>
        <v>mobilní viněta</v>
      </c>
    </row>
    <row r="20" spans="1:47" x14ac:dyDescent="0.3">
      <c r="A20" s="3">
        <f ca="1"/>
        <v>2346826</v>
      </c>
      <c r="B20" s="3" t="str">
        <f ca="1"/>
        <v>CZECH NEWS CENTER a. s.</v>
      </c>
      <c r="C20" s="3" t="str">
        <f ca="1">IFERROR(__xludf.DUMMYFUNCTION("""COMPUTED_VALUE"""),"Abeceda zahrady")</f>
        <v>Abeceda zahrady</v>
      </c>
      <c r="D20" s="4" t="str">
        <f ca="1">IFERROR(__xludf.DUMMYFUNCTION("""COMPUTED_VALUE"""),"https://abecedazahrady.dama.cz")</f>
        <v>https://abecedazahrady.dama.cz</v>
      </c>
      <c r="E20" s="3" t="str">
        <f ca="1">IFERROR(__xludf.DUMMYFUNCTION("""COMPUTED_VALUE"""),"celý web")</f>
        <v>celý web</v>
      </c>
      <c r="F20" s="4" t="str">
        <f ca="1">IFERROR(__xludf.DUMMYFUNCTION("""COMPUTED_VALUE"""),"https://abecedazahrady.dama.cz")</f>
        <v>https://abecedazahrady.dama.cz</v>
      </c>
      <c r="G20" s="3" t="str">
        <f ca="1">IFERROR(__xludf.DUMMYFUNCTION("""COMPUTED_VALUE"""),"Native Standard low season")</f>
        <v>Native Standard low season</v>
      </c>
      <c r="H20" s="3">
        <f ca="1">IFERROR(__xludf.DUMMYFUNCTION("""COMPUTED_VALUE"""),1)</f>
        <v>1</v>
      </c>
      <c r="I20" s="5">
        <f ca="1">IFERROR(__xludf.DUMMYFUNCTION("""COMPUTED_VALUE"""),1)</f>
        <v>1</v>
      </c>
      <c r="J20" s="5">
        <f ca="1">IFERROR(__xludf.DUMMYFUNCTION("""COMPUTED_VALUE"""),330000)</f>
        <v>330000</v>
      </c>
      <c r="K20" s="3"/>
      <c r="L20" s="3" t="str">
        <f ca="1">IFERROR(__xludf.DUMMYFUNCTION("""COMPUTED_VALUE"""),"Cost per instance")</f>
        <v>Cost per instance</v>
      </c>
      <c r="M20" s="3"/>
      <c r="N20" s="3"/>
      <c r="O20" s="3"/>
      <c r="P20" s="3"/>
      <c r="Q20" s="3"/>
      <c r="R20" s="3"/>
      <c r="S20" s="3" t="str">
        <f ca="1">IFERROR(__xludf.DUMMYFUNCTION("""COMPUTED_VALUE"""),"100")</f>
        <v>100</v>
      </c>
      <c r="T20" s="3"/>
      <c r="U20" s="3" t="str">
        <f ca="1">IFERROR(__xludf.DUMMYFUNCTION("""COMPUTED_VALUE"""),"microsite")</f>
        <v>microsite</v>
      </c>
      <c r="V20" s="3"/>
      <c r="W20" s="3"/>
      <c r="X20" s="3"/>
      <c r="Y20" s="3"/>
      <c r="Z20" s="3" t="str">
        <f ca="1">IFERROR(__xludf.DUMMYFUNCTION("""COMPUTED_VALUE"""),"podklady@cncenter.cz")</f>
        <v>podklady@cncenter.cz</v>
      </c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 t="str">
        <f ca="1">IFERROR(__xludf.DUMMYFUNCTION("""COMPUTED_VALUE"""),"cross-device")</f>
        <v>cross-device</v>
      </c>
      <c r="AO20" s="3"/>
      <c r="AP20" s="3"/>
      <c r="AQ20" s="3"/>
      <c r="AR20" s="3"/>
      <c r="AS20" s="3"/>
      <c r="AT20" s="3"/>
      <c r="AU20" s="3" t="str">
        <f ca="1">IFERROR(__xludf.DUMMYFUNCTION("""COMPUTED_VALUE"""),"Native Standard")</f>
        <v>Native Standard</v>
      </c>
    </row>
    <row r="21" spans="1:47" x14ac:dyDescent="0.3">
      <c r="A21" s="3">
        <f ca="1"/>
        <v>2346826</v>
      </c>
      <c r="B21" s="3" t="str">
        <f ca="1"/>
        <v>CZECH NEWS CENTER a. s.</v>
      </c>
      <c r="C21" s="3" t="str">
        <f ca="1">IFERROR(__xludf.DUMMYFUNCTION("""COMPUTED_VALUE"""),"Abeceda zahrady")</f>
        <v>Abeceda zahrady</v>
      </c>
      <c r="D21" s="4" t="str">
        <f ca="1">IFERROR(__xludf.DUMMYFUNCTION("""COMPUTED_VALUE"""),"https://abecedazahrady.dama.cz")</f>
        <v>https://abecedazahrady.dama.cz</v>
      </c>
      <c r="E21" s="3" t="str">
        <f ca="1">IFERROR(__xludf.DUMMYFUNCTION("""COMPUTED_VALUE"""),"celý web")</f>
        <v>celý web</v>
      </c>
      <c r="F21" s="4" t="str">
        <f ca="1">IFERROR(__xludf.DUMMYFUNCTION("""COMPUTED_VALUE"""),"https://abecedazahrady.dama.cz")</f>
        <v>https://abecedazahrady.dama.cz</v>
      </c>
      <c r="G21" s="3" t="str">
        <f ca="1">IFERROR(__xludf.DUMMYFUNCTION("""COMPUTED_VALUE"""),"nativní rectangle cross-device low season")</f>
        <v>nativní rectangle cross-device low season</v>
      </c>
      <c r="H21" s="3">
        <f ca="1">IFERROR(__xludf.DUMMYFUNCTION("""COMPUTED_VALUE"""),7)</f>
        <v>7</v>
      </c>
      <c r="I21" s="5">
        <f ca="1">IFERROR(__xludf.DUMMYFUNCTION("""COMPUTED_VALUE"""),1000)</f>
        <v>1000</v>
      </c>
      <c r="J21" s="5">
        <f ca="1">IFERROR(__xludf.DUMMYFUNCTION("""COMPUTED_VALUE"""),200)</f>
        <v>200</v>
      </c>
      <c r="K21" s="3"/>
      <c r="L21" s="3" t="str">
        <f ca="1">IFERROR(__xludf.DUMMYFUNCTION("""COMPUTED_VALUE"""),"Cost per period")</f>
        <v>Cost per period</v>
      </c>
      <c r="M21" s="3"/>
      <c r="N21" s="3"/>
      <c r="O21" s="3" t="str">
        <f ca="1">IFERROR(__xludf.DUMMYFUNCTION("""COMPUTED_VALUE"""),"640")</f>
        <v>640</v>
      </c>
      <c r="P21" s="3" t="str">
        <f ca="1">IFERROR(__xludf.DUMMYFUNCTION("""COMPUTED_VALUE"""),"335, 640")</f>
        <v>335, 640</v>
      </c>
      <c r="Q21" s="3" t="str">
        <f ca="1">IFERROR(__xludf.DUMMYFUNCTION("""COMPUTED_VALUE"""),"640x640 a 640x335 + text + logo")</f>
        <v>640x640 a 640x335 + text + logo</v>
      </c>
      <c r="R21" s="3"/>
      <c r="S21" s="3" t="str">
        <f ca="1">IFERROR(__xludf.DUMMYFUNCTION("""COMPUTED_VALUE"""),"45")</f>
        <v>45</v>
      </c>
      <c r="T21" s="3"/>
      <c r="U21" s="3" t="str">
        <f ca="1">IFERROR(__xludf.DUMMYFUNCTION("""COMPUTED_VALUE"""),"nativní reklama")</f>
        <v>nativní reklama</v>
      </c>
      <c r="V21" s="3"/>
      <c r="W21" s="4" t="str">
        <f ca="1">IFERROR(__xludf.DUMMYFUNCTION("""COMPUTED_VALUE"""),"https://reklama.cncenter.cz/Online/nativni-rectangle-cross-device")</f>
        <v>https://reklama.cncenter.cz/Online/nativni-rectangle-cross-device</v>
      </c>
      <c r="X21" s="3"/>
      <c r="Y21" s="3"/>
      <c r="Z21" s="3" t="str">
        <f ca="1">IFERROR(__xludf.DUMMYFUNCTION("""COMPUTED_VALUE"""),"podklady@cncenter.cz")</f>
        <v>podklady@cncenter.cz</v>
      </c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 t="str">
        <f ca="1">IFERROR(__xludf.DUMMYFUNCTION("""COMPUTED_VALUE"""),"cross-device")</f>
        <v>cross-device</v>
      </c>
      <c r="AO21" s="3"/>
      <c r="AP21" s="3"/>
      <c r="AQ21" s="3"/>
      <c r="AR21" s="3"/>
      <c r="AS21" s="3"/>
      <c r="AT21" s="3"/>
      <c r="AU21" s="3" t="str">
        <f ca="1">IFERROR(__xludf.DUMMYFUNCTION("""COMPUTED_VALUE"""),"nativní rectangle cross-device")</f>
        <v>nativní rectangle cross-device</v>
      </c>
    </row>
    <row r="22" spans="1:47" x14ac:dyDescent="0.3">
      <c r="A22" s="3">
        <f ca="1"/>
        <v>2346826</v>
      </c>
      <c r="B22" s="3" t="str">
        <f ca="1"/>
        <v>CZECH NEWS CENTER a. s.</v>
      </c>
      <c r="C22" s="3" t="str">
        <f ca="1">IFERROR(__xludf.DUMMYFUNCTION("""COMPUTED_VALUE"""),"Abeceda zahrady")</f>
        <v>Abeceda zahrady</v>
      </c>
      <c r="D22" s="4" t="str">
        <f ca="1">IFERROR(__xludf.DUMMYFUNCTION("""COMPUTED_VALUE"""),"https://abecedazahrady.dama.cz")</f>
        <v>https://abecedazahrady.dama.cz</v>
      </c>
      <c r="E22" s="3" t="str">
        <f ca="1">IFERROR(__xludf.DUMMYFUNCTION("""COMPUTED_VALUE"""),"celý web")</f>
        <v>celý web</v>
      </c>
      <c r="F22" s="4" t="str">
        <f ca="1">IFERROR(__xludf.DUMMYFUNCTION("""COMPUTED_VALUE"""),"https://abecedazahrady.dama.cz")</f>
        <v>https://abecedazahrady.dama.cz</v>
      </c>
      <c r="G22" s="3" t="str">
        <f ca="1">IFERROR(__xludf.DUMMYFUNCTION("""COMPUTED_VALUE"""),"outstream low season")</f>
        <v>outstream low season</v>
      </c>
      <c r="H22" s="3">
        <f ca="1">IFERROR(__xludf.DUMMYFUNCTION("""COMPUTED_VALUE"""),7)</f>
        <v>7</v>
      </c>
      <c r="I22" s="5">
        <f ca="1">IFERROR(__xludf.DUMMYFUNCTION("""COMPUTED_VALUE"""),1000)</f>
        <v>1000</v>
      </c>
      <c r="J22" s="5">
        <f ca="1">IFERROR(__xludf.DUMMYFUNCTION("""COMPUTED_VALUE"""),250)</f>
        <v>250</v>
      </c>
      <c r="K22" s="3"/>
      <c r="L22" s="3" t="str">
        <f ca="1">IFERROR(__xludf.DUMMYFUNCTION("""COMPUTED_VALUE"""),"Cost per period")</f>
        <v>Cost per period</v>
      </c>
      <c r="M22" s="3"/>
      <c r="N22" s="3"/>
      <c r="O22" s="3" t="str">
        <f ca="1">IFERROR(__xludf.DUMMYFUNCTION("""COMPUTED_VALUE"""),"1280")</f>
        <v>1280</v>
      </c>
      <c r="P22" s="3" t="str">
        <f ca="1">IFERROR(__xludf.DUMMYFUNCTION("""COMPUTED_VALUE"""),"720")</f>
        <v>720</v>
      </c>
      <c r="Q22" s="3" t="str">
        <f ca="1">IFERROR(__xludf.DUMMYFUNCTION("""COMPUTED_VALUE"""),"16:9")</f>
        <v>16:9</v>
      </c>
      <c r="R22" s="3"/>
      <c r="S22" s="3" t="str">
        <f ca="1">IFERROR(__xludf.DUMMYFUNCTION("""COMPUTED_VALUE"""),"100")</f>
        <v>100</v>
      </c>
      <c r="T22" s="3"/>
      <c r="U22" s="3" t="str">
        <f ca="1">IFERROR(__xludf.DUMMYFUNCTION("""COMPUTED_VALUE"""),"videospot")</f>
        <v>videospot</v>
      </c>
      <c r="V22" s="3"/>
      <c r="W22" s="4" t="str">
        <f ca="1">IFERROR(__xludf.DUMMYFUNCTION("""COMPUTED_VALUE"""),"https://reklama.cncenter.cz/Online/Outstream")</f>
        <v>https://reklama.cncenter.cz/Online/Outstream</v>
      </c>
      <c r="X22" s="3"/>
      <c r="Y22" s="3"/>
      <c r="Z22" s="3" t="str">
        <f ca="1">IFERROR(__xludf.DUMMYFUNCTION("""COMPUTED_VALUE"""),"podklady@cncenter.cz")</f>
        <v>podklady@cncenter.cz</v>
      </c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 t="str">
        <f ca="1">IFERROR(__xludf.DUMMYFUNCTION("""COMPUTED_VALUE"""),"cross-device")</f>
        <v>cross-device</v>
      </c>
      <c r="AO22" s="3"/>
      <c r="AP22" s="3"/>
      <c r="AQ22" s="3"/>
      <c r="AR22" s="3"/>
      <c r="AS22" s="3"/>
      <c r="AT22" s="3"/>
      <c r="AU22" s="3" t="str">
        <f ca="1">IFERROR(__xludf.DUMMYFUNCTION("""COMPUTED_VALUE"""),"outstream")</f>
        <v>outstream</v>
      </c>
    </row>
    <row r="23" spans="1:47" x14ac:dyDescent="0.3">
      <c r="A23" s="3">
        <f ca="1"/>
        <v>2346826</v>
      </c>
      <c r="B23" s="3" t="str">
        <f ca="1"/>
        <v>CZECH NEWS CENTER a. s.</v>
      </c>
      <c r="C23" s="3" t="str">
        <f ca="1">IFERROR(__xludf.DUMMYFUNCTION("""COMPUTED_VALUE"""),"Abeceda zahrady")</f>
        <v>Abeceda zahrady</v>
      </c>
      <c r="D23" s="4" t="str">
        <f ca="1">IFERROR(__xludf.DUMMYFUNCTION("""COMPUTED_VALUE"""),"https://abecedazahrady.dama.cz")</f>
        <v>https://abecedazahrady.dama.cz</v>
      </c>
      <c r="E23" s="3" t="str">
        <f ca="1">IFERROR(__xludf.DUMMYFUNCTION("""COMPUTED_VALUE"""),"celý web")</f>
        <v>celý web</v>
      </c>
      <c r="F23" s="4" t="str">
        <f ca="1">IFERROR(__xludf.DUMMYFUNCTION("""COMPUTED_VALUE"""),"https://abecedazahrady.dama.cz")</f>
        <v>https://abecedazahrady.dama.cz</v>
      </c>
      <c r="G23" s="3" t="str">
        <f ca="1">IFERROR(__xludf.DUMMYFUNCTION("""COMPUTED_VALUE"""),"PR článek low season")</f>
        <v>PR článek low season</v>
      </c>
      <c r="H23" s="3">
        <f ca="1">IFERROR(__xludf.DUMMYFUNCTION("""COMPUTED_VALUE"""),1)</f>
        <v>1</v>
      </c>
      <c r="I23" s="5">
        <f ca="1">IFERROR(__xludf.DUMMYFUNCTION("""COMPUTED_VALUE"""),1)</f>
        <v>1</v>
      </c>
      <c r="J23" s="5">
        <f ca="1">IFERROR(__xludf.DUMMYFUNCTION("""COMPUTED_VALUE"""),20000)</f>
        <v>20000</v>
      </c>
      <c r="K23" s="3"/>
      <c r="L23" s="3" t="str">
        <f ca="1">IFERROR(__xludf.DUMMYFUNCTION("""COMPUTED_VALUE"""),"Cost per instance")</f>
        <v>Cost per instance</v>
      </c>
      <c r="M23" s="3"/>
      <c r="N23" s="3"/>
      <c r="O23" s="3"/>
      <c r="P23" s="3"/>
      <c r="Q23" s="3"/>
      <c r="R23" s="3"/>
      <c r="S23" s="3" t="str">
        <f ca="1">IFERROR(__xludf.DUMMYFUNCTION("""COMPUTED_VALUE"""),"100")</f>
        <v>100</v>
      </c>
      <c r="T23" s="3"/>
      <c r="U23" s="3" t="str">
        <f ca="1">IFERROR(__xludf.DUMMYFUNCTION("""COMPUTED_VALUE"""),"pr článek")</f>
        <v>pr článek</v>
      </c>
      <c r="V23" s="3"/>
      <c r="W23" s="4" t="str">
        <f ca="1">IFERROR(__xludf.DUMMYFUNCTION("""COMPUTED_VALUE"""),"https://reklama.cncenter.cz/?ads=PR%2520%25C4%258Dl%25C3%25A1nky")</f>
        <v>https://reklama.cncenter.cz/?ads=PR%2520%25C4%258Dl%25C3%25A1nky</v>
      </c>
      <c r="X23" s="3"/>
      <c r="Y23" s="3"/>
      <c r="Z23" s="3" t="str">
        <f ca="1">IFERROR(__xludf.DUMMYFUNCTION("""COMPUTED_VALUE"""),"podklady@cncenter.cz")</f>
        <v>podklady@cncenter.cz</v>
      </c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 t="str">
        <f ca="1">IFERROR(__xludf.DUMMYFUNCTION("""COMPUTED_VALUE"""),"cross-device")</f>
        <v>cross-device</v>
      </c>
      <c r="AO23" s="3"/>
      <c r="AP23" s="3"/>
      <c r="AQ23" s="3"/>
      <c r="AR23" s="3"/>
      <c r="AS23" s="3"/>
      <c r="AT23" s="3"/>
      <c r="AU23" s="3" t="str">
        <f ca="1">IFERROR(__xludf.DUMMYFUNCTION("""COMPUTED_VALUE"""),"PR článek")</f>
        <v>PR článek</v>
      </c>
    </row>
    <row r="24" spans="1:47" x14ac:dyDescent="0.3">
      <c r="A24" s="3">
        <f ca="1"/>
        <v>2346826</v>
      </c>
      <c r="B24" s="3" t="str">
        <f ca="1"/>
        <v>CZECH NEWS CENTER a. s.</v>
      </c>
      <c r="C24" s="3" t="str">
        <f ca="1">IFERROR(__xludf.DUMMYFUNCTION("""COMPUTED_VALUE"""),"Abeceda zahrady")</f>
        <v>Abeceda zahrady</v>
      </c>
      <c r="D24" s="4" t="str">
        <f ca="1">IFERROR(__xludf.DUMMYFUNCTION("""COMPUTED_VALUE"""),"https://abecedazahrady.dama.cz")</f>
        <v>https://abecedazahrady.dama.cz</v>
      </c>
      <c r="E24" s="3" t="str">
        <f ca="1">IFERROR(__xludf.DUMMYFUNCTION("""COMPUTED_VALUE"""),"celý web")</f>
        <v>celý web</v>
      </c>
      <c r="F24" s="4" t="str">
        <f ca="1">IFERROR(__xludf.DUMMYFUNCTION("""COMPUTED_VALUE"""),"https://abecedazahrady.dama.cz")</f>
        <v>https://abecedazahrady.dama.cz</v>
      </c>
      <c r="G24" s="3" t="str">
        <f ca="1">IFERROR(__xludf.DUMMYFUNCTION("""COMPUTED_VALUE"""),"Prodloužení existující microsite, bez úprav low season")</f>
        <v>Prodloužení existující microsite, bez úprav low season</v>
      </c>
      <c r="H24" s="3">
        <f ca="1">IFERROR(__xludf.DUMMYFUNCTION("""COMPUTED_VALUE"""),1)</f>
        <v>1</v>
      </c>
      <c r="I24" s="5">
        <f ca="1">IFERROR(__xludf.DUMMYFUNCTION("""COMPUTED_VALUE"""),1)</f>
        <v>1</v>
      </c>
      <c r="J24" s="5">
        <f ca="1">IFERROR(__xludf.DUMMYFUNCTION("""COMPUTED_VALUE"""),15000)</f>
        <v>15000</v>
      </c>
      <c r="K24" s="3"/>
      <c r="L24" s="3" t="str">
        <f ca="1">IFERROR(__xludf.DUMMYFUNCTION("""COMPUTED_VALUE"""),"Cost per instance")</f>
        <v>Cost per instance</v>
      </c>
      <c r="M24" s="3"/>
      <c r="N24" s="3"/>
      <c r="O24" s="3"/>
      <c r="P24" s="3"/>
      <c r="Q24" s="3"/>
      <c r="R24" s="3"/>
      <c r="S24" s="3" t="str">
        <f ca="1">IFERROR(__xludf.DUMMYFUNCTION("""COMPUTED_VALUE"""),"100")</f>
        <v>100</v>
      </c>
      <c r="T24" s="3"/>
      <c r="U24" s="3" t="str">
        <f ca="1">IFERROR(__xludf.DUMMYFUNCTION("""COMPUTED_VALUE"""),"microsite")</f>
        <v>microsite</v>
      </c>
      <c r="V24" s="3"/>
      <c r="W24" s="3"/>
      <c r="X24" s="3"/>
      <c r="Y24" s="3"/>
      <c r="Z24" s="3" t="str">
        <f ca="1">IFERROR(__xludf.DUMMYFUNCTION("""COMPUTED_VALUE"""),"podklady@cncenter.cz")</f>
        <v>podklady@cncenter.cz</v>
      </c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 t="str">
        <f ca="1">IFERROR(__xludf.DUMMYFUNCTION("""COMPUTED_VALUE"""),"cross-device")</f>
        <v>cross-device</v>
      </c>
      <c r="AO24" s="3"/>
      <c r="AP24" s="3"/>
      <c r="AQ24" s="3"/>
      <c r="AR24" s="3"/>
      <c r="AS24" s="3"/>
      <c r="AT24" s="3"/>
      <c r="AU24" s="3" t="str">
        <f ca="1">IFERROR(__xludf.DUMMYFUNCTION("""COMPUTED_VALUE"""),"Prodloužení existující microsite, bez úprav")</f>
        <v>Prodloužení existující microsite, bez úprav</v>
      </c>
    </row>
    <row r="25" spans="1:47" x14ac:dyDescent="0.3">
      <c r="A25" s="3">
        <f ca="1"/>
        <v>2346826</v>
      </c>
      <c r="B25" s="3" t="str">
        <f ca="1"/>
        <v>CZECH NEWS CENTER a. s.</v>
      </c>
      <c r="C25" s="3" t="str">
        <f ca="1">IFERROR(__xludf.DUMMYFUNCTION("""COMPUTED_VALUE"""),"Abeceda zahrady")</f>
        <v>Abeceda zahrady</v>
      </c>
      <c r="D25" s="4" t="str">
        <f ca="1">IFERROR(__xludf.DUMMYFUNCTION("""COMPUTED_VALUE"""),"https://abecedazahrady.dama.cz")</f>
        <v>https://abecedazahrady.dama.cz</v>
      </c>
      <c r="E25" s="3" t="str">
        <f ca="1">IFERROR(__xludf.DUMMYFUNCTION("""COMPUTED_VALUE"""),"celý web")</f>
        <v>celý web</v>
      </c>
      <c r="F25" s="4" t="str">
        <f ca="1">IFERROR(__xludf.DUMMYFUNCTION("""COMPUTED_VALUE"""),"https://abecedazahrady.dama.cz")</f>
        <v>https://abecedazahrady.dama.cz</v>
      </c>
      <c r="G25" s="3" t="str">
        <f ca="1">IFERROR(__xludf.DUMMYFUNCTION("""COMPUTED_VALUE"""),"Prodloužení existující microsite, bez úprav low season")</f>
        <v>Prodloužení existující microsite, bez úprav low season</v>
      </c>
      <c r="H25" s="3">
        <f ca="1">IFERROR(__xludf.DUMMYFUNCTION("""COMPUTED_VALUE"""),1)</f>
        <v>1</v>
      </c>
      <c r="I25" s="5">
        <f ca="1">IFERROR(__xludf.DUMMYFUNCTION("""COMPUTED_VALUE"""),1)</f>
        <v>1</v>
      </c>
      <c r="J25" s="5">
        <f ca="1">IFERROR(__xludf.DUMMYFUNCTION("""COMPUTED_VALUE"""),15000)</f>
        <v>15000</v>
      </c>
      <c r="K25" s="3"/>
      <c r="L25" s="3" t="str">
        <f ca="1">IFERROR(__xludf.DUMMYFUNCTION("""COMPUTED_VALUE"""),"Cost per instance")</f>
        <v>Cost per instance</v>
      </c>
      <c r="M25" s="3"/>
      <c r="N25" s="3"/>
      <c r="O25" s="3"/>
      <c r="P25" s="3"/>
      <c r="Q25" s="3"/>
      <c r="R25" s="3"/>
      <c r="S25" s="3" t="str">
        <f ca="1">IFERROR(__xludf.DUMMYFUNCTION("""COMPUTED_VALUE"""),"100")</f>
        <v>100</v>
      </c>
      <c r="T25" s="3"/>
      <c r="U25" s="3" t="str">
        <f ca="1">IFERROR(__xludf.DUMMYFUNCTION("""COMPUTED_VALUE"""),"microsite")</f>
        <v>microsite</v>
      </c>
      <c r="V25" s="3"/>
      <c r="W25" s="3"/>
      <c r="X25" s="3"/>
      <c r="Y25" s="3"/>
      <c r="Z25" s="3" t="str">
        <f ca="1">IFERROR(__xludf.DUMMYFUNCTION("""COMPUTED_VALUE"""),"podklady@cncenter.cz")</f>
        <v>podklady@cncenter.cz</v>
      </c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 t="str">
        <f ca="1">IFERROR(__xludf.DUMMYFUNCTION("""COMPUTED_VALUE"""),"cross-device")</f>
        <v>cross-device</v>
      </c>
      <c r="AO25" s="3"/>
      <c r="AP25" s="3"/>
      <c r="AQ25" s="3"/>
      <c r="AR25" s="3"/>
      <c r="AS25" s="3"/>
      <c r="AT25" s="3"/>
      <c r="AU25" s="3" t="str">
        <f ca="1">IFERROR(__xludf.DUMMYFUNCTION("""COMPUTED_VALUE"""),"Prodloužení existující microsite, bez úprav")</f>
        <v>Prodloužení existující microsite, bez úprav</v>
      </c>
    </row>
    <row r="26" spans="1:47" x14ac:dyDescent="0.3">
      <c r="A26" s="3">
        <f ca="1"/>
        <v>2346826</v>
      </c>
      <c r="B26" s="3" t="str">
        <f ca="1"/>
        <v>CZECH NEWS CENTER a. s.</v>
      </c>
      <c r="C26" s="3" t="str">
        <f ca="1">IFERROR(__xludf.DUMMYFUNCTION("""COMPUTED_VALUE"""),"Abeceda zahrady")</f>
        <v>Abeceda zahrady</v>
      </c>
      <c r="D26" s="4" t="str">
        <f ca="1">IFERROR(__xludf.DUMMYFUNCTION("""COMPUTED_VALUE"""),"https://abecedazahrady.dama.cz")</f>
        <v>https://abecedazahrady.dama.cz</v>
      </c>
      <c r="E26" s="3" t="str">
        <f ca="1">IFERROR(__xludf.DUMMYFUNCTION("""COMPUTED_VALUE"""),"celý web")</f>
        <v>celý web</v>
      </c>
      <c r="F26" s="4" t="str">
        <f ca="1">IFERROR(__xludf.DUMMYFUNCTION("""COMPUTED_VALUE"""),"https://abecedazahrady.dama.cz")</f>
        <v>https://abecedazahrady.dama.cz</v>
      </c>
      <c r="G26" s="3" t="str">
        <f ca="1">IFERROR(__xludf.DUMMYFUNCTION("""COMPUTED_VALUE"""),"Prodloužení existující microsite, bez úprav low season")</f>
        <v>Prodloužení existující microsite, bez úprav low season</v>
      </c>
      <c r="H26" s="3">
        <f ca="1">IFERROR(__xludf.DUMMYFUNCTION("""COMPUTED_VALUE"""),1)</f>
        <v>1</v>
      </c>
      <c r="I26" s="5">
        <f ca="1">IFERROR(__xludf.DUMMYFUNCTION("""COMPUTED_VALUE"""),1)</f>
        <v>1</v>
      </c>
      <c r="J26" s="5">
        <f ca="1">IFERROR(__xludf.DUMMYFUNCTION("""COMPUTED_VALUE"""),15000)</f>
        <v>15000</v>
      </c>
      <c r="K26" s="3"/>
      <c r="L26" s="3" t="str">
        <f ca="1">IFERROR(__xludf.DUMMYFUNCTION("""COMPUTED_VALUE"""),"Cost per instance")</f>
        <v>Cost per instance</v>
      </c>
      <c r="M26" s="3"/>
      <c r="N26" s="3"/>
      <c r="O26" s="3"/>
      <c r="P26" s="3"/>
      <c r="Q26" s="3"/>
      <c r="R26" s="3"/>
      <c r="S26" s="3" t="str">
        <f ca="1">IFERROR(__xludf.DUMMYFUNCTION("""COMPUTED_VALUE"""),"100")</f>
        <v>100</v>
      </c>
      <c r="T26" s="3"/>
      <c r="U26" s="3" t="str">
        <f ca="1">IFERROR(__xludf.DUMMYFUNCTION("""COMPUTED_VALUE"""),"microsite")</f>
        <v>microsite</v>
      </c>
      <c r="V26" s="3"/>
      <c r="W26" s="3"/>
      <c r="X26" s="3"/>
      <c r="Y26" s="3"/>
      <c r="Z26" s="3" t="str">
        <f ca="1">IFERROR(__xludf.DUMMYFUNCTION("""COMPUTED_VALUE"""),"podklady@cncenter.cz")</f>
        <v>podklady@cncenter.cz</v>
      </c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 t="str">
        <f ca="1">IFERROR(__xludf.DUMMYFUNCTION("""COMPUTED_VALUE"""),"cross-device")</f>
        <v>cross-device</v>
      </c>
      <c r="AO26" s="3"/>
      <c r="AP26" s="3"/>
      <c r="AQ26" s="3"/>
      <c r="AR26" s="3"/>
      <c r="AS26" s="3"/>
      <c r="AT26" s="3"/>
      <c r="AU26" s="3" t="str">
        <f ca="1">IFERROR(__xludf.DUMMYFUNCTION("""COMPUTED_VALUE"""),"Prodloužení existující microsite, bez úprav")</f>
        <v>Prodloužení existující microsite, bez úprav</v>
      </c>
    </row>
    <row r="27" spans="1:47" x14ac:dyDescent="0.3">
      <c r="A27" s="3">
        <f ca="1"/>
        <v>2346826</v>
      </c>
      <c r="B27" s="3" t="str">
        <f ca="1"/>
        <v>CZECH NEWS CENTER a. s.</v>
      </c>
      <c r="C27" s="3" t="str">
        <f ca="1">IFERROR(__xludf.DUMMYFUNCTION("""COMPUTED_VALUE"""),"Abicko")</f>
        <v>Abicko</v>
      </c>
      <c r="D27" s="4" t="str">
        <f ca="1">IFERROR(__xludf.DUMMYFUNCTION("""COMPUTED_VALUE"""),"https://abicko.cz")</f>
        <v>https://abicko.cz</v>
      </c>
      <c r="E27" s="3" t="str">
        <f ca="1">IFERROR(__xludf.DUMMYFUNCTION("""COMPUTED_VALUE"""),"celý web")</f>
        <v>celý web</v>
      </c>
      <c r="F27" s="4" t="str">
        <f ca="1">IFERROR(__xludf.DUMMYFUNCTION("""COMPUTED_VALUE"""),"https://abicko.cz")</f>
        <v>https://abicko.cz</v>
      </c>
      <c r="G27" s="3" t="str">
        <f ca="1">IFERROR(__xludf.DUMMYFUNCTION("""COMPUTED_VALUE"""),"Advertorial low season")</f>
        <v>Advertorial low season</v>
      </c>
      <c r="H27" s="3">
        <f ca="1">IFERROR(__xludf.DUMMYFUNCTION("""COMPUTED_VALUE"""),1)</f>
        <v>1</v>
      </c>
      <c r="I27" s="5">
        <f ca="1">IFERROR(__xludf.DUMMYFUNCTION("""COMPUTED_VALUE"""),1)</f>
        <v>1</v>
      </c>
      <c r="J27" s="5">
        <f ca="1">IFERROR(__xludf.DUMMYFUNCTION("""COMPUTED_VALUE"""),90000)</f>
        <v>90000</v>
      </c>
      <c r="K27" s="3"/>
      <c r="L27" s="3" t="str">
        <f ca="1">IFERROR(__xludf.DUMMYFUNCTION("""COMPUTED_VALUE"""),"Cost per instance")</f>
        <v>Cost per instance</v>
      </c>
      <c r="M27" s="3"/>
      <c r="N27" s="3"/>
      <c r="O27" s="3"/>
      <c r="P27" s="3"/>
      <c r="Q27" s="3"/>
      <c r="R27" s="3"/>
      <c r="S27" s="3" t="str">
        <f ca="1">IFERROR(__xludf.DUMMYFUNCTION("""COMPUTED_VALUE"""),"100")</f>
        <v>100</v>
      </c>
      <c r="T27" s="3"/>
      <c r="U27" s="3" t="str">
        <f ca="1">IFERROR(__xludf.DUMMYFUNCTION("""COMPUTED_VALUE"""),"pr článek")</f>
        <v>pr článek</v>
      </c>
      <c r="V27" s="3"/>
      <c r="W27" s="3"/>
      <c r="X27" s="3"/>
      <c r="Y27" s="3"/>
      <c r="Z27" s="3" t="str">
        <f ca="1">IFERROR(__xludf.DUMMYFUNCTION("""COMPUTED_VALUE"""),"podklady@cncenter.cz")</f>
        <v>podklady@cncenter.cz</v>
      </c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 t="str">
        <f ca="1">IFERROR(__xludf.DUMMYFUNCTION("""COMPUTED_VALUE"""),"cross-device")</f>
        <v>cross-device</v>
      </c>
      <c r="AO27" s="3"/>
      <c r="AP27" s="3"/>
      <c r="AQ27" s="3"/>
      <c r="AR27" s="3"/>
      <c r="AS27" s="3"/>
      <c r="AT27" s="3"/>
      <c r="AU27" s="3" t="str">
        <f ca="1">IFERROR(__xludf.DUMMYFUNCTION("""COMPUTED_VALUE"""),"Advertorial")</f>
        <v>Advertorial</v>
      </c>
    </row>
    <row r="28" spans="1:47" x14ac:dyDescent="0.3">
      <c r="A28" s="3">
        <f ca="1"/>
        <v>2346826</v>
      </c>
      <c r="B28" s="3" t="str">
        <f ca="1"/>
        <v>CZECH NEWS CENTER a. s.</v>
      </c>
      <c r="C28" s="3" t="str">
        <f ca="1">IFERROR(__xludf.DUMMYFUNCTION("""COMPUTED_VALUE"""),"Abicko")</f>
        <v>Abicko</v>
      </c>
      <c r="D28" s="4" t="str">
        <f ca="1">IFERROR(__xludf.DUMMYFUNCTION("""COMPUTED_VALUE"""),"https://abicko.cz")</f>
        <v>https://abicko.cz</v>
      </c>
      <c r="E28" s="3" t="str">
        <f ca="1">IFERROR(__xludf.DUMMYFUNCTION("""COMPUTED_VALUE"""),"celý web")</f>
        <v>celý web</v>
      </c>
      <c r="F28" s="4" t="str">
        <f ca="1">IFERROR(__xludf.DUMMYFUNCTION("""COMPUTED_VALUE"""),"https://abicko.cz")</f>
        <v>https://abicko.cz</v>
      </c>
      <c r="G28" s="3" t="str">
        <f ca="1">IFERROR(__xludf.DUMMYFUNCTION("""COMPUTED_VALUE"""),"billboard bottom low season")</f>
        <v>billboard bottom low season</v>
      </c>
      <c r="H28" s="3">
        <f ca="1">IFERROR(__xludf.DUMMYFUNCTION("""COMPUTED_VALUE"""),7)</f>
        <v>7</v>
      </c>
      <c r="I28" s="5">
        <f ca="1">IFERROR(__xludf.DUMMYFUNCTION("""COMPUTED_VALUE"""),1000)</f>
        <v>1000</v>
      </c>
      <c r="J28" s="5">
        <f ca="1">IFERROR(__xludf.DUMMYFUNCTION("""COMPUTED_VALUE"""),240)</f>
        <v>240</v>
      </c>
      <c r="K28" s="3"/>
      <c r="L28" s="3" t="str">
        <f ca="1">IFERROR(__xludf.DUMMYFUNCTION("""COMPUTED_VALUE"""),"Cost per period")</f>
        <v>Cost per period</v>
      </c>
      <c r="M28" s="3"/>
      <c r="N28" s="3"/>
      <c r="O28" s="3" t="str">
        <f ca="1">IFERROR(__xludf.DUMMYFUNCTION("""COMPUTED_VALUE"""),"970")</f>
        <v>970</v>
      </c>
      <c r="P28" s="3" t="str">
        <f ca="1">IFERROR(__xludf.DUMMYFUNCTION("""COMPUTED_VALUE"""),"250")</f>
        <v>250</v>
      </c>
      <c r="Q28" s="3" t="str">
        <f ca="1">IFERROR(__xludf.DUMMYFUNCTION("""COMPUTED_VALUE"""),"970x250")</f>
        <v>970x250</v>
      </c>
      <c r="R28" s="3"/>
      <c r="S28" s="3" t="str">
        <f ca="1">IFERROR(__xludf.DUMMYFUNCTION("""COMPUTED_VALUE"""),"100 (200 - HTML5)")</f>
        <v>100 (200 - HTML5)</v>
      </c>
      <c r="T28" s="3"/>
      <c r="U28" s="3" t="str">
        <f ca="1">IFERROR(__xludf.DUMMYFUNCTION("""COMPUTED_VALUE"""),"banner standard")</f>
        <v>banner standard</v>
      </c>
      <c r="V28" s="3"/>
      <c r="W28" s="4" t="str">
        <f ca="1">IFERROR(__xludf.DUMMYFUNCTION("""COMPUTED_VALUE"""),"https://reklama.cncenter.cz/Online/billboard-bottom")</f>
        <v>https://reklama.cncenter.cz/Online/billboard-bottom</v>
      </c>
      <c r="X28" s="3"/>
      <c r="Y28" s="3"/>
      <c r="Z28" s="3" t="str">
        <f ca="1">IFERROR(__xludf.DUMMYFUNCTION("""COMPUTED_VALUE"""),"podklady@cncenter.cz")</f>
        <v>podklady@cncenter.cz</v>
      </c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 t="str">
        <f ca="1">IFERROR(__xludf.DUMMYFUNCTION("""COMPUTED_VALUE"""),"desktop")</f>
        <v>desktop</v>
      </c>
      <c r="AO28" s="3"/>
      <c r="AP28" s="3"/>
      <c r="AQ28" s="3"/>
      <c r="AR28" s="3"/>
      <c r="AS28" s="3"/>
      <c r="AT28" s="3"/>
      <c r="AU28" s="3" t="str">
        <f ca="1">IFERROR(__xludf.DUMMYFUNCTION("""COMPUTED_VALUE"""),"billboard bottom")</f>
        <v>billboard bottom</v>
      </c>
    </row>
    <row r="29" spans="1:47" x14ac:dyDescent="0.3">
      <c r="A29" s="3">
        <f ca="1"/>
        <v>2346826</v>
      </c>
      <c r="B29" s="3" t="str">
        <f ca="1"/>
        <v>CZECH NEWS CENTER a. s.</v>
      </c>
      <c r="C29" s="3" t="str">
        <f ca="1">IFERROR(__xludf.DUMMYFUNCTION("""COMPUTED_VALUE"""),"Abicko")</f>
        <v>Abicko</v>
      </c>
      <c r="D29" s="4" t="str">
        <f ca="1">IFERROR(__xludf.DUMMYFUNCTION("""COMPUTED_VALUE"""),"https://abicko.cz")</f>
        <v>https://abicko.cz</v>
      </c>
      <c r="E29" s="3" t="str">
        <f ca="1">IFERROR(__xludf.DUMMYFUNCTION("""COMPUTED_VALUE"""),"celý web")</f>
        <v>celý web</v>
      </c>
      <c r="F29" s="4" t="str">
        <f ca="1">IFERROR(__xludf.DUMMYFUNCTION("""COMPUTED_VALUE"""),"https://abicko.cz")</f>
        <v>https://abicko.cz</v>
      </c>
      <c r="G29" s="3" t="str">
        <f ca="1">IFERROR(__xludf.DUMMYFUNCTION("""COMPUTED_VALUE"""),"branding cross-device low season")</f>
        <v>branding cross-device low season</v>
      </c>
      <c r="H29" s="3">
        <f ca="1">IFERROR(__xludf.DUMMYFUNCTION("""COMPUTED_VALUE"""),7)</f>
        <v>7</v>
      </c>
      <c r="I29" s="5">
        <f ca="1">IFERROR(__xludf.DUMMYFUNCTION("""COMPUTED_VALUE"""),1000)</f>
        <v>1000</v>
      </c>
      <c r="J29" s="5">
        <f ca="1">IFERROR(__xludf.DUMMYFUNCTION("""COMPUTED_VALUE"""),300)</f>
        <v>300</v>
      </c>
      <c r="K29" s="3"/>
      <c r="L29" s="3" t="str">
        <f ca="1">IFERROR(__xludf.DUMMYFUNCTION("""COMPUTED_VALUE"""),"Cost per period")</f>
        <v>Cost per period</v>
      </c>
      <c r="M29" s="3"/>
      <c r="N29" s="3"/>
      <c r="O29" s="3" t="str">
        <f ca="1">IFERROR(__xludf.DUMMYFUNCTION("""COMPUTED_VALUE"""),"2000")</f>
        <v>2000</v>
      </c>
      <c r="P29" s="3" t="str">
        <f ca="1">IFERROR(__xludf.DUMMYFUNCTION("""COMPUTED_VALUE"""),"1400")</f>
        <v>1400</v>
      </c>
      <c r="Q29" s="3" t="str">
        <f ca="1">IFERROR(__xludf.DUMMYFUNCTION("""COMPUTED_VALUE"""),"2000x1400 + 600x1080")</f>
        <v>2000x1400 + 600x1080</v>
      </c>
      <c r="R29" s="3"/>
      <c r="S29" s="3" t="str">
        <f ca="1">IFERROR(__xludf.DUMMYFUNCTION("""COMPUTED_VALUE"""),"500 (600 - HTLM5)")</f>
        <v>500 (600 - HTLM5)</v>
      </c>
      <c r="T29" s="3"/>
      <c r="U29" s="3" t="str">
        <f ca="1">IFERROR(__xludf.DUMMYFUNCTION("""COMPUTED_VALUE"""),"banner standard")</f>
        <v>banner standard</v>
      </c>
      <c r="V29" s="3"/>
      <c r="W29" s="4" t="str">
        <f ca="1">IFERROR(__xludf.DUMMYFUNCTION("""COMPUTED_VALUE"""),"https://reklama.cncenter.cz/Online/branding-cross-device")</f>
        <v>https://reklama.cncenter.cz/Online/branding-cross-device</v>
      </c>
      <c r="X29" s="3"/>
      <c r="Y29" s="3"/>
      <c r="Z29" s="3" t="str">
        <f ca="1">IFERROR(__xludf.DUMMYFUNCTION("""COMPUTED_VALUE"""),"podklady@cncenter.cz")</f>
        <v>podklady@cncenter.cz</v>
      </c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 t="str">
        <f ca="1">IFERROR(__xludf.DUMMYFUNCTION("""COMPUTED_VALUE"""),"cross-device")</f>
        <v>cross-device</v>
      </c>
      <c r="AO29" s="3"/>
      <c r="AP29" s="3"/>
      <c r="AQ29" s="3"/>
      <c r="AR29" s="3"/>
      <c r="AS29" s="3"/>
      <c r="AT29" s="3"/>
      <c r="AU29" s="3" t="str">
        <f ca="1">IFERROR(__xludf.DUMMYFUNCTION("""COMPUTED_VALUE"""),"branding cross-device")</f>
        <v>branding cross-device</v>
      </c>
    </row>
    <row r="30" spans="1:47" x14ac:dyDescent="0.3">
      <c r="A30" s="3">
        <f ca="1"/>
        <v>2346826</v>
      </c>
      <c r="B30" s="3" t="str">
        <f ca="1"/>
        <v>CZECH NEWS CENTER a. s.</v>
      </c>
      <c r="C30" s="3" t="str">
        <f ca="1">IFERROR(__xludf.DUMMYFUNCTION("""COMPUTED_VALUE"""),"Abicko")</f>
        <v>Abicko</v>
      </c>
      <c r="D30" s="4" t="str">
        <f ca="1">IFERROR(__xludf.DUMMYFUNCTION("""COMPUTED_VALUE"""),"https://abicko.cz")</f>
        <v>https://abicko.cz</v>
      </c>
      <c r="E30" s="3" t="str">
        <f ca="1">IFERROR(__xludf.DUMMYFUNCTION("""COMPUTED_VALUE"""),"celý web")</f>
        <v>celý web</v>
      </c>
      <c r="F30" s="4" t="str">
        <f ca="1">IFERROR(__xludf.DUMMYFUNCTION("""COMPUTED_VALUE"""),"https://abicko.cz")</f>
        <v>https://abicko.cz</v>
      </c>
      <c r="G30" s="3" t="str">
        <f ca="1">IFERROR(__xludf.DUMMYFUNCTION("""COMPUTED_VALUE"""),"branding low season")</f>
        <v>branding low season</v>
      </c>
      <c r="H30" s="3">
        <f ca="1">IFERROR(__xludf.DUMMYFUNCTION("""COMPUTED_VALUE"""),7)</f>
        <v>7</v>
      </c>
      <c r="I30" s="5">
        <f ca="1">IFERROR(__xludf.DUMMYFUNCTION("""COMPUTED_VALUE"""),1000)</f>
        <v>1000</v>
      </c>
      <c r="J30" s="5">
        <f ca="1">IFERROR(__xludf.DUMMYFUNCTION("""COMPUTED_VALUE"""),490)</f>
        <v>490</v>
      </c>
      <c r="K30" s="3"/>
      <c r="L30" s="3" t="str">
        <f ca="1">IFERROR(__xludf.DUMMYFUNCTION("""COMPUTED_VALUE"""),"Cost per period")</f>
        <v>Cost per period</v>
      </c>
      <c r="M30" s="3"/>
      <c r="N30" s="3"/>
      <c r="O30" s="3" t="str">
        <f ca="1">IFERROR(__xludf.DUMMYFUNCTION("""COMPUTED_VALUE"""),"2000")</f>
        <v>2000</v>
      </c>
      <c r="P30" s="3" t="str">
        <f ca="1">IFERROR(__xludf.DUMMYFUNCTION("""COMPUTED_VALUE"""),"1400")</f>
        <v>1400</v>
      </c>
      <c r="Q30" s="3" t="str">
        <f ca="1">IFERROR(__xludf.DUMMYFUNCTION("""COMPUTED_VALUE"""),"2000x1400")</f>
        <v>2000x1400</v>
      </c>
      <c r="R30" s="3"/>
      <c r="S30" s="3" t="str">
        <f ca="1">IFERROR(__xludf.DUMMYFUNCTION("""COMPUTED_VALUE"""),"500 + 200 (600+200 HTML5)")</f>
        <v>500 + 200 (600+200 HTML5)</v>
      </c>
      <c r="T30" s="3"/>
      <c r="U30" s="3" t="str">
        <f ca="1">IFERROR(__xludf.DUMMYFUNCTION("""COMPUTED_VALUE"""),"banner standard")</f>
        <v>banner standard</v>
      </c>
      <c r="V30" s="3"/>
      <c r="W30" s="4" t="str">
        <f ca="1">IFERROR(__xludf.DUMMYFUNCTION("""COMPUTED_VALUE"""),"https://reklama.cncenter.cz/Online/branding")</f>
        <v>https://reklama.cncenter.cz/Online/branding</v>
      </c>
      <c r="X30" s="3"/>
      <c r="Y30" s="3"/>
      <c r="Z30" s="3" t="str">
        <f ca="1">IFERROR(__xludf.DUMMYFUNCTION("""COMPUTED_VALUE"""),"podklady@cncenter.cz")</f>
        <v>podklady@cncenter.cz</v>
      </c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 t="str">
        <f ca="1">IFERROR(__xludf.DUMMYFUNCTION("""COMPUTED_VALUE"""),"desktop")</f>
        <v>desktop</v>
      </c>
      <c r="AO30" s="3"/>
      <c r="AP30" s="3"/>
      <c r="AQ30" s="3"/>
      <c r="AR30" s="3"/>
      <c r="AS30" s="3"/>
      <c r="AT30" s="3"/>
      <c r="AU30" s="3" t="str">
        <f ca="1">IFERROR(__xludf.DUMMYFUNCTION("""COMPUTED_VALUE"""),"branding")</f>
        <v>branding</v>
      </c>
    </row>
    <row r="31" spans="1:47" x14ac:dyDescent="0.3">
      <c r="A31" s="3">
        <f ca="1"/>
        <v>2346826</v>
      </c>
      <c r="B31" s="3" t="str">
        <f ca="1"/>
        <v>CZECH NEWS CENTER a. s.</v>
      </c>
      <c r="C31" s="3" t="str">
        <f ca="1">IFERROR(__xludf.DUMMYFUNCTION("""COMPUTED_VALUE"""),"Abicko")</f>
        <v>Abicko</v>
      </c>
      <c r="D31" s="4" t="str">
        <f ca="1">IFERROR(__xludf.DUMMYFUNCTION("""COMPUTED_VALUE"""),"https://abicko.cz")</f>
        <v>https://abicko.cz</v>
      </c>
      <c r="E31" s="3" t="str">
        <f ca="1">IFERROR(__xludf.DUMMYFUNCTION("""COMPUTED_VALUE"""),"celý web")</f>
        <v>celý web</v>
      </c>
      <c r="F31" s="4" t="str">
        <f ca="1">IFERROR(__xludf.DUMMYFUNCTION("""COMPUTED_VALUE"""),"https://abicko.cz")</f>
        <v>https://abicko.cz</v>
      </c>
      <c r="G31" s="3" t="str">
        <f ca="1">IFERROR(__xludf.DUMMYFUNCTION("""COMPUTED_VALUE"""),"cílený billboard bottom low season")</f>
        <v>cílený billboard bottom low season</v>
      </c>
      <c r="H31" s="3">
        <f ca="1">IFERROR(__xludf.DUMMYFUNCTION("""COMPUTED_VALUE"""),7)</f>
        <v>7</v>
      </c>
      <c r="I31" s="5">
        <f ca="1">IFERROR(__xludf.DUMMYFUNCTION("""COMPUTED_VALUE"""),1000)</f>
        <v>1000</v>
      </c>
      <c r="J31" s="5">
        <f ca="1">IFERROR(__xludf.DUMMYFUNCTION("""COMPUTED_VALUE"""),288)</f>
        <v>288</v>
      </c>
      <c r="K31" s="3"/>
      <c r="L31" s="3" t="str">
        <f ca="1">IFERROR(__xludf.DUMMYFUNCTION("""COMPUTED_VALUE"""),"Cost per period")</f>
        <v>Cost per period</v>
      </c>
      <c r="M31" s="3"/>
      <c r="N31" s="3"/>
      <c r="O31" s="3" t="str">
        <f ca="1">IFERROR(__xludf.DUMMYFUNCTION("""COMPUTED_VALUE"""),"970")</f>
        <v>970</v>
      </c>
      <c r="P31" s="3" t="str">
        <f ca="1">IFERROR(__xludf.DUMMYFUNCTION("""COMPUTED_VALUE"""),"250")</f>
        <v>250</v>
      </c>
      <c r="Q31" s="3" t="str">
        <f ca="1">IFERROR(__xludf.DUMMYFUNCTION("""COMPUTED_VALUE"""),"970x250")</f>
        <v>970x250</v>
      </c>
      <c r="R31" s="3"/>
      <c r="S31" s="3" t="str">
        <f ca="1">IFERROR(__xludf.DUMMYFUNCTION("""COMPUTED_VALUE"""),"100 (200 - HTML5)")</f>
        <v>100 (200 - HTML5)</v>
      </c>
      <c r="T31" s="3"/>
      <c r="U31" s="3" t="str">
        <f ca="1">IFERROR(__xludf.DUMMYFUNCTION("""COMPUTED_VALUE"""),"banner standard")</f>
        <v>banner standard</v>
      </c>
      <c r="V31" s="3"/>
      <c r="W31" s="4" t="str">
        <f ca="1">IFERROR(__xludf.DUMMYFUNCTION("""COMPUTED_VALUE"""),"https://reklama.cncenter.cz/Online/billboard-bottom")</f>
        <v>https://reklama.cncenter.cz/Online/billboard-bottom</v>
      </c>
      <c r="X31" s="3"/>
      <c r="Y31" s="3"/>
      <c r="Z31" s="3" t="str">
        <f ca="1">IFERROR(__xludf.DUMMYFUNCTION("""COMPUTED_VALUE"""),"podklady@cncenter.cz")</f>
        <v>podklady@cncenter.cz</v>
      </c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 t="str">
        <f ca="1">IFERROR(__xludf.DUMMYFUNCTION("""COMPUTED_VALUE"""),"desktop")</f>
        <v>desktop</v>
      </c>
      <c r="AO31" s="3"/>
      <c r="AP31" s="3"/>
      <c r="AQ31" s="3"/>
      <c r="AR31" s="3"/>
      <c r="AS31" s="3"/>
      <c r="AT31" s="3"/>
      <c r="AU31" s="3" t="str">
        <f ca="1">IFERROR(__xludf.DUMMYFUNCTION("""COMPUTED_VALUE"""),"cílený billboard bottom")</f>
        <v>cílený billboard bottom</v>
      </c>
    </row>
    <row r="32" spans="1:47" x14ac:dyDescent="0.3">
      <c r="A32" s="3">
        <f ca="1"/>
        <v>2346826</v>
      </c>
      <c r="B32" s="3" t="str">
        <f ca="1"/>
        <v>CZECH NEWS CENTER a. s.</v>
      </c>
      <c r="C32" s="3" t="str">
        <f ca="1">IFERROR(__xludf.DUMMYFUNCTION("""COMPUTED_VALUE"""),"Abicko")</f>
        <v>Abicko</v>
      </c>
      <c r="D32" s="4" t="str">
        <f ca="1">IFERROR(__xludf.DUMMYFUNCTION("""COMPUTED_VALUE"""),"https://abicko.cz")</f>
        <v>https://abicko.cz</v>
      </c>
      <c r="E32" s="3" t="str">
        <f ca="1">IFERROR(__xludf.DUMMYFUNCTION("""COMPUTED_VALUE"""),"celý web")</f>
        <v>celý web</v>
      </c>
      <c r="F32" s="4" t="str">
        <f ca="1">IFERROR(__xludf.DUMMYFUNCTION("""COMPUTED_VALUE"""),"https://abicko.cz")</f>
        <v>https://abicko.cz</v>
      </c>
      <c r="G32" s="3" t="str">
        <f ca="1">IFERROR(__xludf.DUMMYFUNCTION("""COMPUTED_VALUE"""),"cílený branding cross-device low season")</f>
        <v>cílený branding cross-device low season</v>
      </c>
      <c r="H32" s="3">
        <f ca="1">IFERROR(__xludf.DUMMYFUNCTION("""COMPUTED_VALUE"""),7)</f>
        <v>7</v>
      </c>
      <c r="I32" s="5">
        <f ca="1">IFERROR(__xludf.DUMMYFUNCTION("""COMPUTED_VALUE"""),1000)</f>
        <v>1000</v>
      </c>
      <c r="J32" s="5">
        <f ca="1">IFERROR(__xludf.DUMMYFUNCTION("""COMPUTED_VALUE"""),360)</f>
        <v>360</v>
      </c>
      <c r="K32" s="3"/>
      <c r="L32" s="3" t="str">
        <f ca="1">IFERROR(__xludf.DUMMYFUNCTION("""COMPUTED_VALUE"""),"Cost per period")</f>
        <v>Cost per period</v>
      </c>
      <c r="M32" s="3"/>
      <c r="N32" s="3"/>
      <c r="O32" s="3" t="str">
        <f ca="1">IFERROR(__xludf.DUMMYFUNCTION("""COMPUTED_VALUE"""),"2000")</f>
        <v>2000</v>
      </c>
      <c r="P32" s="3" t="str">
        <f ca="1">IFERROR(__xludf.DUMMYFUNCTION("""COMPUTED_VALUE"""),"1400")</f>
        <v>1400</v>
      </c>
      <c r="Q32" s="3" t="str">
        <f ca="1">IFERROR(__xludf.DUMMYFUNCTION("""COMPUTED_VALUE"""),"2000x1400 + 600x1080")</f>
        <v>2000x1400 + 600x1080</v>
      </c>
      <c r="R32" s="3"/>
      <c r="S32" s="3" t="str">
        <f ca="1">IFERROR(__xludf.DUMMYFUNCTION("""COMPUTED_VALUE"""),"500 (600 - HTLM5)")</f>
        <v>500 (600 - HTLM5)</v>
      </c>
      <c r="T32" s="3"/>
      <c r="U32" s="3" t="str">
        <f ca="1">IFERROR(__xludf.DUMMYFUNCTION("""COMPUTED_VALUE"""),"banner standard")</f>
        <v>banner standard</v>
      </c>
      <c r="V32" s="3"/>
      <c r="W32" s="4" t="str">
        <f ca="1">IFERROR(__xludf.DUMMYFUNCTION("""COMPUTED_VALUE"""),"https://reklama.cncenter.cz/Online/branding-cross-device")</f>
        <v>https://reklama.cncenter.cz/Online/branding-cross-device</v>
      </c>
      <c r="X32" s="3"/>
      <c r="Y32" s="3"/>
      <c r="Z32" s="3" t="str">
        <f ca="1">IFERROR(__xludf.DUMMYFUNCTION("""COMPUTED_VALUE"""),"podklady@cncenter.cz")</f>
        <v>podklady@cncenter.cz</v>
      </c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 t="str">
        <f ca="1">IFERROR(__xludf.DUMMYFUNCTION("""COMPUTED_VALUE"""),"cross-device")</f>
        <v>cross-device</v>
      </c>
      <c r="AO32" s="3"/>
      <c r="AP32" s="3"/>
      <c r="AQ32" s="3"/>
      <c r="AR32" s="3"/>
      <c r="AS32" s="3"/>
      <c r="AT32" s="3"/>
      <c r="AU32" s="3" t="str">
        <f ca="1">IFERROR(__xludf.DUMMYFUNCTION("""COMPUTED_VALUE"""),"cílený branding cross-device")</f>
        <v>cílený branding cross-device</v>
      </c>
    </row>
    <row r="33" spans="1:47" x14ac:dyDescent="0.3">
      <c r="A33" s="3">
        <f ca="1"/>
        <v>2346826</v>
      </c>
      <c r="B33" s="3" t="str">
        <f ca="1"/>
        <v>CZECH NEWS CENTER a. s.</v>
      </c>
      <c r="C33" s="3" t="str">
        <f ca="1">IFERROR(__xludf.DUMMYFUNCTION("""COMPUTED_VALUE"""),"Abicko")</f>
        <v>Abicko</v>
      </c>
      <c r="D33" s="4" t="str">
        <f ca="1">IFERROR(__xludf.DUMMYFUNCTION("""COMPUTED_VALUE"""),"https://abicko.cz")</f>
        <v>https://abicko.cz</v>
      </c>
      <c r="E33" s="3" t="str">
        <f ca="1">IFERROR(__xludf.DUMMYFUNCTION("""COMPUTED_VALUE"""),"celý web")</f>
        <v>celý web</v>
      </c>
      <c r="F33" s="4" t="str">
        <f ca="1">IFERROR(__xludf.DUMMYFUNCTION("""COMPUTED_VALUE"""),"https://abicko.cz")</f>
        <v>https://abicko.cz</v>
      </c>
      <c r="G33" s="3" t="str">
        <f ca="1">IFERROR(__xludf.DUMMYFUNCTION("""COMPUTED_VALUE"""),"cílený branding low season")</f>
        <v>cílený branding low season</v>
      </c>
      <c r="H33" s="3">
        <f ca="1">IFERROR(__xludf.DUMMYFUNCTION("""COMPUTED_VALUE"""),7)</f>
        <v>7</v>
      </c>
      <c r="I33" s="5">
        <f ca="1">IFERROR(__xludf.DUMMYFUNCTION("""COMPUTED_VALUE"""),1000)</f>
        <v>1000</v>
      </c>
      <c r="J33" s="5">
        <f ca="1">IFERROR(__xludf.DUMMYFUNCTION("""COMPUTED_VALUE"""),588)</f>
        <v>588</v>
      </c>
      <c r="K33" s="3"/>
      <c r="L33" s="3" t="str">
        <f ca="1">IFERROR(__xludf.DUMMYFUNCTION("""COMPUTED_VALUE"""),"Cost per period")</f>
        <v>Cost per period</v>
      </c>
      <c r="M33" s="3"/>
      <c r="N33" s="3"/>
      <c r="O33" s="3" t="str">
        <f ca="1">IFERROR(__xludf.DUMMYFUNCTION("""COMPUTED_VALUE"""),"2000")</f>
        <v>2000</v>
      </c>
      <c r="P33" s="3" t="str">
        <f ca="1">IFERROR(__xludf.DUMMYFUNCTION("""COMPUTED_VALUE"""),"1400")</f>
        <v>1400</v>
      </c>
      <c r="Q33" s="3" t="str">
        <f ca="1">IFERROR(__xludf.DUMMYFUNCTION("""COMPUTED_VALUE"""),"2000x1400")</f>
        <v>2000x1400</v>
      </c>
      <c r="R33" s="3"/>
      <c r="S33" s="3" t="str">
        <f ca="1">IFERROR(__xludf.DUMMYFUNCTION("""COMPUTED_VALUE"""),"500 + 200 (600+200 HTML5)")</f>
        <v>500 + 200 (600+200 HTML5)</v>
      </c>
      <c r="T33" s="3"/>
      <c r="U33" s="3" t="str">
        <f ca="1">IFERROR(__xludf.DUMMYFUNCTION("""COMPUTED_VALUE"""),"banner standard")</f>
        <v>banner standard</v>
      </c>
      <c r="V33" s="3"/>
      <c r="W33" s="4" t="str">
        <f ca="1">IFERROR(__xludf.DUMMYFUNCTION("""COMPUTED_VALUE"""),"https://reklama.cncenter.cz/Online/branding")</f>
        <v>https://reklama.cncenter.cz/Online/branding</v>
      </c>
      <c r="X33" s="3"/>
      <c r="Y33" s="3"/>
      <c r="Z33" s="3" t="str">
        <f ca="1">IFERROR(__xludf.DUMMYFUNCTION("""COMPUTED_VALUE"""),"podklady@cncenter.cz")</f>
        <v>podklady@cncenter.cz</v>
      </c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 t="str">
        <f ca="1">IFERROR(__xludf.DUMMYFUNCTION("""COMPUTED_VALUE"""),"desktop")</f>
        <v>desktop</v>
      </c>
      <c r="AO33" s="3"/>
      <c r="AP33" s="3"/>
      <c r="AQ33" s="3"/>
      <c r="AR33" s="3"/>
      <c r="AS33" s="3"/>
      <c r="AT33" s="3"/>
      <c r="AU33" s="3" t="str">
        <f ca="1">IFERROR(__xludf.DUMMYFUNCTION("""COMPUTED_VALUE"""),"cílený branding")</f>
        <v>cílený branding</v>
      </c>
    </row>
    <row r="34" spans="1:47" x14ac:dyDescent="0.3">
      <c r="A34" s="3">
        <f ca="1"/>
        <v>2346826</v>
      </c>
      <c r="B34" s="3" t="str">
        <f ca="1"/>
        <v>CZECH NEWS CENTER a. s.</v>
      </c>
      <c r="C34" s="3" t="str">
        <f ca="1">IFERROR(__xludf.DUMMYFUNCTION("""COMPUTED_VALUE"""),"Abicko")</f>
        <v>Abicko</v>
      </c>
      <c r="D34" s="4" t="str">
        <f ca="1">IFERROR(__xludf.DUMMYFUNCTION("""COMPUTED_VALUE"""),"https://abicko.cz")</f>
        <v>https://abicko.cz</v>
      </c>
      <c r="E34" s="3" t="str">
        <f ca="1">IFERROR(__xludf.DUMMYFUNCTION("""COMPUTED_VALUE"""),"celý web")</f>
        <v>celý web</v>
      </c>
      <c r="F34" s="4" t="str">
        <f ca="1">IFERROR(__xludf.DUMMYFUNCTION("""COMPUTED_VALUE"""),"https://abicko.cz")</f>
        <v>https://abicko.cz</v>
      </c>
      <c r="G34" s="3" t="str">
        <f ca="1">IFERROR(__xludf.DUMMYFUNCTION("""COMPUTED_VALUE"""),"cílený double skyscraper low season")</f>
        <v>cílený double skyscraper low season</v>
      </c>
      <c r="H34" s="3">
        <f ca="1">IFERROR(__xludf.DUMMYFUNCTION("""COMPUTED_VALUE"""),7)</f>
        <v>7</v>
      </c>
      <c r="I34" s="5">
        <f ca="1">IFERROR(__xludf.DUMMYFUNCTION("""COMPUTED_VALUE"""),1000)</f>
        <v>1000</v>
      </c>
      <c r="J34" s="5">
        <f ca="1">IFERROR(__xludf.DUMMYFUNCTION("""COMPUTED_VALUE"""),228)</f>
        <v>228</v>
      </c>
      <c r="K34" s="3"/>
      <c r="L34" s="3" t="str">
        <f ca="1">IFERROR(__xludf.DUMMYFUNCTION("""COMPUTED_VALUE"""),"Cost per period")</f>
        <v>Cost per period</v>
      </c>
      <c r="M34" s="3"/>
      <c r="N34" s="3"/>
      <c r="O34" s="3" t="str">
        <f ca="1">IFERROR(__xludf.DUMMYFUNCTION("""COMPUTED_VALUE"""),"300")</f>
        <v>300</v>
      </c>
      <c r="P34" s="3" t="str">
        <f ca="1">IFERROR(__xludf.DUMMYFUNCTION("""COMPUTED_VALUE"""),"600")</f>
        <v>600</v>
      </c>
      <c r="Q34" s="3" t="str">
        <f ca="1">IFERROR(__xludf.DUMMYFUNCTION("""COMPUTED_VALUE"""),"300x600")</f>
        <v>300x600</v>
      </c>
      <c r="R34" s="3"/>
      <c r="S34" s="3" t="str">
        <f ca="1">IFERROR(__xludf.DUMMYFUNCTION("""COMPUTED_VALUE"""),"100 (200 - HTML5)")</f>
        <v>100 (200 - HTML5)</v>
      </c>
      <c r="T34" s="3"/>
      <c r="U34" s="3" t="str">
        <f ca="1">IFERROR(__xludf.DUMMYFUNCTION("""COMPUTED_VALUE"""),"banner standard")</f>
        <v>banner standard</v>
      </c>
      <c r="V34" s="3"/>
      <c r="W34" s="4" t="str">
        <f ca="1">IFERROR(__xludf.DUMMYFUNCTION("""COMPUTED_VALUE"""),"https://reklama.cncenter.cz/Online/double-skyscraper")</f>
        <v>https://reklama.cncenter.cz/Online/double-skyscraper</v>
      </c>
      <c r="X34" s="3"/>
      <c r="Y34" s="3"/>
      <c r="Z34" s="3" t="str">
        <f ca="1">IFERROR(__xludf.DUMMYFUNCTION("""COMPUTED_VALUE"""),"podklady@cncenter.cz")</f>
        <v>podklady@cncenter.cz</v>
      </c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 t="str">
        <f ca="1">IFERROR(__xludf.DUMMYFUNCTION("""COMPUTED_VALUE"""),"desktop")</f>
        <v>desktop</v>
      </c>
      <c r="AO34" s="3"/>
      <c r="AP34" s="3"/>
      <c r="AQ34" s="3"/>
      <c r="AR34" s="3"/>
      <c r="AS34" s="3"/>
      <c r="AT34" s="3"/>
      <c r="AU34" s="3" t="str">
        <f ca="1">IFERROR(__xludf.DUMMYFUNCTION("""COMPUTED_VALUE"""),"cílený double skyscraper")</f>
        <v>cílený double skyscraper</v>
      </c>
    </row>
    <row r="35" spans="1:47" x14ac:dyDescent="0.3">
      <c r="A35" s="3">
        <f ca="1"/>
        <v>2346826</v>
      </c>
      <c r="B35" s="3" t="str">
        <f ca="1"/>
        <v>CZECH NEWS CENTER a. s.</v>
      </c>
      <c r="C35" s="3" t="str">
        <f ca="1">IFERROR(__xludf.DUMMYFUNCTION("""COMPUTED_VALUE"""),"Abicko")</f>
        <v>Abicko</v>
      </c>
      <c r="D35" s="4" t="str">
        <f ca="1">IFERROR(__xludf.DUMMYFUNCTION("""COMPUTED_VALUE"""),"https://abicko.cz")</f>
        <v>https://abicko.cz</v>
      </c>
      <c r="E35" s="3" t="str">
        <f ca="1">IFERROR(__xludf.DUMMYFUNCTION("""COMPUTED_VALUE"""),"celý web")</f>
        <v>celý web</v>
      </c>
      <c r="F35" s="4" t="str">
        <f ca="1">IFERROR(__xludf.DUMMYFUNCTION("""COMPUTED_VALUE"""),"https://abicko.cz")</f>
        <v>https://abicko.cz</v>
      </c>
      <c r="G35" s="3" t="str">
        <f ca="1">IFERROR(__xludf.DUMMYFUNCTION("""COMPUTED_VALUE"""),"cílený mobilní interscroller low season")</f>
        <v>cílený mobilní interscroller low season</v>
      </c>
      <c r="H35" s="3">
        <f ca="1">IFERROR(__xludf.DUMMYFUNCTION("""COMPUTED_VALUE"""),7)</f>
        <v>7</v>
      </c>
      <c r="I35" s="5">
        <f ca="1">IFERROR(__xludf.DUMMYFUNCTION("""COMPUTED_VALUE"""),1000)</f>
        <v>1000</v>
      </c>
      <c r="J35" s="5">
        <f ca="1">IFERROR(__xludf.DUMMYFUNCTION("""COMPUTED_VALUE"""),300)</f>
        <v>300</v>
      </c>
      <c r="K35" s="3"/>
      <c r="L35" s="3" t="str">
        <f ca="1">IFERROR(__xludf.DUMMYFUNCTION("""COMPUTED_VALUE"""),"Cost per period")</f>
        <v>Cost per period</v>
      </c>
      <c r="M35" s="3"/>
      <c r="N35" s="3"/>
      <c r="O35" s="3" t="str">
        <f ca="1">IFERROR(__xludf.DUMMYFUNCTION("""COMPUTED_VALUE"""),"600")</f>
        <v>600</v>
      </c>
      <c r="P35" s="3" t="str">
        <f ca="1">IFERROR(__xludf.DUMMYFUNCTION("""COMPUTED_VALUE"""),"1080")</f>
        <v>1080</v>
      </c>
      <c r="Q35" s="3" t="str">
        <f ca="1">IFERROR(__xludf.DUMMYFUNCTION("""COMPUTED_VALUE"""),"600x1080")</f>
        <v>600x1080</v>
      </c>
      <c r="R35" s="3"/>
      <c r="S35" s="3" t="str">
        <f ca="1">IFERROR(__xludf.DUMMYFUNCTION("""COMPUTED_VALUE"""),"200")</f>
        <v>200</v>
      </c>
      <c r="T35" s="3"/>
      <c r="U35" s="3" t="str">
        <f ca="1">IFERROR(__xludf.DUMMYFUNCTION("""COMPUTED_VALUE"""),"banner standard")</f>
        <v>banner standard</v>
      </c>
      <c r="V35" s="3"/>
      <c r="W35" s="4" t="str">
        <f ca="1">IFERROR(__xludf.DUMMYFUNCTION("""COMPUTED_VALUE"""),"https://reklama.cncenter.cz/Online/mobilni-interscroller")</f>
        <v>https://reklama.cncenter.cz/Online/mobilni-interscroller</v>
      </c>
      <c r="X35" s="3"/>
      <c r="Y35" s="3"/>
      <c r="Z35" s="3" t="str">
        <f ca="1">IFERROR(__xludf.DUMMYFUNCTION("""COMPUTED_VALUE"""),"podklady@cncenter.cz")</f>
        <v>podklady@cncenter.cz</v>
      </c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 t="str">
        <f ca="1">IFERROR(__xludf.DUMMYFUNCTION("""COMPUTED_VALUE"""),"mobile")</f>
        <v>mobile</v>
      </c>
      <c r="AO35" s="3"/>
      <c r="AP35" s="3"/>
      <c r="AQ35" s="3"/>
      <c r="AR35" s="3"/>
      <c r="AS35" s="3"/>
      <c r="AT35" s="3"/>
      <c r="AU35" s="3" t="str">
        <f ca="1">IFERROR(__xludf.DUMMYFUNCTION("""COMPUTED_VALUE"""),"cílený mobilní interscroller")</f>
        <v>cílený mobilní interscroller</v>
      </c>
    </row>
    <row r="36" spans="1:47" x14ac:dyDescent="0.3">
      <c r="A36" s="3">
        <f ca="1"/>
        <v>2346826</v>
      </c>
      <c r="B36" s="3" t="str">
        <f ca="1"/>
        <v>CZECH NEWS CENTER a. s.</v>
      </c>
      <c r="C36" s="3" t="str">
        <f ca="1">IFERROR(__xludf.DUMMYFUNCTION("""COMPUTED_VALUE"""),"Abicko")</f>
        <v>Abicko</v>
      </c>
      <c r="D36" s="4" t="str">
        <f ca="1">IFERROR(__xludf.DUMMYFUNCTION("""COMPUTED_VALUE"""),"https://abicko.cz")</f>
        <v>https://abicko.cz</v>
      </c>
      <c r="E36" s="3" t="str">
        <f ca="1">IFERROR(__xludf.DUMMYFUNCTION("""COMPUTED_VALUE"""),"celý web")</f>
        <v>celý web</v>
      </c>
      <c r="F36" s="4" t="str">
        <f ca="1">IFERROR(__xludf.DUMMYFUNCTION("""COMPUTED_VALUE"""),"https://abicko.cz")</f>
        <v>https://abicko.cz</v>
      </c>
      <c r="G36" s="3" t="str">
        <f ca="1">IFERROR(__xludf.DUMMYFUNCTION("""COMPUTED_VALUE"""),"cílený mobilní slide-up low season")</f>
        <v>cílený mobilní slide-up low season</v>
      </c>
      <c r="H36" s="3">
        <f ca="1">IFERROR(__xludf.DUMMYFUNCTION("""COMPUTED_VALUE"""),7)</f>
        <v>7</v>
      </c>
      <c r="I36" s="5">
        <f ca="1">IFERROR(__xludf.DUMMYFUNCTION("""COMPUTED_VALUE"""),1000)</f>
        <v>1000</v>
      </c>
      <c r="J36" s="5">
        <f ca="1">IFERROR(__xludf.DUMMYFUNCTION("""COMPUTED_VALUE"""),612)</f>
        <v>612</v>
      </c>
      <c r="K36" s="3"/>
      <c r="L36" s="3" t="str">
        <f ca="1">IFERROR(__xludf.DUMMYFUNCTION("""COMPUTED_VALUE"""),"Cost per period")</f>
        <v>Cost per period</v>
      </c>
      <c r="M36" s="3"/>
      <c r="N36" s="3"/>
      <c r="O36" s="3" t="str">
        <f ca="1">IFERROR(__xludf.DUMMYFUNCTION("""COMPUTED_VALUE"""),"300")</f>
        <v>300</v>
      </c>
      <c r="P36" s="3" t="str">
        <f ca="1">IFERROR(__xludf.DUMMYFUNCTION("""COMPUTED_VALUE"""),"120")</f>
        <v>120</v>
      </c>
      <c r="Q36" s="3" t="str">
        <f ca="1">IFERROR(__xludf.DUMMYFUNCTION("""COMPUTED_VALUE"""),"300x120")</f>
        <v>300x120</v>
      </c>
      <c r="R36" s="3"/>
      <c r="S36" s="3" t="str">
        <f ca="1">IFERROR(__xludf.DUMMYFUNCTION("""COMPUTED_VALUE"""),"100")</f>
        <v>100</v>
      </c>
      <c r="T36" s="3"/>
      <c r="U36" s="3" t="str">
        <f ca="1">IFERROR(__xludf.DUMMYFUNCTION("""COMPUTED_VALUE"""),"banner standard")</f>
        <v>banner standard</v>
      </c>
      <c r="V36" s="3"/>
      <c r="W36" s="4" t="str">
        <f ca="1">IFERROR(__xludf.DUMMYFUNCTION("""COMPUTED_VALUE"""),"https://reklama.cncenter.cz/Online/mobilni-slide-up")</f>
        <v>https://reklama.cncenter.cz/Online/mobilni-slide-up</v>
      </c>
      <c r="X36" s="3"/>
      <c r="Y36" s="3"/>
      <c r="Z36" s="3" t="str">
        <f ca="1">IFERROR(__xludf.DUMMYFUNCTION("""COMPUTED_VALUE"""),"podklady@cncenter.cz")</f>
        <v>podklady@cncenter.cz</v>
      </c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 t="str">
        <f ca="1">IFERROR(__xludf.DUMMYFUNCTION("""COMPUTED_VALUE"""),"mobile")</f>
        <v>mobile</v>
      </c>
      <c r="AO36" s="3"/>
      <c r="AP36" s="3"/>
      <c r="AQ36" s="3"/>
      <c r="AR36" s="3"/>
      <c r="AS36" s="3"/>
      <c r="AT36" s="3"/>
      <c r="AU36" s="3" t="str">
        <f ca="1">IFERROR(__xludf.DUMMYFUNCTION("""COMPUTED_VALUE"""),"cílený mobilní slide-up")</f>
        <v>cílený mobilní slide-up</v>
      </c>
    </row>
    <row r="37" spans="1:47" x14ac:dyDescent="0.3">
      <c r="A37" s="3">
        <f ca="1"/>
        <v>2346826</v>
      </c>
      <c r="B37" s="3" t="str">
        <f ca="1"/>
        <v>CZECH NEWS CENTER a. s.</v>
      </c>
      <c r="C37" s="3" t="str">
        <f ca="1">IFERROR(__xludf.DUMMYFUNCTION("""COMPUTED_VALUE"""),"Abicko")</f>
        <v>Abicko</v>
      </c>
      <c r="D37" s="4" t="str">
        <f ca="1">IFERROR(__xludf.DUMMYFUNCTION("""COMPUTED_VALUE"""),"https://abicko.cz")</f>
        <v>https://abicko.cz</v>
      </c>
      <c r="E37" s="3" t="str">
        <f ca="1">IFERROR(__xludf.DUMMYFUNCTION("""COMPUTED_VALUE"""),"celý web")</f>
        <v>celý web</v>
      </c>
      <c r="F37" s="4" t="str">
        <f ca="1">IFERROR(__xludf.DUMMYFUNCTION("""COMPUTED_VALUE"""),"https://abicko.cz")</f>
        <v>https://abicko.cz</v>
      </c>
      <c r="G37" s="3" t="str">
        <f ca="1">IFERROR(__xludf.DUMMYFUNCTION("""COMPUTED_VALUE"""),"cílený mobilní viněta low season")</f>
        <v>cílený mobilní viněta low season</v>
      </c>
      <c r="H37" s="3">
        <f ca="1">IFERROR(__xludf.DUMMYFUNCTION("""COMPUTED_VALUE"""),7)</f>
        <v>7</v>
      </c>
      <c r="I37" s="5">
        <f ca="1">IFERROR(__xludf.DUMMYFUNCTION("""COMPUTED_VALUE"""),1000)</f>
        <v>1000</v>
      </c>
      <c r="J37" s="5">
        <f ca="1">IFERROR(__xludf.DUMMYFUNCTION("""COMPUTED_VALUE"""),1056)</f>
        <v>1056</v>
      </c>
      <c r="K37" s="3"/>
      <c r="L37" s="3" t="str">
        <f ca="1">IFERROR(__xludf.DUMMYFUNCTION("""COMPUTED_VALUE"""),"Cost per period")</f>
        <v>Cost per period</v>
      </c>
      <c r="M37" s="3"/>
      <c r="N37" s="3"/>
      <c r="O37" s="3" t="str">
        <f ca="1">IFERROR(__xludf.DUMMYFUNCTION("""COMPUTED_VALUE"""),"600")</f>
        <v>600</v>
      </c>
      <c r="P37" s="3" t="str">
        <f ca="1">IFERROR(__xludf.DUMMYFUNCTION("""COMPUTED_VALUE"""),"800")</f>
        <v>800</v>
      </c>
      <c r="Q37" s="3" t="str">
        <f ca="1">IFERROR(__xludf.DUMMYFUNCTION("""COMPUTED_VALUE"""),"300x250 nebo 600x800")</f>
        <v>300x250 nebo 600x800</v>
      </c>
      <c r="R37" s="3"/>
      <c r="S37" s="3" t="str">
        <f ca="1">IFERROR(__xludf.DUMMYFUNCTION("""COMPUTED_VALUE"""),"100")</f>
        <v>100</v>
      </c>
      <c r="T37" s="3"/>
      <c r="U37" s="3" t="str">
        <f ca="1">IFERROR(__xludf.DUMMYFUNCTION("""COMPUTED_VALUE"""),"banner standard")</f>
        <v>banner standard</v>
      </c>
      <c r="V37" s="3"/>
      <c r="W37" s="4" t="str">
        <f ca="1">IFERROR(__xludf.DUMMYFUNCTION("""COMPUTED_VALUE"""),"https://reklama.cncenter.cz/Online/mobilni-vineta")</f>
        <v>https://reklama.cncenter.cz/Online/mobilni-vineta</v>
      </c>
      <c r="X37" s="3"/>
      <c r="Y37" s="3"/>
      <c r="Z37" s="3" t="str">
        <f ca="1">IFERROR(__xludf.DUMMYFUNCTION("""COMPUTED_VALUE"""),"podklady@cncenter.cz")</f>
        <v>podklady@cncenter.cz</v>
      </c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 t="str">
        <f ca="1">IFERROR(__xludf.DUMMYFUNCTION("""COMPUTED_VALUE"""),"mobile")</f>
        <v>mobile</v>
      </c>
      <c r="AO37" s="3"/>
      <c r="AP37" s="3"/>
      <c r="AQ37" s="3"/>
      <c r="AR37" s="3"/>
      <c r="AS37" s="3"/>
      <c r="AT37" s="3"/>
      <c r="AU37" s="3" t="str">
        <f ca="1">IFERROR(__xludf.DUMMYFUNCTION("""COMPUTED_VALUE"""),"cílený mobilní viněta")</f>
        <v>cílený mobilní viněta</v>
      </c>
    </row>
    <row r="38" spans="1:47" x14ac:dyDescent="0.3">
      <c r="A38" s="3">
        <f ca="1"/>
        <v>2346826</v>
      </c>
      <c r="B38" s="3" t="str">
        <f ca="1"/>
        <v>CZECH NEWS CENTER a. s.</v>
      </c>
      <c r="C38" s="3" t="str">
        <f ca="1">IFERROR(__xludf.DUMMYFUNCTION("""COMPUTED_VALUE"""),"Abicko")</f>
        <v>Abicko</v>
      </c>
      <c r="D38" s="4" t="str">
        <f ca="1">IFERROR(__xludf.DUMMYFUNCTION("""COMPUTED_VALUE"""),"https://abicko.cz")</f>
        <v>https://abicko.cz</v>
      </c>
      <c r="E38" s="3" t="str">
        <f ca="1">IFERROR(__xludf.DUMMYFUNCTION("""COMPUTED_VALUE"""),"celý web")</f>
        <v>celý web</v>
      </c>
      <c r="F38" s="4" t="str">
        <f ca="1">IFERROR(__xludf.DUMMYFUNCTION("""COMPUTED_VALUE"""),"https://abicko.cz")</f>
        <v>https://abicko.cz</v>
      </c>
      <c r="G38" s="3" t="str">
        <f ca="1">IFERROR(__xludf.DUMMYFUNCTION("""COMPUTED_VALUE"""),"cílený nativní pr premium low season")</f>
        <v>cílený nativní pr premium low season</v>
      </c>
      <c r="H38" s="3">
        <f ca="1">IFERROR(__xludf.DUMMYFUNCTION("""COMPUTED_VALUE"""),7)</f>
        <v>7</v>
      </c>
      <c r="I38" s="5">
        <f ca="1">IFERROR(__xludf.DUMMYFUNCTION("""COMPUTED_VALUE"""),1000)</f>
        <v>1000</v>
      </c>
      <c r="J38" s="5">
        <f ca="1">IFERROR(__xludf.DUMMYFUNCTION("""COMPUTED_VALUE"""),120)</f>
        <v>120</v>
      </c>
      <c r="K38" s="3"/>
      <c r="L38" s="3" t="str">
        <f ca="1">IFERROR(__xludf.DUMMYFUNCTION("""COMPUTED_VALUE"""),"Cost per period")</f>
        <v>Cost per period</v>
      </c>
      <c r="M38" s="3"/>
      <c r="N38" s="3"/>
      <c r="O38" s="3" t="str">
        <f ca="1">IFERROR(__xludf.DUMMYFUNCTION("""COMPUTED_VALUE"""),"640")</f>
        <v>640</v>
      </c>
      <c r="P38" s="3" t="str">
        <f ca="1">IFERROR(__xludf.DUMMYFUNCTION("""COMPUTED_VALUE"""),"335, 640")</f>
        <v>335, 640</v>
      </c>
      <c r="Q38" s="3" t="str">
        <f ca="1">IFERROR(__xludf.DUMMYFUNCTION("""COMPUTED_VALUE"""),"640x640 a 640x335 + text + logo")</f>
        <v>640x640 a 640x335 + text + logo</v>
      </c>
      <c r="R38" s="3" t="str">
        <f ca="1">IFERROR(__xludf.DUMMYFUNCTION("""COMPUTED_VALUE"""),"detailní specifikace na URL odkaze")</f>
        <v>detailní specifikace na URL odkaze</v>
      </c>
      <c r="S38" s="3" t="str">
        <f ca="1">IFERROR(__xludf.DUMMYFUNCTION("""COMPUTED_VALUE"""),"100")</f>
        <v>100</v>
      </c>
      <c r="T38" s="3"/>
      <c r="U38" s="3" t="str">
        <f ca="1">IFERROR(__xludf.DUMMYFUNCTION("""COMPUTED_VALUE"""),"nativní reklama")</f>
        <v>nativní reklama</v>
      </c>
      <c r="V38" s="3"/>
      <c r="W38" s="4" t="str">
        <f ca="1">IFERROR(__xludf.DUMMYFUNCTION("""COMPUTED_VALUE"""),"https://reklama.cncenter.cz/Online/nativni-PR-premium")</f>
        <v>https://reklama.cncenter.cz/Online/nativni-PR-premium</v>
      </c>
      <c r="X38" s="3"/>
      <c r="Y38" s="3"/>
      <c r="Z38" s="3" t="str">
        <f ca="1">IFERROR(__xludf.DUMMYFUNCTION("""COMPUTED_VALUE"""),"podklady@cncenter.cz")</f>
        <v>podklady@cncenter.cz</v>
      </c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 t="str">
        <f ca="1">IFERROR(__xludf.DUMMYFUNCTION("""COMPUTED_VALUE"""),"cross-device")</f>
        <v>cross-device</v>
      </c>
      <c r="AO38" s="3"/>
      <c r="AP38" s="3"/>
      <c r="AQ38" s="3"/>
      <c r="AR38" s="3"/>
      <c r="AS38" s="3"/>
      <c r="AT38" s="3"/>
      <c r="AU38" s="3" t="str">
        <f ca="1">IFERROR(__xludf.DUMMYFUNCTION("""COMPUTED_VALUE"""),"cílený nativní pr premium")</f>
        <v>cílený nativní pr premium</v>
      </c>
    </row>
    <row r="39" spans="1:47" x14ac:dyDescent="0.3">
      <c r="A39" s="3">
        <f ca="1"/>
        <v>2346826</v>
      </c>
      <c r="B39" s="3" t="str">
        <f ca="1"/>
        <v>CZECH NEWS CENTER a. s.</v>
      </c>
      <c r="C39" s="3" t="str">
        <f ca="1">IFERROR(__xludf.DUMMYFUNCTION("""COMPUTED_VALUE"""),"Abicko")</f>
        <v>Abicko</v>
      </c>
      <c r="D39" s="4" t="str">
        <f ca="1">IFERROR(__xludf.DUMMYFUNCTION("""COMPUTED_VALUE"""),"https://abicko.cz")</f>
        <v>https://abicko.cz</v>
      </c>
      <c r="E39" s="3" t="str">
        <f ca="1">IFERROR(__xludf.DUMMYFUNCTION("""COMPUTED_VALUE"""),"celý web")</f>
        <v>celý web</v>
      </c>
      <c r="F39" s="4" t="str">
        <f ca="1">IFERROR(__xludf.DUMMYFUNCTION("""COMPUTED_VALUE"""),"https://abicko.cz")</f>
        <v>https://abicko.cz</v>
      </c>
      <c r="G39" s="3" t="str">
        <f ca="1">IFERROR(__xludf.DUMMYFUNCTION("""COMPUTED_VALUE"""),"cílený nativní rectangle cross-device low season")</f>
        <v>cílený nativní rectangle cross-device low season</v>
      </c>
      <c r="H39" s="3">
        <f ca="1">IFERROR(__xludf.DUMMYFUNCTION("""COMPUTED_VALUE"""),7)</f>
        <v>7</v>
      </c>
      <c r="I39" s="5">
        <f ca="1">IFERROR(__xludf.DUMMYFUNCTION("""COMPUTED_VALUE"""),1000)</f>
        <v>1000</v>
      </c>
      <c r="J39" s="5">
        <f ca="1">IFERROR(__xludf.DUMMYFUNCTION("""COMPUTED_VALUE"""),240)</f>
        <v>240</v>
      </c>
      <c r="K39" s="3"/>
      <c r="L39" s="3" t="str">
        <f ca="1">IFERROR(__xludf.DUMMYFUNCTION("""COMPUTED_VALUE"""),"Cost per period")</f>
        <v>Cost per period</v>
      </c>
      <c r="M39" s="3"/>
      <c r="N39" s="3"/>
      <c r="O39" s="3" t="str">
        <f ca="1">IFERROR(__xludf.DUMMYFUNCTION("""COMPUTED_VALUE"""),"640")</f>
        <v>640</v>
      </c>
      <c r="P39" s="3" t="str">
        <f ca="1">IFERROR(__xludf.DUMMYFUNCTION("""COMPUTED_VALUE"""),"335, 640")</f>
        <v>335, 640</v>
      </c>
      <c r="Q39" s="3" t="str">
        <f ca="1">IFERROR(__xludf.DUMMYFUNCTION("""COMPUTED_VALUE"""),"640x640 a 640x335 + text + logo")</f>
        <v>640x640 a 640x335 + text + logo</v>
      </c>
      <c r="R39" s="3"/>
      <c r="S39" s="3" t="str">
        <f ca="1">IFERROR(__xludf.DUMMYFUNCTION("""COMPUTED_VALUE"""),"45")</f>
        <v>45</v>
      </c>
      <c r="T39" s="3"/>
      <c r="U39" s="3" t="str">
        <f ca="1">IFERROR(__xludf.DUMMYFUNCTION("""COMPUTED_VALUE"""),"nativní reklama")</f>
        <v>nativní reklama</v>
      </c>
      <c r="V39" s="3"/>
      <c r="W39" s="4" t="str">
        <f ca="1">IFERROR(__xludf.DUMMYFUNCTION("""COMPUTED_VALUE"""),"https://reklama.cncenter.cz/Online/nativni-rectangle-cross-device")</f>
        <v>https://reklama.cncenter.cz/Online/nativni-rectangle-cross-device</v>
      </c>
      <c r="X39" s="3"/>
      <c r="Y39" s="3"/>
      <c r="Z39" s="3" t="str">
        <f ca="1">IFERROR(__xludf.DUMMYFUNCTION("""COMPUTED_VALUE"""),"podklady@cncenter.cz")</f>
        <v>podklady@cncenter.cz</v>
      </c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 t="str">
        <f ca="1">IFERROR(__xludf.DUMMYFUNCTION("""COMPUTED_VALUE"""),"cross-device")</f>
        <v>cross-device</v>
      </c>
      <c r="AO39" s="3"/>
      <c r="AP39" s="3"/>
      <c r="AQ39" s="3"/>
      <c r="AR39" s="3"/>
      <c r="AS39" s="3"/>
      <c r="AT39" s="3"/>
      <c r="AU39" s="3" t="str">
        <f ca="1">IFERROR(__xludf.DUMMYFUNCTION("""COMPUTED_VALUE"""),"cílený nativní rectangle cross-device")</f>
        <v>cílený nativní rectangle cross-device</v>
      </c>
    </row>
    <row r="40" spans="1:47" x14ac:dyDescent="0.3">
      <c r="A40" s="3">
        <f ca="1"/>
        <v>2346826</v>
      </c>
      <c r="B40" s="3" t="str">
        <f ca="1"/>
        <v>CZECH NEWS CENTER a. s.</v>
      </c>
      <c r="C40" s="3" t="str">
        <f ca="1">IFERROR(__xludf.DUMMYFUNCTION("""COMPUTED_VALUE"""),"Abicko")</f>
        <v>Abicko</v>
      </c>
      <c r="D40" s="4" t="str">
        <f ca="1">IFERROR(__xludf.DUMMYFUNCTION("""COMPUTED_VALUE"""),"https://abicko.cz")</f>
        <v>https://abicko.cz</v>
      </c>
      <c r="E40" s="3" t="str">
        <f ca="1">IFERROR(__xludf.DUMMYFUNCTION("""COMPUTED_VALUE"""),"celý web")</f>
        <v>celý web</v>
      </c>
      <c r="F40" s="4" t="str">
        <f ca="1">IFERROR(__xludf.DUMMYFUNCTION("""COMPUTED_VALUE"""),"https://abicko.cz")</f>
        <v>https://abicko.cz</v>
      </c>
      <c r="G40" s="3" t="str">
        <f ca="1">IFERROR(__xludf.DUMMYFUNCTION("""COMPUTED_VALUE"""),"cílený outstream low season")</f>
        <v>cílený outstream low season</v>
      </c>
      <c r="H40" s="3">
        <f ca="1">IFERROR(__xludf.DUMMYFUNCTION("""COMPUTED_VALUE"""),7)</f>
        <v>7</v>
      </c>
      <c r="I40" s="5">
        <f ca="1">IFERROR(__xludf.DUMMYFUNCTION("""COMPUTED_VALUE"""),1000)</f>
        <v>1000</v>
      </c>
      <c r="J40" s="5">
        <f ca="1">IFERROR(__xludf.DUMMYFUNCTION("""COMPUTED_VALUE"""),300)</f>
        <v>300</v>
      </c>
      <c r="K40" s="3"/>
      <c r="L40" s="3" t="str">
        <f ca="1">IFERROR(__xludf.DUMMYFUNCTION("""COMPUTED_VALUE"""),"Cost per period")</f>
        <v>Cost per period</v>
      </c>
      <c r="M40" s="3"/>
      <c r="N40" s="3"/>
      <c r="O40" s="3" t="str">
        <f ca="1">IFERROR(__xludf.DUMMYFUNCTION("""COMPUTED_VALUE"""),"1280")</f>
        <v>1280</v>
      </c>
      <c r="P40" s="3" t="str">
        <f ca="1">IFERROR(__xludf.DUMMYFUNCTION("""COMPUTED_VALUE"""),"720")</f>
        <v>720</v>
      </c>
      <c r="Q40" s="3" t="str">
        <f ca="1">IFERROR(__xludf.DUMMYFUNCTION("""COMPUTED_VALUE"""),"16:9")</f>
        <v>16:9</v>
      </c>
      <c r="R40" s="3"/>
      <c r="S40" s="3" t="str">
        <f ca="1">IFERROR(__xludf.DUMMYFUNCTION("""COMPUTED_VALUE"""),"100")</f>
        <v>100</v>
      </c>
      <c r="T40" s="3"/>
      <c r="U40" s="3" t="str">
        <f ca="1">IFERROR(__xludf.DUMMYFUNCTION("""COMPUTED_VALUE"""),"videospot")</f>
        <v>videospot</v>
      </c>
      <c r="V40" s="3"/>
      <c r="W40" s="4" t="str">
        <f ca="1">IFERROR(__xludf.DUMMYFUNCTION("""COMPUTED_VALUE"""),"https://reklama.cncenter.cz/Online/Outstream")</f>
        <v>https://reklama.cncenter.cz/Online/Outstream</v>
      </c>
      <c r="X40" s="3"/>
      <c r="Y40" s="3"/>
      <c r="Z40" s="3" t="str">
        <f ca="1">IFERROR(__xludf.DUMMYFUNCTION("""COMPUTED_VALUE"""),"podklady@cncenter.cz")</f>
        <v>podklady@cncenter.cz</v>
      </c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 t="str">
        <f ca="1">IFERROR(__xludf.DUMMYFUNCTION("""COMPUTED_VALUE"""),"cross-device")</f>
        <v>cross-device</v>
      </c>
      <c r="AO40" s="3"/>
      <c r="AP40" s="3"/>
      <c r="AQ40" s="3"/>
      <c r="AR40" s="3"/>
      <c r="AS40" s="3"/>
      <c r="AT40" s="3"/>
      <c r="AU40" s="3" t="str">
        <f ca="1">IFERROR(__xludf.DUMMYFUNCTION("""COMPUTED_VALUE"""),"cílený outstream")</f>
        <v>cílený outstream</v>
      </c>
    </row>
    <row r="41" spans="1:47" x14ac:dyDescent="0.3">
      <c r="A41" s="3">
        <f ca="1"/>
        <v>2346826</v>
      </c>
      <c r="B41" s="3" t="str">
        <f ca="1"/>
        <v>CZECH NEWS CENTER a. s.</v>
      </c>
      <c r="C41" s="3" t="str">
        <f ca="1">IFERROR(__xludf.DUMMYFUNCTION("""COMPUTED_VALUE"""),"Abicko")</f>
        <v>Abicko</v>
      </c>
      <c r="D41" s="4" t="str">
        <f ca="1">IFERROR(__xludf.DUMMYFUNCTION("""COMPUTED_VALUE"""),"https://abicko.cz")</f>
        <v>https://abicko.cz</v>
      </c>
      <c r="E41" s="3" t="str">
        <f ca="1">IFERROR(__xludf.DUMMYFUNCTION("""COMPUTED_VALUE"""),"celý web")</f>
        <v>celý web</v>
      </c>
      <c r="F41" s="4" t="str">
        <f ca="1">IFERROR(__xludf.DUMMYFUNCTION("""COMPUTED_VALUE"""),"https://abicko.cz")</f>
        <v>https://abicko.cz</v>
      </c>
      <c r="G41" s="3" t="str">
        <f ca="1">IFERROR(__xludf.DUMMYFUNCTION("""COMPUTED_VALUE"""),"cílený videospot - max. 30 sec. / bumper low season")</f>
        <v>cílený videospot - max. 30 sec. / bumper low season</v>
      </c>
      <c r="H41" s="3">
        <f ca="1">IFERROR(__xludf.DUMMYFUNCTION("""COMPUTED_VALUE"""),7)</f>
        <v>7</v>
      </c>
      <c r="I41" s="5">
        <f ca="1">IFERROR(__xludf.DUMMYFUNCTION("""COMPUTED_VALUE"""),1000)</f>
        <v>1000</v>
      </c>
      <c r="J41" s="5">
        <f ca="1">IFERROR(__xludf.DUMMYFUNCTION("""COMPUTED_VALUE"""),888)</f>
        <v>888</v>
      </c>
      <c r="K41" s="3"/>
      <c r="L41" s="3" t="str">
        <f ca="1">IFERROR(__xludf.DUMMYFUNCTION("""COMPUTED_VALUE"""),"Cost per period")</f>
        <v>Cost per period</v>
      </c>
      <c r="M41" s="3"/>
      <c r="N41" s="3"/>
      <c r="O41" s="3" t="str">
        <f ca="1">IFERROR(__xludf.DUMMYFUNCTION("""COMPUTED_VALUE"""),"1280")</f>
        <v>1280</v>
      </c>
      <c r="P41" s="3" t="str">
        <f ca="1">IFERROR(__xludf.DUMMYFUNCTION("""COMPUTED_VALUE"""),"720")</f>
        <v>720</v>
      </c>
      <c r="Q41" s="3" t="str">
        <f ca="1">IFERROR(__xludf.DUMMYFUNCTION("""COMPUTED_VALUE"""),"16:9 / umístění po domluvě dle možností")</f>
        <v>16:9 / umístění po domluvě dle možností</v>
      </c>
      <c r="R41" s="3" t="str">
        <f ca="1">IFERROR(__xludf.DUMMYFUNCTION("""COMPUTED_VALUE"""),"přeskočení po 7 sekundách")</f>
        <v>přeskočení po 7 sekundách</v>
      </c>
      <c r="S41" s="3" t="str">
        <f ca="1">IFERROR(__xludf.DUMMYFUNCTION("""COMPUTED_VALUE"""),"100")</f>
        <v>100</v>
      </c>
      <c r="T41" s="3"/>
      <c r="U41" s="3" t="str">
        <f ca="1">IFERROR(__xludf.DUMMYFUNCTION("""COMPUTED_VALUE"""),"videospot")</f>
        <v>videospot</v>
      </c>
      <c r="V41" s="3"/>
      <c r="W41" s="4" t="str">
        <f ca="1">IFERROR(__xludf.DUMMYFUNCTION("""COMPUTED_VALUE"""),"https://reklama.cncenter.cz/Online/Bumper")</f>
        <v>https://reklama.cncenter.cz/Online/Bumper</v>
      </c>
      <c r="X41" s="3"/>
      <c r="Y41" s="3"/>
      <c r="Z41" s="3" t="str">
        <f ca="1">IFERROR(__xludf.DUMMYFUNCTION("""COMPUTED_VALUE"""),"podklady@cncenter.cz")</f>
        <v>podklady@cncenter.cz</v>
      </c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 t="str">
        <f ca="1">IFERROR(__xludf.DUMMYFUNCTION("""COMPUTED_VALUE"""),"cross-device")</f>
        <v>cross-device</v>
      </c>
      <c r="AO41" s="3"/>
      <c r="AP41" s="3"/>
      <c r="AQ41" s="3"/>
      <c r="AR41" s="3"/>
      <c r="AS41" s="3"/>
      <c r="AT41" s="3"/>
      <c r="AU41" s="3" t="str">
        <f ca="1">IFERROR(__xludf.DUMMYFUNCTION("""COMPUTED_VALUE"""),"cílený videospot - max. 30 sec. / bumper")</f>
        <v>cílený videospot - max. 30 sec. / bumper</v>
      </c>
    </row>
    <row r="42" spans="1:47" x14ac:dyDescent="0.3">
      <c r="A42" s="3">
        <f ca="1"/>
        <v>2346826</v>
      </c>
      <c r="B42" s="3" t="str">
        <f ca="1"/>
        <v>CZECH NEWS CENTER a. s.</v>
      </c>
      <c r="C42" s="3" t="str">
        <f ca="1">IFERROR(__xludf.DUMMYFUNCTION("""COMPUTED_VALUE"""),"Abicko")</f>
        <v>Abicko</v>
      </c>
      <c r="D42" s="4" t="str">
        <f ca="1">IFERROR(__xludf.DUMMYFUNCTION("""COMPUTED_VALUE"""),"https://abicko.cz")</f>
        <v>https://abicko.cz</v>
      </c>
      <c r="E42" s="3" t="str">
        <f ca="1">IFERROR(__xludf.DUMMYFUNCTION("""COMPUTED_VALUE"""),"celý web")</f>
        <v>celý web</v>
      </c>
      <c r="F42" s="4" t="str">
        <f ca="1">IFERROR(__xludf.DUMMYFUNCTION("""COMPUTED_VALUE"""),"https://abicko.cz")</f>
        <v>https://abicko.cz</v>
      </c>
      <c r="G42" s="3" t="str">
        <f ca="1">IFERROR(__xludf.DUMMYFUNCTION("""COMPUTED_VALUE"""),"dokoupení proma o 2 týdny - 10 000 PV *** low season")</f>
        <v>dokoupení proma o 2 týdny - 10 000 PV *** low season</v>
      </c>
      <c r="H42" s="3">
        <f ca="1">IFERROR(__xludf.DUMMYFUNCTION("""COMPUTED_VALUE"""),1)</f>
        <v>1</v>
      </c>
      <c r="I42" s="5">
        <f ca="1">IFERROR(__xludf.DUMMYFUNCTION("""COMPUTED_VALUE"""),1)</f>
        <v>1</v>
      </c>
      <c r="J42" s="5">
        <f ca="1">IFERROR(__xludf.DUMMYFUNCTION("""COMPUTED_VALUE"""),60000)</f>
        <v>60000</v>
      </c>
      <c r="K42" s="3"/>
      <c r="L42" s="3" t="str">
        <f ca="1">IFERROR(__xludf.DUMMYFUNCTION("""COMPUTED_VALUE"""),"Cost per instance")</f>
        <v>Cost per instance</v>
      </c>
      <c r="M42" s="3"/>
      <c r="N42" s="3"/>
      <c r="O42" s="3"/>
      <c r="P42" s="3"/>
      <c r="Q42" s="3"/>
      <c r="R42" s="3"/>
      <c r="S42" s="3" t="str">
        <f ca="1">IFERROR(__xludf.DUMMYFUNCTION("""COMPUTED_VALUE"""),"100")</f>
        <v>100</v>
      </c>
      <c r="T42" s="3"/>
      <c r="U42" s="3" t="str">
        <f ca="1">IFERROR(__xludf.DUMMYFUNCTION("""COMPUTED_VALUE"""),"microsite")</f>
        <v>microsite</v>
      </c>
      <c r="V42" s="3"/>
      <c r="W42" s="3"/>
      <c r="X42" s="3"/>
      <c r="Y42" s="3"/>
      <c r="Z42" s="3" t="str">
        <f ca="1">IFERROR(__xludf.DUMMYFUNCTION("""COMPUTED_VALUE"""),"podklady@cncenter.cz")</f>
        <v>podklady@cncenter.cz</v>
      </c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 t="str">
        <f ca="1">IFERROR(__xludf.DUMMYFUNCTION("""COMPUTED_VALUE"""),"cross-device")</f>
        <v>cross-device</v>
      </c>
      <c r="AO42" s="3"/>
      <c r="AP42" s="3"/>
      <c r="AQ42" s="3"/>
      <c r="AR42" s="3"/>
      <c r="AS42" s="3"/>
      <c r="AT42" s="3"/>
      <c r="AU42" s="3" t="str">
        <f ca="1">IFERROR(__xludf.DUMMYFUNCTION("""COMPUTED_VALUE"""),"dokoupení proma o 2 týdny - 10 000 PV ***")</f>
        <v>dokoupení proma o 2 týdny - 10 000 PV ***</v>
      </c>
    </row>
    <row r="43" spans="1:47" x14ac:dyDescent="0.3">
      <c r="A43" s="3">
        <f ca="1"/>
        <v>2346826</v>
      </c>
      <c r="B43" s="3" t="str">
        <f ca="1"/>
        <v>CZECH NEWS CENTER a. s.</v>
      </c>
      <c r="C43" s="3" t="str">
        <f ca="1">IFERROR(__xludf.DUMMYFUNCTION("""COMPUTED_VALUE"""),"Abicko")</f>
        <v>Abicko</v>
      </c>
      <c r="D43" s="4" t="str">
        <f ca="1">IFERROR(__xludf.DUMMYFUNCTION("""COMPUTED_VALUE"""),"https://abicko.cz")</f>
        <v>https://abicko.cz</v>
      </c>
      <c r="E43" s="3" t="str">
        <f ca="1">IFERROR(__xludf.DUMMYFUNCTION("""COMPUTED_VALUE"""),"celý web")</f>
        <v>celý web</v>
      </c>
      <c r="F43" s="4" t="str">
        <f ca="1">IFERROR(__xludf.DUMMYFUNCTION("""COMPUTED_VALUE"""),"https://abicko.cz")</f>
        <v>https://abicko.cz</v>
      </c>
      <c r="G43" s="3" t="str">
        <f ca="1">IFERROR(__xludf.DUMMYFUNCTION("""COMPUTED_VALUE"""),"double skyscraper low season")</f>
        <v>double skyscraper low season</v>
      </c>
      <c r="H43" s="3">
        <f ca="1">IFERROR(__xludf.DUMMYFUNCTION("""COMPUTED_VALUE"""),7)</f>
        <v>7</v>
      </c>
      <c r="I43" s="5">
        <f ca="1">IFERROR(__xludf.DUMMYFUNCTION("""COMPUTED_VALUE"""),1000)</f>
        <v>1000</v>
      </c>
      <c r="J43" s="5">
        <f ca="1">IFERROR(__xludf.DUMMYFUNCTION("""COMPUTED_VALUE"""),190)</f>
        <v>190</v>
      </c>
      <c r="K43" s="3"/>
      <c r="L43" s="3" t="str">
        <f ca="1">IFERROR(__xludf.DUMMYFUNCTION("""COMPUTED_VALUE"""),"Cost per period")</f>
        <v>Cost per period</v>
      </c>
      <c r="M43" s="3"/>
      <c r="N43" s="3"/>
      <c r="O43" s="3" t="str">
        <f ca="1">IFERROR(__xludf.DUMMYFUNCTION("""COMPUTED_VALUE"""),"300")</f>
        <v>300</v>
      </c>
      <c r="P43" s="3" t="str">
        <f ca="1">IFERROR(__xludf.DUMMYFUNCTION("""COMPUTED_VALUE"""),"600")</f>
        <v>600</v>
      </c>
      <c r="Q43" s="3" t="str">
        <f ca="1">IFERROR(__xludf.DUMMYFUNCTION("""COMPUTED_VALUE"""),"300x600")</f>
        <v>300x600</v>
      </c>
      <c r="R43" s="3"/>
      <c r="S43" s="3" t="str">
        <f ca="1">IFERROR(__xludf.DUMMYFUNCTION("""COMPUTED_VALUE"""),"100 (200 - HTML5)")</f>
        <v>100 (200 - HTML5)</v>
      </c>
      <c r="T43" s="3"/>
      <c r="U43" s="3" t="str">
        <f ca="1">IFERROR(__xludf.DUMMYFUNCTION("""COMPUTED_VALUE"""),"banner standard")</f>
        <v>banner standard</v>
      </c>
      <c r="V43" s="3"/>
      <c r="W43" s="4" t="str">
        <f ca="1">IFERROR(__xludf.DUMMYFUNCTION("""COMPUTED_VALUE"""),"https://reklama.cncenter.cz/Online/double-skyscraper")</f>
        <v>https://reklama.cncenter.cz/Online/double-skyscraper</v>
      </c>
      <c r="X43" s="3"/>
      <c r="Y43" s="3"/>
      <c r="Z43" s="3" t="str">
        <f ca="1">IFERROR(__xludf.DUMMYFUNCTION("""COMPUTED_VALUE"""),"podklady@cncenter.cz")</f>
        <v>podklady@cncenter.cz</v>
      </c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 t="str">
        <f ca="1">IFERROR(__xludf.DUMMYFUNCTION("""COMPUTED_VALUE"""),"desktop")</f>
        <v>desktop</v>
      </c>
      <c r="AO43" s="3"/>
      <c r="AP43" s="3"/>
      <c r="AQ43" s="3"/>
      <c r="AR43" s="3"/>
      <c r="AS43" s="3"/>
      <c r="AT43" s="3"/>
      <c r="AU43" s="3" t="str">
        <f ca="1">IFERROR(__xludf.DUMMYFUNCTION("""COMPUTED_VALUE"""),"double skyscraper")</f>
        <v>double skyscraper</v>
      </c>
    </row>
    <row r="44" spans="1:47" x14ac:dyDescent="0.3">
      <c r="A44" s="3">
        <f ca="1"/>
        <v>2346826</v>
      </c>
      <c r="B44" s="3" t="str">
        <f ca="1"/>
        <v>CZECH NEWS CENTER a. s.</v>
      </c>
      <c r="C44" s="3" t="str">
        <f ca="1">IFERROR(__xludf.DUMMYFUNCTION("""COMPUTED_VALUE"""),"Abicko")</f>
        <v>Abicko</v>
      </c>
      <c r="D44" s="4" t="str">
        <f ca="1">IFERROR(__xludf.DUMMYFUNCTION("""COMPUTED_VALUE"""),"https://abicko.cz")</f>
        <v>https://abicko.cz</v>
      </c>
      <c r="E44" s="3" t="str">
        <f ca="1">IFERROR(__xludf.DUMMYFUNCTION("""COMPUTED_VALUE"""),"celý web")</f>
        <v>celý web</v>
      </c>
      <c r="F44" s="4" t="str">
        <f ca="1">IFERROR(__xludf.DUMMYFUNCTION("""COMPUTED_VALUE"""),"https://abicko.cz")</f>
        <v>https://abicko.cz</v>
      </c>
      <c r="G44" s="3" t="str">
        <f ca="1">IFERROR(__xludf.DUMMYFUNCTION("""COMPUTED_VALUE"""),"mobilní interscroller low season")</f>
        <v>mobilní interscroller low season</v>
      </c>
      <c r="H44" s="3">
        <f ca="1">IFERROR(__xludf.DUMMYFUNCTION("""COMPUTED_VALUE"""),7)</f>
        <v>7</v>
      </c>
      <c r="I44" s="5">
        <f ca="1">IFERROR(__xludf.DUMMYFUNCTION("""COMPUTED_VALUE"""),1000)</f>
        <v>1000</v>
      </c>
      <c r="J44" s="5">
        <f ca="1">IFERROR(__xludf.DUMMYFUNCTION("""COMPUTED_VALUE"""),250)</f>
        <v>250</v>
      </c>
      <c r="K44" s="3"/>
      <c r="L44" s="3" t="str">
        <f ca="1">IFERROR(__xludf.DUMMYFUNCTION("""COMPUTED_VALUE"""),"Cost per period")</f>
        <v>Cost per period</v>
      </c>
      <c r="M44" s="3"/>
      <c r="N44" s="3"/>
      <c r="O44" s="3" t="str">
        <f ca="1">IFERROR(__xludf.DUMMYFUNCTION("""COMPUTED_VALUE"""),"600")</f>
        <v>600</v>
      </c>
      <c r="P44" s="3" t="str">
        <f ca="1">IFERROR(__xludf.DUMMYFUNCTION("""COMPUTED_VALUE"""),"1080")</f>
        <v>1080</v>
      </c>
      <c r="Q44" s="3" t="str">
        <f ca="1">IFERROR(__xludf.DUMMYFUNCTION("""COMPUTED_VALUE"""),"600x1080")</f>
        <v>600x1080</v>
      </c>
      <c r="R44" s="3"/>
      <c r="S44" s="3" t="str">
        <f ca="1">IFERROR(__xludf.DUMMYFUNCTION("""COMPUTED_VALUE"""),"200")</f>
        <v>200</v>
      </c>
      <c r="T44" s="3"/>
      <c r="U44" s="3" t="str">
        <f ca="1">IFERROR(__xludf.DUMMYFUNCTION("""COMPUTED_VALUE"""),"banner standard")</f>
        <v>banner standard</v>
      </c>
      <c r="V44" s="3"/>
      <c r="W44" s="4" t="str">
        <f ca="1">IFERROR(__xludf.DUMMYFUNCTION("""COMPUTED_VALUE"""),"https://reklama.cncenter.cz/Online/mobilni-interscroller")</f>
        <v>https://reklama.cncenter.cz/Online/mobilni-interscroller</v>
      </c>
      <c r="X44" s="3"/>
      <c r="Y44" s="3"/>
      <c r="Z44" s="3" t="str">
        <f ca="1">IFERROR(__xludf.DUMMYFUNCTION("""COMPUTED_VALUE"""),"podklady@cncenter.cz")</f>
        <v>podklady@cncenter.cz</v>
      </c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 t="str">
        <f ca="1">IFERROR(__xludf.DUMMYFUNCTION("""COMPUTED_VALUE"""),"mobile")</f>
        <v>mobile</v>
      </c>
      <c r="AO44" s="3"/>
      <c r="AP44" s="3"/>
      <c r="AQ44" s="3"/>
      <c r="AR44" s="3"/>
      <c r="AS44" s="3"/>
      <c r="AT44" s="3"/>
      <c r="AU44" s="3" t="str">
        <f ca="1">IFERROR(__xludf.DUMMYFUNCTION("""COMPUTED_VALUE"""),"mobilní interscroller")</f>
        <v>mobilní interscroller</v>
      </c>
    </row>
    <row r="45" spans="1:47" x14ac:dyDescent="0.3">
      <c r="A45" s="3">
        <f ca="1"/>
        <v>2346826</v>
      </c>
      <c r="B45" s="3" t="str">
        <f ca="1"/>
        <v>CZECH NEWS CENTER a. s.</v>
      </c>
      <c r="C45" s="3" t="str">
        <f ca="1">IFERROR(__xludf.DUMMYFUNCTION("""COMPUTED_VALUE"""),"Abicko")</f>
        <v>Abicko</v>
      </c>
      <c r="D45" s="4" t="str">
        <f ca="1">IFERROR(__xludf.DUMMYFUNCTION("""COMPUTED_VALUE"""),"https://abicko.cz")</f>
        <v>https://abicko.cz</v>
      </c>
      <c r="E45" s="3" t="str">
        <f ca="1">IFERROR(__xludf.DUMMYFUNCTION("""COMPUTED_VALUE"""),"celý web")</f>
        <v>celý web</v>
      </c>
      <c r="F45" s="4" t="str">
        <f ca="1">IFERROR(__xludf.DUMMYFUNCTION("""COMPUTED_VALUE"""),"https://abicko.cz")</f>
        <v>https://abicko.cz</v>
      </c>
      <c r="G45" s="3" t="str">
        <f ca="1">IFERROR(__xludf.DUMMYFUNCTION("""COMPUTED_VALUE"""),"mobilní slide-up low season")</f>
        <v>mobilní slide-up low season</v>
      </c>
      <c r="H45" s="3">
        <f ca="1">IFERROR(__xludf.DUMMYFUNCTION("""COMPUTED_VALUE"""),7)</f>
        <v>7</v>
      </c>
      <c r="I45" s="5">
        <f ca="1">IFERROR(__xludf.DUMMYFUNCTION("""COMPUTED_VALUE"""),1000)</f>
        <v>1000</v>
      </c>
      <c r="J45" s="5">
        <f ca="1">IFERROR(__xludf.DUMMYFUNCTION("""COMPUTED_VALUE"""),510)</f>
        <v>510</v>
      </c>
      <c r="K45" s="3"/>
      <c r="L45" s="3" t="str">
        <f ca="1">IFERROR(__xludf.DUMMYFUNCTION("""COMPUTED_VALUE"""),"Cost per period")</f>
        <v>Cost per period</v>
      </c>
      <c r="M45" s="3"/>
      <c r="N45" s="3"/>
      <c r="O45" s="3" t="str">
        <f ca="1">IFERROR(__xludf.DUMMYFUNCTION("""COMPUTED_VALUE"""),"300")</f>
        <v>300</v>
      </c>
      <c r="P45" s="3" t="str">
        <f ca="1">IFERROR(__xludf.DUMMYFUNCTION("""COMPUTED_VALUE"""),"120")</f>
        <v>120</v>
      </c>
      <c r="Q45" s="3" t="str">
        <f ca="1">IFERROR(__xludf.DUMMYFUNCTION("""COMPUTED_VALUE"""),"300x120")</f>
        <v>300x120</v>
      </c>
      <c r="R45" s="3"/>
      <c r="S45" s="3" t="str">
        <f ca="1">IFERROR(__xludf.DUMMYFUNCTION("""COMPUTED_VALUE"""),"100")</f>
        <v>100</v>
      </c>
      <c r="T45" s="3"/>
      <c r="U45" s="3" t="str">
        <f ca="1">IFERROR(__xludf.DUMMYFUNCTION("""COMPUTED_VALUE"""),"banner standard")</f>
        <v>banner standard</v>
      </c>
      <c r="V45" s="3"/>
      <c r="W45" s="4" t="str">
        <f ca="1">IFERROR(__xludf.DUMMYFUNCTION("""COMPUTED_VALUE"""),"https://reklama.cncenter.cz/Online/mobilni-slide-up")</f>
        <v>https://reklama.cncenter.cz/Online/mobilni-slide-up</v>
      </c>
      <c r="X45" s="3"/>
      <c r="Y45" s="3"/>
      <c r="Z45" s="3" t="str">
        <f ca="1">IFERROR(__xludf.DUMMYFUNCTION("""COMPUTED_VALUE"""),"podklady@cncenter.cz")</f>
        <v>podklady@cncenter.cz</v>
      </c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 t="str">
        <f ca="1">IFERROR(__xludf.DUMMYFUNCTION("""COMPUTED_VALUE"""),"mobile")</f>
        <v>mobile</v>
      </c>
      <c r="AO45" s="3"/>
      <c r="AP45" s="3"/>
      <c r="AQ45" s="3"/>
      <c r="AR45" s="3"/>
      <c r="AS45" s="3"/>
      <c r="AT45" s="3"/>
      <c r="AU45" s="3" t="str">
        <f ca="1">IFERROR(__xludf.DUMMYFUNCTION("""COMPUTED_VALUE"""),"mobilní slide-up")</f>
        <v>mobilní slide-up</v>
      </c>
    </row>
    <row r="46" spans="1:47" x14ac:dyDescent="0.3">
      <c r="A46" s="3">
        <f ca="1"/>
        <v>2346826</v>
      </c>
      <c r="B46" s="3" t="str">
        <f ca="1"/>
        <v>CZECH NEWS CENTER a. s.</v>
      </c>
      <c r="C46" s="3" t="str">
        <f ca="1">IFERROR(__xludf.DUMMYFUNCTION("""COMPUTED_VALUE"""),"Abicko")</f>
        <v>Abicko</v>
      </c>
      <c r="D46" s="4" t="str">
        <f ca="1">IFERROR(__xludf.DUMMYFUNCTION("""COMPUTED_VALUE"""),"https://abicko.cz")</f>
        <v>https://abicko.cz</v>
      </c>
      <c r="E46" s="3" t="str">
        <f ca="1">IFERROR(__xludf.DUMMYFUNCTION("""COMPUTED_VALUE"""),"celý web")</f>
        <v>celý web</v>
      </c>
      <c r="F46" s="4" t="str">
        <f ca="1">IFERROR(__xludf.DUMMYFUNCTION("""COMPUTED_VALUE"""),"https://abicko.cz")</f>
        <v>https://abicko.cz</v>
      </c>
      <c r="G46" s="3" t="str">
        <f ca="1">IFERROR(__xludf.DUMMYFUNCTION("""COMPUTED_VALUE"""),"mobilní viněta low season")</f>
        <v>mobilní viněta low season</v>
      </c>
      <c r="H46" s="3">
        <f ca="1">IFERROR(__xludf.DUMMYFUNCTION("""COMPUTED_VALUE"""),7)</f>
        <v>7</v>
      </c>
      <c r="I46" s="5">
        <f ca="1">IFERROR(__xludf.DUMMYFUNCTION("""COMPUTED_VALUE"""),1000)</f>
        <v>1000</v>
      </c>
      <c r="J46" s="5">
        <f ca="1">IFERROR(__xludf.DUMMYFUNCTION("""COMPUTED_VALUE"""),880)</f>
        <v>880</v>
      </c>
      <c r="K46" s="3"/>
      <c r="L46" s="3" t="str">
        <f ca="1">IFERROR(__xludf.DUMMYFUNCTION("""COMPUTED_VALUE"""),"Cost per period")</f>
        <v>Cost per period</v>
      </c>
      <c r="M46" s="3"/>
      <c r="N46" s="3"/>
      <c r="O46" s="3" t="str">
        <f ca="1">IFERROR(__xludf.DUMMYFUNCTION("""COMPUTED_VALUE"""),"600")</f>
        <v>600</v>
      </c>
      <c r="P46" s="3" t="str">
        <f ca="1">IFERROR(__xludf.DUMMYFUNCTION("""COMPUTED_VALUE"""),"800")</f>
        <v>800</v>
      </c>
      <c r="Q46" s="3" t="str">
        <f ca="1">IFERROR(__xludf.DUMMYFUNCTION("""COMPUTED_VALUE"""),"300x250 nebo 600x800")</f>
        <v>300x250 nebo 600x800</v>
      </c>
      <c r="R46" s="3"/>
      <c r="S46" s="3" t="str">
        <f ca="1">IFERROR(__xludf.DUMMYFUNCTION("""COMPUTED_VALUE"""),"100")</f>
        <v>100</v>
      </c>
      <c r="T46" s="3"/>
      <c r="U46" s="3" t="str">
        <f ca="1">IFERROR(__xludf.DUMMYFUNCTION("""COMPUTED_VALUE"""),"banner standard")</f>
        <v>banner standard</v>
      </c>
      <c r="V46" s="3"/>
      <c r="W46" s="4" t="str">
        <f ca="1">IFERROR(__xludf.DUMMYFUNCTION("""COMPUTED_VALUE"""),"https://reklama.cncenter.cz/Online/mobilni-vineta")</f>
        <v>https://reklama.cncenter.cz/Online/mobilni-vineta</v>
      </c>
      <c r="X46" s="3"/>
      <c r="Y46" s="3"/>
      <c r="Z46" s="3" t="str">
        <f ca="1">IFERROR(__xludf.DUMMYFUNCTION("""COMPUTED_VALUE"""),"podklady@cncenter.cz")</f>
        <v>podklady@cncenter.cz</v>
      </c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 t="str">
        <f ca="1">IFERROR(__xludf.DUMMYFUNCTION("""COMPUTED_VALUE"""),"mobile")</f>
        <v>mobile</v>
      </c>
      <c r="AO46" s="3"/>
      <c r="AP46" s="3"/>
      <c r="AQ46" s="3"/>
      <c r="AR46" s="3"/>
      <c r="AS46" s="3"/>
      <c r="AT46" s="3"/>
      <c r="AU46" s="3" t="str">
        <f ca="1">IFERROR(__xludf.DUMMYFUNCTION("""COMPUTED_VALUE"""),"mobilní viněta")</f>
        <v>mobilní viněta</v>
      </c>
    </row>
    <row r="47" spans="1:47" x14ac:dyDescent="0.3">
      <c r="A47" s="3">
        <f ca="1"/>
        <v>2346826</v>
      </c>
      <c r="B47" s="3" t="str">
        <f ca="1"/>
        <v>CZECH NEWS CENTER a. s.</v>
      </c>
      <c r="C47" s="3" t="str">
        <f ca="1">IFERROR(__xludf.DUMMYFUNCTION("""COMPUTED_VALUE"""),"Abicko")</f>
        <v>Abicko</v>
      </c>
      <c r="D47" s="4" t="str">
        <f ca="1">IFERROR(__xludf.DUMMYFUNCTION("""COMPUTED_VALUE"""),"https://abicko.cz")</f>
        <v>https://abicko.cz</v>
      </c>
      <c r="E47" s="3" t="str">
        <f ca="1">IFERROR(__xludf.DUMMYFUNCTION("""COMPUTED_VALUE"""),"celý web")</f>
        <v>celý web</v>
      </c>
      <c r="F47" s="4" t="str">
        <f ca="1">IFERROR(__xludf.DUMMYFUNCTION("""COMPUTED_VALUE"""),"https://abicko.cz")</f>
        <v>https://abicko.cz</v>
      </c>
      <c r="G47" s="3" t="str">
        <f ca="1">IFERROR(__xludf.DUMMYFUNCTION("""COMPUTED_VALUE"""),"Native Standard low season")</f>
        <v>Native Standard low season</v>
      </c>
      <c r="H47" s="3">
        <f ca="1">IFERROR(__xludf.DUMMYFUNCTION("""COMPUTED_VALUE"""),1)</f>
        <v>1</v>
      </c>
      <c r="I47" s="5">
        <f ca="1">IFERROR(__xludf.DUMMYFUNCTION("""COMPUTED_VALUE"""),1)</f>
        <v>1</v>
      </c>
      <c r="J47" s="5">
        <f ca="1">IFERROR(__xludf.DUMMYFUNCTION("""COMPUTED_VALUE"""),330000)</f>
        <v>330000</v>
      </c>
      <c r="K47" s="3"/>
      <c r="L47" s="3" t="str">
        <f ca="1">IFERROR(__xludf.DUMMYFUNCTION("""COMPUTED_VALUE"""),"Cost per instance")</f>
        <v>Cost per instance</v>
      </c>
      <c r="M47" s="3"/>
      <c r="N47" s="3"/>
      <c r="O47" s="3"/>
      <c r="P47" s="3"/>
      <c r="Q47" s="3"/>
      <c r="R47" s="3"/>
      <c r="S47" s="3" t="str">
        <f ca="1">IFERROR(__xludf.DUMMYFUNCTION("""COMPUTED_VALUE"""),"100")</f>
        <v>100</v>
      </c>
      <c r="T47" s="3"/>
      <c r="U47" s="3" t="str">
        <f ca="1">IFERROR(__xludf.DUMMYFUNCTION("""COMPUTED_VALUE"""),"microsite")</f>
        <v>microsite</v>
      </c>
      <c r="V47" s="3"/>
      <c r="W47" s="3"/>
      <c r="X47" s="3"/>
      <c r="Y47" s="3"/>
      <c r="Z47" s="3" t="str">
        <f ca="1">IFERROR(__xludf.DUMMYFUNCTION("""COMPUTED_VALUE"""),"podklady@cncenter.cz")</f>
        <v>podklady@cncenter.cz</v>
      </c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 t="str">
        <f ca="1">IFERROR(__xludf.DUMMYFUNCTION("""COMPUTED_VALUE"""),"cross-device")</f>
        <v>cross-device</v>
      </c>
      <c r="AO47" s="3"/>
      <c r="AP47" s="3"/>
      <c r="AQ47" s="3"/>
      <c r="AR47" s="3"/>
      <c r="AS47" s="3"/>
      <c r="AT47" s="3"/>
      <c r="AU47" s="3" t="str">
        <f ca="1">IFERROR(__xludf.DUMMYFUNCTION("""COMPUTED_VALUE"""),"Native Standard")</f>
        <v>Native Standard</v>
      </c>
    </row>
    <row r="48" spans="1:47" x14ac:dyDescent="0.3">
      <c r="A48" s="3">
        <f ca="1"/>
        <v>2346826</v>
      </c>
      <c r="B48" s="3" t="str">
        <f ca="1"/>
        <v>CZECH NEWS CENTER a. s.</v>
      </c>
      <c r="C48" s="3" t="str">
        <f ca="1">IFERROR(__xludf.DUMMYFUNCTION("""COMPUTED_VALUE"""),"Abicko")</f>
        <v>Abicko</v>
      </c>
      <c r="D48" s="4" t="str">
        <f ca="1">IFERROR(__xludf.DUMMYFUNCTION("""COMPUTED_VALUE"""),"https://abicko.cz")</f>
        <v>https://abicko.cz</v>
      </c>
      <c r="E48" s="3" t="str">
        <f ca="1">IFERROR(__xludf.DUMMYFUNCTION("""COMPUTED_VALUE"""),"celý web")</f>
        <v>celý web</v>
      </c>
      <c r="F48" s="4" t="str">
        <f ca="1">IFERROR(__xludf.DUMMYFUNCTION("""COMPUTED_VALUE"""),"https://abicko.cz")</f>
        <v>https://abicko.cz</v>
      </c>
      <c r="G48" s="3" t="str">
        <f ca="1">IFERROR(__xludf.DUMMYFUNCTION("""COMPUTED_VALUE"""),"nativní pr premium low season")</f>
        <v>nativní pr premium low season</v>
      </c>
      <c r="H48" s="3">
        <f ca="1">IFERROR(__xludf.DUMMYFUNCTION("""COMPUTED_VALUE"""),7)</f>
        <v>7</v>
      </c>
      <c r="I48" s="5">
        <f ca="1">IFERROR(__xludf.DUMMYFUNCTION("""COMPUTED_VALUE"""),1000)</f>
        <v>1000</v>
      </c>
      <c r="J48" s="5">
        <f ca="1">IFERROR(__xludf.DUMMYFUNCTION("""COMPUTED_VALUE"""),100)</f>
        <v>100</v>
      </c>
      <c r="K48" s="3"/>
      <c r="L48" s="3" t="str">
        <f ca="1">IFERROR(__xludf.DUMMYFUNCTION("""COMPUTED_VALUE"""),"Cost per period")</f>
        <v>Cost per period</v>
      </c>
      <c r="M48" s="3"/>
      <c r="N48" s="3"/>
      <c r="O48" s="3" t="str">
        <f ca="1">IFERROR(__xludf.DUMMYFUNCTION("""COMPUTED_VALUE"""),"640")</f>
        <v>640</v>
      </c>
      <c r="P48" s="3" t="str">
        <f ca="1">IFERROR(__xludf.DUMMYFUNCTION("""COMPUTED_VALUE"""),"335, 640")</f>
        <v>335, 640</v>
      </c>
      <c r="Q48" s="3" t="str">
        <f ca="1">IFERROR(__xludf.DUMMYFUNCTION("""COMPUTED_VALUE"""),"640x640 a 640x335 + text + logo")</f>
        <v>640x640 a 640x335 + text + logo</v>
      </c>
      <c r="R48" s="3" t="str">
        <f ca="1">IFERROR(__xludf.DUMMYFUNCTION("""COMPUTED_VALUE"""),"detailní specifikace na URL odkaze")</f>
        <v>detailní specifikace na URL odkaze</v>
      </c>
      <c r="S48" s="3" t="str">
        <f ca="1">IFERROR(__xludf.DUMMYFUNCTION("""COMPUTED_VALUE"""),"100")</f>
        <v>100</v>
      </c>
      <c r="T48" s="3"/>
      <c r="U48" s="3" t="str">
        <f ca="1">IFERROR(__xludf.DUMMYFUNCTION("""COMPUTED_VALUE"""),"nativní reklama")</f>
        <v>nativní reklama</v>
      </c>
      <c r="V48" s="3"/>
      <c r="W48" s="4" t="str">
        <f ca="1">IFERROR(__xludf.DUMMYFUNCTION("""COMPUTED_VALUE"""),"https://reklama.cncenter.cz/Online/nativni-PR-premium")</f>
        <v>https://reklama.cncenter.cz/Online/nativni-PR-premium</v>
      </c>
      <c r="X48" s="3"/>
      <c r="Y48" s="3"/>
      <c r="Z48" s="3" t="str">
        <f ca="1">IFERROR(__xludf.DUMMYFUNCTION("""COMPUTED_VALUE"""),"podklady@cncenter.cz")</f>
        <v>podklady@cncenter.cz</v>
      </c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 t="str">
        <f ca="1">IFERROR(__xludf.DUMMYFUNCTION("""COMPUTED_VALUE"""),"cross-device")</f>
        <v>cross-device</v>
      </c>
      <c r="AO48" s="3"/>
      <c r="AP48" s="3"/>
      <c r="AQ48" s="3"/>
      <c r="AR48" s="3"/>
      <c r="AS48" s="3"/>
      <c r="AT48" s="3"/>
      <c r="AU48" s="3" t="str">
        <f ca="1">IFERROR(__xludf.DUMMYFUNCTION("""COMPUTED_VALUE"""),"nativní pr premium")</f>
        <v>nativní pr premium</v>
      </c>
    </row>
    <row r="49" spans="1:47" x14ac:dyDescent="0.3">
      <c r="A49" s="3">
        <f ca="1"/>
        <v>2346826</v>
      </c>
      <c r="B49" s="3" t="str">
        <f ca="1"/>
        <v>CZECH NEWS CENTER a. s.</v>
      </c>
      <c r="C49" s="3" t="str">
        <f ca="1">IFERROR(__xludf.DUMMYFUNCTION("""COMPUTED_VALUE"""),"Abicko")</f>
        <v>Abicko</v>
      </c>
      <c r="D49" s="4" t="str">
        <f ca="1">IFERROR(__xludf.DUMMYFUNCTION("""COMPUTED_VALUE"""),"https://abicko.cz")</f>
        <v>https://abicko.cz</v>
      </c>
      <c r="E49" s="3" t="str">
        <f ca="1">IFERROR(__xludf.DUMMYFUNCTION("""COMPUTED_VALUE"""),"celý web")</f>
        <v>celý web</v>
      </c>
      <c r="F49" s="4" t="str">
        <f ca="1">IFERROR(__xludf.DUMMYFUNCTION("""COMPUTED_VALUE"""),"https://abicko.cz")</f>
        <v>https://abicko.cz</v>
      </c>
      <c r="G49" s="3" t="str">
        <f ca="1">IFERROR(__xludf.DUMMYFUNCTION("""COMPUTED_VALUE"""),"nativní rectangle cross-device low season")</f>
        <v>nativní rectangle cross-device low season</v>
      </c>
      <c r="H49" s="3">
        <f ca="1">IFERROR(__xludf.DUMMYFUNCTION("""COMPUTED_VALUE"""),7)</f>
        <v>7</v>
      </c>
      <c r="I49" s="5">
        <f ca="1">IFERROR(__xludf.DUMMYFUNCTION("""COMPUTED_VALUE"""),1000)</f>
        <v>1000</v>
      </c>
      <c r="J49" s="5">
        <f ca="1">IFERROR(__xludf.DUMMYFUNCTION("""COMPUTED_VALUE"""),200)</f>
        <v>200</v>
      </c>
      <c r="K49" s="3"/>
      <c r="L49" s="3" t="str">
        <f ca="1">IFERROR(__xludf.DUMMYFUNCTION("""COMPUTED_VALUE"""),"Cost per period")</f>
        <v>Cost per period</v>
      </c>
      <c r="M49" s="3"/>
      <c r="N49" s="3"/>
      <c r="O49" s="3" t="str">
        <f ca="1">IFERROR(__xludf.DUMMYFUNCTION("""COMPUTED_VALUE"""),"640")</f>
        <v>640</v>
      </c>
      <c r="P49" s="3" t="str">
        <f ca="1">IFERROR(__xludf.DUMMYFUNCTION("""COMPUTED_VALUE"""),"335, 640")</f>
        <v>335, 640</v>
      </c>
      <c r="Q49" s="3" t="str">
        <f ca="1">IFERROR(__xludf.DUMMYFUNCTION("""COMPUTED_VALUE"""),"640x640 a 640x335 + text + logo")</f>
        <v>640x640 a 640x335 + text + logo</v>
      </c>
      <c r="R49" s="3"/>
      <c r="S49" s="3" t="str">
        <f ca="1">IFERROR(__xludf.DUMMYFUNCTION("""COMPUTED_VALUE"""),"45")</f>
        <v>45</v>
      </c>
      <c r="T49" s="3"/>
      <c r="U49" s="3" t="str">
        <f ca="1">IFERROR(__xludf.DUMMYFUNCTION("""COMPUTED_VALUE"""),"nativní reklama")</f>
        <v>nativní reklama</v>
      </c>
      <c r="V49" s="3"/>
      <c r="W49" s="4" t="str">
        <f ca="1">IFERROR(__xludf.DUMMYFUNCTION("""COMPUTED_VALUE"""),"https://reklama.cncenter.cz/Online/nativni-rectangle-cross-device")</f>
        <v>https://reklama.cncenter.cz/Online/nativni-rectangle-cross-device</v>
      </c>
      <c r="X49" s="3"/>
      <c r="Y49" s="3"/>
      <c r="Z49" s="3" t="str">
        <f ca="1">IFERROR(__xludf.DUMMYFUNCTION("""COMPUTED_VALUE"""),"podklady@cncenter.cz")</f>
        <v>podklady@cncenter.cz</v>
      </c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 t="str">
        <f ca="1">IFERROR(__xludf.DUMMYFUNCTION("""COMPUTED_VALUE"""),"cross-device")</f>
        <v>cross-device</v>
      </c>
      <c r="AO49" s="3"/>
      <c r="AP49" s="3"/>
      <c r="AQ49" s="3"/>
      <c r="AR49" s="3"/>
      <c r="AS49" s="3"/>
      <c r="AT49" s="3"/>
      <c r="AU49" s="3" t="str">
        <f ca="1">IFERROR(__xludf.DUMMYFUNCTION("""COMPUTED_VALUE"""),"nativní rectangle cross-device")</f>
        <v>nativní rectangle cross-device</v>
      </c>
    </row>
    <row r="50" spans="1:47" x14ac:dyDescent="0.3">
      <c r="A50" s="3">
        <f ca="1"/>
        <v>2346826</v>
      </c>
      <c r="B50" s="3" t="str">
        <f ca="1"/>
        <v>CZECH NEWS CENTER a. s.</v>
      </c>
      <c r="C50" s="3" t="str">
        <f ca="1">IFERROR(__xludf.DUMMYFUNCTION("""COMPUTED_VALUE"""),"Abicko")</f>
        <v>Abicko</v>
      </c>
      <c r="D50" s="4" t="str">
        <f ca="1">IFERROR(__xludf.DUMMYFUNCTION("""COMPUTED_VALUE"""),"https://abicko.cz")</f>
        <v>https://abicko.cz</v>
      </c>
      <c r="E50" s="3" t="str">
        <f ca="1">IFERROR(__xludf.DUMMYFUNCTION("""COMPUTED_VALUE"""),"celý web")</f>
        <v>celý web</v>
      </c>
      <c r="F50" s="4" t="str">
        <f ca="1">IFERROR(__xludf.DUMMYFUNCTION("""COMPUTED_VALUE"""),"https://abicko.cz")</f>
        <v>https://abicko.cz</v>
      </c>
      <c r="G50" s="3" t="str">
        <f ca="1">IFERROR(__xludf.DUMMYFUNCTION("""COMPUTED_VALUE"""),"outstream low season")</f>
        <v>outstream low season</v>
      </c>
      <c r="H50" s="3">
        <f ca="1">IFERROR(__xludf.DUMMYFUNCTION("""COMPUTED_VALUE"""),7)</f>
        <v>7</v>
      </c>
      <c r="I50" s="5">
        <f ca="1">IFERROR(__xludf.DUMMYFUNCTION("""COMPUTED_VALUE"""),1000)</f>
        <v>1000</v>
      </c>
      <c r="J50" s="5">
        <f ca="1">IFERROR(__xludf.DUMMYFUNCTION("""COMPUTED_VALUE"""),250)</f>
        <v>250</v>
      </c>
      <c r="K50" s="3"/>
      <c r="L50" s="3" t="str">
        <f ca="1">IFERROR(__xludf.DUMMYFUNCTION("""COMPUTED_VALUE"""),"Cost per period")</f>
        <v>Cost per period</v>
      </c>
      <c r="M50" s="3"/>
      <c r="N50" s="3"/>
      <c r="O50" s="3" t="str">
        <f ca="1">IFERROR(__xludf.DUMMYFUNCTION("""COMPUTED_VALUE"""),"1280")</f>
        <v>1280</v>
      </c>
      <c r="P50" s="3" t="str">
        <f ca="1">IFERROR(__xludf.DUMMYFUNCTION("""COMPUTED_VALUE"""),"720")</f>
        <v>720</v>
      </c>
      <c r="Q50" s="3" t="str">
        <f ca="1">IFERROR(__xludf.DUMMYFUNCTION("""COMPUTED_VALUE"""),"16:9")</f>
        <v>16:9</v>
      </c>
      <c r="R50" s="3"/>
      <c r="S50" s="3" t="str">
        <f ca="1">IFERROR(__xludf.DUMMYFUNCTION("""COMPUTED_VALUE"""),"100")</f>
        <v>100</v>
      </c>
      <c r="T50" s="3"/>
      <c r="U50" s="3" t="str">
        <f ca="1">IFERROR(__xludf.DUMMYFUNCTION("""COMPUTED_VALUE"""),"videospot")</f>
        <v>videospot</v>
      </c>
      <c r="V50" s="3"/>
      <c r="W50" s="4" t="str">
        <f ca="1">IFERROR(__xludf.DUMMYFUNCTION("""COMPUTED_VALUE"""),"https://reklama.cncenter.cz/Online/Outstream")</f>
        <v>https://reklama.cncenter.cz/Online/Outstream</v>
      </c>
      <c r="X50" s="3"/>
      <c r="Y50" s="3"/>
      <c r="Z50" s="3" t="str">
        <f ca="1">IFERROR(__xludf.DUMMYFUNCTION("""COMPUTED_VALUE"""),"podklady@cncenter.cz")</f>
        <v>podklady@cncenter.cz</v>
      </c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 t="str">
        <f ca="1">IFERROR(__xludf.DUMMYFUNCTION("""COMPUTED_VALUE"""),"cross-device")</f>
        <v>cross-device</v>
      </c>
      <c r="AO50" s="3"/>
      <c r="AP50" s="3"/>
      <c r="AQ50" s="3"/>
      <c r="AR50" s="3"/>
      <c r="AS50" s="3"/>
      <c r="AT50" s="3"/>
      <c r="AU50" s="3" t="str">
        <f ca="1">IFERROR(__xludf.DUMMYFUNCTION("""COMPUTED_VALUE"""),"outstream")</f>
        <v>outstream</v>
      </c>
    </row>
    <row r="51" spans="1:47" x14ac:dyDescent="0.3">
      <c r="A51" s="3">
        <f ca="1"/>
        <v>2346826</v>
      </c>
      <c r="B51" s="3" t="str">
        <f ca="1"/>
        <v>CZECH NEWS CENTER a. s.</v>
      </c>
      <c r="C51" s="3" t="str">
        <f ca="1">IFERROR(__xludf.DUMMYFUNCTION("""COMPUTED_VALUE"""),"Abicko")</f>
        <v>Abicko</v>
      </c>
      <c r="D51" s="4" t="str">
        <f ca="1">IFERROR(__xludf.DUMMYFUNCTION("""COMPUTED_VALUE"""),"https://abicko.cz")</f>
        <v>https://abicko.cz</v>
      </c>
      <c r="E51" s="3" t="str">
        <f ca="1">IFERROR(__xludf.DUMMYFUNCTION("""COMPUTED_VALUE"""),"celý web")</f>
        <v>celý web</v>
      </c>
      <c r="F51" s="4" t="str">
        <f ca="1">IFERROR(__xludf.DUMMYFUNCTION("""COMPUTED_VALUE"""),"https://abicko.cz")</f>
        <v>https://abicko.cz</v>
      </c>
      <c r="G51" s="3" t="str">
        <f ca="1">IFERROR(__xludf.DUMMYFUNCTION("""COMPUTED_VALUE"""),"PR článek low season")</f>
        <v>PR článek low season</v>
      </c>
      <c r="H51" s="3">
        <f ca="1">IFERROR(__xludf.DUMMYFUNCTION("""COMPUTED_VALUE"""),1)</f>
        <v>1</v>
      </c>
      <c r="I51" s="5">
        <f ca="1">IFERROR(__xludf.DUMMYFUNCTION("""COMPUTED_VALUE"""),1)</f>
        <v>1</v>
      </c>
      <c r="J51" s="5">
        <f ca="1">IFERROR(__xludf.DUMMYFUNCTION("""COMPUTED_VALUE"""),20000)</f>
        <v>20000</v>
      </c>
      <c r="K51" s="3"/>
      <c r="L51" s="3" t="str">
        <f ca="1">IFERROR(__xludf.DUMMYFUNCTION("""COMPUTED_VALUE"""),"Cost per instance")</f>
        <v>Cost per instance</v>
      </c>
      <c r="M51" s="3"/>
      <c r="N51" s="3"/>
      <c r="O51" s="3"/>
      <c r="P51" s="3"/>
      <c r="Q51" s="3"/>
      <c r="R51" s="3"/>
      <c r="S51" s="3" t="str">
        <f ca="1">IFERROR(__xludf.DUMMYFUNCTION("""COMPUTED_VALUE"""),"100")</f>
        <v>100</v>
      </c>
      <c r="T51" s="3"/>
      <c r="U51" s="3" t="str">
        <f ca="1">IFERROR(__xludf.DUMMYFUNCTION("""COMPUTED_VALUE"""),"pr článek")</f>
        <v>pr článek</v>
      </c>
      <c r="V51" s="3"/>
      <c r="W51" s="4" t="str">
        <f ca="1">IFERROR(__xludf.DUMMYFUNCTION("""COMPUTED_VALUE"""),"https://reklama.cncenter.cz/?ads=PR%2520%25C4%258Dl%25C3%25A1nky")</f>
        <v>https://reklama.cncenter.cz/?ads=PR%2520%25C4%258Dl%25C3%25A1nky</v>
      </c>
      <c r="X51" s="3"/>
      <c r="Y51" s="3"/>
      <c r="Z51" s="3" t="str">
        <f ca="1">IFERROR(__xludf.DUMMYFUNCTION("""COMPUTED_VALUE"""),"podklady@cncenter.cz")</f>
        <v>podklady@cncenter.cz</v>
      </c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 t="str">
        <f ca="1">IFERROR(__xludf.DUMMYFUNCTION("""COMPUTED_VALUE"""),"cross-device")</f>
        <v>cross-device</v>
      </c>
      <c r="AO51" s="3"/>
      <c r="AP51" s="3"/>
      <c r="AQ51" s="3"/>
      <c r="AR51" s="3"/>
      <c r="AS51" s="3"/>
      <c r="AT51" s="3"/>
      <c r="AU51" s="3" t="str">
        <f ca="1">IFERROR(__xludf.DUMMYFUNCTION("""COMPUTED_VALUE"""),"PR článek")</f>
        <v>PR článek</v>
      </c>
    </row>
    <row r="52" spans="1:47" x14ac:dyDescent="0.3">
      <c r="A52" s="3">
        <f ca="1"/>
        <v>2346826</v>
      </c>
      <c r="B52" s="3" t="str">
        <f ca="1"/>
        <v>CZECH NEWS CENTER a. s.</v>
      </c>
      <c r="C52" s="3" t="str">
        <f ca="1">IFERROR(__xludf.DUMMYFUNCTION("""COMPUTED_VALUE"""),"Abicko")</f>
        <v>Abicko</v>
      </c>
      <c r="D52" s="4" t="str">
        <f ca="1">IFERROR(__xludf.DUMMYFUNCTION("""COMPUTED_VALUE"""),"https://abicko.cz")</f>
        <v>https://abicko.cz</v>
      </c>
      <c r="E52" s="3" t="str">
        <f ca="1">IFERROR(__xludf.DUMMYFUNCTION("""COMPUTED_VALUE"""),"celý web")</f>
        <v>celý web</v>
      </c>
      <c r="F52" s="4" t="str">
        <f ca="1">IFERROR(__xludf.DUMMYFUNCTION("""COMPUTED_VALUE"""),"https://abicko.cz")</f>
        <v>https://abicko.cz</v>
      </c>
      <c r="G52" s="3" t="str">
        <f ca="1">IFERROR(__xludf.DUMMYFUNCTION("""COMPUTED_VALUE"""),"Prodloužení existující microsite, bez úprav low season")</f>
        <v>Prodloužení existující microsite, bez úprav low season</v>
      </c>
      <c r="H52" s="3">
        <f ca="1">IFERROR(__xludf.DUMMYFUNCTION("""COMPUTED_VALUE"""),1)</f>
        <v>1</v>
      </c>
      <c r="I52" s="5">
        <f ca="1">IFERROR(__xludf.DUMMYFUNCTION("""COMPUTED_VALUE"""),1)</f>
        <v>1</v>
      </c>
      <c r="J52" s="5">
        <f ca="1">IFERROR(__xludf.DUMMYFUNCTION("""COMPUTED_VALUE"""),15000)</f>
        <v>15000</v>
      </c>
      <c r="K52" s="3"/>
      <c r="L52" s="3" t="str">
        <f ca="1">IFERROR(__xludf.DUMMYFUNCTION("""COMPUTED_VALUE"""),"Cost per instance")</f>
        <v>Cost per instance</v>
      </c>
      <c r="M52" s="3"/>
      <c r="N52" s="3"/>
      <c r="O52" s="3"/>
      <c r="P52" s="3"/>
      <c r="Q52" s="3"/>
      <c r="R52" s="3"/>
      <c r="S52" s="3" t="str">
        <f ca="1">IFERROR(__xludf.DUMMYFUNCTION("""COMPUTED_VALUE"""),"100")</f>
        <v>100</v>
      </c>
      <c r="T52" s="3"/>
      <c r="U52" s="3" t="str">
        <f ca="1">IFERROR(__xludf.DUMMYFUNCTION("""COMPUTED_VALUE"""),"microsite")</f>
        <v>microsite</v>
      </c>
      <c r="V52" s="3"/>
      <c r="W52" s="3"/>
      <c r="X52" s="3"/>
      <c r="Y52" s="3"/>
      <c r="Z52" s="3" t="str">
        <f ca="1">IFERROR(__xludf.DUMMYFUNCTION("""COMPUTED_VALUE"""),"podklady@cncenter.cz")</f>
        <v>podklady@cncenter.cz</v>
      </c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 t="str">
        <f ca="1">IFERROR(__xludf.DUMMYFUNCTION("""COMPUTED_VALUE"""),"cross-device")</f>
        <v>cross-device</v>
      </c>
      <c r="AO52" s="3"/>
      <c r="AP52" s="3"/>
      <c r="AQ52" s="3"/>
      <c r="AR52" s="3"/>
      <c r="AS52" s="3"/>
      <c r="AT52" s="3"/>
      <c r="AU52" s="3" t="str">
        <f ca="1">IFERROR(__xludf.DUMMYFUNCTION("""COMPUTED_VALUE"""),"Prodloužení existující microsite, bez úprav")</f>
        <v>Prodloužení existující microsite, bez úprav</v>
      </c>
    </row>
    <row r="53" spans="1:47" x14ac:dyDescent="0.3">
      <c r="A53" s="3">
        <f ca="1"/>
        <v>2346826</v>
      </c>
      <c r="B53" s="3" t="str">
        <f ca="1"/>
        <v>CZECH NEWS CENTER a. s.</v>
      </c>
      <c r="C53" s="3" t="str">
        <f ca="1">IFERROR(__xludf.DUMMYFUNCTION("""COMPUTED_VALUE"""),"Abicko")</f>
        <v>Abicko</v>
      </c>
      <c r="D53" s="4" t="str">
        <f ca="1">IFERROR(__xludf.DUMMYFUNCTION("""COMPUTED_VALUE"""),"https://abicko.cz")</f>
        <v>https://abicko.cz</v>
      </c>
      <c r="E53" s="3" t="str">
        <f ca="1">IFERROR(__xludf.DUMMYFUNCTION("""COMPUTED_VALUE"""),"celý web")</f>
        <v>celý web</v>
      </c>
      <c r="F53" s="4" t="str">
        <f ca="1">IFERROR(__xludf.DUMMYFUNCTION("""COMPUTED_VALUE"""),"https://abicko.cz")</f>
        <v>https://abicko.cz</v>
      </c>
      <c r="G53" s="3" t="str">
        <f ca="1">IFERROR(__xludf.DUMMYFUNCTION("""COMPUTED_VALUE"""),"Prodloužení existující microsite, bez úprav low season")</f>
        <v>Prodloužení existující microsite, bez úprav low season</v>
      </c>
      <c r="H53" s="3">
        <f ca="1">IFERROR(__xludf.DUMMYFUNCTION("""COMPUTED_VALUE"""),1)</f>
        <v>1</v>
      </c>
      <c r="I53" s="5">
        <f ca="1">IFERROR(__xludf.DUMMYFUNCTION("""COMPUTED_VALUE"""),1)</f>
        <v>1</v>
      </c>
      <c r="J53" s="5">
        <f ca="1">IFERROR(__xludf.DUMMYFUNCTION("""COMPUTED_VALUE"""),15000)</f>
        <v>15000</v>
      </c>
      <c r="K53" s="3"/>
      <c r="L53" s="3" t="str">
        <f ca="1">IFERROR(__xludf.DUMMYFUNCTION("""COMPUTED_VALUE"""),"Cost per instance")</f>
        <v>Cost per instance</v>
      </c>
      <c r="M53" s="3"/>
      <c r="N53" s="3"/>
      <c r="O53" s="3"/>
      <c r="P53" s="3"/>
      <c r="Q53" s="3"/>
      <c r="R53" s="3"/>
      <c r="S53" s="3" t="str">
        <f ca="1">IFERROR(__xludf.DUMMYFUNCTION("""COMPUTED_VALUE"""),"100")</f>
        <v>100</v>
      </c>
      <c r="T53" s="3"/>
      <c r="U53" s="3" t="str">
        <f ca="1">IFERROR(__xludf.DUMMYFUNCTION("""COMPUTED_VALUE"""),"microsite")</f>
        <v>microsite</v>
      </c>
      <c r="V53" s="3"/>
      <c r="W53" s="3"/>
      <c r="X53" s="3"/>
      <c r="Y53" s="3"/>
      <c r="Z53" s="3" t="str">
        <f ca="1">IFERROR(__xludf.DUMMYFUNCTION("""COMPUTED_VALUE"""),"podklady@cncenter.cz")</f>
        <v>podklady@cncenter.cz</v>
      </c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 t="str">
        <f ca="1">IFERROR(__xludf.DUMMYFUNCTION("""COMPUTED_VALUE"""),"cross-device")</f>
        <v>cross-device</v>
      </c>
      <c r="AO53" s="3"/>
      <c r="AP53" s="3"/>
      <c r="AQ53" s="3"/>
      <c r="AR53" s="3"/>
      <c r="AS53" s="3"/>
      <c r="AT53" s="3"/>
      <c r="AU53" s="3" t="str">
        <f ca="1">IFERROR(__xludf.DUMMYFUNCTION("""COMPUTED_VALUE"""),"Prodloužení existující microsite, bez úprav")</f>
        <v>Prodloužení existující microsite, bez úprav</v>
      </c>
    </row>
    <row r="54" spans="1:47" x14ac:dyDescent="0.3">
      <c r="A54" s="3">
        <f ca="1"/>
        <v>2346826</v>
      </c>
      <c r="B54" s="3" t="str">
        <f ca="1"/>
        <v>CZECH NEWS CENTER a. s.</v>
      </c>
      <c r="C54" s="3" t="str">
        <f ca="1">IFERROR(__xludf.DUMMYFUNCTION("""COMPUTED_VALUE"""),"Abicko")</f>
        <v>Abicko</v>
      </c>
      <c r="D54" s="4" t="str">
        <f ca="1">IFERROR(__xludf.DUMMYFUNCTION("""COMPUTED_VALUE"""),"https://abicko.cz")</f>
        <v>https://abicko.cz</v>
      </c>
      <c r="E54" s="3" t="str">
        <f ca="1">IFERROR(__xludf.DUMMYFUNCTION("""COMPUTED_VALUE"""),"celý web")</f>
        <v>celý web</v>
      </c>
      <c r="F54" s="4" t="str">
        <f ca="1">IFERROR(__xludf.DUMMYFUNCTION("""COMPUTED_VALUE"""),"https://abicko.cz")</f>
        <v>https://abicko.cz</v>
      </c>
      <c r="G54" s="3" t="str">
        <f ca="1">IFERROR(__xludf.DUMMYFUNCTION("""COMPUTED_VALUE"""),"Prodloužení existující microsite, bez úprav low season")</f>
        <v>Prodloužení existující microsite, bez úprav low season</v>
      </c>
      <c r="H54" s="3">
        <f ca="1">IFERROR(__xludf.DUMMYFUNCTION("""COMPUTED_VALUE"""),1)</f>
        <v>1</v>
      </c>
      <c r="I54" s="5">
        <f ca="1">IFERROR(__xludf.DUMMYFUNCTION("""COMPUTED_VALUE"""),1)</f>
        <v>1</v>
      </c>
      <c r="J54" s="5">
        <f ca="1">IFERROR(__xludf.DUMMYFUNCTION("""COMPUTED_VALUE"""),15000)</f>
        <v>15000</v>
      </c>
      <c r="K54" s="3"/>
      <c r="L54" s="3" t="str">
        <f ca="1">IFERROR(__xludf.DUMMYFUNCTION("""COMPUTED_VALUE"""),"Cost per instance")</f>
        <v>Cost per instance</v>
      </c>
      <c r="M54" s="3"/>
      <c r="N54" s="3"/>
      <c r="O54" s="3"/>
      <c r="P54" s="3"/>
      <c r="Q54" s="3"/>
      <c r="R54" s="3"/>
      <c r="S54" s="3" t="str">
        <f ca="1">IFERROR(__xludf.DUMMYFUNCTION("""COMPUTED_VALUE"""),"100")</f>
        <v>100</v>
      </c>
      <c r="T54" s="3"/>
      <c r="U54" s="3" t="str">
        <f ca="1">IFERROR(__xludf.DUMMYFUNCTION("""COMPUTED_VALUE"""),"microsite")</f>
        <v>microsite</v>
      </c>
      <c r="V54" s="3"/>
      <c r="W54" s="3"/>
      <c r="X54" s="3"/>
      <c r="Y54" s="3"/>
      <c r="Z54" s="3" t="str">
        <f ca="1">IFERROR(__xludf.DUMMYFUNCTION("""COMPUTED_VALUE"""),"podklady@cncenter.cz")</f>
        <v>podklady@cncenter.cz</v>
      </c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 t="str">
        <f ca="1">IFERROR(__xludf.DUMMYFUNCTION("""COMPUTED_VALUE"""),"cross-device")</f>
        <v>cross-device</v>
      </c>
      <c r="AO54" s="3"/>
      <c r="AP54" s="3"/>
      <c r="AQ54" s="3"/>
      <c r="AR54" s="3"/>
      <c r="AS54" s="3"/>
      <c r="AT54" s="3"/>
      <c r="AU54" s="3" t="str">
        <f ca="1">IFERROR(__xludf.DUMMYFUNCTION("""COMPUTED_VALUE"""),"Prodloužení existující microsite, bez úprav")</f>
        <v>Prodloužení existující microsite, bez úprav</v>
      </c>
    </row>
    <row r="55" spans="1:47" x14ac:dyDescent="0.3">
      <c r="A55" s="3">
        <f ca="1"/>
        <v>2346826</v>
      </c>
      <c r="B55" s="3" t="str">
        <f ca="1"/>
        <v>CZECH NEWS CENTER a. s.</v>
      </c>
      <c r="C55" s="3" t="str">
        <f ca="1">IFERROR(__xludf.DUMMYFUNCTION("""COMPUTED_VALUE"""),"Abicko")</f>
        <v>Abicko</v>
      </c>
      <c r="D55" s="4" t="str">
        <f ca="1">IFERROR(__xludf.DUMMYFUNCTION("""COMPUTED_VALUE"""),"https://abicko.cz")</f>
        <v>https://abicko.cz</v>
      </c>
      <c r="E55" s="3" t="str">
        <f ca="1">IFERROR(__xludf.DUMMYFUNCTION("""COMPUTED_VALUE"""),"celý web")</f>
        <v>celý web</v>
      </c>
      <c r="F55" s="4" t="str">
        <f ca="1">IFERROR(__xludf.DUMMYFUNCTION("""COMPUTED_VALUE"""),"https://abicko.cz")</f>
        <v>https://abicko.cz</v>
      </c>
      <c r="G55" s="3" t="str">
        <f ca="1">IFERROR(__xludf.DUMMYFUNCTION("""COMPUTED_VALUE"""),"videospot - max. 30 sec. / bumper low season")</f>
        <v>videospot - max. 30 sec. / bumper low season</v>
      </c>
      <c r="H55" s="3">
        <f ca="1">IFERROR(__xludf.DUMMYFUNCTION("""COMPUTED_VALUE"""),7)</f>
        <v>7</v>
      </c>
      <c r="I55" s="5">
        <f ca="1">IFERROR(__xludf.DUMMYFUNCTION("""COMPUTED_VALUE"""),1000)</f>
        <v>1000</v>
      </c>
      <c r="J55" s="5">
        <f ca="1">IFERROR(__xludf.DUMMYFUNCTION("""COMPUTED_VALUE"""),740)</f>
        <v>740</v>
      </c>
      <c r="K55" s="3"/>
      <c r="L55" s="3" t="str">
        <f ca="1">IFERROR(__xludf.DUMMYFUNCTION("""COMPUTED_VALUE"""),"Cost per period")</f>
        <v>Cost per period</v>
      </c>
      <c r="M55" s="3"/>
      <c r="N55" s="3"/>
      <c r="O55" s="3" t="str">
        <f ca="1">IFERROR(__xludf.DUMMYFUNCTION("""COMPUTED_VALUE"""),"1280")</f>
        <v>1280</v>
      </c>
      <c r="P55" s="3" t="str">
        <f ca="1">IFERROR(__xludf.DUMMYFUNCTION("""COMPUTED_VALUE"""),"720")</f>
        <v>720</v>
      </c>
      <c r="Q55" s="3" t="str">
        <f ca="1">IFERROR(__xludf.DUMMYFUNCTION("""COMPUTED_VALUE"""),"16:9 / umístění po domluvě dle možností")</f>
        <v>16:9 / umístění po domluvě dle možností</v>
      </c>
      <c r="R55" s="3" t="str">
        <f ca="1">IFERROR(__xludf.DUMMYFUNCTION("""COMPUTED_VALUE"""),"přeskočení po 7 sekundách")</f>
        <v>přeskočení po 7 sekundách</v>
      </c>
      <c r="S55" s="3" t="str">
        <f ca="1">IFERROR(__xludf.DUMMYFUNCTION("""COMPUTED_VALUE"""),"100")</f>
        <v>100</v>
      </c>
      <c r="T55" s="3"/>
      <c r="U55" s="3" t="str">
        <f ca="1">IFERROR(__xludf.DUMMYFUNCTION("""COMPUTED_VALUE"""),"videospot")</f>
        <v>videospot</v>
      </c>
      <c r="V55" s="3"/>
      <c r="W55" s="4" t="str">
        <f ca="1">IFERROR(__xludf.DUMMYFUNCTION("""COMPUTED_VALUE"""),"https://reklama.cncenter.cz/Online/Bumper")</f>
        <v>https://reklama.cncenter.cz/Online/Bumper</v>
      </c>
      <c r="X55" s="3"/>
      <c r="Y55" s="3"/>
      <c r="Z55" s="3" t="str">
        <f ca="1">IFERROR(__xludf.DUMMYFUNCTION("""COMPUTED_VALUE"""),"podklady@cncenter.cz")</f>
        <v>podklady@cncenter.cz</v>
      </c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 t="str">
        <f ca="1">IFERROR(__xludf.DUMMYFUNCTION("""COMPUTED_VALUE"""),"cross-device")</f>
        <v>cross-device</v>
      </c>
      <c r="AO55" s="3"/>
      <c r="AP55" s="3"/>
      <c r="AQ55" s="3"/>
      <c r="AR55" s="3"/>
      <c r="AS55" s="3"/>
      <c r="AT55" s="3"/>
      <c r="AU55" s="3" t="str">
        <f ca="1">IFERROR(__xludf.DUMMYFUNCTION("""COMPUTED_VALUE"""),"videospot - max. 30 sec. / bumper")</f>
        <v>videospot - max. 30 sec. / bumper</v>
      </c>
    </row>
    <row r="56" spans="1:47" x14ac:dyDescent="0.3">
      <c r="A56" s="3">
        <f ca="1"/>
        <v>2346826</v>
      </c>
      <c r="B56" s="3" t="str">
        <f ca="1"/>
        <v>CZECH NEWS CENTER a. s.</v>
      </c>
      <c r="C56" s="3" t="str">
        <f ca="1">IFERROR(__xludf.DUMMYFUNCTION("""COMPUTED_VALUE"""),"Active Radio")</f>
        <v>Active Radio</v>
      </c>
      <c r="D56" s="3" t="str">
        <f ca="1">IFERROR(__xludf.DUMMYFUNCTION("""COMPUTED_VALUE"""),"https://evropa2.cz, https://frekvence1.cz")</f>
        <v>https://evropa2.cz, https://frekvence1.cz</v>
      </c>
      <c r="E56" s="3" t="str">
        <f ca="1">IFERROR(__xludf.DUMMYFUNCTION("""COMPUTED_VALUE"""),"celý web")</f>
        <v>celý web</v>
      </c>
      <c r="F56" s="3" t="str">
        <f ca="1">IFERROR(__xludf.DUMMYFUNCTION("""COMPUTED_VALUE"""),"https://evropa2.cz, https://frekvence1.cz")</f>
        <v>https://evropa2.cz, https://frekvence1.cz</v>
      </c>
      <c r="G56" s="3" t="str">
        <f ca="1">IFERROR(__xludf.DUMMYFUNCTION("""COMPUTED_VALUE"""),"audio ad (15-30"" audio + 640x640) - bez cílení low season")</f>
        <v>audio ad (15-30" audio + 640x640) - bez cílení low season</v>
      </c>
      <c r="H56" s="3">
        <f ca="1">IFERROR(__xludf.DUMMYFUNCTION("""COMPUTED_VALUE"""),7)</f>
        <v>7</v>
      </c>
      <c r="I56" s="5">
        <f ca="1">IFERROR(__xludf.DUMMYFUNCTION("""COMPUTED_VALUE"""),1000)</f>
        <v>1000</v>
      </c>
      <c r="J56" s="5">
        <f ca="1">IFERROR(__xludf.DUMMYFUNCTION("""COMPUTED_VALUE"""),250)</f>
        <v>250</v>
      </c>
      <c r="K56" s="3"/>
      <c r="L56" s="3" t="str">
        <f ca="1">IFERROR(__xludf.DUMMYFUNCTION("""COMPUTED_VALUE"""),"Cost per period")</f>
        <v>Cost per period</v>
      </c>
      <c r="M56" s="3"/>
      <c r="N56" s="3"/>
      <c r="O56" s="3"/>
      <c r="P56" s="3"/>
      <c r="Q56" s="3"/>
      <c r="R56" s="3"/>
      <c r="S56" s="3" t="str">
        <f ca="1">IFERROR(__xludf.DUMMYFUNCTION("""COMPUTED_VALUE"""),"100")</f>
        <v>100</v>
      </c>
      <c r="T56" s="3"/>
      <c r="U56" s="3" t="str">
        <f ca="1">IFERROR(__xludf.DUMMYFUNCTION("""COMPUTED_VALUE"""),"audio")</f>
        <v>audio</v>
      </c>
      <c r="V56" s="3"/>
      <c r="W56" s="4" t="str">
        <f ca="1">IFERROR(__xludf.DUMMYFUNCTION("""COMPUTED_VALUE"""),"https://www.activegroup.cz/reklama")</f>
        <v>https://www.activegroup.cz/reklama</v>
      </c>
      <c r="X56" s="3"/>
      <c r="Y56" s="3"/>
      <c r="Z56" s="3" t="str">
        <f ca="1">IFERROR(__xludf.DUMMYFUNCTION("""COMPUTED_VALUE"""),"monika.cerna@cncenter.cz")</f>
        <v>monika.cerna@cncenter.cz</v>
      </c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 t="str">
        <f ca="1">IFERROR(__xludf.DUMMYFUNCTION("""COMPUTED_VALUE"""),"cross-device")</f>
        <v>cross-device</v>
      </c>
      <c r="AO56" s="3"/>
      <c r="AP56" s="3"/>
      <c r="AQ56" s="3"/>
      <c r="AR56" s="3"/>
      <c r="AS56" s="3"/>
      <c r="AT56" s="3"/>
      <c r="AU56" s="3" t="str">
        <f ca="1">IFERROR(__xludf.DUMMYFUNCTION("""COMPUTED_VALUE"""),"audio ad (15-30"" audio + 640x640) - bez cílení")</f>
        <v>audio ad (15-30" audio + 640x640) - bez cílení</v>
      </c>
    </row>
    <row r="57" spans="1:47" x14ac:dyDescent="0.3">
      <c r="A57" s="3">
        <f ca="1"/>
        <v>2346826</v>
      </c>
      <c r="B57" s="3" t="str">
        <f ca="1"/>
        <v>CZECH NEWS CENTER a. s.</v>
      </c>
      <c r="C57" s="3" t="str">
        <f ca="1">IFERROR(__xludf.DUMMYFUNCTION("""COMPUTED_VALUE"""),"Active Radio")</f>
        <v>Active Radio</v>
      </c>
      <c r="D57" s="3" t="str">
        <f ca="1">IFERROR(__xludf.DUMMYFUNCTION("""COMPUTED_VALUE"""),"https://evropa2.cz, https://frekvence1.cz")</f>
        <v>https://evropa2.cz, https://frekvence1.cz</v>
      </c>
      <c r="E57" s="3" t="str">
        <f ca="1">IFERROR(__xludf.DUMMYFUNCTION("""COMPUTED_VALUE"""),"celý web")</f>
        <v>celý web</v>
      </c>
      <c r="F57" s="3" t="str">
        <f ca="1">IFERROR(__xludf.DUMMYFUNCTION("""COMPUTED_VALUE"""),"https://evropa2.cz, https://frekvence1.cz")</f>
        <v>https://evropa2.cz, https://frekvence1.cz</v>
      </c>
      <c r="G57" s="3" t="str">
        <f ca="1">IFERROR(__xludf.DUMMYFUNCTION("""COMPUTED_VALUE"""),"audio ad (15-30"" audio + 640x640) - pohlaví, lokace low season")</f>
        <v>audio ad (15-30" audio + 640x640) - pohlaví, lokace low season</v>
      </c>
      <c r="H57" s="3">
        <f ca="1">IFERROR(__xludf.DUMMYFUNCTION("""COMPUTED_VALUE"""),7)</f>
        <v>7</v>
      </c>
      <c r="I57" s="5">
        <f ca="1">IFERROR(__xludf.DUMMYFUNCTION("""COMPUTED_VALUE"""),1000)</f>
        <v>1000</v>
      </c>
      <c r="J57" s="5">
        <f ca="1">IFERROR(__xludf.DUMMYFUNCTION("""COMPUTED_VALUE"""),300)</f>
        <v>300</v>
      </c>
      <c r="K57" s="3"/>
      <c r="L57" s="3" t="str">
        <f ca="1">IFERROR(__xludf.DUMMYFUNCTION("""COMPUTED_VALUE"""),"Cost per period")</f>
        <v>Cost per period</v>
      </c>
      <c r="M57" s="3"/>
      <c r="N57" s="3"/>
      <c r="O57" s="3"/>
      <c r="P57" s="3"/>
      <c r="Q57" s="3"/>
      <c r="R57" s="3"/>
      <c r="S57" s="3" t="str">
        <f ca="1">IFERROR(__xludf.DUMMYFUNCTION("""COMPUTED_VALUE"""),"100")</f>
        <v>100</v>
      </c>
      <c r="T57" s="3"/>
      <c r="U57" s="3" t="str">
        <f ca="1">IFERROR(__xludf.DUMMYFUNCTION("""COMPUTED_VALUE"""),"audio")</f>
        <v>audio</v>
      </c>
      <c r="V57" s="3"/>
      <c r="W57" s="4" t="str">
        <f ca="1">IFERROR(__xludf.DUMMYFUNCTION("""COMPUTED_VALUE"""),"https://www.activegroup.cz/reklama")</f>
        <v>https://www.activegroup.cz/reklama</v>
      </c>
      <c r="X57" s="3"/>
      <c r="Y57" s="3"/>
      <c r="Z57" s="3" t="str">
        <f ca="1">IFERROR(__xludf.DUMMYFUNCTION("""COMPUTED_VALUE"""),"monika.cerna@cncenter.cz")</f>
        <v>monika.cerna@cncenter.cz</v>
      </c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 t="str">
        <f ca="1">IFERROR(__xludf.DUMMYFUNCTION("""COMPUTED_VALUE"""),"cross-device")</f>
        <v>cross-device</v>
      </c>
      <c r="AO57" s="3"/>
      <c r="AP57" s="3"/>
      <c r="AQ57" s="3"/>
      <c r="AR57" s="3"/>
      <c r="AS57" s="3"/>
      <c r="AT57" s="3"/>
      <c r="AU57" s="3" t="str">
        <f ca="1">IFERROR(__xludf.DUMMYFUNCTION("""COMPUTED_VALUE"""),"audio ad (15-30"" audio + 640x640) - pohlaví, lokace")</f>
        <v>audio ad (15-30" audio + 640x640) - pohlaví, lokace</v>
      </c>
    </row>
    <row r="58" spans="1:47" x14ac:dyDescent="0.3">
      <c r="A58" s="3">
        <f ca="1"/>
        <v>2346826</v>
      </c>
      <c r="B58" s="3" t="str">
        <f ca="1"/>
        <v>CZECH NEWS CENTER a. s.</v>
      </c>
      <c r="C58" s="3" t="str">
        <f ca="1">IFERROR(__xludf.DUMMYFUNCTION("""COMPUTED_VALUE"""),"Active Radio")</f>
        <v>Active Radio</v>
      </c>
      <c r="D58" s="3" t="str">
        <f ca="1">IFERROR(__xludf.DUMMYFUNCTION("""COMPUTED_VALUE"""),"https://evropa2.cz, https://frekvence1.cz")</f>
        <v>https://evropa2.cz, https://frekvence1.cz</v>
      </c>
      <c r="E58" s="3" t="str">
        <f ca="1">IFERROR(__xludf.DUMMYFUNCTION("""COMPUTED_VALUE"""),"celý web")</f>
        <v>celý web</v>
      </c>
      <c r="F58" s="3" t="str">
        <f ca="1">IFERROR(__xludf.DUMMYFUNCTION("""COMPUTED_VALUE"""),"https://evropa2.cz, https://frekvence1.cz")</f>
        <v>https://evropa2.cz, https://frekvence1.cz</v>
      </c>
      <c r="G58" s="3" t="str">
        <f ca="1">IFERROR(__xludf.DUMMYFUNCTION("""COMPUTED_VALUE"""),"audio spot (5-30"") - bez cílení low season")</f>
        <v>audio spot (5-30") - bez cílení low season</v>
      </c>
      <c r="H58" s="3">
        <f ca="1">IFERROR(__xludf.DUMMYFUNCTION("""COMPUTED_VALUE"""),7)</f>
        <v>7</v>
      </c>
      <c r="I58" s="5">
        <f ca="1">IFERROR(__xludf.DUMMYFUNCTION("""COMPUTED_VALUE"""),1000)</f>
        <v>1000</v>
      </c>
      <c r="J58" s="5">
        <f ca="1">IFERROR(__xludf.DUMMYFUNCTION("""COMPUTED_VALUE"""),185)</f>
        <v>185</v>
      </c>
      <c r="K58" s="3"/>
      <c r="L58" s="3" t="str">
        <f ca="1">IFERROR(__xludf.DUMMYFUNCTION("""COMPUTED_VALUE"""),"Cost per period")</f>
        <v>Cost per period</v>
      </c>
      <c r="M58" s="3"/>
      <c r="N58" s="3"/>
      <c r="O58" s="3"/>
      <c r="P58" s="3"/>
      <c r="Q58" s="3"/>
      <c r="R58" s="3"/>
      <c r="S58" s="3" t="str">
        <f ca="1">IFERROR(__xludf.DUMMYFUNCTION("""COMPUTED_VALUE"""),"100")</f>
        <v>100</v>
      </c>
      <c r="T58" s="3"/>
      <c r="U58" s="3" t="str">
        <f ca="1">IFERROR(__xludf.DUMMYFUNCTION("""COMPUTED_VALUE"""),"audio")</f>
        <v>audio</v>
      </c>
      <c r="V58" s="3"/>
      <c r="W58" s="4" t="str">
        <f ca="1">IFERROR(__xludf.DUMMYFUNCTION("""COMPUTED_VALUE"""),"https://www.activegroup.cz/reklama")</f>
        <v>https://www.activegroup.cz/reklama</v>
      </c>
      <c r="X58" s="3"/>
      <c r="Y58" s="3"/>
      <c r="Z58" s="3" t="str">
        <f ca="1">IFERROR(__xludf.DUMMYFUNCTION("""COMPUTED_VALUE"""),"monika.cerna@cncenter.cz")</f>
        <v>monika.cerna@cncenter.cz</v>
      </c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 t="str">
        <f ca="1">IFERROR(__xludf.DUMMYFUNCTION("""COMPUTED_VALUE"""),"cross-device")</f>
        <v>cross-device</v>
      </c>
      <c r="AO58" s="3"/>
      <c r="AP58" s="3"/>
      <c r="AQ58" s="3"/>
      <c r="AR58" s="3"/>
      <c r="AS58" s="3"/>
      <c r="AT58" s="3"/>
      <c r="AU58" s="3" t="str">
        <f ca="1">IFERROR(__xludf.DUMMYFUNCTION("""COMPUTED_VALUE"""),"audio spot (5-30"") - bez cílení")</f>
        <v>audio spot (5-30") - bez cílení</v>
      </c>
    </row>
    <row r="59" spans="1:47" x14ac:dyDescent="0.3">
      <c r="A59" s="3">
        <f ca="1"/>
        <v>2346826</v>
      </c>
      <c r="B59" s="3" t="str">
        <f ca="1"/>
        <v>CZECH NEWS CENTER a. s.</v>
      </c>
      <c r="C59" s="3" t="str">
        <f ca="1">IFERROR(__xludf.DUMMYFUNCTION("""COMPUTED_VALUE"""),"Active Radio")</f>
        <v>Active Radio</v>
      </c>
      <c r="D59" s="3" t="str">
        <f ca="1">IFERROR(__xludf.DUMMYFUNCTION("""COMPUTED_VALUE"""),"https://evropa2.cz, https://frekvence1.cz")</f>
        <v>https://evropa2.cz, https://frekvence1.cz</v>
      </c>
      <c r="E59" s="3" t="str">
        <f ca="1">IFERROR(__xludf.DUMMYFUNCTION("""COMPUTED_VALUE"""),"celý web")</f>
        <v>celý web</v>
      </c>
      <c r="F59" s="3" t="str">
        <f ca="1">IFERROR(__xludf.DUMMYFUNCTION("""COMPUTED_VALUE"""),"https://evropa2.cz, https://frekvence1.cz")</f>
        <v>https://evropa2.cz, https://frekvence1.cz</v>
      </c>
      <c r="G59" s="3" t="str">
        <f ca="1">IFERROR(__xludf.DUMMYFUNCTION("""COMPUTED_VALUE"""),"audio spot (5-30"") - pohlaví, lokace low season")</f>
        <v>audio spot (5-30") - pohlaví, lokace low season</v>
      </c>
      <c r="H59" s="3">
        <f ca="1">IFERROR(__xludf.DUMMYFUNCTION("""COMPUTED_VALUE"""),7)</f>
        <v>7</v>
      </c>
      <c r="I59" s="5">
        <f ca="1">IFERROR(__xludf.DUMMYFUNCTION("""COMPUTED_VALUE"""),1000)</f>
        <v>1000</v>
      </c>
      <c r="J59" s="5">
        <f ca="1">IFERROR(__xludf.DUMMYFUNCTION("""COMPUTED_VALUE"""),250)</f>
        <v>250</v>
      </c>
      <c r="K59" s="3"/>
      <c r="L59" s="3" t="str">
        <f ca="1">IFERROR(__xludf.DUMMYFUNCTION("""COMPUTED_VALUE"""),"Cost per period")</f>
        <v>Cost per period</v>
      </c>
      <c r="M59" s="3"/>
      <c r="N59" s="3"/>
      <c r="O59" s="3"/>
      <c r="P59" s="3"/>
      <c r="Q59" s="3"/>
      <c r="R59" s="3"/>
      <c r="S59" s="3" t="str">
        <f ca="1">IFERROR(__xludf.DUMMYFUNCTION("""COMPUTED_VALUE"""),"100")</f>
        <v>100</v>
      </c>
      <c r="T59" s="3"/>
      <c r="U59" s="3" t="str">
        <f ca="1">IFERROR(__xludf.DUMMYFUNCTION("""COMPUTED_VALUE"""),"audio")</f>
        <v>audio</v>
      </c>
      <c r="V59" s="3"/>
      <c r="W59" s="4" t="str">
        <f ca="1">IFERROR(__xludf.DUMMYFUNCTION("""COMPUTED_VALUE"""),"https://www.activegroup.cz/reklama")</f>
        <v>https://www.activegroup.cz/reklama</v>
      </c>
      <c r="X59" s="3"/>
      <c r="Y59" s="3"/>
      <c r="Z59" s="3" t="str">
        <f ca="1">IFERROR(__xludf.DUMMYFUNCTION("""COMPUTED_VALUE"""),"monika.cerna@cncenter.cz")</f>
        <v>monika.cerna@cncenter.cz</v>
      </c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 t="str">
        <f ca="1">IFERROR(__xludf.DUMMYFUNCTION("""COMPUTED_VALUE"""),"cross-device")</f>
        <v>cross-device</v>
      </c>
      <c r="AO59" s="3"/>
      <c r="AP59" s="3"/>
      <c r="AQ59" s="3"/>
      <c r="AR59" s="3"/>
      <c r="AS59" s="3"/>
      <c r="AT59" s="3"/>
      <c r="AU59" s="3" t="str">
        <f ca="1">IFERROR(__xludf.DUMMYFUNCTION("""COMPUTED_VALUE"""),"audio spot (5-30"") - pohlaví, lokace")</f>
        <v>audio spot (5-30") - pohlaví, lokace</v>
      </c>
    </row>
    <row r="60" spans="1:47" x14ac:dyDescent="0.3">
      <c r="A60" s="3">
        <f ca="1"/>
        <v>2346826</v>
      </c>
      <c r="B60" s="3" t="str">
        <f ca="1"/>
        <v>CZECH NEWS CENTER a. s.</v>
      </c>
      <c r="C60" s="3" t="str">
        <f ca="1">IFERROR(__xludf.DUMMYFUNCTION("""COMPUTED_VALUE"""),"Active Radio")</f>
        <v>Active Radio</v>
      </c>
      <c r="D60" s="3" t="str">
        <f ca="1">IFERROR(__xludf.DUMMYFUNCTION("""COMPUTED_VALUE"""),"https://evropa2.cz, https://frekvence1.cz")</f>
        <v>https://evropa2.cz, https://frekvence1.cz</v>
      </c>
      <c r="E60" s="3" t="str">
        <f ca="1">IFERROR(__xludf.DUMMYFUNCTION("""COMPUTED_VALUE"""),"celý web")</f>
        <v>celý web</v>
      </c>
      <c r="F60" s="3" t="str">
        <f ca="1">IFERROR(__xludf.DUMMYFUNCTION("""COMPUTED_VALUE"""),"https://evropa2.cz, https://frekvence1.cz")</f>
        <v>https://evropa2.cz, https://frekvence1.cz</v>
      </c>
      <c r="G60" s="3" t="str">
        <f ca="1">IFERROR(__xludf.DUMMYFUNCTION("""COMPUTED_VALUE"""),"premium audio Pack (5-30"") low season")</f>
        <v>premium audio Pack (5-30") low season</v>
      </c>
      <c r="H60" s="3">
        <f ca="1">IFERROR(__xludf.DUMMYFUNCTION("""COMPUTED_VALUE"""),7)</f>
        <v>7</v>
      </c>
      <c r="I60" s="5">
        <f ca="1">IFERROR(__xludf.DUMMYFUNCTION("""COMPUTED_VALUE"""),1000)</f>
        <v>1000</v>
      </c>
      <c r="J60" s="5">
        <f ca="1">IFERROR(__xludf.DUMMYFUNCTION("""COMPUTED_VALUE"""),300)</f>
        <v>300</v>
      </c>
      <c r="K60" s="3"/>
      <c r="L60" s="3" t="str">
        <f ca="1">IFERROR(__xludf.DUMMYFUNCTION("""COMPUTED_VALUE"""),"Cost per period")</f>
        <v>Cost per period</v>
      </c>
      <c r="M60" s="3"/>
      <c r="N60" s="3"/>
      <c r="O60" s="3"/>
      <c r="P60" s="3"/>
      <c r="Q60" s="3"/>
      <c r="R60" s="3"/>
      <c r="S60" s="3" t="str">
        <f ca="1">IFERROR(__xludf.DUMMYFUNCTION("""COMPUTED_VALUE"""),"100")</f>
        <v>100</v>
      </c>
      <c r="T60" s="3"/>
      <c r="U60" s="3" t="str">
        <f ca="1">IFERROR(__xludf.DUMMYFUNCTION("""COMPUTED_VALUE"""),"audio")</f>
        <v>audio</v>
      </c>
      <c r="V60" s="3"/>
      <c r="W60" s="4" t="str">
        <f ca="1">IFERROR(__xludf.DUMMYFUNCTION("""COMPUTED_VALUE"""),"https://www.activegroup.cz/reklama")</f>
        <v>https://www.activegroup.cz/reklama</v>
      </c>
      <c r="X60" s="3"/>
      <c r="Y60" s="3"/>
      <c r="Z60" s="3" t="str">
        <f ca="1">IFERROR(__xludf.DUMMYFUNCTION("""COMPUTED_VALUE"""),"monika.cerna@cncenter.cz")</f>
        <v>monika.cerna@cncenter.cz</v>
      </c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 t="str">
        <f ca="1">IFERROR(__xludf.DUMMYFUNCTION("""COMPUTED_VALUE"""),"cross-device")</f>
        <v>cross-device</v>
      </c>
      <c r="AO60" s="3"/>
      <c r="AP60" s="3"/>
      <c r="AQ60" s="3"/>
      <c r="AR60" s="3"/>
      <c r="AS60" s="3"/>
      <c r="AT60" s="3"/>
      <c r="AU60" s="3" t="str">
        <f ca="1">IFERROR(__xludf.DUMMYFUNCTION("""COMPUTED_VALUE"""),"premium audio Pack (5-30"")")</f>
        <v>premium audio Pack (5-30")</v>
      </c>
    </row>
    <row r="61" spans="1:47" x14ac:dyDescent="0.3">
      <c r="A61" s="3">
        <f ca="1"/>
        <v>2346826</v>
      </c>
      <c r="B61" s="3" t="str">
        <f ca="1"/>
        <v>CZECH NEWS CENTER a. s.</v>
      </c>
      <c r="C61" s="3" t="str">
        <f ca="1">IFERROR(__xludf.DUMMYFUNCTION("""COMPUTED_VALUE"""),"Active Radio")</f>
        <v>Active Radio</v>
      </c>
      <c r="D61" s="3" t="str">
        <f ca="1">IFERROR(__xludf.DUMMYFUNCTION("""COMPUTED_VALUE"""),"https://evropa2.cz, https://frekvence1.cz")</f>
        <v>https://evropa2.cz, https://frekvence1.cz</v>
      </c>
      <c r="E61" s="3" t="str">
        <f ca="1">IFERROR(__xludf.DUMMYFUNCTION("""COMPUTED_VALUE"""),"celý web")</f>
        <v>celý web</v>
      </c>
      <c r="F61" s="3" t="str">
        <f ca="1">IFERROR(__xludf.DUMMYFUNCTION("""COMPUTED_VALUE"""),"https://evropa2.cz, https://frekvence1.cz")</f>
        <v>https://evropa2.cz, https://frekvence1.cz</v>
      </c>
      <c r="G61" s="3" t="str">
        <f ca="1">IFERROR(__xludf.DUMMYFUNCTION("""COMPUTED_VALUE"""),"SoMe Soutěž Social network Evropa 2 low season")</f>
        <v>SoMe Soutěž Social network Evropa 2 low season</v>
      </c>
      <c r="H61" s="3">
        <f ca="1">IFERROR(__xludf.DUMMYFUNCTION("""COMPUTED_VALUE"""),1)</f>
        <v>1</v>
      </c>
      <c r="I61" s="5">
        <f ca="1">IFERROR(__xludf.DUMMYFUNCTION("""COMPUTED_VALUE"""),1)</f>
        <v>1</v>
      </c>
      <c r="J61" s="5">
        <f ca="1">IFERROR(__xludf.DUMMYFUNCTION("""COMPUTED_VALUE"""),225000)</f>
        <v>225000</v>
      </c>
      <c r="K61" s="3"/>
      <c r="L61" s="3" t="str">
        <f ca="1">IFERROR(__xludf.DUMMYFUNCTION("""COMPUTED_VALUE"""),"Cost per instance")</f>
        <v>Cost per instance</v>
      </c>
      <c r="M61" s="3"/>
      <c r="N61" s="3"/>
      <c r="O61" s="3"/>
      <c r="P61" s="3"/>
      <c r="Q61" s="3"/>
      <c r="R61" s="3"/>
      <c r="S61" s="3" t="str">
        <f ca="1">IFERROR(__xludf.DUMMYFUNCTION("""COMPUTED_VALUE"""),"100")</f>
        <v>100</v>
      </c>
      <c r="T61" s="3"/>
      <c r="U61" s="3" t="str">
        <f ca="1">IFERROR(__xludf.DUMMYFUNCTION("""COMPUTED_VALUE"""),"audio")</f>
        <v>audio</v>
      </c>
      <c r="V61" s="3"/>
      <c r="W61" s="4" t="str">
        <f ca="1">IFERROR(__xludf.DUMMYFUNCTION("""COMPUTED_VALUE"""),"https://www.activegroup.cz/reklama")</f>
        <v>https://www.activegroup.cz/reklama</v>
      </c>
      <c r="X61" s="3"/>
      <c r="Y61" s="3"/>
      <c r="Z61" s="3" t="str">
        <f ca="1">IFERROR(__xludf.DUMMYFUNCTION("""COMPUTED_VALUE"""),"monika.cerna@cncenter.cz")</f>
        <v>monika.cerna@cncenter.cz</v>
      </c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 t="str">
        <f ca="1">IFERROR(__xludf.DUMMYFUNCTION("""COMPUTED_VALUE"""),"cross-device")</f>
        <v>cross-device</v>
      </c>
      <c r="AO61" s="3"/>
      <c r="AP61" s="3"/>
      <c r="AQ61" s="3"/>
      <c r="AR61" s="3"/>
      <c r="AS61" s="3"/>
      <c r="AT61" s="3"/>
      <c r="AU61" s="3" t="str">
        <f ca="1">IFERROR(__xludf.DUMMYFUNCTION("""COMPUTED_VALUE"""),"SoMe Soutěž Social network Evropa 2")</f>
        <v>SoMe Soutěž Social network Evropa 2</v>
      </c>
    </row>
    <row r="62" spans="1:47" x14ac:dyDescent="0.3">
      <c r="A62" s="3">
        <f ca="1"/>
        <v>2346826</v>
      </c>
      <c r="B62" s="3" t="str">
        <f ca="1"/>
        <v>CZECH NEWS CENTER a. s.</v>
      </c>
      <c r="C62" s="3" t="str">
        <f ca="1">IFERROR(__xludf.DUMMYFUNCTION("""COMPUTED_VALUE"""),"Active Radio")</f>
        <v>Active Radio</v>
      </c>
      <c r="D62" s="3" t="str">
        <f ca="1">IFERROR(__xludf.DUMMYFUNCTION("""COMPUTED_VALUE"""),"https://evropa2.cz, https://frekvence1.cz")</f>
        <v>https://evropa2.cz, https://frekvence1.cz</v>
      </c>
      <c r="E62" s="3" t="str">
        <f ca="1">IFERROR(__xludf.DUMMYFUNCTION("""COMPUTED_VALUE"""),"celý web")</f>
        <v>celý web</v>
      </c>
      <c r="F62" s="3" t="str">
        <f ca="1">IFERROR(__xludf.DUMMYFUNCTION("""COMPUTED_VALUE"""),"https://evropa2.cz, https://frekvence1.cz")</f>
        <v>https://evropa2.cz, https://frekvence1.cz</v>
      </c>
      <c r="G62" s="3" t="str">
        <f ca="1">IFERROR(__xludf.DUMMYFUNCTION("""COMPUTED_VALUE"""),"SoMe Soutěž Social network Frekvence 1 low season")</f>
        <v>SoMe Soutěž Social network Frekvence 1 low season</v>
      </c>
      <c r="H62" s="3">
        <f ca="1">IFERROR(__xludf.DUMMYFUNCTION("""COMPUTED_VALUE"""),1)</f>
        <v>1</v>
      </c>
      <c r="I62" s="5">
        <f ca="1">IFERROR(__xludf.DUMMYFUNCTION("""COMPUTED_VALUE"""),1)</f>
        <v>1</v>
      </c>
      <c r="J62" s="5">
        <f ca="1">IFERROR(__xludf.DUMMYFUNCTION("""COMPUTED_VALUE"""),225000)</f>
        <v>225000</v>
      </c>
      <c r="K62" s="3"/>
      <c r="L62" s="3" t="str">
        <f ca="1">IFERROR(__xludf.DUMMYFUNCTION("""COMPUTED_VALUE"""),"Cost per instance")</f>
        <v>Cost per instance</v>
      </c>
      <c r="M62" s="3"/>
      <c r="N62" s="3"/>
      <c r="O62" s="3"/>
      <c r="P62" s="3"/>
      <c r="Q62" s="3"/>
      <c r="R62" s="3"/>
      <c r="S62" s="3" t="str">
        <f ca="1">IFERROR(__xludf.DUMMYFUNCTION("""COMPUTED_VALUE"""),"100")</f>
        <v>100</v>
      </c>
      <c r="T62" s="3"/>
      <c r="U62" s="3" t="str">
        <f ca="1">IFERROR(__xludf.DUMMYFUNCTION("""COMPUTED_VALUE"""),"audio")</f>
        <v>audio</v>
      </c>
      <c r="V62" s="3"/>
      <c r="W62" s="4" t="str">
        <f ca="1">IFERROR(__xludf.DUMMYFUNCTION("""COMPUTED_VALUE"""),"https://www.activegroup.cz/reklama")</f>
        <v>https://www.activegroup.cz/reklama</v>
      </c>
      <c r="X62" s="3"/>
      <c r="Y62" s="3"/>
      <c r="Z62" s="3" t="str">
        <f ca="1">IFERROR(__xludf.DUMMYFUNCTION("""COMPUTED_VALUE"""),"monika.cerna@cncenter.cz")</f>
        <v>monika.cerna@cncenter.cz</v>
      </c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 t="str">
        <f ca="1">IFERROR(__xludf.DUMMYFUNCTION("""COMPUTED_VALUE"""),"cross-device")</f>
        <v>cross-device</v>
      </c>
      <c r="AO62" s="3"/>
      <c r="AP62" s="3"/>
      <c r="AQ62" s="3"/>
      <c r="AR62" s="3"/>
      <c r="AS62" s="3"/>
      <c r="AT62" s="3"/>
      <c r="AU62" s="3" t="str">
        <f ca="1">IFERROR(__xludf.DUMMYFUNCTION("""COMPUTED_VALUE"""),"SoMe Soutěž Social network Frekvence 1")</f>
        <v>SoMe Soutěž Social network Frekvence 1</v>
      </c>
    </row>
    <row r="63" spans="1:47" x14ac:dyDescent="0.3">
      <c r="A63" s="3">
        <f ca="1"/>
        <v>2346826</v>
      </c>
      <c r="B63" s="3" t="str">
        <f ca="1"/>
        <v>CZECH NEWS CENTER a. s.</v>
      </c>
      <c r="C63" s="3" t="str">
        <f ca="1">IFERROR(__xludf.DUMMYFUNCTION("""COMPUTED_VALUE"""),"Ahaonline")</f>
        <v>Ahaonline</v>
      </c>
      <c r="D63" s="4" t="str">
        <f ca="1">IFERROR(__xludf.DUMMYFUNCTION("""COMPUTED_VALUE"""),"https://ahaonline.cz")</f>
        <v>https://ahaonline.cz</v>
      </c>
      <c r="E63" s="3" t="str">
        <f ca="1">IFERROR(__xludf.DUMMYFUNCTION("""COMPUTED_VALUE"""),"celý web")</f>
        <v>celý web</v>
      </c>
      <c r="F63" s="4" t="str">
        <f ca="1">IFERROR(__xludf.DUMMYFUNCTION("""COMPUTED_VALUE"""),"https://ahaonline.cz")</f>
        <v>https://ahaonline.cz</v>
      </c>
      <c r="G63" s="3" t="str">
        <f ca="1">IFERROR(__xludf.DUMMYFUNCTION("""COMPUTED_VALUE"""),"Advertorial low season")</f>
        <v>Advertorial low season</v>
      </c>
      <c r="H63" s="3">
        <f ca="1">IFERROR(__xludf.DUMMYFUNCTION("""COMPUTED_VALUE"""),1)</f>
        <v>1</v>
      </c>
      <c r="I63" s="5">
        <f ca="1">IFERROR(__xludf.DUMMYFUNCTION("""COMPUTED_VALUE"""),1)</f>
        <v>1</v>
      </c>
      <c r="J63" s="5">
        <f ca="1">IFERROR(__xludf.DUMMYFUNCTION("""COMPUTED_VALUE"""),90000)</f>
        <v>90000</v>
      </c>
      <c r="K63" s="3"/>
      <c r="L63" s="3" t="str">
        <f ca="1">IFERROR(__xludf.DUMMYFUNCTION("""COMPUTED_VALUE"""),"Cost per instance")</f>
        <v>Cost per instance</v>
      </c>
      <c r="M63" s="3"/>
      <c r="N63" s="3"/>
      <c r="O63" s="3"/>
      <c r="P63" s="3"/>
      <c r="Q63" s="3"/>
      <c r="R63" s="3"/>
      <c r="S63" s="3" t="str">
        <f ca="1">IFERROR(__xludf.DUMMYFUNCTION("""COMPUTED_VALUE"""),"100")</f>
        <v>100</v>
      </c>
      <c r="T63" s="3"/>
      <c r="U63" s="3" t="str">
        <f ca="1">IFERROR(__xludf.DUMMYFUNCTION("""COMPUTED_VALUE"""),"pr článek")</f>
        <v>pr článek</v>
      </c>
      <c r="V63" s="3"/>
      <c r="W63" s="3"/>
      <c r="X63" s="3"/>
      <c r="Y63" s="3"/>
      <c r="Z63" s="3" t="str">
        <f ca="1">IFERROR(__xludf.DUMMYFUNCTION("""COMPUTED_VALUE"""),"podklady@cncenter.cz")</f>
        <v>podklady@cncenter.cz</v>
      </c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 t="str">
        <f ca="1">IFERROR(__xludf.DUMMYFUNCTION("""COMPUTED_VALUE"""),"cross-device")</f>
        <v>cross-device</v>
      </c>
      <c r="AO63" s="3"/>
      <c r="AP63" s="3"/>
      <c r="AQ63" s="3"/>
      <c r="AR63" s="3"/>
      <c r="AS63" s="3"/>
      <c r="AT63" s="3"/>
      <c r="AU63" s="3" t="str">
        <f ca="1">IFERROR(__xludf.DUMMYFUNCTION("""COMPUTED_VALUE"""),"Advertorial")</f>
        <v>Advertorial</v>
      </c>
    </row>
    <row r="64" spans="1:47" x14ac:dyDescent="0.3">
      <c r="A64" s="3">
        <f ca="1"/>
        <v>2346826</v>
      </c>
      <c r="B64" s="3" t="str">
        <f ca="1"/>
        <v>CZECH NEWS CENTER a. s.</v>
      </c>
      <c r="C64" s="3" t="str">
        <f ca="1">IFERROR(__xludf.DUMMYFUNCTION("""COMPUTED_VALUE"""),"Ahaonline")</f>
        <v>Ahaonline</v>
      </c>
      <c r="D64" s="4" t="str">
        <f ca="1">IFERROR(__xludf.DUMMYFUNCTION("""COMPUTED_VALUE"""),"https://ahaonline.cz")</f>
        <v>https://ahaonline.cz</v>
      </c>
      <c r="E64" s="3" t="str">
        <f ca="1">IFERROR(__xludf.DUMMYFUNCTION("""COMPUTED_VALUE"""),"celý web")</f>
        <v>celý web</v>
      </c>
      <c r="F64" s="4" t="str">
        <f ca="1">IFERROR(__xludf.DUMMYFUNCTION("""COMPUTED_VALUE"""),"https://ahaonline.cz")</f>
        <v>https://ahaonline.cz</v>
      </c>
      <c r="G64" s="3" t="str">
        <f ca="1">IFERROR(__xludf.DUMMYFUNCTION("""COMPUTED_VALUE"""),"billboard bottom low season")</f>
        <v>billboard bottom low season</v>
      </c>
      <c r="H64" s="3">
        <f ca="1">IFERROR(__xludf.DUMMYFUNCTION("""COMPUTED_VALUE"""),7)</f>
        <v>7</v>
      </c>
      <c r="I64" s="5">
        <f ca="1">IFERROR(__xludf.DUMMYFUNCTION("""COMPUTED_VALUE"""),1000)</f>
        <v>1000</v>
      </c>
      <c r="J64" s="5">
        <f ca="1">IFERROR(__xludf.DUMMYFUNCTION("""COMPUTED_VALUE"""),240)</f>
        <v>240</v>
      </c>
      <c r="K64" s="3"/>
      <c r="L64" s="3" t="str">
        <f ca="1">IFERROR(__xludf.DUMMYFUNCTION("""COMPUTED_VALUE"""),"Cost per period")</f>
        <v>Cost per period</v>
      </c>
      <c r="M64" s="3"/>
      <c r="N64" s="3"/>
      <c r="O64" s="3" t="str">
        <f ca="1">IFERROR(__xludf.DUMMYFUNCTION("""COMPUTED_VALUE"""),"970")</f>
        <v>970</v>
      </c>
      <c r="P64" s="3" t="str">
        <f ca="1">IFERROR(__xludf.DUMMYFUNCTION("""COMPUTED_VALUE"""),"250")</f>
        <v>250</v>
      </c>
      <c r="Q64" s="3" t="str">
        <f ca="1">IFERROR(__xludf.DUMMYFUNCTION("""COMPUTED_VALUE"""),"970x250")</f>
        <v>970x250</v>
      </c>
      <c r="R64" s="3"/>
      <c r="S64" s="3" t="str">
        <f ca="1">IFERROR(__xludf.DUMMYFUNCTION("""COMPUTED_VALUE"""),"100 (200 - HTML5)")</f>
        <v>100 (200 - HTML5)</v>
      </c>
      <c r="T64" s="3"/>
      <c r="U64" s="3" t="str">
        <f ca="1">IFERROR(__xludf.DUMMYFUNCTION("""COMPUTED_VALUE"""),"banner standard")</f>
        <v>banner standard</v>
      </c>
      <c r="V64" s="3"/>
      <c r="W64" s="4" t="str">
        <f ca="1">IFERROR(__xludf.DUMMYFUNCTION("""COMPUTED_VALUE"""),"https://reklama.cncenter.cz/Online/billboard-bottom")</f>
        <v>https://reklama.cncenter.cz/Online/billboard-bottom</v>
      </c>
      <c r="X64" s="3"/>
      <c r="Y64" s="3"/>
      <c r="Z64" s="3" t="str">
        <f ca="1">IFERROR(__xludf.DUMMYFUNCTION("""COMPUTED_VALUE"""),"podklady@cncenter.cz")</f>
        <v>podklady@cncenter.cz</v>
      </c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 t="str">
        <f ca="1">IFERROR(__xludf.DUMMYFUNCTION("""COMPUTED_VALUE"""),"desktop")</f>
        <v>desktop</v>
      </c>
      <c r="AO64" s="3"/>
      <c r="AP64" s="3"/>
      <c r="AQ64" s="3"/>
      <c r="AR64" s="3"/>
      <c r="AS64" s="3"/>
      <c r="AT64" s="3"/>
      <c r="AU64" s="3" t="str">
        <f ca="1">IFERROR(__xludf.DUMMYFUNCTION("""COMPUTED_VALUE"""),"billboard bottom")</f>
        <v>billboard bottom</v>
      </c>
    </row>
    <row r="65" spans="1:47" x14ac:dyDescent="0.3">
      <c r="A65" s="3">
        <f ca="1"/>
        <v>2346826</v>
      </c>
      <c r="B65" s="3" t="str">
        <f ca="1"/>
        <v>CZECH NEWS CENTER a. s.</v>
      </c>
      <c r="C65" s="3" t="str">
        <f ca="1">IFERROR(__xludf.DUMMYFUNCTION("""COMPUTED_VALUE"""),"Ahaonline")</f>
        <v>Ahaonline</v>
      </c>
      <c r="D65" s="4" t="str">
        <f ca="1">IFERROR(__xludf.DUMMYFUNCTION("""COMPUTED_VALUE"""),"https://ahaonline.cz")</f>
        <v>https://ahaonline.cz</v>
      </c>
      <c r="E65" s="3" t="str">
        <f ca="1">IFERROR(__xludf.DUMMYFUNCTION("""COMPUTED_VALUE"""),"celý web")</f>
        <v>celý web</v>
      </c>
      <c r="F65" s="4" t="str">
        <f ca="1">IFERROR(__xludf.DUMMYFUNCTION("""COMPUTED_VALUE"""),"https://ahaonline.cz")</f>
        <v>https://ahaonline.cz</v>
      </c>
      <c r="G65" s="3" t="str">
        <f ca="1">IFERROR(__xludf.DUMMYFUNCTION("""COMPUTED_VALUE"""),"branding cross-device low season")</f>
        <v>branding cross-device low season</v>
      </c>
      <c r="H65" s="3">
        <f ca="1">IFERROR(__xludf.DUMMYFUNCTION("""COMPUTED_VALUE"""),7)</f>
        <v>7</v>
      </c>
      <c r="I65" s="5">
        <f ca="1">IFERROR(__xludf.DUMMYFUNCTION("""COMPUTED_VALUE"""),1000)</f>
        <v>1000</v>
      </c>
      <c r="J65" s="5">
        <f ca="1">IFERROR(__xludf.DUMMYFUNCTION("""COMPUTED_VALUE"""),300)</f>
        <v>300</v>
      </c>
      <c r="K65" s="3"/>
      <c r="L65" s="3" t="str">
        <f ca="1">IFERROR(__xludf.DUMMYFUNCTION("""COMPUTED_VALUE"""),"Cost per period")</f>
        <v>Cost per period</v>
      </c>
      <c r="M65" s="3"/>
      <c r="N65" s="3"/>
      <c r="O65" s="3" t="str">
        <f ca="1">IFERROR(__xludf.DUMMYFUNCTION("""COMPUTED_VALUE"""),"2000")</f>
        <v>2000</v>
      </c>
      <c r="P65" s="3" t="str">
        <f ca="1">IFERROR(__xludf.DUMMYFUNCTION("""COMPUTED_VALUE"""),"1400")</f>
        <v>1400</v>
      </c>
      <c r="Q65" s="3" t="str">
        <f ca="1">IFERROR(__xludf.DUMMYFUNCTION("""COMPUTED_VALUE"""),"2000x1400 + 600x1080")</f>
        <v>2000x1400 + 600x1080</v>
      </c>
      <c r="R65" s="3"/>
      <c r="S65" s="3" t="str">
        <f ca="1">IFERROR(__xludf.DUMMYFUNCTION("""COMPUTED_VALUE"""),"500 (600 - HTLM5)")</f>
        <v>500 (600 - HTLM5)</v>
      </c>
      <c r="T65" s="3"/>
      <c r="U65" s="3" t="str">
        <f ca="1">IFERROR(__xludf.DUMMYFUNCTION("""COMPUTED_VALUE"""),"banner standard")</f>
        <v>banner standard</v>
      </c>
      <c r="V65" s="3"/>
      <c r="W65" s="4" t="str">
        <f ca="1">IFERROR(__xludf.DUMMYFUNCTION("""COMPUTED_VALUE"""),"https://reklama.cncenter.cz/Online/branding-cross-device")</f>
        <v>https://reklama.cncenter.cz/Online/branding-cross-device</v>
      </c>
      <c r="X65" s="3"/>
      <c r="Y65" s="3"/>
      <c r="Z65" s="3" t="str">
        <f ca="1">IFERROR(__xludf.DUMMYFUNCTION("""COMPUTED_VALUE"""),"podklady@cncenter.cz")</f>
        <v>podklady@cncenter.cz</v>
      </c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 t="str">
        <f ca="1">IFERROR(__xludf.DUMMYFUNCTION("""COMPUTED_VALUE"""),"cross-device")</f>
        <v>cross-device</v>
      </c>
      <c r="AO65" s="3"/>
      <c r="AP65" s="3"/>
      <c r="AQ65" s="3"/>
      <c r="AR65" s="3"/>
      <c r="AS65" s="3"/>
      <c r="AT65" s="3"/>
      <c r="AU65" s="3" t="str">
        <f ca="1">IFERROR(__xludf.DUMMYFUNCTION("""COMPUTED_VALUE"""),"branding cross-device")</f>
        <v>branding cross-device</v>
      </c>
    </row>
    <row r="66" spans="1:47" x14ac:dyDescent="0.3">
      <c r="A66" s="3">
        <f ca="1"/>
        <v>2346826</v>
      </c>
      <c r="B66" s="3" t="str">
        <f ca="1"/>
        <v>CZECH NEWS CENTER a. s.</v>
      </c>
      <c r="C66" s="3" t="str">
        <f ca="1">IFERROR(__xludf.DUMMYFUNCTION("""COMPUTED_VALUE"""),"Ahaonline")</f>
        <v>Ahaonline</v>
      </c>
      <c r="D66" s="4" t="str">
        <f ca="1">IFERROR(__xludf.DUMMYFUNCTION("""COMPUTED_VALUE"""),"https://ahaonline.cz")</f>
        <v>https://ahaonline.cz</v>
      </c>
      <c r="E66" s="3" t="str">
        <f ca="1">IFERROR(__xludf.DUMMYFUNCTION("""COMPUTED_VALUE"""),"celý web")</f>
        <v>celý web</v>
      </c>
      <c r="F66" s="4" t="str">
        <f ca="1">IFERROR(__xludf.DUMMYFUNCTION("""COMPUTED_VALUE"""),"https://ahaonline.cz")</f>
        <v>https://ahaonline.cz</v>
      </c>
      <c r="G66" s="3" t="str">
        <f ca="1">IFERROR(__xludf.DUMMYFUNCTION("""COMPUTED_VALUE"""),"branding low season")</f>
        <v>branding low season</v>
      </c>
      <c r="H66" s="3">
        <f ca="1">IFERROR(__xludf.DUMMYFUNCTION("""COMPUTED_VALUE"""),7)</f>
        <v>7</v>
      </c>
      <c r="I66" s="5">
        <f ca="1">IFERROR(__xludf.DUMMYFUNCTION("""COMPUTED_VALUE"""),1000)</f>
        <v>1000</v>
      </c>
      <c r="J66" s="5">
        <f ca="1">IFERROR(__xludf.DUMMYFUNCTION("""COMPUTED_VALUE"""),490)</f>
        <v>490</v>
      </c>
      <c r="K66" s="3"/>
      <c r="L66" s="3" t="str">
        <f ca="1">IFERROR(__xludf.DUMMYFUNCTION("""COMPUTED_VALUE"""),"Cost per period")</f>
        <v>Cost per period</v>
      </c>
      <c r="M66" s="3"/>
      <c r="N66" s="3"/>
      <c r="O66" s="3" t="str">
        <f ca="1">IFERROR(__xludf.DUMMYFUNCTION("""COMPUTED_VALUE"""),"2000")</f>
        <v>2000</v>
      </c>
      <c r="P66" s="3" t="str">
        <f ca="1">IFERROR(__xludf.DUMMYFUNCTION("""COMPUTED_VALUE"""),"1400")</f>
        <v>1400</v>
      </c>
      <c r="Q66" s="3" t="str">
        <f ca="1">IFERROR(__xludf.DUMMYFUNCTION("""COMPUTED_VALUE"""),"2000x1400")</f>
        <v>2000x1400</v>
      </c>
      <c r="R66" s="3"/>
      <c r="S66" s="3" t="str">
        <f ca="1">IFERROR(__xludf.DUMMYFUNCTION("""COMPUTED_VALUE"""),"500 + 200 (600+200 HTML5)")</f>
        <v>500 + 200 (600+200 HTML5)</v>
      </c>
      <c r="T66" s="3"/>
      <c r="U66" s="3" t="str">
        <f ca="1">IFERROR(__xludf.DUMMYFUNCTION("""COMPUTED_VALUE"""),"banner standard")</f>
        <v>banner standard</v>
      </c>
      <c r="V66" s="3"/>
      <c r="W66" s="4" t="str">
        <f ca="1">IFERROR(__xludf.DUMMYFUNCTION("""COMPUTED_VALUE"""),"https://reklama.cncenter.cz/Online/branding")</f>
        <v>https://reklama.cncenter.cz/Online/branding</v>
      </c>
      <c r="X66" s="3"/>
      <c r="Y66" s="3"/>
      <c r="Z66" s="3" t="str">
        <f ca="1">IFERROR(__xludf.DUMMYFUNCTION("""COMPUTED_VALUE"""),"podklady@cncenter.cz")</f>
        <v>podklady@cncenter.cz</v>
      </c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 t="str">
        <f ca="1">IFERROR(__xludf.DUMMYFUNCTION("""COMPUTED_VALUE"""),"desktop")</f>
        <v>desktop</v>
      </c>
      <c r="AO66" s="3"/>
      <c r="AP66" s="3"/>
      <c r="AQ66" s="3"/>
      <c r="AR66" s="3"/>
      <c r="AS66" s="3"/>
      <c r="AT66" s="3"/>
      <c r="AU66" s="3" t="str">
        <f ca="1">IFERROR(__xludf.DUMMYFUNCTION("""COMPUTED_VALUE"""),"branding")</f>
        <v>branding</v>
      </c>
    </row>
    <row r="67" spans="1:47" x14ac:dyDescent="0.3">
      <c r="A67" s="3">
        <f ca="1"/>
        <v>2346826</v>
      </c>
      <c r="B67" s="3" t="str">
        <f ca="1"/>
        <v>CZECH NEWS CENTER a. s.</v>
      </c>
      <c r="C67" s="3" t="str">
        <f ca="1">IFERROR(__xludf.DUMMYFUNCTION("""COMPUTED_VALUE"""),"Ahaonline")</f>
        <v>Ahaonline</v>
      </c>
      <c r="D67" s="4" t="str">
        <f ca="1">IFERROR(__xludf.DUMMYFUNCTION("""COMPUTED_VALUE"""),"https://ahaonline.cz")</f>
        <v>https://ahaonline.cz</v>
      </c>
      <c r="E67" s="3" t="str">
        <f ca="1">IFERROR(__xludf.DUMMYFUNCTION("""COMPUTED_VALUE"""),"celý web")</f>
        <v>celý web</v>
      </c>
      <c r="F67" s="4" t="str">
        <f ca="1">IFERROR(__xludf.DUMMYFUNCTION("""COMPUTED_VALUE"""),"https://ahaonline.cz")</f>
        <v>https://ahaonline.cz</v>
      </c>
      <c r="G67" s="3" t="str">
        <f ca="1">IFERROR(__xludf.DUMMYFUNCTION("""COMPUTED_VALUE"""),"cílený billboard bottom low season")</f>
        <v>cílený billboard bottom low season</v>
      </c>
      <c r="H67" s="3">
        <f ca="1">IFERROR(__xludf.DUMMYFUNCTION("""COMPUTED_VALUE"""),7)</f>
        <v>7</v>
      </c>
      <c r="I67" s="5">
        <f ca="1">IFERROR(__xludf.DUMMYFUNCTION("""COMPUTED_VALUE"""),1000)</f>
        <v>1000</v>
      </c>
      <c r="J67" s="5">
        <f ca="1">IFERROR(__xludf.DUMMYFUNCTION("""COMPUTED_VALUE"""),288)</f>
        <v>288</v>
      </c>
      <c r="K67" s="3"/>
      <c r="L67" s="3" t="str">
        <f ca="1">IFERROR(__xludf.DUMMYFUNCTION("""COMPUTED_VALUE"""),"Cost per period")</f>
        <v>Cost per period</v>
      </c>
      <c r="M67" s="3"/>
      <c r="N67" s="3"/>
      <c r="O67" s="3" t="str">
        <f ca="1">IFERROR(__xludf.DUMMYFUNCTION("""COMPUTED_VALUE"""),"970")</f>
        <v>970</v>
      </c>
      <c r="P67" s="3" t="str">
        <f ca="1">IFERROR(__xludf.DUMMYFUNCTION("""COMPUTED_VALUE"""),"250")</f>
        <v>250</v>
      </c>
      <c r="Q67" s="3" t="str">
        <f ca="1">IFERROR(__xludf.DUMMYFUNCTION("""COMPUTED_VALUE"""),"970x250")</f>
        <v>970x250</v>
      </c>
      <c r="R67" s="3"/>
      <c r="S67" s="3" t="str">
        <f ca="1">IFERROR(__xludf.DUMMYFUNCTION("""COMPUTED_VALUE"""),"100 (200 - HTML5)")</f>
        <v>100 (200 - HTML5)</v>
      </c>
      <c r="T67" s="3"/>
      <c r="U67" s="3" t="str">
        <f ca="1">IFERROR(__xludf.DUMMYFUNCTION("""COMPUTED_VALUE"""),"banner standard")</f>
        <v>banner standard</v>
      </c>
      <c r="V67" s="3"/>
      <c r="W67" s="4" t="str">
        <f ca="1">IFERROR(__xludf.DUMMYFUNCTION("""COMPUTED_VALUE"""),"https://reklama.cncenter.cz/Online/billboard-bottom")</f>
        <v>https://reklama.cncenter.cz/Online/billboard-bottom</v>
      </c>
      <c r="X67" s="3"/>
      <c r="Y67" s="3"/>
      <c r="Z67" s="3" t="str">
        <f ca="1">IFERROR(__xludf.DUMMYFUNCTION("""COMPUTED_VALUE"""),"podklady@cncenter.cz")</f>
        <v>podklady@cncenter.cz</v>
      </c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 t="str">
        <f ca="1">IFERROR(__xludf.DUMMYFUNCTION("""COMPUTED_VALUE"""),"desktop")</f>
        <v>desktop</v>
      </c>
      <c r="AO67" s="3"/>
      <c r="AP67" s="3"/>
      <c r="AQ67" s="3"/>
      <c r="AR67" s="3"/>
      <c r="AS67" s="3"/>
      <c r="AT67" s="3"/>
      <c r="AU67" s="3" t="str">
        <f ca="1">IFERROR(__xludf.DUMMYFUNCTION("""COMPUTED_VALUE"""),"cílený billboard bottom")</f>
        <v>cílený billboard bottom</v>
      </c>
    </row>
    <row r="68" spans="1:47" x14ac:dyDescent="0.3">
      <c r="A68" s="3">
        <f ca="1"/>
        <v>2346826</v>
      </c>
      <c r="B68" s="3" t="str">
        <f ca="1"/>
        <v>CZECH NEWS CENTER a. s.</v>
      </c>
      <c r="C68" s="3" t="str">
        <f ca="1">IFERROR(__xludf.DUMMYFUNCTION("""COMPUTED_VALUE"""),"Ahaonline")</f>
        <v>Ahaonline</v>
      </c>
      <c r="D68" s="4" t="str">
        <f ca="1">IFERROR(__xludf.DUMMYFUNCTION("""COMPUTED_VALUE"""),"https://ahaonline.cz")</f>
        <v>https://ahaonline.cz</v>
      </c>
      <c r="E68" s="3" t="str">
        <f ca="1">IFERROR(__xludf.DUMMYFUNCTION("""COMPUTED_VALUE"""),"celý web")</f>
        <v>celý web</v>
      </c>
      <c r="F68" s="4" t="str">
        <f ca="1">IFERROR(__xludf.DUMMYFUNCTION("""COMPUTED_VALUE"""),"https://ahaonline.cz")</f>
        <v>https://ahaonline.cz</v>
      </c>
      <c r="G68" s="3" t="str">
        <f ca="1">IFERROR(__xludf.DUMMYFUNCTION("""COMPUTED_VALUE"""),"cílený branding cross-device low season")</f>
        <v>cílený branding cross-device low season</v>
      </c>
      <c r="H68" s="3">
        <f ca="1">IFERROR(__xludf.DUMMYFUNCTION("""COMPUTED_VALUE"""),7)</f>
        <v>7</v>
      </c>
      <c r="I68" s="5">
        <f ca="1">IFERROR(__xludf.DUMMYFUNCTION("""COMPUTED_VALUE"""),1000)</f>
        <v>1000</v>
      </c>
      <c r="J68" s="5">
        <f ca="1">IFERROR(__xludf.DUMMYFUNCTION("""COMPUTED_VALUE"""),360)</f>
        <v>360</v>
      </c>
      <c r="K68" s="3"/>
      <c r="L68" s="3" t="str">
        <f ca="1">IFERROR(__xludf.DUMMYFUNCTION("""COMPUTED_VALUE"""),"Cost per period")</f>
        <v>Cost per period</v>
      </c>
      <c r="M68" s="3"/>
      <c r="N68" s="3"/>
      <c r="O68" s="3" t="str">
        <f ca="1">IFERROR(__xludf.DUMMYFUNCTION("""COMPUTED_VALUE"""),"2000")</f>
        <v>2000</v>
      </c>
      <c r="P68" s="3" t="str">
        <f ca="1">IFERROR(__xludf.DUMMYFUNCTION("""COMPUTED_VALUE"""),"1400")</f>
        <v>1400</v>
      </c>
      <c r="Q68" s="3" t="str">
        <f ca="1">IFERROR(__xludf.DUMMYFUNCTION("""COMPUTED_VALUE"""),"2000x1400 + 600x1080")</f>
        <v>2000x1400 + 600x1080</v>
      </c>
      <c r="R68" s="3"/>
      <c r="S68" s="3" t="str">
        <f ca="1">IFERROR(__xludf.DUMMYFUNCTION("""COMPUTED_VALUE"""),"500 (600 - HTLM5)")</f>
        <v>500 (600 - HTLM5)</v>
      </c>
      <c r="T68" s="3"/>
      <c r="U68" s="3" t="str">
        <f ca="1">IFERROR(__xludf.DUMMYFUNCTION("""COMPUTED_VALUE"""),"banner standard")</f>
        <v>banner standard</v>
      </c>
      <c r="V68" s="3"/>
      <c r="W68" s="4" t="str">
        <f ca="1">IFERROR(__xludf.DUMMYFUNCTION("""COMPUTED_VALUE"""),"https://reklama.cncenter.cz/Online/branding-cross-device")</f>
        <v>https://reklama.cncenter.cz/Online/branding-cross-device</v>
      </c>
      <c r="X68" s="3"/>
      <c r="Y68" s="3"/>
      <c r="Z68" s="3" t="str">
        <f ca="1">IFERROR(__xludf.DUMMYFUNCTION("""COMPUTED_VALUE"""),"podklady@cncenter.cz")</f>
        <v>podklady@cncenter.cz</v>
      </c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 t="str">
        <f ca="1">IFERROR(__xludf.DUMMYFUNCTION("""COMPUTED_VALUE"""),"cross-device")</f>
        <v>cross-device</v>
      </c>
      <c r="AO68" s="3"/>
      <c r="AP68" s="3"/>
      <c r="AQ68" s="3"/>
      <c r="AR68" s="3"/>
      <c r="AS68" s="3"/>
      <c r="AT68" s="3"/>
      <c r="AU68" s="3" t="str">
        <f ca="1">IFERROR(__xludf.DUMMYFUNCTION("""COMPUTED_VALUE"""),"cílený branding cross-device")</f>
        <v>cílený branding cross-device</v>
      </c>
    </row>
    <row r="69" spans="1:47" x14ac:dyDescent="0.3">
      <c r="A69" s="3">
        <f ca="1"/>
        <v>2346826</v>
      </c>
      <c r="B69" s="3" t="str">
        <f ca="1"/>
        <v>CZECH NEWS CENTER a. s.</v>
      </c>
      <c r="C69" s="3" t="str">
        <f ca="1">IFERROR(__xludf.DUMMYFUNCTION("""COMPUTED_VALUE"""),"Ahaonline")</f>
        <v>Ahaonline</v>
      </c>
      <c r="D69" s="4" t="str">
        <f ca="1">IFERROR(__xludf.DUMMYFUNCTION("""COMPUTED_VALUE"""),"https://ahaonline.cz")</f>
        <v>https://ahaonline.cz</v>
      </c>
      <c r="E69" s="3" t="str">
        <f ca="1">IFERROR(__xludf.DUMMYFUNCTION("""COMPUTED_VALUE"""),"celý web")</f>
        <v>celý web</v>
      </c>
      <c r="F69" s="4" t="str">
        <f ca="1">IFERROR(__xludf.DUMMYFUNCTION("""COMPUTED_VALUE"""),"https://ahaonline.cz")</f>
        <v>https://ahaonline.cz</v>
      </c>
      <c r="G69" s="3" t="str">
        <f ca="1">IFERROR(__xludf.DUMMYFUNCTION("""COMPUTED_VALUE"""),"cílený branding low season")</f>
        <v>cílený branding low season</v>
      </c>
      <c r="H69" s="3">
        <f ca="1">IFERROR(__xludf.DUMMYFUNCTION("""COMPUTED_VALUE"""),7)</f>
        <v>7</v>
      </c>
      <c r="I69" s="5">
        <f ca="1">IFERROR(__xludf.DUMMYFUNCTION("""COMPUTED_VALUE"""),1000)</f>
        <v>1000</v>
      </c>
      <c r="J69" s="5">
        <f ca="1">IFERROR(__xludf.DUMMYFUNCTION("""COMPUTED_VALUE"""),588)</f>
        <v>588</v>
      </c>
      <c r="K69" s="3"/>
      <c r="L69" s="3" t="str">
        <f ca="1">IFERROR(__xludf.DUMMYFUNCTION("""COMPUTED_VALUE"""),"Cost per period")</f>
        <v>Cost per period</v>
      </c>
      <c r="M69" s="3"/>
      <c r="N69" s="3"/>
      <c r="O69" s="3" t="str">
        <f ca="1">IFERROR(__xludf.DUMMYFUNCTION("""COMPUTED_VALUE"""),"2000")</f>
        <v>2000</v>
      </c>
      <c r="P69" s="3" t="str">
        <f ca="1">IFERROR(__xludf.DUMMYFUNCTION("""COMPUTED_VALUE"""),"1400")</f>
        <v>1400</v>
      </c>
      <c r="Q69" s="3" t="str">
        <f ca="1">IFERROR(__xludf.DUMMYFUNCTION("""COMPUTED_VALUE"""),"2000x1400")</f>
        <v>2000x1400</v>
      </c>
      <c r="R69" s="3"/>
      <c r="S69" s="3" t="str">
        <f ca="1">IFERROR(__xludf.DUMMYFUNCTION("""COMPUTED_VALUE"""),"500 + 200 (600+200 HTML5)")</f>
        <v>500 + 200 (600+200 HTML5)</v>
      </c>
      <c r="T69" s="3"/>
      <c r="U69" s="3" t="str">
        <f ca="1">IFERROR(__xludf.DUMMYFUNCTION("""COMPUTED_VALUE"""),"banner standard")</f>
        <v>banner standard</v>
      </c>
      <c r="V69" s="3"/>
      <c r="W69" s="4" t="str">
        <f ca="1">IFERROR(__xludf.DUMMYFUNCTION("""COMPUTED_VALUE"""),"https://reklama.cncenter.cz/Online/branding")</f>
        <v>https://reklama.cncenter.cz/Online/branding</v>
      </c>
      <c r="X69" s="3"/>
      <c r="Y69" s="3"/>
      <c r="Z69" s="3" t="str">
        <f ca="1">IFERROR(__xludf.DUMMYFUNCTION("""COMPUTED_VALUE"""),"podklady@cncenter.cz")</f>
        <v>podklady@cncenter.cz</v>
      </c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 t="str">
        <f ca="1">IFERROR(__xludf.DUMMYFUNCTION("""COMPUTED_VALUE"""),"desktop")</f>
        <v>desktop</v>
      </c>
      <c r="AO69" s="3"/>
      <c r="AP69" s="3"/>
      <c r="AQ69" s="3"/>
      <c r="AR69" s="3"/>
      <c r="AS69" s="3"/>
      <c r="AT69" s="3"/>
      <c r="AU69" s="3" t="str">
        <f ca="1">IFERROR(__xludf.DUMMYFUNCTION("""COMPUTED_VALUE"""),"cílený branding")</f>
        <v>cílený branding</v>
      </c>
    </row>
    <row r="70" spans="1:47" x14ac:dyDescent="0.3">
      <c r="A70" s="3">
        <f ca="1"/>
        <v>2346826</v>
      </c>
      <c r="B70" s="3" t="str">
        <f ca="1"/>
        <v>CZECH NEWS CENTER a. s.</v>
      </c>
      <c r="C70" s="3" t="str">
        <f ca="1">IFERROR(__xludf.DUMMYFUNCTION("""COMPUTED_VALUE"""),"Ahaonline")</f>
        <v>Ahaonline</v>
      </c>
      <c r="D70" s="4" t="str">
        <f ca="1">IFERROR(__xludf.DUMMYFUNCTION("""COMPUTED_VALUE"""),"https://ahaonline.cz")</f>
        <v>https://ahaonline.cz</v>
      </c>
      <c r="E70" s="3" t="str">
        <f ca="1">IFERROR(__xludf.DUMMYFUNCTION("""COMPUTED_VALUE"""),"celý web")</f>
        <v>celý web</v>
      </c>
      <c r="F70" s="4" t="str">
        <f ca="1">IFERROR(__xludf.DUMMYFUNCTION("""COMPUTED_VALUE"""),"https://ahaonline.cz")</f>
        <v>https://ahaonline.cz</v>
      </c>
      <c r="G70" s="3" t="str">
        <f ca="1">IFERROR(__xludf.DUMMYFUNCTION("""COMPUTED_VALUE"""),"cílený double skyscraper low season")</f>
        <v>cílený double skyscraper low season</v>
      </c>
      <c r="H70" s="3">
        <f ca="1">IFERROR(__xludf.DUMMYFUNCTION("""COMPUTED_VALUE"""),7)</f>
        <v>7</v>
      </c>
      <c r="I70" s="5">
        <f ca="1">IFERROR(__xludf.DUMMYFUNCTION("""COMPUTED_VALUE"""),1000)</f>
        <v>1000</v>
      </c>
      <c r="J70" s="5">
        <f ca="1">IFERROR(__xludf.DUMMYFUNCTION("""COMPUTED_VALUE"""),228)</f>
        <v>228</v>
      </c>
      <c r="K70" s="3"/>
      <c r="L70" s="3" t="str">
        <f ca="1">IFERROR(__xludf.DUMMYFUNCTION("""COMPUTED_VALUE"""),"Cost per period")</f>
        <v>Cost per period</v>
      </c>
      <c r="M70" s="3"/>
      <c r="N70" s="3"/>
      <c r="O70" s="3" t="str">
        <f ca="1">IFERROR(__xludf.DUMMYFUNCTION("""COMPUTED_VALUE"""),"300")</f>
        <v>300</v>
      </c>
      <c r="P70" s="3" t="str">
        <f ca="1">IFERROR(__xludf.DUMMYFUNCTION("""COMPUTED_VALUE"""),"600")</f>
        <v>600</v>
      </c>
      <c r="Q70" s="3" t="str">
        <f ca="1">IFERROR(__xludf.DUMMYFUNCTION("""COMPUTED_VALUE"""),"300x600")</f>
        <v>300x600</v>
      </c>
      <c r="R70" s="3"/>
      <c r="S70" s="3" t="str">
        <f ca="1">IFERROR(__xludf.DUMMYFUNCTION("""COMPUTED_VALUE"""),"100 (200 - HTML5)")</f>
        <v>100 (200 - HTML5)</v>
      </c>
      <c r="T70" s="3"/>
      <c r="U70" s="3" t="str">
        <f ca="1">IFERROR(__xludf.DUMMYFUNCTION("""COMPUTED_VALUE"""),"banner standard")</f>
        <v>banner standard</v>
      </c>
      <c r="V70" s="3"/>
      <c r="W70" s="4" t="str">
        <f ca="1">IFERROR(__xludf.DUMMYFUNCTION("""COMPUTED_VALUE"""),"https://reklama.cncenter.cz/Online/double-skyscraper")</f>
        <v>https://reklama.cncenter.cz/Online/double-skyscraper</v>
      </c>
      <c r="X70" s="3"/>
      <c r="Y70" s="3"/>
      <c r="Z70" s="3" t="str">
        <f ca="1">IFERROR(__xludf.DUMMYFUNCTION("""COMPUTED_VALUE"""),"podklady@cncenter.cz")</f>
        <v>podklady@cncenter.cz</v>
      </c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 t="str">
        <f ca="1">IFERROR(__xludf.DUMMYFUNCTION("""COMPUTED_VALUE"""),"desktop")</f>
        <v>desktop</v>
      </c>
      <c r="AO70" s="3"/>
      <c r="AP70" s="3"/>
      <c r="AQ70" s="3"/>
      <c r="AR70" s="3"/>
      <c r="AS70" s="3"/>
      <c r="AT70" s="3"/>
      <c r="AU70" s="3" t="str">
        <f ca="1">IFERROR(__xludf.DUMMYFUNCTION("""COMPUTED_VALUE"""),"cílený double skyscraper")</f>
        <v>cílený double skyscraper</v>
      </c>
    </row>
    <row r="71" spans="1:47" x14ac:dyDescent="0.3">
      <c r="A71" s="3">
        <f ca="1"/>
        <v>2346826</v>
      </c>
      <c r="B71" s="3" t="str">
        <f ca="1"/>
        <v>CZECH NEWS CENTER a. s.</v>
      </c>
      <c r="C71" s="3" t="str">
        <f ca="1">IFERROR(__xludf.DUMMYFUNCTION("""COMPUTED_VALUE"""),"Ahaonline")</f>
        <v>Ahaonline</v>
      </c>
      <c r="D71" s="4" t="str">
        <f ca="1">IFERROR(__xludf.DUMMYFUNCTION("""COMPUTED_VALUE"""),"https://ahaonline.cz")</f>
        <v>https://ahaonline.cz</v>
      </c>
      <c r="E71" s="3" t="str">
        <f ca="1">IFERROR(__xludf.DUMMYFUNCTION("""COMPUTED_VALUE"""),"celý web")</f>
        <v>celý web</v>
      </c>
      <c r="F71" s="4" t="str">
        <f ca="1">IFERROR(__xludf.DUMMYFUNCTION("""COMPUTED_VALUE"""),"https://ahaonline.cz")</f>
        <v>https://ahaonline.cz</v>
      </c>
      <c r="G71" s="3" t="str">
        <f ca="1">IFERROR(__xludf.DUMMYFUNCTION("""COMPUTED_VALUE"""),"cílený mobilní interscroller low season")</f>
        <v>cílený mobilní interscroller low season</v>
      </c>
      <c r="H71" s="3">
        <f ca="1">IFERROR(__xludf.DUMMYFUNCTION("""COMPUTED_VALUE"""),7)</f>
        <v>7</v>
      </c>
      <c r="I71" s="5">
        <f ca="1">IFERROR(__xludf.DUMMYFUNCTION("""COMPUTED_VALUE"""),1000)</f>
        <v>1000</v>
      </c>
      <c r="J71" s="5">
        <f ca="1">IFERROR(__xludf.DUMMYFUNCTION("""COMPUTED_VALUE"""),300)</f>
        <v>300</v>
      </c>
      <c r="K71" s="3"/>
      <c r="L71" s="3" t="str">
        <f ca="1">IFERROR(__xludf.DUMMYFUNCTION("""COMPUTED_VALUE"""),"Cost per period")</f>
        <v>Cost per period</v>
      </c>
      <c r="M71" s="3"/>
      <c r="N71" s="3"/>
      <c r="O71" s="3" t="str">
        <f ca="1">IFERROR(__xludf.DUMMYFUNCTION("""COMPUTED_VALUE"""),"600")</f>
        <v>600</v>
      </c>
      <c r="P71" s="3" t="str">
        <f ca="1">IFERROR(__xludf.DUMMYFUNCTION("""COMPUTED_VALUE"""),"1080")</f>
        <v>1080</v>
      </c>
      <c r="Q71" s="3" t="str">
        <f ca="1">IFERROR(__xludf.DUMMYFUNCTION("""COMPUTED_VALUE"""),"600x1080")</f>
        <v>600x1080</v>
      </c>
      <c r="R71" s="3"/>
      <c r="S71" s="3" t="str">
        <f ca="1">IFERROR(__xludf.DUMMYFUNCTION("""COMPUTED_VALUE"""),"200")</f>
        <v>200</v>
      </c>
      <c r="T71" s="3"/>
      <c r="U71" s="3" t="str">
        <f ca="1">IFERROR(__xludf.DUMMYFUNCTION("""COMPUTED_VALUE"""),"banner standard")</f>
        <v>banner standard</v>
      </c>
      <c r="V71" s="3"/>
      <c r="W71" s="4" t="str">
        <f ca="1">IFERROR(__xludf.DUMMYFUNCTION("""COMPUTED_VALUE"""),"https://reklama.cncenter.cz/Online/mobilni-interscroller")</f>
        <v>https://reklama.cncenter.cz/Online/mobilni-interscroller</v>
      </c>
      <c r="X71" s="3"/>
      <c r="Y71" s="3"/>
      <c r="Z71" s="3" t="str">
        <f ca="1">IFERROR(__xludf.DUMMYFUNCTION("""COMPUTED_VALUE"""),"podklady@cncenter.cz")</f>
        <v>podklady@cncenter.cz</v>
      </c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 t="str">
        <f ca="1">IFERROR(__xludf.DUMMYFUNCTION("""COMPUTED_VALUE"""),"mobile")</f>
        <v>mobile</v>
      </c>
      <c r="AO71" s="3"/>
      <c r="AP71" s="3"/>
      <c r="AQ71" s="3"/>
      <c r="AR71" s="3"/>
      <c r="AS71" s="3"/>
      <c r="AT71" s="3"/>
      <c r="AU71" s="3" t="str">
        <f ca="1">IFERROR(__xludf.DUMMYFUNCTION("""COMPUTED_VALUE"""),"cílený mobilní interscroller")</f>
        <v>cílený mobilní interscroller</v>
      </c>
    </row>
    <row r="72" spans="1:47" x14ac:dyDescent="0.3">
      <c r="A72" s="3">
        <f ca="1"/>
        <v>2346826</v>
      </c>
      <c r="B72" s="3" t="str">
        <f ca="1"/>
        <v>CZECH NEWS CENTER a. s.</v>
      </c>
      <c r="C72" s="3" t="str">
        <f ca="1">IFERROR(__xludf.DUMMYFUNCTION("""COMPUTED_VALUE"""),"Ahaonline")</f>
        <v>Ahaonline</v>
      </c>
      <c r="D72" s="4" t="str">
        <f ca="1">IFERROR(__xludf.DUMMYFUNCTION("""COMPUTED_VALUE"""),"https://ahaonline.cz")</f>
        <v>https://ahaonline.cz</v>
      </c>
      <c r="E72" s="3" t="str">
        <f ca="1">IFERROR(__xludf.DUMMYFUNCTION("""COMPUTED_VALUE"""),"celý web")</f>
        <v>celý web</v>
      </c>
      <c r="F72" s="4" t="str">
        <f ca="1">IFERROR(__xludf.DUMMYFUNCTION("""COMPUTED_VALUE"""),"https://ahaonline.cz")</f>
        <v>https://ahaonline.cz</v>
      </c>
      <c r="G72" s="3" t="str">
        <f ca="1">IFERROR(__xludf.DUMMYFUNCTION("""COMPUTED_VALUE"""),"cílený mobilní slide-up low season")</f>
        <v>cílený mobilní slide-up low season</v>
      </c>
      <c r="H72" s="3">
        <f ca="1">IFERROR(__xludf.DUMMYFUNCTION("""COMPUTED_VALUE"""),7)</f>
        <v>7</v>
      </c>
      <c r="I72" s="5">
        <f ca="1">IFERROR(__xludf.DUMMYFUNCTION("""COMPUTED_VALUE"""),1000)</f>
        <v>1000</v>
      </c>
      <c r="J72" s="5">
        <f ca="1">IFERROR(__xludf.DUMMYFUNCTION("""COMPUTED_VALUE"""),612)</f>
        <v>612</v>
      </c>
      <c r="K72" s="3"/>
      <c r="L72" s="3" t="str">
        <f ca="1">IFERROR(__xludf.DUMMYFUNCTION("""COMPUTED_VALUE"""),"Cost per period")</f>
        <v>Cost per period</v>
      </c>
      <c r="M72" s="3"/>
      <c r="N72" s="3"/>
      <c r="O72" s="3" t="str">
        <f ca="1">IFERROR(__xludf.DUMMYFUNCTION("""COMPUTED_VALUE"""),"300")</f>
        <v>300</v>
      </c>
      <c r="P72" s="3" t="str">
        <f ca="1">IFERROR(__xludf.DUMMYFUNCTION("""COMPUTED_VALUE"""),"120")</f>
        <v>120</v>
      </c>
      <c r="Q72" s="3" t="str">
        <f ca="1">IFERROR(__xludf.DUMMYFUNCTION("""COMPUTED_VALUE"""),"300x120")</f>
        <v>300x120</v>
      </c>
      <c r="R72" s="3"/>
      <c r="S72" s="3" t="str">
        <f ca="1">IFERROR(__xludf.DUMMYFUNCTION("""COMPUTED_VALUE"""),"100")</f>
        <v>100</v>
      </c>
      <c r="T72" s="3"/>
      <c r="U72" s="3" t="str">
        <f ca="1">IFERROR(__xludf.DUMMYFUNCTION("""COMPUTED_VALUE"""),"banner standard")</f>
        <v>banner standard</v>
      </c>
      <c r="V72" s="3"/>
      <c r="W72" s="4" t="str">
        <f ca="1">IFERROR(__xludf.DUMMYFUNCTION("""COMPUTED_VALUE"""),"https://reklama.cncenter.cz/Online/mobilni-slide-up")</f>
        <v>https://reklama.cncenter.cz/Online/mobilni-slide-up</v>
      </c>
      <c r="X72" s="3"/>
      <c r="Y72" s="3"/>
      <c r="Z72" s="3" t="str">
        <f ca="1">IFERROR(__xludf.DUMMYFUNCTION("""COMPUTED_VALUE"""),"podklady@cncenter.cz")</f>
        <v>podklady@cncenter.cz</v>
      </c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 t="str">
        <f ca="1">IFERROR(__xludf.DUMMYFUNCTION("""COMPUTED_VALUE"""),"mobile")</f>
        <v>mobile</v>
      </c>
      <c r="AO72" s="3"/>
      <c r="AP72" s="3"/>
      <c r="AQ72" s="3"/>
      <c r="AR72" s="3"/>
      <c r="AS72" s="3"/>
      <c r="AT72" s="3"/>
      <c r="AU72" s="3" t="str">
        <f ca="1">IFERROR(__xludf.DUMMYFUNCTION("""COMPUTED_VALUE"""),"cílený mobilní slide-up")</f>
        <v>cílený mobilní slide-up</v>
      </c>
    </row>
    <row r="73" spans="1:47" x14ac:dyDescent="0.3">
      <c r="A73" s="3">
        <f ca="1"/>
        <v>2346826</v>
      </c>
      <c r="B73" s="3" t="str">
        <f ca="1"/>
        <v>CZECH NEWS CENTER a. s.</v>
      </c>
      <c r="C73" s="3" t="str">
        <f ca="1">IFERROR(__xludf.DUMMYFUNCTION("""COMPUTED_VALUE"""),"Ahaonline")</f>
        <v>Ahaonline</v>
      </c>
      <c r="D73" s="4" t="str">
        <f ca="1">IFERROR(__xludf.DUMMYFUNCTION("""COMPUTED_VALUE"""),"https://ahaonline.cz")</f>
        <v>https://ahaonline.cz</v>
      </c>
      <c r="E73" s="3" t="str">
        <f ca="1">IFERROR(__xludf.DUMMYFUNCTION("""COMPUTED_VALUE"""),"celý web")</f>
        <v>celý web</v>
      </c>
      <c r="F73" s="4" t="str">
        <f ca="1">IFERROR(__xludf.DUMMYFUNCTION("""COMPUTED_VALUE"""),"https://ahaonline.cz")</f>
        <v>https://ahaonline.cz</v>
      </c>
      <c r="G73" s="3" t="str">
        <f ca="1">IFERROR(__xludf.DUMMYFUNCTION("""COMPUTED_VALUE"""),"cílený mobilní viněta low season")</f>
        <v>cílený mobilní viněta low season</v>
      </c>
      <c r="H73" s="3">
        <f ca="1">IFERROR(__xludf.DUMMYFUNCTION("""COMPUTED_VALUE"""),7)</f>
        <v>7</v>
      </c>
      <c r="I73" s="5">
        <f ca="1">IFERROR(__xludf.DUMMYFUNCTION("""COMPUTED_VALUE"""),1000)</f>
        <v>1000</v>
      </c>
      <c r="J73" s="5">
        <f ca="1">IFERROR(__xludf.DUMMYFUNCTION("""COMPUTED_VALUE"""),1056)</f>
        <v>1056</v>
      </c>
      <c r="K73" s="3"/>
      <c r="L73" s="3" t="str">
        <f ca="1">IFERROR(__xludf.DUMMYFUNCTION("""COMPUTED_VALUE"""),"Cost per period")</f>
        <v>Cost per period</v>
      </c>
      <c r="M73" s="3"/>
      <c r="N73" s="3"/>
      <c r="O73" s="3" t="str">
        <f ca="1">IFERROR(__xludf.DUMMYFUNCTION("""COMPUTED_VALUE"""),"600")</f>
        <v>600</v>
      </c>
      <c r="P73" s="3" t="str">
        <f ca="1">IFERROR(__xludf.DUMMYFUNCTION("""COMPUTED_VALUE"""),"800")</f>
        <v>800</v>
      </c>
      <c r="Q73" s="3" t="str">
        <f ca="1">IFERROR(__xludf.DUMMYFUNCTION("""COMPUTED_VALUE"""),"300x250 nebo 600x800")</f>
        <v>300x250 nebo 600x800</v>
      </c>
      <c r="R73" s="3"/>
      <c r="S73" s="3" t="str">
        <f ca="1">IFERROR(__xludf.DUMMYFUNCTION("""COMPUTED_VALUE"""),"100")</f>
        <v>100</v>
      </c>
      <c r="T73" s="3"/>
      <c r="U73" s="3" t="str">
        <f ca="1">IFERROR(__xludf.DUMMYFUNCTION("""COMPUTED_VALUE"""),"banner standard")</f>
        <v>banner standard</v>
      </c>
      <c r="V73" s="3"/>
      <c r="W73" s="4" t="str">
        <f ca="1">IFERROR(__xludf.DUMMYFUNCTION("""COMPUTED_VALUE"""),"https://reklama.cncenter.cz/Online/mobilni-vineta")</f>
        <v>https://reklama.cncenter.cz/Online/mobilni-vineta</v>
      </c>
      <c r="X73" s="3"/>
      <c r="Y73" s="3"/>
      <c r="Z73" s="3" t="str">
        <f ca="1">IFERROR(__xludf.DUMMYFUNCTION("""COMPUTED_VALUE"""),"podklady@cncenter.cz")</f>
        <v>podklady@cncenter.cz</v>
      </c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 t="str">
        <f ca="1">IFERROR(__xludf.DUMMYFUNCTION("""COMPUTED_VALUE"""),"mobile")</f>
        <v>mobile</v>
      </c>
      <c r="AO73" s="3"/>
      <c r="AP73" s="3"/>
      <c r="AQ73" s="3"/>
      <c r="AR73" s="3"/>
      <c r="AS73" s="3"/>
      <c r="AT73" s="3"/>
      <c r="AU73" s="3" t="str">
        <f ca="1">IFERROR(__xludf.DUMMYFUNCTION("""COMPUTED_VALUE"""),"cílený mobilní viněta")</f>
        <v>cílený mobilní viněta</v>
      </c>
    </row>
    <row r="74" spans="1:47" x14ac:dyDescent="0.3">
      <c r="A74" s="3">
        <f ca="1"/>
        <v>2346826</v>
      </c>
      <c r="B74" s="3" t="str">
        <f ca="1"/>
        <v>CZECH NEWS CENTER a. s.</v>
      </c>
      <c r="C74" s="3" t="str">
        <f ca="1">IFERROR(__xludf.DUMMYFUNCTION("""COMPUTED_VALUE"""),"Ahaonline")</f>
        <v>Ahaonline</v>
      </c>
      <c r="D74" s="4" t="str">
        <f ca="1">IFERROR(__xludf.DUMMYFUNCTION("""COMPUTED_VALUE"""),"https://ahaonline.cz")</f>
        <v>https://ahaonline.cz</v>
      </c>
      <c r="E74" s="3" t="str">
        <f ca="1">IFERROR(__xludf.DUMMYFUNCTION("""COMPUTED_VALUE"""),"celý web")</f>
        <v>celý web</v>
      </c>
      <c r="F74" s="4" t="str">
        <f ca="1">IFERROR(__xludf.DUMMYFUNCTION("""COMPUTED_VALUE"""),"https://ahaonline.cz")</f>
        <v>https://ahaonline.cz</v>
      </c>
      <c r="G74" s="3" t="str">
        <f ca="1">IFERROR(__xludf.DUMMYFUNCTION("""COMPUTED_VALUE"""),"cílený nativní pr premium low season")</f>
        <v>cílený nativní pr premium low season</v>
      </c>
      <c r="H74" s="3">
        <f ca="1">IFERROR(__xludf.DUMMYFUNCTION("""COMPUTED_VALUE"""),7)</f>
        <v>7</v>
      </c>
      <c r="I74" s="5">
        <f ca="1">IFERROR(__xludf.DUMMYFUNCTION("""COMPUTED_VALUE"""),1000)</f>
        <v>1000</v>
      </c>
      <c r="J74" s="5">
        <f ca="1">IFERROR(__xludf.DUMMYFUNCTION("""COMPUTED_VALUE"""),120)</f>
        <v>120</v>
      </c>
      <c r="K74" s="3"/>
      <c r="L74" s="3" t="str">
        <f ca="1">IFERROR(__xludf.DUMMYFUNCTION("""COMPUTED_VALUE"""),"Cost per period")</f>
        <v>Cost per period</v>
      </c>
      <c r="M74" s="3"/>
      <c r="N74" s="3"/>
      <c r="O74" s="3" t="str">
        <f ca="1">IFERROR(__xludf.DUMMYFUNCTION("""COMPUTED_VALUE"""),"640")</f>
        <v>640</v>
      </c>
      <c r="P74" s="3" t="str">
        <f ca="1">IFERROR(__xludf.DUMMYFUNCTION("""COMPUTED_VALUE"""),"335, 640")</f>
        <v>335, 640</v>
      </c>
      <c r="Q74" s="3" t="str">
        <f ca="1">IFERROR(__xludf.DUMMYFUNCTION("""COMPUTED_VALUE"""),"640x640 a 640x335 + text + logo")</f>
        <v>640x640 a 640x335 + text + logo</v>
      </c>
      <c r="R74" s="3" t="str">
        <f ca="1">IFERROR(__xludf.DUMMYFUNCTION("""COMPUTED_VALUE"""),"detailní specifikace na URL odkaze")</f>
        <v>detailní specifikace na URL odkaze</v>
      </c>
      <c r="S74" s="3" t="str">
        <f ca="1">IFERROR(__xludf.DUMMYFUNCTION("""COMPUTED_VALUE"""),"100")</f>
        <v>100</v>
      </c>
      <c r="T74" s="3"/>
      <c r="U74" s="3" t="str">
        <f ca="1">IFERROR(__xludf.DUMMYFUNCTION("""COMPUTED_VALUE"""),"nativní reklama")</f>
        <v>nativní reklama</v>
      </c>
      <c r="V74" s="3"/>
      <c r="W74" s="4" t="str">
        <f ca="1">IFERROR(__xludf.DUMMYFUNCTION("""COMPUTED_VALUE"""),"https://reklama.cncenter.cz/Online/nativni-PR-premium")</f>
        <v>https://reklama.cncenter.cz/Online/nativni-PR-premium</v>
      </c>
      <c r="X74" s="3"/>
      <c r="Y74" s="3"/>
      <c r="Z74" s="3" t="str">
        <f ca="1">IFERROR(__xludf.DUMMYFUNCTION("""COMPUTED_VALUE"""),"podklady@cncenter.cz")</f>
        <v>podklady@cncenter.cz</v>
      </c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 t="str">
        <f ca="1">IFERROR(__xludf.DUMMYFUNCTION("""COMPUTED_VALUE"""),"cross-device")</f>
        <v>cross-device</v>
      </c>
      <c r="AO74" s="3"/>
      <c r="AP74" s="3"/>
      <c r="AQ74" s="3"/>
      <c r="AR74" s="3"/>
      <c r="AS74" s="3"/>
      <c r="AT74" s="3"/>
      <c r="AU74" s="3" t="str">
        <f ca="1">IFERROR(__xludf.DUMMYFUNCTION("""COMPUTED_VALUE"""),"cílený nativní pr premium")</f>
        <v>cílený nativní pr premium</v>
      </c>
    </row>
    <row r="75" spans="1:47" x14ac:dyDescent="0.3">
      <c r="A75" s="3">
        <f ca="1"/>
        <v>2346826</v>
      </c>
      <c r="B75" s="3" t="str">
        <f ca="1"/>
        <v>CZECH NEWS CENTER a. s.</v>
      </c>
      <c r="C75" s="3" t="str">
        <f ca="1">IFERROR(__xludf.DUMMYFUNCTION("""COMPUTED_VALUE"""),"Ahaonline")</f>
        <v>Ahaonline</v>
      </c>
      <c r="D75" s="4" t="str">
        <f ca="1">IFERROR(__xludf.DUMMYFUNCTION("""COMPUTED_VALUE"""),"https://ahaonline.cz")</f>
        <v>https://ahaonline.cz</v>
      </c>
      <c r="E75" s="3" t="str">
        <f ca="1">IFERROR(__xludf.DUMMYFUNCTION("""COMPUTED_VALUE"""),"celý web")</f>
        <v>celý web</v>
      </c>
      <c r="F75" s="4" t="str">
        <f ca="1">IFERROR(__xludf.DUMMYFUNCTION("""COMPUTED_VALUE"""),"https://ahaonline.cz")</f>
        <v>https://ahaonline.cz</v>
      </c>
      <c r="G75" s="3" t="str">
        <f ca="1">IFERROR(__xludf.DUMMYFUNCTION("""COMPUTED_VALUE"""),"cílený nativní rectangle cross-device low season")</f>
        <v>cílený nativní rectangle cross-device low season</v>
      </c>
      <c r="H75" s="3">
        <f ca="1">IFERROR(__xludf.DUMMYFUNCTION("""COMPUTED_VALUE"""),7)</f>
        <v>7</v>
      </c>
      <c r="I75" s="5">
        <f ca="1">IFERROR(__xludf.DUMMYFUNCTION("""COMPUTED_VALUE"""),1000)</f>
        <v>1000</v>
      </c>
      <c r="J75" s="5">
        <f ca="1">IFERROR(__xludf.DUMMYFUNCTION("""COMPUTED_VALUE"""),240)</f>
        <v>240</v>
      </c>
      <c r="K75" s="3"/>
      <c r="L75" s="3" t="str">
        <f ca="1">IFERROR(__xludf.DUMMYFUNCTION("""COMPUTED_VALUE"""),"Cost per period")</f>
        <v>Cost per period</v>
      </c>
      <c r="M75" s="3"/>
      <c r="N75" s="3"/>
      <c r="O75" s="3" t="str">
        <f ca="1">IFERROR(__xludf.DUMMYFUNCTION("""COMPUTED_VALUE"""),"640")</f>
        <v>640</v>
      </c>
      <c r="P75" s="3" t="str">
        <f ca="1">IFERROR(__xludf.DUMMYFUNCTION("""COMPUTED_VALUE"""),"335, 640")</f>
        <v>335, 640</v>
      </c>
      <c r="Q75" s="3" t="str">
        <f ca="1">IFERROR(__xludf.DUMMYFUNCTION("""COMPUTED_VALUE"""),"640x640 a 640x335 + text + logo")</f>
        <v>640x640 a 640x335 + text + logo</v>
      </c>
      <c r="R75" s="3"/>
      <c r="S75" s="3" t="str">
        <f ca="1">IFERROR(__xludf.DUMMYFUNCTION("""COMPUTED_VALUE"""),"45")</f>
        <v>45</v>
      </c>
      <c r="T75" s="3"/>
      <c r="U75" s="3" t="str">
        <f ca="1">IFERROR(__xludf.DUMMYFUNCTION("""COMPUTED_VALUE"""),"nativní reklama")</f>
        <v>nativní reklama</v>
      </c>
      <c r="V75" s="3"/>
      <c r="W75" s="4" t="str">
        <f ca="1">IFERROR(__xludf.DUMMYFUNCTION("""COMPUTED_VALUE"""),"https://reklama.cncenter.cz/Online/nativni-rectangle-cross-device")</f>
        <v>https://reklama.cncenter.cz/Online/nativni-rectangle-cross-device</v>
      </c>
      <c r="X75" s="3"/>
      <c r="Y75" s="3"/>
      <c r="Z75" s="3" t="str">
        <f ca="1">IFERROR(__xludf.DUMMYFUNCTION("""COMPUTED_VALUE"""),"podklady@cncenter.cz")</f>
        <v>podklady@cncenter.cz</v>
      </c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 t="str">
        <f ca="1">IFERROR(__xludf.DUMMYFUNCTION("""COMPUTED_VALUE"""),"cross-device")</f>
        <v>cross-device</v>
      </c>
      <c r="AO75" s="3"/>
      <c r="AP75" s="3"/>
      <c r="AQ75" s="3"/>
      <c r="AR75" s="3"/>
      <c r="AS75" s="3"/>
      <c r="AT75" s="3"/>
      <c r="AU75" s="3" t="str">
        <f ca="1">IFERROR(__xludf.DUMMYFUNCTION("""COMPUTED_VALUE"""),"cílený nativní rectangle cross-device")</f>
        <v>cílený nativní rectangle cross-device</v>
      </c>
    </row>
    <row r="76" spans="1:47" x14ac:dyDescent="0.3">
      <c r="A76" s="3">
        <f ca="1"/>
        <v>2346826</v>
      </c>
      <c r="B76" s="3" t="str">
        <f ca="1"/>
        <v>CZECH NEWS CENTER a. s.</v>
      </c>
      <c r="C76" s="3" t="str">
        <f ca="1">IFERROR(__xludf.DUMMYFUNCTION("""COMPUTED_VALUE"""),"Ahaonline")</f>
        <v>Ahaonline</v>
      </c>
      <c r="D76" s="4" t="str">
        <f ca="1">IFERROR(__xludf.DUMMYFUNCTION("""COMPUTED_VALUE"""),"https://ahaonline.cz")</f>
        <v>https://ahaonline.cz</v>
      </c>
      <c r="E76" s="3" t="str">
        <f ca="1">IFERROR(__xludf.DUMMYFUNCTION("""COMPUTED_VALUE"""),"celý web")</f>
        <v>celý web</v>
      </c>
      <c r="F76" s="4" t="str">
        <f ca="1">IFERROR(__xludf.DUMMYFUNCTION("""COMPUTED_VALUE"""),"https://ahaonline.cz")</f>
        <v>https://ahaonline.cz</v>
      </c>
      <c r="G76" s="3" t="str">
        <f ca="1">IFERROR(__xludf.DUMMYFUNCTION("""COMPUTED_VALUE"""),"cílený outstream low season")</f>
        <v>cílený outstream low season</v>
      </c>
      <c r="H76" s="3">
        <f ca="1">IFERROR(__xludf.DUMMYFUNCTION("""COMPUTED_VALUE"""),7)</f>
        <v>7</v>
      </c>
      <c r="I76" s="5">
        <f ca="1">IFERROR(__xludf.DUMMYFUNCTION("""COMPUTED_VALUE"""),1000)</f>
        <v>1000</v>
      </c>
      <c r="J76" s="5">
        <f ca="1">IFERROR(__xludf.DUMMYFUNCTION("""COMPUTED_VALUE"""),300)</f>
        <v>300</v>
      </c>
      <c r="K76" s="3"/>
      <c r="L76" s="3" t="str">
        <f ca="1">IFERROR(__xludf.DUMMYFUNCTION("""COMPUTED_VALUE"""),"Cost per period")</f>
        <v>Cost per period</v>
      </c>
      <c r="M76" s="3"/>
      <c r="N76" s="3"/>
      <c r="O76" s="3" t="str">
        <f ca="1">IFERROR(__xludf.DUMMYFUNCTION("""COMPUTED_VALUE"""),"1280")</f>
        <v>1280</v>
      </c>
      <c r="P76" s="3" t="str">
        <f ca="1">IFERROR(__xludf.DUMMYFUNCTION("""COMPUTED_VALUE"""),"720")</f>
        <v>720</v>
      </c>
      <c r="Q76" s="3" t="str">
        <f ca="1">IFERROR(__xludf.DUMMYFUNCTION("""COMPUTED_VALUE"""),"16:9")</f>
        <v>16:9</v>
      </c>
      <c r="R76" s="3"/>
      <c r="S76" s="3" t="str">
        <f ca="1">IFERROR(__xludf.DUMMYFUNCTION("""COMPUTED_VALUE"""),"100")</f>
        <v>100</v>
      </c>
      <c r="T76" s="3"/>
      <c r="U76" s="3" t="str">
        <f ca="1">IFERROR(__xludf.DUMMYFUNCTION("""COMPUTED_VALUE"""),"videospot")</f>
        <v>videospot</v>
      </c>
      <c r="V76" s="3"/>
      <c r="W76" s="4" t="str">
        <f ca="1">IFERROR(__xludf.DUMMYFUNCTION("""COMPUTED_VALUE"""),"https://reklama.cncenter.cz/Online/Outstream")</f>
        <v>https://reklama.cncenter.cz/Online/Outstream</v>
      </c>
      <c r="X76" s="3"/>
      <c r="Y76" s="3"/>
      <c r="Z76" s="3" t="str">
        <f ca="1">IFERROR(__xludf.DUMMYFUNCTION("""COMPUTED_VALUE"""),"podklady@cncenter.cz")</f>
        <v>podklady@cncenter.cz</v>
      </c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 t="str">
        <f ca="1">IFERROR(__xludf.DUMMYFUNCTION("""COMPUTED_VALUE"""),"cross-device")</f>
        <v>cross-device</v>
      </c>
      <c r="AO76" s="3"/>
      <c r="AP76" s="3"/>
      <c r="AQ76" s="3"/>
      <c r="AR76" s="3"/>
      <c r="AS76" s="3"/>
      <c r="AT76" s="3"/>
      <c r="AU76" s="3" t="str">
        <f ca="1">IFERROR(__xludf.DUMMYFUNCTION("""COMPUTED_VALUE"""),"cílený outstream")</f>
        <v>cílený outstream</v>
      </c>
    </row>
    <row r="77" spans="1:47" x14ac:dyDescent="0.3">
      <c r="A77" s="3">
        <f ca="1"/>
        <v>2346826</v>
      </c>
      <c r="B77" s="3" t="str">
        <f ca="1"/>
        <v>CZECH NEWS CENTER a. s.</v>
      </c>
      <c r="C77" s="3" t="str">
        <f ca="1">IFERROR(__xludf.DUMMYFUNCTION("""COMPUTED_VALUE"""),"Ahaonline")</f>
        <v>Ahaonline</v>
      </c>
      <c r="D77" s="4" t="str">
        <f ca="1">IFERROR(__xludf.DUMMYFUNCTION("""COMPUTED_VALUE"""),"https://ahaonline.cz")</f>
        <v>https://ahaonline.cz</v>
      </c>
      <c r="E77" s="3" t="str">
        <f ca="1">IFERROR(__xludf.DUMMYFUNCTION("""COMPUTED_VALUE"""),"celý web")</f>
        <v>celý web</v>
      </c>
      <c r="F77" s="4" t="str">
        <f ca="1">IFERROR(__xludf.DUMMYFUNCTION("""COMPUTED_VALUE"""),"https://ahaonline.cz")</f>
        <v>https://ahaonline.cz</v>
      </c>
      <c r="G77" s="3" t="str">
        <f ca="1">IFERROR(__xludf.DUMMYFUNCTION("""COMPUTED_VALUE"""),"cílený videospot - max. 30 sec. / bumper low season")</f>
        <v>cílený videospot - max. 30 sec. / bumper low season</v>
      </c>
      <c r="H77" s="3">
        <f ca="1">IFERROR(__xludf.DUMMYFUNCTION("""COMPUTED_VALUE"""),7)</f>
        <v>7</v>
      </c>
      <c r="I77" s="5">
        <f ca="1">IFERROR(__xludf.DUMMYFUNCTION("""COMPUTED_VALUE"""),1000)</f>
        <v>1000</v>
      </c>
      <c r="J77" s="5">
        <f ca="1">IFERROR(__xludf.DUMMYFUNCTION("""COMPUTED_VALUE"""),888)</f>
        <v>888</v>
      </c>
      <c r="K77" s="3"/>
      <c r="L77" s="3" t="str">
        <f ca="1">IFERROR(__xludf.DUMMYFUNCTION("""COMPUTED_VALUE"""),"Cost per period")</f>
        <v>Cost per period</v>
      </c>
      <c r="M77" s="3"/>
      <c r="N77" s="3"/>
      <c r="O77" s="3" t="str">
        <f ca="1">IFERROR(__xludf.DUMMYFUNCTION("""COMPUTED_VALUE"""),"1280")</f>
        <v>1280</v>
      </c>
      <c r="P77" s="3" t="str">
        <f ca="1">IFERROR(__xludf.DUMMYFUNCTION("""COMPUTED_VALUE"""),"720")</f>
        <v>720</v>
      </c>
      <c r="Q77" s="3" t="str">
        <f ca="1">IFERROR(__xludf.DUMMYFUNCTION("""COMPUTED_VALUE"""),"16:9 / umístění po domluvě dle možností")</f>
        <v>16:9 / umístění po domluvě dle možností</v>
      </c>
      <c r="R77" s="3" t="str">
        <f ca="1">IFERROR(__xludf.DUMMYFUNCTION("""COMPUTED_VALUE"""),"přeskočení po 7 sekundách")</f>
        <v>přeskočení po 7 sekundách</v>
      </c>
      <c r="S77" s="3" t="str">
        <f ca="1">IFERROR(__xludf.DUMMYFUNCTION("""COMPUTED_VALUE"""),"100")</f>
        <v>100</v>
      </c>
      <c r="T77" s="3"/>
      <c r="U77" s="3" t="str">
        <f ca="1">IFERROR(__xludf.DUMMYFUNCTION("""COMPUTED_VALUE"""),"videospot")</f>
        <v>videospot</v>
      </c>
      <c r="V77" s="3"/>
      <c r="W77" s="4" t="str">
        <f ca="1">IFERROR(__xludf.DUMMYFUNCTION("""COMPUTED_VALUE"""),"https://reklama.cncenter.cz/Online/Bumper")</f>
        <v>https://reklama.cncenter.cz/Online/Bumper</v>
      </c>
      <c r="X77" s="3"/>
      <c r="Y77" s="3"/>
      <c r="Z77" s="3" t="str">
        <f ca="1">IFERROR(__xludf.DUMMYFUNCTION("""COMPUTED_VALUE"""),"podklady@cncenter.cz")</f>
        <v>podklady@cncenter.cz</v>
      </c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 t="str">
        <f ca="1">IFERROR(__xludf.DUMMYFUNCTION("""COMPUTED_VALUE"""),"cross-device")</f>
        <v>cross-device</v>
      </c>
      <c r="AO77" s="3"/>
      <c r="AP77" s="3"/>
      <c r="AQ77" s="3"/>
      <c r="AR77" s="3"/>
      <c r="AS77" s="3"/>
      <c r="AT77" s="3"/>
      <c r="AU77" s="3" t="str">
        <f ca="1">IFERROR(__xludf.DUMMYFUNCTION("""COMPUTED_VALUE"""),"cílený videospot - max. 30 sec. / bumper")</f>
        <v>cílený videospot - max. 30 sec. / bumper</v>
      </c>
    </row>
    <row r="78" spans="1:47" x14ac:dyDescent="0.3">
      <c r="A78" s="3">
        <f ca="1"/>
        <v>2346826</v>
      </c>
      <c r="B78" s="3" t="str">
        <f ca="1"/>
        <v>CZECH NEWS CENTER a. s.</v>
      </c>
      <c r="C78" s="3" t="str">
        <f ca="1">IFERROR(__xludf.DUMMYFUNCTION("""COMPUTED_VALUE"""),"Ahaonline")</f>
        <v>Ahaonline</v>
      </c>
      <c r="D78" s="4" t="str">
        <f ca="1">IFERROR(__xludf.DUMMYFUNCTION("""COMPUTED_VALUE"""),"https://ahaonline.cz")</f>
        <v>https://ahaonline.cz</v>
      </c>
      <c r="E78" s="3" t="str">
        <f ca="1">IFERROR(__xludf.DUMMYFUNCTION("""COMPUTED_VALUE"""),"celý web")</f>
        <v>celý web</v>
      </c>
      <c r="F78" s="4" t="str">
        <f ca="1">IFERROR(__xludf.DUMMYFUNCTION("""COMPUTED_VALUE"""),"https://ahaonline.cz")</f>
        <v>https://ahaonline.cz</v>
      </c>
      <c r="G78" s="3" t="str">
        <f ca="1">IFERROR(__xludf.DUMMYFUNCTION("""COMPUTED_VALUE"""),"dokoupení proma o 2 týdny - 10 000 PV *** low season")</f>
        <v>dokoupení proma o 2 týdny - 10 000 PV *** low season</v>
      </c>
      <c r="H78" s="3">
        <f ca="1">IFERROR(__xludf.DUMMYFUNCTION("""COMPUTED_VALUE"""),1)</f>
        <v>1</v>
      </c>
      <c r="I78" s="5">
        <f ca="1">IFERROR(__xludf.DUMMYFUNCTION("""COMPUTED_VALUE"""),1)</f>
        <v>1</v>
      </c>
      <c r="J78" s="5">
        <f ca="1">IFERROR(__xludf.DUMMYFUNCTION("""COMPUTED_VALUE"""),60000)</f>
        <v>60000</v>
      </c>
      <c r="K78" s="3"/>
      <c r="L78" s="3" t="str">
        <f ca="1">IFERROR(__xludf.DUMMYFUNCTION("""COMPUTED_VALUE"""),"Cost per instance")</f>
        <v>Cost per instance</v>
      </c>
      <c r="M78" s="3"/>
      <c r="N78" s="3"/>
      <c r="O78" s="3"/>
      <c r="P78" s="3"/>
      <c r="Q78" s="3"/>
      <c r="R78" s="3"/>
      <c r="S78" s="3" t="str">
        <f ca="1">IFERROR(__xludf.DUMMYFUNCTION("""COMPUTED_VALUE"""),"100")</f>
        <v>100</v>
      </c>
      <c r="T78" s="3"/>
      <c r="U78" s="3" t="str">
        <f ca="1">IFERROR(__xludf.DUMMYFUNCTION("""COMPUTED_VALUE"""),"microsite")</f>
        <v>microsite</v>
      </c>
      <c r="V78" s="3"/>
      <c r="W78" s="3"/>
      <c r="X78" s="3"/>
      <c r="Y78" s="3"/>
      <c r="Z78" s="3" t="str">
        <f ca="1">IFERROR(__xludf.DUMMYFUNCTION("""COMPUTED_VALUE"""),"podklady@cncenter.cz")</f>
        <v>podklady@cncenter.cz</v>
      </c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 t="str">
        <f ca="1">IFERROR(__xludf.DUMMYFUNCTION("""COMPUTED_VALUE"""),"cross-device")</f>
        <v>cross-device</v>
      </c>
      <c r="AO78" s="3"/>
      <c r="AP78" s="3"/>
      <c r="AQ78" s="3"/>
      <c r="AR78" s="3"/>
      <c r="AS78" s="3"/>
      <c r="AT78" s="3"/>
      <c r="AU78" s="3" t="str">
        <f ca="1">IFERROR(__xludf.DUMMYFUNCTION("""COMPUTED_VALUE"""),"dokoupení proma o 2 týdny - 10 000 PV ***")</f>
        <v>dokoupení proma o 2 týdny - 10 000 PV ***</v>
      </c>
    </row>
    <row r="79" spans="1:47" x14ac:dyDescent="0.3">
      <c r="A79" s="3">
        <f ca="1"/>
        <v>2346826</v>
      </c>
      <c r="B79" s="3" t="str">
        <f ca="1"/>
        <v>CZECH NEWS CENTER a. s.</v>
      </c>
      <c r="C79" s="3" t="str">
        <f ca="1">IFERROR(__xludf.DUMMYFUNCTION("""COMPUTED_VALUE"""),"Ahaonline")</f>
        <v>Ahaonline</v>
      </c>
      <c r="D79" s="4" t="str">
        <f ca="1">IFERROR(__xludf.DUMMYFUNCTION("""COMPUTED_VALUE"""),"https://ahaonline.cz")</f>
        <v>https://ahaonline.cz</v>
      </c>
      <c r="E79" s="3" t="str">
        <f ca="1">IFERROR(__xludf.DUMMYFUNCTION("""COMPUTED_VALUE"""),"celý web")</f>
        <v>celý web</v>
      </c>
      <c r="F79" s="4" t="str">
        <f ca="1">IFERROR(__xludf.DUMMYFUNCTION("""COMPUTED_VALUE"""),"https://ahaonline.cz")</f>
        <v>https://ahaonline.cz</v>
      </c>
      <c r="G79" s="3" t="str">
        <f ca="1">IFERROR(__xludf.DUMMYFUNCTION("""COMPUTED_VALUE"""),"double skyscraper low season")</f>
        <v>double skyscraper low season</v>
      </c>
      <c r="H79" s="3">
        <f ca="1">IFERROR(__xludf.DUMMYFUNCTION("""COMPUTED_VALUE"""),7)</f>
        <v>7</v>
      </c>
      <c r="I79" s="5">
        <f ca="1">IFERROR(__xludf.DUMMYFUNCTION("""COMPUTED_VALUE"""),1000)</f>
        <v>1000</v>
      </c>
      <c r="J79" s="5">
        <f ca="1">IFERROR(__xludf.DUMMYFUNCTION("""COMPUTED_VALUE"""),190)</f>
        <v>190</v>
      </c>
      <c r="K79" s="3"/>
      <c r="L79" s="3" t="str">
        <f ca="1">IFERROR(__xludf.DUMMYFUNCTION("""COMPUTED_VALUE"""),"Cost per period")</f>
        <v>Cost per period</v>
      </c>
      <c r="M79" s="3"/>
      <c r="N79" s="3"/>
      <c r="O79" s="3" t="str">
        <f ca="1">IFERROR(__xludf.DUMMYFUNCTION("""COMPUTED_VALUE"""),"300")</f>
        <v>300</v>
      </c>
      <c r="P79" s="3" t="str">
        <f ca="1">IFERROR(__xludf.DUMMYFUNCTION("""COMPUTED_VALUE"""),"600")</f>
        <v>600</v>
      </c>
      <c r="Q79" s="3" t="str">
        <f ca="1">IFERROR(__xludf.DUMMYFUNCTION("""COMPUTED_VALUE"""),"300x600")</f>
        <v>300x600</v>
      </c>
      <c r="R79" s="3"/>
      <c r="S79" s="3" t="str">
        <f ca="1">IFERROR(__xludf.DUMMYFUNCTION("""COMPUTED_VALUE"""),"100 (200 - HTML5)")</f>
        <v>100 (200 - HTML5)</v>
      </c>
      <c r="T79" s="3"/>
      <c r="U79" s="3" t="str">
        <f ca="1">IFERROR(__xludf.DUMMYFUNCTION("""COMPUTED_VALUE"""),"banner standard")</f>
        <v>banner standard</v>
      </c>
      <c r="V79" s="3"/>
      <c r="W79" s="4" t="str">
        <f ca="1">IFERROR(__xludf.DUMMYFUNCTION("""COMPUTED_VALUE"""),"https://reklama.cncenter.cz/Online/double-skyscraper")</f>
        <v>https://reklama.cncenter.cz/Online/double-skyscraper</v>
      </c>
      <c r="X79" s="3"/>
      <c r="Y79" s="3"/>
      <c r="Z79" s="3" t="str">
        <f ca="1">IFERROR(__xludf.DUMMYFUNCTION("""COMPUTED_VALUE"""),"podklady@cncenter.cz")</f>
        <v>podklady@cncenter.cz</v>
      </c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 t="str">
        <f ca="1">IFERROR(__xludf.DUMMYFUNCTION("""COMPUTED_VALUE"""),"desktop")</f>
        <v>desktop</v>
      </c>
      <c r="AO79" s="3"/>
      <c r="AP79" s="3"/>
      <c r="AQ79" s="3"/>
      <c r="AR79" s="3"/>
      <c r="AS79" s="3"/>
      <c r="AT79" s="3"/>
      <c r="AU79" s="3" t="str">
        <f ca="1">IFERROR(__xludf.DUMMYFUNCTION("""COMPUTED_VALUE"""),"double skyscraper")</f>
        <v>double skyscraper</v>
      </c>
    </row>
    <row r="80" spans="1:47" x14ac:dyDescent="0.3">
      <c r="A80" s="3">
        <f ca="1"/>
        <v>2346826</v>
      </c>
      <c r="B80" s="3" t="str">
        <f ca="1"/>
        <v>CZECH NEWS CENTER a. s.</v>
      </c>
      <c r="C80" s="3" t="str">
        <f ca="1">IFERROR(__xludf.DUMMYFUNCTION("""COMPUTED_VALUE"""),"Ahaonline")</f>
        <v>Ahaonline</v>
      </c>
      <c r="D80" s="4" t="str">
        <f ca="1">IFERROR(__xludf.DUMMYFUNCTION("""COMPUTED_VALUE"""),"https://ahaonline.cz")</f>
        <v>https://ahaonline.cz</v>
      </c>
      <c r="E80" s="3" t="str">
        <f ca="1">IFERROR(__xludf.DUMMYFUNCTION("""COMPUTED_VALUE"""),"celý web")</f>
        <v>celý web</v>
      </c>
      <c r="F80" s="4" t="str">
        <f ca="1">IFERROR(__xludf.DUMMYFUNCTION("""COMPUTED_VALUE"""),"https://ahaonline.cz")</f>
        <v>https://ahaonline.cz</v>
      </c>
      <c r="G80" s="3" t="str">
        <f ca="1">IFERROR(__xludf.DUMMYFUNCTION("""COMPUTED_VALUE"""),"mobilní interscroller low season")</f>
        <v>mobilní interscroller low season</v>
      </c>
      <c r="H80" s="3">
        <f ca="1">IFERROR(__xludf.DUMMYFUNCTION("""COMPUTED_VALUE"""),7)</f>
        <v>7</v>
      </c>
      <c r="I80" s="5">
        <f ca="1">IFERROR(__xludf.DUMMYFUNCTION("""COMPUTED_VALUE"""),1000)</f>
        <v>1000</v>
      </c>
      <c r="J80" s="5">
        <f ca="1">IFERROR(__xludf.DUMMYFUNCTION("""COMPUTED_VALUE"""),250)</f>
        <v>250</v>
      </c>
      <c r="K80" s="3"/>
      <c r="L80" s="3" t="str">
        <f ca="1">IFERROR(__xludf.DUMMYFUNCTION("""COMPUTED_VALUE"""),"Cost per period")</f>
        <v>Cost per period</v>
      </c>
      <c r="M80" s="3"/>
      <c r="N80" s="3"/>
      <c r="O80" s="3" t="str">
        <f ca="1">IFERROR(__xludf.DUMMYFUNCTION("""COMPUTED_VALUE"""),"600")</f>
        <v>600</v>
      </c>
      <c r="P80" s="3" t="str">
        <f ca="1">IFERROR(__xludf.DUMMYFUNCTION("""COMPUTED_VALUE"""),"1080")</f>
        <v>1080</v>
      </c>
      <c r="Q80" s="3" t="str">
        <f ca="1">IFERROR(__xludf.DUMMYFUNCTION("""COMPUTED_VALUE"""),"600x1080")</f>
        <v>600x1080</v>
      </c>
      <c r="R80" s="3"/>
      <c r="S80" s="3" t="str">
        <f ca="1">IFERROR(__xludf.DUMMYFUNCTION("""COMPUTED_VALUE"""),"200")</f>
        <v>200</v>
      </c>
      <c r="T80" s="3"/>
      <c r="U80" s="3" t="str">
        <f ca="1">IFERROR(__xludf.DUMMYFUNCTION("""COMPUTED_VALUE"""),"banner standard")</f>
        <v>banner standard</v>
      </c>
      <c r="V80" s="3"/>
      <c r="W80" s="4" t="str">
        <f ca="1">IFERROR(__xludf.DUMMYFUNCTION("""COMPUTED_VALUE"""),"https://reklama.cncenter.cz/Online/mobilni-interscroller")</f>
        <v>https://reklama.cncenter.cz/Online/mobilni-interscroller</v>
      </c>
      <c r="X80" s="3"/>
      <c r="Y80" s="3"/>
      <c r="Z80" s="3" t="str">
        <f ca="1">IFERROR(__xludf.DUMMYFUNCTION("""COMPUTED_VALUE"""),"podklady@cncenter.cz")</f>
        <v>podklady@cncenter.cz</v>
      </c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 t="str">
        <f ca="1">IFERROR(__xludf.DUMMYFUNCTION("""COMPUTED_VALUE"""),"mobile")</f>
        <v>mobile</v>
      </c>
      <c r="AO80" s="3"/>
      <c r="AP80" s="3"/>
      <c r="AQ80" s="3"/>
      <c r="AR80" s="3"/>
      <c r="AS80" s="3"/>
      <c r="AT80" s="3"/>
      <c r="AU80" s="3" t="str">
        <f ca="1">IFERROR(__xludf.DUMMYFUNCTION("""COMPUTED_VALUE"""),"mobilní interscroller")</f>
        <v>mobilní interscroller</v>
      </c>
    </row>
    <row r="81" spans="1:47" x14ac:dyDescent="0.3">
      <c r="A81" s="3">
        <f ca="1"/>
        <v>2346826</v>
      </c>
      <c r="B81" s="3" t="str">
        <f ca="1"/>
        <v>CZECH NEWS CENTER a. s.</v>
      </c>
      <c r="C81" s="3" t="str">
        <f ca="1">IFERROR(__xludf.DUMMYFUNCTION("""COMPUTED_VALUE"""),"Ahaonline")</f>
        <v>Ahaonline</v>
      </c>
      <c r="D81" s="4" t="str">
        <f ca="1">IFERROR(__xludf.DUMMYFUNCTION("""COMPUTED_VALUE"""),"https://ahaonline.cz")</f>
        <v>https://ahaonline.cz</v>
      </c>
      <c r="E81" s="3" t="str">
        <f ca="1">IFERROR(__xludf.DUMMYFUNCTION("""COMPUTED_VALUE"""),"celý web")</f>
        <v>celý web</v>
      </c>
      <c r="F81" s="4" t="str">
        <f ca="1">IFERROR(__xludf.DUMMYFUNCTION("""COMPUTED_VALUE"""),"https://ahaonline.cz")</f>
        <v>https://ahaonline.cz</v>
      </c>
      <c r="G81" s="3" t="str">
        <f ca="1">IFERROR(__xludf.DUMMYFUNCTION("""COMPUTED_VALUE"""),"mobilní slide-up low season")</f>
        <v>mobilní slide-up low season</v>
      </c>
      <c r="H81" s="3">
        <f ca="1">IFERROR(__xludf.DUMMYFUNCTION("""COMPUTED_VALUE"""),7)</f>
        <v>7</v>
      </c>
      <c r="I81" s="5">
        <f ca="1">IFERROR(__xludf.DUMMYFUNCTION("""COMPUTED_VALUE"""),1000)</f>
        <v>1000</v>
      </c>
      <c r="J81" s="5">
        <f ca="1">IFERROR(__xludf.DUMMYFUNCTION("""COMPUTED_VALUE"""),510)</f>
        <v>510</v>
      </c>
      <c r="K81" s="3"/>
      <c r="L81" s="3" t="str">
        <f ca="1">IFERROR(__xludf.DUMMYFUNCTION("""COMPUTED_VALUE"""),"Cost per period")</f>
        <v>Cost per period</v>
      </c>
      <c r="M81" s="3"/>
      <c r="N81" s="3"/>
      <c r="O81" s="3" t="str">
        <f ca="1">IFERROR(__xludf.DUMMYFUNCTION("""COMPUTED_VALUE"""),"300")</f>
        <v>300</v>
      </c>
      <c r="P81" s="3" t="str">
        <f ca="1">IFERROR(__xludf.DUMMYFUNCTION("""COMPUTED_VALUE"""),"120")</f>
        <v>120</v>
      </c>
      <c r="Q81" s="3" t="str">
        <f ca="1">IFERROR(__xludf.DUMMYFUNCTION("""COMPUTED_VALUE"""),"300x120")</f>
        <v>300x120</v>
      </c>
      <c r="R81" s="3"/>
      <c r="S81" s="3" t="str">
        <f ca="1">IFERROR(__xludf.DUMMYFUNCTION("""COMPUTED_VALUE"""),"100")</f>
        <v>100</v>
      </c>
      <c r="T81" s="3"/>
      <c r="U81" s="3" t="str">
        <f ca="1">IFERROR(__xludf.DUMMYFUNCTION("""COMPUTED_VALUE"""),"banner standard")</f>
        <v>banner standard</v>
      </c>
      <c r="V81" s="3"/>
      <c r="W81" s="4" t="str">
        <f ca="1">IFERROR(__xludf.DUMMYFUNCTION("""COMPUTED_VALUE"""),"https://reklama.cncenter.cz/Online/mobilni-slide-up")</f>
        <v>https://reklama.cncenter.cz/Online/mobilni-slide-up</v>
      </c>
      <c r="X81" s="3"/>
      <c r="Y81" s="3"/>
      <c r="Z81" s="3" t="str">
        <f ca="1">IFERROR(__xludf.DUMMYFUNCTION("""COMPUTED_VALUE"""),"podklady@cncenter.cz")</f>
        <v>podklady@cncenter.cz</v>
      </c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 t="str">
        <f ca="1">IFERROR(__xludf.DUMMYFUNCTION("""COMPUTED_VALUE"""),"mobile")</f>
        <v>mobile</v>
      </c>
      <c r="AO81" s="3"/>
      <c r="AP81" s="3"/>
      <c r="AQ81" s="3"/>
      <c r="AR81" s="3"/>
      <c r="AS81" s="3"/>
      <c r="AT81" s="3"/>
      <c r="AU81" s="3" t="str">
        <f ca="1">IFERROR(__xludf.DUMMYFUNCTION("""COMPUTED_VALUE"""),"mobilní slide-up")</f>
        <v>mobilní slide-up</v>
      </c>
    </row>
    <row r="82" spans="1:47" x14ac:dyDescent="0.3">
      <c r="A82" s="3">
        <f ca="1"/>
        <v>2346826</v>
      </c>
      <c r="B82" s="3" t="str">
        <f ca="1"/>
        <v>CZECH NEWS CENTER a. s.</v>
      </c>
      <c r="C82" s="3" t="str">
        <f ca="1">IFERROR(__xludf.DUMMYFUNCTION("""COMPUTED_VALUE"""),"Ahaonline")</f>
        <v>Ahaonline</v>
      </c>
      <c r="D82" s="4" t="str">
        <f ca="1">IFERROR(__xludf.DUMMYFUNCTION("""COMPUTED_VALUE"""),"https://ahaonline.cz")</f>
        <v>https://ahaonline.cz</v>
      </c>
      <c r="E82" s="3" t="str">
        <f ca="1">IFERROR(__xludf.DUMMYFUNCTION("""COMPUTED_VALUE"""),"celý web")</f>
        <v>celý web</v>
      </c>
      <c r="F82" s="4" t="str">
        <f ca="1">IFERROR(__xludf.DUMMYFUNCTION("""COMPUTED_VALUE"""),"https://ahaonline.cz")</f>
        <v>https://ahaonline.cz</v>
      </c>
      <c r="G82" s="3" t="str">
        <f ca="1">IFERROR(__xludf.DUMMYFUNCTION("""COMPUTED_VALUE"""),"mobilní viněta low season")</f>
        <v>mobilní viněta low season</v>
      </c>
      <c r="H82" s="3">
        <f ca="1">IFERROR(__xludf.DUMMYFUNCTION("""COMPUTED_VALUE"""),7)</f>
        <v>7</v>
      </c>
      <c r="I82" s="5">
        <f ca="1">IFERROR(__xludf.DUMMYFUNCTION("""COMPUTED_VALUE"""),1000)</f>
        <v>1000</v>
      </c>
      <c r="J82" s="5">
        <f ca="1">IFERROR(__xludf.DUMMYFUNCTION("""COMPUTED_VALUE"""),880)</f>
        <v>880</v>
      </c>
      <c r="K82" s="3"/>
      <c r="L82" s="3" t="str">
        <f ca="1">IFERROR(__xludf.DUMMYFUNCTION("""COMPUTED_VALUE"""),"Cost per period")</f>
        <v>Cost per period</v>
      </c>
      <c r="M82" s="3"/>
      <c r="N82" s="3"/>
      <c r="O82" s="3" t="str">
        <f ca="1">IFERROR(__xludf.DUMMYFUNCTION("""COMPUTED_VALUE"""),"600")</f>
        <v>600</v>
      </c>
      <c r="P82" s="3" t="str">
        <f ca="1">IFERROR(__xludf.DUMMYFUNCTION("""COMPUTED_VALUE"""),"800")</f>
        <v>800</v>
      </c>
      <c r="Q82" s="3" t="str">
        <f ca="1">IFERROR(__xludf.DUMMYFUNCTION("""COMPUTED_VALUE"""),"300x250 nebo 600x800")</f>
        <v>300x250 nebo 600x800</v>
      </c>
      <c r="R82" s="3"/>
      <c r="S82" s="3" t="str">
        <f ca="1">IFERROR(__xludf.DUMMYFUNCTION("""COMPUTED_VALUE"""),"100")</f>
        <v>100</v>
      </c>
      <c r="T82" s="3"/>
      <c r="U82" s="3" t="str">
        <f ca="1">IFERROR(__xludf.DUMMYFUNCTION("""COMPUTED_VALUE"""),"banner standard")</f>
        <v>banner standard</v>
      </c>
      <c r="V82" s="3"/>
      <c r="W82" s="4" t="str">
        <f ca="1">IFERROR(__xludf.DUMMYFUNCTION("""COMPUTED_VALUE"""),"https://reklama.cncenter.cz/Online/mobilni-vineta")</f>
        <v>https://reklama.cncenter.cz/Online/mobilni-vineta</v>
      </c>
      <c r="X82" s="3"/>
      <c r="Y82" s="3"/>
      <c r="Z82" s="3" t="str">
        <f ca="1">IFERROR(__xludf.DUMMYFUNCTION("""COMPUTED_VALUE"""),"podklady@cncenter.cz")</f>
        <v>podklady@cncenter.cz</v>
      </c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 t="str">
        <f ca="1">IFERROR(__xludf.DUMMYFUNCTION("""COMPUTED_VALUE"""),"mobile")</f>
        <v>mobile</v>
      </c>
      <c r="AO82" s="3"/>
      <c r="AP82" s="3"/>
      <c r="AQ82" s="3"/>
      <c r="AR82" s="3"/>
      <c r="AS82" s="3"/>
      <c r="AT82" s="3"/>
      <c r="AU82" s="3" t="str">
        <f ca="1">IFERROR(__xludf.DUMMYFUNCTION("""COMPUTED_VALUE"""),"mobilní viněta")</f>
        <v>mobilní viněta</v>
      </c>
    </row>
    <row r="83" spans="1:47" x14ac:dyDescent="0.3">
      <c r="A83" s="3">
        <f ca="1"/>
        <v>2346826</v>
      </c>
      <c r="B83" s="3" t="str">
        <f ca="1"/>
        <v>CZECH NEWS CENTER a. s.</v>
      </c>
      <c r="C83" s="3" t="str">
        <f ca="1">IFERROR(__xludf.DUMMYFUNCTION("""COMPUTED_VALUE"""),"Ahaonline")</f>
        <v>Ahaonline</v>
      </c>
      <c r="D83" s="4" t="str">
        <f ca="1">IFERROR(__xludf.DUMMYFUNCTION("""COMPUTED_VALUE"""),"https://ahaonline.cz")</f>
        <v>https://ahaonline.cz</v>
      </c>
      <c r="E83" s="3" t="str">
        <f ca="1">IFERROR(__xludf.DUMMYFUNCTION("""COMPUTED_VALUE"""),"celý web")</f>
        <v>celý web</v>
      </c>
      <c r="F83" s="4" t="str">
        <f ca="1">IFERROR(__xludf.DUMMYFUNCTION("""COMPUTED_VALUE"""),"https://ahaonline.cz")</f>
        <v>https://ahaonline.cz</v>
      </c>
      <c r="G83" s="3" t="str">
        <f ca="1">IFERROR(__xludf.DUMMYFUNCTION("""COMPUTED_VALUE"""),"Native Standard low season")</f>
        <v>Native Standard low season</v>
      </c>
      <c r="H83" s="3">
        <f ca="1">IFERROR(__xludf.DUMMYFUNCTION("""COMPUTED_VALUE"""),1)</f>
        <v>1</v>
      </c>
      <c r="I83" s="5">
        <f ca="1">IFERROR(__xludf.DUMMYFUNCTION("""COMPUTED_VALUE"""),1)</f>
        <v>1</v>
      </c>
      <c r="J83" s="5">
        <f ca="1">IFERROR(__xludf.DUMMYFUNCTION("""COMPUTED_VALUE"""),330000)</f>
        <v>330000</v>
      </c>
      <c r="K83" s="3"/>
      <c r="L83" s="3" t="str">
        <f ca="1">IFERROR(__xludf.DUMMYFUNCTION("""COMPUTED_VALUE"""),"Cost per instance")</f>
        <v>Cost per instance</v>
      </c>
      <c r="M83" s="3"/>
      <c r="N83" s="3"/>
      <c r="O83" s="3"/>
      <c r="P83" s="3"/>
      <c r="Q83" s="3"/>
      <c r="R83" s="3"/>
      <c r="S83" s="3" t="str">
        <f ca="1">IFERROR(__xludf.DUMMYFUNCTION("""COMPUTED_VALUE"""),"100")</f>
        <v>100</v>
      </c>
      <c r="T83" s="3"/>
      <c r="U83" s="3" t="str">
        <f ca="1">IFERROR(__xludf.DUMMYFUNCTION("""COMPUTED_VALUE"""),"microsite")</f>
        <v>microsite</v>
      </c>
      <c r="V83" s="3"/>
      <c r="W83" s="3"/>
      <c r="X83" s="3"/>
      <c r="Y83" s="3"/>
      <c r="Z83" s="3" t="str">
        <f ca="1">IFERROR(__xludf.DUMMYFUNCTION("""COMPUTED_VALUE"""),"podklady@cncenter.cz")</f>
        <v>podklady@cncenter.cz</v>
      </c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 t="str">
        <f ca="1">IFERROR(__xludf.DUMMYFUNCTION("""COMPUTED_VALUE"""),"cross-device")</f>
        <v>cross-device</v>
      </c>
      <c r="AO83" s="3"/>
      <c r="AP83" s="3"/>
      <c r="AQ83" s="3"/>
      <c r="AR83" s="3"/>
      <c r="AS83" s="3"/>
      <c r="AT83" s="3"/>
      <c r="AU83" s="3" t="str">
        <f ca="1">IFERROR(__xludf.DUMMYFUNCTION("""COMPUTED_VALUE"""),"Native Standard")</f>
        <v>Native Standard</v>
      </c>
    </row>
    <row r="84" spans="1:47" x14ac:dyDescent="0.3">
      <c r="A84" s="3">
        <f ca="1"/>
        <v>2346826</v>
      </c>
      <c r="B84" s="3" t="str">
        <f ca="1"/>
        <v>CZECH NEWS CENTER a. s.</v>
      </c>
      <c r="C84" s="3" t="str">
        <f ca="1">IFERROR(__xludf.DUMMYFUNCTION("""COMPUTED_VALUE"""),"Ahaonline")</f>
        <v>Ahaonline</v>
      </c>
      <c r="D84" s="4" t="str">
        <f ca="1">IFERROR(__xludf.DUMMYFUNCTION("""COMPUTED_VALUE"""),"https://ahaonline.cz")</f>
        <v>https://ahaonline.cz</v>
      </c>
      <c r="E84" s="3" t="str">
        <f ca="1">IFERROR(__xludf.DUMMYFUNCTION("""COMPUTED_VALUE"""),"celý web")</f>
        <v>celý web</v>
      </c>
      <c r="F84" s="4" t="str">
        <f ca="1">IFERROR(__xludf.DUMMYFUNCTION("""COMPUTED_VALUE"""),"https://ahaonline.cz")</f>
        <v>https://ahaonline.cz</v>
      </c>
      <c r="G84" s="3" t="str">
        <f ca="1">IFERROR(__xludf.DUMMYFUNCTION("""COMPUTED_VALUE"""),"nativní pr premium low season")</f>
        <v>nativní pr premium low season</v>
      </c>
      <c r="H84" s="3">
        <f ca="1">IFERROR(__xludf.DUMMYFUNCTION("""COMPUTED_VALUE"""),7)</f>
        <v>7</v>
      </c>
      <c r="I84" s="5">
        <f ca="1">IFERROR(__xludf.DUMMYFUNCTION("""COMPUTED_VALUE"""),1000)</f>
        <v>1000</v>
      </c>
      <c r="J84" s="5">
        <f ca="1">IFERROR(__xludf.DUMMYFUNCTION("""COMPUTED_VALUE"""),100)</f>
        <v>100</v>
      </c>
      <c r="K84" s="3"/>
      <c r="L84" s="3" t="str">
        <f ca="1">IFERROR(__xludf.DUMMYFUNCTION("""COMPUTED_VALUE"""),"Cost per period")</f>
        <v>Cost per period</v>
      </c>
      <c r="M84" s="3"/>
      <c r="N84" s="3"/>
      <c r="O84" s="3" t="str">
        <f ca="1">IFERROR(__xludf.DUMMYFUNCTION("""COMPUTED_VALUE"""),"640")</f>
        <v>640</v>
      </c>
      <c r="P84" s="3" t="str">
        <f ca="1">IFERROR(__xludf.DUMMYFUNCTION("""COMPUTED_VALUE"""),"335, 640")</f>
        <v>335, 640</v>
      </c>
      <c r="Q84" s="3" t="str">
        <f ca="1">IFERROR(__xludf.DUMMYFUNCTION("""COMPUTED_VALUE"""),"640x640 a 640x335 + text + logo")</f>
        <v>640x640 a 640x335 + text + logo</v>
      </c>
      <c r="R84" s="3" t="str">
        <f ca="1">IFERROR(__xludf.DUMMYFUNCTION("""COMPUTED_VALUE"""),"detailní specifikace na URL odkaze")</f>
        <v>detailní specifikace na URL odkaze</v>
      </c>
      <c r="S84" s="3" t="str">
        <f ca="1">IFERROR(__xludf.DUMMYFUNCTION("""COMPUTED_VALUE"""),"100")</f>
        <v>100</v>
      </c>
      <c r="T84" s="3"/>
      <c r="U84" s="3" t="str">
        <f ca="1">IFERROR(__xludf.DUMMYFUNCTION("""COMPUTED_VALUE"""),"nativní reklama")</f>
        <v>nativní reklama</v>
      </c>
      <c r="V84" s="3"/>
      <c r="W84" s="4" t="str">
        <f ca="1">IFERROR(__xludf.DUMMYFUNCTION("""COMPUTED_VALUE"""),"https://reklama.cncenter.cz/Online/nativni-PR-premium")</f>
        <v>https://reklama.cncenter.cz/Online/nativni-PR-premium</v>
      </c>
      <c r="X84" s="3"/>
      <c r="Y84" s="3"/>
      <c r="Z84" s="3" t="str">
        <f ca="1">IFERROR(__xludf.DUMMYFUNCTION("""COMPUTED_VALUE"""),"podklady@cncenter.cz")</f>
        <v>podklady@cncenter.cz</v>
      </c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 t="str">
        <f ca="1">IFERROR(__xludf.DUMMYFUNCTION("""COMPUTED_VALUE"""),"cross-device")</f>
        <v>cross-device</v>
      </c>
      <c r="AO84" s="3"/>
      <c r="AP84" s="3"/>
      <c r="AQ84" s="3"/>
      <c r="AR84" s="3"/>
      <c r="AS84" s="3"/>
      <c r="AT84" s="3"/>
      <c r="AU84" s="3" t="str">
        <f ca="1">IFERROR(__xludf.DUMMYFUNCTION("""COMPUTED_VALUE"""),"nativní pr premium")</f>
        <v>nativní pr premium</v>
      </c>
    </row>
    <row r="85" spans="1:47" x14ac:dyDescent="0.3">
      <c r="A85" s="3">
        <f ca="1"/>
        <v>2346826</v>
      </c>
      <c r="B85" s="3" t="str">
        <f ca="1"/>
        <v>CZECH NEWS CENTER a. s.</v>
      </c>
      <c r="C85" s="3" t="str">
        <f ca="1">IFERROR(__xludf.DUMMYFUNCTION("""COMPUTED_VALUE"""),"Ahaonline")</f>
        <v>Ahaonline</v>
      </c>
      <c r="D85" s="4" t="str">
        <f ca="1">IFERROR(__xludf.DUMMYFUNCTION("""COMPUTED_VALUE"""),"https://ahaonline.cz")</f>
        <v>https://ahaonline.cz</v>
      </c>
      <c r="E85" s="3" t="str">
        <f ca="1">IFERROR(__xludf.DUMMYFUNCTION("""COMPUTED_VALUE"""),"celý web")</f>
        <v>celý web</v>
      </c>
      <c r="F85" s="4" t="str">
        <f ca="1">IFERROR(__xludf.DUMMYFUNCTION("""COMPUTED_VALUE"""),"https://ahaonline.cz")</f>
        <v>https://ahaonline.cz</v>
      </c>
      <c r="G85" s="3" t="str">
        <f ca="1">IFERROR(__xludf.DUMMYFUNCTION("""COMPUTED_VALUE"""),"nativní rectangle cross-device low season")</f>
        <v>nativní rectangle cross-device low season</v>
      </c>
      <c r="H85" s="3">
        <f ca="1">IFERROR(__xludf.DUMMYFUNCTION("""COMPUTED_VALUE"""),7)</f>
        <v>7</v>
      </c>
      <c r="I85" s="5">
        <f ca="1">IFERROR(__xludf.DUMMYFUNCTION("""COMPUTED_VALUE"""),1000)</f>
        <v>1000</v>
      </c>
      <c r="J85" s="5">
        <f ca="1">IFERROR(__xludf.DUMMYFUNCTION("""COMPUTED_VALUE"""),200)</f>
        <v>200</v>
      </c>
      <c r="K85" s="3"/>
      <c r="L85" s="3" t="str">
        <f ca="1">IFERROR(__xludf.DUMMYFUNCTION("""COMPUTED_VALUE"""),"Cost per period")</f>
        <v>Cost per period</v>
      </c>
      <c r="M85" s="3"/>
      <c r="N85" s="3"/>
      <c r="O85" s="3" t="str">
        <f ca="1">IFERROR(__xludf.DUMMYFUNCTION("""COMPUTED_VALUE"""),"640")</f>
        <v>640</v>
      </c>
      <c r="P85" s="3" t="str">
        <f ca="1">IFERROR(__xludf.DUMMYFUNCTION("""COMPUTED_VALUE"""),"335, 640")</f>
        <v>335, 640</v>
      </c>
      <c r="Q85" s="3" t="str">
        <f ca="1">IFERROR(__xludf.DUMMYFUNCTION("""COMPUTED_VALUE"""),"640x640 a 640x335 + text + logo")</f>
        <v>640x640 a 640x335 + text + logo</v>
      </c>
      <c r="R85" s="3"/>
      <c r="S85" s="3" t="str">
        <f ca="1">IFERROR(__xludf.DUMMYFUNCTION("""COMPUTED_VALUE"""),"45")</f>
        <v>45</v>
      </c>
      <c r="T85" s="3"/>
      <c r="U85" s="3" t="str">
        <f ca="1">IFERROR(__xludf.DUMMYFUNCTION("""COMPUTED_VALUE"""),"nativní reklama")</f>
        <v>nativní reklama</v>
      </c>
      <c r="V85" s="3"/>
      <c r="W85" s="4" t="str">
        <f ca="1">IFERROR(__xludf.DUMMYFUNCTION("""COMPUTED_VALUE"""),"https://reklama.cncenter.cz/Online/nativni-rectangle-cross-device")</f>
        <v>https://reklama.cncenter.cz/Online/nativni-rectangle-cross-device</v>
      </c>
      <c r="X85" s="3"/>
      <c r="Y85" s="3"/>
      <c r="Z85" s="3" t="str">
        <f ca="1">IFERROR(__xludf.DUMMYFUNCTION("""COMPUTED_VALUE"""),"podklady@cncenter.cz")</f>
        <v>podklady@cncenter.cz</v>
      </c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 t="str">
        <f ca="1">IFERROR(__xludf.DUMMYFUNCTION("""COMPUTED_VALUE"""),"cross-device")</f>
        <v>cross-device</v>
      </c>
      <c r="AO85" s="3"/>
      <c r="AP85" s="3"/>
      <c r="AQ85" s="3"/>
      <c r="AR85" s="3"/>
      <c r="AS85" s="3"/>
      <c r="AT85" s="3"/>
      <c r="AU85" s="3" t="str">
        <f ca="1">IFERROR(__xludf.DUMMYFUNCTION("""COMPUTED_VALUE"""),"nativní rectangle cross-device")</f>
        <v>nativní rectangle cross-device</v>
      </c>
    </row>
    <row r="86" spans="1:47" x14ac:dyDescent="0.3">
      <c r="A86" s="3">
        <f ca="1"/>
        <v>2346826</v>
      </c>
      <c r="B86" s="3" t="str">
        <f ca="1"/>
        <v>CZECH NEWS CENTER a. s.</v>
      </c>
      <c r="C86" s="3" t="str">
        <f ca="1">IFERROR(__xludf.DUMMYFUNCTION("""COMPUTED_VALUE"""),"Ahaonline")</f>
        <v>Ahaonline</v>
      </c>
      <c r="D86" s="4" t="str">
        <f ca="1">IFERROR(__xludf.DUMMYFUNCTION("""COMPUTED_VALUE"""),"https://ahaonline.cz")</f>
        <v>https://ahaonline.cz</v>
      </c>
      <c r="E86" s="3" t="str">
        <f ca="1">IFERROR(__xludf.DUMMYFUNCTION("""COMPUTED_VALUE"""),"celý web")</f>
        <v>celý web</v>
      </c>
      <c r="F86" s="4" t="str">
        <f ca="1">IFERROR(__xludf.DUMMYFUNCTION("""COMPUTED_VALUE"""),"https://ahaonline.cz")</f>
        <v>https://ahaonline.cz</v>
      </c>
      <c r="G86" s="3" t="str">
        <f ca="1">IFERROR(__xludf.DUMMYFUNCTION("""COMPUTED_VALUE"""),"outstream low season")</f>
        <v>outstream low season</v>
      </c>
      <c r="H86" s="3">
        <f ca="1">IFERROR(__xludf.DUMMYFUNCTION("""COMPUTED_VALUE"""),7)</f>
        <v>7</v>
      </c>
      <c r="I86" s="5">
        <f ca="1">IFERROR(__xludf.DUMMYFUNCTION("""COMPUTED_VALUE"""),1000)</f>
        <v>1000</v>
      </c>
      <c r="J86" s="5">
        <f ca="1">IFERROR(__xludf.DUMMYFUNCTION("""COMPUTED_VALUE"""),250)</f>
        <v>250</v>
      </c>
      <c r="K86" s="3"/>
      <c r="L86" s="3" t="str">
        <f ca="1">IFERROR(__xludf.DUMMYFUNCTION("""COMPUTED_VALUE"""),"Cost per period")</f>
        <v>Cost per period</v>
      </c>
      <c r="M86" s="3"/>
      <c r="N86" s="3"/>
      <c r="O86" s="3" t="str">
        <f ca="1">IFERROR(__xludf.DUMMYFUNCTION("""COMPUTED_VALUE"""),"1280")</f>
        <v>1280</v>
      </c>
      <c r="P86" s="3" t="str">
        <f ca="1">IFERROR(__xludf.DUMMYFUNCTION("""COMPUTED_VALUE"""),"720")</f>
        <v>720</v>
      </c>
      <c r="Q86" s="3" t="str">
        <f ca="1">IFERROR(__xludf.DUMMYFUNCTION("""COMPUTED_VALUE"""),"16:9")</f>
        <v>16:9</v>
      </c>
      <c r="R86" s="3"/>
      <c r="S86" s="3" t="str">
        <f ca="1">IFERROR(__xludf.DUMMYFUNCTION("""COMPUTED_VALUE"""),"100")</f>
        <v>100</v>
      </c>
      <c r="T86" s="3"/>
      <c r="U86" s="3" t="str">
        <f ca="1">IFERROR(__xludf.DUMMYFUNCTION("""COMPUTED_VALUE"""),"videospot")</f>
        <v>videospot</v>
      </c>
      <c r="V86" s="3"/>
      <c r="W86" s="4" t="str">
        <f ca="1">IFERROR(__xludf.DUMMYFUNCTION("""COMPUTED_VALUE"""),"https://reklama.cncenter.cz/Online/Outstream")</f>
        <v>https://reklama.cncenter.cz/Online/Outstream</v>
      </c>
      <c r="X86" s="3"/>
      <c r="Y86" s="3"/>
      <c r="Z86" s="3" t="str">
        <f ca="1">IFERROR(__xludf.DUMMYFUNCTION("""COMPUTED_VALUE"""),"podklady@cncenter.cz")</f>
        <v>podklady@cncenter.cz</v>
      </c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 t="str">
        <f ca="1">IFERROR(__xludf.DUMMYFUNCTION("""COMPUTED_VALUE"""),"cross-device")</f>
        <v>cross-device</v>
      </c>
      <c r="AO86" s="3"/>
      <c r="AP86" s="3"/>
      <c r="AQ86" s="3"/>
      <c r="AR86" s="3"/>
      <c r="AS86" s="3"/>
      <c r="AT86" s="3"/>
      <c r="AU86" s="3" t="str">
        <f ca="1">IFERROR(__xludf.DUMMYFUNCTION("""COMPUTED_VALUE"""),"outstream")</f>
        <v>outstream</v>
      </c>
    </row>
    <row r="87" spans="1:47" x14ac:dyDescent="0.3">
      <c r="A87" s="3">
        <f ca="1"/>
        <v>2346826</v>
      </c>
      <c r="B87" s="3" t="str">
        <f ca="1"/>
        <v>CZECH NEWS CENTER a. s.</v>
      </c>
      <c r="C87" s="3" t="str">
        <f ca="1">IFERROR(__xludf.DUMMYFUNCTION("""COMPUTED_VALUE"""),"Ahaonline")</f>
        <v>Ahaonline</v>
      </c>
      <c r="D87" s="4" t="str">
        <f ca="1">IFERROR(__xludf.DUMMYFUNCTION("""COMPUTED_VALUE"""),"https://ahaonline.cz")</f>
        <v>https://ahaonline.cz</v>
      </c>
      <c r="E87" s="3" t="str">
        <f ca="1">IFERROR(__xludf.DUMMYFUNCTION("""COMPUTED_VALUE"""),"celý web")</f>
        <v>celý web</v>
      </c>
      <c r="F87" s="4" t="str">
        <f ca="1">IFERROR(__xludf.DUMMYFUNCTION("""COMPUTED_VALUE"""),"https://ahaonline.cz")</f>
        <v>https://ahaonline.cz</v>
      </c>
      <c r="G87" s="3" t="str">
        <f ca="1">IFERROR(__xludf.DUMMYFUNCTION("""COMPUTED_VALUE"""),"PR článek low season")</f>
        <v>PR článek low season</v>
      </c>
      <c r="H87" s="3">
        <f ca="1">IFERROR(__xludf.DUMMYFUNCTION("""COMPUTED_VALUE"""),1)</f>
        <v>1</v>
      </c>
      <c r="I87" s="5">
        <f ca="1">IFERROR(__xludf.DUMMYFUNCTION("""COMPUTED_VALUE"""),1)</f>
        <v>1</v>
      </c>
      <c r="J87" s="5">
        <f ca="1">IFERROR(__xludf.DUMMYFUNCTION("""COMPUTED_VALUE"""),30000)</f>
        <v>30000</v>
      </c>
      <c r="K87" s="3"/>
      <c r="L87" s="3" t="str">
        <f ca="1">IFERROR(__xludf.DUMMYFUNCTION("""COMPUTED_VALUE"""),"Cost per instance")</f>
        <v>Cost per instance</v>
      </c>
      <c r="M87" s="3"/>
      <c r="N87" s="3"/>
      <c r="O87" s="3"/>
      <c r="P87" s="3"/>
      <c r="Q87" s="3"/>
      <c r="R87" s="3"/>
      <c r="S87" s="3" t="str">
        <f ca="1">IFERROR(__xludf.DUMMYFUNCTION("""COMPUTED_VALUE"""),"100")</f>
        <v>100</v>
      </c>
      <c r="T87" s="3"/>
      <c r="U87" s="3" t="str">
        <f ca="1">IFERROR(__xludf.DUMMYFUNCTION("""COMPUTED_VALUE"""),"pr článek")</f>
        <v>pr článek</v>
      </c>
      <c r="V87" s="3"/>
      <c r="W87" s="4" t="str">
        <f ca="1">IFERROR(__xludf.DUMMYFUNCTION("""COMPUTED_VALUE"""),"https://reklama.cncenter.cz/?ads=PR%2520%25C4%258Dl%25C3%25A1nky")</f>
        <v>https://reklama.cncenter.cz/?ads=PR%2520%25C4%258Dl%25C3%25A1nky</v>
      </c>
      <c r="X87" s="3"/>
      <c r="Y87" s="3"/>
      <c r="Z87" s="3" t="str">
        <f ca="1">IFERROR(__xludf.DUMMYFUNCTION("""COMPUTED_VALUE"""),"podklady@cncenter.cz")</f>
        <v>podklady@cncenter.cz</v>
      </c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 t="str">
        <f ca="1">IFERROR(__xludf.DUMMYFUNCTION("""COMPUTED_VALUE"""),"cross-device")</f>
        <v>cross-device</v>
      </c>
      <c r="AO87" s="3"/>
      <c r="AP87" s="3"/>
      <c r="AQ87" s="3"/>
      <c r="AR87" s="3"/>
      <c r="AS87" s="3"/>
      <c r="AT87" s="3"/>
      <c r="AU87" s="3" t="str">
        <f ca="1">IFERROR(__xludf.DUMMYFUNCTION("""COMPUTED_VALUE"""),"PR článek")</f>
        <v>PR článek</v>
      </c>
    </row>
    <row r="88" spans="1:47" x14ac:dyDescent="0.3">
      <c r="A88" s="3">
        <f ca="1"/>
        <v>2346826</v>
      </c>
      <c r="B88" s="3" t="str">
        <f ca="1"/>
        <v>CZECH NEWS CENTER a. s.</v>
      </c>
      <c r="C88" s="3" t="str">
        <f ca="1">IFERROR(__xludf.DUMMYFUNCTION("""COMPUTED_VALUE"""),"Ahaonline")</f>
        <v>Ahaonline</v>
      </c>
      <c r="D88" s="4" t="str">
        <f ca="1">IFERROR(__xludf.DUMMYFUNCTION("""COMPUTED_VALUE"""),"https://ahaonline.cz")</f>
        <v>https://ahaonline.cz</v>
      </c>
      <c r="E88" s="3" t="str">
        <f ca="1">IFERROR(__xludf.DUMMYFUNCTION("""COMPUTED_VALUE"""),"celý web")</f>
        <v>celý web</v>
      </c>
      <c r="F88" s="4" t="str">
        <f ca="1">IFERROR(__xludf.DUMMYFUNCTION("""COMPUTED_VALUE"""),"https://ahaonline.cz")</f>
        <v>https://ahaonline.cz</v>
      </c>
      <c r="G88" s="3" t="str">
        <f ca="1">IFERROR(__xludf.DUMMYFUNCTION("""COMPUTED_VALUE"""),"Prodloužení existující microsite, bez úprav low season")</f>
        <v>Prodloužení existující microsite, bez úprav low season</v>
      </c>
      <c r="H88" s="3">
        <f ca="1">IFERROR(__xludf.DUMMYFUNCTION("""COMPUTED_VALUE"""),1)</f>
        <v>1</v>
      </c>
      <c r="I88" s="5">
        <f ca="1">IFERROR(__xludf.DUMMYFUNCTION("""COMPUTED_VALUE"""),1)</f>
        <v>1</v>
      </c>
      <c r="J88" s="5">
        <f ca="1">IFERROR(__xludf.DUMMYFUNCTION("""COMPUTED_VALUE"""),15000)</f>
        <v>15000</v>
      </c>
      <c r="K88" s="3"/>
      <c r="L88" s="3" t="str">
        <f ca="1">IFERROR(__xludf.DUMMYFUNCTION("""COMPUTED_VALUE"""),"Cost per instance")</f>
        <v>Cost per instance</v>
      </c>
      <c r="M88" s="3"/>
      <c r="N88" s="3"/>
      <c r="O88" s="3"/>
      <c r="P88" s="3"/>
      <c r="Q88" s="3"/>
      <c r="R88" s="3"/>
      <c r="S88" s="3" t="str">
        <f ca="1">IFERROR(__xludf.DUMMYFUNCTION("""COMPUTED_VALUE"""),"100")</f>
        <v>100</v>
      </c>
      <c r="T88" s="3"/>
      <c r="U88" s="3" t="str">
        <f ca="1">IFERROR(__xludf.DUMMYFUNCTION("""COMPUTED_VALUE"""),"microsite")</f>
        <v>microsite</v>
      </c>
      <c r="V88" s="3"/>
      <c r="W88" s="3"/>
      <c r="X88" s="3"/>
      <c r="Y88" s="3"/>
      <c r="Z88" s="3" t="str">
        <f ca="1">IFERROR(__xludf.DUMMYFUNCTION("""COMPUTED_VALUE"""),"podklady@cncenter.cz")</f>
        <v>podklady@cncenter.cz</v>
      </c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 t="str">
        <f ca="1">IFERROR(__xludf.DUMMYFUNCTION("""COMPUTED_VALUE"""),"cross-device")</f>
        <v>cross-device</v>
      </c>
      <c r="AO88" s="3"/>
      <c r="AP88" s="3"/>
      <c r="AQ88" s="3"/>
      <c r="AR88" s="3"/>
      <c r="AS88" s="3"/>
      <c r="AT88" s="3"/>
      <c r="AU88" s="3" t="str">
        <f ca="1">IFERROR(__xludf.DUMMYFUNCTION("""COMPUTED_VALUE"""),"Prodloužení existující microsite, bez úprav")</f>
        <v>Prodloužení existující microsite, bez úprav</v>
      </c>
    </row>
    <row r="89" spans="1:47" x14ac:dyDescent="0.3">
      <c r="A89" s="3">
        <f ca="1"/>
        <v>2346826</v>
      </c>
      <c r="B89" s="3" t="str">
        <f ca="1"/>
        <v>CZECH NEWS CENTER a. s.</v>
      </c>
      <c r="C89" s="3" t="str">
        <f ca="1">IFERROR(__xludf.DUMMYFUNCTION("""COMPUTED_VALUE"""),"Ahaonline")</f>
        <v>Ahaonline</v>
      </c>
      <c r="D89" s="4" t="str">
        <f ca="1">IFERROR(__xludf.DUMMYFUNCTION("""COMPUTED_VALUE"""),"https://ahaonline.cz")</f>
        <v>https://ahaonline.cz</v>
      </c>
      <c r="E89" s="3" t="str">
        <f ca="1">IFERROR(__xludf.DUMMYFUNCTION("""COMPUTED_VALUE"""),"celý web")</f>
        <v>celý web</v>
      </c>
      <c r="F89" s="4" t="str">
        <f ca="1">IFERROR(__xludf.DUMMYFUNCTION("""COMPUTED_VALUE"""),"https://ahaonline.cz")</f>
        <v>https://ahaonline.cz</v>
      </c>
      <c r="G89" s="3" t="str">
        <f ca="1">IFERROR(__xludf.DUMMYFUNCTION("""COMPUTED_VALUE"""),"Prodloužení existující microsite, bez úprav low season")</f>
        <v>Prodloužení existující microsite, bez úprav low season</v>
      </c>
      <c r="H89" s="3">
        <f ca="1">IFERROR(__xludf.DUMMYFUNCTION("""COMPUTED_VALUE"""),1)</f>
        <v>1</v>
      </c>
      <c r="I89" s="5">
        <f ca="1">IFERROR(__xludf.DUMMYFUNCTION("""COMPUTED_VALUE"""),1)</f>
        <v>1</v>
      </c>
      <c r="J89" s="5">
        <f ca="1">IFERROR(__xludf.DUMMYFUNCTION("""COMPUTED_VALUE"""),15000)</f>
        <v>15000</v>
      </c>
      <c r="K89" s="3"/>
      <c r="L89" s="3" t="str">
        <f ca="1">IFERROR(__xludf.DUMMYFUNCTION("""COMPUTED_VALUE"""),"Cost per instance")</f>
        <v>Cost per instance</v>
      </c>
      <c r="M89" s="3"/>
      <c r="N89" s="3"/>
      <c r="O89" s="3"/>
      <c r="P89" s="3"/>
      <c r="Q89" s="3"/>
      <c r="R89" s="3"/>
      <c r="S89" s="3" t="str">
        <f ca="1">IFERROR(__xludf.DUMMYFUNCTION("""COMPUTED_VALUE"""),"100")</f>
        <v>100</v>
      </c>
      <c r="T89" s="3"/>
      <c r="U89" s="3" t="str">
        <f ca="1">IFERROR(__xludf.DUMMYFUNCTION("""COMPUTED_VALUE"""),"microsite")</f>
        <v>microsite</v>
      </c>
      <c r="V89" s="3"/>
      <c r="W89" s="3"/>
      <c r="X89" s="3"/>
      <c r="Y89" s="3"/>
      <c r="Z89" s="3" t="str">
        <f ca="1">IFERROR(__xludf.DUMMYFUNCTION("""COMPUTED_VALUE"""),"podklady@cncenter.cz")</f>
        <v>podklady@cncenter.cz</v>
      </c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 t="str">
        <f ca="1">IFERROR(__xludf.DUMMYFUNCTION("""COMPUTED_VALUE"""),"cross-device")</f>
        <v>cross-device</v>
      </c>
      <c r="AO89" s="3"/>
      <c r="AP89" s="3"/>
      <c r="AQ89" s="3"/>
      <c r="AR89" s="3"/>
      <c r="AS89" s="3"/>
      <c r="AT89" s="3"/>
      <c r="AU89" s="3" t="str">
        <f ca="1">IFERROR(__xludf.DUMMYFUNCTION("""COMPUTED_VALUE"""),"Prodloužení existující microsite, bez úprav")</f>
        <v>Prodloužení existující microsite, bez úprav</v>
      </c>
    </row>
    <row r="90" spans="1:47" x14ac:dyDescent="0.3">
      <c r="A90" s="3">
        <f ca="1"/>
        <v>2346826</v>
      </c>
      <c r="B90" s="3" t="str">
        <f ca="1"/>
        <v>CZECH NEWS CENTER a. s.</v>
      </c>
      <c r="C90" s="3" t="str">
        <f ca="1">IFERROR(__xludf.DUMMYFUNCTION("""COMPUTED_VALUE"""),"Ahaonline")</f>
        <v>Ahaonline</v>
      </c>
      <c r="D90" s="4" t="str">
        <f ca="1">IFERROR(__xludf.DUMMYFUNCTION("""COMPUTED_VALUE"""),"https://ahaonline.cz")</f>
        <v>https://ahaonline.cz</v>
      </c>
      <c r="E90" s="3" t="str">
        <f ca="1">IFERROR(__xludf.DUMMYFUNCTION("""COMPUTED_VALUE"""),"celý web")</f>
        <v>celý web</v>
      </c>
      <c r="F90" s="4" t="str">
        <f ca="1">IFERROR(__xludf.DUMMYFUNCTION("""COMPUTED_VALUE"""),"https://ahaonline.cz")</f>
        <v>https://ahaonline.cz</v>
      </c>
      <c r="G90" s="3" t="str">
        <f ca="1">IFERROR(__xludf.DUMMYFUNCTION("""COMPUTED_VALUE"""),"Prodloužení existující microsite, bez úprav low season")</f>
        <v>Prodloužení existující microsite, bez úprav low season</v>
      </c>
      <c r="H90" s="3">
        <f ca="1">IFERROR(__xludf.DUMMYFUNCTION("""COMPUTED_VALUE"""),1)</f>
        <v>1</v>
      </c>
      <c r="I90" s="5">
        <f ca="1">IFERROR(__xludf.DUMMYFUNCTION("""COMPUTED_VALUE"""),1)</f>
        <v>1</v>
      </c>
      <c r="J90" s="5">
        <f ca="1">IFERROR(__xludf.DUMMYFUNCTION("""COMPUTED_VALUE"""),15000)</f>
        <v>15000</v>
      </c>
      <c r="K90" s="3"/>
      <c r="L90" s="3" t="str">
        <f ca="1">IFERROR(__xludf.DUMMYFUNCTION("""COMPUTED_VALUE"""),"Cost per instance")</f>
        <v>Cost per instance</v>
      </c>
      <c r="M90" s="3"/>
      <c r="N90" s="3"/>
      <c r="O90" s="3"/>
      <c r="P90" s="3"/>
      <c r="Q90" s="3"/>
      <c r="R90" s="3"/>
      <c r="S90" s="3" t="str">
        <f ca="1">IFERROR(__xludf.DUMMYFUNCTION("""COMPUTED_VALUE"""),"100")</f>
        <v>100</v>
      </c>
      <c r="T90" s="3"/>
      <c r="U90" s="3" t="str">
        <f ca="1">IFERROR(__xludf.DUMMYFUNCTION("""COMPUTED_VALUE"""),"microsite")</f>
        <v>microsite</v>
      </c>
      <c r="V90" s="3"/>
      <c r="W90" s="3"/>
      <c r="X90" s="3"/>
      <c r="Y90" s="3"/>
      <c r="Z90" s="3" t="str">
        <f ca="1">IFERROR(__xludf.DUMMYFUNCTION("""COMPUTED_VALUE"""),"podklady@cncenter.cz")</f>
        <v>podklady@cncenter.cz</v>
      </c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 t="str">
        <f ca="1">IFERROR(__xludf.DUMMYFUNCTION("""COMPUTED_VALUE"""),"cross-device")</f>
        <v>cross-device</v>
      </c>
      <c r="AO90" s="3"/>
      <c r="AP90" s="3"/>
      <c r="AQ90" s="3"/>
      <c r="AR90" s="3"/>
      <c r="AS90" s="3"/>
      <c r="AT90" s="3"/>
      <c r="AU90" s="3" t="str">
        <f ca="1">IFERROR(__xludf.DUMMYFUNCTION("""COMPUTED_VALUE"""),"Prodloužení existující microsite, bez úprav")</f>
        <v>Prodloužení existující microsite, bez úprav</v>
      </c>
    </row>
    <row r="91" spans="1:47" x14ac:dyDescent="0.3">
      <c r="A91" s="3">
        <f ca="1"/>
        <v>2346826</v>
      </c>
      <c r="B91" s="3" t="str">
        <f ca="1"/>
        <v>CZECH NEWS CENTER a. s.</v>
      </c>
      <c r="C91" s="3" t="str">
        <f ca="1">IFERROR(__xludf.DUMMYFUNCTION("""COMPUTED_VALUE"""),"Ahaonline")</f>
        <v>Ahaonline</v>
      </c>
      <c r="D91" s="4" t="str">
        <f ca="1">IFERROR(__xludf.DUMMYFUNCTION("""COMPUTED_VALUE"""),"https://ahaonline.cz")</f>
        <v>https://ahaonline.cz</v>
      </c>
      <c r="E91" s="3" t="str">
        <f ca="1">IFERROR(__xludf.DUMMYFUNCTION("""COMPUTED_VALUE"""),"celý web")</f>
        <v>celý web</v>
      </c>
      <c r="F91" s="4" t="str">
        <f ca="1">IFERROR(__xludf.DUMMYFUNCTION("""COMPUTED_VALUE"""),"https://ahaonline.cz")</f>
        <v>https://ahaonline.cz</v>
      </c>
      <c r="G91" s="3" t="str">
        <f ca="1">IFERROR(__xludf.DUMMYFUNCTION("""COMPUTED_VALUE"""),"videospot - max. 30 sec. / bumper low season")</f>
        <v>videospot - max. 30 sec. / bumper low season</v>
      </c>
      <c r="H91" s="3">
        <f ca="1">IFERROR(__xludf.DUMMYFUNCTION("""COMPUTED_VALUE"""),7)</f>
        <v>7</v>
      </c>
      <c r="I91" s="5">
        <f ca="1">IFERROR(__xludf.DUMMYFUNCTION("""COMPUTED_VALUE"""),1000)</f>
        <v>1000</v>
      </c>
      <c r="J91" s="5">
        <f ca="1">IFERROR(__xludf.DUMMYFUNCTION("""COMPUTED_VALUE"""),740)</f>
        <v>740</v>
      </c>
      <c r="K91" s="3"/>
      <c r="L91" s="3" t="str">
        <f ca="1">IFERROR(__xludf.DUMMYFUNCTION("""COMPUTED_VALUE"""),"Cost per period")</f>
        <v>Cost per period</v>
      </c>
      <c r="M91" s="3"/>
      <c r="N91" s="3"/>
      <c r="O91" s="3" t="str">
        <f ca="1">IFERROR(__xludf.DUMMYFUNCTION("""COMPUTED_VALUE"""),"1280")</f>
        <v>1280</v>
      </c>
      <c r="P91" s="3" t="str">
        <f ca="1">IFERROR(__xludf.DUMMYFUNCTION("""COMPUTED_VALUE"""),"720")</f>
        <v>720</v>
      </c>
      <c r="Q91" s="3" t="str">
        <f ca="1">IFERROR(__xludf.DUMMYFUNCTION("""COMPUTED_VALUE"""),"16:9 / umístění po domluvě dle možností")</f>
        <v>16:9 / umístění po domluvě dle možností</v>
      </c>
      <c r="R91" s="3" t="str">
        <f ca="1">IFERROR(__xludf.DUMMYFUNCTION("""COMPUTED_VALUE"""),"přeskočení po 7 sekundách")</f>
        <v>přeskočení po 7 sekundách</v>
      </c>
      <c r="S91" s="3" t="str">
        <f ca="1">IFERROR(__xludf.DUMMYFUNCTION("""COMPUTED_VALUE"""),"100")</f>
        <v>100</v>
      </c>
      <c r="T91" s="3"/>
      <c r="U91" s="3" t="str">
        <f ca="1">IFERROR(__xludf.DUMMYFUNCTION("""COMPUTED_VALUE"""),"videospot")</f>
        <v>videospot</v>
      </c>
      <c r="V91" s="3"/>
      <c r="W91" s="4" t="str">
        <f ca="1">IFERROR(__xludf.DUMMYFUNCTION("""COMPUTED_VALUE"""),"https://reklama.cncenter.cz/Online/Bumper")</f>
        <v>https://reklama.cncenter.cz/Online/Bumper</v>
      </c>
      <c r="X91" s="3"/>
      <c r="Y91" s="3"/>
      <c r="Z91" s="3" t="str">
        <f ca="1">IFERROR(__xludf.DUMMYFUNCTION("""COMPUTED_VALUE"""),"podklady@cncenter.cz")</f>
        <v>podklady@cncenter.cz</v>
      </c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 t="str">
        <f ca="1">IFERROR(__xludf.DUMMYFUNCTION("""COMPUTED_VALUE"""),"cross-device")</f>
        <v>cross-device</v>
      </c>
      <c r="AO91" s="3"/>
      <c r="AP91" s="3"/>
      <c r="AQ91" s="3"/>
      <c r="AR91" s="3"/>
      <c r="AS91" s="3"/>
      <c r="AT91" s="3"/>
      <c r="AU91" s="3" t="str">
        <f ca="1">IFERROR(__xludf.DUMMYFUNCTION("""COMPUTED_VALUE"""),"videospot - max. 30 sec. / bumper")</f>
        <v>videospot - max. 30 sec. / bumper</v>
      </c>
    </row>
    <row r="92" spans="1:47" x14ac:dyDescent="0.3">
      <c r="A92" s="3">
        <f ca="1"/>
        <v>2346826</v>
      </c>
      <c r="B92" s="3" t="str">
        <f ca="1"/>
        <v>CZECH NEWS CENTER a. s.</v>
      </c>
      <c r="C92" s="3" t="str">
        <f ca="1">IFERROR(__xludf.DUMMYFUNCTION("""COMPUTED_VALUE"""),"Auto")</f>
        <v>Auto</v>
      </c>
      <c r="D92" s="4" t="str">
        <f ca="1">IFERROR(__xludf.DUMMYFUNCTION("""COMPUTED_VALUE"""),"https://auto.cz")</f>
        <v>https://auto.cz</v>
      </c>
      <c r="E92" s="3" t="str">
        <f ca="1">IFERROR(__xludf.DUMMYFUNCTION("""COMPUTED_VALUE"""),"celý web")</f>
        <v>celý web</v>
      </c>
      <c r="F92" s="4" t="str">
        <f ca="1">IFERROR(__xludf.DUMMYFUNCTION("""COMPUTED_VALUE"""),"https://auto.cz")</f>
        <v>https://auto.cz</v>
      </c>
      <c r="G92" s="3" t="str">
        <f ca="1">IFERROR(__xludf.DUMMYFUNCTION("""COMPUTED_VALUE"""),"Advertorial low season")</f>
        <v>Advertorial low season</v>
      </c>
      <c r="H92" s="3">
        <f ca="1">IFERROR(__xludf.DUMMYFUNCTION("""COMPUTED_VALUE"""),1)</f>
        <v>1</v>
      </c>
      <c r="I92" s="5">
        <f ca="1">IFERROR(__xludf.DUMMYFUNCTION("""COMPUTED_VALUE"""),1)</f>
        <v>1</v>
      </c>
      <c r="J92" s="5">
        <f ca="1">IFERROR(__xludf.DUMMYFUNCTION("""COMPUTED_VALUE"""),90000)</f>
        <v>90000</v>
      </c>
      <c r="K92" s="3"/>
      <c r="L92" s="3" t="str">
        <f ca="1">IFERROR(__xludf.DUMMYFUNCTION("""COMPUTED_VALUE"""),"Cost per instance")</f>
        <v>Cost per instance</v>
      </c>
      <c r="M92" s="3"/>
      <c r="N92" s="3"/>
      <c r="O92" s="3"/>
      <c r="P92" s="3"/>
      <c r="Q92" s="3"/>
      <c r="R92" s="3"/>
      <c r="S92" s="3" t="str">
        <f ca="1">IFERROR(__xludf.DUMMYFUNCTION("""COMPUTED_VALUE"""),"100")</f>
        <v>100</v>
      </c>
      <c r="T92" s="3"/>
      <c r="U92" s="3" t="str">
        <f ca="1">IFERROR(__xludf.DUMMYFUNCTION("""COMPUTED_VALUE"""),"pr článek")</f>
        <v>pr článek</v>
      </c>
      <c r="V92" s="3"/>
      <c r="W92" s="3"/>
      <c r="X92" s="3"/>
      <c r="Y92" s="3"/>
      <c r="Z92" s="3" t="str">
        <f ca="1">IFERROR(__xludf.DUMMYFUNCTION("""COMPUTED_VALUE"""),"podklady@cncenter.cz")</f>
        <v>podklady@cncenter.cz</v>
      </c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 t="str">
        <f ca="1">IFERROR(__xludf.DUMMYFUNCTION("""COMPUTED_VALUE"""),"cross-device")</f>
        <v>cross-device</v>
      </c>
      <c r="AO92" s="3"/>
      <c r="AP92" s="3"/>
      <c r="AQ92" s="3"/>
      <c r="AR92" s="3"/>
      <c r="AS92" s="3"/>
      <c r="AT92" s="3"/>
      <c r="AU92" s="3" t="str">
        <f ca="1">IFERROR(__xludf.DUMMYFUNCTION("""COMPUTED_VALUE"""),"Advertorial")</f>
        <v>Advertorial</v>
      </c>
    </row>
    <row r="93" spans="1:47" x14ac:dyDescent="0.3">
      <c r="A93" s="3">
        <f ca="1"/>
        <v>2346826</v>
      </c>
      <c r="B93" s="3" t="str">
        <f ca="1"/>
        <v>CZECH NEWS CENTER a. s.</v>
      </c>
      <c r="C93" s="3" t="str">
        <f ca="1">IFERROR(__xludf.DUMMYFUNCTION("""COMPUTED_VALUE"""),"Auto")</f>
        <v>Auto</v>
      </c>
      <c r="D93" s="4" t="str">
        <f ca="1">IFERROR(__xludf.DUMMYFUNCTION("""COMPUTED_VALUE"""),"https://auto.cz")</f>
        <v>https://auto.cz</v>
      </c>
      <c r="E93" s="3" t="str">
        <f ca="1">IFERROR(__xludf.DUMMYFUNCTION("""COMPUTED_VALUE"""),"celý web")</f>
        <v>celý web</v>
      </c>
      <c r="F93" s="4" t="str">
        <f ca="1">IFERROR(__xludf.DUMMYFUNCTION("""COMPUTED_VALUE"""),"https://auto.cz")</f>
        <v>https://auto.cz</v>
      </c>
      <c r="G93" s="3" t="str">
        <f ca="1">IFERROR(__xludf.DUMMYFUNCTION("""COMPUTED_VALUE"""),"billboard bottom low season")</f>
        <v>billboard bottom low season</v>
      </c>
      <c r="H93" s="3">
        <f ca="1">IFERROR(__xludf.DUMMYFUNCTION("""COMPUTED_VALUE"""),7)</f>
        <v>7</v>
      </c>
      <c r="I93" s="5">
        <f ca="1">IFERROR(__xludf.DUMMYFUNCTION("""COMPUTED_VALUE"""),1000)</f>
        <v>1000</v>
      </c>
      <c r="J93" s="5">
        <f ca="1">IFERROR(__xludf.DUMMYFUNCTION("""COMPUTED_VALUE"""),240)</f>
        <v>240</v>
      </c>
      <c r="K93" s="3"/>
      <c r="L93" s="3" t="str">
        <f ca="1">IFERROR(__xludf.DUMMYFUNCTION("""COMPUTED_VALUE"""),"Cost per period")</f>
        <v>Cost per period</v>
      </c>
      <c r="M93" s="3"/>
      <c r="N93" s="3"/>
      <c r="O93" s="3" t="str">
        <f ca="1">IFERROR(__xludf.DUMMYFUNCTION("""COMPUTED_VALUE"""),"970")</f>
        <v>970</v>
      </c>
      <c r="P93" s="3" t="str">
        <f ca="1">IFERROR(__xludf.DUMMYFUNCTION("""COMPUTED_VALUE"""),"250")</f>
        <v>250</v>
      </c>
      <c r="Q93" s="3" t="str">
        <f ca="1">IFERROR(__xludf.DUMMYFUNCTION("""COMPUTED_VALUE"""),"970x250")</f>
        <v>970x250</v>
      </c>
      <c r="R93" s="3"/>
      <c r="S93" s="3" t="str">
        <f ca="1">IFERROR(__xludf.DUMMYFUNCTION("""COMPUTED_VALUE"""),"100 (200 - HTML5)")</f>
        <v>100 (200 - HTML5)</v>
      </c>
      <c r="T93" s="3"/>
      <c r="U93" s="3" t="str">
        <f ca="1">IFERROR(__xludf.DUMMYFUNCTION("""COMPUTED_VALUE"""),"banner standard")</f>
        <v>banner standard</v>
      </c>
      <c r="V93" s="3"/>
      <c r="W93" s="4" t="str">
        <f ca="1">IFERROR(__xludf.DUMMYFUNCTION("""COMPUTED_VALUE"""),"https://reklama.cncenter.cz/Online/billboard-bottom")</f>
        <v>https://reklama.cncenter.cz/Online/billboard-bottom</v>
      </c>
      <c r="X93" s="3"/>
      <c r="Y93" s="3"/>
      <c r="Z93" s="3" t="str">
        <f ca="1">IFERROR(__xludf.DUMMYFUNCTION("""COMPUTED_VALUE"""),"podklady@cncenter.cz")</f>
        <v>podklady@cncenter.cz</v>
      </c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 t="str">
        <f ca="1">IFERROR(__xludf.DUMMYFUNCTION("""COMPUTED_VALUE"""),"desktop")</f>
        <v>desktop</v>
      </c>
      <c r="AO93" s="3"/>
      <c r="AP93" s="3"/>
      <c r="AQ93" s="3"/>
      <c r="AR93" s="3"/>
      <c r="AS93" s="3"/>
      <c r="AT93" s="3"/>
      <c r="AU93" s="3" t="str">
        <f ca="1">IFERROR(__xludf.DUMMYFUNCTION("""COMPUTED_VALUE"""),"billboard bottom")</f>
        <v>billboard bottom</v>
      </c>
    </row>
    <row r="94" spans="1:47" x14ac:dyDescent="0.3">
      <c r="A94" s="3">
        <f ca="1"/>
        <v>2346826</v>
      </c>
      <c r="B94" s="3" t="str">
        <f ca="1"/>
        <v>CZECH NEWS CENTER a. s.</v>
      </c>
      <c r="C94" s="3" t="str">
        <f ca="1">IFERROR(__xludf.DUMMYFUNCTION("""COMPUTED_VALUE"""),"Auto")</f>
        <v>Auto</v>
      </c>
      <c r="D94" s="4" t="str">
        <f ca="1">IFERROR(__xludf.DUMMYFUNCTION("""COMPUTED_VALUE"""),"https://auto.cz")</f>
        <v>https://auto.cz</v>
      </c>
      <c r="E94" s="3" t="str">
        <f ca="1">IFERROR(__xludf.DUMMYFUNCTION("""COMPUTED_VALUE"""),"celý web")</f>
        <v>celý web</v>
      </c>
      <c r="F94" s="4" t="str">
        <f ca="1">IFERROR(__xludf.DUMMYFUNCTION("""COMPUTED_VALUE"""),"https://auto.cz")</f>
        <v>https://auto.cz</v>
      </c>
      <c r="G94" s="3" t="str">
        <f ca="1">IFERROR(__xludf.DUMMYFUNCTION("""COMPUTED_VALUE"""),"branding cross-device low season")</f>
        <v>branding cross-device low season</v>
      </c>
      <c r="H94" s="3">
        <f ca="1">IFERROR(__xludf.DUMMYFUNCTION("""COMPUTED_VALUE"""),7)</f>
        <v>7</v>
      </c>
      <c r="I94" s="5">
        <f ca="1">IFERROR(__xludf.DUMMYFUNCTION("""COMPUTED_VALUE"""),1000)</f>
        <v>1000</v>
      </c>
      <c r="J94" s="5">
        <f ca="1">IFERROR(__xludf.DUMMYFUNCTION("""COMPUTED_VALUE"""),300)</f>
        <v>300</v>
      </c>
      <c r="K94" s="3"/>
      <c r="L94" s="3" t="str">
        <f ca="1">IFERROR(__xludf.DUMMYFUNCTION("""COMPUTED_VALUE"""),"Cost per period")</f>
        <v>Cost per period</v>
      </c>
      <c r="M94" s="3"/>
      <c r="N94" s="3"/>
      <c r="O94" s="3" t="str">
        <f ca="1">IFERROR(__xludf.DUMMYFUNCTION("""COMPUTED_VALUE"""),"2000")</f>
        <v>2000</v>
      </c>
      <c r="P94" s="3" t="str">
        <f ca="1">IFERROR(__xludf.DUMMYFUNCTION("""COMPUTED_VALUE"""),"1400")</f>
        <v>1400</v>
      </c>
      <c r="Q94" s="3" t="str">
        <f ca="1">IFERROR(__xludf.DUMMYFUNCTION("""COMPUTED_VALUE"""),"2000x1400 + 600x1080")</f>
        <v>2000x1400 + 600x1080</v>
      </c>
      <c r="R94" s="3"/>
      <c r="S94" s="3" t="str">
        <f ca="1">IFERROR(__xludf.DUMMYFUNCTION("""COMPUTED_VALUE"""),"500 (600 - HTLM5)")</f>
        <v>500 (600 - HTLM5)</v>
      </c>
      <c r="T94" s="3"/>
      <c r="U94" s="3" t="str">
        <f ca="1">IFERROR(__xludf.DUMMYFUNCTION("""COMPUTED_VALUE"""),"banner standard")</f>
        <v>banner standard</v>
      </c>
      <c r="V94" s="3"/>
      <c r="W94" s="4" t="str">
        <f ca="1">IFERROR(__xludf.DUMMYFUNCTION("""COMPUTED_VALUE"""),"https://reklama.cncenter.cz/Online/branding-cross-device")</f>
        <v>https://reklama.cncenter.cz/Online/branding-cross-device</v>
      </c>
      <c r="X94" s="3"/>
      <c r="Y94" s="3"/>
      <c r="Z94" s="3" t="str">
        <f ca="1">IFERROR(__xludf.DUMMYFUNCTION("""COMPUTED_VALUE"""),"podklady@cncenter.cz")</f>
        <v>podklady@cncenter.cz</v>
      </c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 t="str">
        <f ca="1">IFERROR(__xludf.DUMMYFUNCTION("""COMPUTED_VALUE"""),"cross-device")</f>
        <v>cross-device</v>
      </c>
      <c r="AO94" s="3"/>
      <c r="AP94" s="3"/>
      <c r="AQ94" s="3"/>
      <c r="AR94" s="3"/>
      <c r="AS94" s="3"/>
      <c r="AT94" s="3"/>
      <c r="AU94" s="3" t="str">
        <f ca="1">IFERROR(__xludf.DUMMYFUNCTION("""COMPUTED_VALUE"""),"branding cross-device")</f>
        <v>branding cross-device</v>
      </c>
    </row>
    <row r="95" spans="1:47" x14ac:dyDescent="0.3">
      <c r="A95" s="3">
        <f ca="1"/>
        <v>2346826</v>
      </c>
      <c r="B95" s="3" t="str">
        <f ca="1"/>
        <v>CZECH NEWS CENTER a. s.</v>
      </c>
      <c r="C95" s="3" t="str">
        <f ca="1">IFERROR(__xludf.DUMMYFUNCTION("""COMPUTED_VALUE"""),"Auto")</f>
        <v>Auto</v>
      </c>
      <c r="D95" s="4" t="str">
        <f ca="1">IFERROR(__xludf.DUMMYFUNCTION("""COMPUTED_VALUE"""),"https://auto.cz")</f>
        <v>https://auto.cz</v>
      </c>
      <c r="E95" s="3" t="str">
        <f ca="1">IFERROR(__xludf.DUMMYFUNCTION("""COMPUTED_VALUE"""),"celý web")</f>
        <v>celý web</v>
      </c>
      <c r="F95" s="4" t="str">
        <f ca="1">IFERROR(__xludf.DUMMYFUNCTION("""COMPUTED_VALUE"""),"https://auto.cz")</f>
        <v>https://auto.cz</v>
      </c>
      <c r="G95" s="3" t="str">
        <f ca="1">IFERROR(__xludf.DUMMYFUNCTION("""COMPUTED_VALUE"""),"branding low season")</f>
        <v>branding low season</v>
      </c>
      <c r="H95" s="3">
        <f ca="1">IFERROR(__xludf.DUMMYFUNCTION("""COMPUTED_VALUE"""),7)</f>
        <v>7</v>
      </c>
      <c r="I95" s="5">
        <f ca="1">IFERROR(__xludf.DUMMYFUNCTION("""COMPUTED_VALUE"""),1000)</f>
        <v>1000</v>
      </c>
      <c r="J95" s="5">
        <f ca="1">IFERROR(__xludf.DUMMYFUNCTION("""COMPUTED_VALUE"""),490)</f>
        <v>490</v>
      </c>
      <c r="K95" s="3"/>
      <c r="L95" s="3" t="str">
        <f ca="1">IFERROR(__xludf.DUMMYFUNCTION("""COMPUTED_VALUE"""),"Cost per period")</f>
        <v>Cost per period</v>
      </c>
      <c r="M95" s="3"/>
      <c r="N95" s="3"/>
      <c r="O95" s="3" t="str">
        <f ca="1">IFERROR(__xludf.DUMMYFUNCTION("""COMPUTED_VALUE"""),"2000")</f>
        <v>2000</v>
      </c>
      <c r="P95" s="3" t="str">
        <f ca="1">IFERROR(__xludf.DUMMYFUNCTION("""COMPUTED_VALUE"""),"1400")</f>
        <v>1400</v>
      </c>
      <c r="Q95" s="3" t="str">
        <f ca="1">IFERROR(__xludf.DUMMYFUNCTION("""COMPUTED_VALUE"""),"2000x1400")</f>
        <v>2000x1400</v>
      </c>
      <c r="R95" s="3"/>
      <c r="S95" s="3" t="str">
        <f ca="1">IFERROR(__xludf.DUMMYFUNCTION("""COMPUTED_VALUE"""),"500 + 200 (600+200 HTML5)")</f>
        <v>500 + 200 (600+200 HTML5)</v>
      </c>
      <c r="T95" s="3"/>
      <c r="U95" s="3" t="str">
        <f ca="1">IFERROR(__xludf.DUMMYFUNCTION("""COMPUTED_VALUE"""),"banner standard")</f>
        <v>banner standard</v>
      </c>
      <c r="V95" s="3"/>
      <c r="W95" s="4" t="str">
        <f ca="1">IFERROR(__xludf.DUMMYFUNCTION("""COMPUTED_VALUE"""),"https://reklama.cncenter.cz/Online/branding")</f>
        <v>https://reklama.cncenter.cz/Online/branding</v>
      </c>
      <c r="X95" s="3"/>
      <c r="Y95" s="3"/>
      <c r="Z95" s="3" t="str">
        <f ca="1">IFERROR(__xludf.DUMMYFUNCTION("""COMPUTED_VALUE"""),"podklady@cncenter.cz")</f>
        <v>podklady@cncenter.cz</v>
      </c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 t="str">
        <f ca="1">IFERROR(__xludf.DUMMYFUNCTION("""COMPUTED_VALUE"""),"desktop")</f>
        <v>desktop</v>
      </c>
      <c r="AO95" s="3"/>
      <c r="AP95" s="3"/>
      <c r="AQ95" s="3"/>
      <c r="AR95" s="3"/>
      <c r="AS95" s="3"/>
      <c r="AT95" s="3"/>
      <c r="AU95" s="3" t="str">
        <f ca="1">IFERROR(__xludf.DUMMYFUNCTION("""COMPUTED_VALUE"""),"branding")</f>
        <v>branding</v>
      </c>
    </row>
    <row r="96" spans="1:47" x14ac:dyDescent="0.3">
      <c r="A96" s="3">
        <f ca="1"/>
        <v>2346826</v>
      </c>
      <c r="B96" s="3" t="str">
        <f ca="1"/>
        <v>CZECH NEWS CENTER a. s.</v>
      </c>
      <c r="C96" s="3" t="str">
        <f ca="1">IFERROR(__xludf.DUMMYFUNCTION("""COMPUTED_VALUE"""),"Auto")</f>
        <v>Auto</v>
      </c>
      <c r="D96" s="4" t="str">
        <f ca="1">IFERROR(__xludf.DUMMYFUNCTION("""COMPUTED_VALUE"""),"https://auto.cz")</f>
        <v>https://auto.cz</v>
      </c>
      <c r="E96" s="3" t="str">
        <f ca="1">IFERROR(__xludf.DUMMYFUNCTION("""COMPUTED_VALUE"""),"celý web")</f>
        <v>celý web</v>
      </c>
      <c r="F96" s="4" t="str">
        <f ca="1">IFERROR(__xludf.DUMMYFUNCTION("""COMPUTED_VALUE"""),"https://auto.cz")</f>
        <v>https://auto.cz</v>
      </c>
      <c r="G96" s="3" t="str">
        <f ca="1">IFERROR(__xludf.DUMMYFUNCTION("""COMPUTED_VALUE"""),"cílený billboard bottom low season")</f>
        <v>cílený billboard bottom low season</v>
      </c>
      <c r="H96" s="3">
        <f ca="1">IFERROR(__xludf.DUMMYFUNCTION("""COMPUTED_VALUE"""),7)</f>
        <v>7</v>
      </c>
      <c r="I96" s="5">
        <f ca="1">IFERROR(__xludf.DUMMYFUNCTION("""COMPUTED_VALUE"""),1000)</f>
        <v>1000</v>
      </c>
      <c r="J96" s="5">
        <f ca="1">IFERROR(__xludf.DUMMYFUNCTION("""COMPUTED_VALUE"""),288)</f>
        <v>288</v>
      </c>
      <c r="K96" s="3"/>
      <c r="L96" s="3" t="str">
        <f ca="1">IFERROR(__xludf.DUMMYFUNCTION("""COMPUTED_VALUE"""),"Cost per period")</f>
        <v>Cost per period</v>
      </c>
      <c r="M96" s="3"/>
      <c r="N96" s="3"/>
      <c r="O96" s="3" t="str">
        <f ca="1">IFERROR(__xludf.DUMMYFUNCTION("""COMPUTED_VALUE"""),"970")</f>
        <v>970</v>
      </c>
      <c r="P96" s="3" t="str">
        <f ca="1">IFERROR(__xludf.DUMMYFUNCTION("""COMPUTED_VALUE"""),"250")</f>
        <v>250</v>
      </c>
      <c r="Q96" s="3" t="str">
        <f ca="1">IFERROR(__xludf.DUMMYFUNCTION("""COMPUTED_VALUE"""),"970x250")</f>
        <v>970x250</v>
      </c>
      <c r="R96" s="3"/>
      <c r="S96" s="3" t="str">
        <f ca="1">IFERROR(__xludf.DUMMYFUNCTION("""COMPUTED_VALUE"""),"100 (200 - HTML5)")</f>
        <v>100 (200 - HTML5)</v>
      </c>
      <c r="T96" s="3"/>
      <c r="U96" s="3" t="str">
        <f ca="1">IFERROR(__xludf.DUMMYFUNCTION("""COMPUTED_VALUE"""),"banner standard")</f>
        <v>banner standard</v>
      </c>
      <c r="V96" s="3"/>
      <c r="W96" s="4" t="str">
        <f ca="1">IFERROR(__xludf.DUMMYFUNCTION("""COMPUTED_VALUE"""),"https://reklama.cncenter.cz/Online/billboard-bottom")</f>
        <v>https://reklama.cncenter.cz/Online/billboard-bottom</v>
      </c>
      <c r="X96" s="3"/>
      <c r="Y96" s="3"/>
      <c r="Z96" s="3" t="str">
        <f ca="1">IFERROR(__xludf.DUMMYFUNCTION("""COMPUTED_VALUE"""),"podklady@cncenter.cz")</f>
        <v>podklady@cncenter.cz</v>
      </c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 t="str">
        <f ca="1">IFERROR(__xludf.DUMMYFUNCTION("""COMPUTED_VALUE"""),"desktop")</f>
        <v>desktop</v>
      </c>
      <c r="AO96" s="3"/>
      <c r="AP96" s="3"/>
      <c r="AQ96" s="3"/>
      <c r="AR96" s="3"/>
      <c r="AS96" s="3"/>
      <c r="AT96" s="3"/>
      <c r="AU96" s="3" t="str">
        <f ca="1">IFERROR(__xludf.DUMMYFUNCTION("""COMPUTED_VALUE"""),"cílený billboard bottom")</f>
        <v>cílený billboard bottom</v>
      </c>
    </row>
    <row r="97" spans="1:47" x14ac:dyDescent="0.3">
      <c r="A97" s="3">
        <f ca="1"/>
        <v>2346826</v>
      </c>
      <c r="B97" s="3" t="str">
        <f ca="1"/>
        <v>CZECH NEWS CENTER a. s.</v>
      </c>
      <c r="C97" s="3" t="str">
        <f ca="1">IFERROR(__xludf.DUMMYFUNCTION("""COMPUTED_VALUE"""),"Auto")</f>
        <v>Auto</v>
      </c>
      <c r="D97" s="4" t="str">
        <f ca="1">IFERROR(__xludf.DUMMYFUNCTION("""COMPUTED_VALUE"""),"https://auto.cz")</f>
        <v>https://auto.cz</v>
      </c>
      <c r="E97" s="3" t="str">
        <f ca="1">IFERROR(__xludf.DUMMYFUNCTION("""COMPUTED_VALUE"""),"celý web")</f>
        <v>celý web</v>
      </c>
      <c r="F97" s="4" t="str">
        <f ca="1">IFERROR(__xludf.DUMMYFUNCTION("""COMPUTED_VALUE"""),"https://auto.cz")</f>
        <v>https://auto.cz</v>
      </c>
      <c r="G97" s="3" t="str">
        <f ca="1">IFERROR(__xludf.DUMMYFUNCTION("""COMPUTED_VALUE"""),"cílený branding cross-device low season")</f>
        <v>cílený branding cross-device low season</v>
      </c>
      <c r="H97" s="3">
        <f ca="1">IFERROR(__xludf.DUMMYFUNCTION("""COMPUTED_VALUE"""),7)</f>
        <v>7</v>
      </c>
      <c r="I97" s="5">
        <f ca="1">IFERROR(__xludf.DUMMYFUNCTION("""COMPUTED_VALUE"""),1000)</f>
        <v>1000</v>
      </c>
      <c r="J97" s="5">
        <f ca="1">IFERROR(__xludf.DUMMYFUNCTION("""COMPUTED_VALUE"""),360)</f>
        <v>360</v>
      </c>
      <c r="K97" s="3"/>
      <c r="L97" s="3" t="str">
        <f ca="1">IFERROR(__xludf.DUMMYFUNCTION("""COMPUTED_VALUE"""),"Cost per period")</f>
        <v>Cost per period</v>
      </c>
      <c r="M97" s="3"/>
      <c r="N97" s="3"/>
      <c r="O97" s="3" t="str">
        <f ca="1">IFERROR(__xludf.DUMMYFUNCTION("""COMPUTED_VALUE"""),"2000")</f>
        <v>2000</v>
      </c>
      <c r="P97" s="3" t="str">
        <f ca="1">IFERROR(__xludf.DUMMYFUNCTION("""COMPUTED_VALUE"""),"1400")</f>
        <v>1400</v>
      </c>
      <c r="Q97" s="3" t="str">
        <f ca="1">IFERROR(__xludf.DUMMYFUNCTION("""COMPUTED_VALUE"""),"2000x1400 + 600x1080")</f>
        <v>2000x1400 + 600x1080</v>
      </c>
      <c r="R97" s="3"/>
      <c r="S97" s="3" t="str">
        <f ca="1">IFERROR(__xludf.DUMMYFUNCTION("""COMPUTED_VALUE"""),"500 (600 - HTLM5)")</f>
        <v>500 (600 - HTLM5)</v>
      </c>
      <c r="T97" s="3"/>
      <c r="U97" s="3" t="str">
        <f ca="1">IFERROR(__xludf.DUMMYFUNCTION("""COMPUTED_VALUE"""),"banner standard")</f>
        <v>banner standard</v>
      </c>
      <c r="V97" s="3"/>
      <c r="W97" s="4" t="str">
        <f ca="1">IFERROR(__xludf.DUMMYFUNCTION("""COMPUTED_VALUE"""),"https://reklama.cncenter.cz/Online/branding-cross-device")</f>
        <v>https://reklama.cncenter.cz/Online/branding-cross-device</v>
      </c>
      <c r="X97" s="3"/>
      <c r="Y97" s="3"/>
      <c r="Z97" s="3" t="str">
        <f ca="1">IFERROR(__xludf.DUMMYFUNCTION("""COMPUTED_VALUE"""),"podklady@cncenter.cz")</f>
        <v>podklady@cncenter.cz</v>
      </c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 t="str">
        <f ca="1">IFERROR(__xludf.DUMMYFUNCTION("""COMPUTED_VALUE"""),"cross-device")</f>
        <v>cross-device</v>
      </c>
      <c r="AO97" s="3"/>
      <c r="AP97" s="3"/>
      <c r="AQ97" s="3"/>
      <c r="AR97" s="3"/>
      <c r="AS97" s="3"/>
      <c r="AT97" s="3"/>
      <c r="AU97" s="3" t="str">
        <f ca="1">IFERROR(__xludf.DUMMYFUNCTION("""COMPUTED_VALUE"""),"cílený branding cross-device")</f>
        <v>cílený branding cross-device</v>
      </c>
    </row>
    <row r="98" spans="1:47" x14ac:dyDescent="0.3">
      <c r="A98" s="3">
        <f ca="1"/>
        <v>2346826</v>
      </c>
      <c r="B98" s="3" t="str">
        <f ca="1"/>
        <v>CZECH NEWS CENTER a. s.</v>
      </c>
      <c r="C98" s="3" t="str">
        <f ca="1">IFERROR(__xludf.DUMMYFUNCTION("""COMPUTED_VALUE"""),"Auto")</f>
        <v>Auto</v>
      </c>
      <c r="D98" s="4" t="str">
        <f ca="1">IFERROR(__xludf.DUMMYFUNCTION("""COMPUTED_VALUE"""),"https://auto.cz")</f>
        <v>https://auto.cz</v>
      </c>
      <c r="E98" s="3" t="str">
        <f ca="1">IFERROR(__xludf.DUMMYFUNCTION("""COMPUTED_VALUE"""),"celý web")</f>
        <v>celý web</v>
      </c>
      <c r="F98" s="4" t="str">
        <f ca="1">IFERROR(__xludf.DUMMYFUNCTION("""COMPUTED_VALUE"""),"https://auto.cz")</f>
        <v>https://auto.cz</v>
      </c>
      <c r="G98" s="3" t="str">
        <f ca="1">IFERROR(__xludf.DUMMYFUNCTION("""COMPUTED_VALUE"""),"cílený branding low season")</f>
        <v>cílený branding low season</v>
      </c>
      <c r="H98" s="3">
        <f ca="1">IFERROR(__xludf.DUMMYFUNCTION("""COMPUTED_VALUE"""),7)</f>
        <v>7</v>
      </c>
      <c r="I98" s="5">
        <f ca="1">IFERROR(__xludf.DUMMYFUNCTION("""COMPUTED_VALUE"""),1000)</f>
        <v>1000</v>
      </c>
      <c r="J98" s="5">
        <f ca="1">IFERROR(__xludf.DUMMYFUNCTION("""COMPUTED_VALUE"""),588)</f>
        <v>588</v>
      </c>
      <c r="K98" s="3"/>
      <c r="L98" s="3" t="str">
        <f ca="1">IFERROR(__xludf.DUMMYFUNCTION("""COMPUTED_VALUE"""),"Cost per period")</f>
        <v>Cost per period</v>
      </c>
      <c r="M98" s="3"/>
      <c r="N98" s="3"/>
      <c r="O98" s="3" t="str">
        <f ca="1">IFERROR(__xludf.DUMMYFUNCTION("""COMPUTED_VALUE"""),"2000")</f>
        <v>2000</v>
      </c>
      <c r="P98" s="3" t="str">
        <f ca="1">IFERROR(__xludf.DUMMYFUNCTION("""COMPUTED_VALUE"""),"1400")</f>
        <v>1400</v>
      </c>
      <c r="Q98" s="3" t="str">
        <f ca="1">IFERROR(__xludf.DUMMYFUNCTION("""COMPUTED_VALUE"""),"2000x1400")</f>
        <v>2000x1400</v>
      </c>
      <c r="R98" s="3"/>
      <c r="S98" s="3" t="str">
        <f ca="1">IFERROR(__xludf.DUMMYFUNCTION("""COMPUTED_VALUE"""),"500 + 200 (600+200 HTML5)")</f>
        <v>500 + 200 (600+200 HTML5)</v>
      </c>
      <c r="T98" s="3"/>
      <c r="U98" s="3" t="str">
        <f ca="1">IFERROR(__xludf.DUMMYFUNCTION("""COMPUTED_VALUE"""),"banner standard")</f>
        <v>banner standard</v>
      </c>
      <c r="V98" s="3"/>
      <c r="W98" s="4" t="str">
        <f ca="1">IFERROR(__xludf.DUMMYFUNCTION("""COMPUTED_VALUE"""),"https://reklama.cncenter.cz/Online/branding")</f>
        <v>https://reklama.cncenter.cz/Online/branding</v>
      </c>
      <c r="X98" s="3"/>
      <c r="Y98" s="3"/>
      <c r="Z98" s="3" t="str">
        <f ca="1">IFERROR(__xludf.DUMMYFUNCTION("""COMPUTED_VALUE"""),"podklady@cncenter.cz")</f>
        <v>podklady@cncenter.cz</v>
      </c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 t="str">
        <f ca="1">IFERROR(__xludf.DUMMYFUNCTION("""COMPUTED_VALUE"""),"desktop")</f>
        <v>desktop</v>
      </c>
      <c r="AO98" s="3"/>
      <c r="AP98" s="3"/>
      <c r="AQ98" s="3"/>
      <c r="AR98" s="3"/>
      <c r="AS98" s="3"/>
      <c r="AT98" s="3"/>
      <c r="AU98" s="3" t="str">
        <f ca="1">IFERROR(__xludf.DUMMYFUNCTION("""COMPUTED_VALUE"""),"cílený branding")</f>
        <v>cílený branding</v>
      </c>
    </row>
    <row r="99" spans="1:47" x14ac:dyDescent="0.3">
      <c r="A99" s="3">
        <f ca="1"/>
        <v>2346826</v>
      </c>
      <c r="B99" s="3" t="str">
        <f ca="1"/>
        <v>CZECH NEWS CENTER a. s.</v>
      </c>
      <c r="C99" s="3" t="str">
        <f ca="1">IFERROR(__xludf.DUMMYFUNCTION("""COMPUTED_VALUE"""),"Auto")</f>
        <v>Auto</v>
      </c>
      <c r="D99" s="4" t="str">
        <f ca="1">IFERROR(__xludf.DUMMYFUNCTION("""COMPUTED_VALUE"""),"https://auto.cz")</f>
        <v>https://auto.cz</v>
      </c>
      <c r="E99" s="3" t="str">
        <f ca="1">IFERROR(__xludf.DUMMYFUNCTION("""COMPUTED_VALUE"""),"celý web")</f>
        <v>celý web</v>
      </c>
      <c r="F99" s="4" t="str">
        <f ca="1">IFERROR(__xludf.DUMMYFUNCTION("""COMPUTED_VALUE"""),"https://auto.cz")</f>
        <v>https://auto.cz</v>
      </c>
      <c r="G99" s="3" t="str">
        <f ca="1">IFERROR(__xludf.DUMMYFUNCTION("""COMPUTED_VALUE"""),"cílený double skyscraper low season")</f>
        <v>cílený double skyscraper low season</v>
      </c>
      <c r="H99" s="3">
        <f ca="1">IFERROR(__xludf.DUMMYFUNCTION("""COMPUTED_VALUE"""),7)</f>
        <v>7</v>
      </c>
      <c r="I99" s="5">
        <f ca="1">IFERROR(__xludf.DUMMYFUNCTION("""COMPUTED_VALUE"""),1000)</f>
        <v>1000</v>
      </c>
      <c r="J99" s="5">
        <f ca="1">IFERROR(__xludf.DUMMYFUNCTION("""COMPUTED_VALUE"""),228)</f>
        <v>228</v>
      </c>
      <c r="K99" s="3"/>
      <c r="L99" s="3" t="str">
        <f ca="1">IFERROR(__xludf.DUMMYFUNCTION("""COMPUTED_VALUE"""),"Cost per period")</f>
        <v>Cost per period</v>
      </c>
      <c r="M99" s="3"/>
      <c r="N99" s="3"/>
      <c r="O99" s="3" t="str">
        <f ca="1">IFERROR(__xludf.DUMMYFUNCTION("""COMPUTED_VALUE"""),"300")</f>
        <v>300</v>
      </c>
      <c r="P99" s="3" t="str">
        <f ca="1">IFERROR(__xludf.DUMMYFUNCTION("""COMPUTED_VALUE"""),"600")</f>
        <v>600</v>
      </c>
      <c r="Q99" s="3" t="str">
        <f ca="1">IFERROR(__xludf.DUMMYFUNCTION("""COMPUTED_VALUE"""),"300x600")</f>
        <v>300x600</v>
      </c>
      <c r="R99" s="3"/>
      <c r="S99" s="3" t="str">
        <f ca="1">IFERROR(__xludf.DUMMYFUNCTION("""COMPUTED_VALUE"""),"100 (200 - HTML5)")</f>
        <v>100 (200 - HTML5)</v>
      </c>
      <c r="T99" s="3"/>
      <c r="U99" s="3" t="str">
        <f ca="1">IFERROR(__xludf.DUMMYFUNCTION("""COMPUTED_VALUE"""),"banner standard")</f>
        <v>banner standard</v>
      </c>
      <c r="V99" s="3"/>
      <c r="W99" s="4" t="str">
        <f ca="1">IFERROR(__xludf.DUMMYFUNCTION("""COMPUTED_VALUE"""),"https://reklama.cncenter.cz/Online/double-skyscraper")</f>
        <v>https://reklama.cncenter.cz/Online/double-skyscraper</v>
      </c>
      <c r="X99" s="3"/>
      <c r="Y99" s="3"/>
      <c r="Z99" s="3" t="str">
        <f ca="1">IFERROR(__xludf.DUMMYFUNCTION("""COMPUTED_VALUE"""),"podklady@cncenter.cz")</f>
        <v>podklady@cncenter.cz</v>
      </c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 t="str">
        <f ca="1">IFERROR(__xludf.DUMMYFUNCTION("""COMPUTED_VALUE"""),"desktop")</f>
        <v>desktop</v>
      </c>
      <c r="AO99" s="3"/>
      <c r="AP99" s="3"/>
      <c r="AQ99" s="3"/>
      <c r="AR99" s="3"/>
      <c r="AS99" s="3"/>
      <c r="AT99" s="3"/>
      <c r="AU99" s="3" t="str">
        <f ca="1">IFERROR(__xludf.DUMMYFUNCTION("""COMPUTED_VALUE"""),"cílený double skyscraper")</f>
        <v>cílený double skyscraper</v>
      </c>
    </row>
    <row r="100" spans="1:47" x14ac:dyDescent="0.3">
      <c r="A100" s="3">
        <f ca="1"/>
        <v>2346826</v>
      </c>
      <c r="B100" s="3" t="str">
        <f ca="1"/>
        <v>CZECH NEWS CENTER a. s.</v>
      </c>
      <c r="C100" s="3" t="str">
        <f ca="1">IFERROR(__xludf.DUMMYFUNCTION("""COMPUTED_VALUE"""),"Auto")</f>
        <v>Auto</v>
      </c>
      <c r="D100" s="4" t="str">
        <f ca="1">IFERROR(__xludf.DUMMYFUNCTION("""COMPUTED_VALUE"""),"https://auto.cz")</f>
        <v>https://auto.cz</v>
      </c>
      <c r="E100" s="3" t="str">
        <f ca="1">IFERROR(__xludf.DUMMYFUNCTION("""COMPUTED_VALUE"""),"celý web")</f>
        <v>celý web</v>
      </c>
      <c r="F100" s="4" t="str">
        <f ca="1">IFERROR(__xludf.DUMMYFUNCTION("""COMPUTED_VALUE"""),"https://auto.cz")</f>
        <v>https://auto.cz</v>
      </c>
      <c r="G100" s="3" t="str">
        <f ca="1">IFERROR(__xludf.DUMMYFUNCTION("""COMPUTED_VALUE"""),"cílený mini videospot - max. 30 sec. low season")</f>
        <v>cílený mini videospot - max. 30 sec. low season</v>
      </c>
      <c r="H100" s="3">
        <f ca="1">IFERROR(__xludf.DUMMYFUNCTION("""COMPUTED_VALUE"""),7)</f>
        <v>7</v>
      </c>
      <c r="I100" s="5">
        <f ca="1">IFERROR(__xludf.DUMMYFUNCTION("""COMPUTED_VALUE"""),1000)</f>
        <v>1000</v>
      </c>
      <c r="J100" s="5">
        <f ca="1">IFERROR(__xludf.DUMMYFUNCTION("""COMPUTED_VALUE"""),168)</f>
        <v>168</v>
      </c>
      <c r="K100" s="3"/>
      <c r="L100" s="3" t="str">
        <f ca="1">IFERROR(__xludf.DUMMYFUNCTION("""COMPUTED_VALUE"""),"Cost per period")</f>
        <v>Cost per period</v>
      </c>
      <c r="M100" s="3"/>
      <c r="N100" s="3"/>
      <c r="O100" s="3"/>
      <c r="P100" s="3"/>
      <c r="Q100" s="3" t="str">
        <f ca="1">IFERROR(__xludf.DUMMYFUNCTION("""COMPUTED_VALUE"""),"16:9 / umístění po domluvě dle možností")</f>
        <v>16:9 / umístění po domluvě dle možností</v>
      </c>
      <c r="R100" s="3" t="str">
        <f ca="1">IFERROR(__xludf.DUMMYFUNCTION("""COMPUTED_VALUE"""),"přeskočení po 7 sekundách")</f>
        <v>přeskočení po 7 sekundách</v>
      </c>
      <c r="S100" s="3" t="str">
        <f ca="1">IFERROR(__xludf.DUMMYFUNCTION("""COMPUTED_VALUE"""),"100")</f>
        <v>100</v>
      </c>
      <c r="T100" s="3"/>
      <c r="U100" s="3" t="str">
        <f ca="1">IFERROR(__xludf.DUMMYFUNCTION("""COMPUTED_VALUE"""),"videospot")</f>
        <v>videospot</v>
      </c>
      <c r="V100" s="3"/>
      <c r="W100" s="4" t="str">
        <f ca="1">IFERROR(__xludf.DUMMYFUNCTION("""COMPUTED_VALUE"""),"https://reklama.cncenter.cz/Online/Videospot")</f>
        <v>https://reklama.cncenter.cz/Online/Videospot</v>
      </c>
      <c r="X100" s="3"/>
      <c r="Y100" s="3"/>
      <c r="Z100" s="3" t="str">
        <f ca="1">IFERROR(__xludf.DUMMYFUNCTION("""COMPUTED_VALUE"""),"podklady@cncenter.cz")</f>
        <v>podklady@cncenter.cz</v>
      </c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 t="str">
        <f ca="1">IFERROR(__xludf.DUMMYFUNCTION("""COMPUTED_VALUE"""),"desktop")</f>
        <v>desktop</v>
      </c>
      <c r="AO100" s="3"/>
      <c r="AP100" s="3"/>
      <c r="AQ100" s="3"/>
      <c r="AR100" s="3"/>
      <c r="AS100" s="3"/>
      <c r="AT100" s="3"/>
      <c r="AU100" s="3" t="str">
        <f ca="1">IFERROR(__xludf.DUMMYFUNCTION("""COMPUTED_VALUE"""),"cílený mini videospot - max. 30 sec.")</f>
        <v>cílený mini videospot - max. 30 sec.</v>
      </c>
    </row>
    <row r="101" spans="1:47" x14ac:dyDescent="0.3">
      <c r="A101" s="3">
        <f ca="1"/>
        <v>2346826</v>
      </c>
      <c r="B101" s="3" t="str">
        <f ca="1"/>
        <v>CZECH NEWS CENTER a. s.</v>
      </c>
      <c r="C101" s="3" t="str">
        <f ca="1">IFERROR(__xludf.DUMMYFUNCTION("""COMPUTED_VALUE"""),"Auto")</f>
        <v>Auto</v>
      </c>
      <c r="D101" s="4" t="str">
        <f ca="1">IFERROR(__xludf.DUMMYFUNCTION("""COMPUTED_VALUE"""),"https://auto.cz")</f>
        <v>https://auto.cz</v>
      </c>
      <c r="E101" s="3" t="str">
        <f ca="1">IFERROR(__xludf.DUMMYFUNCTION("""COMPUTED_VALUE"""),"celý web")</f>
        <v>celý web</v>
      </c>
      <c r="F101" s="4" t="str">
        <f ca="1">IFERROR(__xludf.DUMMYFUNCTION("""COMPUTED_VALUE"""),"https://auto.cz")</f>
        <v>https://auto.cz</v>
      </c>
      <c r="G101" s="3" t="str">
        <f ca="1">IFERROR(__xludf.DUMMYFUNCTION("""COMPUTED_VALUE"""),"cílený mobilní interscroller low season")</f>
        <v>cílený mobilní interscroller low season</v>
      </c>
      <c r="H101" s="3">
        <f ca="1">IFERROR(__xludf.DUMMYFUNCTION("""COMPUTED_VALUE"""),7)</f>
        <v>7</v>
      </c>
      <c r="I101" s="5">
        <f ca="1">IFERROR(__xludf.DUMMYFUNCTION("""COMPUTED_VALUE"""),1000)</f>
        <v>1000</v>
      </c>
      <c r="J101" s="5">
        <f ca="1">IFERROR(__xludf.DUMMYFUNCTION("""COMPUTED_VALUE"""),300)</f>
        <v>300</v>
      </c>
      <c r="K101" s="3"/>
      <c r="L101" s="3" t="str">
        <f ca="1">IFERROR(__xludf.DUMMYFUNCTION("""COMPUTED_VALUE"""),"Cost per period")</f>
        <v>Cost per period</v>
      </c>
      <c r="M101" s="3"/>
      <c r="N101" s="3"/>
      <c r="O101" s="3" t="str">
        <f ca="1">IFERROR(__xludf.DUMMYFUNCTION("""COMPUTED_VALUE"""),"600")</f>
        <v>600</v>
      </c>
      <c r="P101" s="3" t="str">
        <f ca="1">IFERROR(__xludf.DUMMYFUNCTION("""COMPUTED_VALUE"""),"1080")</f>
        <v>1080</v>
      </c>
      <c r="Q101" s="3" t="str">
        <f ca="1">IFERROR(__xludf.DUMMYFUNCTION("""COMPUTED_VALUE"""),"600x1080")</f>
        <v>600x1080</v>
      </c>
      <c r="R101" s="3"/>
      <c r="S101" s="3" t="str">
        <f ca="1">IFERROR(__xludf.DUMMYFUNCTION("""COMPUTED_VALUE"""),"200")</f>
        <v>200</v>
      </c>
      <c r="T101" s="3"/>
      <c r="U101" s="3" t="str">
        <f ca="1">IFERROR(__xludf.DUMMYFUNCTION("""COMPUTED_VALUE"""),"banner standard")</f>
        <v>banner standard</v>
      </c>
      <c r="V101" s="3"/>
      <c r="W101" s="4" t="str">
        <f ca="1">IFERROR(__xludf.DUMMYFUNCTION("""COMPUTED_VALUE"""),"https://reklama.cncenter.cz/Online/mobilni-interscroller")</f>
        <v>https://reklama.cncenter.cz/Online/mobilni-interscroller</v>
      </c>
      <c r="X101" s="3"/>
      <c r="Y101" s="3"/>
      <c r="Z101" s="3" t="str">
        <f ca="1">IFERROR(__xludf.DUMMYFUNCTION("""COMPUTED_VALUE"""),"podklady@cncenter.cz")</f>
        <v>podklady@cncenter.cz</v>
      </c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 t="str">
        <f ca="1">IFERROR(__xludf.DUMMYFUNCTION("""COMPUTED_VALUE"""),"mobile")</f>
        <v>mobile</v>
      </c>
      <c r="AO101" s="3"/>
      <c r="AP101" s="3"/>
      <c r="AQ101" s="3"/>
      <c r="AR101" s="3"/>
      <c r="AS101" s="3"/>
      <c r="AT101" s="3"/>
      <c r="AU101" s="3" t="str">
        <f ca="1">IFERROR(__xludf.DUMMYFUNCTION("""COMPUTED_VALUE"""),"cílený mobilní interscroller")</f>
        <v>cílený mobilní interscroller</v>
      </c>
    </row>
    <row r="102" spans="1:47" x14ac:dyDescent="0.3">
      <c r="A102" s="3">
        <f ca="1"/>
        <v>2346826</v>
      </c>
      <c r="B102" s="3" t="str">
        <f ca="1"/>
        <v>CZECH NEWS CENTER a. s.</v>
      </c>
      <c r="C102" s="3" t="str">
        <f ca="1">IFERROR(__xludf.DUMMYFUNCTION("""COMPUTED_VALUE"""),"Auto")</f>
        <v>Auto</v>
      </c>
      <c r="D102" s="4" t="str">
        <f ca="1">IFERROR(__xludf.DUMMYFUNCTION("""COMPUTED_VALUE"""),"https://auto.cz")</f>
        <v>https://auto.cz</v>
      </c>
      <c r="E102" s="3" t="str">
        <f ca="1">IFERROR(__xludf.DUMMYFUNCTION("""COMPUTED_VALUE"""),"celý web")</f>
        <v>celý web</v>
      </c>
      <c r="F102" s="4" t="str">
        <f ca="1">IFERROR(__xludf.DUMMYFUNCTION("""COMPUTED_VALUE"""),"https://auto.cz")</f>
        <v>https://auto.cz</v>
      </c>
      <c r="G102" s="3" t="str">
        <f ca="1">IFERROR(__xludf.DUMMYFUNCTION("""COMPUTED_VALUE"""),"cílený mobilní slide-up low season")</f>
        <v>cílený mobilní slide-up low season</v>
      </c>
      <c r="H102" s="3">
        <f ca="1">IFERROR(__xludf.DUMMYFUNCTION("""COMPUTED_VALUE"""),7)</f>
        <v>7</v>
      </c>
      <c r="I102" s="5">
        <f ca="1">IFERROR(__xludf.DUMMYFUNCTION("""COMPUTED_VALUE"""),1000)</f>
        <v>1000</v>
      </c>
      <c r="J102" s="5">
        <f ca="1">IFERROR(__xludf.DUMMYFUNCTION("""COMPUTED_VALUE"""),612)</f>
        <v>612</v>
      </c>
      <c r="K102" s="3"/>
      <c r="L102" s="3" t="str">
        <f ca="1">IFERROR(__xludf.DUMMYFUNCTION("""COMPUTED_VALUE"""),"Cost per period")</f>
        <v>Cost per period</v>
      </c>
      <c r="M102" s="3"/>
      <c r="N102" s="3"/>
      <c r="O102" s="3" t="str">
        <f ca="1">IFERROR(__xludf.DUMMYFUNCTION("""COMPUTED_VALUE"""),"300")</f>
        <v>300</v>
      </c>
      <c r="P102" s="3" t="str">
        <f ca="1">IFERROR(__xludf.DUMMYFUNCTION("""COMPUTED_VALUE"""),"120")</f>
        <v>120</v>
      </c>
      <c r="Q102" s="3" t="str">
        <f ca="1">IFERROR(__xludf.DUMMYFUNCTION("""COMPUTED_VALUE"""),"300x120")</f>
        <v>300x120</v>
      </c>
      <c r="R102" s="3"/>
      <c r="S102" s="3" t="str">
        <f ca="1">IFERROR(__xludf.DUMMYFUNCTION("""COMPUTED_VALUE"""),"100")</f>
        <v>100</v>
      </c>
      <c r="T102" s="3"/>
      <c r="U102" s="3" t="str">
        <f ca="1">IFERROR(__xludf.DUMMYFUNCTION("""COMPUTED_VALUE"""),"banner standard")</f>
        <v>banner standard</v>
      </c>
      <c r="V102" s="3"/>
      <c r="W102" s="4" t="str">
        <f ca="1">IFERROR(__xludf.DUMMYFUNCTION("""COMPUTED_VALUE"""),"https://reklama.cncenter.cz/Online/mobilni-slide-up")</f>
        <v>https://reklama.cncenter.cz/Online/mobilni-slide-up</v>
      </c>
      <c r="X102" s="3"/>
      <c r="Y102" s="3"/>
      <c r="Z102" s="3" t="str">
        <f ca="1">IFERROR(__xludf.DUMMYFUNCTION("""COMPUTED_VALUE"""),"podklady@cncenter.cz")</f>
        <v>podklady@cncenter.cz</v>
      </c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 t="str">
        <f ca="1">IFERROR(__xludf.DUMMYFUNCTION("""COMPUTED_VALUE"""),"mobile")</f>
        <v>mobile</v>
      </c>
      <c r="AO102" s="3"/>
      <c r="AP102" s="3"/>
      <c r="AQ102" s="3"/>
      <c r="AR102" s="3"/>
      <c r="AS102" s="3"/>
      <c r="AT102" s="3"/>
      <c r="AU102" s="3" t="str">
        <f ca="1">IFERROR(__xludf.DUMMYFUNCTION("""COMPUTED_VALUE"""),"cílený mobilní slide-up")</f>
        <v>cílený mobilní slide-up</v>
      </c>
    </row>
    <row r="103" spans="1:47" x14ac:dyDescent="0.3">
      <c r="A103" s="3">
        <f ca="1"/>
        <v>2346826</v>
      </c>
      <c r="B103" s="3" t="str">
        <f ca="1"/>
        <v>CZECH NEWS CENTER a. s.</v>
      </c>
      <c r="C103" s="3" t="str">
        <f ca="1">IFERROR(__xludf.DUMMYFUNCTION("""COMPUTED_VALUE"""),"Auto")</f>
        <v>Auto</v>
      </c>
      <c r="D103" s="4" t="str">
        <f ca="1">IFERROR(__xludf.DUMMYFUNCTION("""COMPUTED_VALUE"""),"https://auto.cz")</f>
        <v>https://auto.cz</v>
      </c>
      <c r="E103" s="3" t="str">
        <f ca="1">IFERROR(__xludf.DUMMYFUNCTION("""COMPUTED_VALUE"""),"celý web")</f>
        <v>celý web</v>
      </c>
      <c r="F103" s="4" t="str">
        <f ca="1">IFERROR(__xludf.DUMMYFUNCTION("""COMPUTED_VALUE"""),"https://auto.cz")</f>
        <v>https://auto.cz</v>
      </c>
      <c r="G103" s="3" t="str">
        <f ca="1">IFERROR(__xludf.DUMMYFUNCTION("""COMPUTED_VALUE"""),"cílený mobilní viněta low season")</f>
        <v>cílený mobilní viněta low season</v>
      </c>
      <c r="H103" s="3">
        <f ca="1">IFERROR(__xludf.DUMMYFUNCTION("""COMPUTED_VALUE"""),7)</f>
        <v>7</v>
      </c>
      <c r="I103" s="5">
        <f ca="1">IFERROR(__xludf.DUMMYFUNCTION("""COMPUTED_VALUE"""),1000)</f>
        <v>1000</v>
      </c>
      <c r="J103" s="5">
        <f ca="1">IFERROR(__xludf.DUMMYFUNCTION("""COMPUTED_VALUE"""),1056)</f>
        <v>1056</v>
      </c>
      <c r="K103" s="3"/>
      <c r="L103" s="3" t="str">
        <f ca="1">IFERROR(__xludf.DUMMYFUNCTION("""COMPUTED_VALUE"""),"Cost per period")</f>
        <v>Cost per period</v>
      </c>
      <c r="M103" s="3"/>
      <c r="N103" s="3"/>
      <c r="O103" s="3" t="str">
        <f ca="1">IFERROR(__xludf.DUMMYFUNCTION("""COMPUTED_VALUE"""),"600")</f>
        <v>600</v>
      </c>
      <c r="P103" s="3" t="str">
        <f ca="1">IFERROR(__xludf.DUMMYFUNCTION("""COMPUTED_VALUE"""),"800")</f>
        <v>800</v>
      </c>
      <c r="Q103" s="3" t="str">
        <f ca="1">IFERROR(__xludf.DUMMYFUNCTION("""COMPUTED_VALUE"""),"300x250 nebo 600x800")</f>
        <v>300x250 nebo 600x800</v>
      </c>
      <c r="R103" s="3"/>
      <c r="S103" s="3" t="str">
        <f ca="1">IFERROR(__xludf.DUMMYFUNCTION("""COMPUTED_VALUE"""),"100")</f>
        <v>100</v>
      </c>
      <c r="T103" s="3"/>
      <c r="U103" s="3" t="str">
        <f ca="1">IFERROR(__xludf.DUMMYFUNCTION("""COMPUTED_VALUE"""),"banner standard")</f>
        <v>banner standard</v>
      </c>
      <c r="V103" s="3"/>
      <c r="W103" s="4" t="str">
        <f ca="1">IFERROR(__xludf.DUMMYFUNCTION("""COMPUTED_VALUE"""),"https://reklama.cncenter.cz/Online/mobilni-vineta")</f>
        <v>https://reklama.cncenter.cz/Online/mobilni-vineta</v>
      </c>
      <c r="X103" s="3"/>
      <c r="Y103" s="3"/>
      <c r="Z103" s="3" t="str">
        <f ca="1">IFERROR(__xludf.DUMMYFUNCTION("""COMPUTED_VALUE"""),"podklady@cncenter.cz")</f>
        <v>podklady@cncenter.cz</v>
      </c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 t="str">
        <f ca="1">IFERROR(__xludf.DUMMYFUNCTION("""COMPUTED_VALUE"""),"mobile")</f>
        <v>mobile</v>
      </c>
      <c r="AO103" s="3"/>
      <c r="AP103" s="3"/>
      <c r="AQ103" s="3"/>
      <c r="AR103" s="3"/>
      <c r="AS103" s="3"/>
      <c r="AT103" s="3"/>
      <c r="AU103" s="3" t="str">
        <f ca="1">IFERROR(__xludf.DUMMYFUNCTION("""COMPUTED_VALUE"""),"cílený mobilní viněta")</f>
        <v>cílený mobilní viněta</v>
      </c>
    </row>
    <row r="104" spans="1:47" x14ac:dyDescent="0.3">
      <c r="A104" s="3">
        <f ca="1"/>
        <v>2346826</v>
      </c>
      <c r="B104" s="3" t="str">
        <f ca="1"/>
        <v>CZECH NEWS CENTER a. s.</v>
      </c>
      <c r="C104" s="3" t="str">
        <f ca="1">IFERROR(__xludf.DUMMYFUNCTION("""COMPUTED_VALUE"""),"Auto")</f>
        <v>Auto</v>
      </c>
      <c r="D104" s="4" t="str">
        <f ca="1">IFERROR(__xludf.DUMMYFUNCTION("""COMPUTED_VALUE"""),"https://auto.cz")</f>
        <v>https://auto.cz</v>
      </c>
      <c r="E104" s="3" t="str">
        <f ca="1">IFERROR(__xludf.DUMMYFUNCTION("""COMPUTED_VALUE"""),"celý web")</f>
        <v>celý web</v>
      </c>
      <c r="F104" s="4" t="str">
        <f ca="1">IFERROR(__xludf.DUMMYFUNCTION("""COMPUTED_VALUE"""),"https://auto.cz")</f>
        <v>https://auto.cz</v>
      </c>
      <c r="G104" s="3" t="str">
        <f ca="1">IFERROR(__xludf.DUMMYFUNCTION("""COMPUTED_VALUE"""),"cílený nativní pr premium low season")</f>
        <v>cílený nativní pr premium low season</v>
      </c>
      <c r="H104" s="3">
        <f ca="1">IFERROR(__xludf.DUMMYFUNCTION("""COMPUTED_VALUE"""),7)</f>
        <v>7</v>
      </c>
      <c r="I104" s="5">
        <f ca="1">IFERROR(__xludf.DUMMYFUNCTION("""COMPUTED_VALUE"""),1000)</f>
        <v>1000</v>
      </c>
      <c r="J104" s="5">
        <f ca="1">IFERROR(__xludf.DUMMYFUNCTION("""COMPUTED_VALUE"""),120)</f>
        <v>120</v>
      </c>
      <c r="K104" s="3"/>
      <c r="L104" s="3" t="str">
        <f ca="1">IFERROR(__xludf.DUMMYFUNCTION("""COMPUTED_VALUE"""),"Cost per period")</f>
        <v>Cost per period</v>
      </c>
      <c r="M104" s="3"/>
      <c r="N104" s="3"/>
      <c r="O104" s="3" t="str">
        <f ca="1">IFERROR(__xludf.DUMMYFUNCTION("""COMPUTED_VALUE"""),"640")</f>
        <v>640</v>
      </c>
      <c r="P104" s="3" t="str">
        <f ca="1">IFERROR(__xludf.DUMMYFUNCTION("""COMPUTED_VALUE"""),"335, 640")</f>
        <v>335, 640</v>
      </c>
      <c r="Q104" s="3" t="str">
        <f ca="1">IFERROR(__xludf.DUMMYFUNCTION("""COMPUTED_VALUE"""),"640x640 a 640x335 + text + logo")</f>
        <v>640x640 a 640x335 + text + logo</v>
      </c>
      <c r="R104" s="3" t="str">
        <f ca="1">IFERROR(__xludf.DUMMYFUNCTION("""COMPUTED_VALUE"""),"detailní specifikace na URL odkaze")</f>
        <v>detailní specifikace na URL odkaze</v>
      </c>
      <c r="S104" s="3" t="str">
        <f ca="1">IFERROR(__xludf.DUMMYFUNCTION("""COMPUTED_VALUE"""),"100")</f>
        <v>100</v>
      </c>
      <c r="T104" s="3"/>
      <c r="U104" s="3" t="str">
        <f ca="1">IFERROR(__xludf.DUMMYFUNCTION("""COMPUTED_VALUE"""),"nativní reklama")</f>
        <v>nativní reklama</v>
      </c>
      <c r="V104" s="3"/>
      <c r="W104" s="4" t="str">
        <f ca="1">IFERROR(__xludf.DUMMYFUNCTION("""COMPUTED_VALUE"""),"https://reklama.cncenter.cz/Online/nativni-PR-premium")</f>
        <v>https://reklama.cncenter.cz/Online/nativni-PR-premium</v>
      </c>
      <c r="X104" s="3"/>
      <c r="Y104" s="3"/>
      <c r="Z104" s="3" t="str">
        <f ca="1">IFERROR(__xludf.DUMMYFUNCTION("""COMPUTED_VALUE"""),"podklady@cncenter.cz")</f>
        <v>podklady@cncenter.cz</v>
      </c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 t="str">
        <f ca="1">IFERROR(__xludf.DUMMYFUNCTION("""COMPUTED_VALUE"""),"cross-device")</f>
        <v>cross-device</v>
      </c>
      <c r="AO104" s="3"/>
      <c r="AP104" s="3"/>
      <c r="AQ104" s="3"/>
      <c r="AR104" s="3"/>
      <c r="AS104" s="3"/>
      <c r="AT104" s="3"/>
      <c r="AU104" s="3" t="str">
        <f ca="1">IFERROR(__xludf.DUMMYFUNCTION("""COMPUTED_VALUE"""),"cílený nativní pr premium")</f>
        <v>cílený nativní pr premium</v>
      </c>
    </row>
    <row r="105" spans="1:47" x14ac:dyDescent="0.3">
      <c r="A105" s="3">
        <f ca="1"/>
        <v>2346826</v>
      </c>
      <c r="B105" s="3" t="str">
        <f ca="1"/>
        <v>CZECH NEWS CENTER a. s.</v>
      </c>
      <c r="C105" s="3" t="str">
        <f ca="1">IFERROR(__xludf.DUMMYFUNCTION("""COMPUTED_VALUE"""),"Auto")</f>
        <v>Auto</v>
      </c>
      <c r="D105" s="4" t="str">
        <f ca="1">IFERROR(__xludf.DUMMYFUNCTION("""COMPUTED_VALUE"""),"https://auto.cz")</f>
        <v>https://auto.cz</v>
      </c>
      <c r="E105" s="3" t="str">
        <f ca="1">IFERROR(__xludf.DUMMYFUNCTION("""COMPUTED_VALUE"""),"celý web")</f>
        <v>celý web</v>
      </c>
      <c r="F105" s="4" t="str">
        <f ca="1">IFERROR(__xludf.DUMMYFUNCTION("""COMPUTED_VALUE"""),"https://auto.cz")</f>
        <v>https://auto.cz</v>
      </c>
      <c r="G105" s="3" t="str">
        <f ca="1">IFERROR(__xludf.DUMMYFUNCTION("""COMPUTED_VALUE"""),"cílený nativní rectangle cross-device low season")</f>
        <v>cílený nativní rectangle cross-device low season</v>
      </c>
      <c r="H105" s="3">
        <f ca="1">IFERROR(__xludf.DUMMYFUNCTION("""COMPUTED_VALUE"""),7)</f>
        <v>7</v>
      </c>
      <c r="I105" s="5">
        <f ca="1">IFERROR(__xludf.DUMMYFUNCTION("""COMPUTED_VALUE"""),1000)</f>
        <v>1000</v>
      </c>
      <c r="J105" s="5">
        <f ca="1">IFERROR(__xludf.DUMMYFUNCTION("""COMPUTED_VALUE"""),240)</f>
        <v>240</v>
      </c>
      <c r="K105" s="3"/>
      <c r="L105" s="3" t="str">
        <f ca="1">IFERROR(__xludf.DUMMYFUNCTION("""COMPUTED_VALUE"""),"Cost per period")</f>
        <v>Cost per period</v>
      </c>
      <c r="M105" s="3"/>
      <c r="N105" s="3"/>
      <c r="O105" s="3" t="str">
        <f ca="1">IFERROR(__xludf.DUMMYFUNCTION("""COMPUTED_VALUE"""),"640")</f>
        <v>640</v>
      </c>
      <c r="P105" s="3" t="str">
        <f ca="1">IFERROR(__xludf.DUMMYFUNCTION("""COMPUTED_VALUE"""),"335, 640")</f>
        <v>335, 640</v>
      </c>
      <c r="Q105" s="3" t="str">
        <f ca="1">IFERROR(__xludf.DUMMYFUNCTION("""COMPUTED_VALUE"""),"640x640 a 640x335 + text + logo")</f>
        <v>640x640 a 640x335 + text + logo</v>
      </c>
      <c r="R105" s="3"/>
      <c r="S105" s="3" t="str">
        <f ca="1">IFERROR(__xludf.DUMMYFUNCTION("""COMPUTED_VALUE"""),"45")</f>
        <v>45</v>
      </c>
      <c r="T105" s="3"/>
      <c r="U105" s="3" t="str">
        <f ca="1">IFERROR(__xludf.DUMMYFUNCTION("""COMPUTED_VALUE"""),"nativní reklama")</f>
        <v>nativní reklama</v>
      </c>
      <c r="V105" s="3"/>
      <c r="W105" s="4" t="str">
        <f ca="1">IFERROR(__xludf.DUMMYFUNCTION("""COMPUTED_VALUE"""),"https://reklama.cncenter.cz/Online/nativni-rectangle-cross-device")</f>
        <v>https://reklama.cncenter.cz/Online/nativni-rectangle-cross-device</v>
      </c>
      <c r="X105" s="3"/>
      <c r="Y105" s="3"/>
      <c r="Z105" s="3" t="str">
        <f ca="1">IFERROR(__xludf.DUMMYFUNCTION("""COMPUTED_VALUE"""),"podklady@cncenter.cz")</f>
        <v>podklady@cncenter.cz</v>
      </c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 t="str">
        <f ca="1">IFERROR(__xludf.DUMMYFUNCTION("""COMPUTED_VALUE"""),"cross-device")</f>
        <v>cross-device</v>
      </c>
      <c r="AO105" s="3"/>
      <c r="AP105" s="3"/>
      <c r="AQ105" s="3"/>
      <c r="AR105" s="3"/>
      <c r="AS105" s="3"/>
      <c r="AT105" s="3"/>
      <c r="AU105" s="3" t="str">
        <f ca="1">IFERROR(__xludf.DUMMYFUNCTION("""COMPUTED_VALUE"""),"cílený nativní rectangle cross-device")</f>
        <v>cílený nativní rectangle cross-device</v>
      </c>
    </row>
    <row r="106" spans="1:47" x14ac:dyDescent="0.3">
      <c r="A106" s="3">
        <f ca="1"/>
        <v>2346826</v>
      </c>
      <c r="B106" s="3" t="str">
        <f ca="1"/>
        <v>CZECH NEWS CENTER a. s.</v>
      </c>
      <c r="C106" s="3" t="str">
        <f ca="1">IFERROR(__xludf.DUMMYFUNCTION("""COMPUTED_VALUE"""),"Auto")</f>
        <v>Auto</v>
      </c>
      <c r="D106" s="4" t="str">
        <f ca="1">IFERROR(__xludf.DUMMYFUNCTION("""COMPUTED_VALUE"""),"https://auto.cz")</f>
        <v>https://auto.cz</v>
      </c>
      <c r="E106" s="3" t="str">
        <f ca="1">IFERROR(__xludf.DUMMYFUNCTION("""COMPUTED_VALUE"""),"celý web")</f>
        <v>celý web</v>
      </c>
      <c r="F106" s="4" t="str">
        <f ca="1">IFERROR(__xludf.DUMMYFUNCTION("""COMPUTED_VALUE"""),"https://auto.cz")</f>
        <v>https://auto.cz</v>
      </c>
      <c r="G106" s="3" t="str">
        <f ca="1">IFERROR(__xludf.DUMMYFUNCTION("""COMPUTED_VALUE"""),"cílený outstream low season")</f>
        <v>cílený outstream low season</v>
      </c>
      <c r="H106" s="3">
        <f ca="1">IFERROR(__xludf.DUMMYFUNCTION("""COMPUTED_VALUE"""),7)</f>
        <v>7</v>
      </c>
      <c r="I106" s="5">
        <f ca="1">IFERROR(__xludf.DUMMYFUNCTION("""COMPUTED_VALUE"""),1000)</f>
        <v>1000</v>
      </c>
      <c r="J106" s="5">
        <f ca="1">IFERROR(__xludf.DUMMYFUNCTION("""COMPUTED_VALUE"""),300)</f>
        <v>300</v>
      </c>
      <c r="K106" s="3"/>
      <c r="L106" s="3" t="str">
        <f ca="1">IFERROR(__xludf.DUMMYFUNCTION("""COMPUTED_VALUE"""),"Cost per period")</f>
        <v>Cost per period</v>
      </c>
      <c r="M106" s="3"/>
      <c r="N106" s="3"/>
      <c r="O106" s="3" t="str">
        <f ca="1">IFERROR(__xludf.DUMMYFUNCTION("""COMPUTED_VALUE"""),"1280")</f>
        <v>1280</v>
      </c>
      <c r="P106" s="3" t="str">
        <f ca="1">IFERROR(__xludf.DUMMYFUNCTION("""COMPUTED_VALUE"""),"720")</f>
        <v>720</v>
      </c>
      <c r="Q106" s="3" t="str">
        <f ca="1">IFERROR(__xludf.DUMMYFUNCTION("""COMPUTED_VALUE"""),"16:9")</f>
        <v>16:9</v>
      </c>
      <c r="R106" s="3"/>
      <c r="S106" s="3" t="str">
        <f ca="1">IFERROR(__xludf.DUMMYFUNCTION("""COMPUTED_VALUE"""),"100")</f>
        <v>100</v>
      </c>
      <c r="T106" s="3"/>
      <c r="U106" s="3" t="str">
        <f ca="1">IFERROR(__xludf.DUMMYFUNCTION("""COMPUTED_VALUE"""),"videospot")</f>
        <v>videospot</v>
      </c>
      <c r="V106" s="3"/>
      <c r="W106" s="4" t="str">
        <f ca="1">IFERROR(__xludf.DUMMYFUNCTION("""COMPUTED_VALUE"""),"https://reklama.cncenter.cz/Online/Outstream")</f>
        <v>https://reklama.cncenter.cz/Online/Outstream</v>
      </c>
      <c r="X106" s="3"/>
      <c r="Y106" s="3"/>
      <c r="Z106" s="3" t="str">
        <f ca="1">IFERROR(__xludf.DUMMYFUNCTION("""COMPUTED_VALUE"""),"podklady@cncenter.cz")</f>
        <v>podklady@cncenter.cz</v>
      </c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 t="str">
        <f ca="1">IFERROR(__xludf.DUMMYFUNCTION("""COMPUTED_VALUE"""),"cross-device")</f>
        <v>cross-device</v>
      </c>
      <c r="AO106" s="3"/>
      <c r="AP106" s="3"/>
      <c r="AQ106" s="3"/>
      <c r="AR106" s="3"/>
      <c r="AS106" s="3"/>
      <c r="AT106" s="3"/>
      <c r="AU106" s="3" t="str">
        <f ca="1">IFERROR(__xludf.DUMMYFUNCTION("""COMPUTED_VALUE"""),"cílený outstream")</f>
        <v>cílený outstream</v>
      </c>
    </row>
    <row r="107" spans="1:47" x14ac:dyDescent="0.3">
      <c r="A107" s="3">
        <f ca="1"/>
        <v>2346826</v>
      </c>
      <c r="B107" s="3" t="str">
        <f ca="1"/>
        <v>CZECH NEWS CENTER a. s.</v>
      </c>
      <c r="C107" s="3" t="str">
        <f ca="1">IFERROR(__xludf.DUMMYFUNCTION("""COMPUTED_VALUE"""),"Auto")</f>
        <v>Auto</v>
      </c>
      <c r="D107" s="4" t="str">
        <f ca="1">IFERROR(__xludf.DUMMYFUNCTION("""COMPUTED_VALUE"""),"https://auto.cz")</f>
        <v>https://auto.cz</v>
      </c>
      <c r="E107" s="3" t="str">
        <f ca="1">IFERROR(__xludf.DUMMYFUNCTION("""COMPUTED_VALUE"""),"celý web")</f>
        <v>celý web</v>
      </c>
      <c r="F107" s="4" t="str">
        <f ca="1">IFERROR(__xludf.DUMMYFUNCTION("""COMPUTED_VALUE"""),"https://auto.cz")</f>
        <v>https://auto.cz</v>
      </c>
      <c r="G107" s="3" t="str">
        <f ca="1">IFERROR(__xludf.DUMMYFUNCTION("""COMPUTED_VALUE"""),"cílený videospot - max. 30 sec. / bumper low season")</f>
        <v>cílený videospot - max. 30 sec. / bumper low season</v>
      </c>
      <c r="H107" s="3">
        <f ca="1">IFERROR(__xludf.DUMMYFUNCTION("""COMPUTED_VALUE"""),7)</f>
        <v>7</v>
      </c>
      <c r="I107" s="5">
        <f ca="1">IFERROR(__xludf.DUMMYFUNCTION("""COMPUTED_VALUE"""),1000)</f>
        <v>1000</v>
      </c>
      <c r="J107" s="5">
        <f ca="1">IFERROR(__xludf.DUMMYFUNCTION("""COMPUTED_VALUE"""),888)</f>
        <v>888</v>
      </c>
      <c r="K107" s="3"/>
      <c r="L107" s="3" t="str">
        <f ca="1">IFERROR(__xludf.DUMMYFUNCTION("""COMPUTED_VALUE"""),"Cost per period")</f>
        <v>Cost per period</v>
      </c>
      <c r="M107" s="3"/>
      <c r="N107" s="3"/>
      <c r="O107" s="3" t="str">
        <f ca="1">IFERROR(__xludf.DUMMYFUNCTION("""COMPUTED_VALUE"""),"1280")</f>
        <v>1280</v>
      </c>
      <c r="P107" s="3" t="str">
        <f ca="1">IFERROR(__xludf.DUMMYFUNCTION("""COMPUTED_VALUE"""),"720")</f>
        <v>720</v>
      </c>
      <c r="Q107" s="3" t="str">
        <f ca="1">IFERROR(__xludf.DUMMYFUNCTION("""COMPUTED_VALUE"""),"16:9 / umístění po domluvě dle možností")</f>
        <v>16:9 / umístění po domluvě dle možností</v>
      </c>
      <c r="R107" s="3" t="str">
        <f ca="1">IFERROR(__xludf.DUMMYFUNCTION("""COMPUTED_VALUE"""),"přeskočení po 7 sekundách")</f>
        <v>přeskočení po 7 sekundách</v>
      </c>
      <c r="S107" s="3" t="str">
        <f ca="1">IFERROR(__xludf.DUMMYFUNCTION("""COMPUTED_VALUE"""),"100")</f>
        <v>100</v>
      </c>
      <c r="T107" s="3"/>
      <c r="U107" s="3" t="str">
        <f ca="1">IFERROR(__xludf.DUMMYFUNCTION("""COMPUTED_VALUE"""),"videospot")</f>
        <v>videospot</v>
      </c>
      <c r="V107" s="3"/>
      <c r="W107" s="4" t="str">
        <f ca="1">IFERROR(__xludf.DUMMYFUNCTION("""COMPUTED_VALUE"""),"https://reklama.cncenter.cz/Online/Bumper")</f>
        <v>https://reklama.cncenter.cz/Online/Bumper</v>
      </c>
      <c r="X107" s="3"/>
      <c r="Y107" s="3"/>
      <c r="Z107" s="3" t="str">
        <f ca="1">IFERROR(__xludf.DUMMYFUNCTION("""COMPUTED_VALUE"""),"podklady@cncenter.cz")</f>
        <v>podklady@cncenter.cz</v>
      </c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 t="str">
        <f ca="1">IFERROR(__xludf.DUMMYFUNCTION("""COMPUTED_VALUE"""),"cross-device")</f>
        <v>cross-device</v>
      </c>
      <c r="AO107" s="3"/>
      <c r="AP107" s="3"/>
      <c r="AQ107" s="3"/>
      <c r="AR107" s="3"/>
      <c r="AS107" s="3"/>
      <c r="AT107" s="3"/>
      <c r="AU107" s="3" t="str">
        <f ca="1">IFERROR(__xludf.DUMMYFUNCTION("""COMPUTED_VALUE"""),"cílený videospot - max. 30 sec. / bumper")</f>
        <v>cílený videospot - max. 30 sec. / bumper</v>
      </c>
    </row>
    <row r="108" spans="1:47" x14ac:dyDescent="0.3">
      <c r="A108" s="3">
        <f ca="1"/>
        <v>2346826</v>
      </c>
      <c r="B108" s="3" t="str">
        <f ca="1"/>
        <v>CZECH NEWS CENTER a. s.</v>
      </c>
      <c r="C108" s="3" t="str">
        <f ca="1">IFERROR(__xludf.DUMMYFUNCTION("""COMPUTED_VALUE"""),"Auto")</f>
        <v>Auto</v>
      </c>
      <c r="D108" s="4" t="str">
        <f ca="1">IFERROR(__xludf.DUMMYFUNCTION("""COMPUTED_VALUE"""),"https://auto.cz")</f>
        <v>https://auto.cz</v>
      </c>
      <c r="E108" s="3" t="str">
        <f ca="1">IFERROR(__xludf.DUMMYFUNCTION("""COMPUTED_VALUE"""),"celý web")</f>
        <v>celý web</v>
      </c>
      <c r="F108" s="4" t="str">
        <f ca="1">IFERROR(__xludf.DUMMYFUNCTION("""COMPUTED_VALUE"""),"https://auto.cz")</f>
        <v>https://auto.cz</v>
      </c>
      <c r="G108" s="3" t="str">
        <f ca="1">IFERROR(__xludf.DUMMYFUNCTION("""COMPUTED_VALUE"""),"dokoupení proma o 2 týdny - 10 000 PV *** low season")</f>
        <v>dokoupení proma o 2 týdny - 10 000 PV *** low season</v>
      </c>
      <c r="H108" s="3">
        <f ca="1">IFERROR(__xludf.DUMMYFUNCTION("""COMPUTED_VALUE"""),1)</f>
        <v>1</v>
      </c>
      <c r="I108" s="5">
        <f ca="1">IFERROR(__xludf.DUMMYFUNCTION("""COMPUTED_VALUE"""),1)</f>
        <v>1</v>
      </c>
      <c r="J108" s="5">
        <f ca="1">IFERROR(__xludf.DUMMYFUNCTION("""COMPUTED_VALUE"""),60000)</f>
        <v>60000</v>
      </c>
      <c r="K108" s="3"/>
      <c r="L108" s="3" t="str">
        <f ca="1">IFERROR(__xludf.DUMMYFUNCTION("""COMPUTED_VALUE"""),"Cost per instance")</f>
        <v>Cost per instance</v>
      </c>
      <c r="M108" s="3"/>
      <c r="N108" s="3"/>
      <c r="O108" s="3"/>
      <c r="P108" s="3"/>
      <c r="Q108" s="3"/>
      <c r="R108" s="3"/>
      <c r="S108" s="3" t="str">
        <f ca="1">IFERROR(__xludf.DUMMYFUNCTION("""COMPUTED_VALUE"""),"100")</f>
        <v>100</v>
      </c>
      <c r="T108" s="3"/>
      <c r="U108" s="3" t="str">
        <f ca="1">IFERROR(__xludf.DUMMYFUNCTION("""COMPUTED_VALUE"""),"microsite")</f>
        <v>microsite</v>
      </c>
      <c r="V108" s="3"/>
      <c r="W108" s="3"/>
      <c r="X108" s="3"/>
      <c r="Y108" s="3"/>
      <c r="Z108" s="3" t="str">
        <f ca="1">IFERROR(__xludf.DUMMYFUNCTION("""COMPUTED_VALUE"""),"podklady@cncenter.cz")</f>
        <v>podklady@cncenter.cz</v>
      </c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 t="str">
        <f ca="1">IFERROR(__xludf.DUMMYFUNCTION("""COMPUTED_VALUE"""),"cross-device")</f>
        <v>cross-device</v>
      </c>
      <c r="AO108" s="3"/>
      <c r="AP108" s="3"/>
      <c r="AQ108" s="3"/>
      <c r="AR108" s="3"/>
      <c r="AS108" s="3"/>
      <c r="AT108" s="3"/>
      <c r="AU108" s="3" t="str">
        <f ca="1">IFERROR(__xludf.DUMMYFUNCTION("""COMPUTED_VALUE"""),"dokoupení proma o 2 týdny - 10 000 PV ***")</f>
        <v>dokoupení proma o 2 týdny - 10 000 PV ***</v>
      </c>
    </row>
    <row r="109" spans="1:47" x14ac:dyDescent="0.3">
      <c r="A109" s="3">
        <f ca="1"/>
        <v>2346826</v>
      </c>
      <c r="B109" s="3" t="str">
        <f ca="1"/>
        <v>CZECH NEWS CENTER a. s.</v>
      </c>
      <c r="C109" s="3" t="str">
        <f ca="1">IFERROR(__xludf.DUMMYFUNCTION("""COMPUTED_VALUE"""),"Auto")</f>
        <v>Auto</v>
      </c>
      <c r="D109" s="4" t="str">
        <f ca="1">IFERROR(__xludf.DUMMYFUNCTION("""COMPUTED_VALUE"""),"https://auto.cz")</f>
        <v>https://auto.cz</v>
      </c>
      <c r="E109" s="3" t="str">
        <f ca="1">IFERROR(__xludf.DUMMYFUNCTION("""COMPUTED_VALUE"""),"celý web")</f>
        <v>celý web</v>
      </c>
      <c r="F109" s="4" t="str">
        <f ca="1">IFERROR(__xludf.DUMMYFUNCTION("""COMPUTED_VALUE"""),"https://auto.cz")</f>
        <v>https://auto.cz</v>
      </c>
      <c r="G109" s="3" t="str">
        <f ca="1">IFERROR(__xludf.DUMMYFUNCTION("""COMPUTED_VALUE"""),"double skyscraper low season")</f>
        <v>double skyscraper low season</v>
      </c>
      <c r="H109" s="3">
        <f ca="1">IFERROR(__xludf.DUMMYFUNCTION("""COMPUTED_VALUE"""),7)</f>
        <v>7</v>
      </c>
      <c r="I109" s="5">
        <f ca="1">IFERROR(__xludf.DUMMYFUNCTION("""COMPUTED_VALUE"""),1000)</f>
        <v>1000</v>
      </c>
      <c r="J109" s="5">
        <f ca="1">IFERROR(__xludf.DUMMYFUNCTION("""COMPUTED_VALUE"""),190)</f>
        <v>190</v>
      </c>
      <c r="K109" s="3"/>
      <c r="L109" s="3" t="str">
        <f ca="1">IFERROR(__xludf.DUMMYFUNCTION("""COMPUTED_VALUE"""),"Cost per period")</f>
        <v>Cost per period</v>
      </c>
      <c r="M109" s="3"/>
      <c r="N109" s="3"/>
      <c r="O109" s="3" t="str">
        <f ca="1">IFERROR(__xludf.DUMMYFUNCTION("""COMPUTED_VALUE"""),"300")</f>
        <v>300</v>
      </c>
      <c r="P109" s="3" t="str">
        <f ca="1">IFERROR(__xludf.DUMMYFUNCTION("""COMPUTED_VALUE"""),"600")</f>
        <v>600</v>
      </c>
      <c r="Q109" s="3" t="str">
        <f ca="1">IFERROR(__xludf.DUMMYFUNCTION("""COMPUTED_VALUE"""),"300x600")</f>
        <v>300x600</v>
      </c>
      <c r="R109" s="3"/>
      <c r="S109" s="3" t="str">
        <f ca="1">IFERROR(__xludf.DUMMYFUNCTION("""COMPUTED_VALUE"""),"100 (200 - HTML5)")</f>
        <v>100 (200 - HTML5)</v>
      </c>
      <c r="T109" s="3"/>
      <c r="U109" s="3" t="str">
        <f ca="1">IFERROR(__xludf.DUMMYFUNCTION("""COMPUTED_VALUE"""),"banner standard")</f>
        <v>banner standard</v>
      </c>
      <c r="V109" s="3"/>
      <c r="W109" s="4" t="str">
        <f ca="1">IFERROR(__xludf.DUMMYFUNCTION("""COMPUTED_VALUE"""),"https://reklama.cncenter.cz/Online/double-skyscraper")</f>
        <v>https://reklama.cncenter.cz/Online/double-skyscraper</v>
      </c>
      <c r="X109" s="3"/>
      <c r="Y109" s="3"/>
      <c r="Z109" s="3" t="str">
        <f ca="1">IFERROR(__xludf.DUMMYFUNCTION("""COMPUTED_VALUE"""),"podklady@cncenter.cz")</f>
        <v>podklady@cncenter.cz</v>
      </c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 t="str">
        <f ca="1">IFERROR(__xludf.DUMMYFUNCTION("""COMPUTED_VALUE"""),"desktop")</f>
        <v>desktop</v>
      </c>
      <c r="AO109" s="3"/>
      <c r="AP109" s="3"/>
      <c r="AQ109" s="3"/>
      <c r="AR109" s="3"/>
      <c r="AS109" s="3"/>
      <c r="AT109" s="3"/>
      <c r="AU109" s="3" t="str">
        <f ca="1">IFERROR(__xludf.DUMMYFUNCTION("""COMPUTED_VALUE"""),"double skyscraper")</f>
        <v>double skyscraper</v>
      </c>
    </row>
    <row r="110" spans="1:47" x14ac:dyDescent="0.3">
      <c r="A110" s="3">
        <f ca="1"/>
        <v>2346826</v>
      </c>
      <c r="B110" s="3" t="str">
        <f ca="1"/>
        <v>CZECH NEWS CENTER a. s.</v>
      </c>
      <c r="C110" s="3" t="str">
        <f ca="1">IFERROR(__xludf.DUMMYFUNCTION("""COMPUTED_VALUE"""),"Auto")</f>
        <v>Auto</v>
      </c>
      <c r="D110" s="4" t="str">
        <f ca="1">IFERROR(__xludf.DUMMYFUNCTION("""COMPUTED_VALUE"""),"https://auto.cz")</f>
        <v>https://auto.cz</v>
      </c>
      <c r="E110" s="3" t="str">
        <f ca="1">IFERROR(__xludf.DUMMYFUNCTION("""COMPUTED_VALUE"""),"celý web")</f>
        <v>celý web</v>
      </c>
      <c r="F110" s="4" t="str">
        <f ca="1">IFERROR(__xludf.DUMMYFUNCTION("""COMPUTED_VALUE"""),"https://auto.cz")</f>
        <v>https://auto.cz</v>
      </c>
      <c r="G110" s="3" t="str">
        <f ca="1">IFERROR(__xludf.DUMMYFUNCTION("""COMPUTED_VALUE"""),"mini videospot - max. 30 sec. low season")</f>
        <v>mini videospot - max. 30 sec. low season</v>
      </c>
      <c r="H110" s="3">
        <f ca="1">IFERROR(__xludf.DUMMYFUNCTION("""COMPUTED_VALUE"""),7)</f>
        <v>7</v>
      </c>
      <c r="I110" s="5">
        <f ca="1">IFERROR(__xludf.DUMMYFUNCTION("""COMPUTED_VALUE"""),1000)</f>
        <v>1000</v>
      </c>
      <c r="J110" s="5">
        <f ca="1">IFERROR(__xludf.DUMMYFUNCTION("""COMPUTED_VALUE"""),140)</f>
        <v>140</v>
      </c>
      <c r="K110" s="3"/>
      <c r="L110" s="3" t="str">
        <f ca="1">IFERROR(__xludf.DUMMYFUNCTION("""COMPUTED_VALUE"""),"Cost per period")</f>
        <v>Cost per period</v>
      </c>
      <c r="M110" s="3"/>
      <c r="N110" s="3"/>
      <c r="O110" s="3"/>
      <c r="P110" s="3"/>
      <c r="Q110" s="3" t="str">
        <f ca="1">IFERROR(__xludf.DUMMYFUNCTION("""COMPUTED_VALUE"""),"16:9 / umístění po domluvě dle možností")</f>
        <v>16:9 / umístění po domluvě dle možností</v>
      </c>
      <c r="R110" s="3" t="str">
        <f ca="1">IFERROR(__xludf.DUMMYFUNCTION("""COMPUTED_VALUE"""),"přeskočení po 7 sekundách")</f>
        <v>přeskočení po 7 sekundách</v>
      </c>
      <c r="S110" s="3" t="str">
        <f ca="1">IFERROR(__xludf.DUMMYFUNCTION("""COMPUTED_VALUE"""),"100")</f>
        <v>100</v>
      </c>
      <c r="T110" s="3"/>
      <c r="U110" s="3" t="str">
        <f ca="1">IFERROR(__xludf.DUMMYFUNCTION("""COMPUTED_VALUE"""),"videospot")</f>
        <v>videospot</v>
      </c>
      <c r="V110" s="3"/>
      <c r="W110" s="4" t="str">
        <f ca="1">IFERROR(__xludf.DUMMYFUNCTION("""COMPUTED_VALUE"""),"https://reklama.cncenter.cz/Online/Videospot")</f>
        <v>https://reklama.cncenter.cz/Online/Videospot</v>
      </c>
      <c r="X110" s="3"/>
      <c r="Y110" s="3"/>
      <c r="Z110" s="3" t="str">
        <f ca="1">IFERROR(__xludf.DUMMYFUNCTION("""COMPUTED_VALUE"""),"podklady@cncenter.cz")</f>
        <v>podklady@cncenter.cz</v>
      </c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 t="str">
        <f ca="1">IFERROR(__xludf.DUMMYFUNCTION("""COMPUTED_VALUE"""),"desktop")</f>
        <v>desktop</v>
      </c>
      <c r="AO110" s="3"/>
      <c r="AP110" s="3"/>
      <c r="AQ110" s="3"/>
      <c r="AR110" s="3"/>
      <c r="AS110" s="3"/>
      <c r="AT110" s="3"/>
      <c r="AU110" s="3" t="str">
        <f ca="1">IFERROR(__xludf.DUMMYFUNCTION("""COMPUTED_VALUE"""),"mini videospot - max. 30 sec.")</f>
        <v>mini videospot - max. 30 sec.</v>
      </c>
    </row>
    <row r="111" spans="1:47" x14ac:dyDescent="0.3">
      <c r="A111" s="3">
        <f ca="1"/>
        <v>2346826</v>
      </c>
      <c r="B111" s="3" t="str">
        <f ca="1"/>
        <v>CZECH NEWS CENTER a. s.</v>
      </c>
      <c r="C111" s="3" t="str">
        <f ca="1">IFERROR(__xludf.DUMMYFUNCTION("""COMPUTED_VALUE"""),"Auto")</f>
        <v>Auto</v>
      </c>
      <c r="D111" s="4" t="str">
        <f ca="1">IFERROR(__xludf.DUMMYFUNCTION("""COMPUTED_VALUE"""),"https://auto.cz")</f>
        <v>https://auto.cz</v>
      </c>
      <c r="E111" s="3" t="str">
        <f ca="1">IFERROR(__xludf.DUMMYFUNCTION("""COMPUTED_VALUE"""),"celý web")</f>
        <v>celý web</v>
      </c>
      <c r="F111" s="4" t="str">
        <f ca="1">IFERROR(__xludf.DUMMYFUNCTION("""COMPUTED_VALUE"""),"https://auto.cz")</f>
        <v>https://auto.cz</v>
      </c>
      <c r="G111" s="3" t="str">
        <f ca="1">IFERROR(__xludf.DUMMYFUNCTION("""COMPUTED_VALUE"""),"mobilní interscroller low season")</f>
        <v>mobilní interscroller low season</v>
      </c>
      <c r="H111" s="3">
        <f ca="1">IFERROR(__xludf.DUMMYFUNCTION("""COMPUTED_VALUE"""),7)</f>
        <v>7</v>
      </c>
      <c r="I111" s="5">
        <f ca="1">IFERROR(__xludf.DUMMYFUNCTION("""COMPUTED_VALUE"""),1000)</f>
        <v>1000</v>
      </c>
      <c r="J111" s="5">
        <f ca="1">IFERROR(__xludf.DUMMYFUNCTION("""COMPUTED_VALUE"""),250)</f>
        <v>250</v>
      </c>
      <c r="K111" s="3"/>
      <c r="L111" s="3" t="str">
        <f ca="1">IFERROR(__xludf.DUMMYFUNCTION("""COMPUTED_VALUE"""),"Cost per period")</f>
        <v>Cost per period</v>
      </c>
      <c r="M111" s="3"/>
      <c r="N111" s="3"/>
      <c r="O111" s="3" t="str">
        <f ca="1">IFERROR(__xludf.DUMMYFUNCTION("""COMPUTED_VALUE"""),"600")</f>
        <v>600</v>
      </c>
      <c r="P111" s="3" t="str">
        <f ca="1">IFERROR(__xludf.DUMMYFUNCTION("""COMPUTED_VALUE"""),"1080")</f>
        <v>1080</v>
      </c>
      <c r="Q111" s="3" t="str">
        <f ca="1">IFERROR(__xludf.DUMMYFUNCTION("""COMPUTED_VALUE"""),"600x1080")</f>
        <v>600x1080</v>
      </c>
      <c r="R111" s="3"/>
      <c r="S111" s="3" t="str">
        <f ca="1">IFERROR(__xludf.DUMMYFUNCTION("""COMPUTED_VALUE"""),"200")</f>
        <v>200</v>
      </c>
      <c r="T111" s="3"/>
      <c r="U111" s="3" t="str">
        <f ca="1">IFERROR(__xludf.DUMMYFUNCTION("""COMPUTED_VALUE"""),"banner standard")</f>
        <v>banner standard</v>
      </c>
      <c r="V111" s="3"/>
      <c r="W111" s="4" t="str">
        <f ca="1">IFERROR(__xludf.DUMMYFUNCTION("""COMPUTED_VALUE"""),"https://reklama.cncenter.cz/Online/mobilni-interscroller")</f>
        <v>https://reklama.cncenter.cz/Online/mobilni-interscroller</v>
      </c>
      <c r="X111" s="3"/>
      <c r="Y111" s="3"/>
      <c r="Z111" s="3" t="str">
        <f ca="1">IFERROR(__xludf.DUMMYFUNCTION("""COMPUTED_VALUE"""),"podklady@cncenter.cz")</f>
        <v>podklady@cncenter.cz</v>
      </c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 t="str">
        <f ca="1">IFERROR(__xludf.DUMMYFUNCTION("""COMPUTED_VALUE"""),"mobile")</f>
        <v>mobile</v>
      </c>
      <c r="AO111" s="3"/>
      <c r="AP111" s="3"/>
      <c r="AQ111" s="3"/>
      <c r="AR111" s="3"/>
      <c r="AS111" s="3"/>
      <c r="AT111" s="3"/>
      <c r="AU111" s="3" t="str">
        <f ca="1">IFERROR(__xludf.DUMMYFUNCTION("""COMPUTED_VALUE"""),"mobilní interscroller")</f>
        <v>mobilní interscroller</v>
      </c>
    </row>
    <row r="112" spans="1:47" x14ac:dyDescent="0.3">
      <c r="A112" s="3">
        <f ca="1"/>
        <v>2346826</v>
      </c>
      <c r="B112" s="3" t="str">
        <f ca="1"/>
        <v>CZECH NEWS CENTER a. s.</v>
      </c>
      <c r="C112" s="3" t="str">
        <f ca="1">IFERROR(__xludf.DUMMYFUNCTION("""COMPUTED_VALUE"""),"Auto")</f>
        <v>Auto</v>
      </c>
      <c r="D112" s="4" t="str">
        <f ca="1">IFERROR(__xludf.DUMMYFUNCTION("""COMPUTED_VALUE"""),"https://auto.cz")</f>
        <v>https://auto.cz</v>
      </c>
      <c r="E112" s="3" t="str">
        <f ca="1">IFERROR(__xludf.DUMMYFUNCTION("""COMPUTED_VALUE"""),"celý web")</f>
        <v>celý web</v>
      </c>
      <c r="F112" s="4" t="str">
        <f ca="1">IFERROR(__xludf.DUMMYFUNCTION("""COMPUTED_VALUE"""),"https://auto.cz")</f>
        <v>https://auto.cz</v>
      </c>
      <c r="G112" s="3" t="str">
        <f ca="1">IFERROR(__xludf.DUMMYFUNCTION("""COMPUTED_VALUE"""),"mobilní slide-up low season")</f>
        <v>mobilní slide-up low season</v>
      </c>
      <c r="H112" s="3">
        <f ca="1">IFERROR(__xludf.DUMMYFUNCTION("""COMPUTED_VALUE"""),7)</f>
        <v>7</v>
      </c>
      <c r="I112" s="5">
        <f ca="1">IFERROR(__xludf.DUMMYFUNCTION("""COMPUTED_VALUE"""),1000)</f>
        <v>1000</v>
      </c>
      <c r="J112" s="5">
        <f ca="1">IFERROR(__xludf.DUMMYFUNCTION("""COMPUTED_VALUE"""),510)</f>
        <v>510</v>
      </c>
      <c r="K112" s="3"/>
      <c r="L112" s="3" t="str">
        <f ca="1">IFERROR(__xludf.DUMMYFUNCTION("""COMPUTED_VALUE"""),"Cost per period")</f>
        <v>Cost per period</v>
      </c>
      <c r="M112" s="3"/>
      <c r="N112" s="3"/>
      <c r="O112" s="3" t="str">
        <f ca="1">IFERROR(__xludf.DUMMYFUNCTION("""COMPUTED_VALUE"""),"300")</f>
        <v>300</v>
      </c>
      <c r="P112" s="3" t="str">
        <f ca="1">IFERROR(__xludf.DUMMYFUNCTION("""COMPUTED_VALUE"""),"120")</f>
        <v>120</v>
      </c>
      <c r="Q112" s="3" t="str">
        <f ca="1">IFERROR(__xludf.DUMMYFUNCTION("""COMPUTED_VALUE"""),"300x120")</f>
        <v>300x120</v>
      </c>
      <c r="R112" s="3"/>
      <c r="S112" s="3" t="str">
        <f ca="1">IFERROR(__xludf.DUMMYFUNCTION("""COMPUTED_VALUE"""),"100")</f>
        <v>100</v>
      </c>
      <c r="T112" s="3"/>
      <c r="U112" s="3" t="str">
        <f ca="1">IFERROR(__xludf.DUMMYFUNCTION("""COMPUTED_VALUE"""),"banner standard")</f>
        <v>banner standard</v>
      </c>
      <c r="V112" s="3"/>
      <c r="W112" s="4" t="str">
        <f ca="1">IFERROR(__xludf.DUMMYFUNCTION("""COMPUTED_VALUE"""),"https://reklama.cncenter.cz/Online/mobilni-slide-up")</f>
        <v>https://reklama.cncenter.cz/Online/mobilni-slide-up</v>
      </c>
      <c r="X112" s="3"/>
      <c r="Y112" s="3"/>
      <c r="Z112" s="3" t="str">
        <f ca="1">IFERROR(__xludf.DUMMYFUNCTION("""COMPUTED_VALUE"""),"podklady@cncenter.cz")</f>
        <v>podklady@cncenter.cz</v>
      </c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 t="str">
        <f ca="1">IFERROR(__xludf.DUMMYFUNCTION("""COMPUTED_VALUE"""),"mobile")</f>
        <v>mobile</v>
      </c>
      <c r="AO112" s="3"/>
      <c r="AP112" s="3"/>
      <c r="AQ112" s="3"/>
      <c r="AR112" s="3"/>
      <c r="AS112" s="3"/>
      <c r="AT112" s="3"/>
      <c r="AU112" s="3" t="str">
        <f ca="1">IFERROR(__xludf.DUMMYFUNCTION("""COMPUTED_VALUE"""),"mobilní slide-up")</f>
        <v>mobilní slide-up</v>
      </c>
    </row>
    <row r="113" spans="1:47" x14ac:dyDescent="0.3">
      <c r="A113" s="3">
        <f ca="1"/>
        <v>2346826</v>
      </c>
      <c r="B113" s="3" t="str">
        <f ca="1"/>
        <v>CZECH NEWS CENTER a. s.</v>
      </c>
      <c r="C113" s="3" t="str">
        <f ca="1">IFERROR(__xludf.DUMMYFUNCTION("""COMPUTED_VALUE"""),"Auto")</f>
        <v>Auto</v>
      </c>
      <c r="D113" s="4" t="str">
        <f ca="1">IFERROR(__xludf.DUMMYFUNCTION("""COMPUTED_VALUE"""),"https://auto.cz")</f>
        <v>https://auto.cz</v>
      </c>
      <c r="E113" s="3" t="str">
        <f ca="1">IFERROR(__xludf.DUMMYFUNCTION("""COMPUTED_VALUE"""),"celý web")</f>
        <v>celý web</v>
      </c>
      <c r="F113" s="4" t="str">
        <f ca="1">IFERROR(__xludf.DUMMYFUNCTION("""COMPUTED_VALUE"""),"https://auto.cz")</f>
        <v>https://auto.cz</v>
      </c>
      <c r="G113" s="3" t="str">
        <f ca="1">IFERROR(__xludf.DUMMYFUNCTION("""COMPUTED_VALUE"""),"mobilní viněta low season")</f>
        <v>mobilní viněta low season</v>
      </c>
      <c r="H113" s="3">
        <f ca="1">IFERROR(__xludf.DUMMYFUNCTION("""COMPUTED_VALUE"""),7)</f>
        <v>7</v>
      </c>
      <c r="I113" s="5">
        <f ca="1">IFERROR(__xludf.DUMMYFUNCTION("""COMPUTED_VALUE"""),1000)</f>
        <v>1000</v>
      </c>
      <c r="J113" s="5">
        <f ca="1">IFERROR(__xludf.DUMMYFUNCTION("""COMPUTED_VALUE"""),880)</f>
        <v>880</v>
      </c>
      <c r="K113" s="3"/>
      <c r="L113" s="3" t="str">
        <f ca="1">IFERROR(__xludf.DUMMYFUNCTION("""COMPUTED_VALUE"""),"Cost per period")</f>
        <v>Cost per period</v>
      </c>
      <c r="M113" s="3"/>
      <c r="N113" s="3"/>
      <c r="O113" s="3" t="str">
        <f ca="1">IFERROR(__xludf.DUMMYFUNCTION("""COMPUTED_VALUE"""),"600")</f>
        <v>600</v>
      </c>
      <c r="P113" s="3" t="str">
        <f ca="1">IFERROR(__xludf.DUMMYFUNCTION("""COMPUTED_VALUE"""),"800")</f>
        <v>800</v>
      </c>
      <c r="Q113" s="3" t="str">
        <f ca="1">IFERROR(__xludf.DUMMYFUNCTION("""COMPUTED_VALUE"""),"300x250 nebo 600x800")</f>
        <v>300x250 nebo 600x800</v>
      </c>
      <c r="R113" s="3"/>
      <c r="S113" s="3" t="str">
        <f ca="1">IFERROR(__xludf.DUMMYFUNCTION("""COMPUTED_VALUE"""),"100")</f>
        <v>100</v>
      </c>
      <c r="T113" s="3"/>
      <c r="U113" s="3" t="str">
        <f ca="1">IFERROR(__xludf.DUMMYFUNCTION("""COMPUTED_VALUE"""),"banner standard")</f>
        <v>banner standard</v>
      </c>
      <c r="V113" s="3"/>
      <c r="W113" s="4" t="str">
        <f ca="1">IFERROR(__xludf.DUMMYFUNCTION("""COMPUTED_VALUE"""),"https://reklama.cncenter.cz/Online/mobilni-vineta")</f>
        <v>https://reklama.cncenter.cz/Online/mobilni-vineta</v>
      </c>
      <c r="X113" s="3"/>
      <c r="Y113" s="3"/>
      <c r="Z113" s="3" t="str">
        <f ca="1">IFERROR(__xludf.DUMMYFUNCTION("""COMPUTED_VALUE"""),"podklady@cncenter.cz")</f>
        <v>podklady@cncenter.cz</v>
      </c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 t="str">
        <f ca="1">IFERROR(__xludf.DUMMYFUNCTION("""COMPUTED_VALUE"""),"mobile")</f>
        <v>mobile</v>
      </c>
      <c r="AO113" s="3"/>
      <c r="AP113" s="3"/>
      <c r="AQ113" s="3"/>
      <c r="AR113" s="3"/>
      <c r="AS113" s="3"/>
      <c r="AT113" s="3"/>
      <c r="AU113" s="3" t="str">
        <f ca="1">IFERROR(__xludf.DUMMYFUNCTION("""COMPUTED_VALUE"""),"mobilní viněta")</f>
        <v>mobilní viněta</v>
      </c>
    </row>
    <row r="114" spans="1:47" x14ac:dyDescent="0.3">
      <c r="A114" s="3">
        <f ca="1"/>
        <v>2346826</v>
      </c>
      <c r="B114" s="3" t="str">
        <f ca="1"/>
        <v>CZECH NEWS CENTER a. s.</v>
      </c>
      <c r="C114" s="3" t="str">
        <f ca="1">IFERROR(__xludf.DUMMYFUNCTION("""COMPUTED_VALUE"""),"Auto")</f>
        <v>Auto</v>
      </c>
      <c r="D114" s="4" t="str">
        <f ca="1">IFERROR(__xludf.DUMMYFUNCTION("""COMPUTED_VALUE"""),"https://auto.cz")</f>
        <v>https://auto.cz</v>
      </c>
      <c r="E114" s="3" t="str">
        <f ca="1">IFERROR(__xludf.DUMMYFUNCTION("""COMPUTED_VALUE"""),"celý web")</f>
        <v>celý web</v>
      </c>
      <c r="F114" s="4" t="str">
        <f ca="1">IFERROR(__xludf.DUMMYFUNCTION("""COMPUTED_VALUE"""),"https://auto.cz")</f>
        <v>https://auto.cz</v>
      </c>
      <c r="G114" s="3" t="str">
        <f ca="1">IFERROR(__xludf.DUMMYFUNCTION("""COMPUTED_VALUE"""),"Native Standard low season")</f>
        <v>Native Standard low season</v>
      </c>
      <c r="H114" s="3">
        <f ca="1">IFERROR(__xludf.DUMMYFUNCTION("""COMPUTED_VALUE"""),1)</f>
        <v>1</v>
      </c>
      <c r="I114" s="5">
        <f ca="1">IFERROR(__xludf.DUMMYFUNCTION("""COMPUTED_VALUE"""),1)</f>
        <v>1</v>
      </c>
      <c r="J114" s="5">
        <f ca="1">IFERROR(__xludf.DUMMYFUNCTION("""COMPUTED_VALUE"""),330000)</f>
        <v>330000</v>
      </c>
      <c r="K114" s="3"/>
      <c r="L114" s="3" t="str">
        <f ca="1">IFERROR(__xludf.DUMMYFUNCTION("""COMPUTED_VALUE"""),"Cost per instance")</f>
        <v>Cost per instance</v>
      </c>
      <c r="M114" s="3"/>
      <c r="N114" s="3"/>
      <c r="O114" s="3"/>
      <c r="P114" s="3"/>
      <c r="Q114" s="3"/>
      <c r="R114" s="3"/>
      <c r="S114" s="3" t="str">
        <f ca="1">IFERROR(__xludf.DUMMYFUNCTION("""COMPUTED_VALUE"""),"100")</f>
        <v>100</v>
      </c>
      <c r="T114" s="3"/>
      <c r="U114" s="3" t="str">
        <f ca="1">IFERROR(__xludf.DUMMYFUNCTION("""COMPUTED_VALUE"""),"microsite")</f>
        <v>microsite</v>
      </c>
      <c r="V114" s="3"/>
      <c r="W114" s="3"/>
      <c r="X114" s="3"/>
      <c r="Y114" s="3"/>
      <c r="Z114" s="3" t="str">
        <f ca="1">IFERROR(__xludf.DUMMYFUNCTION("""COMPUTED_VALUE"""),"podklady@cncenter.cz")</f>
        <v>podklady@cncenter.cz</v>
      </c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 t="str">
        <f ca="1">IFERROR(__xludf.DUMMYFUNCTION("""COMPUTED_VALUE"""),"cross-device")</f>
        <v>cross-device</v>
      </c>
      <c r="AO114" s="3"/>
      <c r="AP114" s="3"/>
      <c r="AQ114" s="3"/>
      <c r="AR114" s="3"/>
      <c r="AS114" s="3"/>
      <c r="AT114" s="3"/>
      <c r="AU114" s="3" t="str">
        <f ca="1">IFERROR(__xludf.DUMMYFUNCTION("""COMPUTED_VALUE"""),"Native Standard")</f>
        <v>Native Standard</v>
      </c>
    </row>
    <row r="115" spans="1:47" x14ac:dyDescent="0.3">
      <c r="A115" s="3">
        <f ca="1"/>
        <v>2346826</v>
      </c>
      <c r="B115" s="3" t="str">
        <f ca="1"/>
        <v>CZECH NEWS CENTER a. s.</v>
      </c>
      <c r="C115" s="3" t="str">
        <f ca="1">IFERROR(__xludf.DUMMYFUNCTION("""COMPUTED_VALUE"""),"Auto")</f>
        <v>Auto</v>
      </c>
      <c r="D115" s="4" t="str">
        <f ca="1">IFERROR(__xludf.DUMMYFUNCTION("""COMPUTED_VALUE"""),"https://auto.cz")</f>
        <v>https://auto.cz</v>
      </c>
      <c r="E115" s="3" t="str">
        <f ca="1">IFERROR(__xludf.DUMMYFUNCTION("""COMPUTED_VALUE"""),"celý web")</f>
        <v>celý web</v>
      </c>
      <c r="F115" s="4" t="str">
        <f ca="1">IFERROR(__xludf.DUMMYFUNCTION("""COMPUTED_VALUE"""),"https://auto.cz")</f>
        <v>https://auto.cz</v>
      </c>
      <c r="G115" s="3" t="str">
        <f ca="1">IFERROR(__xludf.DUMMYFUNCTION("""COMPUTED_VALUE"""),"nativní pr premium low season")</f>
        <v>nativní pr premium low season</v>
      </c>
      <c r="H115" s="3">
        <f ca="1">IFERROR(__xludf.DUMMYFUNCTION("""COMPUTED_VALUE"""),7)</f>
        <v>7</v>
      </c>
      <c r="I115" s="5">
        <f ca="1">IFERROR(__xludf.DUMMYFUNCTION("""COMPUTED_VALUE"""),1000)</f>
        <v>1000</v>
      </c>
      <c r="J115" s="5">
        <f ca="1">IFERROR(__xludf.DUMMYFUNCTION("""COMPUTED_VALUE"""),100)</f>
        <v>100</v>
      </c>
      <c r="K115" s="3"/>
      <c r="L115" s="3" t="str">
        <f ca="1">IFERROR(__xludf.DUMMYFUNCTION("""COMPUTED_VALUE"""),"Cost per period")</f>
        <v>Cost per period</v>
      </c>
      <c r="M115" s="3"/>
      <c r="N115" s="3"/>
      <c r="O115" s="3" t="str">
        <f ca="1">IFERROR(__xludf.DUMMYFUNCTION("""COMPUTED_VALUE"""),"640")</f>
        <v>640</v>
      </c>
      <c r="P115" s="3" t="str">
        <f ca="1">IFERROR(__xludf.DUMMYFUNCTION("""COMPUTED_VALUE"""),"335, 640")</f>
        <v>335, 640</v>
      </c>
      <c r="Q115" s="3" t="str">
        <f ca="1">IFERROR(__xludf.DUMMYFUNCTION("""COMPUTED_VALUE"""),"640x640 a 640x335 + text + logo")</f>
        <v>640x640 a 640x335 + text + logo</v>
      </c>
      <c r="R115" s="3" t="str">
        <f ca="1">IFERROR(__xludf.DUMMYFUNCTION("""COMPUTED_VALUE"""),"detailní specifikace na URL odkaze")</f>
        <v>detailní specifikace na URL odkaze</v>
      </c>
      <c r="S115" s="3" t="str">
        <f ca="1">IFERROR(__xludf.DUMMYFUNCTION("""COMPUTED_VALUE"""),"100")</f>
        <v>100</v>
      </c>
      <c r="T115" s="3"/>
      <c r="U115" s="3" t="str">
        <f ca="1">IFERROR(__xludf.DUMMYFUNCTION("""COMPUTED_VALUE"""),"nativní reklama")</f>
        <v>nativní reklama</v>
      </c>
      <c r="V115" s="3"/>
      <c r="W115" s="4" t="str">
        <f ca="1">IFERROR(__xludf.DUMMYFUNCTION("""COMPUTED_VALUE"""),"https://reklama.cncenter.cz/Online/nativni-PR-premium")</f>
        <v>https://reklama.cncenter.cz/Online/nativni-PR-premium</v>
      </c>
      <c r="X115" s="3"/>
      <c r="Y115" s="3"/>
      <c r="Z115" s="3" t="str">
        <f ca="1">IFERROR(__xludf.DUMMYFUNCTION("""COMPUTED_VALUE"""),"podklady@cncenter.cz")</f>
        <v>podklady@cncenter.cz</v>
      </c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 t="str">
        <f ca="1">IFERROR(__xludf.DUMMYFUNCTION("""COMPUTED_VALUE"""),"cross-device")</f>
        <v>cross-device</v>
      </c>
      <c r="AO115" s="3"/>
      <c r="AP115" s="3"/>
      <c r="AQ115" s="3"/>
      <c r="AR115" s="3"/>
      <c r="AS115" s="3"/>
      <c r="AT115" s="3"/>
      <c r="AU115" s="3" t="str">
        <f ca="1">IFERROR(__xludf.DUMMYFUNCTION("""COMPUTED_VALUE"""),"nativní pr premium")</f>
        <v>nativní pr premium</v>
      </c>
    </row>
    <row r="116" spans="1:47" x14ac:dyDescent="0.3">
      <c r="A116" s="3">
        <f ca="1"/>
        <v>2346826</v>
      </c>
      <c r="B116" s="3" t="str">
        <f ca="1"/>
        <v>CZECH NEWS CENTER a. s.</v>
      </c>
      <c r="C116" s="3" t="str">
        <f ca="1">IFERROR(__xludf.DUMMYFUNCTION("""COMPUTED_VALUE"""),"Auto")</f>
        <v>Auto</v>
      </c>
      <c r="D116" s="4" t="str">
        <f ca="1">IFERROR(__xludf.DUMMYFUNCTION("""COMPUTED_VALUE"""),"https://auto.cz")</f>
        <v>https://auto.cz</v>
      </c>
      <c r="E116" s="3" t="str">
        <f ca="1">IFERROR(__xludf.DUMMYFUNCTION("""COMPUTED_VALUE"""),"celý web")</f>
        <v>celý web</v>
      </c>
      <c r="F116" s="4" t="str">
        <f ca="1">IFERROR(__xludf.DUMMYFUNCTION("""COMPUTED_VALUE"""),"https://auto.cz")</f>
        <v>https://auto.cz</v>
      </c>
      <c r="G116" s="3" t="str">
        <f ca="1">IFERROR(__xludf.DUMMYFUNCTION("""COMPUTED_VALUE"""),"nativní rectangle cross-device low season")</f>
        <v>nativní rectangle cross-device low season</v>
      </c>
      <c r="H116" s="3">
        <f ca="1">IFERROR(__xludf.DUMMYFUNCTION("""COMPUTED_VALUE"""),7)</f>
        <v>7</v>
      </c>
      <c r="I116" s="5">
        <f ca="1">IFERROR(__xludf.DUMMYFUNCTION("""COMPUTED_VALUE"""),1000)</f>
        <v>1000</v>
      </c>
      <c r="J116" s="5">
        <f ca="1">IFERROR(__xludf.DUMMYFUNCTION("""COMPUTED_VALUE"""),200)</f>
        <v>200</v>
      </c>
      <c r="K116" s="3"/>
      <c r="L116" s="3" t="str">
        <f ca="1">IFERROR(__xludf.DUMMYFUNCTION("""COMPUTED_VALUE"""),"Cost per period")</f>
        <v>Cost per period</v>
      </c>
      <c r="M116" s="3"/>
      <c r="N116" s="3"/>
      <c r="O116" s="3" t="str">
        <f ca="1">IFERROR(__xludf.DUMMYFUNCTION("""COMPUTED_VALUE"""),"640")</f>
        <v>640</v>
      </c>
      <c r="P116" s="3" t="str">
        <f ca="1">IFERROR(__xludf.DUMMYFUNCTION("""COMPUTED_VALUE"""),"335, 640")</f>
        <v>335, 640</v>
      </c>
      <c r="Q116" s="3" t="str">
        <f ca="1">IFERROR(__xludf.DUMMYFUNCTION("""COMPUTED_VALUE"""),"640x640 a 640x335 + text + logo")</f>
        <v>640x640 a 640x335 + text + logo</v>
      </c>
      <c r="R116" s="3"/>
      <c r="S116" s="3" t="str">
        <f ca="1">IFERROR(__xludf.DUMMYFUNCTION("""COMPUTED_VALUE"""),"45")</f>
        <v>45</v>
      </c>
      <c r="T116" s="3"/>
      <c r="U116" s="3" t="str">
        <f ca="1">IFERROR(__xludf.DUMMYFUNCTION("""COMPUTED_VALUE"""),"nativní reklama")</f>
        <v>nativní reklama</v>
      </c>
      <c r="V116" s="3"/>
      <c r="W116" s="4" t="str">
        <f ca="1">IFERROR(__xludf.DUMMYFUNCTION("""COMPUTED_VALUE"""),"https://reklama.cncenter.cz/Online/nativni-rectangle-cross-device")</f>
        <v>https://reklama.cncenter.cz/Online/nativni-rectangle-cross-device</v>
      </c>
      <c r="X116" s="3"/>
      <c r="Y116" s="3"/>
      <c r="Z116" s="3" t="str">
        <f ca="1">IFERROR(__xludf.DUMMYFUNCTION("""COMPUTED_VALUE"""),"podklady@cncenter.cz")</f>
        <v>podklady@cncenter.cz</v>
      </c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 t="str">
        <f ca="1">IFERROR(__xludf.DUMMYFUNCTION("""COMPUTED_VALUE"""),"cross-device")</f>
        <v>cross-device</v>
      </c>
      <c r="AO116" s="3"/>
      <c r="AP116" s="3"/>
      <c r="AQ116" s="3"/>
      <c r="AR116" s="3"/>
      <c r="AS116" s="3"/>
      <c r="AT116" s="3"/>
      <c r="AU116" s="3" t="str">
        <f ca="1">IFERROR(__xludf.DUMMYFUNCTION("""COMPUTED_VALUE"""),"nativní rectangle cross-device")</f>
        <v>nativní rectangle cross-device</v>
      </c>
    </row>
    <row r="117" spans="1:47" x14ac:dyDescent="0.3">
      <c r="A117" s="3">
        <f ca="1"/>
        <v>2346826</v>
      </c>
      <c r="B117" s="3" t="str">
        <f ca="1"/>
        <v>CZECH NEWS CENTER a. s.</v>
      </c>
      <c r="C117" s="3" t="str">
        <f ca="1">IFERROR(__xludf.DUMMYFUNCTION("""COMPUTED_VALUE"""),"Auto")</f>
        <v>Auto</v>
      </c>
      <c r="D117" s="4" t="str">
        <f ca="1">IFERROR(__xludf.DUMMYFUNCTION("""COMPUTED_VALUE"""),"https://auto.cz")</f>
        <v>https://auto.cz</v>
      </c>
      <c r="E117" s="3" t="str">
        <f ca="1">IFERROR(__xludf.DUMMYFUNCTION("""COMPUTED_VALUE"""),"celý web")</f>
        <v>celý web</v>
      </c>
      <c r="F117" s="4" t="str">
        <f ca="1">IFERROR(__xludf.DUMMYFUNCTION("""COMPUTED_VALUE"""),"https://auto.cz")</f>
        <v>https://auto.cz</v>
      </c>
      <c r="G117" s="3" t="str">
        <f ca="1">IFERROR(__xludf.DUMMYFUNCTION("""COMPUTED_VALUE"""),"outstream low season")</f>
        <v>outstream low season</v>
      </c>
      <c r="H117" s="3">
        <f ca="1">IFERROR(__xludf.DUMMYFUNCTION("""COMPUTED_VALUE"""),7)</f>
        <v>7</v>
      </c>
      <c r="I117" s="5">
        <f ca="1">IFERROR(__xludf.DUMMYFUNCTION("""COMPUTED_VALUE"""),1000)</f>
        <v>1000</v>
      </c>
      <c r="J117" s="5">
        <f ca="1">IFERROR(__xludf.DUMMYFUNCTION("""COMPUTED_VALUE"""),250)</f>
        <v>250</v>
      </c>
      <c r="K117" s="3"/>
      <c r="L117" s="3" t="str">
        <f ca="1">IFERROR(__xludf.DUMMYFUNCTION("""COMPUTED_VALUE"""),"Cost per period")</f>
        <v>Cost per period</v>
      </c>
      <c r="M117" s="3"/>
      <c r="N117" s="3"/>
      <c r="O117" s="3" t="str">
        <f ca="1">IFERROR(__xludf.DUMMYFUNCTION("""COMPUTED_VALUE"""),"1280")</f>
        <v>1280</v>
      </c>
      <c r="P117" s="3" t="str">
        <f ca="1">IFERROR(__xludf.DUMMYFUNCTION("""COMPUTED_VALUE"""),"720")</f>
        <v>720</v>
      </c>
      <c r="Q117" s="3" t="str">
        <f ca="1">IFERROR(__xludf.DUMMYFUNCTION("""COMPUTED_VALUE"""),"16:9")</f>
        <v>16:9</v>
      </c>
      <c r="R117" s="3"/>
      <c r="S117" s="3" t="str">
        <f ca="1">IFERROR(__xludf.DUMMYFUNCTION("""COMPUTED_VALUE"""),"100")</f>
        <v>100</v>
      </c>
      <c r="T117" s="3"/>
      <c r="U117" s="3" t="str">
        <f ca="1">IFERROR(__xludf.DUMMYFUNCTION("""COMPUTED_VALUE"""),"videospot")</f>
        <v>videospot</v>
      </c>
      <c r="V117" s="3"/>
      <c r="W117" s="4" t="str">
        <f ca="1">IFERROR(__xludf.DUMMYFUNCTION("""COMPUTED_VALUE"""),"https://reklama.cncenter.cz/Online/Outstream")</f>
        <v>https://reklama.cncenter.cz/Online/Outstream</v>
      </c>
      <c r="X117" s="3"/>
      <c r="Y117" s="3"/>
      <c r="Z117" s="3" t="str">
        <f ca="1">IFERROR(__xludf.DUMMYFUNCTION("""COMPUTED_VALUE"""),"podklady@cncenter.cz")</f>
        <v>podklady@cncenter.cz</v>
      </c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 t="str">
        <f ca="1">IFERROR(__xludf.DUMMYFUNCTION("""COMPUTED_VALUE"""),"cross-device")</f>
        <v>cross-device</v>
      </c>
      <c r="AO117" s="3"/>
      <c r="AP117" s="3"/>
      <c r="AQ117" s="3"/>
      <c r="AR117" s="3"/>
      <c r="AS117" s="3"/>
      <c r="AT117" s="3"/>
      <c r="AU117" s="3" t="str">
        <f ca="1">IFERROR(__xludf.DUMMYFUNCTION("""COMPUTED_VALUE"""),"outstream")</f>
        <v>outstream</v>
      </c>
    </row>
    <row r="118" spans="1:47" x14ac:dyDescent="0.3">
      <c r="A118" s="3">
        <f ca="1"/>
        <v>2346826</v>
      </c>
      <c r="B118" s="3" t="str">
        <f ca="1"/>
        <v>CZECH NEWS CENTER a. s.</v>
      </c>
      <c r="C118" s="3" t="str">
        <f ca="1">IFERROR(__xludf.DUMMYFUNCTION("""COMPUTED_VALUE"""),"Auto")</f>
        <v>Auto</v>
      </c>
      <c r="D118" s="4" t="str">
        <f ca="1">IFERROR(__xludf.DUMMYFUNCTION("""COMPUTED_VALUE"""),"https://auto.cz")</f>
        <v>https://auto.cz</v>
      </c>
      <c r="E118" s="3" t="str">
        <f ca="1">IFERROR(__xludf.DUMMYFUNCTION("""COMPUTED_VALUE"""),"celý web")</f>
        <v>celý web</v>
      </c>
      <c r="F118" s="4" t="str">
        <f ca="1">IFERROR(__xludf.DUMMYFUNCTION("""COMPUTED_VALUE"""),"https://auto.cz")</f>
        <v>https://auto.cz</v>
      </c>
      <c r="G118" s="3" t="str">
        <f ca="1">IFERROR(__xludf.DUMMYFUNCTION("""COMPUTED_VALUE"""),"PR článek low season")</f>
        <v>PR článek low season</v>
      </c>
      <c r="H118" s="3">
        <f ca="1">IFERROR(__xludf.DUMMYFUNCTION("""COMPUTED_VALUE"""),1)</f>
        <v>1</v>
      </c>
      <c r="I118" s="5">
        <f ca="1">IFERROR(__xludf.DUMMYFUNCTION("""COMPUTED_VALUE"""),1)</f>
        <v>1</v>
      </c>
      <c r="J118" s="5">
        <f ca="1">IFERROR(__xludf.DUMMYFUNCTION("""COMPUTED_VALUE"""),50000)</f>
        <v>50000</v>
      </c>
      <c r="K118" s="3"/>
      <c r="L118" s="3" t="str">
        <f ca="1">IFERROR(__xludf.DUMMYFUNCTION("""COMPUTED_VALUE"""),"Cost per instance")</f>
        <v>Cost per instance</v>
      </c>
      <c r="M118" s="3"/>
      <c r="N118" s="3"/>
      <c r="O118" s="3"/>
      <c r="P118" s="3"/>
      <c r="Q118" s="3"/>
      <c r="R118" s="3"/>
      <c r="S118" s="3" t="str">
        <f ca="1">IFERROR(__xludf.DUMMYFUNCTION("""COMPUTED_VALUE"""),"100")</f>
        <v>100</v>
      </c>
      <c r="T118" s="3"/>
      <c r="U118" s="3" t="str">
        <f ca="1">IFERROR(__xludf.DUMMYFUNCTION("""COMPUTED_VALUE"""),"pr článek")</f>
        <v>pr článek</v>
      </c>
      <c r="V118" s="3"/>
      <c r="W118" s="4" t="str">
        <f ca="1">IFERROR(__xludf.DUMMYFUNCTION("""COMPUTED_VALUE"""),"https://reklama.cncenter.cz/?ads=PR%2520%25C4%258Dl%25C3%25A1nky")</f>
        <v>https://reklama.cncenter.cz/?ads=PR%2520%25C4%258Dl%25C3%25A1nky</v>
      </c>
      <c r="X118" s="3"/>
      <c r="Y118" s="3"/>
      <c r="Z118" s="3" t="str">
        <f ca="1">IFERROR(__xludf.DUMMYFUNCTION("""COMPUTED_VALUE"""),"podklady@cncenter.cz")</f>
        <v>podklady@cncenter.cz</v>
      </c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 t="str">
        <f ca="1">IFERROR(__xludf.DUMMYFUNCTION("""COMPUTED_VALUE"""),"cross-device")</f>
        <v>cross-device</v>
      </c>
      <c r="AO118" s="3"/>
      <c r="AP118" s="3"/>
      <c r="AQ118" s="3"/>
      <c r="AR118" s="3"/>
      <c r="AS118" s="3"/>
      <c r="AT118" s="3"/>
      <c r="AU118" s="3" t="str">
        <f ca="1">IFERROR(__xludf.DUMMYFUNCTION("""COMPUTED_VALUE"""),"PR článek")</f>
        <v>PR článek</v>
      </c>
    </row>
    <row r="119" spans="1:47" x14ac:dyDescent="0.3">
      <c r="A119" s="3">
        <f ca="1"/>
        <v>2346826</v>
      </c>
      <c r="B119" s="3" t="str">
        <f ca="1"/>
        <v>CZECH NEWS CENTER a. s.</v>
      </c>
      <c r="C119" s="3" t="str">
        <f ca="1">IFERROR(__xludf.DUMMYFUNCTION("""COMPUTED_VALUE"""),"Auto")</f>
        <v>Auto</v>
      </c>
      <c r="D119" s="4" t="str">
        <f ca="1">IFERROR(__xludf.DUMMYFUNCTION("""COMPUTED_VALUE"""),"https://auto.cz")</f>
        <v>https://auto.cz</v>
      </c>
      <c r="E119" s="3" t="str">
        <f ca="1">IFERROR(__xludf.DUMMYFUNCTION("""COMPUTED_VALUE"""),"celý web")</f>
        <v>celý web</v>
      </c>
      <c r="F119" s="4" t="str">
        <f ca="1">IFERROR(__xludf.DUMMYFUNCTION("""COMPUTED_VALUE"""),"https://auto.cz")</f>
        <v>https://auto.cz</v>
      </c>
      <c r="G119" s="3" t="str">
        <f ca="1">IFERROR(__xludf.DUMMYFUNCTION("""COMPUTED_VALUE"""),"Prodloužení existující microsite, bez úprav low season")</f>
        <v>Prodloužení existující microsite, bez úprav low season</v>
      </c>
      <c r="H119" s="3">
        <f ca="1">IFERROR(__xludf.DUMMYFUNCTION("""COMPUTED_VALUE"""),1)</f>
        <v>1</v>
      </c>
      <c r="I119" s="5">
        <f ca="1">IFERROR(__xludf.DUMMYFUNCTION("""COMPUTED_VALUE"""),1)</f>
        <v>1</v>
      </c>
      <c r="J119" s="5">
        <f ca="1">IFERROR(__xludf.DUMMYFUNCTION("""COMPUTED_VALUE"""),15000)</f>
        <v>15000</v>
      </c>
      <c r="K119" s="3"/>
      <c r="L119" s="3" t="str">
        <f ca="1">IFERROR(__xludf.DUMMYFUNCTION("""COMPUTED_VALUE"""),"Cost per instance")</f>
        <v>Cost per instance</v>
      </c>
      <c r="M119" s="3"/>
      <c r="N119" s="3"/>
      <c r="O119" s="3"/>
      <c r="P119" s="3"/>
      <c r="Q119" s="3"/>
      <c r="R119" s="3"/>
      <c r="S119" s="3" t="str">
        <f ca="1">IFERROR(__xludf.DUMMYFUNCTION("""COMPUTED_VALUE"""),"100")</f>
        <v>100</v>
      </c>
      <c r="T119" s="3"/>
      <c r="U119" s="3" t="str">
        <f ca="1">IFERROR(__xludf.DUMMYFUNCTION("""COMPUTED_VALUE"""),"microsite")</f>
        <v>microsite</v>
      </c>
      <c r="V119" s="3"/>
      <c r="W119" s="3"/>
      <c r="X119" s="3"/>
      <c r="Y119" s="3"/>
      <c r="Z119" s="3" t="str">
        <f ca="1">IFERROR(__xludf.DUMMYFUNCTION("""COMPUTED_VALUE"""),"podklady@cncenter.cz")</f>
        <v>podklady@cncenter.cz</v>
      </c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 t="str">
        <f ca="1">IFERROR(__xludf.DUMMYFUNCTION("""COMPUTED_VALUE"""),"cross-device")</f>
        <v>cross-device</v>
      </c>
      <c r="AO119" s="3"/>
      <c r="AP119" s="3"/>
      <c r="AQ119" s="3"/>
      <c r="AR119" s="3"/>
      <c r="AS119" s="3"/>
      <c r="AT119" s="3"/>
      <c r="AU119" s="3" t="str">
        <f ca="1">IFERROR(__xludf.DUMMYFUNCTION("""COMPUTED_VALUE"""),"Prodloužení existující microsite, bez úprav")</f>
        <v>Prodloužení existující microsite, bez úprav</v>
      </c>
    </row>
    <row r="120" spans="1:47" x14ac:dyDescent="0.3">
      <c r="A120" s="3">
        <f ca="1"/>
        <v>2346826</v>
      </c>
      <c r="B120" s="3" t="str">
        <f ca="1"/>
        <v>CZECH NEWS CENTER a. s.</v>
      </c>
      <c r="C120" s="3" t="str">
        <f ca="1">IFERROR(__xludf.DUMMYFUNCTION("""COMPUTED_VALUE"""),"Auto")</f>
        <v>Auto</v>
      </c>
      <c r="D120" s="4" t="str">
        <f ca="1">IFERROR(__xludf.DUMMYFUNCTION("""COMPUTED_VALUE"""),"https://auto.cz")</f>
        <v>https://auto.cz</v>
      </c>
      <c r="E120" s="3" t="str">
        <f ca="1">IFERROR(__xludf.DUMMYFUNCTION("""COMPUTED_VALUE"""),"celý web")</f>
        <v>celý web</v>
      </c>
      <c r="F120" s="4" t="str">
        <f ca="1">IFERROR(__xludf.DUMMYFUNCTION("""COMPUTED_VALUE"""),"https://auto.cz")</f>
        <v>https://auto.cz</v>
      </c>
      <c r="G120" s="3" t="str">
        <f ca="1">IFERROR(__xludf.DUMMYFUNCTION("""COMPUTED_VALUE"""),"Prodloužení existující microsite, bez úprav low season")</f>
        <v>Prodloužení existující microsite, bez úprav low season</v>
      </c>
      <c r="H120" s="3">
        <f ca="1">IFERROR(__xludf.DUMMYFUNCTION("""COMPUTED_VALUE"""),1)</f>
        <v>1</v>
      </c>
      <c r="I120" s="5">
        <f ca="1">IFERROR(__xludf.DUMMYFUNCTION("""COMPUTED_VALUE"""),1)</f>
        <v>1</v>
      </c>
      <c r="J120" s="5">
        <f ca="1">IFERROR(__xludf.DUMMYFUNCTION("""COMPUTED_VALUE"""),15000)</f>
        <v>15000</v>
      </c>
      <c r="K120" s="3"/>
      <c r="L120" s="3" t="str">
        <f ca="1">IFERROR(__xludf.DUMMYFUNCTION("""COMPUTED_VALUE"""),"Cost per instance")</f>
        <v>Cost per instance</v>
      </c>
      <c r="M120" s="3"/>
      <c r="N120" s="3"/>
      <c r="O120" s="3"/>
      <c r="P120" s="3"/>
      <c r="Q120" s="3"/>
      <c r="R120" s="3"/>
      <c r="S120" s="3" t="str">
        <f ca="1">IFERROR(__xludf.DUMMYFUNCTION("""COMPUTED_VALUE"""),"100")</f>
        <v>100</v>
      </c>
      <c r="T120" s="3"/>
      <c r="U120" s="3" t="str">
        <f ca="1">IFERROR(__xludf.DUMMYFUNCTION("""COMPUTED_VALUE"""),"microsite")</f>
        <v>microsite</v>
      </c>
      <c r="V120" s="3"/>
      <c r="W120" s="3"/>
      <c r="X120" s="3"/>
      <c r="Y120" s="3"/>
      <c r="Z120" s="3" t="str">
        <f ca="1">IFERROR(__xludf.DUMMYFUNCTION("""COMPUTED_VALUE"""),"podklady@cncenter.cz")</f>
        <v>podklady@cncenter.cz</v>
      </c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 t="str">
        <f ca="1">IFERROR(__xludf.DUMMYFUNCTION("""COMPUTED_VALUE"""),"cross-device")</f>
        <v>cross-device</v>
      </c>
      <c r="AO120" s="3"/>
      <c r="AP120" s="3"/>
      <c r="AQ120" s="3"/>
      <c r="AR120" s="3"/>
      <c r="AS120" s="3"/>
      <c r="AT120" s="3"/>
      <c r="AU120" s="3" t="str">
        <f ca="1">IFERROR(__xludf.DUMMYFUNCTION("""COMPUTED_VALUE"""),"Prodloužení existující microsite, bez úprav")</f>
        <v>Prodloužení existující microsite, bez úprav</v>
      </c>
    </row>
    <row r="121" spans="1:47" x14ac:dyDescent="0.3">
      <c r="A121" s="3">
        <f ca="1"/>
        <v>2346826</v>
      </c>
      <c r="B121" s="3" t="str">
        <f ca="1"/>
        <v>CZECH NEWS CENTER a. s.</v>
      </c>
      <c r="C121" s="3" t="str">
        <f ca="1">IFERROR(__xludf.DUMMYFUNCTION("""COMPUTED_VALUE"""),"Auto")</f>
        <v>Auto</v>
      </c>
      <c r="D121" s="4" t="str">
        <f ca="1">IFERROR(__xludf.DUMMYFUNCTION("""COMPUTED_VALUE"""),"https://auto.cz")</f>
        <v>https://auto.cz</v>
      </c>
      <c r="E121" s="3" t="str">
        <f ca="1">IFERROR(__xludf.DUMMYFUNCTION("""COMPUTED_VALUE"""),"celý web")</f>
        <v>celý web</v>
      </c>
      <c r="F121" s="4" t="str">
        <f ca="1">IFERROR(__xludf.DUMMYFUNCTION("""COMPUTED_VALUE"""),"https://auto.cz")</f>
        <v>https://auto.cz</v>
      </c>
      <c r="G121" s="3" t="str">
        <f ca="1">IFERROR(__xludf.DUMMYFUNCTION("""COMPUTED_VALUE"""),"Prodloužení existující microsite, bez úprav low season")</f>
        <v>Prodloužení existující microsite, bez úprav low season</v>
      </c>
      <c r="H121" s="3">
        <f ca="1">IFERROR(__xludf.DUMMYFUNCTION("""COMPUTED_VALUE"""),1)</f>
        <v>1</v>
      </c>
      <c r="I121" s="5">
        <f ca="1">IFERROR(__xludf.DUMMYFUNCTION("""COMPUTED_VALUE"""),1)</f>
        <v>1</v>
      </c>
      <c r="J121" s="5">
        <f ca="1">IFERROR(__xludf.DUMMYFUNCTION("""COMPUTED_VALUE"""),15000)</f>
        <v>15000</v>
      </c>
      <c r="K121" s="3"/>
      <c r="L121" s="3" t="str">
        <f ca="1">IFERROR(__xludf.DUMMYFUNCTION("""COMPUTED_VALUE"""),"Cost per instance")</f>
        <v>Cost per instance</v>
      </c>
      <c r="M121" s="3"/>
      <c r="N121" s="3"/>
      <c r="O121" s="3"/>
      <c r="P121" s="3"/>
      <c r="Q121" s="3"/>
      <c r="R121" s="3"/>
      <c r="S121" s="3" t="str">
        <f ca="1">IFERROR(__xludf.DUMMYFUNCTION("""COMPUTED_VALUE"""),"100")</f>
        <v>100</v>
      </c>
      <c r="T121" s="3"/>
      <c r="U121" s="3" t="str">
        <f ca="1">IFERROR(__xludf.DUMMYFUNCTION("""COMPUTED_VALUE"""),"microsite")</f>
        <v>microsite</v>
      </c>
      <c r="V121" s="3"/>
      <c r="W121" s="3"/>
      <c r="X121" s="3"/>
      <c r="Y121" s="3"/>
      <c r="Z121" s="3" t="str">
        <f ca="1">IFERROR(__xludf.DUMMYFUNCTION("""COMPUTED_VALUE"""),"podklady@cncenter.cz")</f>
        <v>podklady@cncenter.cz</v>
      </c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 t="str">
        <f ca="1">IFERROR(__xludf.DUMMYFUNCTION("""COMPUTED_VALUE"""),"cross-device")</f>
        <v>cross-device</v>
      </c>
      <c r="AO121" s="3"/>
      <c r="AP121" s="3"/>
      <c r="AQ121" s="3"/>
      <c r="AR121" s="3"/>
      <c r="AS121" s="3"/>
      <c r="AT121" s="3"/>
      <c r="AU121" s="3" t="str">
        <f ca="1">IFERROR(__xludf.DUMMYFUNCTION("""COMPUTED_VALUE"""),"Prodloužení existující microsite, bez úprav")</f>
        <v>Prodloužení existující microsite, bez úprav</v>
      </c>
    </row>
    <row r="122" spans="1:47" x14ac:dyDescent="0.3">
      <c r="A122" s="3">
        <f ca="1"/>
        <v>2346826</v>
      </c>
      <c r="B122" s="3" t="str">
        <f ca="1"/>
        <v>CZECH NEWS CENTER a. s.</v>
      </c>
      <c r="C122" s="3" t="str">
        <f ca="1">IFERROR(__xludf.DUMMYFUNCTION("""COMPUTED_VALUE"""),"Auto")</f>
        <v>Auto</v>
      </c>
      <c r="D122" s="4" t="str">
        <f ca="1">IFERROR(__xludf.DUMMYFUNCTION("""COMPUTED_VALUE"""),"https://auto.cz")</f>
        <v>https://auto.cz</v>
      </c>
      <c r="E122" s="3" t="str">
        <f ca="1">IFERROR(__xludf.DUMMYFUNCTION("""COMPUTED_VALUE"""),"celý web")</f>
        <v>celý web</v>
      </c>
      <c r="F122" s="4" t="str">
        <f ca="1">IFERROR(__xludf.DUMMYFUNCTION("""COMPUTED_VALUE"""),"https://auto.cz")</f>
        <v>https://auto.cz</v>
      </c>
      <c r="G122" s="3" t="str">
        <f ca="1">IFERROR(__xludf.DUMMYFUNCTION("""COMPUTED_VALUE"""),"videospot - max. 30 sec. / bumper low season")</f>
        <v>videospot - max. 30 sec. / bumper low season</v>
      </c>
      <c r="H122" s="3">
        <f ca="1">IFERROR(__xludf.DUMMYFUNCTION("""COMPUTED_VALUE"""),7)</f>
        <v>7</v>
      </c>
      <c r="I122" s="5">
        <f ca="1">IFERROR(__xludf.DUMMYFUNCTION("""COMPUTED_VALUE"""),1000)</f>
        <v>1000</v>
      </c>
      <c r="J122" s="5">
        <f ca="1">IFERROR(__xludf.DUMMYFUNCTION("""COMPUTED_VALUE"""),740)</f>
        <v>740</v>
      </c>
      <c r="K122" s="3"/>
      <c r="L122" s="3" t="str">
        <f ca="1">IFERROR(__xludf.DUMMYFUNCTION("""COMPUTED_VALUE"""),"Cost per period")</f>
        <v>Cost per period</v>
      </c>
      <c r="M122" s="3"/>
      <c r="N122" s="3"/>
      <c r="O122" s="3" t="str">
        <f ca="1">IFERROR(__xludf.DUMMYFUNCTION("""COMPUTED_VALUE"""),"1280")</f>
        <v>1280</v>
      </c>
      <c r="P122" s="3" t="str">
        <f ca="1">IFERROR(__xludf.DUMMYFUNCTION("""COMPUTED_VALUE"""),"720")</f>
        <v>720</v>
      </c>
      <c r="Q122" s="3" t="str">
        <f ca="1">IFERROR(__xludf.DUMMYFUNCTION("""COMPUTED_VALUE"""),"16:9 / umístění po domluvě dle možností")</f>
        <v>16:9 / umístění po domluvě dle možností</v>
      </c>
      <c r="R122" s="3" t="str">
        <f ca="1">IFERROR(__xludf.DUMMYFUNCTION("""COMPUTED_VALUE"""),"přeskočení po 7 sekundách")</f>
        <v>přeskočení po 7 sekundách</v>
      </c>
      <c r="S122" s="3" t="str">
        <f ca="1">IFERROR(__xludf.DUMMYFUNCTION("""COMPUTED_VALUE"""),"100")</f>
        <v>100</v>
      </c>
      <c r="T122" s="3"/>
      <c r="U122" s="3" t="str">
        <f ca="1">IFERROR(__xludf.DUMMYFUNCTION("""COMPUTED_VALUE"""),"videospot")</f>
        <v>videospot</v>
      </c>
      <c r="V122" s="3"/>
      <c r="W122" s="4" t="str">
        <f ca="1">IFERROR(__xludf.DUMMYFUNCTION("""COMPUTED_VALUE"""),"https://reklama.cncenter.cz/Online/Bumper")</f>
        <v>https://reklama.cncenter.cz/Online/Bumper</v>
      </c>
      <c r="X122" s="3"/>
      <c r="Y122" s="3"/>
      <c r="Z122" s="3" t="str">
        <f ca="1">IFERROR(__xludf.DUMMYFUNCTION("""COMPUTED_VALUE"""),"podklady@cncenter.cz")</f>
        <v>podklady@cncenter.cz</v>
      </c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 t="str">
        <f ca="1">IFERROR(__xludf.DUMMYFUNCTION("""COMPUTED_VALUE"""),"cross-device")</f>
        <v>cross-device</v>
      </c>
      <c r="AO122" s="3"/>
      <c r="AP122" s="3"/>
      <c r="AQ122" s="3"/>
      <c r="AR122" s="3"/>
      <c r="AS122" s="3"/>
      <c r="AT122" s="3"/>
      <c r="AU122" s="3" t="str">
        <f ca="1">IFERROR(__xludf.DUMMYFUNCTION("""COMPUTED_VALUE"""),"videospot - max. 30 sec. / bumper")</f>
        <v>videospot - max. 30 sec. / bumper</v>
      </c>
    </row>
    <row r="123" spans="1:47" x14ac:dyDescent="0.3">
      <c r="A123" s="3">
        <f ca="1"/>
        <v>2346826</v>
      </c>
      <c r="B123" s="3" t="str">
        <f ca="1"/>
        <v>CZECH NEWS CENTER a. s.</v>
      </c>
      <c r="C123" s="3" t="str">
        <f ca="1">IFERROR(__xludf.DUMMYFUNCTION("""COMPUTED_VALUE"""),"AutoRevue")</f>
        <v>AutoRevue</v>
      </c>
      <c r="D123" s="4" t="str">
        <f ca="1">IFERROR(__xludf.DUMMYFUNCTION("""COMPUTED_VALUE"""),"https://autorevue.cz")</f>
        <v>https://autorevue.cz</v>
      </c>
      <c r="E123" s="3" t="str">
        <f ca="1">IFERROR(__xludf.DUMMYFUNCTION("""COMPUTED_VALUE"""),"celý web")</f>
        <v>celý web</v>
      </c>
      <c r="F123" s="4" t="str">
        <f ca="1">IFERROR(__xludf.DUMMYFUNCTION("""COMPUTED_VALUE"""),"https://autorevue.cz")</f>
        <v>https://autorevue.cz</v>
      </c>
      <c r="G123" s="3" t="str">
        <f ca="1">IFERROR(__xludf.DUMMYFUNCTION("""COMPUTED_VALUE"""),"Advertorial low season")</f>
        <v>Advertorial low season</v>
      </c>
      <c r="H123" s="3">
        <f ca="1">IFERROR(__xludf.DUMMYFUNCTION("""COMPUTED_VALUE"""),1)</f>
        <v>1</v>
      </c>
      <c r="I123" s="5">
        <f ca="1">IFERROR(__xludf.DUMMYFUNCTION("""COMPUTED_VALUE"""),1)</f>
        <v>1</v>
      </c>
      <c r="J123" s="5">
        <f ca="1">IFERROR(__xludf.DUMMYFUNCTION("""COMPUTED_VALUE"""),90000)</f>
        <v>90000</v>
      </c>
      <c r="K123" s="3"/>
      <c r="L123" s="3" t="str">
        <f ca="1">IFERROR(__xludf.DUMMYFUNCTION("""COMPUTED_VALUE"""),"Cost per instance")</f>
        <v>Cost per instance</v>
      </c>
      <c r="M123" s="3"/>
      <c r="N123" s="3"/>
      <c r="O123" s="3"/>
      <c r="P123" s="3"/>
      <c r="Q123" s="3"/>
      <c r="R123" s="3"/>
      <c r="S123" s="3" t="str">
        <f ca="1">IFERROR(__xludf.DUMMYFUNCTION("""COMPUTED_VALUE"""),"100")</f>
        <v>100</v>
      </c>
      <c r="T123" s="3"/>
      <c r="U123" s="3" t="str">
        <f ca="1">IFERROR(__xludf.DUMMYFUNCTION("""COMPUTED_VALUE"""),"pr článek")</f>
        <v>pr článek</v>
      </c>
      <c r="V123" s="3"/>
      <c r="W123" s="3"/>
      <c r="X123" s="3"/>
      <c r="Y123" s="3"/>
      <c r="Z123" s="3" t="str">
        <f ca="1">IFERROR(__xludf.DUMMYFUNCTION("""COMPUTED_VALUE"""),"podklady@cncenter.cz")</f>
        <v>podklady@cncenter.cz</v>
      </c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 t="str">
        <f ca="1">IFERROR(__xludf.DUMMYFUNCTION("""COMPUTED_VALUE"""),"cross-device")</f>
        <v>cross-device</v>
      </c>
      <c r="AO123" s="3"/>
      <c r="AP123" s="3"/>
      <c r="AQ123" s="3"/>
      <c r="AR123" s="3"/>
      <c r="AS123" s="3"/>
      <c r="AT123" s="3"/>
      <c r="AU123" s="3" t="str">
        <f ca="1">IFERROR(__xludf.DUMMYFUNCTION("""COMPUTED_VALUE"""),"Advertorial")</f>
        <v>Advertorial</v>
      </c>
    </row>
    <row r="124" spans="1:47" x14ac:dyDescent="0.3">
      <c r="A124" s="3">
        <f ca="1"/>
        <v>2346826</v>
      </c>
      <c r="B124" s="3" t="str">
        <f ca="1"/>
        <v>CZECH NEWS CENTER a. s.</v>
      </c>
      <c r="C124" s="3" t="str">
        <f ca="1">IFERROR(__xludf.DUMMYFUNCTION("""COMPUTED_VALUE"""),"Autorevue")</f>
        <v>Autorevue</v>
      </c>
      <c r="D124" s="4" t="str">
        <f ca="1">IFERROR(__xludf.DUMMYFUNCTION("""COMPUTED_VALUE"""),"https://autorevue.cz")</f>
        <v>https://autorevue.cz</v>
      </c>
      <c r="E124" s="3" t="str">
        <f ca="1">IFERROR(__xludf.DUMMYFUNCTION("""COMPUTED_VALUE"""),"celý web")</f>
        <v>celý web</v>
      </c>
      <c r="F124" s="4" t="str">
        <f ca="1">IFERROR(__xludf.DUMMYFUNCTION("""COMPUTED_VALUE"""),"https://autorevue.cz")</f>
        <v>https://autorevue.cz</v>
      </c>
      <c r="G124" s="3" t="str">
        <f ca="1">IFERROR(__xludf.DUMMYFUNCTION("""COMPUTED_VALUE"""),"billboard bottom low season")</f>
        <v>billboard bottom low season</v>
      </c>
      <c r="H124" s="3">
        <f ca="1">IFERROR(__xludf.DUMMYFUNCTION("""COMPUTED_VALUE"""),7)</f>
        <v>7</v>
      </c>
      <c r="I124" s="5">
        <f ca="1">IFERROR(__xludf.DUMMYFUNCTION("""COMPUTED_VALUE"""),1000)</f>
        <v>1000</v>
      </c>
      <c r="J124" s="5">
        <f ca="1">IFERROR(__xludf.DUMMYFUNCTION("""COMPUTED_VALUE"""),240)</f>
        <v>240</v>
      </c>
      <c r="K124" s="3"/>
      <c r="L124" s="3" t="str">
        <f ca="1">IFERROR(__xludf.DUMMYFUNCTION("""COMPUTED_VALUE"""),"Cost per period")</f>
        <v>Cost per period</v>
      </c>
      <c r="M124" s="3"/>
      <c r="N124" s="3"/>
      <c r="O124" s="3" t="str">
        <f ca="1">IFERROR(__xludf.DUMMYFUNCTION("""COMPUTED_VALUE"""),"970")</f>
        <v>970</v>
      </c>
      <c r="P124" s="3" t="str">
        <f ca="1">IFERROR(__xludf.DUMMYFUNCTION("""COMPUTED_VALUE"""),"250")</f>
        <v>250</v>
      </c>
      <c r="Q124" s="3" t="str">
        <f ca="1">IFERROR(__xludf.DUMMYFUNCTION("""COMPUTED_VALUE"""),"970x250")</f>
        <v>970x250</v>
      </c>
      <c r="R124" s="3"/>
      <c r="S124" s="3" t="str">
        <f ca="1">IFERROR(__xludf.DUMMYFUNCTION("""COMPUTED_VALUE"""),"100 (200 - HTML5)")</f>
        <v>100 (200 - HTML5)</v>
      </c>
      <c r="T124" s="3"/>
      <c r="U124" s="3" t="str">
        <f ca="1">IFERROR(__xludf.DUMMYFUNCTION("""COMPUTED_VALUE"""),"banner standard")</f>
        <v>banner standard</v>
      </c>
      <c r="V124" s="3"/>
      <c r="W124" s="4" t="str">
        <f ca="1">IFERROR(__xludf.DUMMYFUNCTION("""COMPUTED_VALUE"""),"https://reklama.cncenter.cz/Online/billboard-bottom")</f>
        <v>https://reklama.cncenter.cz/Online/billboard-bottom</v>
      </c>
      <c r="X124" s="3"/>
      <c r="Y124" s="3"/>
      <c r="Z124" s="3" t="str">
        <f ca="1">IFERROR(__xludf.DUMMYFUNCTION("""COMPUTED_VALUE"""),"podklady@cncenter.cz")</f>
        <v>podklady@cncenter.cz</v>
      </c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 t="str">
        <f ca="1">IFERROR(__xludf.DUMMYFUNCTION("""COMPUTED_VALUE"""),"desktop")</f>
        <v>desktop</v>
      </c>
      <c r="AO124" s="3"/>
      <c r="AP124" s="3"/>
      <c r="AQ124" s="3"/>
      <c r="AR124" s="3"/>
      <c r="AS124" s="3"/>
      <c r="AT124" s="3"/>
      <c r="AU124" s="3" t="str">
        <f ca="1">IFERROR(__xludf.DUMMYFUNCTION("""COMPUTED_VALUE"""),"billboard bottom")</f>
        <v>billboard bottom</v>
      </c>
    </row>
    <row r="125" spans="1:47" x14ac:dyDescent="0.3">
      <c r="A125" s="3">
        <f ca="1"/>
        <v>2346826</v>
      </c>
      <c r="B125" s="3" t="str">
        <f ca="1"/>
        <v>CZECH NEWS CENTER a. s.</v>
      </c>
      <c r="C125" s="3" t="str">
        <f ca="1">IFERROR(__xludf.DUMMYFUNCTION("""COMPUTED_VALUE"""),"Autorevue")</f>
        <v>Autorevue</v>
      </c>
      <c r="D125" s="4" t="str">
        <f ca="1">IFERROR(__xludf.DUMMYFUNCTION("""COMPUTED_VALUE"""),"https://autorevue.cz")</f>
        <v>https://autorevue.cz</v>
      </c>
      <c r="E125" s="3" t="str">
        <f ca="1">IFERROR(__xludf.DUMMYFUNCTION("""COMPUTED_VALUE"""),"celý web")</f>
        <v>celý web</v>
      </c>
      <c r="F125" s="4" t="str">
        <f ca="1">IFERROR(__xludf.DUMMYFUNCTION("""COMPUTED_VALUE"""),"https://autorevue.cz")</f>
        <v>https://autorevue.cz</v>
      </c>
      <c r="G125" s="3" t="str">
        <f ca="1">IFERROR(__xludf.DUMMYFUNCTION("""COMPUTED_VALUE"""),"branding cross-device low season")</f>
        <v>branding cross-device low season</v>
      </c>
      <c r="H125" s="3">
        <f ca="1">IFERROR(__xludf.DUMMYFUNCTION("""COMPUTED_VALUE"""),7)</f>
        <v>7</v>
      </c>
      <c r="I125" s="5">
        <f ca="1">IFERROR(__xludf.DUMMYFUNCTION("""COMPUTED_VALUE"""),1000)</f>
        <v>1000</v>
      </c>
      <c r="J125" s="5">
        <f ca="1">IFERROR(__xludf.DUMMYFUNCTION("""COMPUTED_VALUE"""),300)</f>
        <v>300</v>
      </c>
      <c r="K125" s="3"/>
      <c r="L125" s="3" t="str">
        <f ca="1">IFERROR(__xludf.DUMMYFUNCTION("""COMPUTED_VALUE"""),"Cost per period")</f>
        <v>Cost per period</v>
      </c>
      <c r="M125" s="3"/>
      <c r="N125" s="3"/>
      <c r="O125" s="3" t="str">
        <f ca="1">IFERROR(__xludf.DUMMYFUNCTION("""COMPUTED_VALUE"""),"2000")</f>
        <v>2000</v>
      </c>
      <c r="P125" s="3" t="str">
        <f ca="1">IFERROR(__xludf.DUMMYFUNCTION("""COMPUTED_VALUE"""),"1400")</f>
        <v>1400</v>
      </c>
      <c r="Q125" s="3" t="str">
        <f ca="1">IFERROR(__xludf.DUMMYFUNCTION("""COMPUTED_VALUE"""),"2000x1400 + 600x1080")</f>
        <v>2000x1400 + 600x1080</v>
      </c>
      <c r="R125" s="3"/>
      <c r="S125" s="3" t="str">
        <f ca="1">IFERROR(__xludf.DUMMYFUNCTION("""COMPUTED_VALUE"""),"500 (600 - HTLM5)")</f>
        <v>500 (600 - HTLM5)</v>
      </c>
      <c r="T125" s="3"/>
      <c r="U125" s="3" t="str">
        <f ca="1">IFERROR(__xludf.DUMMYFUNCTION("""COMPUTED_VALUE"""),"banner standard")</f>
        <v>banner standard</v>
      </c>
      <c r="V125" s="3"/>
      <c r="W125" s="4" t="str">
        <f ca="1">IFERROR(__xludf.DUMMYFUNCTION("""COMPUTED_VALUE"""),"https://reklama.cncenter.cz/Online/branding-cross-device")</f>
        <v>https://reklama.cncenter.cz/Online/branding-cross-device</v>
      </c>
      <c r="X125" s="3"/>
      <c r="Y125" s="3"/>
      <c r="Z125" s="3" t="str">
        <f ca="1">IFERROR(__xludf.DUMMYFUNCTION("""COMPUTED_VALUE"""),"podklady@cncenter.cz")</f>
        <v>podklady@cncenter.cz</v>
      </c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 t="str">
        <f ca="1">IFERROR(__xludf.DUMMYFUNCTION("""COMPUTED_VALUE"""),"cross-device")</f>
        <v>cross-device</v>
      </c>
      <c r="AO125" s="3"/>
      <c r="AP125" s="3"/>
      <c r="AQ125" s="3"/>
      <c r="AR125" s="3"/>
      <c r="AS125" s="3"/>
      <c r="AT125" s="3"/>
      <c r="AU125" s="3" t="str">
        <f ca="1">IFERROR(__xludf.DUMMYFUNCTION("""COMPUTED_VALUE"""),"branding cross-device")</f>
        <v>branding cross-device</v>
      </c>
    </row>
    <row r="126" spans="1:47" x14ac:dyDescent="0.3">
      <c r="A126" s="3">
        <f ca="1"/>
        <v>2346826</v>
      </c>
      <c r="B126" s="3" t="str">
        <f ca="1"/>
        <v>CZECH NEWS CENTER a. s.</v>
      </c>
      <c r="C126" s="3" t="str">
        <f ca="1">IFERROR(__xludf.DUMMYFUNCTION("""COMPUTED_VALUE"""),"Autorevue")</f>
        <v>Autorevue</v>
      </c>
      <c r="D126" s="4" t="str">
        <f ca="1">IFERROR(__xludf.DUMMYFUNCTION("""COMPUTED_VALUE"""),"https://autorevue.cz")</f>
        <v>https://autorevue.cz</v>
      </c>
      <c r="E126" s="3" t="str">
        <f ca="1">IFERROR(__xludf.DUMMYFUNCTION("""COMPUTED_VALUE"""),"celý web")</f>
        <v>celý web</v>
      </c>
      <c r="F126" s="4" t="str">
        <f ca="1">IFERROR(__xludf.DUMMYFUNCTION("""COMPUTED_VALUE"""),"https://autorevue.cz")</f>
        <v>https://autorevue.cz</v>
      </c>
      <c r="G126" s="3" t="str">
        <f ca="1">IFERROR(__xludf.DUMMYFUNCTION("""COMPUTED_VALUE"""),"branding low season")</f>
        <v>branding low season</v>
      </c>
      <c r="H126" s="3">
        <f ca="1">IFERROR(__xludf.DUMMYFUNCTION("""COMPUTED_VALUE"""),7)</f>
        <v>7</v>
      </c>
      <c r="I126" s="5">
        <f ca="1">IFERROR(__xludf.DUMMYFUNCTION("""COMPUTED_VALUE"""),1000)</f>
        <v>1000</v>
      </c>
      <c r="J126" s="5">
        <f ca="1">IFERROR(__xludf.DUMMYFUNCTION("""COMPUTED_VALUE"""),490)</f>
        <v>490</v>
      </c>
      <c r="K126" s="3"/>
      <c r="L126" s="3" t="str">
        <f ca="1">IFERROR(__xludf.DUMMYFUNCTION("""COMPUTED_VALUE"""),"Cost per period")</f>
        <v>Cost per period</v>
      </c>
      <c r="M126" s="3"/>
      <c r="N126" s="3"/>
      <c r="O126" s="3" t="str">
        <f ca="1">IFERROR(__xludf.DUMMYFUNCTION("""COMPUTED_VALUE"""),"2000")</f>
        <v>2000</v>
      </c>
      <c r="P126" s="3" t="str">
        <f ca="1">IFERROR(__xludf.DUMMYFUNCTION("""COMPUTED_VALUE"""),"1400")</f>
        <v>1400</v>
      </c>
      <c r="Q126" s="3" t="str">
        <f ca="1">IFERROR(__xludf.DUMMYFUNCTION("""COMPUTED_VALUE"""),"2000x1400")</f>
        <v>2000x1400</v>
      </c>
      <c r="R126" s="3"/>
      <c r="S126" s="3" t="str">
        <f ca="1">IFERROR(__xludf.DUMMYFUNCTION("""COMPUTED_VALUE"""),"500 + 200 (600+200 HTML5)")</f>
        <v>500 + 200 (600+200 HTML5)</v>
      </c>
      <c r="T126" s="3"/>
      <c r="U126" s="3" t="str">
        <f ca="1">IFERROR(__xludf.DUMMYFUNCTION("""COMPUTED_VALUE"""),"banner standard")</f>
        <v>banner standard</v>
      </c>
      <c r="V126" s="3"/>
      <c r="W126" s="4" t="str">
        <f ca="1">IFERROR(__xludf.DUMMYFUNCTION("""COMPUTED_VALUE"""),"https://reklama.cncenter.cz/Online/branding")</f>
        <v>https://reklama.cncenter.cz/Online/branding</v>
      </c>
      <c r="X126" s="3"/>
      <c r="Y126" s="3"/>
      <c r="Z126" s="3" t="str">
        <f ca="1">IFERROR(__xludf.DUMMYFUNCTION("""COMPUTED_VALUE"""),"podklady@cncenter.cz")</f>
        <v>podklady@cncenter.cz</v>
      </c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 t="str">
        <f ca="1">IFERROR(__xludf.DUMMYFUNCTION("""COMPUTED_VALUE"""),"desktop")</f>
        <v>desktop</v>
      </c>
      <c r="AO126" s="3"/>
      <c r="AP126" s="3"/>
      <c r="AQ126" s="3"/>
      <c r="AR126" s="3"/>
      <c r="AS126" s="3"/>
      <c r="AT126" s="3"/>
      <c r="AU126" s="3" t="str">
        <f ca="1">IFERROR(__xludf.DUMMYFUNCTION("""COMPUTED_VALUE"""),"branding")</f>
        <v>branding</v>
      </c>
    </row>
    <row r="127" spans="1:47" x14ac:dyDescent="0.3">
      <c r="A127" s="3">
        <f ca="1"/>
        <v>2346826</v>
      </c>
      <c r="B127" s="3" t="str">
        <f ca="1"/>
        <v>CZECH NEWS CENTER a. s.</v>
      </c>
      <c r="C127" s="3" t="str">
        <f ca="1">IFERROR(__xludf.DUMMYFUNCTION("""COMPUTED_VALUE"""),"Autorevue")</f>
        <v>Autorevue</v>
      </c>
      <c r="D127" s="4" t="str">
        <f ca="1">IFERROR(__xludf.DUMMYFUNCTION("""COMPUTED_VALUE"""),"https://autorevue.cz")</f>
        <v>https://autorevue.cz</v>
      </c>
      <c r="E127" s="3" t="str">
        <f ca="1">IFERROR(__xludf.DUMMYFUNCTION("""COMPUTED_VALUE"""),"celý web")</f>
        <v>celý web</v>
      </c>
      <c r="F127" s="4" t="str">
        <f ca="1">IFERROR(__xludf.DUMMYFUNCTION("""COMPUTED_VALUE"""),"https://autorevue.cz")</f>
        <v>https://autorevue.cz</v>
      </c>
      <c r="G127" s="3" t="str">
        <f ca="1">IFERROR(__xludf.DUMMYFUNCTION("""COMPUTED_VALUE"""),"cílený billboard bottom low season")</f>
        <v>cílený billboard bottom low season</v>
      </c>
      <c r="H127" s="3">
        <f ca="1">IFERROR(__xludf.DUMMYFUNCTION("""COMPUTED_VALUE"""),7)</f>
        <v>7</v>
      </c>
      <c r="I127" s="5">
        <f ca="1">IFERROR(__xludf.DUMMYFUNCTION("""COMPUTED_VALUE"""),1000)</f>
        <v>1000</v>
      </c>
      <c r="J127" s="5">
        <f ca="1">IFERROR(__xludf.DUMMYFUNCTION("""COMPUTED_VALUE"""),288)</f>
        <v>288</v>
      </c>
      <c r="K127" s="3"/>
      <c r="L127" s="3" t="str">
        <f ca="1">IFERROR(__xludf.DUMMYFUNCTION("""COMPUTED_VALUE"""),"Cost per period")</f>
        <v>Cost per period</v>
      </c>
      <c r="M127" s="3"/>
      <c r="N127" s="3"/>
      <c r="O127" s="3" t="str">
        <f ca="1">IFERROR(__xludf.DUMMYFUNCTION("""COMPUTED_VALUE"""),"970")</f>
        <v>970</v>
      </c>
      <c r="P127" s="3" t="str">
        <f ca="1">IFERROR(__xludf.DUMMYFUNCTION("""COMPUTED_VALUE"""),"250")</f>
        <v>250</v>
      </c>
      <c r="Q127" s="3" t="str">
        <f ca="1">IFERROR(__xludf.DUMMYFUNCTION("""COMPUTED_VALUE"""),"970x250")</f>
        <v>970x250</v>
      </c>
      <c r="R127" s="3"/>
      <c r="S127" s="3" t="str">
        <f ca="1">IFERROR(__xludf.DUMMYFUNCTION("""COMPUTED_VALUE"""),"100 (200 - HTML5)")</f>
        <v>100 (200 - HTML5)</v>
      </c>
      <c r="T127" s="3"/>
      <c r="U127" s="3" t="str">
        <f ca="1">IFERROR(__xludf.DUMMYFUNCTION("""COMPUTED_VALUE"""),"banner standard")</f>
        <v>banner standard</v>
      </c>
      <c r="V127" s="3"/>
      <c r="W127" s="4" t="str">
        <f ca="1">IFERROR(__xludf.DUMMYFUNCTION("""COMPUTED_VALUE"""),"https://reklama.cncenter.cz/Online/billboard-bottom")</f>
        <v>https://reklama.cncenter.cz/Online/billboard-bottom</v>
      </c>
      <c r="X127" s="3"/>
      <c r="Y127" s="3"/>
      <c r="Z127" s="3" t="str">
        <f ca="1">IFERROR(__xludf.DUMMYFUNCTION("""COMPUTED_VALUE"""),"podklady@cncenter.cz")</f>
        <v>podklady@cncenter.cz</v>
      </c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 t="str">
        <f ca="1">IFERROR(__xludf.DUMMYFUNCTION("""COMPUTED_VALUE"""),"desktop")</f>
        <v>desktop</v>
      </c>
      <c r="AO127" s="3"/>
      <c r="AP127" s="3"/>
      <c r="AQ127" s="3"/>
      <c r="AR127" s="3"/>
      <c r="AS127" s="3"/>
      <c r="AT127" s="3"/>
      <c r="AU127" s="3" t="str">
        <f ca="1">IFERROR(__xludf.DUMMYFUNCTION("""COMPUTED_VALUE"""),"cílený billboard bottom")</f>
        <v>cílený billboard bottom</v>
      </c>
    </row>
    <row r="128" spans="1:47" x14ac:dyDescent="0.3">
      <c r="A128" s="3">
        <f ca="1"/>
        <v>2346826</v>
      </c>
      <c r="B128" s="3" t="str">
        <f ca="1"/>
        <v>CZECH NEWS CENTER a. s.</v>
      </c>
      <c r="C128" s="3" t="str">
        <f ca="1">IFERROR(__xludf.DUMMYFUNCTION("""COMPUTED_VALUE"""),"Autorevue")</f>
        <v>Autorevue</v>
      </c>
      <c r="D128" s="4" t="str">
        <f ca="1">IFERROR(__xludf.DUMMYFUNCTION("""COMPUTED_VALUE"""),"https://autorevue.cz")</f>
        <v>https://autorevue.cz</v>
      </c>
      <c r="E128" s="3" t="str">
        <f ca="1">IFERROR(__xludf.DUMMYFUNCTION("""COMPUTED_VALUE"""),"celý web")</f>
        <v>celý web</v>
      </c>
      <c r="F128" s="4" t="str">
        <f ca="1">IFERROR(__xludf.DUMMYFUNCTION("""COMPUTED_VALUE"""),"https://autorevue.cz")</f>
        <v>https://autorevue.cz</v>
      </c>
      <c r="G128" s="3" t="str">
        <f ca="1">IFERROR(__xludf.DUMMYFUNCTION("""COMPUTED_VALUE"""),"cílený branding cross-device low season")</f>
        <v>cílený branding cross-device low season</v>
      </c>
      <c r="H128" s="3">
        <f ca="1">IFERROR(__xludf.DUMMYFUNCTION("""COMPUTED_VALUE"""),7)</f>
        <v>7</v>
      </c>
      <c r="I128" s="5">
        <f ca="1">IFERROR(__xludf.DUMMYFUNCTION("""COMPUTED_VALUE"""),1000)</f>
        <v>1000</v>
      </c>
      <c r="J128" s="5">
        <f ca="1">IFERROR(__xludf.DUMMYFUNCTION("""COMPUTED_VALUE"""),360)</f>
        <v>360</v>
      </c>
      <c r="K128" s="3"/>
      <c r="L128" s="3" t="str">
        <f ca="1">IFERROR(__xludf.DUMMYFUNCTION("""COMPUTED_VALUE"""),"Cost per period")</f>
        <v>Cost per period</v>
      </c>
      <c r="M128" s="3"/>
      <c r="N128" s="3"/>
      <c r="O128" s="3" t="str">
        <f ca="1">IFERROR(__xludf.DUMMYFUNCTION("""COMPUTED_VALUE"""),"2000")</f>
        <v>2000</v>
      </c>
      <c r="P128" s="3" t="str">
        <f ca="1">IFERROR(__xludf.DUMMYFUNCTION("""COMPUTED_VALUE"""),"1400")</f>
        <v>1400</v>
      </c>
      <c r="Q128" s="3" t="str">
        <f ca="1">IFERROR(__xludf.DUMMYFUNCTION("""COMPUTED_VALUE"""),"2000x1400 + 600x1080")</f>
        <v>2000x1400 + 600x1080</v>
      </c>
      <c r="R128" s="3"/>
      <c r="S128" s="3" t="str">
        <f ca="1">IFERROR(__xludf.DUMMYFUNCTION("""COMPUTED_VALUE"""),"500 (600 - HTLM5)")</f>
        <v>500 (600 - HTLM5)</v>
      </c>
      <c r="T128" s="3"/>
      <c r="U128" s="3" t="str">
        <f ca="1">IFERROR(__xludf.DUMMYFUNCTION("""COMPUTED_VALUE"""),"banner standard")</f>
        <v>banner standard</v>
      </c>
      <c r="V128" s="3"/>
      <c r="W128" s="4" t="str">
        <f ca="1">IFERROR(__xludf.DUMMYFUNCTION("""COMPUTED_VALUE"""),"https://reklama.cncenter.cz/Online/branding-cross-device")</f>
        <v>https://reklama.cncenter.cz/Online/branding-cross-device</v>
      </c>
      <c r="X128" s="3"/>
      <c r="Y128" s="3"/>
      <c r="Z128" s="3" t="str">
        <f ca="1">IFERROR(__xludf.DUMMYFUNCTION("""COMPUTED_VALUE"""),"podklady@cncenter.cz")</f>
        <v>podklady@cncenter.cz</v>
      </c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 t="str">
        <f ca="1">IFERROR(__xludf.DUMMYFUNCTION("""COMPUTED_VALUE"""),"cross-device")</f>
        <v>cross-device</v>
      </c>
      <c r="AO128" s="3"/>
      <c r="AP128" s="3"/>
      <c r="AQ128" s="3"/>
      <c r="AR128" s="3"/>
      <c r="AS128" s="3"/>
      <c r="AT128" s="3"/>
      <c r="AU128" s="3" t="str">
        <f ca="1">IFERROR(__xludf.DUMMYFUNCTION("""COMPUTED_VALUE"""),"cílený branding cross-device")</f>
        <v>cílený branding cross-device</v>
      </c>
    </row>
    <row r="129" spans="1:47" x14ac:dyDescent="0.3">
      <c r="A129" s="3">
        <f ca="1"/>
        <v>2346826</v>
      </c>
      <c r="B129" s="3" t="str">
        <f ca="1"/>
        <v>CZECH NEWS CENTER a. s.</v>
      </c>
      <c r="C129" s="3" t="str">
        <f ca="1">IFERROR(__xludf.DUMMYFUNCTION("""COMPUTED_VALUE"""),"Autorevue")</f>
        <v>Autorevue</v>
      </c>
      <c r="D129" s="4" t="str">
        <f ca="1">IFERROR(__xludf.DUMMYFUNCTION("""COMPUTED_VALUE"""),"https://autorevue.cz")</f>
        <v>https://autorevue.cz</v>
      </c>
      <c r="E129" s="3" t="str">
        <f ca="1">IFERROR(__xludf.DUMMYFUNCTION("""COMPUTED_VALUE"""),"celý web")</f>
        <v>celý web</v>
      </c>
      <c r="F129" s="4" t="str">
        <f ca="1">IFERROR(__xludf.DUMMYFUNCTION("""COMPUTED_VALUE"""),"https://autorevue.cz")</f>
        <v>https://autorevue.cz</v>
      </c>
      <c r="G129" s="3" t="str">
        <f ca="1">IFERROR(__xludf.DUMMYFUNCTION("""COMPUTED_VALUE"""),"cílený branding low season")</f>
        <v>cílený branding low season</v>
      </c>
      <c r="H129" s="3">
        <f ca="1">IFERROR(__xludf.DUMMYFUNCTION("""COMPUTED_VALUE"""),7)</f>
        <v>7</v>
      </c>
      <c r="I129" s="5">
        <f ca="1">IFERROR(__xludf.DUMMYFUNCTION("""COMPUTED_VALUE"""),1000)</f>
        <v>1000</v>
      </c>
      <c r="J129" s="5">
        <f ca="1">IFERROR(__xludf.DUMMYFUNCTION("""COMPUTED_VALUE"""),588)</f>
        <v>588</v>
      </c>
      <c r="K129" s="3"/>
      <c r="L129" s="3" t="str">
        <f ca="1">IFERROR(__xludf.DUMMYFUNCTION("""COMPUTED_VALUE"""),"Cost per period")</f>
        <v>Cost per period</v>
      </c>
      <c r="M129" s="3"/>
      <c r="N129" s="3"/>
      <c r="O129" s="3" t="str">
        <f ca="1">IFERROR(__xludf.DUMMYFUNCTION("""COMPUTED_VALUE"""),"2000")</f>
        <v>2000</v>
      </c>
      <c r="P129" s="3" t="str">
        <f ca="1">IFERROR(__xludf.DUMMYFUNCTION("""COMPUTED_VALUE"""),"1400")</f>
        <v>1400</v>
      </c>
      <c r="Q129" s="3" t="str">
        <f ca="1">IFERROR(__xludf.DUMMYFUNCTION("""COMPUTED_VALUE"""),"2000x1400")</f>
        <v>2000x1400</v>
      </c>
      <c r="R129" s="3"/>
      <c r="S129" s="3" t="str">
        <f ca="1">IFERROR(__xludf.DUMMYFUNCTION("""COMPUTED_VALUE"""),"500 + 200 (600+200 HTML5)")</f>
        <v>500 + 200 (600+200 HTML5)</v>
      </c>
      <c r="T129" s="3"/>
      <c r="U129" s="3" t="str">
        <f ca="1">IFERROR(__xludf.DUMMYFUNCTION("""COMPUTED_VALUE"""),"banner standard")</f>
        <v>banner standard</v>
      </c>
      <c r="V129" s="3"/>
      <c r="W129" s="4" t="str">
        <f ca="1">IFERROR(__xludf.DUMMYFUNCTION("""COMPUTED_VALUE"""),"https://reklama.cncenter.cz/Online/branding")</f>
        <v>https://reklama.cncenter.cz/Online/branding</v>
      </c>
      <c r="X129" s="3"/>
      <c r="Y129" s="3"/>
      <c r="Z129" s="3" t="str">
        <f ca="1">IFERROR(__xludf.DUMMYFUNCTION("""COMPUTED_VALUE"""),"podklady@cncenter.cz")</f>
        <v>podklady@cncenter.cz</v>
      </c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 t="str">
        <f ca="1">IFERROR(__xludf.DUMMYFUNCTION("""COMPUTED_VALUE"""),"desktop")</f>
        <v>desktop</v>
      </c>
      <c r="AO129" s="3"/>
      <c r="AP129" s="3"/>
      <c r="AQ129" s="3"/>
      <c r="AR129" s="3"/>
      <c r="AS129" s="3"/>
      <c r="AT129" s="3"/>
      <c r="AU129" s="3" t="str">
        <f ca="1">IFERROR(__xludf.DUMMYFUNCTION("""COMPUTED_VALUE"""),"cílený branding")</f>
        <v>cílený branding</v>
      </c>
    </row>
    <row r="130" spans="1:47" x14ac:dyDescent="0.3">
      <c r="A130" s="3">
        <f ca="1"/>
        <v>2346826</v>
      </c>
      <c r="B130" s="3" t="str">
        <f ca="1"/>
        <v>CZECH NEWS CENTER a. s.</v>
      </c>
      <c r="C130" s="3" t="str">
        <f ca="1">IFERROR(__xludf.DUMMYFUNCTION("""COMPUTED_VALUE"""),"Autorevue")</f>
        <v>Autorevue</v>
      </c>
      <c r="D130" s="4" t="str">
        <f ca="1">IFERROR(__xludf.DUMMYFUNCTION("""COMPUTED_VALUE"""),"https://autorevue.cz")</f>
        <v>https://autorevue.cz</v>
      </c>
      <c r="E130" s="3" t="str">
        <f ca="1">IFERROR(__xludf.DUMMYFUNCTION("""COMPUTED_VALUE"""),"celý web")</f>
        <v>celý web</v>
      </c>
      <c r="F130" s="4" t="str">
        <f ca="1">IFERROR(__xludf.DUMMYFUNCTION("""COMPUTED_VALUE"""),"https://autorevue.cz")</f>
        <v>https://autorevue.cz</v>
      </c>
      <c r="G130" s="3" t="str">
        <f ca="1">IFERROR(__xludf.DUMMYFUNCTION("""COMPUTED_VALUE"""),"cílený double skyscraper low season")</f>
        <v>cílený double skyscraper low season</v>
      </c>
      <c r="H130" s="3">
        <f ca="1">IFERROR(__xludf.DUMMYFUNCTION("""COMPUTED_VALUE"""),7)</f>
        <v>7</v>
      </c>
      <c r="I130" s="5">
        <f ca="1">IFERROR(__xludf.DUMMYFUNCTION("""COMPUTED_VALUE"""),1000)</f>
        <v>1000</v>
      </c>
      <c r="J130" s="5">
        <f ca="1">IFERROR(__xludf.DUMMYFUNCTION("""COMPUTED_VALUE"""),228)</f>
        <v>228</v>
      </c>
      <c r="K130" s="3"/>
      <c r="L130" s="3" t="str">
        <f ca="1">IFERROR(__xludf.DUMMYFUNCTION("""COMPUTED_VALUE"""),"Cost per period")</f>
        <v>Cost per period</v>
      </c>
      <c r="M130" s="3"/>
      <c r="N130" s="3"/>
      <c r="O130" s="3" t="str">
        <f ca="1">IFERROR(__xludf.DUMMYFUNCTION("""COMPUTED_VALUE"""),"300")</f>
        <v>300</v>
      </c>
      <c r="P130" s="3" t="str">
        <f ca="1">IFERROR(__xludf.DUMMYFUNCTION("""COMPUTED_VALUE"""),"600")</f>
        <v>600</v>
      </c>
      <c r="Q130" s="3" t="str">
        <f ca="1">IFERROR(__xludf.DUMMYFUNCTION("""COMPUTED_VALUE"""),"300x600")</f>
        <v>300x600</v>
      </c>
      <c r="R130" s="3"/>
      <c r="S130" s="3" t="str">
        <f ca="1">IFERROR(__xludf.DUMMYFUNCTION("""COMPUTED_VALUE"""),"100 (200 - HTML5)")</f>
        <v>100 (200 - HTML5)</v>
      </c>
      <c r="T130" s="3"/>
      <c r="U130" s="3" t="str">
        <f ca="1">IFERROR(__xludf.DUMMYFUNCTION("""COMPUTED_VALUE"""),"banner standard")</f>
        <v>banner standard</v>
      </c>
      <c r="V130" s="3"/>
      <c r="W130" s="4" t="str">
        <f ca="1">IFERROR(__xludf.DUMMYFUNCTION("""COMPUTED_VALUE"""),"https://reklama.cncenter.cz/Online/double-skyscraper")</f>
        <v>https://reklama.cncenter.cz/Online/double-skyscraper</v>
      </c>
      <c r="X130" s="3"/>
      <c r="Y130" s="3"/>
      <c r="Z130" s="3" t="str">
        <f ca="1">IFERROR(__xludf.DUMMYFUNCTION("""COMPUTED_VALUE"""),"podklady@cncenter.cz")</f>
        <v>podklady@cncenter.cz</v>
      </c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 t="str">
        <f ca="1">IFERROR(__xludf.DUMMYFUNCTION("""COMPUTED_VALUE"""),"desktop")</f>
        <v>desktop</v>
      </c>
      <c r="AO130" s="3"/>
      <c r="AP130" s="3"/>
      <c r="AQ130" s="3"/>
      <c r="AR130" s="3"/>
      <c r="AS130" s="3"/>
      <c r="AT130" s="3"/>
      <c r="AU130" s="3" t="str">
        <f ca="1">IFERROR(__xludf.DUMMYFUNCTION("""COMPUTED_VALUE"""),"cílený double skyscraper")</f>
        <v>cílený double skyscraper</v>
      </c>
    </row>
    <row r="131" spans="1:47" x14ac:dyDescent="0.3">
      <c r="A131" s="3">
        <f ca="1"/>
        <v>2346826</v>
      </c>
      <c r="B131" s="3" t="str">
        <f ca="1"/>
        <v>CZECH NEWS CENTER a. s.</v>
      </c>
      <c r="C131" s="3" t="str">
        <f ca="1">IFERROR(__xludf.DUMMYFUNCTION("""COMPUTED_VALUE"""),"Autorevue")</f>
        <v>Autorevue</v>
      </c>
      <c r="D131" s="4" t="str">
        <f ca="1">IFERROR(__xludf.DUMMYFUNCTION("""COMPUTED_VALUE"""),"https://autorevue.cz")</f>
        <v>https://autorevue.cz</v>
      </c>
      <c r="E131" s="3" t="str">
        <f ca="1">IFERROR(__xludf.DUMMYFUNCTION("""COMPUTED_VALUE"""),"celý web")</f>
        <v>celý web</v>
      </c>
      <c r="F131" s="4" t="str">
        <f ca="1">IFERROR(__xludf.DUMMYFUNCTION("""COMPUTED_VALUE"""),"https://autorevue.cz")</f>
        <v>https://autorevue.cz</v>
      </c>
      <c r="G131" s="3" t="str">
        <f ca="1">IFERROR(__xludf.DUMMYFUNCTION("""COMPUTED_VALUE"""),"cílený mobilní interscroller low season")</f>
        <v>cílený mobilní interscroller low season</v>
      </c>
      <c r="H131" s="3">
        <f ca="1">IFERROR(__xludf.DUMMYFUNCTION("""COMPUTED_VALUE"""),7)</f>
        <v>7</v>
      </c>
      <c r="I131" s="5">
        <f ca="1">IFERROR(__xludf.DUMMYFUNCTION("""COMPUTED_VALUE"""),1000)</f>
        <v>1000</v>
      </c>
      <c r="J131" s="5">
        <f ca="1">IFERROR(__xludf.DUMMYFUNCTION("""COMPUTED_VALUE"""),300)</f>
        <v>300</v>
      </c>
      <c r="K131" s="3"/>
      <c r="L131" s="3" t="str">
        <f ca="1">IFERROR(__xludf.DUMMYFUNCTION("""COMPUTED_VALUE"""),"Cost per period")</f>
        <v>Cost per period</v>
      </c>
      <c r="M131" s="3"/>
      <c r="N131" s="3"/>
      <c r="O131" s="3" t="str">
        <f ca="1">IFERROR(__xludf.DUMMYFUNCTION("""COMPUTED_VALUE"""),"600")</f>
        <v>600</v>
      </c>
      <c r="P131" s="3" t="str">
        <f ca="1">IFERROR(__xludf.DUMMYFUNCTION("""COMPUTED_VALUE"""),"1080")</f>
        <v>1080</v>
      </c>
      <c r="Q131" s="3" t="str">
        <f ca="1">IFERROR(__xludf.DUMMYFUNCTION("""COMPUTED_VALUE"""),"600x1080")</f>
        <v>600x1080</v>
      </c>
      <c r="R131" s="3"/>
      <c r="S131" s="3" t="str">
        <f ca="1">IFERROR(__xludf.DUMMYFUNCTION("""COMPUTED_VALUE"""),"200")</f>
        <v>200</v>
      </c>
      <c r="T131" s="3"/>
      <c r="U131" s="3" t="str">
        <f ca="1">IFERROR(__xludf.DUMMYFUNCTION("""COMPUTED_VALUE"""),"banner standard")</f>
        <v>banner standard</v>
      </c>
      <c r="V131" s="3"/>
      <c r="W131" s="4" t="str">
        <f ca="1">IFERROR(__xludf.DUMMYFUNCTION("""COMPUTED_VALUE"""),"https://reklama.cncenter.cz/Online/mobilni-interscroller")</f>
        <v>https://reklama.cncenter.cz/Online/mobilni-interscroller</v>
      </c>
      <c r="X131" s="3"/>
      <c r="Y131" s="3"/>
      <c r="Z131" s="3" t="str">
        <f ca="1">IFERROR(__xludf.DUMMYFUNCTION("""COMPUTED_VALUE"""),"podklady@cncenter.cz")</f>
        <v>podklady@cncenter.cz</v>
      </c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 t="str">
        <f ca="1">IFERROR(__xludf.DUMMYFUNCTION("""COMPUTED_VALUE"""),"mobile")</f>
        <v>mobile</v>
      </c>
      <c r="AO131" s="3"/>
      <c r="AP131" s="3"/>
      <c r="AQ131" s="3"/>
      <c r="AR131" s="3"/>
      <c r="AS131" s="3"/>
      <c r="AT131" s="3"/>
      <c r="AU131" s="3" t="str">
        <f ca="1">IFERROR(__xludf.DUMMYFUNCTION("""COMPUTED_VALUE"""),"cílený mobilní interscroller")</f>
        <v>cílený mobilní interscroller</v>
      </c>
    </row>
    <row r="132" spans="1:47" x14ac:dyDescent="0.3">
      <c r="A132" s="3">
        <f ca="1"/>
        <v>2346826</v>
      </c>
      <c r="B132" s="3" t="str">
        <f ca="1"/>
        <v>CZECH NEWS CENTER a. s.</v>
      </c>
      <c r="C132" s="3" t="str">
        <f ca="1">IFERROR(__xludf.DUMMYFUNCTION("""COMPUTED_VALUE"""),"Autorevue")</f>
        <v>Autorevue</v>
      </c>
      <c r="D132" s="4" t="str">
        <f ca="1">IFERROR(__xludf.DUMMYFUNCTION("""COMPUTED_VALUE"""),"https://autorevue.cz")</f>
        <v>https://autorevue.cz</v>
      </c>
      <c r="E132" s="3" t="str">
        <f ca="1">IFERROR(__xludf.DUMMYFUNCTION("""COMPUTED_VALUE"""),"celý web")</f>
        <v>celý web</v>
      </c>
      <c r="F132" s="4" t="str">
        <f ca="1">IFERROR(__xludf.DUMMYFUNCTION("""COMPUTED_VALUE"""),"https://autorevue.cz")</f>
        <v>https://autorevue.cz</v>
      </c>
      <c r="G132" s="3" t="str">
        <f ca="1">IFERROR(__xludf.DUMMYFUNCTION("""COMPUTED_VALUE"""),"cílený mobilní slide-up low season")</f>
        <v>cílený mobilní slide-up low season</v>
      </c>
      <c r="H132" s="3">
        <f ca="1">IFERROR(__xludf.DUMMYFUNCTION("""COMPUTED_VALUE"""),7)</f>
        <v>7</v>
      </c>
      <c r="I132" s="5">
        <f ca="1">IFERROR(__xludf.DUMMYFUNCTION("""COMPUTED_VALUE"""),1000)</f>
        <v>1000</v>
      </c>
      <c r="J132" s="5">
        <f ca="1">IFERROR(__xludf.DUMMYFUNCTION("""COMPUTED_VALUE"""),612)</f>
        <v>612</v>
      </c>
      <c r="K132" s="3"/>
      <c r="L132" s="3" t="str">
        <f ca="1">IFERROR(__xludf.DUMMYFUNCTION("""COMPUTED_VALUE"""),"Cost per period")</f>
        <v>Cost per period</v>
      </c>
      <c r="M132" s="3"/>
      <c r="N132" s="3"/>
      <c r="O132" s="3" t="str">
        <f ca="1">IFERROR(__xludf.DUMMYFUNCTION("""COMPUTED_VALUE"""),"300")</f>
        <v>300</v>
      </c>
      <c r="P132" s="3" t="str">
        <f ca="1">IFERROR(__xludf.DUMMYFUNCTION("""COMPUTED_VALUE"""),"120")</f>
        <v>120</v>
      </c>
      <c r="Q132" s="3" t="str">
        <f ca="1">IFERROR(__xludf.DUMMYFUNCTION("""COMPUTED_VALUE"""),"300x120")</f>
        <v>300x120</v>
      </c>
      <c r="R132" s="3"/>
      <c r="S132" s="3" t="str">
        <f ca="1">IFERROR(__xludf.DUMMYFUNCTION("""COMPUTED_VALUE"""),"100")</f>
        <v>100</v>
      </c>
      <c r="T132" s="3"/>
      <c r="U132" s="3" t="str">
        <f ca="1">IFERROR(__xludf.DUMMYFUNCTION("""COMPUTED_VALUE"""),"banner standard")</f>
        <v>banner standard</v>
      </c>
      <c r="V132" s="3"/>
      <c r="W132" s="4" t="str">
        <f ca="1">IFERROR(__xludf.DUMMYFUNCTION("""COMPUTED_VALUE"""),"https://reklama.cncenter.cz/Online/mobilni-slide-up")</f>
        <v>https://reklama.cncenter.cz/Online/mobilni-slide-up</v>
      </c>
      <c r="X132" s="3"/>
      <c r="Y132" s="3"/>
      <c r="Z132" s="3" t="str">
        <f ca="1">IFERROR(__xludf.DUMMYFUNCTION("""COMPUTED_VALUE"""),"podklady@cncenter.cz")</f>
        <v>podklady@cncenter.cz</v>
      </c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 t="str">
        <f ca="1">IFERROR(__xludf.DUMMYFUNCTION("""COMPUTED_VALUE"""),"mobile")</f>
        <v>mobile</v>
      </c>
      <c r="AO132" s="3"/>
      <c r="AP132" s="3"/>
      <c r="AQ132" s="3"/>
      <c r="AR132" s="3"/>
      <c r="AS132" s="3"/>
      <c r="AT132" s="3"/>
      <c r="AU132" s="3" t="str">
        <f ca="1">IFERROR(__xludf.DUMMYFUNCTION("""COMPUTED_VALUE"""),"cílený mobilní slide-up")</f>
        <v>cílený mobilní slide-up</v>
      </c>
    </row>
    <row r="133" spans="1:47" x14ac:dyDescent="0.3">
      <c r="A133" s="3">
        <f ca="1"/>
        <v>2346826</v>
      </c>
      <c r="B133" s="3" t="str">
        <f ca="1"/>
        <v>CZECH NEWS CENTER a. s.</v>
      </c>
      <c r="C133" s="3" t="str">
        <f ca="1">IFERROR(__xludf.DUMMYFUNCTION("""COMPUTED_VALUE"""),"Autorevue")</f>
        <v>Autorevue</v>
      </c>
      <c r="D133" s="4" t="str">
        <f ca="1">IFERROR(__xludf.DUMMYFUNCTION("""COMPUTED_VALUE"""),"https://autorevue.cz")</f>
        <v>https://autorevue.cz</v>
      </c>
      <c r="E133" s="3" t="str">
        <f ca="1">IFERROR(__xludf.DUMMYFUNCTION("""COMPUTED_VALUE"""),"celý web")</f>
        <v>celý web</v>
      </c>
      <c r="F133" s="4" t="str">
        <f ca="1">IFERROR(__xludf.DUMMYFUNCTION("""COMPUTED_VALUE"""),"https://autorevue.cz")</f>
        <v>https://autorevue.cz</v>
      </c>
      <c r="G133" s="3" t="str">
        <f ca="1">IFERROR(__xludf.DUMMYFUNCTION("""COMPUTED_VALUE"""),"cílený mobilní viněta low season")</f>
        <v>cílený mobilní viněta low season</v>
      </c>
      <c r="H133" s="3">
        <f ca="1">IFERROR(__xludf.DUMMYFUNCTION("""COMPUTED_VALUE"""),7)</f>
        <v>7</v>
      </c>
      <c r="I133" s="5">
        <f ca="1">IFERROR(__xludf.DUMMYFUNCTION("""COMPUTED_VALUE"""),1000)</f>
        <v>1000</v>
      </c>
      <c r="J133" s="5">
        <f ca="1">IFERROR(__xludf.DUMMYFUNCTION("""COMPUTED_VALUE"""),1056)</f>
        <v>1056</v>
      </c>
      <c r="K133" s="3"/>
      <c r="L133" s="3" t="str">
        <f ca="1">IFERROR(__xludf.DUMMYFUNCTION("""COMPUTED_VALUE"""),"Cost per period")</f>
        <v>Cost per period</v>
      </c>
      <c r="M133" s="3"/>
      <c r="N133" s="3"/>
      <c r="O133" s="3" t="str">
        <f ca="1">IFERROR(__xludf.DUMMYFUNCTION("""COMPUTED_VALUE"""),"600")</f>
        <v>600</v>
      </c>
      <c r="P133" s="3" t="str">
        <f ca="1">IFERROR(__xludf.DUMMYFUNCTION("""COMPUTED_VALUE"""),"800")</f>
        <v>800</v>
      </c>
      <c r="Q133" s="3" t="str">
        <f ca="1">IFERROR(__xludf.DUMMYFUNCTION("""COMPUTED_VALUE"""),"300x250 nebo 600x800")</f>
        <v>300x250 nebo 600x800</v>
      </c>
      <c r="R133" s="3"/>
      <c r="S133" s="3" t="str">
        <f ca="1">IFERROR(__xludf.DUMMYFUNCTION("""COMPUTED_VALUE"""),"100")</f>
        <v>100</v>
      </c>
      <c r="T133" s="3"/>
      <c r="U133" s="3" t="str">
        <f ca="1">IFERROR(__xludf.DUMMYFUNCTION("""COMPUTED_VALUE"""),"banner standard")</f>
        <v>banner standard</v>
      </c>
      <c r="V133" s="3"/>
      <c r="W133" s="4" t="str">
        <f ca="1">IFERROR(__xludf.DUMMYFUNCTION("""COMPUTED_VALUE"""),"https://reklama.cncenter.cz/Online/mobilni-vineta")</f>
        <v>https://reklama.cncenter.cz/Online/mobilni-vineta</v>
      </c>
      <c r="X133" s="3"/>
      <c r="Y133" s="3"/>
      <c r="Z133" s="3" t="str">
        <f ca="1">IFERROR(__xludf.DUMMYFUNCTION("""COMPUTED_VALUE"""),"podklady@cncenter.cz")</f>
        <v>podklady@cncenter.cz</v>
      </c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 t="str">
        <f ca="1">IFERROR(__xludf.DUMMYFUNCTION("""COMPUTED_VALUE"""),"mobile")</f>
        <v>mobile</v>
      </c>
      <c r="AO133" s="3"/>
      <c r="AP133" s="3"/>
      <c r="AQ133" s="3"/>
      <c r="AR133" s="3"/>
      <c r="AS133" s="3"/>
      <c r="AT133" s="3"/>
      <c r="AU133" s="3" t="str">
        <f ca="1">IFERROR(__xludf.DUMMYFUNCTION("""COMPUTED_VALUE"""),"cílený mobilní viněta")</f>
        <v>cílený mobilní viněta</v>
      </c>
    </row>
    <row r="134" spans="1:47" x14ac:dyDescent="0.3">
      <c r="A134" s="3">
        <f ca="1"/>
        <v>2346826</v>
      </c>
      <c r="B134" s="3" t="str">
        <f ca="1"/>
        <v>CZECH NEWS CENTER a. s.</v>
      </c>
      <c r="C134" s="3" t="str">
        <f ca="1">IFERROR(__xludf.DUMMYFUNCTION("""COMPUTED_VALUE"""),"Autorevue")</f>
        <v>Autorevue</v>
      </c>
      <c r="D134" s="4" t="str">
        <f ca="1">IFERROR(__xludf.DUMMYFUNCTION("""COMPUTED_VALUE"""),"https://autorevue.cz")</f>
        <v>https://autorevue.cz</v>
      </c>
      <c r="E134" s="3" t="str">
        <f ca="1">IFERROR(__xludf.DUMMYFUNCTION("""COMPUTED_VALUE"""),"celý web")</f>
        <v>celý web</v>
      </c>
      <c r="F134" s="4" t="str">
        <f ca="1">IFERROR(__xludf.DUMMYFUNCTION("""COMPUTED_VALUE"""),"https://autorevue.cz")</f>
        <v>https://autorevue.cz</v>
      </c>
      <c r="G134" s="3" t="str">
        <f ca="1">IFERROR(__xludf.DUMMYFUNCTION("""COMPUTED_VALUE"""),"cílený nativní pr premium low season")</f>
        <v>cílený nativní pr premium low season</v>
      </c>
      <c r="H134" s="3">
        <f ca="1">IFERROR(__xludf.DUMMYFUNCTION("""COMPUTED_VALUE"""),7)</f>
        <v>7</v>
      </c>
      <c r="I134" s="5">
        <f ca="1">IFERROR(__xludf.DUMMYFUNCTION("""COMPUTED_VALUE"""),1000)</f>
        <v>1000</v>
      </c>
      <c r="J134" s="5">
        <f ca="1">IFERROR(__xludf.DUMMYFUNCTION("""COMPUTED_VALUE"""),120)</f>
        <v>120</v>
      </c>
      <c r="K134" s="3"/>
      <c r="L134" s="3" t="str">
        <f ca="1">IFERROR(__xludf.DUMMYFUNCTION("""COMPUTED_VALUE"""),"Cost per period")</f>
        <v>Cost per period</v>
      </c>
      <c r="M134" s="3"/>
      <c r="N134" s="3"/>
      <c r="O134" s="3" t="str">
        <f ca="1">IFERROR(__xludf.DUMMYFUNCTION("""COMPUTED_VALUE"""),"640")</f>
        <v>640</v>
      </c>
      <c r="P134" s="3" t="str">
        <f ca="1">IFERROR(__xludf.DUMMYFUNCTION("""COMPUTED_VALUE"""),"335, 640")</f>
        <v>335, 640</v>
      </c>
      <c r="Q134" s="3" t="str">
        <f ca="1">IFERROR(__xludf.DUMMYFUNCTION("""COMPUTED_VALUE"""),"640x640 a 640x335 + text + logo")</f>
        <v>640x640 a 640x335 + text + logo</v>
      </c>
      <c r="R134" s="3" t="str">
        <f ca="1">IFERROR(__xludf.DUMMYFUNCTION("""COMPUTED_VALUE"""),"detailní specifikace na URL odkaze")</f>
        <v>detailní specifikace na URL odkaze</v>
      </c>
      <c r="S134" s="3" t="str">
        <f ca="1">IFERROR(__xludf.DUMMYFUNCTION("""COMPUTED_VALUE"""),"100")</f>
        <v>100</v>
      </c>
      <c r="T134" s="3"/>
      <c r="U134" s="3" t="str">
        <f ca="1">IFERROR(__xludf.DUMMYFUNCTION("""COMPUTED_VALUE"""),"nativní reklama")</f>
        <v>nativní reklama</v>
      </c>
      <c r="V134" s="3"/>
      <c r="W134" s="4" t="str">
        <f ca="1">IFERROR(__xludf.DUMMYFUNCTION("""COMPUTED_VALUE"""),"https://reklama.cncenter.cz/Online/nativni-PR-premium")</f>
        <v>https://reklama.cncenter.cz/Online/nativni-PR-premium</v>
      </c>
      <c r="X134" s="3"/>
      <c r="Y134" s="3"/>
      <c r="Z134" s="3" t="str">
        <f ca="1">IFERROR(__xludf.DUMMYFUNCTION("""COMPUTED_VALUE"""),"podklady@cncenter.cz")</f>
        <v>podklady@cncenter.cz</v>
      </c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 t="str">
        <f ca="1">IFERROR(__xludf.DUMMYFUNCTION("""COMPUTED_VALUE"""),"cross-device")</f>
        <v>cross-device</v>
      </c>
      <c r="AO134" s="3"/>
      <c r="AP134" s="3"/>
      <c r="AQ134" s="3"/>
      <c r="AR134" s="3"/>
      <c r="AS134" s="3"/>
      <c r="AT134" s="3"/>
      <c r="AU134" s="3" t="str">
        <f ca="1">IFERROR(__xludf.DUMMYFUNCTION("""COMPUTED_VALUE"""),"cílený nativní pr premium")</f>
        <v>cílený nativní pr premium</v>
      </c>
    </row>
    <row r="135" spans="1:47" x14ac:dyDescent="0.3">
      <c r="A135" s="3">
        <f ca="1"/>
        <v>2346826</v>
      </c>
      <c r="B135" s="3" t="str">
        <f ca="1"/>
        <v>CZECH NEWS CENTER a. s.</v>
      </c>
      <c r="C135" s="3" t="str">
        <f ca="1">IFERROR(__xludf.DUMMYFUNCTION("""COMPUTED_VALUE"""),"Autorevue")</f>
        <v>Autorevue</v>
      </c>
      <c r="D135" s="4" t="str">
        <f ca="1">IFERROR(__xludf.DUMMYFUNCTION("""COMPUTED_VALUE"""),"https://autorevue.cz")</f>
        <v>https://autorevue.cz</v>
      </c>
      <c r="E135" s="3" t="str">
        <f ca="1">IFERROR(__xludf.DUMMYFUNCTION("""COMPUTED_VALUE"""),"celý web")</f>
        <v>celý web</v>
      </c>
      <c r="F135" s="4" t="str">
        <f ca="1">IFERROR(__xludf.DUMMYFUNCTION("""COMPUTED_VALUE"""),"https://autorevue.cz")</f>
        <v>https://autorevue.cz</v>
      </c>
      <c r="G135" s="3" t="str">
        <f ca="1">IFERROR(__xludf.DUMMYFUNCTION("""COMPUTED_VALUE"""),"cílený nativní rectangle cross-device low season")</f>
        <v>cílený nativní rectangle cross-device low season</v>
      </c>
      <c r="H135" s="3">
        <f ca="1">IFERROR(__xludf.DUMMYFUNCTION("""COMPUTED_VALUE"""),7)</f>
        <v>7</v>
      </c>
      <c r="I135" s="5">
        <f ca="1">IFERROR(__xludf.DUMMYFUNCTION("""COMPUTED_VALUE"""),1000)</f>
        <v>1000</v>
      </c>
      <c r="J135" s="5">
        <f ca="1">IFERROR(__xludf.DUMMYFUNCTION("""COMPUTED_VALUE"""),240)</f>
        <v>240</v>
      </c>
      <c r="K135" s="3"/>
      <c r="L135" s="3" t="str">
        <f ca="1">IFERROR(__xludf.DUMMYFUNCTION("""COMPUTED_VALUE"""),"Cost per period")</f>
        <v>Cost per period</v>
      </c>
      <c r="M135" s="3"/>
      <c r="N135" s="3"/>
      <c r="O135" s="3" t="str">
        <f ca="1">IFERROR(__xludf.DUMMYFUNCTION("""COMPUTED_VALUE"""),"640")</f>
        <v>640</v>
      </c>
      <c r="P135" s="3" t="str">
        <f ca="1">IFERROR(__xludf.DUMMYFUNCTION("""COMPUTED_VALUE"""),"335, 640")</f>
        <v>335, 640</v>
      </c>
      <c r="Q135" s="3" t="str">
        <f ca="1">IFERROR(__xludf.DUMMYFUNCTION("""COMPUTED_VALUE"""),"640x640 a 640x335 + text + logo")</f>
        <v>640x640 a 640x335 + text + logo</v>
      </c>
      <c r="R135" s="3"/>
      <c r="S135" s="3" t="str">
        <f ca="1">IFERROR(__xludf.DUMMYFUNCTION("""COMPUTED_VALUE"""),"45")</f>
        <v>45</v>
      </c>
      <c r="T135" s="3"/>
      <c r="U135" s="3" t="str">
        <f ca="1">IFERROR(__xludf.DUMMYFUNCTION("""COMPUTED_VALUE"""),"nativní reklama")</f>
        <v>nativní reklama</v>
      </c>
      <c r="V135" s="3"/>
      <c r="W135" s="4" t="str">
        <f ca="1">IFERROR(__xludf.DUMMYFUNCTION("""COMPUTED_VALUE"""),"https://reklama.cncenter.cz/Online/nativni-rectangle-cross-device")</f>
        <v>https://reklama.cncenter.cz/Online/nativni-rectangle-cross-device</v>
      </c>
      <c r="X135" s="3"/>
      <c r="Y135" s="3"/>
      <c r="Z135" s="3" t="str">
        <f ca="1">IFERROR(__xludf.DUMMYFUNCTION("""COMPUTED_VALUE"""),"podklady@cncenter.cz")</f>
        <v>podklady@cncenter.cz</v>
      </c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 t="str">
        <f ca="1">IFERROR(__xludf.DUMMYFUNCTION("""COMPUTED_VALUE"""),"cross-device")</f>
        <v>cross-device</v>
      </c>
      <c r="AO135" s="3"/>
      <c r="AP135" s="3"/>
      <c r="AQ135" s="3"/>
      <c r="AR135" s="3"/>
      <c r="AS135" s="3"/>
      <c r="AT135" s="3"/>
      <c r="AU135" s="3" t="str">
        <f ca="1">IFERROR(__xludf.DUMMYFUNCTION("""COMPUTED_VALUE"""),"cílený nativní rectangle cross-device")</f>
        <v>cílený nativní rectangle cross-device</v>
      </c>
    </row>
    <row r="136" spans="1:47" x14ac:dyDescent="0.3">
      <c r="A136" s="3">
        <f ca="1"/>
        <v>2346826</v>
      </c>
      <c r="B136" s="3" t="str">
        <f ca="1"/>
        <v>CZECH NEWS CENTER a. s.</v>
      </c>
      <c r="C136" s="3" t="str">
        <f ca="1">IFERROR(__xludf.DUMMYFUNCTION("""COMPUTED_VALUE"""),"Autorevue")</f>
        <v>Autorevue</v>
      </c>
      <c r="D136" s="4" t="str">
        <f ca="1">IFERROR(__xludf.DUMMYFUNCTION("""COMPUTED_VALUE"""),"https://autorevue.cz")</f>
        <v>https://autorevue.cz</v>
      </c>
      <c r="E136" s="3" t="str">
        <f ca="1">IFERROR(__xludf.DUMMYFUNCTION("""COMPUTED_VALUE"""),"celý web")</f>
        <v>celý web</v>
      </c>
      <c r="F136" s="4" t="str">
        <f ca="1">IFERROR(__xludf.DUMMYFUNCTION("""COMPUTED_VALUE"""),"https://autorevue.cz")</f>
        <v>https://autorevue.cz</v>
      </c>
      <c r="G136" s="3" t="str">
        <f ca="1">IFERROR(__xludf.DUMMYFUNCTION("""COMPUTED_VALUE"""),"cílený outstream low season")</f>
        <v>cílený outstream low season</v>
      </c>
      <c r="H136" s="3">
        <f ca="1">IFERROR(__xludf.DUMMYFUNCTION("""COMPUTED_VALUE"""),7)</f>
        <v>7</v>
      </c>
      <c r="I136" s="5">
        <f ca="1">IFERROR(__xludf.DUMMYFUNCTION("""COMPUTED_VALUE"""),1000)</f>
        <v>1000</v>
      </c>
      <c r="J136" s="5">
        <f ca="1">IFERROR(__xludf.DUMMYFUNCTION("""COMPUTED_VALUE"""),300)</f>
        <v>300</v>
      </c>
      <c r="K136" s="3"/>
      <c r="L136" s="3" t="str">
        <f ca="1">IFERROR(__xludf.DUMMYFUNCTION("""COMPUTED_VALUE"""),"Cost per period")</f>
        <v>Cost per period</v>
      </c>
      <c r="M136" s="3"/>
      <c r="N136" s="3"/>
      <c r="O136" s="3" t="str">
        <f ca="1">IFERROR(__xludf.DUMMYFUNCTION("""COMPUTED_VALUE"""),"1280")</f>
        <v>1280</v>
      </c>
      <c r="P136" s="3" t="str">
        <f ca="1">IFERROR(__xludf.DUMMYFUNCTION("""COMPUTED_VALUE"""),"720")</f>
        <v>720</v>
      </c>
      <c r="Q136" s="3" t="str">
        <f ca="1">IFERROR(__xludf.DUMMYFUNCTION("""COMPUTED_VALUE"""),"16:9")</f>
        <v>16:9</v>
      </c>
      <c r="R136" s="3"/>
      <c r="S136" s="3" t="str">
        <f ca="1">IFERROR(__xludf.DUMMYFUNCTION("""COMPUTED_VALUE"""),"100")</f>
        <v>100</v>
      </c>
      <c r="T136" s="3"/>
      <c r="U136" s="3" t="str">
        <f ca="1">IFERROR(__xludf.DUMMYFUNCTION("""COMPUTED_VALUE"""),"videospot")</f>
        <v>videospot</v>
      </c>
      <c r="V136" s="3"/>
      <c r="W136" s="4" t="str">
        <f ca="1">IFERROR(__xludf.DUMMYFUNCTION("""COMPUTED_VALUE"""),"https://reklama.cncenter.cz/Online/Outstream")</f>
        <v>https://reklama.cncenter.cz/Online/Outstream</v>
      </c>
      <c r="X136" s="3"/>
      <c r="Y136" s="3"/>
      <c r="Z136" s="3" t="str">
        <f ca="1">IFERROR(__xludf.DUMMYFUNCTION("""COMPUTED_VALUE"""),"podklady@cncenter.cz")</f>
        <v>podklady@cncenter.cz</v>
      </c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 t="str">
        <f ca="1">IFERROR(__xludf.DUMMYFUNCTION("""COMPUTED_VALUE"""),"cross-device")</f>
        <v>cross-device</v>
      </c>
      <c r="AO136" s="3"/>
      <c r="AP136" s="3"/>
      <c r="AQ136" s="3"/>
      <c r="AR136" s="3"/>
      <c r="AS136" s="3"/>
      <c r="AT136" s="3"/>
      <c r="AU136" s="3" t="str">
        <f ca="1">IFERROR(__xludf.DUMMYFUNCTION("""COMPUTED_VALUE"""),"cílený outstream")</f>
        <v>cílený outstream</v>
      </c>
    </row>
    <row r="137" spans="1:47" x14ac:dyDescent="0.3">
      <c r="A137" s="3">
        <f ca="1"/>
        <v>2346826</v>
      </c>
      <c r="B137" s="3" t="str">
        <f ca="1"/>
        <v>CZECH NEWS CENTER a. s.</v>
      </c>
      <c r="C137" s="3" t="str">
        <f ca="1">IFERROR(__xludf.DUMMYFUNCTION("""COMPUTED_VALUE"""),"Autorevue")</f>
        <v>Autorevue</v>
      </c>
      <c r="D137" s="4" t="str">
        <f ca="1">IFERROR(__xludf.DUMMYFUNCTION("""COMPUTED_VALUE"""),"https://autorevue.cz")</f>
        <v>https://autorevue.cz</v>
      </c>
      <c r="E137" s="3" t="str">
        <f ca="1">IFERROR(__xludf.DUMMYFUNCTION("""COMPUTED_VALUE"""),"celý web")</f>
        <v>celý web</v>
      </c>
      <c r="F137" s="4" t="str">
        <f ca="1">IFERROR(__xludf.DUMMYFUNCTION("""COMPUTED_VALUE"""),"https://autorevue.cz")</f>
        <v>https://autorevue.cz</v>
      </c>
      <c r="G137" s="3" t="str">
        <f ca="1">IFERROR(__xludf.DUMMYFUNCTION("""COMPUTED_VALUE"""),"cílený videospot - max. 30 sec. / bumper low season")</f>
        <v>cílený videospot - max. 30 sec. / bumper low season</v>
      </c>
      <c r="H137" s="3">
        <f ca="1">IFERROR(__xludf.DUMMYFUNCTION("""COMPUTED_VALUE"""),7)</f>
        <v>7</v>
      </c>
      <c r="I137" s="5">
        <f ca="1">IFERROR(__xludf.DUMMYFUNCTION("""COMPUTED_VALUE"""),1000)</f>
        <v>1000</v>
      </c>
      <c r="J137" s="5">
        <f ca="1">IFERROR(__xludf.DUMMYFUNCTION("""COMPUTED_VALUE"""),888)</f>
        <v>888</v>
      </c>
      <c r="K137" s="3"/>
      <c r="L137" s="3" t="str">
        <f ca="1">IFERROR(__xludf.DUMMYFUNCTION("""COMPUTED_VALUE"""),"Cost per period")</f>
        <v>Cost per period</v>
      </c>
      <c r="M137" s="3"/>
      <c r="N137" s="3"/>
      <c r="O137" s="3" t="str">
        <f ca="1">IFERROR(__xludf.DUMMYFUNCTION("""COMPUTED_VALUE"""),"1280")</f>
        <v>1280</v>
      </c>
      <c r="P137" s="3" t="str">
        <f ca="1">IFERROR(__xludf.DUMMYFUNCTION("""COMPUTED_VALUE"""),"720")</f>
        <v>720</v>
      </c>
      <c r="Q137" s="3" t="str">
        <f ca="1">IFERROR(__xludf.DUMMYFUNCTION("""COMPUTED_VALUE"""),"16:9 / umístění po domluvě dle možností")</f>
        <v>16:9 / umístění po domluvě dle možností</v>
      </c>
      <c r="R137" s="3" t="str">
        <f ca="1">IFERROR(__xludf.DUMMYFUNCTION("""COMPUTED_VALUE"""),"přeskočení po 7 sekundách")</f>
        <v>přeskočení po 7 sekundách</v>
      </c>
      <c r="S137" s="3" t="str">
        <f ca="1">IFERROR(__xludf.DUMMYFUNCTION("""COMPUTED_VALUE"""),"100")</f>
        <v>100</v>
      </c>
      <c r="T137" s="3"/>
      <c r="U137" s="3" t="str">
        <f ca="1">IFERROR(__xludf.DUMMYFUNCTION("""COMPUTED_VALUE"""),"videospot")</f>
        <v>videospot</v>
      </c>
      <c r="V137" s="3"/>
      <c r="W137" s="4" t="str">
        <f ca="1">IFERROR(__xludf.DUMMYFUNCTION("""COMPUTED_VALUE"""),"https://reklama.cncenter.cz/Online/Bumper")</f>
        <v>https://reklama.cncenter.cz/Online/Bumper</v>
      </c>
      <c r="X137" s="3"/>
      <c r="Y137" s="3"/>
      <c r="Z137" s="3" t="str">
        <f ca="1">IFERROR(__xludf.DUMMYFUNCTION("""COMPUTED_VALUE"""),"podklady@cncenter.cz")</f>
        <v>podklady@cncenter.cz</v>
      </c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 t="str">
        <f ca="1">IFERROR(__xludf.DUMMYFUNCTION("""COMPUTED_VALUE"""),"cross-device")</f>
        <v>cross-device</v>
      </c>
      <c r="AO137" s="3"/>
      <c r="AP137" s="3"/>
      <c r="AQ137" s="3"/>
      <c r="AR137" s="3"/>
      <c r="AS137" s="3"/>
      <c r="AT137" s="3"/>
      <c r="AU137" s="3" t="str">
        <f ca="1">IFERROR(__xludf.DUMMYFUNCTION("""COMPUTED_VALUE"""),"cílený videospot - max. 30 sec. / bumper")</f>
        <v>cílený videospot - max. 30 sec. / bumper</v>
      </c>
    </row>
    <row r="138" spans="1:47" x14ac:dyDescent="0.3">
      <c r="A138" s="3">
        <f ca="1"/>
        <v>2346826</v>
      </c>
      <c r="B138" s="3" t="str">
        <f ca="1"/>
        <v>CZECH NEWS CENTER a. s.</v>
      </c>
      <c r="C138" s="3" t="str">
        <f ca="1">IFERROR(__xludf.DUMMYFUNCTION("""COMPUTED_VALUE"""),"AutoRevue")</f>
        <v>AutoRevue</v>
      </c>
      <c r="D138" s="4" t="str">
        <f ca="1">IFERROR(__xludf.DUMMYFUNCTION("""COMPUTED_VALUE"""),"https://autorevue.cz")</f>
        <v>https://autorevue.cz</v>
      </c>
      <c r="E138" s="3" t="str">
        <f ca="1">IFERROR(__xludf.DUMMYFUNCTION("""COMPUTED_VALUE"""),"celý web")</f>
        <v>celý web</v>
      </c>
      <c r="F138" s="4" t="str">
        <f ca="1">IFERROR(__xludf.DUMMYFUNCTION("""COMPUTED_VALUE"""),"https://autorevue.cz")</f>
        <v>https://autorevue.cz</v>
      </c>
      <c r="G138" s="3" t="str">
        <f ca="1">IFERROR(__xludf.DUMMYFUNCTION("""COMPUTED_VALUE"""),"dokoupení proma o 2 týdny - 10 000 PV *** low season")</f>
        <v>dokoupení proma o 2 týdny - 10 000 PV *** low season</v>
      </c>
      <c r="H138" s="3">
        <f ca="1">IFERROR(__xludf.DUMMYFUNCTION("""COMPUTED_VALUE"""),1)</f>
        <v>1</v>
      </c>
      <c r="I138" s="5">
        <f ca="1">IFERROR(__xludf.DUMMYFUNCTION("""COMPUTED_VALUE"""),1)</f>
        <v>1</v>
      </c>
      <c r="J138" s="5">
        <f ca="1">IFERROR(__xludf.DUMMYFUNCTION("""COMPUTED_VALUE"""),60000)</f>
        <v>60000</v>
      </c>
      <c r="K138" s="3"/>
      <c r="L138" s="3" t="str">
        <f ca="1">IFERROR(__xludf.DUMMYFUNCTION("""COMPUTED_VALUE"""),"Cost per instance")</f>
        <v>Cost per instance</v>
      </c>
      <c r="M138" s="3"/>
      <c r="N138" s="3"/>
      <c r="O138" s="3"/>
      <c r="P138" s="3"/>
      <c r="Q138" s="3"/>
      <c r="R138" s="3"/>
      <c r="S138" s="3" t="str">
        <f ca="1">IFERROR(__xludf.DUMMYFUNCTION("""COMPUTED_VALUE"""),"100")</f>
        <v>100</v>
      </c>
      <c r="T138" s="3"/>
      <c r="U138" s="3" t="str">
        <f ca="1">IFERROR(__xludf.DUMMYFUNCTION("""COMPUTED_VALUE"""),"microsite")</f>
        <v>microsite</v>
      </c>
      <c r="V138" s="3"/>
      <c r="W138" s="3"/>
      <c r="X138" s="3"/>
      <c r="Y138" s="3"/>
      <c r="Z138" s="3" t="str">
        <f ca="1">IFERROR(__xludf.DUMMYFUNCTION("""COMPUTED_VALUE"""),"podklady@cncenter.cz")</f>
        <v>podklady@cncenter.cz</v>
      </c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 t="str">
        <f ca="1">IFERROR(__xludf.DUMMYFUNCTION("""COMPUTED_VALUE"""),"cross-device")</f>
        <v>cross-device</v>
      </c>
      <c r="AO138" s="3"/>
      <c r="AP138" s="3"/>
      <c r="AQ138" s="3"/>
      <c r="AR138" s="3"/>
      <c r="AS138" s="3"/>
      <c r="AT138" s="3"/>
      <c r="AU138" s="3" t="str">
        <f ca="1">IFERROR(__xludf.DUMMYFUNCTION("""COMPUTED_VALUE"""),"dokoupení proma o 2 týdny - 10 000 PV ***")</f>
        <v>dokoupení proma o 2 týdny - 10 000 PV ***</v>
      </c>
    </row>
    <row r="139" spans="1:47" x14ac:dyDescent="0.3">
      <c r="A139" s="3">
        <f ca="1"/>
        <v>2346826</v>
      </c>
      <c r="B139" s="3" t="str">
        <f ca="1"/>
        <v>CZECH NEWS CENTER a. s.</v>
      </c>
      <c r="C139" s="3" t="str">
        <f ca="1">IFERROR(__xludf.DUMMYFUNCTION("""COMPUTED_VALUE"""),"Autorevue")</f>
        <v>Autorevue</v>
      </c>
      <c r="D139" s="4" t="str">
        <f ca="1">IFERROR(__xludf.DUMMYFUNCTION("""COMPUTED_VALUE"""),"https://autorevue.cz")</f>
        <v>https://autorevue.cz</v>
      </c>
      <c r="E139" s="3" t="str">
        <f ca="1">IFERROR(__xludf.DUMMYFUNCTION("""COMPUTED_VALUE"""),"celý web")</f>
        <v>celý web</v>
      </c>
      <c r="F139" s="4" t="str">
        <f ca="1">IFERROR(__xludf.DUMMYFUNCTION("""COMPUTED_VALUE"""),"https://autorevue.cz")</f>
        <v>https://autorevue.cz</v>
      </c>
      <c r="G139" s="3" t="str">
        <f ca="1">IFERROR(__xludf.DUMMYFUNCTION("""COMPUTED_VALUE"""),"double skyscraper low season")</f>
        <v>double skyscraper low season</v>
      </c>
      <c r="H139" s="3">
        <f ca="1">IFERROR(__xludf.DUMMYFUNCTION("""COMPUTED_VALUE"""),7)</f>
        <v>7</v>
      </c>
      <c r="I139" s="5">
        <f ca="1">IFERROR(__xludf.DUMMYFUNCTION("""COMPUTED_VALUE"""),1000)</f>
        <v>1000</v>
      </c>
      <c r="J139" s="5">
        <f ca="1">IFERROR(__xludf.DUMMYFUNCTION("""COMPUTED_VALUE"""),190)</f>
        <v>190</v>
      </c>
      <c r="K139" s="3"/>
      <c r="L139" s="3" t="str">
        <f ca="1">IFERROR(__xludf.DUMMYFUNCTION("""COMPUTED_VALUE"""),"Cost per period")</f>
        <v>Cost per period</v>
      </c>
      <c r="M139" s="3"/>
      <c r="N139" s="3"/>
      <c r="O139" s="3" t="str">
        <f ca="1">IFERROR(__xludf.DUMMYFUNCTION("""COMPUTED_VALUE"""),"300")</f>
        <v>300</v>
      </c>
      <c r="P139" s="3" t="str">
        <f ca="1">IFERROR(__xludf.DUMMYFUNCTION("""COMPUTED_VALUE"""),"600")</f>
        <v>600</v>
      </c>
      <c r="Q139" s="3" t="str">
        <f ca="1">IFERROR(__xludf.DUMMYFUNCTION("""COMPUTED_VALUE"""),"300x600")</f>
        <v>300x600</v>
      </c>
      <c r="R139" s="3"/>
      <c r="S139" s="3" t="str">
        <f ca="1">IFERROR(__xludf.DUMMYFUNCTION("""COMPUTED_VALUE"""),"100 (200 - HTML5)")</f>
        <v>100 (200 - HTML5)</v>
      </c>
      <c r="T139" s="3"/>
      <c r="U139" s="3" t="str">
        <f ca="1">IFERROR(__xludf.DUMMYFUNCTION("""COMPUTED_VALUE"""),"banner standard")</f>
        <v>banner standard</v>
      </c>
      <c r="V139" s="3"/>
      <c r="W139" s="4" t="str">
        <f ca="1">IFERROR(__xludf.DUMMYFUNCTION("""COMPUTED_VALUE"""),"https://reklama.cncenter.cz/Online/double-skyscraper")</f>
        <v>https://reklama.cncenter.cz/Online/double-skyscraper</v>
      </c>
      <c r="X139" s="3"/>
      <c r="Y139" s="3"/>
      <c r="Z139" s="3" t="str">
        <f ca="1">IFERROR(__xludf.DUMMYFUNCTION("""COMPUTED_VALUE"""),"podklady@cncenter.cz")</f>
        <v>podklady@cncenter.cz</v>
      </c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 t="str">
        <f ca="1">IFERROR(__xludf.DUMMYFUNCTION("""COMPUTED_VALUE"""),"desktop")</f>
        <v>desktop</v>
      </c>
      <c r="AO139" s="3"/>
      <c r="AP139" s="3"/>
      <c r="AQ139" s="3"/>
      <c r="AR139" s="3"/>
      <c r="AS139" s="3"/>
      <c r="AT139" s="3"/>
      <c r="AU139" s="3" t="str">
        <f ca="1">IFERROR(__xludf.DUMMYFUNCTION("""COMPUTED_VALUE"""),"double skyscraper")</f>
        <v>double skyscraper</v>
      </c>
    </row>
    <row r="140" spans="1:47" x14ac:dyDescent="0.3">
      <c r="A140" s="3">
        <f ca="1"/>
        <v>2346826</v>
      </c>
      <c r="B140" s="3" t="str">
        <f ca="1"/>
        <v>CZECH NEWS CENTER a. s.</v>
      </c>
      <c r="C140" s="3" t="str">
        <f ca="1">IFERROR(__xludf.DUMMYFUNCTION("""COMPUTED_VALUE"""),"Autorevue")</f>
        <v>Autorevue</v>
      </c>
      <c r="D140" s="4" t="str">
        <f ca="1">IFERROR(__xludf.DUMMYFUNCTION("""COMPUTED_VALUE"""),"https://autorevue.cz")</f>
        <v>https://autorevue.cz</v>
      </c>
      <c r="E140" s="3" t="str">
        <f ca="1">IFERROR(__xludf.DUMMYFUNCTION("""COMPUTED_VALUE"""),"celý web")</f>
        <v>celý web</v>
      </c>
      <c r="F140" s="4" t="str">
        <f ca="1">IFERROR(__xludf.DUMMYFUNCTION("""COMPUTED_VALUE"""),"https://autorevue.cz")</f>
        <v>https://autorevue.cz</v>
      </c>
      <c r="G140" s="3" t="str">
        <f ca="1">IFERROR(__xludf.DUMMYFUNCTION("""COMPUTED_VALUE"""),"mobilní interscroller low season")</f>
        <v>mobilní interscroller low season</v>
      </c>
      <c r="H140" s="3">
        <f ca="1">IFERROR(__xludf.DUMMYFUNCTION("""COMPUTED_VALUE"""),7)</f>
        <v>7</v>
      </c>
      <c r="I140" s="5">
        <f ca="1">IFERROR(__xludf.DUMMYFUNCTION("""COMPUTED_VALUE"""),1000)</f>
        <v>1000</v>
      </c>
      <c r="J140" s="5">
        <f ca="1">IFERROR(__xludf.DUMMYFUNCTION("""COMPUTED_VALUE"""),250)</f>
        <v>250</v>
      </c>
      <c r="K140" s="3"/>
      <c r="L140" s="3" t="str">
        <f ca="1">IFERROR(__xludf.DUMMYFUNCTION("""COMPUTED_VALUE"""),"Cost per period")</f>
        <v>Cost per period</v>
      </c>
      <c r="M140" s="3"/>
      <c r="N140" s="3"/>
      <c r="O140" s="3" t="str">
        <f ca="1">IFERROR(__xludf.DUMMYFUNCTION("""COMPUTED_VALUE"""),"600")</f>
        <v>600</v>
      </c>
      <c r="P140" s="3" t="str">
        <f ca="1">IFERROR(__xludf.DUMMYFUNCTION("""COMPUTED_VALUE"""),"1080")</f>
        <v>1080</v>
      </c>
      <c r="Q140" s="3" t="str">
        <f ca="1">IFERROR(__xludf.DUMMYFUNCTION("""COMPUTED_VALUE"""),"600x1080")</f>
        <v>600x1080</v>
      </c>
      <c r="R140" s="3"/>
      <c r="S140" s="3" t="str">
        <f ca="1">IFERROR(__xludf.DUMMYFUNCTION("""COMPUTED_VALUE"""),"200")</f>
        <v>200</v>
      </c>
      <c r="T140" s="3"/>
      <c r="U140" s="3" t="str">
        <f ca="1">IFERROR(__xludf.DUMMYFUNCTION("""COMPUTED_VALUE"""),"banner standard")</f>
        <v>banner standard</v>
      </c>
      <c r="V140" s="3"/>
      <c r="W140" s="4" t="str">
        <f ca="1">IFERROR(__xludf.DUMMYFUNCTION("""COMPUTED_VALUE"""),"https://reklama.cncenter.cz/Online/mobilni-interscroller")</f>
        <v>https://reklama.cncenter.cz/Online/mobilni-interscroller</v>
      </c>
      <c r="X140" s="3"/>
      <c r="Y140" s="3"/>
      <c r="Z140" s="3" t="str">
        <f ca="1">IFERROR(__xludf.DUMMYFUNCTION("""COMPUTED_VALUE"""),"podklady@cncenter.cz")</f>
        <v>podklady@cncenter.cz</v>
      </c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 t="str">
        <f ca="1">IFERROR(__xludf.DUMMYFUNCTION("""COMPUTED_VALUE"""),"mobile")</f>
        <v>mobile</v>
      </c>
      <c r="AO140" s="3"/>
      <c r="AP140" s="3"/>
      <c r="AQ140" s="3"/>
      <c r="AR140" s="3"/>
      <c r="AS140" s="3"/>
      <c r="AT140" s="3"/>
      <c r="AU140" s="3" t="str">
        <f ca="1">IFERROR(__xludf.DUMMYFUNCTION("""COMPUTED_VALUE"""),"mobilní interscroller")</f>
        <v>mobilní interscroller</v>
      </c>
    </row>
    <row r="141" spans="1:47" x14ac:dyDescent="0.3">
      <c r="A141" s="3">
        <f ca="1"/>
        <v>2346826</v>
      </c>
      <c r="B141" s="3" t="str">
        <f ca="1"/>
        <v>CZECH NEWS CENTER a. s.</v>
      </c>
      <c r="C141" s="3" t="str">
        <f ca="1">IFERROR(__xludf.DUMMYFUNCTION("""COMPUTED_VALUE"""),"Autorevue")</f>
        <v>Autorevue</v>
      </c>
      <c r="D141" s="4" t="str">
        <f ca="1">IFERROR(__xludf.DUMMYFUNCTION("""COMPUTED_VALUE"""),"https://autorevue.cz")</f>
        <v>https://autorevue.cz</v>
      </c>
      <c r="E141" s="3" t="str">
        <f ca="1">IFERROR(__xludf.DUMMYFUNCTION("""COMPUTED_VALUE"""),"celý web")</f>
        <v>celý web</v>
      </c>
      <c r="F141" s="4" t="str">
        <f ca="1">IFERROR(__xludf.DUMMYFUNCTION("""COMPUTED_VALUE"""),"https://autorevue.cz")</f>
        <v>https://autorevue.cz</v>
      </c>
      <c r="G141" s="3" t="str">
        <f ca="1">IFERROR(__xludf.DUMMYFUNCTION("""COMPUTED_VALUE"""),"mobilní slide-up low season")</f>
        <v>mobilní slide-up low season</v>
      </c>
      <c r="H141" s="3">
        <f ca="1">IFERROR(__xludf.DUMMYFUNCTION("""COMPUTED_VALUE"""),7)</f>
        <v>7</v>
      </c>
      <c r="I141" s="5">
        <f ca="1">IFERROR(__xludf.DUMMYFUNCTION("""COMPUTED_VALUE"""),1000)</f>
        <v>1000</v>
      </c>
      <c r="J141" s="5">
        <f ca="1">IFERROR(__xludf.DUMMYFUNCTION("""COMPUTED_VALUE"""),510)</f>
        <v>510</v>
      </c>
      <c r="K141" s="3"/>
      <c r="L141" s="3" t="str">
        <f ca="1">IFERROR(__xludf.DUMMYFUNCTION("""COMPUTED_VALUE"""),"Cost per period")</f>
        <v>Cost per period</v>
      </c>
      <c r="M141" s="3"/>
      <c r="N141" s="3"/>
      <c r="O141" s="3" t="str">
        <f ca="1">IFERROR(__xludf.DUMMYFUNCTION("""COMPUTED_VALUE"""),"300")</f>
        <v>300</v>
      </c>
      <c r="P141" s="3" t="str">
        <f ca="1">IFERROR(__xludf.DUMMYFUNCTION("""COMPUTED_VALUE"""),"120")</f>
        <v>120</v>
      </c>
      <c r="Q141" s="3" t="str">
        <f ca="1">IFERROR(__xludf.DUMMYFUNCTION("""COMPUTED_VALUE"""),"300x120")</f>
        <v>300x120</v>
      </c>
      <c r="R141" s="3"/>
      <c r="S141" s="3" t="str">
        <f ca="1">IFERROR(__xludf.DUMMYFUNCTION("""COMPUTED_VALUE"""),"100")</f>
        <v>100</v>
      </c>
      <c r="T141" s="3"/>
      <c r="U141" s="3" t="str">
        <f ca="1">IFERROR(__xludf.DUMMYFUNCTION("""COMPUTED_VALUE"""),"banner standard")</f>
        <v>banner standard</v>
      </c>
      <c r="V141" s="3"/>
      <c r="W141" s="4" t="str">
        <f ca="1">IFERROR(__xludf.DUMMYFUNCTION("""COMPUTED_VALUE"""),"https://reklama.cncenter.cz/Online/mobilni-slide-up")</f>
        <v>https://reklama.cncenter.cz/Online/mobilni-slide-up</v>
      </c>
      <c r="X141" s="3"/>
      <c r="Y141" s="3"/>
      <c r="Z141" s="3" t="str">
        <f ca="1">IFERROR(__xludf.DUMMYFUNCTION("""COMPUTED_VALUE"""),"podklady@cncenter.cz")</f>
        <v>podklady@cncenter.cz</v>
      </c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 t="str">
        <f ca="1">IFERROR(__xludf.DUMMYFUNCTION("""COMPUTED_VALUE"""),"mobile")</f>
        <v>mobile</v>
      </c>
      <c r="AO141" s="3"/>
      <c r="AP141" s="3"/>
      <c r="AQ141" s="3"/>
      <c r="AR141" s="3"/>
      <c r="AS141" s="3"/>
      <c r="AT141" s="3"/>
      <c r="AU141" s="3" t="str">
        <f ca="1">IFERROR(__xludf.DUMMYFUNCTION("""COMPUTED_VALUE"""),"mobilní slide-up")</f>
        <v>mobilní slide-up</v>
      </c>
    </row>
    <row r="142" spans="1:47" x14ac:dyDescent="0.3">
      <c r="A142" s="3">
        <f ca="1"/>
        <v>2346826</v>
      </c>
      <c r="B142" s="3" t="str">
        <f ca="1"/>
        <v>CZECH NEWS CENTER a. s.</v>
      </c>
      <c r="C142" s="3" t="str">
        <f ca="1">IFERROR(__xludf.DUMMYFUNCTION("""COMPUTED_VALUE"""),"Autorevue")</f>
        <v>Autorevue</v>
      </c>
      <c r="D142" s="4" t="str">
        <f ca="1">IFERROR(__xludf.DUMMYFUNCTION("""COMPUTED_VALUE"""),"https://autorevue.cz")</f>
        <v>https://autorevue.cz</v>
      </c>
      <c r="E142" s="3" t="str">
        <f ca="1">IFERROR(__xludf.DUMMYFUNCTION("""COMPUTED_VALUE"""),"celý web")</f>
        <v>celý web</v>
      </c>
      <c r="F142" s="4" t="str">
        <f ca="1">IFERROR(__xludf.DUMMYFUNCTION("""COMPUTED_VALUE"""),"https://autorevue.cz")</f>
        <v>https://autorevue.cz</v>
      </c>
      <c r="G142" s="3" t="str">
        <f ca="1">IFERROR(__xludf.DUMMYFUNCTION("""COMPUTED_VALUE"""),"mobilní viněta low season")</f>
        <v>mobilní viněta low season</v>
      </c>
      <c r="H142" s="3">
        <f ca="1">IFERROR(__xludf.DUMMYFUNCTION("""COMPUTED_VALUE"""),7)</f>
        <v>7</v>
      </c>
      <c r="I142" s="5">
        <f ca="1">IFERROR(__xludf.DUMMYFUNCTION("""COMPUTED_VALUE"""),1000)</f>
        <v>1000</v>
      </c>
      <c r="J142" s="5">
        <f ca="1">IFERROR(__xludf.DUMMYFUNCTION("""COMPUTED_VALUE"""),880)</f>
        <v>880</v>
      </c>
      <c r="K142" s="3"/>
      <c r="L142" s="3" t="str">
        <f ca="1">IFERROR(__xludf.DUMMYFUNCTION("""COMPUTED_VALUE"""),"Cost per period")</f>
        <v>Cost per period</v>
      </c>
      <c r="M142" s="3"/>
      <c r="N142" s="3"/>
      <c r="O142" s="3" t="str">
        <f ca="1">IFERROR(__xludf.DUMMYFUNCTION("""COMPUTED_VALUE"""),"600")</f>
        <v>600</v>
      </c>
      <c r="P142" s="3" t="str">
        <f ca="1">IFERROR(__xludf.DUMMYFUNCTION("""COMPUTED_VALUE"""),"800")</f>
        <v>800</v>
      </c>
      <c r="Q142" s="3" t="str">
        <f ca="1">IFERROR(__xludf.DUMMYFUNCTION("""COMPUTED_VALUE"""),"300x250 nebo 600x800")</f>
        <v>300x250 nebo 600x800</v>
      </c>
      <c r="R142" s="3"/>
      <c r="S142" s="3" t="str">
        <f ca="1">IFERROR(__xludf.DUMMYFUNCTION("""COMPUTED_VALUE"""),"100")</f>
        <v>100</v>
      </c>
      <c r="T142" s="3"/>
      <c r="U142" s="3" t="str">
        <f ca="1">IFERROR(__xludf.DUMMYFUNCTION("""COMPUTED_VALUE"""),"banner standard")</f>
        <v>banner standard</v>
      </c>
      <c r="V142" s="3"/>
      <c r="W142" s="4" t="str">
        <f ca="1">IFERROR(__xludf.DUMMYFUNCTION("""COMPUTED_VALUE"""),"https://reklama.cncenter.cz/Online/mobilni-vineta")</f>
        <v>https://reklama.cncenter.cz/Online/mobilni-vineta</v>
      </c>
      <c r="X142" s="3"/>
      <c r="Y142" s="3"/>
      <c r="Z142" s="3" t="str">
        <f ca="1">IFERROR(__xludf.DUMMYFUNCTION("""COMPUTED_VALUE"""),"podklady@cncenter.cz")</f>
        <v>podklady@cncenter.cz</v>
      </c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 t="str">
        <f ca="1">IFERROR(__xludf.DUMMYFUNCTION("""COMPUTED_VALUE"""),"mobile")</f>
        <v>mobile</v>
      </c>
      <c r="AO142" s="3"/>
      <c r="AP142" s="3"/>
      <c r="AQ142" s="3"/>
      <c r="AR142" s="3"/>
      <c r="AS142" s="3"/>
      <c r="AT142" s="3"/>
      <c r="AU142" s="3" t="str">
        <f ca="1">IFERROR(__xludf.DUMMYFUNCTION("""COMPUTED_VALUE"""),"mobilní viněta")</f>
        <v>mobilní viněta</v>
      </c>
    </row>
    <row r="143" spans="1:47" x14ac:dyDescent="0.3">
      <c r="A143" s="3">
        <f ca="1"/>
        <v>2346826</v>
      </c>
      <c r="B143" s="3" t="str">
        <f ca="1"/>
        <v>CZECH NEWS CENTER a. s.</v>
      </c>
      <c r="C143" s="3" t="str">
        <f ca="1">IFERROR(__xludf.DUMMYFUNCTION("""COMPUTED_VALUE"""),"AutoRevue")</f>
        <v>AutoRevue</v>
      </c>
      <c r="D143" s="4" t="str">
        <f ca="1">IFERROR(__xludf.DUMMYFUNCTION("""COMPUTED_VALUE"""),"https://autorevue.cz")</f>
        <v>https://autorevue.cz</v>
      </c>
      <c r="E143" s="3" t="str">
        <f ca="1">IFERROR(__xludf.DUMMYFUNCTION("""COMPUTED_VALUE"""),"celý web")</f>
        <v>celý web</v>
      </c>
      <c r="F143" s="4" t="str">
        <f ca="1">IFERROR(__xludf.DUMMYFUNCTION("""COMPUTED_VALUE"""),"https://autorevue.cz")</f>
        <v>https://autorevue.cz</v>
      </c>
      <c r="G143" s="3" t="str">
        <f ca="1">IFERROR(__xludf.DUMMYFUNCTION("""COMPUTED_VALUE"""),"Native Standard low season")</f>
        <v>Native Standard low season</v>
      </c>
      <c r="H143" s="3">
        <f ca="1">IFERROR(__xludf.DUMMYFUNCTION("""COMPUTED_VALUE"""),1)</f>
        <v>1</v>
      </c>
      <c r="I143" s="5">
        <f ca="1">IFERROR(__xludf.DUMMYFUNCTION("""COMPUTED_VALUE"""),1)</f>
        <v>1</v>
      </c>
      <c r="J143" s="5">
        <f ca="1">IFERROR(__xludf.DUMMYFUNCTION("""COMPUTED_VALUE"""),330000)</f>
        <v>330000</v>
      </c>
      <c r="K143" s="3"/>
      <c r="L143" s="3" t="str">
        <f ca="1">IFERROR(__xludf.DUMMYFUNCTION("""COMPUTED_VALUE"""),"Cost per instance")</f>
        <v>Cost per instance</v>
      </c>
      <c r="M143" s="3"/>
      <c r="N143" s="3"/>
      <c r="O143" s="3"/>
      <c r="P143" s="3"/>
      <c r="Q143" s="3"/>
      <c r="R143" s="3"/>
      <c r="S143" s="3" t="str">
        <f ca="1">IFERROR(__xludf.DUMMYFUNCTION("""COMPUTED_VALUE"""),"100")</f>
        <v>100</v>
      </c>
      <c r="T143" s="3"/>
      <c r="U143" s="3" t="str">
        <f ca="1">IFERROR(__xludf.DUMMYFUNCTION("""COMPUTED_VALUE"""),"microsite")</f>
        <v>microsite</v>
      </c>
      <c r="V143" s="3"/>
      <c r="W143" s="3"/>
      <c r="X143" s="3"/>
      <c r="Y143" s="3"/>
      <c r="Z143" s="3" t="str">
        <f ca="1">IFERROR(__xludf.DUMMYFUNCTION("""COMPUTED_VALUE"""),"podklady@cncenter.cz")</f>
        <v>podklady@cncenter.cz</v>
      </c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 t="str">
        <f ca="1">IFERROR(__xludf.DUMMYFUNCTION("""COMPUTED_VALUE"""),"cross-device")</f>
        <v>cross-device</v>
      </c>
      <c r="AO143" s="3"/>
      <c r="AP143" s="3"/>
      <c r="AQ143" s="3"/>
      <c r="AR143" s="3"/>
      <c r="AS143" s="3"/>
      <c r="AT143" s="3"/>
      <c r="AU143" s="3" t="str">
        <f ca="1">IFERROR(__xludf.DUMMYFUNCTION("""COMPUTED_VALUE"""),"Native Standard")</f>
        <v>Native Standard</v>
      </c>
    </row>
    <row r="144" spans="1:47" x14ac:dyDescent="0.3">
      <c r="A144" s="3">
        <f ca="1"/>
        <v>2346826</v>
      </c>
      <c r="B144" s="3" t="str">
        <f ca="1"/>
        <v>CZECH NEWS CENTER a. s.</v>
      </c>
      <c r="C144" s="3" t="str">
        <f ca="1">IFERROR(__xludf.DUMMYFUNCTION("""COMPUTED_VALUE"""),"Autorevue")</f>
        <v>Autorevue</v>
      </c>
      <c r="D144" s="4" t="str">
        <f ca="1">IFERROR(__xludf.DUMMYFUNCTION("""COMPUTED_VALUE"""),"https://autorevue.cz")</f>
        <v>https://autorevue.cz</v>
      </c>
      <c r="E144" s="3" t="str">
        <f ca="1">IFERROR(__xludf.DUMMYFUNCTION("""COMPUTED_VALUE"""),"celý web")</f>
        <v>celý web</v>
      </c>
      <c r="F144" s="4" t="str">
        <f ca="1">IFERROR(__xludf.DUMMYFUNCTION("""COMPUTED_VALUE"""),"https://autorevue.cz")</f>
        <v>https://autorevue.cz</v>
      </c>
      <c r="G144" s="3" t="str">
        <f ca="1">IFERROR(__xludf.DUMMYFUNCTION("""COMPUTED_VALUE"""),"nativní pr premium low season")</f>
        <v>nativní pr premium low season</v>
      </c>
      <c r="H144" s="3">
        <f ca="1">IFERROR(__xludf.DUMMYFUNCTION("""COMPUTED_VALUE"""),7)</f>
        <v>7</v>
      </c>
      <c r="I144" s="5">
        <f ca="1">IFERROR(__xludf.DUMMYFUNCTION("""COMPUTED_VALUE"""),1000)</f>
        <v>1000</v>
      </c>
      <c r="J144" s="5">
        <f ca="1">IFERROR(__xludf.DUMMYFUNCTION("""COMPUTED_VALUE"""),100)</f>
        <v>100</v>
      </c>
      <c r="K144" s="3"/>
      <c r="L144" s="3" t="str">
        <f ca="1">IFERROR(__xludf.DUMMYFUNCTION("""COMPUTED_VALUE"""),"Cost per period")</f>
        <v>Cost per period</v>
      </c>
      <c r="M144" s="3"/>
      <c r="N144" s="3"/>
      <c r="O144" s="3" t="str">
        <f ca="1">IFERROR(__xludf.DUMMYFUNCTION("""COMPUTED_VALUE"""),"640")</f>
        <v>640</v>
      </c>
      <c r="P144" s="3" t="str">
        <f ca="1">IFERROR(__xludf.DUMMYFUNCTION("""COMPUTED_VALUE"""),"335, 640")</f>
        <v>335, 640</v>
      </c>
      <c r="Q144" s="3" t="str">
        <f ca="1">IFERROR(__xludf.DUMMYFUNCTION("""COMPUTED_VALUE"""),"640x640 a 640x335 + text + logo")</f>
        <v>640x640 a 640x335 + text + logo</v>
      </c>
      <c r="R144" s="3" t="str">
        <f ca="1">IFERROR(__xludf.DUMMYFUNCTION("""COMPUTED_VALUE"""),"detailní specifikace na URL odkaze")</f>
        <v>detailní specifikace na URL odkaze</v>
      </c>
      <c r="S144" s="3" t="str">
        <f ca="1">IFERROR(__xludf.DUMMYFUNCTION("""COMPUTED_VALUE"""),"100")</f>
        <v>100</v>
      </c>
      <c r="T144" s="3"/>
      <c r="U144" s="3" t="str">
        <f ca="1">IFERROR(__xludf.DUMMYFUNCTION("""COMPUTED_VALUE"""),"nativní reklama")</f>
        <v>nativní reklama</v>
      </c>
      <c r="V144" s="3"/>
      <c r="W144" s="4" t="str">
        <f ca="1">IFERROR(__xludf.DUMMYFUNCTION("""COMPUTED_VALUE"""),"https://reklama.cncenter.cz/Online/nativni-PR-premium")</f>
        <v>https://reklama.cncenter.cz/Online/nativni-PR-premium</v>
      </c>
      <c r="X144" s="3"/>
      <c r="Y144" s="3"/>
      <c r="Z144" s="3" t="str">
        <f ca="1">IFERROR(__xludf.DUMMYFUNCTION("""COMPUTED_VALUE"""),"podklady@cncenter.cz")</f>
        <v>podklady@cncenter.cz</v>
      </c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 t="str">
        <f ca="1">IFERROR(__xludf.DUMMYFUNCTION("""COMPUTED_VALUE"""),"cross-device")</f>
        <v>cross-device</v>
      </c>
      <c r="AO144" s="3"/>
      <c r="AP144" s="3"/>
      <c r="AQ144" s="3"/>
      <c r="AR144" s="3"/>
      <c r="AS144" s="3"/>
      <c r="AT144" s="3"/>
      <c r="AU144" s="3" t="str">
        <f ca="1">IFERROR(__xludf.DUMMYFUNCTION("""COMPUTED_VALUE"""),"nativní pr premium")</f>
        <v>nativní pr premium</v>
      </c>
    </row>
    <row r="145" spans="1:47" x14ac:dyDescent="0.3">
      <c r="A145" s="3">
        <f ca="1"/>
        <v>2346826</v>
      </c>
      <c r="B145" s="3" t="str">
        <f ca="1"/>
        <v>CZECH NEWS CENTER a. s.</v>
      </c>
      <c r="C145" s="3" t="str">
        <f ca="1">IFERROR(__xludf.DUMMYFUNCTION("""COMPUTED_VALUE"""),"Autorevue")</f>
        <v>Autorevue</v>
      </c>
      <c r="D145" s="4" t="str">
        <f ca="1">IFERROR(__xludf.DUMMYFUNCTION("""COMPUTED_VALUE"""),"https://autorevue.cz")</f>
        <v>https://autorevue.cz</v>
      </c>
      <c r="E145" s="3" t="str">
        <f ca="1">IFERROR(__xludf.DUMMYFUNCTION("""COMPUTED_VALUE"""),"celý web")</f>
        <v>celý web</v>
      </c>
      <c r="F145" s="4" t="str">
        <f ca="1">IFERROR(__xludf.DUMMYFUNCTION("""COMPUTED_VALUE"""),"https://autorevue.cz")</f>
        <v>https://autorevue.cz</v>
      </c>
      <c r="G145" s="3" t="str">
        <f ca="1">IFERROR(__xludf.DUMMYFUNCTION("""COMPUTED_VALUE"""),"nativní rectangle cross-device low season")</f>
        <v>nativní rectangle cross-device low season</v>
      </c>
      <c r="H145" s="3">
        <f ca="1">IFERROR(__xludf.DUMMYFUNCTION("""COMPUTED_VALUE"""),7)</f>
        <v>7</v>
      </c>
      <c r="I145" s="5">
        <f ca="1">IFERROR(__xludf.DUMMYFUNCTION("""COMPUTED_VALUE"""),1000)</f>
        <v>1000</v>
      </c>
      <c r="J145" s="5">
        <f ca="1">IFERROR(__xludf.DUMMYFUNCTION("""COMPUTED_VALUE"""),200)</f>
        <v>200</v>
      </c>
      <c r="K145" s="3"/>
      <c r="L145" s="3" t="str">
        <f ca="1">IFERROR(__xludf.DUMMYFUNCTION("""COMPUTED_VALUE"""),"Cost per period")</f>
        <v>Cost per period</v>
      </c>
      <c r="M145" s="3"/>
      <c r="N145" s="3"/>
      <c r="O145" s="3" t="str">
        <f ca="1">IFERROR(__xludf.DUMMYFUNCTION("""COMPUTED_VALUE"""),"640")</f>
        <v>640</v>
      </c>
      <c r="P145" s="3" t="str">
        <f ca="1">IFERROR(__xludf.DUMMYFUNCTION("""COMPUTED_VALUE"""),"335, 640")</f>
        <v>335, 640</v>
      </c>
      <c r="Q145" s="3" t="str">
        <f ca="1">IFERROR(__xludf.DUMMYFUNCTION("""COMPUTED_VALUE"""),"640x640 a 640x335 + text + logo")</f>
        <v>640x640 a 640x335 + text + logo</v>
      </c>
      <c r="R145" s="3"/>
      <c r="S145" s="3" t="str">
        <f ca="1">IFERROR(__xludf.DUMMYFUNCTION("""COMPUTED_VALUE"""),"45")</f>
        <v>45</v>
      </c>
      <c r="T145" s="3"/>
      <c r="U145" s="3" t="str">
        <f ca="1">IFERROR(__xludf.DUMMYFUNCTION("""COMPUTED_VALUE"""),"nativní reklama")</f>
        <v>nativní reklama</v>
      </c>
      <c r="V145" s="3"/>
      <c r="W145" s="4" t="str">
        <f ca="1">IFERROR(__xludf.DUMMYFUNCTION("""COMPUTED_VALUE"""),"https://reklama.cncenter.cz/Online/nativni-rectangle-cross-device")</f>
        <v>https://reklama.cncenter.cz/Online/nativni-rectangle-cross-device</v>
      </c>
      <c r="X145" s="3"/>
      <c r="Y145" s="3"/>
      <c r="Z145" s="3" t="str">
        <f ca="1">IFERROR(__xludf.DUMMYFUNCTION("""COMPUTED_VALUE"""),"podklady@cncenter.cz")</f>
        <v>podklady@cncenter.cz</v>
      </c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 t="str">
        <f ca="1">IFERROR(__xludf.DUMMYFUNCTION("""COMPUTED_VALUE"""),"cross-device")</f>
        <v>cross-device</v>
      </c>
      <c r="AO145" s="3"/>
      <c r="AP145" s="3"/>
      <c r="AQ145" s="3"/>
      <c r="AR145" s="3"/>
      <c r="AS145" s="3"/>
      <c r="AT145" s="3"/>
      <c r="AU145" s="3" t="str">
        <f ca="1">IFERROR(__xludf.DUMMYFUNCTION("""COMPUTED_VALUE"""),"nativní rectangle cross-device")</f>
        <v>nativní rectangle cross-device</v>
      </c>
    </row>
    <row r="146" spans="1:47" x14ac:dyDescent="0.3">
      <c r="A146" s="3">
        <f ca="1"/>
        <v>2346826</v>
      </c>
      <c r="B146" s="3" t="str">
        <f ca="1"/>
        <v>CZECH NEWS CENTER a. s.</v>
      </c>
      <c r="C146" s="3" t="str">
        <f ca="1">IFERROR(__xludf.DUMMYFUNCTION("""COMPUTED_VALUE"""),"Autorevue")</f>
        <v>Autorevue</v>
      </c>
      <c r="D146" s="4" t="str">
        <f ca="1">IFERROR(__xludf.DUMMYFUNCTION("""COMPUTED_VALUE"""),"https://autorevue.cz")</f>
        <v>https://autorevue.cz</v>
      </c>
      <c r="E146" s="3" t="str">
        <f ca="1">IFERROR(__xludf.DUMMYFUNCTION("""COMPUTED_VALUE"""),"celý web")</f>
        <v>celý web</v>
      </c>
      <c r="F146" s="4" t="str">
        <f ca="1">IFERROR(__xludf.DUMMYFUNCTION("""COMPUTED_VALUE"""),"https://autorevue.cz")</f>
        <v>https://autorevue.cz</v>
      </c>
      <c r="G146" s="3" t="str">
        <f ca="1">IFERROR(__xludf.DUMMYFUNCTION("""COMPUTED_VALUE"""),"outstream low season")</f>
        <v>outstream low season</v>
      </c>
      <c r="H146" s="3">
        <f ca="1">IFERROR(__xludf.DUMMYFUNCTION("""COMPUTED_VALUE"""),7)</f>
        <v>7</v>
      </c>
      <c r="I146" s="5">
        <f ca="1">IFERROR(__xludf.DUMMYFUNCTION("""COMPUTED_VALUE"""),1000)</f>
        <v>1000</v>
      </c>
      <c r="J146" s="5">
        <f ca="1">IFERROR(__xludf.DUMMYFUNCTION("""COMPUTED_VALUE"""),250)</f>
        <v>250</v>
      </c>
      <c r="K146" s="3"/>
      <c r="L146" s="3" t="str">
        <f ca="1">IFERROR(__xludf.DUMMYFUNCTION("""COMPUTED_VALUE"""),"Cost per period")</f>
        <v>Cost per period</v>
      </c>
      <c r="M146" s="3"/>
      <c r="N146" s="3"/>
      <c r="O146" s="3" t="str">
        <f ca="1">IFERROR(__xludf.DUMMYFUNCTION("""COMPUTED_VALUE"""),"1280")</f>
        <v>1280</v>
      </c>
      <c r="P146" s="3" t="str">
        <f ca="1">IFERROR(__xludf.DUMMYFUNCTION("""COMPUTED_VALUE"""),"720")</f>
        <v>720</v>
      </c>
      <c r="Q146" s="3" t="str">
        <f ca="1">IFERROR(__xludf.DUMMYFUNCTION("""COMPUTED_VALUE"""),"16:9")</f>
        <v>16:9</v>
      </c>
      <c r="R146" s="3"/>
      <c r="S146" s="3" t="str">
        <f ca="1">IFERROR(__xludf.DUMMYFUNCTION("""COMPUTED_VALUE"""),"100")</f>
        <v>100</v>
      </c>
      <c r="T146" s="3"/>
      <c r="U146" s="3" t="str">
        <f ca="1">IFERROR(__xludf.DUMMYFUNCTION("""COMPUTED_VALUE"""),"videospot")</f>
        <v>videospot</v>
      </c>
      <c r="V146" s="3"/>
      <c r="W146" s="4" t="str">
        <f ca="1">IFERROR(__xludf.DUMMYFUNCTION("""COMPUTED_VALUE"""),"https://reklama.cncenter.cz/Online/Outstream")</f>
        <v>https://reklama.cncenter.cz/Online/Outstream</v>
      </c>
      <c r="X146" s="3"/>
      <c r="Y146" s="3"/>
      <c r="Z146" s="3" t="str">
        <f ca="1">IFERROR(__xludf.DUMMYFUNCTION("""COMPUTED_VALUE"""),"podklady@cncenter.cz")</f>
        <v>podklady@cncenter.cz</v>
      </c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 t="str">
        <f ca="1">IFERROR(__xludf.DUMMYFUNCTION("""COMPUTED_VALUE"""),"cross-device")</f>
        <v>cross-device</v>
      </c>
      <c r="AO146" s="3"/>
      <c r="AP146" s="3"/>
      <c r="AQ146" s="3"/>
      <c r="AR146" s="3"/>
      <c r="AS146" s="3"/>
      <c r="AT146" s="3"/>
      <c r="AU146" s="3" t="str">
        <f ca="1">IFERROR(__xludf.DUMMYFUNCTION("""COMPUTED_VALUE"""),"outstream")</f>
        <v>outstream</v>
      </c>
    </row>
    <row r="147" spans="1:47" x14ac:dyDescent="0.3">
      <c r="A147" s="3">
        <f ca="1"/>
        <v>2346826</v>
      </c>
      <c r="B147" s="3" t="str">
        <f ca="1"/>
        <v>CZECH NEWS CENTER a. s.</v>
      </c>
      <c r="C147" s="3" t="str">
        <f ca="1">IFERROR(__xludf.DUMMYFUNCTION("""COMPUTED_VALUE"""),"AutoRevue")</f>
        <v>AutoRevue</v>
      </c>
      <c r="D147" s="4" t="str">
        <f ca="1">IFERROR(__xludf.DUMMYFUNCTION("""COMPUTED_VALUE"""),"https://autorevue.cz")</f>
        <v>https://autorevue.cz</v>
      </c>
      <c r="E147" s="3" t="str">
        <f ca="1">IFERROR(__xludf.DUMMYFUNCTION("""COMPUTED_VALUE"""),"celý web")</f>
        <v>celý web</v>
      </c>
      <c r="F147" s="4" t="str">
        <f ca="1">IFERROR(__xludf.DUMMYFUNCTION("""COMPUTED_VALUE"""),"https://autorevue.cz")</f>
        <v>https://autorevue.cz</v>
      </c>
      <c r="G147" s="3" t="str">
        <f ca="1">IFERROR(__xludf.DUMMYFUNCTION("""COMPUTED_VALUE"""),"PR článek low season")</f>
        <v>PR článek low season</v>
      </c>
      <c r="H147" s="3">
        <f ca="1">IFERROR(__xludf.DUMMYFUNCTION("""COMPUTED_VALUE"""),1)</f>
        <v>1</v>
      </c>
      <c r="I147" s="5">
        <f ca="1">IFERROR(__xludf.DUMMYFUNCTION("""COMPUTED_VALUE"""),1)</f>
        <v>1</v>
      </c>
      <c r="J147" s="5">
        <f ca="1">IFERROR(__xludf.DUMMYFUNCTION("""COMPUTED_VALUE"""),20000)</f>
        <v>20000</v>
      </c>
      <c r="K147" s="3"/>
      <c r="L147" s="3" t="str">
        <f ca="1">IFERROR(__xludf.DUMMYFUNCTION("""COMPUTED_VALUE"""),"Cost per instance")</f>
        <v>Cost per instance</v>
      </c>
      <c r="M147" s="3"/>
      <c r="N147" s="3"/>
      <c r="O147" s="3"/>
      <c r="P147" s="3"/>
      <c r="Q147" s="3"/>
      <c r="R147" s="3"/>
      <c r="S147" s="3" t="str">
        <f ca="1">IFERROR(__xludf.DUMMYFUNCTION("""COMPUTED_VALUE"""),"100")</f>
        <v>100</v>
      </c>
      <c r="T147" s="3"/>
      <c r="U147" s="3" t="str">
        <f ca="1">IFERROR(__xludf.DUMMYFUNCTION("""COMPUTED_VALUE"""),"pr článek")</f>
        <v>pr článek</v>
      </c>
      <c r="V147" s="3"/>
      <c r="W147" s="4" t="str">
        <f ca="1">IFERROR(__xludf.DUMMYFUNCTION("""COMPUTED_VALUE"""),"https://reklama.cncenter.cz/?ads=PR%2520%25C4%258Dl%25C3%25A1nky")</f>
        <v>https://reklama.cncenter.cz/?ads=PR%2520%25C4%258Dl%25C3%25A1nky</v>
      </c>
      <c r="X147" s="3"/>
      <c r="Y147" s="3"/>
      <c r="Z147" s="3" t="str">
        <f ca="1">IFERROR(__xludf.DUMMYFUNCTION("""COMPUTED_VALUE"""),"podklady@cncenter.cz")</f>
        <v>podklady@cncenter.cz</v>
      </c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 t="str">
        <f ca="1">IFERROR(__xludf.DUMMYFUNCTION("""COMPUTED_VALUE"""),"cross-device")</f>
        <v>cross-device</v>
      </c>
      <c r="AO147" s="3"/>
      <c r="AP147" s="3"/>
      <c r="AQ147" s="3"/>
      <c r="AR147" s="3"/>
      <c r="AS147" s="3"/>
      <c r="AT147" s="3"/>
      <c r="AU147" s="3" t="str">
        <f ca="1">IFERROR(__xludf.DUMMYFUNCTION("""COMPUTED_VALUE"""),"PR článek")</f>
        <v>PR článek</v>
      </c>
    </row>
    <row r="148" spans="1:47" x14ac:dyDescent="0.3">
      <c r="A148" s="3">
        <f ca="1"/>
        <v>2346826</v>
      </c>
      <c r="B148" s="3" t="str">
        <f ca="1"/>
        <v>CZECH NEWS CENTER a. s.</v>
      </c>
      <c r="C148" s="3" t="str">
        <f ca="1">IFERROR(__xludf.DUMMYFUNCTION("""COMPUTED_VALUE"""),"AutoRevue")</f>
        <v>AutoRevue</v>
      </c>
      <c r="D148" s="4" t="str">
        <f ca="1">IFERROR(__xludf.DUMMYFUNCTION("""COMPUTED_VALUE"""),"https://autorevue.cz")</f>
        <v>https://autorevue.cz</v>
      </c>
      <c r="E148" s="3" t="str">
        <f ca="1">IFERROR(__xludf.DUMMYFUNCTION("""COMPUTED_VALUE"""),"celý web")</f>
        <v>celý web</v>
      </c>
      <c r="F148" s="4" t="str">
        <f ca="1">IFERROR(__xludf.DUMMYFUNCTION("""COMPUTED_VALUE"""),"https://autorevue.cz")</f>
        <v>https://autorevue.cz</v>
      </c>
      <c r="G148" s="3" t="str">
        <f ca="1">IFERROR(__xludf.DUMMYFUNCTION("""COMPUTED_VALUE"""),"Prodloužení existující microsite, bez úprav low season")</f>
        <v>Prodloužení existující microsite, bez úprav low season</v>
      </c>
      <c r="H148" s="3">
        <f ca="1">IFERROR(__xludf.DUMMYFUNCTION("""COMPUTED_VALUE"""),1)</f>
        <v>1</v>
      </c>
      <c r="I148" s="5">
        <f ca="1">IFERROR(__xludf.DUMMYFUNCTION("""COMPUTED_VALUE"""),1)</f>
        <v>1</v>
      </c>
      <c r="J148" s="5">
        <f ca="1">IFERROR(__xludf.DUMMYFUNCTION("""COMPUTED_VALUE"""),15000)</f>
        <v>15000</v>
      </c>
      <c r="K148" s="3"/>
      <c r="L148" s="3" t="str">
        <f ca="1">IFERROR(__xludf.DUMMYFUNCTION("""COMPUTED_VALUE"""),"Cost per instance")</f>
        <v>Cost per instance</v>
      </c>
      <c r="M148" s="3"/>
      <c r="N148" s="3"/>
      <c r="O148" s="3"/>
      <c r="P148" s="3"/>
      <c r="Q148" s="3"/>
      <c r="R148" s="3"/>
      <c r="S148" s="3" t="str">
        <f ca="1">IFERROR(__xludf.DUMMYFUNCTION("""COMPUTED_VALUE"""),"100")</f>
        <v>100</v>
      </c>
      <c r="T148" s="3"/>
      <c r="U148" s="3" t="str">
        <f ca="1">IFERROR(__xludf.DUMMYFUNCTION("""COMPUTED_VALUE"""),"microsite")</f>
        <v>microsite</v>
      </c>
      <c r="V148" s="3"/>
      <c r="W148" s="3"/>
      <c r="X148" s="3"/>
      <c r="Y148" s="3"/>
      <c r="Z148" s="3" t="str">
        <f ca="1">IFERROR(__xludf.DUMMYFUNCTION("""COMPUTED_VALUE"""),"podklady@cncenter.cz")</f>
        <v>podklady@cncenter.cz</v>
      </c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 t="str">
        <f ca="1">IFERROR(__xludf.DUMMYFUNCTION("""COMPUTED_VALUE"""),"cross-device")</f>
        <v>cross-device</v>
      </c>
      <c r="AO148" s="3"/>
      <c r="AP148" s="3"/>
      <c r="AQ148" s="3"/>
      <c r="AR148" s="3"/>
      <c r="AS148" s="3"/>
      <c r="AT148" s="3"/>
      <c r="AU148" s="3" t="str">
        <f ca="1">IFERROR(__xludf.DUMMYFUNCTION("""COMPUTED_VALUE"""),"Prodloužení existující microsite, bez úprav")</f>
        <v>Prodloužení existující microsite, bez úprav</v>
      </c>
    </row>
    <row r="149" spans="1:47" x14ac:dyDescent="0.3">
      <c r="A149" s="3">
        <f ca="1"/>
        <v>2346826</v>
      </c>
      <c r="B149" s="3" t="str">
        <f ca="1"/>
        <v>CZECH NEWS CENTER a. s.</v>
      </c>
      <c r="C149" s="3" t="str">
        <f ca="1">IFERROR(__xludf.DUMMYFUNCTION("""COMPUTED_VALUE"""),"AutoRevue")</f>
        <v>AutoRevue</v>
      </c>
      <c r="D149" s="4" t="str">
        <f ca="1">IFERROR(__xludf.DUMMYFUNCTION("""COMPUTED_VALUE"""),"https://autorevue.cz")</f>
        <v>https://autorevue.cz</v>
      </c>
      <c r="E149" s="3" t="str">
        <f ca="1">IFERROR(__xludf.DUMMYFUNCTION("""COMPUTED_VALUE"""),"celý web")</f>
        <v>celý web</v>
      </c>
      <c r="F149" s="4" t="str">
        <f ca="1">IFERROR(__xludf.DUMMYFUNCTION("""COMPUTED_VALUE"""),"https://autorevue.cz")</f>
        <v>https://autorevue.cz</v>
      </c>
      <c r="G149" s="3" t="str">
        <f ca="1">IFERROR(__xludf.DUMMYFUNCTION("""COMPUTED_VALUE"""),"Prodloužení existující microsite, bez úprav low season")</f>
        <v>Prodloužení existující microsite, bez úprav low season</v>
      </c>
      <c r="H149" s="3">
        <f ca="1">IFERROR(__xludf.DUMMYFUNCTION("""COMPUTED_VALUE"""),1)</f>
        <v>1</v>
      </c>
      <c r="I149" s="5">
        <f ca="1">IFERROR(__xludf.DUMMYFUNCTION("""COMPUTED_VALUE"""),1)</f>
        <v>1</v>
      </c>
      <c r="J149" s="5">
        <f ca="1">IFERROR(__xludf.DUMMYFUNCTION("""COMPUTED_VALUE"""),15000)</f>
        <v>15000</v>
      </c>
      <c r="K149" s="3"/>
      <c r="L149" s="3" t="str">
        <f ca="1">IFERROR(__xludf.DUMMYFUNCTION("""COMPUTED_VALUE"""),"Cost per instance")</f>
        <v>Cost per instance</v>
      </c>
      <c r="M149" s="3"/>
      <c r="N149" s="3"/>
      <c r="O149" s="3"/>
      <c r="P149" s="3"/>
      <c r="Q149" s="3"/>
      <c r="R149" s="3"/>
      <c r="S149" s="3" t="str">
        <f ca="1">IFERROR(__xludf.DUMMYFUNCTION("""COMPUTED_VALUE"""),"100")</f>
        <v>100</v>
      </c>
      <c r="T149" s="3"/>
      <c r="U149" s="3" t="str">
        <f ca="1">IFERROR(__xludf.DUMMYFUNCTION("""COMPUTED_VALUE"""),"microsite")</f>
        <v>microsite</v>
      </c>
      <c r="V149" s="3"/>
      <c r="W149" s="3"/>
      <c r="X149" s="3"/>
      <c r="Y149" s="3"/>
      <c r="Z149" s="3" t="str">
        <f ca="1">IFERROR(__xludf.DUMMYFUNCTION("""COMPUTED_VALUE"""),"podklady@cncenter.cz")</f>
        <v>podklady@cncenter.cz</v>
      </c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 t="str">
        <f ca="1">IFERROR(__xludf.DUMMYFUNCTION("""COMPUTED_VALUE"""),"cross-device")</f>
        <v>cross-device</v>
      </c>
      <c r="AO149" s="3"/>
      <c r="AP149" s="3"/>
      <c r="AQ149" s="3"/>
      <c r="AR149" s="3"/>
      <c r="AS149" s="3"/>
      <c r="AT149" s="3"/>
      <c r="AU149" s="3" t="str">
        <f ca="1">IFERROR(__xludf.DUMMYFUNCTION("""COMPUTED_VALUE"""),"Prodloužení existující microsite, bez úprav")</f>
        <v>Prodloužení existující microsite, bez úprav</v>
      </c>
    </row>
    <row r="150" spans="1:47" x14ac:dyDescent="0.3">
      <c r="A150" s="3">
        <f ca="1"/>
        <v>2346826</v>
      </c>
      <c r="B150" s="3" t="str">
        <f ca="1"/>
        <v>CZECH NEWS CENTER a. s.</v>
      </c>
      <c r="C150" s="3" t="str">
        <f ca="1">IFERROR(__xludf.DUMMYFUNCTION("""COMPUTED_VALUE"""),"AutoRevue")</f>
        <v>AutoRevue</v>
      </c>
      <c r="D150" s="4" t="str">
        <f ca="1">IFERROR(__xludf.DUMMYFUNCTION("""COMPUTED_VALUE"""),"https://autorevue.cz")</f>
        <v>https://autorevue.cz</v>
      </c>
      <c r="E150" s="3" t="str">
        <f ca="1">IFERROR(__xludf.DUMMYFUNCTION("""COMPUTED_VALUE"""),"celý web")</f>
        <v>celý web</v>
      </c>
      <c r="F150" s="4" t="str">
        <f ca="1">IFERROR(__xludf.DUMMYFUNCTION("""COMPUTED_VALUE"""),"https://autorevue.cz")</f>
        <v>https://autorevue.cz</v>
      </c>
      <c r="G150" s="3" t="str">
        <f ca="1">IFERROR(__xludf.DUMMYFUNCTION("""COMPUTED_VALUE"""),"Prodloužení existující microsite, bez úprav low season")</f>
        <v>Prodloužení existující microsite, bez úprav low season</v>
      </c>
      <c r="H150" s="3">
        <f ca="1">IFERROR(__xludf.DUMMYFUNCTION("""COMPUTED_VALUE"""),1)</f>
        <v>1</v>
      </c>
      <c r="I150" s="5">
        <f ca="1">IFERROR(__xludf.DUMMYFUNCTION("""COMPUTED_VALUE"""),1)</f>
        <v>1</v>
      </c>
      <c r="J150" s="5">
        <f ca="1">IFERROR(__xludf.DUMMYFUNCTION("""COMPUTED_VALUE"""),15000)</f>
        <v>15000</v>
      </c>
      <c r="K150" s="3"/>
      <c r="L150" s="3" t="str">
        <f ca="1">IFERROR(__xludf.DUMMYFUNCTION("""COMPUTED_VALUE"""),"Cost per instance")</f>
        <v>Cost per instance</v>
      </c>
      <c r="M150" s="3"/>
      <c r="N150" s="3"/>
      <c r="O150" s="3"/>
      <c r="P150" s="3"/>
      <c r="Q150" s="3"/>
      <c r="R150" s="3"/>
      <c r="S150" s="3" t="str">
        <f ca="1">IFERROR(__xludf.DUMMYFUNCTION("""COMPUTED_VALUE"""),"100")</f>
        <v>100</v>
      </c>
      <c r="T150" s="3"/>
      <c r="U150" s="3" t="str">
        <f ca="1">IFERROR(__xludf.DUMMYFUNCTION("""COMPUTED_VALUE"""),"microsite")</f>
        <v>microsite</v>
      </c>
      <c r="V150" s="3"/>
      <c r="W150" s="3"/>
      <c r="X150" s="3"/>
      <c r="Y150" s="3"/>
      <c r="Z150" s="3" t="str">
        <f ca="1">IFERROR(__xludf.DUMMYFUNCTION("""COMPUTED_VALUE"""),"podklady@cncenter.cz")</f>
        <v>podklady@cncenter.cz</v>
      </c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 t="str">
        <f ca="1">IFERROR(__xludf.DUMMYFUNCTION("""COMPUTED_VALUE"""),"cross-device")</f>
        <v>cross-device</v>
      </c>
      <c r="AO150" s="3"/>
      <c r="AP150" s="3"/>
      <c r="AQ150" s="3"/>
      <c r="AR150" s="3"/>
      <c r="AS150" s="3"/>
      <c r="AT150" s="3"/>
      <c r="AU150" s="3" t="str">
        <f ca="1">IFERROR(__xludf.DUMMYFUNCTION("""COMPUTED_VALUE"""),"Prodloužení existující microsite, bez úprav")</f>
        <v>Prodloužení existující microsite, bez úprav</v>
      </c>
    </row>
    <row r="151" spans="1:47" x14ac:dyDescent="0.3">
      <c r="A151" s="3">
        <f ca="1"/>
        <v>2346826</v>
      </c>
      <c r="B151" s="3" t="str">
        <f ca="1"/>
        <v>CZECH NEWS CENTER a. s.</v>
      </c>
      <c r="C151" s="3" t="str">
        <f ca="1">IFERROR(__xludf.DUMMYFUNCTION("""COMPUTED_VALUE"""),"Autorevue")</f>
        <v>Autorevue</v>
      </c>
      <c r="D151" s="4" t="str">
        <f ca="1">IFERROR(__xludf.DUMMYFUNCTION("""COMPUTED_VALUE"""),"https://autorevue.cz")</f>
        <v>https://autorevue.cz</v>
      </c>
      <c r="E151" s="3" t="str">
        <f ca="1">IFERROR(__xludf.DUMMYFUNCTION("""COMPUTED_VALUE"""),"celý web")</f>
        <v>celý web</v>
      </c>
      <c r="F151" s="4" t="str">
        <f ca="1">IFERROR(__xludf.DUMMYFUNCTION("""COMPUTED_VALUE"""),"https://autorevue.cz")</f>
        <v>https://autorevue.cz</v>
      </c>
      <c r="G151" s="3" t="str">
        <f ca="1">IFERROR(__xludf.DUMMYFUNCTION("""COMPUTED_VALUE"""),"videospot - max. 30 sec. / bumper low season")</f>
        <v>videospot - max. 30 sec. / bumper low season</v>
      </c>
      <c r="H151" s="3">
        <f ca="1">IFERROR(__xludf.DUMMYFUNCTION("""COMPUTED_VALUE"""),7)</f>
        <v>7</v>
      </c>
      <c r="I151" s="5">
        <f ca="1">IFERROR(__xludf.DUMMYFUNCTION("""COMPUTED_VALUE"""),1000)</f>
        <v>1000</v>
      </c>
      <c r="J151" s="5">
        <f ca="1">IFERROR(__xludf.DUMMYFUNCTION("""COMPUTED_VALUE"""),740)</f>
        <v>740</v>
      </c>
      <c r="K151" s="3"/>
      <c r="L151" s="3" t="str">
        <f ca="1">IFERROR(__xludf.DUMMYFUNCTION("""COMPUTED_VALUE"""),"Cost per period")</f>
        <v>Cost per period</v>
      </c>
      <c r="M151" s="3"/>
      <c r="N151" s="3"/>
      <c r="O151" s="3" t="str">
        <f ca="1">IFERROR(__xludf.DUMMYFUNCTION("""COMPUTED_VALUE"""),"1280")</f>
        <v>1280</v>
      </c>
      <c r="P151" s="3" t="str">
        <f ca="1">IFERROR(__xludf.DUMMYFUNCTION("""COMPUTED_VALUE"""),"720")</f>
        <v>720</v>
      </c>
      <c r="Q151" s="3" t="str">
        <f ca="1">IFERROR(__xludf.DUMMYFUNCTION("""COMPUTED_VALUE"""),"16:9 / umístění po domluvě dle možností")</f>
        <v>16:9 / umístění po domluvě dle možností</v>
      </c>
      <c r="R151" s="3" t="str">
        <f ca="1">IFERROR(__xludf.DUMMYFUNCTION("""COMPUTED_VALUE"""),"přeskočení po 7 sekundách")</f>
        <v>přeskočení po 7 sekundách</v>
      </c>
      <c r="S151" s="3" t="str">
        <f ca="1">IFERROR(__xludf.DUMMYFUNCTION("""COMPUTED_VALUE"""),"100")</f>
        <v>100</v>
      </c>
      <c r="T151" s="3"/>
      <c r="U151" s="3" t="str">
        <f ca="1">IFERROR(__xludf.DUMMYFUNCTION("""COMPUTED_VALUE"""),"videospot")</f>
        <v>videospot</v>
      </c>
      <c r="V151" s="3"/>
      <c r="W151" s="4" t="str">
        <f ca="1">IFERROR(__xludf.DUMMYFUNCTION("""COMPUTED_VALUE"""),"https://reklama.cncenter.cz/Online/Bumper")</f>
        <v>https://reklama.cncenter.cz/Online/Bumper</v>
      </c>
      <c r="X151" s="3"/>
      <c r="Y151" s="3"/>
      <c r="Z151" s="3" t="str">
        <f ca="1">IFERROR(__xludf.DUMMYFUNCTION("""COMPUTED_VALUE"""),"podklady@cncenter.cz")</f>
        <v>podklady@cncenter.cz</v>
      </c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 t="str">
        <f ca="1">IFERROR(__xludf.DUMMYFUNCTION("""COMPUTED_VALUE"""),"cross-device")</f>
        <v>cross-device</v>
      </c>
      <c r="AO151" s="3"/>
      <c r="AP151" s="3"/>
      <c r="AQ151" s="3"/>
      <c r="AR151" s="3"/>
      <c r="AS151" s="3"/>
      <c r="AT151" s="3"/>
      <c r="AU151" s="3" t="str">
        <f ca="1">IFERROR(__xludf.DUMMYFUNCTION("""COMPUTED_VALUE"""),"videospot - max. 30 sec. / bumper")</f>
        <v>videospot - max. 30 sec. / bumper</v>
      </c>
    </row>
    <row r="152" spans="1:47" x14ac:dyDescent="0.3">
      <c r="A152" s="3">
        <f ca="1"/>
        <v>2346826</v>
      </c>
      <c r="B152" s="3" t="str">
        <f ca="1"/>
        <v>CZECH NEWS CENTER a. s.</v>
      </c>
      <c r="C152" s="3" t="str">
        <f ca="1">IFERROR(__xludf.DUMMYFUNCTION("""COMPUTED_VALUE"""),"Avmania")</f>
        <v>Avmania</v>
      </c>
      <c r="D152" s="4" t="str">
        <f ca="1">IFERROR(__xludf.DUMMYFUNCTION("""COMPUTED_VALUE"""),"https://avmania.zive.cz")</f>
        <v>https://avmania.zive.cz</v>
      </c>
      <c r="E152" s="3" t="str">
        <f ca="1">IFERROR(__xludf.DUMMYFUNCTION("""COMPUTED_VALUE"""),"celý web")</f>
        <v>celý web</v>
      </c>
      <c r="F152" s="4" t="str">
        <f ca="1">IFERROR(__xludf.DUMMYFUNCTION("""COMPUTED_VALUE"""),"https://avmania.zive.cz")</f>
        <v>https://avmania.zive.cz</v>
      </c>
      <c r="G152" s="3" t="str">
        <f ca="1">IFERROR(__xludf.DUMMYFUNCTION("""COMPUTED_VALUE"""),"Advertorial low season")</f>
        <v>Advertorial low season</v>
      </c>
      <c r="H152" s="3">
        <f ca="1">IFERROR(__xludf.DUMMYFUNCTION("""COMPUTED_VALUE"""),1)</f>
        <v>1</v>
      </c>
      <c r="I152" s="5">
        <f ca="1">IFERROR(__xludf.DUMMYFUNCTION("""COMPUTED_VALUE"""),1)</f>
        <v>1</v>
      </c>
      <c r="J152" s="5">
        <f ca="1">IFERROR(__xludf.DUMMYFUNCTION("""COMPUTED_VALUE"""),90000)</f>
        <v>90000</v>
      </c>
      <c r="K152" s="3"/>
      <c r="L152" s="3" t="str">
        <f ca="1">IFERROR(__xludf.DUMMYFUNCTION("""COMPUTED_VALUE"""),"Cost per instance")</f>
        <v>Cost per instance</v>
      </c>
      <c r="M152" s="3"/>
      <c r="N152" s="3"/>
      <c r="O152" s="3"/>
      <c r="P152" s="3"/>
      <c r="Q152" s="3"/>
      <c r="R152" s="3"/>
      <c r="S152" s="3" t="str">
        <f ca="1">IFERROR(__xludf.DUMMYFUNCTION("""COMPUTED_VALUE"""),"100")</f>
        <v>100</v>
      </c>
      <c r="T152" s="3"/>
      <c r="U152" s="3" t="str">
        <f ca="1">IFERROR(__xludf.DUMMYFUNCTION("""COMPUTED_VALUE"""),"pr článek")</f>
        <v>pr článek</v>
      </c>
      <c r="V152" s="3"/>
      <c r="W152" s="3"/>
      <c r="X152" s="3"/>
      <c r="Y152" s="3"/>
      <c r="Z152" s="3" t="str">
        <f ca="1">IFERROR(__xludf.DUMMYFUNCTION("""COMPUTED_VALUE"""),"podklady@cncenter.cz")</f>
        <v>podklady@cncenter.cz</v>
      </c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 t="str">
        <f ca="1">IFERROR(__xludf.DUMMYFUNCTION("""COMPUTED_VALUE"""),"cross-device")</f>
        <v>cross-device</v>
      </c>
      <c r="AO152" s="3"/>
      <c r="AP152" s="3"/>
      <c r="AQ152" s="3"/>
      <c r="AR152" s="3"/>
      <c r="AS152" s="3"/>
      <c r="AT152" s="3"/>
      <c r="AU152" s="3" t="str">
        <f ca="1">IFERROR(__xludf.DUMMYFUNCTION("""COMPUTED_VALUE"""),"Advertorial")</f>
        <v>Advertorial</v>
      </c>
    </row>
    <row r="153" spans="1:47" x14ac:dyDescent="0.3">
      <c r="A153" s="3">
        <f ca="1"/>
        <v>2346826</v>
      </c>
      <c r="B153" s="3" t="str">
        <f ca="1"/>
        <v>CZECH NEWS CENTER a. s.</v>
      </c>
      <c r="C153" s="3" t="str">
        <f ca="1">IFERROR(__xludf.DUMMYFUNCTION("""COMPUTED_VALUE"""),"Avmania")</f>
        <v>Avmania</v>
      </c>
      <c r="D153" s="4" t="str">
        <f ca="1">IFERROR(__xludf.DUMMYFUNCTION("""COMPUTED_VALUE"""),"https://avmania.zive.cz")</f>
        <v>https://avmania.zive.cz</v>
      </c>
      <c r="E153" s="3" t="str">
        <f ca="1">IFERROR(__xludf.DUMMYFUNCTION("""COMPUTED_VALUE"""),"celý web")</f>
        <v>celý web</v>
      </c>
      <c r="F153" s="4" t="str">
        <f ca="1">IFERROR(__xludf.DUMMYFUNCTION("""COMPUTED_VALUE"""),"https://avmania.zive.cz")</f>
        <v>https://avmania.zive.cz</v>
      </c>
      <c r="G153" s="3" t="str">
        <f ca="1">IFERROR(__xludf.DUMMYFUNCTION("""COMPUTED_VALUE"""),"billboard bottom low season")</f>
        <v>billboard bottom low season</v>
      </c>
      <c r="H153" s="3">
        <f ca="1">IFERROR(__xludf.DUMMYFUNCTION("""COMPUTED_VALUE"""),7)</f>
        <v>7</v>
      </c>
      <c r="I153" s="5">
        <f ca="1">IFERROR(__xludf.DUMMYFUNCTION("""COMPUTED_VALUE"""),1000)</f>
        <v>1000</v>
      </c>
      <c r="J153" s="5">
        <f ca="1">IFERROR(__xludf.DUMMYFUNCTION("""COMPUTED_VALUE"""),240)</f>
        <v>240</v>
      </c>
      <c r="K153" s="3"/>
      <c r="L153" s="3" t="str">
        <f ca="1">IFERROR(__xludf.DUMMYFUNCTION("""COMPUTED_VALUE"""),"Cost per period")</f>
        <v>Cost per period</v>
      </c>
      <c r="M153" s="3"/>
      <c r="N153" s="3"/>
      <c r="O153" s="3" t="str">
        <f ca="1">IFERROR(__xludf.DUMMYFUNCTION("""COMPUTED_VALUE"""),"970")</f>
        <v>970</v>
      </c>
      <c r="P153" s="3" t="str">
        <f ca="1">IFERROR(__xludf.DUMMYFUNCTION("""COMPUTED_VALUE"""),"250")</f>
        <v>250</v>
      </c>
      <c r="Q153" s="3" t="str">
        <f ca="1">IFERROR(__xludf.DUMMYFUNCTION("""COMPUTED_VALUE"""),"970x250")</f>
        <v>970x250</v>
      </c>
      <c r="R153" s="3"/>
      <c r="S153" s="3" t="str">
        <f ca="1">IFERROR(__xludf.DUMMYFUNCTION("""COMPUTED_VALUE"""),"100 (200 - HTML5)")</f>
        <v>100 (200 - HTML5)</v>
      </c>
      <c r="T153" s="3"/>
      <c r="U153" s="3" t="str">
        <f ca="1">IFERROR(__xludf.DUMMYFUNCTION("""COMPUTED_VALUE"""),"banner standard")</f>
        <v>banner standard</v>
      </c>
      <c r="V153" s="3"/>
      <c r="W153" s="4" t="str">
        <f ca="1">IFERROR(__xludf.DUMMYFUNCTION("""COMPUTED_VALUE"""),"https://reklama.cncenter.cz/Online/billboard-bottom")</f>
        <v>https://reklama.cncenter.cz/Online/billboard-bottom</v>
      </c>
      <c r="X153" s="3"/>
      <c r="Y153" s="3"/>
      <c r="Z153" s="3" t="str">
        <f ca="1">IFERROR(__xludf.DUMMYFUNCTION("""COMPUTED_VALUE"""),"podklady@cncenter.cz")</f>
        <v>podklady@cncenter.cz</v>
      </c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 t="str">
        <f ca="1">IFERROR(__xludf.DUMMYFUNCTION("""COMPUTED_VALUE"""),"desktop")</f>
        <v>desktop</v>
      </c>
      <c r="AO153" s="3"/>
      <c r="AP153" s="3"/>
      <c r="AQ153" s="3"/>
      <c r="AR153" s="3"/>
      <c r="AS153" s="3"/>
      <c r="AT153" s="3"/>
      <c r="AU153" s="3" t="str">
        <f ca="1">IFERROR(__xludf.DUMMYFUNCTION("""COMPUTED_VALUE"""),"billboard bottom")</f>
        <v>billboard bottom</v>
      </c>
    </row>
    <row r="154" spans="1:47" x14ac:dyDescent="0.3">
      <c r="A154" s="3">
        <f ca="1"/>
        <v>2346826</v>
      </c>
      <c r="B154" s="3" t="str">
        <f ca="1"/>
        <v>CZECH NEWS CENTER a. s.</v>
      </c>
      <c r="C154" s="3" t="str">
        <f ca="1">IFERROR(__xludf.DUMMYFUNCTION("""COMPUTED_VALUE"""),"Avmania")</f>
        <v>Avmania</v>
      </c>
      <c r="D154" s="4" t="str">
        <f ca="1">IFERROR(__xludf.DUMMYFUNCTION("""COMPUTED_VALUE"""),"https://avmania.zive.cz")</f>
        <v>https://avmania.zive.cz</v>
      </c>
      <c r="E154" s="3" t="str">
        <f ca="1">IFERROR(__xludf.DUMMYFUNCTION("""COMPUTED_VALUE"""),"celý web")</f>
        <v>celý web</v>
      </c>
      <c r="F154" s="4" t="str">
        <f ca="1">IFERROR(__xludf.DUMMYFUNCTION("""COMPUTED_VALUE"""),"https://avmania.zive.cz")</f>
        <v>https://avmania.zive.cz</v>
      </c>
      <c r="G154" s="3" t="str">
        <f ca="1">IFERROR(__xludf.DUMMYFUNCTION("""COMPUTED_VALUE"""),"branding cross-device low season")</f>
        <v>branding cross-device low season</v>
      </c>
      <c r="H154" s="3">
        <f ca="1">IFERROR(__xludf.DUMMYFUNCTION("""COMPUTED_VALUE"""),7)</f>
        <v>7</v>
      </c>
      <c r="I154" s="5">
        <f ca="1">IFERROR(__xludf.DUMMYFUNCTION("""COMPUTED_VALUE"""),1000)</f>
        <v>1000</v>
      </c>
      <c r="J154" s="5">
        <f ca="1">IFERROR(__xludf.DUMMYFUNCTION("""COMPUTED_VALUE"""),300)</f>
        <v>300</v>
      </c>
      <c r="K154" s="3"/>
      <c r="L154" s="3" t="str">
        <f ca="1">IFERROR(__xludf.DUMMYFUNCTION("""COMPUTED_VALUE"""),"Cost per period")</f>
        <v>Cost per period</v>
      </c>
      <c r="M154" s="3"/>
      <c r="N154" s="3"/>
      <c r="O154" s="3" t="str">
        <f ca="1">IFERROR(__xludf.DUMMYFUNCTION("""COMPUTED_VALUE"""),"2000")</f>
        <v>2000</v>
      </c>
      <c r="P154" s="3" t="str">
        <f ca="1">IFERROR(__xludf.DUMMYFUNCTION("""COMPUTED_VALUE"""),"1400")</f>
        <v>1400</v>
      </c>
      <c r="Q154" s="3" t="str">
        <f ca="1">IFERROR(__xludf.DUMMYFUNCTION("""COMPUTED_VALUE"""),"2000x1400 + 600x1080")</f>
        <v>2000x1400 + 600x1080</v>
      </c>
      <c r="R154" s="3"/>
      <c r="S154" s="3" t="str">
        <f ca="1">IFERROR(__xludf.DUMMYFUNCTION("""COMPUTED_VALUE"""),"500 (600 - HTLM5)")</f>
        <v>500 (600 - HTLM5)</v>
      </c>
      <c r="T154" s="3"/>
      <c r="U154" s="3" t="str">
        <f ca="1">IFERROR(__xludf.DUMMYFUNCTION("""COMPUTED_VALUE"""),"banner standard")</f>
        <v>banner standard</v>
      </c>
      <c r="V154" s="3"/>
      <c r="W154" s="4" t="str">
        <f ca="1">IFERROR(__xludf.DUMMYFUNCTION("""COMPUTED_VALUE"""),"https://reklama.cncenter.cz/Online/branding-cross-device")</f>
        <v>https://reklama.cncenter.cz/Online/branding-cross-device</v>
      </c>
      <c r="X154" s="3"/>
      <c r="Y154" s="3"/>
      <c r="Z154" s="3" t="str">
        <f ca="1">IFERROR(__xludf.DUMMYFUNCTION("""COMPUTED_VALUE"""),"podklady@cncenter.cz")</f>
        <v>podklady@cncenter.cz</v>
      </c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 t="str">
        <f ca="1">IFERROR(__xludf.DUMMYFUNCTION("""COMPUTED_VALUE"""),"cross-device")</f>
        <v>cross-device</v>
      </c>
      <c r="AO154" s="3"/>
      <c r="AP154" s="3"/>
      <c r="AQ154" s="3"/>
      <c r="AR154" s="3"/>
      <c r="AS154" s="3"/>
      <c r="AT154" s="3"/>
      <c r="AU154" s="3" t="str">
        <f ca="1">IFERROR(__xludf.DUMMYFUNCTION("""COMPUTED_VALUE"""),"branding cross-device")</f>
        <v>branding cross-device</v>
      </c>
    </row>
    <row r="155" spans="1:47" x14ac:dyDescent="0.3">
      <c r="A155" s="3">
        <f ca="1"/>
        <v>2346826</v>
      </c>
      <c r="B155" s="3" t="str">
        <f ca="1"/>
        <v>CZECH NEWS CENTER a. s.</v>
      </c>
      <c r="C155" s="3" t="str">
        <f ca="1">IFERROR(__xludf.DUMMYFUNCTION("""COMPUTED_VALUE"""),"Avmania")</f>
        <v>Avmania</v>
      </c>
      <c r="D155" s="4" t="str">
        <f ca="1">IFERROR(__xludf.DUMMYFUNCTION("""COMPUTED_VALUE"""),"https://avmania.zive.cz")</f>
        <v>https://avmania.zive.cz</v>
      </c>
      <c r="E155" s="3" t="str">
        <f ca="1">IFERROR(__xludf.DUMMYFUNCTION("""COMPUTED_VALUE"""),"celý web")</f>
        <v>celý web</v>
      </c>
      <c r="F155" s="4" t="str">
        <f ca="1">IFERROR(__xludf.DUMMYFUNCTION("""COMPUTED_VALUE"""),"https://avmania.zive.cz")</f>
        <v>https://avmania.zive.cz</v>
      </c>
      <c r="G155" s="3" t="str">
        <f ca="1">IFERROR(__xludf.DUMMYFUNCTION("""COMPUTED_VALUE"""),"branding low season")</f>
        <v>branding low season</v>
      </c>
      <c r="H155" s="3">
        <f ca="1">IFERROR(__xludf.DUMMYFUNCTION("""COMPUTED_VALUE"""),7)</f>
        <v>7</v>
      </c>
      <c r="I155" s="5">
        <f ca="1">IFERROR(__xludf.DUMMYFUNCTION("""COMPUTED_VALUE"""),1000)</f>
        <v>1000</v>
      </c>
      <c r="J155" s="5">
        <f ca="1">IFERROR(__xludf.DUMMYFUNCTION("""COMPUTED_VALUE"""),490)</f>
        <v>490</v>
      </c>
      <c r="K155" s="3"/>
      <c r="L155" s="3" t="str">
        <f ca="1">IFERROR(__xludf.DUMMYFUNCTION("""COMPUTED_VALUE"""),"Cost per period")</f>
        <v>Cost per period</v>
      </c>
      <c r="M155" s="3"/>
      <c r="N155" s="3"/>
      <c r="O155" s="3" t="str">
        <f ca="1">IFERROR(__xludf.DUMMYFUNCTION("""COMPUTED_VALUE"""),"2000")</f>
        <v>2000</v>
      </c>
      <c r="P155" s="3" t="str">
        <f ca="1">IFERROR(__xludf.DUMMYFUNCTION("""COMPUTED_VALUE"""),"1400")</f>
        <v>1400</v>
      </c>
      <c r="Q155" s="3" t="str">
        <f ca="1">IFERROR(__xludf.DUMMYFUNCTION("""COMPUTED_VALUE"""),"2000x1400")</f>
        <v>2000x1400</v>
      </c>
      <c r="R155" s="3"/>
      <c r="S155" s="3" t="str">
        <f ca="1">IFERROR(__xludf.DUMMYFUNCTION("""COMPUTED_VALUE"""),"500 + 200 (600+200 HTML5)")</f>
        <v>500 + 200 (600+200 HTML5)</v>
      </c>
      <c r="T155" s="3"/>
      <c r="U155" s="3" t="str">
        <f ca="1">IFERROR(__xludf.DUMMYFUNCTION("""COMPUTED_VALUE"""),"banner standard")</f>
        <v>banner standard</v>
      </c>
      <c r="V155" s="3"/>
      <c r="W155" s="4" t="str">
        <f ca="1">IFERROR(__xludf.DUMMYFUNCTION("""COMPUTED_VALUE"""),"https://reklama.cncenter.cz/Online/branding")</f>
        <v>https://reklama.cncenter.cz/Online/branding</v>
      </c>
      <c r="X155" s="3"/>
      <c r="Y155" s="3"/>
      <c r="Z155" s="3" t="str">
        <f ca="1">IFERROR(__xludf.DUMMYFUNCTION("""COMPUTED_VALUE"""),"podklady@cncenter.cz")</f>
        <v>podklady@cncenter.cz</v>
      </c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 t="str">
        <f ca="1">IFERROR(__xludf.DUMMYFUNCTION("""COMPUTED_VALUE"""),"desktop")</f>
        <v>desktop</v>
      </c>
      <c r="AO155" s="3"/>
      <c r="AP155" s="3"/>
      <c r="AQ155" s="3"/>
      <c r="AR155" s="3"/>
      <c r="AS155" s="3"/>
      <c r="AT155" s="3"/>
      <c r="AU155" s="3" t="str">
        <f ca="1">IFERROR(__xludf.DUMMYFUNCTION("""COMPUTED_VALUE"""),"branding")</f>
        <v>branding</v>
      </c>
    </row>
    <row r="156" spans="1:47" x14ac:dyDescent="0.3">
      <c r="A156" s="3">
        <f ca="1"/>
        <v>2346826</v>
      </c>
      <c r="B156" s="3" t="str">
        <f ca="1"/>
        <v>CZECH NEWS CENTER a. s.</v>
      </c>
      <c r="C156" s="3" t="str">
        <f ca="1">IFERROR(__xludf.DUMMYFUNCTION("""COMPUTED_VALUE"""),"Avmania")</f>
        <v>Avmania</v>
      </c>
      <c r="D156" s="4" t="str">
        <f ca="1">IFERROR(__xludf.DUMMYFUNCTION("""COMPUTED_VALUE"""),"https://avmania.zive.cz")</f>
        <v>https://avmania.zive.cz</v>
      </c>
      <c r="E156" s="3" t="str">
        <f ca="1">IFERROR(__xludf.DUMMYFUNCTION("""COMPUTED_VALUE"""),"celý web")</f>
        <v>celý web</v>
      </c>
      <c r="F156" s="4" t="str">
        <f ca="1">IFERROR(__xludf.DUMMYFUNCTION("""COMPUTED_VALUE"""),"https://avmania.zive.cz")</f>
        <v>https://avmania.zive.cz</v>
      </c>
      <c r="G156" s="3" t="str">
        <f ca="1">IFERROR(__xludf.DUMMYFUNCTION("""COMPUTED_VALUE"""),"cílený billboard bottom low season")</f>
        <v>cílený billboard bottom low season</v>
      </c>
      <c r="H156" s="3">
        <f ca="1">IFERROR(__xludf.DUMMYFUNCTION("""COMPUTED_VALUE"""),7)</f>
        <v>7</v>
      </c>
      <c r="I156" s="5">
        <f ca="1">IFERROR(__xludf.DUMMYFUNCTION("""COMPUTED_VALUE"""),1000)</f>
        <v>1000</v>
      </c>
      <c r="J156" s="5">
        <f ca="1">IFERROR(__xludf.DUMMYFUNCTION("""COMPUTED_VALUE"""),288)</f>
        <v>288</v>
      </c>
      <c r="K156" s="3"/>
      <c r="L156" s="3" t="str">
        <f ca="1">IFERROR(__xludf.DUMMYFUNCTION("""COMPUTED_VALUE"""),"Cost per period")</f>
        <v>Cost per period</v>
      </c>
      <c r="M156" s="3"/>
      <c r="N156" s="3"/>
      <c r="O156" s="3" t="str">
        <f ca="1">IFERROR(__xludf.DUMMYFUNCTION("""COMPUTED_VALUE"""),"970")</f>
        <v>970</v>
      </c>
      <c r="P156" s="3" t="str">
        <f ca="1">IFERROR(__xludf.DUMMYFUNCTION("""COMPUTED_VALUE"""),"250")</f>
        <v>250</v>
      </c>
      <c r="Q156" s="3" t="str">
        <f ca="1">IFERROR(__xludf.DUMMYFUNCTION("""COMPUTED_VALUE"""),"970x250")</f>
        <v>970x250</v>
      </c>
      <c r="R156" s="3"/>
      <c r="S156" s="3" t="str">
        <f ca="1">IFERROR(__xludf.DUMMYFUNCTION("""COMPUTED_VALUE"""),"100 (200 - HTML5)")</f>
        <v>100 (200 - HTML5)</v>
      </c>
      <c r="T156" s="3"/>
      <c r="U156" s="3" t="str">
        <f ca="1">IFERROR(__xludf.DUMMYFUNCTION("""COMPUTED_VALUE"""),"banner standard")</f>
        <v>banner standard</v>
      </c>
      <c r="V156" s="3"/>
      <c r="W156" s="4" t="str">
        <f ca="1">IFERROR(__xludf.DUMMYFUNCTION("""COMPUTED_VALUE"""),"https://reklama.cncenter.cz/Online/billboard-bottom")</f>
        <v>https://reklama.cncenter.cz/Online/billboard-bottom</v>
      </c>
      <c r="X156" s="3"/>
      <c r="Y156" s="3"/>
      <c r="Z156" s="3" t="str">
        <f ca="1">IFERROR(__xludf.DUMMYFUNCTION("""COMPUTED_VALUE"""),"podklady@cncenter.cz")</f>
        <v>podklady@cncenter.cz</v>
      </c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 t="str">
        <f ca="1">IFERROR(__xludf.DUMMYFUNCTION("""COMPUTED_VALUE"""),"desktop")</f>
        <v>desktop</v>
      </c>
      <c r="AO156" s="3"/>
      <c r="AP156" s="3"/>
      <c r="AQ156" s="3"/>
      <c r="AR156" s="3"/>
      <c r="AS156" s="3"/>
      <c r="AT156" s="3"/>
      <c r="AU156" s="3" t="str">
        <f ca="1">IFERROR(__xludf.DUMMYFUNCTION("""COMPUTED_VALUE"""),"cílený billboard bottom")</f>
        <v>cílený billboard bottom</v>
      </c>
    </row>
    <row r="157" spans="1:47" x14ac:dyDescent="0.3">
      <c r="A157" s="3">
        <f ca="1"/>
        <v>2346826</v>
      </c>
      <c r="B157" s="3" t="str">
        <f ca="1"/>
        <v>CZECH NEWS CENTER a. s.</v>
      </c>
      <c r="C157" s="3" t="str">
        <f ca="1">IFERROR(__xludf.DUMMYFUNCTION("""COMPUTED_VALUE"""),"Avmania")</f>
        <v>Avmania</v>
      </c>
      <c r="D157" s="4" t="str">
        <f ca="1">IFERROR(__xludf.DUMMYFUNCTION("""COMPUTED_VALUE"""),"https://avmania.zive.cz")</f>
        <v>https://avmania.zive.cz</v>
      </c>
      <c r="E157" s="3" t="str">
        <f ca="1">IFERROR(__xludf.DUMMYFUNCTION("""COMPUTED_VALUE"""),"celý web")</f>
        <v>celý web</v>
      </c>
      <c r="F157" s="4" t="str">
        <f ca="1">IFERROR(__xludf.DUMMYFUNCTION("""COMPUTED_VALUE"""),"https://avmania.zive.cz")</f>
        <v>https://avmania.zive.cz</v>
      </c>
      <c r="G157" s="3" t="str">
        <f ca="1">IFERROR(__xludf.DUMMYFUNCTION("""COMPUTED_VALUE"""),"cílený branding cross-device low season")</f>
        <v>cílený branding cross-device low season</v>
      </c>
      <c r="H157" s="3">
        <f ca="1">IFERROR(__xludf.DUMMYFUNCTION("""COMPUTED_VALUE"""),7)</f>
        <v>7</v>
      </c>
      <c r="I157" s="5">
        <f ca="1">IFERROR(__xludf.DUMMYFUNCTION("""COMPUTED_VALUE"""),1000)</f>
        <v>1000</v>
      </c>
      <c r="J157" s="5">
        <f ca="1">IFERROR(__xludf.DUMMYFUNCTION("""COMPUTED_VALUE"""),360)</f>
        <v>360</v>
      </c>
      <c r="K157" s="3"/>
      <c r="L157" s="3" t="str">
        <f ca="1">IFERROR(__xludf.DUMMYFUNCTION("""COMPUTED_VALUE"""),"Cost per period")</f>
        <v>Cost per period</v>
      </c>
      <c r="M157" s="3"/>
      <c r="N157" s="3"/>
      <c r="O157" s="3" t="str">
        <f ca="1">IFERROR(__xludf.DUMMYFUNCTION("""COMPUTED_VALUE"""),"2000")</f>
        <v>2000</v>
      </c>
      <c r="P157" s="3" t="str">
        <f ca="1">IFERROR(__xludf.DUMMYFUNCTION("""COMPUTED_VALUE"""),"1400")</f>
        <v>1400</v>
      </c>
      <c r="Q157" s="3" t="str">
        <f ca="1">IFERROR(__xludf.DUMMYFUNCTION("""COMPUTED_VALUE"""),"2000x1400 + 600x1080")</f>
        <v>2000x1400 + 600x1080</v>
      </c>
      <c r="R157" s="3"/>
      <c r="S157" s="3" t="str">
        <f ca="1">IFERROR(__xludf.DUMMYFUNCTION("""COMPUTED_VALUE"""),"500 (600 - HTLM5)")</f>
        <v>500 (600 - HTLM5)</v>
      </c>
      <c r="T157" s="3"/>
      <c r="U157" s="3" t="str">
        <f ca="1">IFERROR(__xludf.DUMMYFUNCTION("""COMPUTED_VALUE"""),"banner standard")</f>
        <v>banner standard</v>
      </c>
      <c r="V157" s="3"/>
      <c r="W157" s="4" t="str">
        <f ca="1">IFERROR(__xludf.DUMMYFUNCTION("""COMPUTED_VALUE"""),"https://reklama.cncenter.cz/Online/branding-cross-device")</f>
        <v>https://reklama.cncenter.cz/Online/branding-cross-device</v>
      </c>
      <c r="X157" s="3"/>
      <c r="Y157" s="3"/>
      <c r="Z157" s="3" t="str">
        <f ca="1">IFERROR(__xludf.DUMMYFUNCTION("""COMPUTED_VALUE"""),"podklady@cncenter.cz")</f>
        <v>podklady@cncenter.cz</v>
      </c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 t="str">
        <f ca="1">IFERROR(__xludf.DUMMYFUNCTION("""COMPUTED_VALUE"""),"cross-device")</f>
        <v>cross-device</v>
      </c>
      <c r="AO157" s="3"/>
      <c r="AP157" s="3"/>
      <c r="AQ157" s="3"/>
      <c r="AR157" s="3"/>
      <c r="AS157" s="3"/>
      <c r="AT157" s="3"/>
      <c r="AU157" s="3" t="str">
        <f ca="1">IFERROR(__xludf.DUMMYFUNCTION("""COMPUTED_VALUE"""),"cílený branding cross-device")</f>
        <v>cílený branding cross-device</v>
      </c>
    </row>
    <row r="158" spans="1:47" x14ac:dyDescent="0.3">
      <c r="A158" s="3">
        <f ca="1"/>
        <v>2346826</v>
      </c>
      <c r="B158" s="3" t="str">
        <f ca="1"/>
        <v>CZECH NEWS CENTER a. s.</v>
      </c>
      <c r="C158" s="3" t="str">
        <f ca="1">IFERROR(__xludf.DUMMYFUNCTION("""COMPUTED_VALUE"""),"Avmania")</f>
        <v>Avmania</v>
      </c>
      <c r="D158" s="4" t="str">
        <f ca="1">IFERROR(__xludf.DUMMYFUNCTION("""COMPUTED_VALUE"""),"https://avmania.zive.cz")</f>
        <v>https://avmania.zive.cz</v>
      </c>
      <c r="E158" s="3" t="str">
        <f ca="1">IFERROR(__xludf.DUMMYFUNCTION("""COMPUTED_VALUE"""),"celý web")</f>
        <v>celý web</v>
      </c>
      <c r="F158" s="4" t="str">
        <f ca="1">IFERROR(__xludf.DUMMYFUNCTION("""COMPUTED_VALUE"""),"https://avmania.zive.cz")</f>
        <v>https://avmania.zive.cz</v>
      </c>
      <c r="G158" s="3" t="str">
        <f ca="1">IFERROR(__xludf.DUMMYFUNCTION("""COMPUTED_VALUE"""),"cílený branding low season")</f>
        <v>cílený branding low season</v>
      </c>
      <c r="H158" s="3">
        <f ca="1">IFERROR(__xludf.DUMMYFUNCTION("""COMPUTED_VALUE"""),7)</f>
        <v>7</v>
      </c>
      <c r="I158" s="5">
        <f ca="1">IFERROR(__xludf.DUMMYFUNCTION("""COMPUTED_VALUE"""),1000)</f>
        <v>1000</v>
      </c>
      <c r="J158" s="5">
        <f ca="1">IFERROR(__xludf.DUMMYFUNCTION("""COMPUTED_VALUE"""),588)</f>
        <v>588</v>
      </c>
      <c r="K158" s="3"/>
      <c r="L158" s="3" t="str">
        <f ca="1">IFERROR(__xludf.DUMMYFUNCTION("""COMPUTED_VALUE"""),"Cost per period")</f>
        <v>Cost per period</v>
      </c>
      <c r="M158" s="3"/>
      <c r="N158" s="3"/>
      <c r="O158" s="3" t="str">
        <f ca="1">IFERROR(__xludf.DUMMYFUNCTION("""COMPUTED_VALUE"""),"2000")</f>
        <v>2000</v>
      </c>
      <c r="P158" s="3" t="str">
        <f ca="1">IFERROR(__xludf.DUMMYFUNCTION("""COMPUTED_VALUE"""),"1400")</f>
        <v>1400</v>
      </c>
      <c r="Q158" s="3" t="str">
        <f ca="1">IFERROR(__xludf.DUMMYFUNCTION("""COMPUTED_VALUE"""),"2000x1400")</f>
        <v>2000x1400</v>
      </c>
      <c r="R158" s="3"/>
      <c r="S158" s="3" t="str">
        <f ca="1">IFERROR(__xludf.DUMMYFUNCTION("""COMPUTED_VALUE"""),"500 + 200 (600+200 HTML5)")</f>
        <v>500 + 200 (600+200 HTML5)</v>
      </c>
      <c r="T158" s="3"/>
      <c r="U158" s="3" t="str">
        <f ca="1">IFERROR(__xludf.DUMMYFUNCTION("""COMPUTED_VALUE"""),"banner standard")</f>
        <v>banner standard</v>
      </c>
      <c r="V158" s="3"/>
      <c r="W158" s="4" t="str">
        <f ca="1">IFERROR(__xludf.DUMMYFUNCTION("""COMPUTED_VALUE"""),"https://reklama.cncenter.cz/Online/branding")</f>
        <v>https://reklama.cncenter.cz/Online/branding</v>
      </c>
      <c r="X158" s="3"/>
      <c r="Y158" s="3"/>
      <c r="Z158" s="3" t="str">
        <f ca="1">IFERROR(__xludf.DUMMYFUNCTION("""COMPUTED_VALUE"""),"podklady@cncenter.cz")</f>
        <v>podklady@cncenter.cz</v>
      </c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 t="str">
        <f ca="1">IFERROR(__xludf.DUMMYFUNCTION("""COMPUTED_VALUE"""),"desktop")</f>
        <v>desktop</v>
      </c>
      <c r="AO158" s="3"/>
      <c r="AP158" s="3"/>
      <c r="AQ158" s="3"/>
      <c r="AR158" s="3"/>
      <c r="AS158" s="3"/>
      <c r="AT158" s="3"/>
      <c r="AU158" s="3" t="str">
        <f ca="1">IFERROR(__xludf.DUMMYFUNCTION("""COMPUTED_VALUE"""),"cílený branding")</f>
        <v>cílený branding</v>
      </c>
    </row>
    <row r="159" spans="1:47" x14ac:dyDescent="0.3">
      <c r="A159" s="3">
        <f ca="1"/>
        <v>2346826</v>
      </c>
      <c r="B159" s="3" t="str">
        <f ca="1"/>
        <v>CZECH NEWS CENTER a. s.</v>
      </c>
      <c r="C159" s="3" t="str">
        <f ca="1">IFERROR(__xludf.DUMMYFUNCTION("""COMPUTED_VALUE"""),"Avmania")</f>
        <v>Avmania</v>
      </c>
      <c r="D159" s="4" t="str">
        <f ca="1">IFERROR(__xludf.DUMMYFUNCTION("""COMPUTED_VALUE"""),"https://avmania.zive.cz")</f>
        <v>https://avmania.zive.cz</v>
      </c>
      <c r="E159" s="3" t="str">
        <f ca="1">IFERROR(__xludf.DUMMYFUNCTION("""COMPUTED_VALUE"""),"celý web")</f>
        <v>celý web</v>
      </c>
      <c r="F159" s="4" t="str">
        <f ca="1">IFERROR(__xludf.DUMMYFUNCTION("""COMPUTED_VALUE"""),"https://avmania.zive.cz")</f>
        <v>https://avmania.zive.cz</v>
      </c>
      <c r="G159" s="3" t="str">
        <f ca="1">IFERROR(__xludf.DUMMYFUNCTION("""COMPUTED_VALUE"""),"cílený double skyscraper low season")</f>
        <v>cílený double skyscraper low season</v>
      </c>
      <c r="H159" s="3">
        <f ca="1">IFERROR(__xludf.DUMMYFUNCTION("""COMPUTED_VALUE"""),7)</f>
        <v>7</v>
      </c>
      <c r="I159" s="5">
        <f ca="1">IFERROR(__xludf.DUMMYFUNCTION("""COMPUTED_VALUE"""),1000)</f>
        <v>1000</v>
      </c>
      <c r="J159" s="5">
        <f ca="1">IFERROR(__xludf.DUMMYFUNCTION("""COMPUTED_VALUE"""),228)</f>
        <v>228</v>
      </c>
      <c r="K159" s="3"/>
      <c r="L159" s="3" t="str">
        <f ca="1">IFERROR(__xludf.DUMMYFUNCTION("""COMPUTED_VALUE"""),"Cost per period")</f>
        <v>Cost per period</v>
      </c>
      <c r="M159" s="3"/>
      <c r="N159" s="3"/>
      <c r="O159" s="3" t="str">
        <f ca="1">IFERROR(__xludf.DUMMYFUNCTION("""COMPUTED_VALUE"""),"300")</f>
        <v>300</v>
      </c>
      <c r="P159" s="3" t="str">
        <f ca="1">IFERROR(__xludf.DUMMYFUNCTION("""COMPUTED_VALUE"""),"600")</f>
        <v>600</v>
      </c>
      <c r="Q159" s="3" t="str">
        <f ca="1">IFERROR(__xludf.DUMMYFUNCTION("""COMPUTED_VALUE"""),"300x600")</f>
        <v>300x600</v>
      </c>
      <c r="R159" s="3"/>
      <c r="S159" s="3" t="str">
        <f ca="1">IFERROR(__xludf.DUMMYFUNCTION("""COMPUTED_VALUE"""),"100 (200 - HTML5)")</f>
        <v>100 (200 - HTML5)</v>
      </c>
      <c r="T159" s="3"/>
      <c r="U159" s="3" t="str">
        <f ca="1">IFERROR(__xludf.DUMMYFUNCTION("""COMPUTED_VALUE"""),"banner standard")</f>
        <v>banner standard</v>
      </c>
      <c r="V159" s="3"/>
      <c r="W159" s="4" t="str">
        <f ca="1">IFERROR(__xludf.DUMMYFUNCTION("""COMPUTED_VALUE"""),"https://reklama.cncenter.cz/Online/double-skyscraper")</f>
        <v>https://reklama.cncenter.cz/Online/double-skyscraper</v>
      </c>
      <c r="X159" s="3"/>
      <c r="Y159" s="3"/>
      <c r="Z159" s="3" t="str">
        <f ca="1">IFERROR(__xludf.DUMMYFUNCTION("""COMPUTED_VALUE"""),"podklady@cncenter.cz")</f>
        <v>podklady@cncenter.cz</v>
      </c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 t="str">
        <f ca="1">IFERROR(__xludf.DUMMYFUNCTION("""COMPUTED_VALUE"""),"desktop")</f>
        <v>desktop</v>
      </c>
      <c r="AO159" s="3"/>
      <c r="AP159" s="3"/>
      <c r="AQ159" s="3"/>
      <c r="AR159" s="3"/>
      <c r="AS159" s="3"/>
      <c r="AT159" s="3"/>
      <c r="AU159" s="3" t="str">
        <f ca="1">IFERROR(__xludf.DUMMYFUNCTION("""COMPUTED_VALUE"""),"cílený double skyscraper")</f>
        <v>cílený double skyscraper</v>
      </c>
    </row>
    <row r="160" spans="1:47" x14ac:dyDescent="0.3">
      <c r="A160" s="3">
        <f ca="1"/>
        <v>2346826</v>
      </c>
      <c r="B160" s="3" t="str">
        <f ca="1"/>
        <v>CZECH NEWS CENTER a. s.</v>
      </c>
      <c r="C160" s="3" t="str">
        <f ca="1">IFERROR(__xludf.DUMMYFUNCTION("""COMPUTED_VALUE"""),"Avmania")</f>
        <v>Avmania</v>
      </c>
      <c r="D160" s="4" t="str">
        <f ca="1">IFERROR(__xludf.DUMMYFUNCTION("""COMPUTED_VALUE"""),"https://avmania.zive.cz")</f>
        <v>https://avmania.zive.cz</v>
      </c>
      <c r="E160" s="3" t="str">
        <f ca="1">IFERROR(__xludf.DUMMYFUNCTION("""COMPUTED_VALUE"""),"celý web")</f>
        <v>celý web</v>
      </c>
      <c r="F160" s="4" t="str">
        <f ca="1">IFERROR(__xludf.DUMMYFUNCTION("""COMPUTED_VALUE"""),"https://avmania.zive.cz")</f>
        <v>https://avmania.zive.cz</v>
      </c>
      <c r="G160" s="3" t="str">
        <f ca="1">IFERROR(__xludf.DUMMYFUNCTION("""COMPUTED_VALUE"""),"cílený mobilní interscroller low season")</f>
        <v>cílený mobilní interscroller low season</v>
      </c>
      <c r="H160" s="3">
        <f ca="1">IFERROR(__xludf.DUMMYFUNCTION("""COMPUTED_VALUE"""),7)</f>
        <v>7</v>
      </c>
      <c r="I160" s="5">
        <f ca="1">IFERROR(__xludf.DUMMYFUNCTION("""COMPUTED_VALUE"""),1000)</f>
        <v>1000</v>
      </c>
      <c r="J160" s="5">
        <f ca="1">IFERROR(__xludf.DUMMYFUNCTION("""COMPUTED_VALUE"""),300)</f>
        <v>300</v>
      </c>
      <c r="K160" s="3"/>
      <c r="L160" s="3" t="str">
        <f ca="1">IFERROR(__xludf.DUMMYFUNCTION("""COMPUTED_VALUE"""),"Cost per period")</f>
        <v>Cost per period</v>
      </c>
      <c r="M160" s="3"/>
      <c r="N160" s="3"/>
      <c r="O160" s="3" t="str">
        <f ca="1">IFERROR(__xludf.DUMMYFUNCTION("""COMPUTED_VALUE"""),"600")</f>
        <v>600</v>
      </c>
      <c r="P160" s="3" t="str">
        <f ca="1">IFERROR(__xludf.DUMMYFUNCTION("""COMPUTED_VALUE"""),"1080")</f>
        <v>1080</v>
      </c>
      <c r="Q160" s="3" t="str">
        <f ca="1">IFERROR(__xludf.DUMMYFUNCTION("""COMPUTED_VALUE"""),"600x1080")</f>
        <v>600x1080</v>
      </c>
      <c r="R160" s="3"/>
      <c r="S160" s="3" t="str">
        <f ca="1">IFERROR(__xludf.DUMMYFUNCTION("""COMPUTED_VALUE"""),"200")</f>
        <v>200</v>
      </c>
      <c r="T160" s="3"/>
      <c r="U160" s="3" t="str">
        <f ca="1">IFERROR(__xludf.DUMMYFUNCTION("""COMPUTED_VALUE"""),"banner standard")</f>
        <v>banner standard</v>
      </c>
      <c r="V160" s="3"/>
      <c r="W160" s="4" t="str">
        <f ca="1">IFERROR(__xludf.DUMMYFUNCTION("""COMPUTED_VALUE"""),"https://reklama.cncenter.cz/Online/mobilni-interscroller")</f>
        <v>https://reklama.cncenter.cz/Online/mobilni-interscroller</v>
      </c>
      <c r="X160" s="3"/>
      <c r="Y160" s="3"/>
      <c r="Z160" s="3" t="str">
        <f ca="1">IFERROR(__xludf.DUMMYFUNCTION("""COMPUTED_VALUE"""),"podklady@cncenter.cz")</f>
        <v>podklady@cncenter.cz</v>
      </c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 t="str">
        <f ca="1">IFERROR(__xludf.DUMMYFUNCTION("""COMPUTED_VALUE"""),"mobile")</f>
        <v>mobile</v>
      </c>
      <c r="AO160" s="3"/>
      <c r="AP160" s="3"/>
      <c r="AQ160" s="3"/>
      <c r="AR160" s="3"/>
      <c r="AS160" s="3"/>
      <c r="AT160" s="3"/>
      <c r="AU160" s="3" t="str">
        <f ca="1">IFERROR(__xludf.DUMMYFUNCTION("""COMPUTED_VALUE"""),"cílený mobilní interscroller")</f>
        <v>cílený mobilní interscroller</v>
      </c>
    </row>
    <row r="161" spans="1:47" x14ac:dyDescent="0.3">
      <c r="A161" s="3">
        <f ca="1"/>
        <v>2346826</v>
      </c>
      <c r="B161" s="3" t="str">
        <f ca="1"/>
        <v>CZECH NEWS CENTER a. s.</v>
      </c>
      <c r="C161" s="3" t="str">
        <f ca="1">IFERROR(__xludf.DUMMYFUNCTION("""COMPUTED_VALUE"""),"Avmania")</f>
        <v>Avmania</v>
      </c>
      <c r="D161" s="4" t="str">
        <f ca="1">IFERROR(__xludf.DUMMYFUNCTION("""COMPUTED_VALUE"""),"https://avmania.zive.cz")</f>
        <v>https://avmania.zive.cz</v>
      </c>
      <c r="E161" s="3" t="str">
        <f ca="1">IFERROR(__xludf.DUMMYFUNCTION("""COMPUTED_VALUE"""),"celý web")</f>
        <v>celý web</v>
      </c>
      <c r="F161" s="4" t="str">
        <f ca="1">IFERROR(__xludf.DUMMYFUNCTION("""COMPUTED_VALUE"""),"https://avmania.zive.cz")</f>
        <v>https://avmania.zive.cz</v>
      </c>
      <c r="G161" s="3" t="str">
        <f ca="1">IFERROR(__xludf.DUMMYFUNCTION("""COMPUTED_VALUE"""),"cílený mobilní slide-up low season")</f>
        <v>cílený mobilní slide-up low season</v>
      </c>
      <c r="H161" s="3">
        <f ca="1">IFERROR(__xludf.DUMMYFUNCTION("""COMPUTED_VALUE"""),7)</f>
        <v>7</v>
      </c>
      <c r="I161" s="5">
        <f ca="1">IFERROR(__xludf.DUMMYFUNCTION("""COMPUTED_VALUE"""),1000)</f>
        <v>1000</v>
      </c>
      <c r="J161" s="5">
        <f ca="1">IFERROR(__xludf.DUMMYFUNCTION("""COMPUTED_VALUE"""),612)</f>
        <v>612</v>
      </c>
      <c r="K161" s="3"/>
      <c r="L161" s="3" t="str">
        <f ca="1">IFERROR(__xludf.DUMMYFUNCTION("""COMPUTED_VALUE"""),"Cost per period")</f>
        <v>Cost per period</v>
      </c>
      <c r="M161" s="3"/>
      <c r="N161" s="3"/>
      <c r="O161" s="3" t="str">
        <f ca="1">IFERROR(__xludf.DUMMYFUNCTION("""COMPUTED_VALUE"""),"300")</f>
        <v>300</v>
      </c>
      <c r="P161" s="3" t="str">
        <f ca="1">IFERROR(__xludf.DUMMYFUNCTION("""COMPUTED_VALUE"""),"120")</f>
        <v>120</v>
      </c>
      <c r="Q161" s="3" t="str">
        <f ca="1">IFERROR(__xludf.DUMMYFUNCTION("""COMPUTED_VALUE"""),"300x120")</f>
        <v>300x120</v>
      </c>
      <c r="R161" s="3"/>
      <c r="S161" s="3" t="str">
        <f ca="1">IFERROR(__xludf.DUMMYFUNCTION("""COMPUTED_VALUE"""),"100")</f>
        <v>100</v>
      </c>
      <c r="T161" s="3"/>
      <c r="U161" s="3" t="str">
        <f ca="1">IFERROR(__xludf.DUMMYFUNCTION("""COMPUTED_VALUE"""),"banner standard")</f>
        <v>banner standard</v>
      </c>
      <c r="V161" s="3"/>
      <c r="W161" s="4" t="str">
        <f ca="1">IFERROR(__xludf.DUMMYFUNCTION("""COMPUTED_VALUE"""),"https://reklama.cncenter.cz/Online/mobilni-slide-up")</f>
        <v>https://reklama.cncenter.cz/Online/mobilni-slide-up</v>
      </c>
      <c r="X161" s="3"/>
      <c r="Y161" s="3"/>
      <c r="Z161" s="3" t="str">
        <f ca="1">IFERROR(__xludf.DUMMYFUNCTION("""COMPUTED_VALUE"""),"podklady@cncenter.cz")</f>
        <v>podklady@cncenter.cz</v>
      </c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 t="str">
        <f ca="1">IFERROR(__xludf.DUMMYFUNCTION("""COMPUTED_VALUE"""),"mobile")</f>
        <v>mobile</v>
      </c>
      <c r="AO161" s="3"/>
      <c r="AP161" s="3"/>
      <c r="AQ161" s="3"/>
      <c r="AR161" s="3"/>
      <c r="AS161" s="3"/>
      <c r="AT161" s="3"/>
      <c r="AU161" s="3" t="str">
        <f ca="1">IFERROR(__xludf.DUMMYFUNCTION("""COMPUTED_VALUE"""),"cílený mobilní slide-up")</f>
        <v>cílený mobilní slide-up</v>
      </c>
    </row>
    <row r="162" spans="1:47" x14ac:dyDescent="0.3">
      <c r="A162" s="3">
        <f ca="1"/>
        <v>2346826</v>
      </c>
      <c r="B162" s="3" t="str">
        <f ca="1"/>
        <v>CZECH NEWS CENTER a. s.</v>
      </c>
      <c r="C162" s="3" t="str">
        <f ca="1">IFERROR(__xludf.DUMMYFUNCTION("""COMPUTED_VALUE"""),"Avmania")</f>
        <v>Avmania</v>
      </c>
      <c r="D162" s="4" t="str">
        <f ca="1">IFERROR(__xludf.DUMMYFUNCTION("""COMPUTED_VALUE"""),"https://avmania.zive.cz")</f>
        <v>https://avmania.zive.cz</v>
      </c>
      <c r="E162" s="3" t="str">
        <f ca="1">IFERROR(__xludf.DUMMYFUNCTION("""COMPUTED_VALUE"""),"celý web")</f>
        <v>celý web</v>
      </c>
      <c r="F162" s="4" t="str">
        <f ca="1">IFERROR(__xludf.DUMMYFUNCTION("""COMPUTED_VALUE"""),"https://avmania.zive.cz")</f>
        <v>https://avmania.zive.cz</v>
      </c>
      <c r="G162" s="3" t="str">
        <f ca="1">IFERROR(__xludf.DUMMYFUNCTION("""COMPUTED_VALUE"""),"cílený mobilní viněta low season")</f>
        <v>cílený mobilní viněta low season</v>
      </c>
      <c r="H162" s="3">
        <f ca="1">IFERROR(__xludf.DUMMYFUNCTION("""COMPUTED_VALUE"""),7)</f>
        <v>7</v>
      </c>
      <c r="I162" s="5">
        <f ca="1">IFERROR(__xludf.DUMMYFUNCTION("""COMPUTED_VALUE"""),1000)</f>
        <v>1000</v>
      </c>
      <c r="J162" s="5">
        <f ca="1">IFERROR(__xludf.DUMMYFUNCTION("""COMPUTED_VALUE"""),1056)</f>
        <v>1056</v>
      </c>
      <c r="K162" s="3"/>
      <c r="L162" s="3" t="str">
        <f ca="1">IFERROR(__xludf.DUMMYFUNCTION("""COMPUTED_VALUE"""),"Cost per period")</f>
        <v>Cost per period</v>
      </c>
      <c r="M162" s="3"/>
      <c r="N162" s="3"/>
      <c r="O162" s="3" t="str">
        <f ca="1">IFERROR(__xludf.DUMMYFUNCTION("""COMPUTED_VALUE"""),"600")</f>
        <v>600</v>
      </c>
      <c r="P162" s="3" t="str">
        <f ca="1">IFERROR(__xludf.DUMMYFUNCTION("""COMPUTED_VALUE"""),"800")</f>
        <v>800</v>
      </c>
      <c r="Q162" s="3" t="str">
        <f ca="1">IFERROR(__xludf.DUMMYFUNCTION("""COMPUTED_VALUE"""),"300x250 nebo 600x800")</f>
        <v>300x250 nebo 600x800</v>
      </c>
      <c r="R162" s="3"/>
      <c r="S162" s="3" t="str">
        <f ca="1">IFERROR(__xludf.DUMMYFUNCTION("""COMPUTED_VALUE"""),"100")</f>
        <v>100</v>
      </c>
      <c r="T162" s="3"/>
      <c r="U162" s="3" t="str">
        <f ca="1">IFERROR(__xludf.DUMMYFUNCTION("""COMPUTED_VALUE"""),"banner standard")</f>
        <v>banner standard</v>
      </c>
      <c r="V162" s="3"/>
      <c r="W162" s="4" t="str">
        <f ca="1">IFERROR(__xludf.DUMMYFUNCTION("""COMPUTED_VALUE"""),"https://reklama.cncenter.cz/Online/mobilni-vineta")</f>
        <v>https://reklama.cncenter.cz/Online/mobilni-vineta</v>
      </c>
      <c r="X162" s="3"/>
      <c r="Y162" s="3"/>
      <c r="Z162" s="3" t="str">
        <f ca="1">IFERROR(__xludf.DUMMYFUNCTION("""COMPUTED_VALUE"""),"podklady@cncenter.cz")</f>
        <v>podklady@cncenter.cz</v>
      </c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 t="str">
        <f ca="1">IFERROR(__xludf.DUMMYFUNCTION("""COMPUTED_VALUE"""),"mobile")</f>
        <v>mobile</v>
      </c>
      <c r="AO162" s="3"/>
      <c r="AP162" s="3"/>
      <c r="AQ162" s="3"/>
      <c r="AR162" s="3"/>
      <c r="AS162" s="3"/>
      <c r="AT162" s="3"/>
      <c r="AU162" s="3" t="str">
        <f ca="1">IFERROR(__xludf.DUMMYFUNCTION("""COMPUTED_VALUE"""),"cílený mobilní viněta")</f>
        <v>cílený mobilní viněta</v>
      </c>
    </row>
    <row r="163" spans="1:47" x14ac:dyDescent="0.3">
      <c r="A163" s="3">
        <f ca="1"/>
        <v>2346826</v>
      </c>
      <c r="B163" s="3" t="str">
        <f ca="1"/>
        <v>CZECH NEWS CENTER a. s.</v>
      </c>
      <c r="C163" s="3" t="str">
        <f ca="1">IFERROR(__xludf.DUMMYFUNCTION("""COMPUTED_VALUE"""),"Avmania")</f>
        <v>Avmania</v>
      </c>
      <c r="D163" s="4" t="str">
        <f ca="1">IFERROR(__xludf.DUMMYFUNCTION("""COMPUTED_VALUE"""),"https://avmania.zive.cz")</f>
        <v>https://avmania.zive.cz</v>
      </c>
      <c r="E163" s="3" t="str">
        <f ca="1">IFERROR(__xludf.DUMMYFUNCTION("""COMPUTED_VALUE"""),"celý web")</f>
        <v>celý web</v>
      </c>
      <c r="F163" s="4" t="str">
        <f ca="1">IFERROR(__xludf.DUMMYFUNCTION("""COMPUTED_VALUE"""),"https://avmania.zive.cz")</f>
        <v>https://avmania.zive.cz</v>
      </c>
      <c r="G163" s="3" t="str">
        <f ca="1">IFERROR(__xludf.DUMMYFUNCTION("""COMPUTED_VALUE"""),"cílený nativní rectangle cross-device low season")</f>
        <v>cílený nativní rectangle cross-device low season</v>
      </c>
      <c r="H163" s="3">
        <f ca="1">IFERROR(__xludf.DUMMYFUNCTION("""COMPUTED_VALUE"""),7)</f>
        <v>7</v>
      </c>
      <c r="I163" s="5">
        <f ca="1">IFERROR(__xludf.DUMMYFUNCTION("""COMPUTED_VALUE"""),1000)</f>
        <v>1000</v>
      </c>
      <c r="J163" s="5">
        <f ca="1">IFERROR(__xludf.DUMMYFUNCTION("""COMPUTED_VALUE"""),240)</f>
        <v>240</v>
      </c>
      <c r="K163" s="3"/>
      <c r="L163" s="3" t="str">
        <f ca="1">IFERROR(__xludf.DUMMYFUNCTION("""COMPUTED_VALUE"""),"Cost per period")</f>
        <v>Cost per period</v>
      </c>
      <c r="M163" s="3"/>
      <c r="N163" s="3"/>
      <c r="O163" s="3" t="str">
        <f ca="1">IFERROR(__xludf.DUMMYFUNCTION("""COMPUTED_VALUE"""),"640")</f>
        <v>640</v>
      </c>
      <c r="P163" s="3" t="str">
        <f ca="1">IFERROR(__xludf.DUMMYFUNCTION("""COMPUTED_VALUE"""),"335, 640")</f>
        <v>335, 640</v>
      </c>
      <c r="Q163" s="3" t="str">
        <f ca="1">IFERROR(__xludf.DUMMYFUNCTION("""COMPUTED_VALUE"""),"640x640 a 640x335 + text + logo")</f>
        <v>640x640 a 640x335 + text + logo</v>
      </c>
      <c r="R163" s="3"/>
      <c r="S163" s="3" t="str">
        <f ca="1">IFERROR(__xludf.DUMMYFUNCTION("""COMPUTED_VALUE"""),"45")</f>
        <v>45</v>
      </c>
      <c r="T163" s="3"/>
      <c r="U163" s="3" t="str">
        <f ca="1">IFERROR(__xludf.DUMMYFUNCTION("""COMPUTED_VALUE"""),"nativní reklama")</f>
        <v>nativní reklama</v>
      </c>
      <c r="V163" s="3"/>
      <c r="W163" s="4" t="str">
        <f ca="1">IFERROR(__xludf.DUMMYFUNCTION("""COMPUTED_VALUE"""),"https://reklama.cncenter.cz/Online/nativni-rectangle-cross-device")</f>
        <v>https://reklama.cncenter.cz/Online/nativni-rectangle-cross-device</v>
      </c>
      <c r="X163" s="3"/>
      <c r="Y163" s="3"/>
      <c r="Z163" s="3" t="str">
        <f ca="1">IFERROR(__xludf.DUMMYFUNCTION("""COMPUTED_VALUE"""),"podklady@cncenter.cz")</f>
        <v>podklady@cncenter.cz</v>
      </c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 t="str">
        <f ca="1">IFERROR(__xludf.DUMMYFUNCTION("""COMPUTED_VALUE"""),"cross-device")</f>
        <v>cross-device</v>
      </c>
      <c r="AO163" s="3"/>
      <c r="AP163" s="3"/>
      <c r="AQ163" s="3"/>
      <c r="AR163" s="3"/>
      <c r="AS163" s="3"/>
      <c r="AT163" s="3"/>
      <c r="AU163" s="3" t="str">
        <f ca="1">IFERROR(__xludf.DUMMYFUNCTION("""COMPUTED_VALUE"""),"cílený nativní rectangle cross-device")</f>
        <v>cílený nativní rectangle cross-device</v>
      </c>
    </row>
    <row r="164" spans="1:47" x14ac:dyDescent="0.3">
      <c r="A164" s="3">
        <f ca="1"/>
        <v>2346826</v>
      </c>
      <c r="B164" s="3" t="str">
        <f ca="1"/>
        <v>CZECH NEWS CENTER a. s.</v>
      </c>
      <c r="C164" s="3" t="str">
        <f ca="1">IFERROR(__xludf.DUMMYFUNCTION("""COMPUTED_VALUE"""),"Avmania")</f>
        <v>Avmania</v>
      </c>
      <c r="D164" s="4" t="str">
        <f ca="1">IFERROR(__xludf.DUMMYFUNCTION("""COMPUTED_VALUE"""),"https://avmania.zive.cz")</f>
        <v>https://avmania.zive.cz</v>
      </c>
      <c r="E164" s="3" t="str">
        <f ca="1">IFERROR(__xludf.DUMMYFUNCTION("""COMPUTED_VALUE"""),"celý web")</f>
        <v>celý web</v>
      </c>
      <c r="F164" s="4" t="str">
        <f ca="1">IFERROR(__xludf.DUMMYFUNCTION("""COMPUTED_VALUE"""),"https://avmania.zive.cz")</f>
        <v>https://avmania.zive.cz</v>
      </c>
      <c r="G164" s="3" t="str">
        <f ca="1">IFERROR(__xludf.DUMMYFUNCTION("""COMPUTED_VALUE"""),"cílený outstream low season")</f>
        <v>cílený outstream low season</v>
      </c>
      <c r="H164" s="3">
        <f ca="1">IFERROR(__xludf.DUMMYFUNCTION("""COMPUTED_VALUE"""),7)</f>
        <v>7</v>
      </c>
      <c r="I164" s="5">
        <f ca="1">IFERROR(__xludf.DUMMYFUNCTION("""COMPUTED_VALUE"""),1000)</f>
        <v>1000</v>
      </c>
      <c r="J164" s="5">
        <f ca="1">IFERROR(__xludf.DUMMYFUNCTION("""COMPUTED_VALUE"""),300)</f>
        <v>300</v>
      </c>
      <c r="K164" s="3"/>
      <c r="L164" s="3" t="str">
        <f ca="1">IFERROR(__xludf.DUMMYFUNCTION("""COMPUTED_VALUE"""),"Cost per period")</f>
        <v>Cost per period</v>
      </c>
      <c r="M164" s="3"/>
      <c r="N164" s="3"/>
      <c r="O164" s="3" t="str">
        <f ca="1">IFERROR(__xludf.DUMMYFUNCTION("""COMPUTED_VALUE"""),"1280")</f>
        <v>1280</v>
      </c>
      <c r="P164" s="3" t="str">
        <f ca="1">IFERROR(__xludf.DUMMYFUNCTION("""COMPUTED_VALUE"""),"720")</f>
        <v>720</v>
      </c>
      <c r="Q164" s="3" t="str">
        <f ca="1">IFERROR(__xludf.DUMMYFUNCTION("""COMPUTED_VALUE"""),"16:9")</f>
        <v>16:9</v>
      </c>
      <c r="R164" s="3"/>
      <c r="S164" s="3" t="str">
        <f ca="1">IFERROR(__xludf.DUMMYFUNCTION("""COMPUTED_VALUE"""),"100")</f>
        <v>100</v>
      </c>
      <c r="T164" s="3"/>
      <c r="U164" s="3" t="str">
        <f ca="1">IFERROR(__xludf.DUMMYFUNCTION("""COMPUTED_VALUE"""),"videospot")</f>
        <v>videospot</v>
      </c>
      <c r="V164" s="3"/>
      <c r="W164" s="4" t="str">
        <f ca="1">IFERROR(__xludf.DUMMYFUNCTION("""COMPUTED_VALUE"""),"https://reklama.cncenter.cz/Online/Outstream")</f>
        <v>https://reklama.cncenter.cz/Online/Outstream</v>
      </c>
      <c r="X164" s="3"/>
      <c r="Y164" s="3"/>
      <c r="Z164" s="3" t="str">
        <f ca="1">IFERROR(__xludf.DUMMYFUNCTION("""COMPUTED_VALUE"""),"podklady@cncenter.cz")</f>
        <v>podklady@cncenter.cz</v>
      </c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 t="str">
        <f ca="1">IFERROR(__xludf.DUMMYFUNCTION("""COMPUTED_VALUE"""),"cross-device")</f>
        <v>cross-device</v>
      </c>
      <c r="AO164" s="3"/>
      <c r="AP164" s="3"/>
      <c r="AQ164" s="3"/>
      <c r="AR164" s="3"/>
      <c r="AS164" s="3"/>
      <c r="AT164" s="3"/>
      <c r="AU164" s="3" t="str">
        <f ca="1">IFERROR(__xludf.DUMMYFUNCTION("""COMPUTED_VALUE"""),"cílený outstream")</f>
        <v>cílený outstream</v>
      </c>
    </row>
    <row r="165" spans="1:47" x14ac:dyDescent="0.3">
      <c r="A165" s="3">
        <f ca="1"/>
        <v>2346826</v>
      </c>
      <c r="B165" s="3" t="str">
        <f ca="1"/>
        <v>CZECH NEWS CENTER a. s.</v>
      </c>
      <c r="C165" s="3" t="str">
        <f ca="1">IFERROR(__xludf.DUMMYFUNCTION("""COMPUTED_VALUE"""),"Avmania")</f>
        <v>Avmania</v>
      </c>
      <c r="D165" s="4" t="str">
        <f ca="1">IFERROR(__xludf.DUMMYFUNCTION("""COMPUTED_VALUE"""),"https://avmania.zive.cz")</f>
        <v>https://avmania.zive.cz</v>
      </c>
      <c r="E165" s="3" t="str">
        <f ca="1">IFERROR(__xludf.DUMMYFUNCTION("""COMPUTED_VALUE"""),"celý web")</f>
        <v>celý web</v>
      </c>
      <c r="F165" s="4" t="str">
        <f ca="1">IFERROR(__xludf.DUMMYFUNCTION("""COMPUTED_VALUE"""),"https://avmania.zive.cz")</f>
        <v>https://avmania.zive.cz</v>
      </c>
      <c r="G165" s="3" t="str">
        <f ca="1">IFERROR(__xludf.DUMMYFUNCTION("""COMPUTED_VALUE"""),"dokoupení proma o 2 týdny - 10 000 PV *** low season")</f>
        <v>dokoupení proma o 2 týdny - 10 000 PV *** low season</v>
      </c>
      <c r="H165" s="3">
        <f ca="1">IFERROR(__xludf.DUMMYFUNCTION("""COMPUTED_VALUE"""),1)</f>
        <v>1</v>
      </c>
      <c r="I165" s="5">
        <f ca="1">IFERROR(__xludf.DUMMYFUNCTION("""COMPUTED_VALUE"""),1)</f>
        <v>1</v>
      </c>
      <c r="J165" s="5">
        <f ca="1">IFERROR(__xludf.DUMMYFUNCTION("""COMPUTED_VALUE"""),60000)</f>
        <v>60000</v>
      </c>
      <c r="K165" s="3"/>
      <c r="L165" s="3" t="str">
        <f ca="1">IFERROR(__xludf.DUMMYFUNCTION("""COMPUTED_VALUE"""),"Cost per instance")</f>
        <v>Cost per instance</v>
      </c>
      <c r="M165" s="3"/>
      <c r="N165" s="3"/>
      <c r="O165" s="3"/>
      <c r="P165" s="3"/>
      <c r="Q165" s="3"/>
      <c r="R165" s="3"/>
      <c r="S165" s="3" t="str">
        <f ca="1">IFERROR(__xludf.DUMMYFUNCTION("""COMPUTED_VALUE"""),"100")</f>
        <v>100</v>
      </c>
      <c r="T165" s="3"/>
      <c r="U165" s="3" t="str">
        <f ca="1">IFERROR(__xludf.DUMMYFUNCTION("""COMPUTED_VALUE"""),"microsite")</f>
        <v>microsite</v>
      </c>
      <c r="V165" s="3"/>
      <c r="W165" s="3"/>
      <c r="X165" s="3"/>
      <c r="Y165" s="3"/>
      <c r="Z165" s="3" t="str">
        <f ca="1">IFERROR(__xludf.DUMMYFUNCTION("""COMPUTED_VALUE"""),"podklady@cncenter.cz")</f>
        <v>podklady@cncenter.cz</v>
      </c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 t="str">
        <f ca="1">IFERROR(__xludf.DUMMYFUNCTION("""COMPUTED_VALUE"""),"cross-device")</f>
        <v>cross-device</v>
      </c>
      <c r="AO165" s="3"/>
      <c r="AP165" s="3"/>
      <c r="AQ165" s="3"/>
      <c r="AR165" s="3"/>
      <c r="AS165" s="3"/>
      <c r="AT165" s="3"/>
      <c r="AU165" s="3" t="str">
        <f ca="1">IFERROR(__xludf.DUMMYFUNCTION("""COMPUTED_VALUE"""),"dokoupení proma o 2 týdny - 10 000 PV ***")</f>
        <v>dokoupení proma o 2 týdny - 10 000 PV ***</v>
      </c>
    </row>
    <row r="166" spans="1:47" x14ac:dyDescent="0.3">
      <c r="A166" s="3">
        <f ca="1"/>
        <v>2346826</v>
      </c>
      <c r="B166" s="3" t="str">
        <f ca="1"/>
        <v>CZECH NEWS CENTER a. s.</v>
      </c>
      <c r="C166" s="3" t="str">
        <f ca="1">IFERROR(__xludf.DUMMYFUNCTION("""COMPUTED_VALUE"""),"Avmania")</f>
        <v>Avmania</v>
      </c>
      <c r="D166" s="4" t="str">
        <f ca="1">IFERROR(__xludf.DUMMYFUNCTION("""COMPUTED_VALUE"""),"https://avmania.zive.cz")</f>
        <v>https://avmania.zive.cz</v>
      </c>
      <c r="E166" s="3" t="str">
        <f ca="1">IFERROR(__xludf.DUMMYFUNCTION("""COMPUTED_VALUE"""),"celý web")</f>
        <v>celý web</v>
      </c>
      <c r="F166" s="4" t="str">
        <f ca="1">IFERROR(__xludf.DUMMYFUNCTION("""COMPUTED_VALUE"""),"https://avmania.zive.cz")</f>
        <v>https://avmania.zive.cz</v>
      </c>
      <c r="G166" s="3" t="str">
        <f ca="1">IFERROR(__xludf.DUMMYFUNCTION("""COMPUTED_VALUE"""),"double skyscraper low season")</f>
        <v>double skyscraper low season</v>
      </c>
      <c r="H166" s="3">
        <f ca="1">IFERROR(__xludf.DUMMYFUNCTION("""COMPUTED_VALUE"""),7)</f>
        <v>7</v>
      </c>
      <c r="I166" s="5">
        <f ca="1">IFERROR(__xludf.DUMMYFUNCTION("""COMPUTED_VALUE"""),1000)</f>
        <v>1000</v>
      </c>
      <c r="J166" s="5">
        <f ca="1">IFERROR(__xludf.DUMMYFUNCTION("""COMPUTED_VALUE"""),190)</f>
        <v>190</v>
      </c>
      <c r="K166" s="3"/>
      <c r="L166" s="3" t="str">
        <f ca="1">IFERROR(__xludf.DUMMYFUNCTION("""COMPUTED_VALUE"""),"Cost per period")</f>
        <v>Cost per period</v>
      </c>
      <c r="M166" s="3"/>
      <c r="N166" s="3"/>
      <c r="O166" s="3" t="str">
        <f ca="1">IFERROR(__xludf.DUMMYFUNCTION("""COMPUTED_VALUE"""),"300")</f>
        <v>300</v>
      </c>
      <c r="P166" s="3" t="str">
        <f ca="1">IFERROR(__xludf.DUMMYFUNCTION("""COMPUTED_VALUE"""),"600")</f>
        <v>600</v>
      </c>
      <c r="Q166" s="3" t="str">
        <f ca="1">IFERROR(__xludf.DUMMYFUNCTION("""COMPUTED_VALUE"""),"300x600")</f>
        <v>300x600</v>
      </c>
      <c r="R166" s="3"/>
      <c r="S166" s="3" t="str">
        <f ca="1">IFERROR(__xludf.DUMMYFUNCTION("""COMPUTED_VALUE"""),"100 (200 - HTML5)")</f>
        <v>100 (200 - HTML5)</v>
      </c>
      <c r="T166" s="3"/>
      <c r="U166" s="3" t="str">
        <f ca="1">IFERROR(__xludf.DUMMYFUNCTION("""COMPUTED_VALUE"""),"banner standard")</f>
        <v>banner standard</v>
      </c>
      <c r="V166" s="3"/>
      <c r="W166" s="4" t="str">
        <f ca="1">IFERROR(__xludf.DUMMYFUNCTION("""COMPUTED_VALUE"""),"https://reklama.cncenter.cz/Online/double-skyscraper")</f>
        <v>https://reklama.cncenter.cz/Online/double-skyscraper</v>
      </c>
      <c r="X166" s="3"/>
      <c r="Y166" s="3"/>
      <c r="Z166" s="3" t="str">
        <f ca="1">IFERROR(__xludf.DUMMYFUNCTION("""COMPUTED_VALUE"""),"podklady@cncenter.cz")</f>
        <v>podklady@cncenter.cz</v>
      </c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 t="str">
        <f ca="1">IFERROR(__xludf.DUMMYFUNCTION("""COMPUTED_VALUE"""),"desktop")</f>
        <v>desktop</v>
      </c>
      <c r="AO166" s="3"/>
      <c r="AP166" s="3"/>
      <c r="AQ166" s="3"/>
      <c r="AR166" s="3"/>
      <c r="AS166" s="3"/>
      <c r="AT166" s="3"/>
      <c r="AU166" s="3" t="str">
        <f ca="1">IFERROR(__xludf.DUMMYFUNCTION("""COMPUTED_VALUE"""),"double skyscraper")</f>
        <v>double skyscraper</v>
      </c>
    </row>
    <row r="167" spans="1:47" x14ac:dyDescent="0.3">
      <c r="A167" s="3">
        <f ca="1"/>
        <v>2346826</v>
      </c>
      <c r="B167" s="3" t="str">
        <f ca="1"/>
        <v>CZECH NEWS CENTER a. s.</v>
      </c>
      <c r="C167" s="3" t="str">
        <f ca="1">IFERROR(__xludf.DUMMYFUNCTION("""COMPUTED_VALUE"""),"Avmania")</f>
        <v>Avmania</v>
      </c>
      <c r="D167" s="4" t="str">
        <f ca="1">IFERROR(__xludf.DUMMYFUNCTION("""COMPUTED_VALUE"""),"https://avmania.zive.cz")</f>
        <v>https://avmania.zive.cz</v>
      </c>
      <c r="E167" s="3" t="str">
        <f ca="1">IFERROR(__xludf.DUMMYFUNCTION("""COMPUTED_VALUE"""),"celý web")</f>
        <v>celý web</v>
      </c>
      <c r="F167" s="4" t="str">
        <f ca="1">IFERROR(__xludf.DUMMYFUNCTION("""COMPUTED_VALUE"""),"https://avmania.zive.cz")</f>
        <v>https://avmania.zive.cz</v>
      </c>
      <c r="G167" s="3" t="str">
        <f ca="1">IFERROR(__xludf.DUMMYFUNCTION("""COMPUTED_VALUE"""),"mobilní interscroller low season")</f>
        <v>mobilní interscroller low season</v>
      </c>
      <c r="H167" s="3">
        <f ca="1">IFERROR(__xludf.DUMMYFUNCTION("""COMPUTED_VALUE"""),7)</f>
        <v>7</v>
      </c>
      <c r="I167" s="5">
        <f ca="1">IFERROR(__xludf.DUMMYFUNCTION("""COMPUTED_VALUE"""),1000)</f>
        <v>1000</v>
      </c>
      <c r="J167" s="5">
        <f ca="1">IFERROR(__xludf.DUMMYFUNCTION("""COMPUTED_VALUE"""),250)</f>
        <v>250</v>
      </c>
      <c r="K167" s="3"/>
      <c r="L167" s="3" t="str">
        <f ca="1">IFERROR(__xludf.DUMMYFUNCTION("""COMPUTED_VALUE"""),"Cost per period")</f>
        <v>Cost per period</v>
      </c>
      <c r="M167" s="3"/>
      <c r="N167" s="3"/>
      <c r="O167" s="3" t="str">
        <f ca="1">IFERROR(__xludf.DUMMYFUNCTION("""COMPUTED_VALUE"""),"600")</f>
        <v>600</v>
      </c>
      <c r="P167" s="3" t="str">
        <f ca="1">IFERROR(__xludf.DUMMYFUNCTION("""COMPUTED_VALUE"""),"1080")</f>
        <v>1080</v>
      </c>
      <c r="Q167" s="3" t="str">
        <f ca="1">IFERROR(__xludf.DUMMYFUNCTION("""COMPUTED_VALUE"""),"600x1080")</f>
        <v>600x1080</v>
      </c>
      <c r="R167" s="3"/>
      <c r="S167" s="3" t="str">
        <f ca="1">IFERROR(__xludf.DUMMYFUNCTION("""COMPUTED_VALUE"""),"200")</f>
        <v>200</v>
      </c>
      <c r="T167" s="3"/>
      <c r="U167" s="3" t="str">
        <f ca="1">IFERROR(__xludf.DUMMYFUNCTION("""COMPUTED_VALUE"""),"banner standard")</f>
        <v>banner standard</v>
      </c>
      <c r="V167" s="3"/>
      <c r="W167" s="4" t="str">
        <f ca="1">IFERROR(__xludf.DUMMYFUNCTION("""COMPUTED_VALUE"""),"https://reklama.cncenter.cz/Online/mobilni-interscroller")</f>
        <v>https://reklama.cncenter.cz/Online/mobilni-interscroller</v>
      </c>
      <c r="X167" s="3"/>
      <c r="Y167" s="3"/>
      <c r="Z167" s="3" t="str">
        <f ca="1">IFERROR(__xludf.DUMMYFUNCTION("""COMPUTED_VALUE"""),"podklady@cncenter.cz")</f>
        <v>podklady@cncenter.cz</v>
      </c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 t="str">
        <f ca="1">IFERROR(__xludf.DUMMYFUNCTION("""COMPUTED_VALUE"""),"mobile")</f>
        <v>mobile</v>
      </c>
      <c r="AO167" s="3"/>
      <c r="AP167" s="3"/>
      <c r="AQ167" s="3"/>
      <c r="AR167" s="3"/>
      <c r="AS167" s="3"/>
      <c r="AT167" s="3"/>
      <c r="AU167" s="3" t="str">
        <f ca="1">IFERROR(__xludf.DUMMYFUNCTION("""COMPUTED_VALUE"""),"mobilní interscroller")</f>
        <v>mobilní interscroller</v>
      </c>
    </row>
    <row r="168" spans="1:47" x14ac:dyDescent="0.3">
      <c r="A168" s="3">
        <f ca="1"/>
        <v>2346826</v>
      </c>
      <c r="B168" s="3" t="str">
        <f ca="1"/>
        <v>CZECH NEWS CENTER a. s.</v>
      </c>
      <c r="C168" s="3" t="str">
        <f ca="1">IFERROR(__xludf.DUMMYFUNCTION("""COMPUTED_VALUE"""),"Avmania")</f>
        <v>Avmania</v>
      </c>
      <c r="D168" s="4" t="str">
        <f ca="1">IFERROR(__xludf.DUMMYFUNCTION("""COMPUTED_VALUE"""),"https://avmania.zive.cz")</f>
        <v>https://avmania.zive.cz</v>
      </c>
      <c r="E168" s="3" t="str">
        <f ca="1">IFERROR(__xludf.DUMMYFUNCTION("""COMPUTED_VALUE"""),"celý web")</f>
        <v>celý web</v>
      </c>
      <c r="F168" s="4" t="str">
        <f ca="1">IFERROR(__xludf.DUMMYFUNCTION("""COMPUTED_VALUE"""),"https://avmania.zive.cz")</f>
        <v>https://avmania.zive.cz</v>
      </c>
      <c r="G168" s="3" t="str">
        <f ca="1">IFERROR(__xludf.DUMMYFUNCTION("""COMPUTED_VALUE"""),"mobilní slide-up low season")</f>
        <v>mobilní slide-up low season</v>
      </c>
      <c r="H168" s="3">
        <f ca="1">IFERROR(__xludf.DUMMYFUNCTION("""COMPUTED_VALUE"""),7)</f>
        <v>7</v>
      </c>
      <c r="I168" s="5">
        <f ca="1">IFERROR(__xludf.DUMMYFUNCTION("""COMPUTED_VALUE"""),1000)</f>
        <v>1000</v>
      </c>
      <c r="J168" s="5">
        <f ca="1">IFERROR(__xludf.DUMMYFUNCTION("""COMPUTED_VALUE"""),510)</f>
        <v>510</v>
      </c>
      <c r="K168" s="3"/>
      <c r="L168" s="3" t="str">
        <f ca="1">IFERROR(__xludf.DUMMYFUNCTION("""COMPUTED_VALUE"""),"Cost per period")</f>
        <v>Cost per period</v>
      </c>
      <c r="M168" s="3"/>
      <c r="N168" s="3"/>
      <c r="O168" s="3" t="str">
        <f ca="1">IFERROR(__xludf.DUMMYFUNCTION("""COMPUTED_VALUE"""),"300")</f>
        <v>300</v>
      </c>
      <c r="P168" s="3" t="str">
        <f ca="1">IFERROR(__xludf.DUMMYFUNCTION("""COMPUTED_VALUE"""),"120")</f>
        <v>120</v>
      </c>
      <c r="Q168" s="3" t="str">
        <f ca="1">IFERROR(__xludf.DUMMYFUNCTION("""COMPUTED_VALUE"""),"300x120")</f>
        <v>300x120</v>
      </c>
      <c r="R168" s="3"/>
      <c r="S168" s="3" t="str">
        <f ca="1">IFERROR(__xludf.DUMMYFUNCTION("""COMPUTED_VALUE"""),"100")</f>
        <v>100</v>
      </c>
      <c r="T168" s="3"/>
      <c r="U168" s="3" t="str">
        <f ca="1">IFERROR(__xludf.DUMMYFUNCTION("""COMPUTED_VALUE"""),"banner standard")</f>
        <v>banner standard</v>
      </c>
      <c r="V168" s="3"/>
      <c r="W168" s="4" t="str">
        <f ca="1">IFERROR(__xludf.DUMMYFUNCTION("""COMPUTED_VALUE"""),"https://reklama.cncenter.cz/Online/mobilni-slide-up")</f>
        <v>https://reklama.cncenter.cz/Online/mobilni-slide-up</v>
      </c>
      <c r="X168" s="3"/>
      <c r="Y168" s="3"/>
      <c r="Z168" s="3" t="str">
        <f ca="1">IFERROR(__xludf.DUMMYFUNCTION("""COMPUTED_VALUE"""),"podklady@cncenter.cz")</f>
        <v>podklady@cncenter.cz</v>
      </c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 t="str">
        <f ca="1">IFERROR(__xludf.DUMMYFUNCTION("""COMPUTED_VALUE"""),"mobile")</f>
        <v>mobile</v>
      </c>
      <c r="AO168" s="3"/>
      <c r="AP168" s="3"/>
      <c r="AQ168" s="3"/>
      <c r="AR168" s="3"/>
      <c r="AS168" s="3"/>
      <c r="AT168" s="3"/>
      <c r="AU168" s="3" t="str">
        <f ca="1">IFERROR(__xludf.DUMMYFUNCTION("""COMPUTED_VALUE"""),"mobilní slide-up")</f>
        <v>mobilní slide-up</v>
      </c>
    </row>
    <row r="169" spans="1:47" x14ac:dyDescent="0.3">
      <c r="A169" s="3">
        <f ca="1"/>
        <v>2346826</v>
      </c>
      <c r="B169" s="3" t="str">
        <f ca="1"/>
        <v>CZECH NEWS CENTER a. s.</v>
      </c>
      <c r="C169" s="3" t="str">
        <f ca="1">IFERROR(__xludf.DUMMYFUNCTION("""COMPUTED_VALUE"""),"Avmania")</f>
        <v>Avmania</v>
      </c>
      <c r="D169" s="4" t="str">
        <f ca="1">IFERROR(__xludf.DUMMYFUNCTION("""COMPUTED_VALUE"""),"https://avmania.zive.cz")</f>
        <v>https://avmania.zive.cz</v>
      </c>
      <c r="E169" s="3" t="str">
        <f ca="1">IFERROR(__xludf.DUMMYFUNCTION("""COMPUTED_VALUE"""),"celý web")</f>
        <v>celý web</v>
      </c>
      <c r="F169" s="4" t="str">
        <f ca="1">IFERROR(__xludf.DUMMYFUNCTION("""COMPUTED_VALUE"""),"https://avmania.zive.cz")</f>
        <v>https://avmania.zive.cz</v>
      </c>
      <c r="G169" s="3" t="str">
        <f ca="1">IFERROR(__xludf.DUMMYFUNCTION("""COMPUTED_VALUE"""),"mobilní viněta low season")</f>
        <v>mobilní viněta low season</v>
      </c>
      <c r="H169" s="3">
        <f ca="1">IFERROR(__xludf.DUMMYFUNCTION("""COMPUTED_VALUE"""),7)</f>
        <v>7</v>
      </c>
      <c r="I169" s="5">
        <f ca="1">IFERROR(__xludf.DUMMYFUNCTION("""COMPUTED_VALUE"""),1000)</f>
        <v>1000</v>
      </c>
      <c r="J169" s="5">
        <f ca="1">IFERROR(__xludf.DUMMYFUNCTION("""COMPUTED_VALUE"""),880)</f>
        <v>880</v>
      </c>
      <c r="K169" s="3"/>
      <c r="L169" s="3" t="str">
        <f ca="1">IFERROR(__xludf.DUMMYFUNCTION("""COMPUTED_VALUE"""),"Cost per period")</f>
        <v>Cost per period</v>
      </c>
      <c r="M169" s="3"/>
      <c r="N169" s="3"/>
      <c r="O169" s="3" t="str">
        <f ca="1">IFERROR(__xludf.DUMMYFUNCTION("""COMPUTED_VALUE"""),"600")</f>
        <v>600</v>
      </c>
      <c r="P169" s="3" t="str">
        <f ca="1">IFERROR(__xludf.DUMMYFUNCTION("""COMPUTED_VALUE"""),"800")</f>
        <v>800</v>
      </c>
      <c r="Q169" s="3" t="str">
        <f ca="1">IFERROR(__xludf.DUMMYFUNCTION("""COMPUTED_VALUE"""),"300x250 nebo 600x800")</f>
        <v>300x250 nebo 600x800</v>
      </c>
      <c r="R169" s="3"/>
      <c r="S169" s="3" t="str">
        <f ca="1">IFERROR(__xludf.DUMMYFUNCTION("""COMPUTED_VALUE"""),"100")</f>
        <v>100</v>
      </c>
      <c r="T169" s="3"/>
      <c r="U169" s="3" t="str">
        <f ca="1">IFERROR(__xludf.DUMMYFUNCTION("""COMPUTED_VALUE"""),"banner standard")</f>
        <v>banner standard</v>
      </c>
      <c r="V169" s="3"/>
      <c r="W169" s="4" t="str">
        <f ca="1">IFERROR(__xludf.DUMMYFUNCTION("""COMPUTED_VALUE"""),"https://reklama.cncenter.cz/Online/mobilni-vineta")</f>
        <v>https://reklama.cncenter.cz/Online/mobilni-vineta</v>
      </c>
      <c r="X169" s="3"/>
      <c r="Y169" s="3"/>
      <c r="Z169" s="3" t="str">
        <f ca="1">IFERROR(__xludf.DUMMYFUNCTION("""COMPUTED_VALUE"""),"podklady@cncenter.cz")</f>
        <v>podklady@cncenter.cz</v>
      </c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 t="str">
        <f ca="1">IFERROR(__xludf.DUMMYFUNCTION("""COMPUTED_VALUE"""),"mobile")</f>
        <v>mobile</v>
      </c>
      <c r="AO169" s="3"/>
      <c r="AP169" s="3"/>
      <c r="AQ169" s="3"/>
      <c r="AR169" s="3"/>
      <c r="AS169" s="3"/>
      <c r="AT169" s="3"/>
      <c r="AU169" s="3" t="str">
        <f ca="1">IFERROR(__xludf.DUMMYFUNCTION("""COMPUTED_VALUE"""),"mobilní viněta")</f>
        <v>mobilní viněta</v>
      </c>
    </row>
    <row r="170" spans="1:47" x14ac:dyDescent="0.3">
      <c r="A170" s="3">
        <f ca="1"/>
        <v>2346826</v>
      </c>
      <c r="B170" s="3" t="str">
        <f ca="1"/>
        <v>CZECH NEWS CENTER a. s.</v>
      </c>
      <c r="C170" s="3" t="str">
        <f ca="1">IFERROR(__xludf.DUMMYFUNCTION("""COMPUTED_VALUE"""),"Avmania")</f>
        <v>Avmania</v>
      </c>
      <c r="D170" s="4" t="str">
        <f ca="1">IFERROR(__xludf.DUMMYFUNCTION("""COMPUTED_VALUE"""),"https://avmania.zive.cz")</f>
        <v>https://avmania.zive.cz</v>
      </c>
      <c r="E170" s="3" t="str">
        <f ca="1">IFERROR(__xludf.DUMMYFUNCTION("""COMPUTED_VALUE"""),"celý web")</f>
        <v>celý web</v>
      </c>
      <c r="F170" s="4" t="str">
        <f ca="1">IFERROR(__xludf.DUMMYFUNCTION("""COMPUTED_VALUE"""),"https://avmania.zive.cz")</f>
        <v>https://avmania.zive.cz</v>
      </c>
      <c r="G170" s="3" t="str">
        <f ca="1">IFERROR(__xludf.DUMMYFUNCTION("""COMPUTED_VALUE"""),"Native Standard low season")</f>
        <v>Native Standard low season</v>
      </c>
      <c r="H170" s="3">
        <f ca="1">IFERROR(__xludf.DUMMYFUNCTION("""COMPUTED_VALUE"""),1)</f>
        <v>1</v>
      </c>
      <c r="I170" s="5">
        <f ca="1">IFERROR(__xludf.DUMMYFUNCTION("""COMPUTED_VALUE"""),1)</f>
        <v>1</v>
      </c>
      <c r="J170" s="5">
        <f ca="1">IFERROR(__xludf.DUMMYFUNCTION("""COMPUTED_VALUE"""),330000)</f>
        <v>330000</v>
      </c>
      <c r="K170" s="3"/>
      <c r="L170" s="3" t="str">
        <f ca="1">IFERROR(__xludf.DUMMYFUNCTION("""COMPUTED_VALUE"""),"Cost per instance")</f>
        <v>Cost per instance</v>
      </c>
      <c r="M170" s="3"/>
      <c r="N170" s="3"/>
      <c r="O170" s="3"/>
      <c r="P170" s="3"/>
      <c r="Q170" s="3"/>
      <c r="R170" s="3"/>
      <c r="S170" s="3" t="str">
        <f ca="1">IFERROR(__xludf.DUMMYFUNCTION("""COMPUTED_VALUE"""),"100")</f>
        <v>100</v>
      </c>
      <c r="T170" s="3"/>
      <c r="U170" s="3" t="str">
        <f ca="1">IFERROR(__xludf.DUMMYFUNCTION("""COMPUTED_VALUE"""),"microsite")</f>
        <v>microsite</v>
      </c>
      <c r="V170" s="3"/>
      <c r="W170" s="3"/>
      <c r="X170" s="3"/>
      <c r="Y170" s="3"/>
      <c r="Z170" s="3" t="str">
        <f ca="1">IFERROR(__xludf.DUMMYFUNCTION("""COMPUTED_VALUE"""),"podklady@cncenter.cz")</f>
        <v>podklady@cncenter.cz</v>
      </c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 t="str">
        <f ca="1">IFERROR(__xludf.DUMMYFUNCTION("""COMPUTED_VALUE"""),"cross-device")</f>
        <v>cross-device</v>
      </c>
      <c r="AO170" s="3"/>
      <c r="AP170" s="3"/>
      <c r="AQ170" s="3"/>
      <c r="AR170" s="3"/>
      <c r="AS170" s="3"/>
      <c r="AT170" s="3"/>
      <c r="AU170" s="3" t="str">
        <f ca="1">IFERROR(__xludf.DUMMYFUNCTION("""COMPUTED_VALUE"""),"Native Standard")</f>
        <v>Native Standard</v>
      </c>
    </row>
    <row r="171" spans="1:47" x14ac:dyDescent="0.3">
      <c r="A171" s="3">
        <f ca="1"/>
        <v>2346826</v>
      </c>
      <c r="B171" s="3" t="str">
        <f ca="1"/>
        <v>CZECH NEWS CENTER a. s.</v>
      </c>
      <c r="C171" s="3" t="str">
        <f ca="1">IFERROR(__xludf.DUMMYFUNCTION("""COMPUTED_VALUE"""),"Avmania")</f>
        <v>Avmania</v>
      </c>
      <c r="D171" s="4" t="str">
        <f ca="1">IFERROR(__xludf.DUMMYFUNCTION("""COMPUTED_VALUE"""),"https://avmania.zive.cz")</f>
        <v>https://avmania.zive.cz</v>
      </c>
      <c r="E171" s="3" t="str">
        <f ca="1">IFERROR(__xludf.DUMMYFUNCTION("""COMPUTED_VALUE"""),"celý web")</f>
        <v>celý web</v>
      </c>
      <c r="F171" s="4" t="str">
        <f ca="1">IFERROR(__xludf.DUMMYFUNCTION("""COMPUTED_VALUE"""),"https://avmania.zive.cz")</f>
        <v>https://avmania.zive.cz</v>
      </c>
      <c r="G171" s="3" t="str">
        <f ca="1">IFERROR(__xludf.DUMMYFUNCTION("""COMPUTED_VALUE"""),"nativní rectangle cross-device low season")</f>
        <v>nativní rectangle cross-device low season</v>
      </c>
      <c r="H171" s="3">
        <f ca="1">IFERROR(__xludf.DUMMYFUNCTION("""COMPUTED_VALUE"""),7)</f>
        <v>7</v>
      </c>
      <c r="I171" s="5">
        <f ca="1">IFERROR(__xludf.DUMMYFUNCTION("""COMPUTED_VALUE"""),1000)</f>
        <v>1000</v>
      </c>
      <c r="J171" s="5">
        <f ca="1">IFERROR(__xludf.DUMMYFUNCTION("""COMPUTED_VALUE"""),200)</f>
        <v>200</v>
      </c>
      <c r="K171" s="3"/>
      <c r="L171" s="3" t="str">
        <f ca="1">IFERROR(__xludf.DUMMYFUNCTION("""COMPUTED_VALUE"""),"Cost per period")</f>
        <v>Cost per period</v>
      </c>
      <c r="M171" s="3"/>
      <c r="N171" s="3"/>
      <c r="O171" s="3" t="str">
        <f ca="1">IFERROR(__xludf.DUMMYFUNCTION("""COMPUTED_VALUE"""),"640")</f>
        <v>640</v>
      </c>
      <c r="P171" s="3" t="str">
        <f ca="1">IFERROR(__xludf.DUMMYFUNCTION("""COMPUTED_VALUE"""),"335, 640")</f>
        <v>335, 640</v>
      </c>
      <c r="Q171" s="3" t="str">
        <f ca="1">IFERROR(__xludf.DUMMYFUNCTION("""COMPUTED_VALUE"""),"640x640 a 640x335 + text + logo")</f>
        <v>640x640 a 640x335 + text + logo</v>
      </c>
      <c r="R171" s="3"/>
      <c r="S171" s="3" t="str">
        <f ca="1">IFERROR(__xludf.DUMMYFUNCTION("""COMPUTED_VALUE"""),"45")</f>
        <v>45</v>
      </c>
      <c r="T171" s="3"/>
      <c r="U171" s="3" t="str">
        <f ca="1">IFERROR(__xludf.DUMMYFUNCTION("""COMPUTED_VALUE"""),"nativní reklama")</f>
        <v>nativní reklama</v>
      </c>
      <c r="V171" s="3"/>
      <c r="W171" s="4" t="str">
        <f ca="1">IFERROR(__xludf.DUMMYFUNCTION("""COMPUTED_VALUE"""),"https://reklama.cncenter.cz/Online/nativni-rectangle-cross-device")</f>
        <v>https://reklama.cncenter.cz/Online/nativni-rectangle-cross-device</v>
      </c>
      <c r="X171" s="3"/>
      <c r="Y171" s="3"/>
      <c r="Z171" s="3" t="str">
        <f ca="1">IFERROR(__xludf.DUMMYFUNCTION("""COMPUTED_VALUE"""),"podklady@cncenter.cz")</f>
        <v>podklady@cncenter.cz</v>
      </c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 t="str">
        <f ca="1">IFERROR(__xludf.DUMMYFUNCTION("""COMPUTED_VALUE"""),"cross-device")</f>
        <v>cross-device</v>
      </c>
      <c r="AO171" s="3"/>
      <c r="AP171" s="3"/>
      <c r="AQ171" s="3"/>
      <c r="AR171" s="3"/>
      <c r="AS171" s="3"/>
      <c r="AT171" s="3"/>
      <c r="AU171" s="3" t="str">
        <f ca="1">IFERROR(__xludf.DUMMYFUNCTION("""COMPUTED_VALUE"""),"nativní rectangle cross-device")</f>
        <v>nativní rectangle cross-device</v>
      </c>
    </row>
    <row r="172" spans="1:47" x14ac:dyDescent="0.3">
      <c r="A172" s="3">
        <f ca="1"/>
        <v>2346826</v>
      </c>
      <c r="B172" s="3" t="str">
        <f ca="1"/>
        <v>CZECH NEWS CENTER a. s.</v>
      </c>
      <c r="C172" s="3" t="str">
        <f ca="1">IFERROR(__xludf.DUMMYFUNCTION("""COMPUTED_VALUE"""),"Avmania")</f>
        <v>Avmania</v>
      </c>
      <c r="D172" s="4" t="str">
        <f ca="1">IFERROR(__xludf.DUMMYFUNCTION("""COMPUTED_VALUE"""),"https://avmania.zive.cz")</f>
        <v>https://avmania.zive.cz</v>
      </c>
      <c r="E172" s="3" t="str">
        <f ca="1">IFERROR(__xludf.DUMMYFUNCTION("""COMPUTED_VALUE"""),"celý web")</f>
        <v>celý web</v>
      </c>
      <c r="F172" s="4" t="str">
        <f ca="1">IFERROR(__xludf.DUMMYFUNCTION("""COMPUTED_VALUE"""),"https://avmania.zive.cz")</f>
        <v>https://avmania.zive.cz</v>
      </c>
      <c r="G172" s="3" t="str">
        <f ca="1">IFERROR(__xludf.DUMMYFUNCTION("""COMPUTED_VALUE"""),"outstream low season")</f>
        <v>outstream low season</v>
      </c>
      <c r="H172" s="3">
        <f ca="1">IFERROR(__xludf.DUMMYFUNCTION("""COMPUTED_VALUE"""),7)</f>
        <v>7</v>
      </c>
      <c r="I172" s="5">
        <f ca="1">IFERROR(__xludf.DUMMYFUNCTION("""COMPUTED_VALUE"""),1000)</f>
        <v>1000</v>
      </c>
      <c r="J172" s="5">
        <f ca="1">IFERROR(__xludf.DUMMYFUNCTION("""COMPUTED_VALUE"""),250)</f>
        <v>250</v>
      </c>
      <c r="K172" s="3"/>
      <c r="L172" s="3" t="str">
        <f ca="1">IFERROR(__xludf.DUMMYFUNCTION("""COMPUTED_VALUE"""),"Cost per period")</f>
        <v>Cost per period</v>
      </c>
      <c r="M172" s="3"/>
      <c r="N172" s="3"/>
      <c r="O172" s="3" t="str">
        <f ca="1">IFERROR(__xludf.DUMMYFUNCTION("""COMPUTED_VALUE"""),"1280")</f>
        <v>1280</v>
      </c>
      <c r="P172" s="3" t="str">
        <f ca="1">IFERROR(__xludf.DUMMYFUNCTION("""COMPUTED_VALUE"""),"720")</f>
        <v>720</v>
      </c>
      <c r="Q172" s="3" t="str">
        <f ca="1">IFERROR(__xludf.DUMMYFUNCTION("""COMPUTED_VALUE"""),"16:9")</f>
        <v>16:9</v>
      </c>
      <c r="R172" s="3"/>
      <c r="S172" s="3" t="str">
        <f ca="1">IFERROR(__xludf.DUMMYFUNCTION("""COMPUTED_VALUE"""),"100")</f>
        <v>100</v>
      </c>
      <c r="T172" s="3"/>
      <c r="U172" s="3" t="str">
        <f ca="1">IFERROR(__xludf.DUMMYFUNCTION("""COMPUTED_VALUE"""),"videospot")</f>
        <v>videospot</v>
      </c>
      <c r="V172" s="3"/>
      <c r="W172" s="4" t="str">
        <f ca="1">IFERROR(__xludf.DUMMYFUNCTION("""COMPUTED_VALUE"""),"https://reklama.cncenter.cz/Online/Outstream")</f>
        <v>https://reklama.cncenter.cz/Online/Outstream</v>
      </c>
      <c r="X172" s="3"/>
      <c r="Y172" s="3"/>
      <c r="Z172" s="3" t="str">
        <f ca="1">IFERROR(__xludf.DUMMYFUNCTION("""COMPUTED_VALUE"""),"podklady@cncenter.cz")</f>
        <v>podklady@cncenter.cz</v>
      </c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 t="str">
        <f ca="1">IFERROR(__xludf.DUMMYFUNCTION("""COMPUTED_VALUE"""),"cross-device")</f>
        <v>cross-device</v>
      </c>
      <c r="AO172" s="3"/>
      <c r="AP172" s="3"/>
      <c r="AQ172" s="3"/>
      <c r="AR172" s="3"/>
      <c r="AS172" s="3"/>
      <c r="AT172" s="3"/>
      <c r="AU172" s="3" t="str">
        <f ca="1">IFERROR(__xludf.DUMMYFUNCTION("""COMPUTED_VALUE"""),"outstream")</f>
        <v>outstream</v>
      </c>
    </row>
    <row r="173" spans="1:47" x14ac:dyDescent="0.3">
      <c r="A173" s="3">
        <f ca="1"/>
        <v>2346826</v>
      </c>
      <c r="B173" s="3" t="str">
        <f ca="1"/>
        <v>CZECH NEWS CENTER a. s.</v>
      </c>
      <c r="C173" s="3" t="str">
        <f ca="1">IFERROR(__xludf.DUMMYFUNCTION("""COMPUTED_VALUE"""),"Avmania")</f>
        <v>Avmania</v>
      </c>
      <c r="D173" s="4" t="str">
        <f ca="1">IFERROR(__xludf.DUMMYFUNCTION("""COMPUTED_VALUE"""),"https://avmania.zive.cz")</f>
        <v>https://avmania.zive.cz</v>
      </c>
      <c r="E173" s="3" t="str">
        <f ca="1">IFERROR(__xludf.DUMMYFUNCTION("""COMPUTED_VALUE"""),"celý web")</f>
        <v>celý web</v>
      </c>
      <c r="F173" s="4" t="str">
        <f ca="1">IFERROR(__xludf.DUMMYFUNCTION("""COMPUTED_VALUE"""),"https://avmania.zive.cz")</f>
        <v>https://avmania.zive.cz</v>
      </c>
      <c r="G173" s="3" t="str">
        <f ca="1">IFERROR(__xludf.DUMMYFUNCTION("""COMPUTED_VALUE"""),"PR článek low season")</f>
        <v>PR článek low season</v>
      </c>
      <c r="H173" s="3">
        <f ca="1">IFERROR(__xludf.DUMMYFUNCTION("""COMPUTED_VALUE"""),1)</f>
        <v>1</v>
      </c>
      <c r="I173" s="5">
        <f ca="1">IFERROR(__xludf.DUMMYFUNCTION("""COMPUTED_VALUE"""),1)</f>
        <v>1</v>
      </c>
      <c r="J173" s="5">
        <f ca="1">IFERROR(__xludf.DUMMYFUNCTION("""COMPUTED_VALUE"""),30000)</f>
        <v>30000</v>
      </c>
      <c r="K173" s="3"/>
      <c r="L173" s="3" t="str">
        <f ca="1">IFERROR(__xludf.DUMMYFUNCTION("""COMPUTED_VALUE"""),"Cost per instance")</f>
        <v>Cost per instance</v>
      </c>
      <c r="M173" s="3"/>
      <c r="N173" s="3"/>
      <c r="O173" s="3"/>
      <c r="P173" s="3"/>
      <c r="Q173" s="3"/>
      <c r="R173" s="3"/>
      <c r="S173" s="3" t="str">
        <f ca="1">IFERROR(__xludf.DUMMYFUNCTION("""COMPUTED_VALUE"""),"100")</f>
        <v>100</v>
      </c>
      <c r="T173" s="3"/>
      <c r="U173" s="3" t="str">
        <f ca="1">IFERROR(__xludf.DUMMYFUNCTION("""COMPUTED_VALUE"""),"pr článek")</f>
        <v>pr článek</v>
      </c>
      <c r="V173" s="3"/>
      <c r="W173" s="4" t="str">
        <f ca="1">IFERROR(__xludf.DUMMYFUNCTION("""COMPUTED_VALUE"""),"https://reklama.cncenter.cz/?ads=PR%2520%25C4%258Dl%25C3%25A1nky")</f>
        <v>https://reklama.cncenter.cz/?ads=PR%2520%25C4%258Dl%25C3%25A1nky</v>
      </c>
      <c r="X173" s="3"/>
      <c r="Y173" s="3"/>
      <c r="Z173" s="3" t="str">
        <f ca="1">IFERROR(__xludf.DUMMYFUNCTION("""COMPUTED_VALUE"""),"podklady@cncenter.cz")</f>
        <v>podklady@cncenter.cz</v>
      </c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 t="str">
        <f ca="1">IFERROR(__xludf.DUMMYFUNCTION("""COMPUTED_VALUE"""),"cross-device")</f>
        <v>cross-device</v>
      </c>
      <c r="AO173" s="3"/>
      <c r="AP173" s="3"/>
      <c r="AQ173" s="3"/>
      <c r="AR173" s="3"/>
      <c r="AS173" s="3"/>
      <c r="AT173" s="3"/>
      <c r="AU173" s="3" t="str">
        <f ca="1">IFERROR(__xludf.DUMMYFUNCTION("""COMPUTED_VALUE"""),"PR článek")</f>
        <v>PR článek</v>
      </c>
    </row>
    <row r="174" spans="1:47" x14ac:dyDescent="0.3">
      <c r="A174" s="3">
        <f ca="1"/>
        <v>2346826</v>
      </c>
      <c r="B174" s="3" t="str">
        <f ca="1"/>
        <v>CZECH NEWS CENTER a. s.</v>
      </c>
      <c r="C174" s="3" t="str">
        <f ca="1">IFERROR(__xludf.DUMMYFUNCTION("""COMPUTED_VALUE"""),"Avmania")</f>
        <v>Avmania</v>
      </c>
      <c r="D174" s="4" t="str">
        <f ca="1">IFERROR(__xludf.DUMMYFUNCTION("""COMPUTED_VALUE"""),"https://avmania.zive.cz")</f>
        <v>https://avmania.zive.cz</v>
      </c>
      <c r="E174" s="3" t="str">
        <f ca="1">IFERROR(__xludf.DUMMYFUNCTION("""COMPUTED_VALUE"""),"celý web")</f>
        <v>celý web</v>
      </c>
      <c r="F174" s="4" t="str">
        <f ca="1">IFERROR(__xludf.DUMMYFUNCTION("""COMPUTED_VALUE"""),"https://avmania.zive.cz")</f>
        <v>https://avmania.zive.cz</v>
      </c>
      <c r="G174" s="3" t="str">
        <f ca="1">IFERROR(__xludf.DUMMYFUNCTION("""COMPUTED_VALUE"""),"Prodloužení existující microsite, bez úprav low season")</f>
        <v>Prodloužení existující microsite, bez úprav low season</v>
      </c>
      <c r="H174" s="3">
        <f ca="1">IFERROR(__xludf.DUMMYFUNCTION("""COMPUTED_VALUE"""),1)</f>
        <v>1</v>
      </c>
      <c r="I174" s="5">
        <f ca="1">IFERROR(__xludf.DUMMYFUNCTION("""COMPUTED_VALUE"""),1)</f>
        <v>1</v>
      </c>
      <c r="J174" s="5">
        <f ca="1">IFERROR(__xludf.DUMMYFUNCTION("""COMPUTED_VALUE"""),15000)</f>
        <v>15000</v>
      </c>
      <c r="K174" s="3"/>
      <c r="L174" s="3" t="str">
        <f ca="1">IFERROR(__xludf.DUMMYFUNCTION("""COMPUTED_VALUE"""),"Cost per instance")</f>
        <v>Cost per instance</v>
      </c>
      <c r="M174" s="3"/>
      <c r="N174" s="3"/>
      <c r="O174" s="3"/>
      <c r="P174" s="3"/>
      <c r="Q174" s="3"/>
      <c r="R174" s="3"/>
      <c r="S174" s="3" t="str">
        <f ca="1">IFERROR(__xludf.DUMMYFUNCTION("""COMPUTED_VALUE"""),"100")</f>
        <v>100</v>
      </c>
      <c r="T174" s="3"/>
      <c r="U174" s="3" t="str">
        <f ca="1">IFERROR(__xludf.DUMMYFUNCTION("""COMPUTED_VALUE"""),"microsite")</f>
        <v>microsite</v>
      </c>
      <c r="V174" s="3"/>
      <c r="W174" s="3"/>
      <c r="X174" s="3"/>
      <c r="Y174" s="3"/>
      <c r="Z174" s="3" t="str">
        <f ca="1">IFERROR(__xludf.DUMMYFUNCTION("""COMPUTED_VALUE"""),"podklady@cncenter.cz")</f>
        <v>podklady@cncenter.cz</v>
      </c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 t="str">
        <f ca="1">IFERROR(__xludf.DUMMYFUNCTION("""COMPUTED_VALUE"""),"cross-device")</f>
        <v>cross-device</v>
      </c>
      <c r="AO174" s="3"/>
      <c r="AP174" s="3"/>
      <c r="AQ174" s="3"/>
      <c r="AR174" s="3"/>
      <c r="AS174" s="3"/>
      <c r="AT174" s="3"/>
      <c r="AU174" s="3" t="str">
        <f ca="1">IFERROR(__xludf.DUMMYFUNCTION("""COMPUTED_VALUE"""),"Prodloužení existující microsite, bez úprav")</f>
        <v>Prodloužení existující microsite, bez úprav</v>
      </c>
    </row>
    <row r="175" spans="1:47" x14ac:dyDescent="0.3">
      <c r="A175" s="3">
        <f ca="1"/>
        <v>2346826</v>
      </c>
      <c r="B175" s="3" t="str">
        <f ca="1"/>
        <v>CZECH NEWS CENTER a. s.</v>
      </c>
      <c r="C175" s="3" t="str">
        <f ca="1">IFERROR(__xludf.DUMMYFUNCTION("""COMPUTED_VALUE"""),"Avmania")</f>
        <v>Avmania</v>
      </c>
      <c r="D175" s="4" t="str">
        <f ca="1">IFERROR(__xludf.DUMMYFUNCTION("""COMPUTED_VALUE"""),"https://avmania.zive.cz")</f>
        <v>https://avmania.zive.cz</v>
      </c>
      <c r="E175" s="3" t="str">
        <f ca="1">IFERROR(__xludf.DUMMYFUNCTION("""COMPUTED_VALUE"""),"celý web")</f>
        <v>celý web</v>
      </c>
      <c r="F175" s="4" t="str">
        <f ca="1">IFERROR(__xludf.DUMMYFUNCTION("""COMPUTED_VALUE"""),"https://avmania.zive.cz")</f>
        <v>https://avmania.zive.cz</v>
      </c>
      <c r="G175" s="3" t="str">
        <f ca="1">IFERROR(__xludf.DUMMYFUNCTION("""COMPUTED_VALUE"""),"Prodloužení existující microsite, bez úprav low season")</f>
        <v>Prodloužení existující microsite, bez úprav low season</v>
      </c>
      <c r="H175" s="3">
        <f ca="1">IFERROR(__xludf.DUMMYFUNCTION("""COMPUTED_VALUE"""),1)</f>
        <v>1</v>
      </c>
      <c r="I175" s="5">
        <f ca="1">IFERROR(__xludf.DUMMYFUNCTION("""COMPUTED_VALUE"""),1)</f>
        <v>1</v>
      </c>
      <c r="J175" s="5">
        <f ca="1">IFERROR(__xludf.DUMMYFUNCTION("""COMPUTED_VALUE"""),15000)</f>
        <v>15000</v>
      </c>
      <c r="K175" s="3"/>
      <c r="L175" s="3" t="str">
        <f ca="1">IFERROR(__xludf.DUMMYFUNCTION("""COMPUTED_VALUE"""),"Cost per instance")</f>
        <v>Cost per instance</v>
      </c>
      <c r="M175" s="3"/>
      <c r="N175" s="3"/>
      <c r="O175" s="3"/>
      <c r="P175" s="3"/>
      <c r="Q175" s="3"/>
      <c r="R175" s="3"/>
      <c r="S175" s="3" t="str">
        <f ca="1">IFERROR(__xludf.DUMMYFUNCTION("""COMPUTED_VALUE"""),"100")</f>
        <v>100</v>
      </c>
      <c r="T175" s="3"/>
      <c r="U175" s="3" t="str">
        <f ca="1">IFERROR(__xludf.DUMMYFUNCTION("""COMPUTED_VALUE"""),"microsite")</f>
        <v>microsite</v>
      </c>
      <c r="V175" s="3"/>
      <c r="W175" s="3"/>
      <c r="X175" s="3"/>
      <c r="Y175" s="3"/>
      <c r="Z175" s="3" t="str">
        <f ca="1">IFERROR(__xludf.DUMMYFUNCTION("""COMPUTED_VALUE"""),"podklady@cncenter.cz")</f>
        <v>podklady@cncenter.cz</v>
      </c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 t="str">
        <f ca="1">IFERROR(__xludf.DUMMYFUNCTION("""COMPUTED_VALUE"""),"cross-device")</f>
        <v>cross-device</v>
      </c>
      <c r="AO175" s="3"/>
      <c r="AP175" s="3"/>
      <c r="AQ175" s="3"/>
      <c r="AR175" s="3"/>
      <c r="AS175" s="3"/>
      <c r="AT175" s="3"/>
      <c r="AU175" s="3" t="str">
        <f ca="1">IFERROR(__xludf.DUMMYFUNCTION("""COMPUTED_VALUE"""),"Prodloužení existující microsite, bez úprav")</f>
        <v>Prodloužení existující microsite, bez úprav</v>
      </c>
    </row>
    <row r="176" spans="1:47" x14ac:dyDescent="0.3">
      <c r="A176" s="3">
        <f ca="1"/>
        <v>2346826</v>
      </c>
      <c r="B176" s="3" t="str">
        <f ca="1"/>
        <v>CZECH NEWS CENTER a. s.</v>
      </c>
      <c r="C176" s="3" t="str">
        <f ca="1">IFERROR(__xludf.DUMMYFUNCTION("""COMPUTED_VALUE"""),"Avmania")</f>
        <v>Avmania</v>
      </c>
      <c r="D176" s="4" t="str">
        <f ca="1">IFERROR(__xludf.DUMMYFUNCTION("""COMPUTED_VALUE"""),"https://avmania.zive.cz")</f>
        <v>https://avmania.zive.cz</v>
      </c>
      <c r="E176" s="3" t="str">
        <f ca="1">IFERROR(__xludf.DUMMYFUNCTION("""COMPUTED_VALUE"""),"celý web")</f>
        <v>celý web</v>
      </c>
      <c r="F176" s="4" t="str">
        <f ca="1">IFERROR(__xludf.DUMMYFUNCTION("""COMPUTED_VALUE"""),"https://avmania.zive.cz")</f>
        <v>https://avmania.zive.cz</v>
      </c>
      <c r="G176" s="3" t="str">
        <f ca="1">IFERROR(__xludf.DUMMYFUNCTION("""COMPUTED_VALUE"""),"Prodloužení existující microsite, bez úprav low season")</f>
        <v>Prodloužení existující microsite, bez úprav low season</v>
      </c>
      <c r="H176" s="3">
        <f ca="1">IFERROR(__xludf.DUMMYFUNCTION("""COMPUTED_VALUE"""),1)</f>
        <v>1</v>
      </c>
      <c r="I176" s="5">
        <f ca="1">IFERROR(__xludf.DUMMYFUNCTION("""COMPUTED_VALUE"""),1)</f>
        <v>1</v>
      </c>
      <c r="J176" s="5">
        <f ca="1">IFERROR(__xludf.DUMMYFUNCTION("""COMPUTED_VALUE"""),15000)</f>
        <v>15000</v>
      </c>
      <c r="K176" s="3"/>
      <c r="L176" s="3" t="str">
        <f ca="1">IFERROR(__xludf.DUMMYFUNCTION("""COMPUTED_VALUE"""),"Cost per instance")</f>
        <v>Cost per instance</v>
      </c>
      <c r="M176" s="3"/>
      <c r="N176" s="3"/>
      <c r="O176" s="3"/>
      <c r="P176" s="3"/>
      <c r="Q176" s="3"/>
      <c r="R176" s="3"/>
      <c r="S176" s="3" t="str">
        <f ca="1">IFERROR(__xludf.DUMMYFUNCTION("""COMPUTED_VALUE"""),"100")</f>
        <v>100</v>
      </c>
      <c r="T176" s="3"/>
      <c r="U176" s="3" t="str">
        <f ca="1">IFERROR(__xludf.DUMMYFUNCTION("""COMPUTED_VALUE"""),"microsite")</f>
        <v>microsite</v>
      </c>
      <c r="V176" s="3"/>
      <c r="W176" s="3"/>
      <c r="X176" s="3"/>
      <c r="Y176" s="3"/>
      <c r="Z176" s="3" t="str">
        <f ca="1">IFERROR(__xludf.DUMMYFUNCTION("""COMPUTED_VALUE"""),"podklady@cncenter.cz")</f>
        <v>podklady@cncenter.cz</v>
      </c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 t="str">
        <f ca="1">IFERROR(__xludf.DUMMYFUNCTION("""COMPUTED_VALUE"""),"cross-device")</f>
        <v>cross-device</v>
      </c>
      <c r="AO176" s="3"/>
      <c r="AP176" s="3"/>
      <c r="AQ176" s="3"/>
      <c r="AR176" s="3"/>
      <c r="AS176" s="3"/>
      <c r="AT176" s="3"/>
      <c r="AU176" s="3" t="str">
        <f ca="1">IFERROR(__xludf.DUMMYFUNCTION("""COMPUTED_VALUE"""),"Prodloužení existující microsite, bez úprav")</f>
        <v>Prodloužení existující microsite, bez úprav</v>
      </c>
    </row>
    <row r="177" spans="1:47" x14ac:dyDescent="0.3">
      <c r="A177" s="3">
        <f ca="1"/>
        <v>2346826</v>
      </c>
      <c r="B177" s="3" t="str">
        <f ca="1"/>
        <v>CZECH NEWS CENTER a. s.</v>
      </c>
      <c r="C177" s="3" t="str">
        <f ca="1">IFERROR(__xludf.DUMMYFUNCTION("""COMPUTED_VALUE"""),"Blesk")</f>
        <v>Blesk</v>
      </c>
      <c r="D177" s="4" t="str">
        <f ca="1">IFERROR(__xludf.DUMMYFUNCTION("""COMPUTED_VALUE"""),"https://blesk.cz")</f>
        <v>https://blesk.cz</v>
      </c>
      <c r="E177" s="3" t="str">
        <f ca="1">IFERROR(__xludf.DUMMYFUNCTION("""COMPUTED_VALUE"""),"celý web")</f>
        <v>celý web</v>
      </c>
      <c r="F177" s="4" t="str">
        <f ca="1">IFERROR(__xludf.DUMMYFUNCTION("""COMPUTED_VALUE"""),"https://blesk.cz")</f>
        <v>https://blesk.cz</v>
      </c>
      <c r="G177" s="3" t="str">
        <f ca="1">IFERROR(__xludf.DUMMYFUNCTION("""COMPUTED_VALUE"""),"Advertorial low season")</f>
        <v>Advertorial low season</v>
      </c>
      <c r="H177" s="3">
        <f ca="1">IFERROR(__xludf.DUMMYFUNCTION("""COMPUTED_VALUE"""),1)</f>
        <v>1</v>
      </c>
      <c r="I177" s="5">
        <f ca="1">IFERROR(__xludf.DUMMYFUNCTION("""COMPUTED_VALUE"""),1)</f>
        <v>1</v>
      </c>
      <c r="J177" s="5">
        <f ca="1">IFERROR(__xludf.DUMMYFUNCTION("""COMPUTED_VALUE"""),90000)</f>
        <v>90000</v>
      </c>
      <c r="K177" s="3"/>
      <c r="L177" s="3" t="str">
        <f ca="1">IFERROR(__xludf.DUMMYFUNCTION("""COMPUTED_VALUE"""),"Cost per instance")</f>
        <v>Cost per instance</v>
      </c>
      <c r="M177" s="3"/>
      <c r="N177" s="3"/>
      <c r="O177" s="3"/>
      <c r="P177" s="3"/>
      <c r="Q177" s="3"/>
      <c r="R177" s="3"/>
      <c r="S177" s="3" t="str">
        <f ca="1">IFERROR(__xludf.DUMMYFUNCTION("""COMPUTED_VALUE"""),"100")</f>
        <v>100</v>
      </c>
      <c r="T177" s="3"/>
      <c r="U177" s="3" t="str">
        <f ca="1">IFERROR(__xludf.DUMMYFUNCTION("""COMPUTED_VALUE"""),"pr článek")</f>
        <v>pr článek</v>
      </c>
      <c r="V177" s="3"/>
      <c r="W177" s="3"/>
      <c r="X177" s="3"/>
      <c r="Y177" s="3"/>
      <c r="Z177" s="3" t="str">
        <f ca="1">IFERROR(__xludf.DUMMYFUNCTION("""COMPUTED_VALUE"""),"podklady@cncenter.cz")</f>
        <v>podklady@cncenter.cz</v>
      </c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 t="str">
        <f ca="1">IFERROR(__xludf.DUMMYFUNCTION("""COMPUTED_VALUE"""),"cross-device")</f>
        <v>cross-device</v>
      </c>
      <c r="AO177" s="3"/>
      <c r="AP177" s="3"/>
      <c r="AQ177" s="3"/>
      <c r="AR177" s="3"/>
      <c r="AS177" s="3"/>
      <c r="AT177" s="3"/>
      <c r="AU177" s="3" t="str">
        <f ca="1">IFERROR(__xludf.DUMMYFUNCTION("""COMPUTED_VALUE"""),"Advertorial")</f>
        <v>Advertorial</v>
      </c>
    </row>
    <row r="178" spans="1:47" x14ac:dyDescent="0.3">
      <c r="A178" s="3">
        <f ca="1"/>
        <v>2346826</v>
      </c>
      <c r="B178" s="3" t="str">
        <f ca="1"/>
        <v>CZECH NEWS CENTER a. s.</v>
      </c>
      <c r="C178" s="3" t="str">
        <f ca="1">IFERROR(__xludf.DUMMYFUNCTION("""COMPUTED_VALUE"""),"Blesk")</f>
        <v>Blesk</v>
      </c>
      <c r="D178" s="4" t="str">
        <f ca="1">IFERROR(__xludf.DUMMYFUNCTION("""COMPUTED_VALUE"""),"https://blesk.cz")</f>
        <v>https://blesk.cz</v>
      </c>
      <c r="E178" s="3" t="str">
        <f ca="1">IFERROR(__xludf.DUMMYFUNCTION("""COMPUTED_VALUE"""),"celý web")</f>
        <v>celý web</v>
      </c>
      <c r="F178" s="4" t="str">
        <f ca="1">IFERROR(__xludf.DUMMYFUNCTION("""COMPUTED_VALUE"""),"https://blesk.cz")</f>
        <v>https://blesk.cz</v>
      </c>
      <c r="G178" s="3" t="str">
        <f ca="1">IFERROR(__xludf.DUMMYFUNCTION("""COMPUTED_VALUE"""),"cílený nativní rectangle cross-device low season")</f>
        <v>cílený nativní rectangle cross-device low season</v>
      </c>
      <c r="H178" s="3">
        <f ca="1">IFERROR(__xludf.DUMMYFUNCTION("""COMPUTED_VALUE"""),7)</f>
        <v>7</v>
      </c>
      <c r="I178" s="5">
        <f ca="1">IFERROR(__xludf.DUMMYFUNCTION("""COMPUTED_VALUE"""),1000)</f>
        <v>1000</v>
      </c>
      <c r="J178" s="5">
        <f ca="1">IFERROR(__xludf.DUMMYFUNCTION("""COMPUTED_VALUE"""),240)</f>
        <v>240</v>
      </c>
      <c r="K178" s="3"/>
      <c r="L178" s="3" t="str">
        <f ca="1">IFERROR(__xludf.DUMMYFUNCTION("""COMPUTED_VALUE"""),"Cost per period")</f>
        <v>Cost per period</v>
      </c>
      <c r="M178" s="3"/>
      <c r="N178" s="3"/>
      <c r="O178" s="3" t="str">
        <f ca="1">IFERROR(__xludf.DUMMYFUNCTION("""COMPUTED_VALUE"""),"640")</f>
        <v>640</v>
      </c>
      <c r="P178" s="3" t="str">
        <f ca="1">IFERROR(__xludf.DUMMYFUNCTION("""COMPUTED_VALUE"""),"335, 640")</f>
        <v>335, 640</v>
      </c>
      <c r="Q178" s="3" t="str">
        <f ca="1">IFERROR(__xludf.DUMMYFUNCTION("""COMPUTED_VALUE"""),"640x640 a 640x335 + text + logo")</f>
        <v>640x640 a 640x335 + text + logo</v>
      </c>
      <c r="R178" s="3"/>
      <c r="S178" s="3" t="str">
        <f ca="1">IFERROR(__xludf.DUMMYFUNCTION("""COMPUTED_VALUE"""),"45")</f>
        <v>45</v>
      </c>
      <c r="T178" s="3"/>
      <c r="U178" s="3" t="str">
        <f ca="1">IFERROR(__xludf.DUMMYFUNCTION("""COMPUTED_VALUE"""),"nativní reklama")</f>
        <v>nativní reklama</v>
      </c>
      <c r="V178" s="3"/>
      <c r="W178" s="4" t="str">
        <f ca="1">IFERROR(__xludf.DUMMYFUNCTION("""COMPUTED_VALUE"""),"https://reklama.cncenter.cz/Online/nativni-rectangle-cross-device")</f>
        <v>https://reklama.cncenter.cz/Online/nativni-rectangle-cross-device</v>
      </c>
      <c r="X178" s="3"/>
      <c r="Y178" s="3"/>
      <c r="Z178" s="3" t="str">
        <f ca="1">IFERROR(__xludf.DUMMYFUNCTION("""COMPUTED_VALUE"""),"podklady@cncenter.cz")</f>
        <v>podklady@cncenter.cz</v>
      </c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 t="str">
        <f ca="1">IFERROR(__xludf.DUMMYFUNCTION("""COMPUTED_VALUE"""),"cross-device")</f>
        <v>cross-device</v>
      </c>
      <c r="AO178" s="3"/>
      <c r="AP178" s="3"/>
      <c r="AQ178" s="3"/>
      <c r="AR178" s="3"/>
      <c r="AS178" s="3"/>
      <c r="AT178" s="3"/>
      <c r="AU178" s="3" t="str">
        <f ca="1">IFERROR(__xludf.DUMMYFUNCTION("""COMPUTED_VALUE"""),"cílený nativní rectangle cross-device")</f>
        <v>cílený nativní rectangle cross-device</v>
      </c>
    </row>
    <row r="179" spans="1:47" x14ac:dyDescent="0.3">
      <c r="A179" s="3">
        <f ca="1"/>
        <v>2346826</v>
      </c>
      <c r="B179" s="3" t="str">
        <f ca="1"/>
        <v>CZECH NEWS CENTER a. s.</v>
      </c>
      <c r="C179" s="3" t="str">
        <f ca="1">IFERROR(__xludf.DUMMYFUNCTION("""COMPUTED_VALUE"""),"Blesk")</f>
        <v>Blesk</v>
      </c>
      <c r="D179" s="4" t="str">
        <f ca="1">IFERROR(__xludf.DUMMYFUNCTION("""COMPUTED_VALUE"""),"https://blesk.cz")</f>
        <v>https://blesk.cz</v>
      </c>
      <c r="E179" s="3" t="str">
        <f ca="1">IFERROR(__xludf.DUMMYFUNCTION("""COMPUTED_VALUE"""),"celý web")</f>
        <v>celý web</v>
      </c>
      <c r="F179" s="4" t="str">
        <f ca="1">IFERROR(__xludf.DUMMYFUNCTION("""COMPUTED_VALUE"""),"https://blesk.cz")</f>
        <v>https://blesk.cz</v>
      </c>
      <c r="G179" s="3" t="str">
        <f ca="1">IFERROR(__xludf.DUMMYFUNCTION("""COMPUTED_VALUE"""),"dokoupení proma o 2 týdny - 10 000 PV *** low season")</f>
        <v>dokoupení proma o 2 týdny - 10 000 PV *** low season</v>
      </c>
      <c r="H179" s="3">
        <f ca="1">IFERROR(__xludf.DUMMYFUNCTION("""COMPUTED_VALUE"""),1)</f>
        <v>1</v>
      </c>
      <c r="I179" s="5">
        <f ca="1">IFERROR(__xludf.DUMMYFUNCTION("""COMPUTED_VALUE"""),1)</f>
        <v>1</v>
      </c>
      <c r="J179" s="5">
        <f ca="1">IFERROR(__xludf.DUMMYFUNCTION("""COMPUTED_VALUE"""),60000)</f>
        <v>60000</v>
      </c>
      <c r="K179" s="3"/>
      <c r="L179" s="3" t="str">
        <f ca="1">IFERROR(__xludf.DUMMYFUNCTION("""COMPUTED_VALUE"""),"Cost per instance")</f>
        <v>Cost per instance</v>
      </c>
      <c r="M179" s="3"/>
      <c r="N179" s="3"/>
      <c r="O179" s="3"/>
      <c r="P179" s="3"/>
      <c r="Q179" s="3"/>
      <c r="R179" s="3"/>
      <c r="S179" s="3" t="str">
        <f ca="1">IFERROR(__xludf.DUMMYFUNCTION("""COMPUTED_VALUE"""),"100")</f>
        <v>100</v>
      </c>
      <c r="T179" s="3"/>
      <c r="U179" s="3" t="str">
        <f ca="1">IFERROR(__xludf.DUMMYFUNCTION("""COMPUTED_VALUE"""),"microsite")</f>
        <v>microsite</v>
      </c>
      <c r="V179" s="3"/>
      <c r="W179" s="3"/>
      <c r="X179" s="3"/>
      <c r="Y179" s="3"/>
      <c r="Z179" s="3" t="str">
        <f ca="1">IFERROR(__xludf.DUMMYFUNCTION("""COMPUTED_VALUE"""),"podklady@cncenter.cz")</f>
        <v>podklady@cncenter.cz</v>
      </c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 t="str">
        <f ca="1">IFERROR(__xludf.DUMMYFUNCTION("""COMPUTED_VALUE"""),"cross-device")</f>
        <v>cross-device</v>
      </c>
      <c r="AO179" s="3"/>
      <c r="AP179" s="3"/>
      <c r="AQ179" s="3"/>
      <c r="AR179" s="3"/>
      <c r="AS179" s="3"/>
      <c r="AT179" s="3"/>
      <c r="AU179" s="3" t="str">
        <f ca="1">IFERROR(__xludf.DUMMYFUNCTION("""COMPUTED_VALUE"""),"dokoupení proma o 2 týdny - 10 000 PV ***")</f>
        <v>dokoupení proma o 2 týdny - 10 000 PV ***</v>
      </c>
    </row>
    <row r="180" spans="1:47" x14ac:dyDescent="0.3">
      <c r="A180" s="3">
        <f ca="1"/>
        <v>2346826</v>
      </c>
      <c r="B180" s="3" t="str">
        <f ca="1"/>
        <v>CZECH NEWS CENTER a. s.</v>
      </c>
      <c r="C180" s="3" t="str">
        <f ca="1">IFERROR(__xludf.DUMMYFUNCTION("""COMPUTED_VALUE"""),"Blesk")</f>
        <v>Blesk</v>
      </c>
      <c r="D180" s="4" t="str">
        <f ca="1">IFERROR(__xludf.DUMMYFUNCTION("""COMPUTED_VALUE"""),"https://blesk.cz")</f>
        <v>https://blesk.cz</v>
      </c>
      <c r="E180" s="3" t="str">
        <f ca="1">IFERROR(__xludf.DUMMYFUNCTION("""COMPUTED_VALUE"""),"celý web")</f>
        <v>celý web</v>
      </c>
      <c r="F180" s="4" t="str">
        <f ca="1">IFERROR(__xludf.DUMMYFUNCTION("""COMPUTED_VALUE"""),"https://blesk.cz")</f>
        <v>https://blesk.cz</v>
      </c>
      <c r="G180" s="3" t="str">
        <f ca="1">IFERROR(__xludf.DUMMYFUNCTION("""COMPUTED_VALUE"""),"Native Standard low season")</f>
        <v>Native Standard low season</v>
      </c>
      <c r="H180" s="3">
        <f ca="1">IFERROR(__xludf.DUMMYFUNCTION("""COMPUTED_VALUE"""),1)</f>
        <v>1</v>
      </c>
      <c r="I180" s="5">
        <f ca="1">IFERROR(__xludf.DUMMYFUNCTION("""COMPUTED_VALUE"""),1)</f>
        <v>1</v>
      </c>
      <c r="J180" s="5">
        <f ca="1">IFERROR(__xludf.DUMMYFUNCTION("""COMPUTED_VALUE"""),330000)</f>
        <v>330000</v>
      </c>
      <c r="K180" s="3"/>
      <c r="L180" s="3" t="str">
        <f ca="1">IFERROR(__xludf.DUMMYFUNCTION("""COMPUTED_VALUE"""),"Cost per instance")</f>
        <v>Cost per instance</v>
      </c>
      <c r="M180" s="3"/>
      <c r="N180" s="3"/>
      <c r="O180" s="3"/>
      <c r="P180" s="3"/>
      <c r="Q180" s="3"/>
      <c r="R180" s="3"/>
      <c r="S180" s="3" t="str">
        <f ca="1">IFERROR(__xludf.DUMMYFUNCTION("""COMPUTED_VALUE"""),"100")</f>
        <v>100</v>
      </c>
      <c r="T180" s="3"/>
      <c r="U180" s="3" t="str">
        <f ca="1">IFERROR(__xludf.DUMMYFUNCTION("""COMPUTED_VALUE"""),"microsite")</f>
        <v>microsite</v>
      </c>
      <c r="V180" s="3"/>
      <c r="W180" s="3"/>
      <c r="X180" s="3"/>
      <c r="Y180" s="3"/>
      <c r="Z180" s="3" t="str">
        <f ca="1">IFERROR(__xludf.DUMMYFUNCTION("""COMPUTED_VALUE"""),"podklady@cncenter.cz")</f>
        <v>podklady@cncenter.cz</v>
      </c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 t="str">
        <f ca="1">IFERROR(__xludf.DUMMYFUNCTION("""COMPUTED_VALUE"""),"cross-device")</f>
        <v>cross-device</v>
      </c>
      <c r="AO180" s="3"/>
      <c r="AP180" s="3"/>
      <c r="AQ180" s="3"/>
      <c r="AR180" s="3"/>
      <c r="AS180" s="3"/>
      <c r="AT180" s="3"/>
      <c r="AU180" s="3" t="str">
        <f ca="1">IFERROR(__xludf.DUMMYFUNCTION("""COMPUTED_VALUE"""),"Native Standard")</f>
        <v>Native Standard</v>
      </c>
    </row>
    <row r="181" spans="1:47" x14ac:dyDescent="0.3">
      <c r="A181" s="3">
        <f ca="1"/>
        <v>2346826</v>
      </c>
      <c r="B181" s="3" t="str">
        <f ca="1"/>
        <v>CZECH NEWS CENTER a. s.</v>
      </c>
      <c r="C181" s="3" t="str">
        <f ca="1">IFERROR(__xludf.DUMMYFUNCTION("""COMPUTED_VALUE"""),"Blesk")</f>
        <v>Blesk</v>
      </c>
      <c r="D181" s="4" t="str">
        <f ca="1">IFERROR(__xludf.DUMMYFUNCTION("""COMPUTED_VALUE"""),"https://blesk.cz")</f>
        <v>https://blesk.cz</v>
      </c>
      <c r="E181" s="3" t="str">
        <f ca="1">IFERROR(__xludf.DUMMYFUNCTION("""COMPUTED_VALUE"""),"celý web")</f>
        <v>celý web</v>
      </c>
      <c r="F181" s="4" t="str">
        <f ca="1">IFERROR(__xludf.DUMMYFUNCTION("""COMPUTED_VALUE"""),"https://blesk.cz")</f>
        <v>https://blesk.cz</v>
      </c>
      <c r="G181" s="3" t="str">
        <f ca="1">IFERROR(__xludf.DUMMYFUNCTION("""COMPUTED_VALUE"""),"nativní rectangle cross-device low season")</f>
        <v>nativní rectangle cross-device low season</v>
      </c>
      <c r="H181" s="3">
        <f ca="1">IFERROR(__xludf.DUMMYFUNCTION("""COMPUTED_VALUE"""),7)</f>
        <v>7</v>
      </c>
      <c r="I181" s="5">
        <f ca="1">IFERROR(__xludf.DUMMYFUNCTION("""COMPUTED_VALUE"""),1000)</f>
        <v>1000</v>
      </c>
      <c r="J181" s="5">
        <f ca="1">IFERROR(__xludf.DUMMYFUNCTION("""COMPUTED_VALUE"""),200)</f>
        <v>200</v>
      </c>
      <c r="K181" s="3"/>
      <c r="L181" s="3" t="str">
        <f ca="1">IFERROR(__xludf.DUMMYFUNCTION("""COMPUTED_VALUE"""),"Cost per period")</f>
        <v>Cost per period</v>
      </c>
      <c r="M181" s="3"/>
      <c r="N181" s="3"/>
      <c r="O181" s="3" t="str">
        <f ca="1">IFERROR(__xludf.DUMMYFUNCTION("""COMPUTED_VALUE"""),"640")</f>
        <v>640</v>
      </c>
      <c r="P181" s="3" t="str">
        <f ca="1">IFERROR(__xludf.DUMMYFUNCTION("""COMPUTED_VALUE"""),"335, 640")</f>
        <v>335, 640</v>
      </c>
      <c r="Q181" s="3" t="str">
        <f ca="1">IFERROR(__xludf.DUMMYFUNCTION("""COMPUTED_VALUE"""),"640x640 a 640x335 + text + logo")</f>
        <v>640x640 a 640x335 + text + logo</v>
      </c>
      <c r="R181" s="3"/>
      <c r="S181" s="3" t="str">
        <f ca="1">IFERROR(__xludf.DUMMYFUNCTION("""COMPUTED_VALUE"""),"45")</f>
        <v>45</v>
      </c>
      <c r="T181" s="3"/>
      <c r="U181" s="3" t="str">
        <f ca="1">IFERROR(__xludf.DUMMYFUNCTION("""COMPUTED_VALUE"""),"nativní reklama")</f>
        <v>nativní reklama</v>
      </c>
      <c r="V181" s="3"/>
      <c r="W181" s="4" t="str">
        <f ca="1">IFERROR(__xludf.DUMMYFUNCTION("""COMPUTED_VALUE"""),"https://reklama.cncenter.cz/Online/nativni-rectangle-cross-device")</f>
        <v>https://reklama.cncenter.cz/Online/nativni-rectangle-cross-device</v>
      </c>
      <c r="X181" s="3"/>
      <c r="Y181" s="3"/>
      <c r="Z181" s="3" t="str">
        <f ca="1">IFERROR(__xludf.DUMMYFUNCTION("""COMPUTED_VALUE"""),"podklady@cncenter.cz")</f>
        <v>podklady@cncenter.cz</v>
      </c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 t="str">
        <f ca="1">IFERROR(__xludf.DUMMYFUNCTION("""COMPUTED_VALUE"""),"cross-device")</f>
        <v>cross-device</v>
      </c>
      <c r="AO181" s="3"/>
      <c r="AP181" s="3"/>
      <c r="AQ181" s="3"/>
      <c r="AR181" s="3"/>
      <c r="AS181" s="3"/>
      <c r="AT181" s="3"/>
      <c r="AU181" s="3" t="str">
        <f ca="1">IFERROR(__xludf.DUMMYFUNCTION("""COMPUTED_VALUE"""),"nativní rectangle cross-device")</f>
        <v>nativní rectangle cross-device</v>
      </c>
    </row>
    <row r="182" spans="1:47" x14ac:dyDescent="0.3">
      <c r="A182" s="3">
        <f ca="1"/>
        <v>2346826</v>
      </c>
      <c r="B182" s="3" t="str">
        <f ca="1"/>
        <v>CZECH NEWS CENTER a. s.</v>
      </c>
      <c r="C182" s="3" t="str">
        <f ca="1">IFERROR(__xludf.DUMMYFUNCTION("""COMPUTED_VALUE"""),"Blesk")</f>
        <v>Blesk</v>
      </c>
      <c r="D182" s="4" t="str">
        <f ca="1">IFERROR(__xludf.DUMMYFUNCTION("""COMPUTED_VALUE"""),"https://blesk.cz")</f>
        <v>https://blesk.cz</v>
      </c>
      <c r="E182" s="3" t="str">
        <f ca="1">IFERROR(__xludf.DUMMYFUNCTION("""COMPUTED_VALUE"""),"celý web")</f>
        <v>celý web</v>
      </c>
      <c r="F182" s="4" t="str">
        <f ca="1">IFERROR(__xludf.DUMMYFUNCTION("""COMPUTED_VALUE"""),"https://blesk.cz")</f>
        <v>https://blesk.cz</v>
      </c>
      <c r="G182" s="3" t="str">
        <f ca="1">IFERROR(__xludf.DUMMYFUNCTION("""COMPUTED_VALUE"""),"PR článek low season")</f>
        <v>PR článek low season</v>
      </c>
      <c r="H182" s="3">
        <f ca="1">IFERROR(__xludf.DUMMYFUNCTION("""COMPUTED_VALUE"""),1)</f>
        <v>1</v>
      </c>
      <c r="I182" s="5">
        <f ca="1">IFERROR(__xludf.DUMMYFUNCTION("""COMPUTED_VALUE"""),1)</f>
        <v>1</v>
      </c>
      <c r="J182" s="5">
        <f ca="1">IFERROR(__xludf.DUMMYFUNCTION("""COMPUTED_VALUE"""),30000)</f>
        <v>30000</v>
      </c>
      <c r="K182" s="3"/>
      <c r="L182" s="3" t="str">
        <f ca="1">IFERROR(__xludf.DUMMYFUNCTION("""COMPUTED_VALUE"""),"Cost per instance")</f>
        <v>Cost per instance</v>
      </c>
      <c r="M182" s="3"/>
      <c r="N182" s="3"/>
      <c r="O182" s="3"/>
      <c r="P182" s="3"/>
      <c r="Q182" s="3"/>
      <c r="R182" s="3"/>
      <c r="S182" s="3" t="str">
        <f ca="1">IFERROR(__xludf.DUMMYFUNCTION("""COMPUTED_VALUE"""),"100")</f>
        <v>100</v>
      </c>
      <c r="T182" s="3"/>
      <c r="U182" s="3" t="str">
        <f ca="1">IFERROR(__xludf.DUMMYFUNCTION("""COMPUTED_VALUE"""),"pr článek")</f>
        <v>pr článek</v>
      </c>
      <c r="V182" s="3"/>
      <c r="W182" s="4" t="str">
        <f ca="1">IFERROR(__xludf.DUMMYFUNCTION("""COMPUTED_VALUE"""),"https://reklama.cncenter.cz/?ads=PR%2520%25C4%258Dl%25C3%25A1nky")</f>
        <v>https://reklama.cncenter.cz/?ads=PR%2520%25C4%258Dl%25C3%25A1nky</v>
      </c>
      <c r="X182" s="3"/>
      <c r="Y182" s="3"/>
      <c r="Z182" s="3" t="str">
        <f ca="1">IFERROR(__xludf.DUMMYFUNCTION("""COMPUTED_VALUE"""),"podklady@cncenter.cz")</f>
        <v>podklady@cncenter.cz</v>
      </c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 t="str">
        <f ca="1">IFERROR(__xludf.DUMMYFUNCTION("""COMPUTED_VALUE"""),"cross-device")</f>
        <v>cross-device</v>
      </c>
      <c r="AO182" s="3"/>
      <c r="AP182" s="3"/>
      <c r="AQ182" s="3"/>
      <c r="AR182" s="3"/>
      <c r="AS182" s="3"/>
      <c r="AT182" s="3"/>
      <c r="AU182" s="3" t="str">
        <f ca="1">IFERROR(__xludf.DUMMYFUNCTION("""COMPUTED_VALUE"""),"PR článek")</f>
        <v>PR článek</v>
      </c>
    </row>
    <row r="183" spans="1:47" x14ac:dyDescent="0.3">
      <c r="A183" s="3">
        <f ca="1"/>
        <v>2346826</v>
      </c>
      <c r="B183" s="3" t="str">
        <f ca="1"/>
        <v>CZECH NEWS CENTER a. s.</v>
      </c>
      <c r="C183" s="3" t="str">
        <f ca="1">IFERROR(__xludf.DUMMYFUNCTION("""COMPUTED_VALUE"""),"Blesk")</f>
        <v>Blesk</v>
      </c>
      <c r="D183" s="4" t="str">
        <f ca="1">IFERROR(__xludf.DUMMYFUNCTION("""COMPUTED_VALUE"""),"https://blesk.cz")</f>
        <v>https://blesk.cz</v>
      </c>
      <c r="E183" s="3" t="str">
        <f ca="1">IFERROR(__xludf.DUMMYFUNCTION("""COMPUTED_VALUE"""),"celý web")</f>
        <v>celý web</v>
      </c>
      <c r="F183" s="4" t="str">
        <f ca="1">IFERROR(__xludf.DUMMYFUNCTION("""COMPUTED_VALUE"""),"https://blesk.cz")</f>
        <v>https://blesk.cz</v>
      </c>
      <c r="G183" s="3" t="str">
        <f ca="1">IFERROR(__xludf.DUMMYFUNCTION("""COMPUTED_VALUE"""),"Prodloužení existující microsite, bez úprav low season")</f>
        <v>Prodloužení existující microsite, bez úprav low season</v>
      </c>
      <c r="H183" s="3">
        <f ca="1">IFERROR(__xludf.DUMMYFUNCTION("""COMPUTED_VALUE"""),1)</f>
        <v>1</v>
      </c>
      <c r="I183" s="5">
        <f ca="1">IFERROR(__xludf.DUMMYFUNCTION("""COMPUTED_VALUE"""),1)</f>
        <v>1</v>
      </c>
      <c r="J183" s="5">
        <f ca="1">IFERROR(__xludf.DUMMYFUNCTION("""COMPUTED_VALUE"""),15000)</f>
        <v>15000</v>
      </c>
      <c r="K183" s="3"/>
      <c r="L183" s="3" t="str">
        <f ca="1">IFERROR(__xludf.DUMMYFUNCTION("""COMPUTED_VALUE"""),"Cost per instance")</f>
        <v>Cost per instance</v>
      </c>
      <c r="M183" s="3"/>
      <c r="N183" s="3"/>
      <c r="O183" s="3"/>
      <c r="P183" s="3"/>
      <c r="Q183" s="3"/>
      <c r="R183" s="3"/>
      <c r="S183" s="3" t="str">
        <f ca="1">IFERROR(__xludf.DUMMYFUNCTION("""COMPUTED_VALUE"""),"100")</f>
        <v>100</v>
      </c>
      <c r="T183" s="3"/>
      <c r="U183" s="3" t="str">
        <f ca="1">IFERROR(__xludf.DUMMYFUNCTION("""COMPUTED_VALUE"""),"microsite")</f>
        <v>microsite</v>
      </c>
      <c r="V183" s="3"/>
      <c r="W183" s="3"/>
      <c r="X183" s="3"/>
      <c r="Y183" s="3"/>
      <c r="Z183" s="3" t="str">
        <f ca="1">IFERROR(__xludf.DUMMYFUNCTION("""COMPUTED_VALUE"""),"podklady@cncenter.cz")</f>
        <v>podklady@cncenter.cz</v>
      </c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 t="str">
        <f ca="1">IFERROR(__xludf.DUMMYFUNCTION("""COMPUTED_VALUE"""),"cross-device")</f>
        <v>cross-device</v>
      </c>
      <c r="AO183" s="3"/>
      <c r="AP183" s="3"/>
      <c r="AQ183" s="3"/>
      <c r="AR183" s="3"/>
      <c r="AS183" s="3"/>
      <c r="AT183" s="3"/>
      <c r="AU183" s="3" t="str">
        <f ca="1">IFERROR(__xludf.DUMMYFUNCTION("""COMPUTED_VALUE"""),"Prodloužení existující microsite, bez úprav")</f>
        <v>Prodloužení existující microsite, bez úprav</v>
      </c>
    </row>
    <row r="184" spans="1:47" x14ac:dyDescent="0.3">
      <c r="A184" s="3">
        <f ca="1"/>
        <v>2346826</v>
      </c>
      <c r="B184" s="3" t="str">
        <f ca="1"/>
        <v>CZECH NEWS CENTER a. s.</v>
      </c>
      <c r="C184" s="3" t="str">
        <f ca="1">IFERROR(__xludf.DUMMYFUNCTION("""COMPUTED_VALUE"""),"Blesk")</f>
        <v>Blesk</v>
      </c>
      <c r="D184" s="4" t="str">
        <f ca="1">IFERROR(__xludf.DUMMYFUNCTION("""COMPUTED_VALUE"""),"https://blesk.cz")</f>
        <v>https://blesk.cz</v>
      </c>
      <c r="E184" s="3" t="str">
        <f ca="1">IFERROR(__xludf.DUMMYFUNCTION("""COMPUTED_VALUE"""),"celý web")</f>
        <v>celý web</v>
      </c>
      <c r="F184" s="4" t="str">
        <f ca="1">IFERROR(__xludf.DUMMYFUNCTION("""COMPUTED_VALUE"""),"https://blesk.cz")</f>
        <v>https://blesk.cz</v>
      </c>
      <c r="G184" s="3" t="str">
        <f ca="1">IFERROR(__xludf.DUMMYFUNCTION("""COMPUTED_VALUE"""),"Prodloužení existující microsite, bez úprav low season")</f>
        <v>Prodloužení existující microsite, bez úprav low season</v>
      </c>
      <c r="H184" s="3">
        <f ca="1">IFERROR(__xludf.DUMMYFUNCTION("""COMPUTED_VALUE"""),1)</f>
        <v>1</v>
      </c>
      <c r="I184" s="5">
        <f ca="1">IFERROR(__xludf.DUMMYFUNCTION("""COMPUTED_VALUE"""),1)</f>
        <v>1</v>
      </c>
      <c r="J184" s="5">
        <f ca="1">IFERROR(__xludf.DUMMYFUNCTION("""COMPUTED_VALUE"""),15000)</f>
        <v>15000</v>
      </c>
      <c r="K184" s="3"/>
      <c r="L184" s="3" t="str">
        <f ca="1">IFERROR(__xludf.DUMMYFUNCTION("""COMPUTED_VALUE"""),"Cost per instance")</f>
        <v>Cost per instance</v>
      </c>
      <c r="M184" s="3"/>
      <c r="N184" s="3"/>
      <c r="O184" s="3"/>
      <c r="P184" s="3"/>
      <c r="Q184" s="3"/>
      <c r="R184" s="3"/>
      <c r="S184" s="3" t="str">
        <f ca="1">IFERROR(__xludf.DUMMYFUNCTION("""COMPUTED_VALUE"""),"100")</f>
        <v>100</v>
      </c>
      <c r="T184" s="3"/>
      <c r="U184" s="3" t="str">
        <f ca="1">IFERROR(__xludf.DUMMYFUNCTION("""COMPUTED_VALUE"""),"microsite")</f>
        <v>microsite</v>
      </c>
      <c r="V184" s="3"/>
      <c r="W184" s="3"/>
      <c r="X184" s="3"/>
      <c r="Y184" s="3"/>
      <c r="Z184" s="3" t="str">
        <f ca="1">IFERROR(__xludf.DUMMYFUNCTION("""COMPUTED_VALUE"""),"podklady@cncenter.cz")</f>
        <v>podklady@cncenter.cz</v>
      </c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 t="str">
        <f ca="1">IFERROR(__xludf.DUMMYFUNCTION("""COMPUTED_VALUE"""),"cross-device")</f>
        <v>cross-device</v>
      </c>
      <c r="AO184" s="3"/>
      <c r="AP184" s="3"/>
      <c r="AQ184" s="3"/>
      <c r="AR184" s="3"/>
      <c r="AS184" s="3"/>
      <c r="AT184" s="3"/>
      <c r="AU184" s="3" t="str">
        <f ca="1">IFERROR(__xludf.DUMMYFUNCTION("""COMPUTED_VALUE"""),"Prodloužení existující microsite, bez úprav")</f>
        <v>Prodloužení existující microsite, bez úprav</v>
      </c>
    </row>
    <row r="185" spans="1:47" x14ac:dyDescent="0.3">
      <c r="A185" s="3">
        <f ca="1"/>
        <v>2346826</v>
      </c>
      <c r="B185" s="3" t="str">
        <f ca="1"/>
        <v>CZECH NEWS CENTER a. s.</v>
      </c>
      <c r="C185" s="3" t="str">
        <f ca="1">IFERROR(__xludf.DUMMYFUNCTION("""COMPUTED_VALUE"""),"Blesk")</f>
        <v>Blesk</v>
      </c>
      <c r="D185" s="4" t="str">
        <f ca="1">IFERROR(__xludf.DUMMYFUNCTION("""COMPUTED_VALUE"""),"https://blesk.cz")</f>
        <v>https://blesk.cz</v>
      </c>
      <c r="E185" s="3" t="str">
        <f ca="1">IFERROR(__xludf.DUMMYFUNCTION("""COMPUTED_VALUE"""),"celý web")</f>
        <v>celý web</v>
      </c>
      <c r="F185" s="4" t="str">
        <f ca="1">IFERROR(__xludf.DUMMYFUNCTION("""COMPUTED_VALUE"""),"https://blesk.cz")</f>
        <v>https://blesk.cz</v>
      </c>
      <c r="G185" s="3" t="str">
        <f ca="1">IFERROR(__xludf.DUMMYFUNCTION("""COMPUTED_VALUE"""),"Prodloužení existující microsite, bez úprav low season")</f>
        <v>Prodloužení existující microsite, bez úprav low season</v>
      </c>
      <c r="H185" s="3">
        <f ca="1">IFERROR(__xludf.DUMMYFUNCTION("""COMPUTED_VALUE"""),1)</f>
        <v>1</v>
      </c>
      <c r="I185" s="5">
        <f ca="1">IFERROR(__xludf.DUMMYFUNCTION("""COMPUTED_VALUE"""),1)</f>
        <v>1</v>
      </c>
      <c r="J185" s="5">
        <f ca="1">IFERROR(__xludf.DUMMYFUNCTION("""COMPUTED_VALUE"""),15000)</f>
        <v>15000</v>
      </c>
      <c r="K185" s="3"/>
      <c r="L185" s="3" t="str">
        <f ca="1">IFERROR(__xludf.DUMMYFUNCTION("""COMPUTED_VALUE"""),"Cost per instance")</f>
        <v>Cost per instance</v>
      </c>
      <c r="M185" s="3"/>
      <c r="N185" s="3"/>
      <c r="O185" s="3"/>
      <c r="P185" s="3"/>
      <c r="Q185" s="3"/>
      <c r="R185" s="3"/>
      <c r="S185" s="3" t="str">
        <f ca="1">IFERROR(__xludf.DUMMYFUNCTION("""COMPUTED_VALUE"""),"100")</f>
        <v>100</v>
      </c>
      <c r="T185" s="3"/>
      <c r="U185" s="3" t="str">
        <f ca="1">IFERROR(__xludf.DUMMYFUNCTION("""COMPUTED_VALUE"""),"microsite")</f>
        <v>microsite</v>
      </c>
      <c r="V185" s="3"/>
      <c r="W185" s="3"/>
      <c r="X185" s="3"/>
      <c r="Y185" s="3"/>
      <c r="Z185" s="3" t="str">
        <f ca="1">IFERROR(__xludf.DUMMYFUNCTION("""COMPUTED_VALUE"""),"podklady@cncenter.cz")</f>
        <v>podklady@cncenter.cz</v>
      </c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 t="str">
        <f ca="1">IFERROR(__xludf.DUMMYFUNCTION("""COMPUTED_VALUE"""),"cross-device")</f>
        <v>cross-device</v>
      </c>
      <c r="AO185" s="3"/>
      <c r="AP185" s="3"/>
      <c r="AQ185" s="3"/>
      <c r="AR185" s="3"/>
      <c r="AS185" s="3"/>
      <c r="AT185" s="3"/>
      <c r="AU185" s="3" t="str">
        <f ca="1">IFERROR(__xludf.DUMMYFUNCTION("""COMPUTED_VALUE"""),"Prodloužení existující microsite, bez úprav")</f>
        <v>Prodloužení existující microsite, bez úprav</v>
      </c>
    </row>
    <row r="186" spans="1:47" x14ac:dyDescent="0.3">
      <c r="A186" s="3">
        <f ca="1"/>
        <v>2346826</v>
      </c>
      <c r="B186" s="3" t="str">
        <f ca="1"/>
        <v>CZECH NEWS CENTER a. s.</v>
      </c>
      <c r="C186" s="3" t="str">
        <f ca="1">IFERROR(__xludf.DUMMYFUNCTION("""COMPUTED_VALUE"""),"Blesk floating")</f>
        <v>Blesk floating</v>
      </c>
      <c r="D186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86" s="3" t="str">
        <f ca="1">IFERROR(__xludf.DUMMYFUNCTION("""COMPUTED_VALUE"""),"celý web")</f>
        <v>celý web</v>
      </c>
      <c r="F186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86" s="3" t="str">
        <f ca="1">IFERROR(__xludf.DUMMYFUNCTION("""COMPUTED_VALUE"""),"billboard bottom low season")</f>
        <v>billboard bottom low season</v>
      </c>
      <c r="H186" s="3">
        <f ca="1">IFERROR(__xludf.DUMMYFUNCTION("""COMPUTED_VALUE"""),7)</f>
        <v>7</v>
      </c>
      <c r="I186" s="5">
        <f ca="1">IFERROR(__xludf.DUMMYFUNCTION("""COMPUTED_VALUE"""),1000)</f>
        <v>1000</v>
      </c>
      <c r="J186" s="5">
        <f ca="1">IFERROR(__xludf.DUMMYFUNCTION("""COMPUTED_VALUE"""),230)</f>
        <v>230</v>
      </c>
      <c r="K186" s="3"/>
      <c r="L186" s="3" t="str">
        <f ca="1">IFERROR(__xludf.DUMMYFUNCTION("""COMPUTED_VALUE"""),"Cost per period")</f>
        <v>Cost per period</v>
      </c>
      <c r="M186" s="3"/>
      <c r="N186" s="3"/>
      <c r="O186" s="3" t="str">
        <f ca="1">IFERROR(__xludf.DUMMYFUNCTION("""COMPUTED_VALUE"""),"970")</f>
        <v>970</v>
      </c>
      <c r="P186" s="3" t="str">
        <f ca="1">IFERROR(__xludf.DUMMYFUNCTION("""COMPUTED_VALUE"""),"250")</f>
        <v>250</v>
      </c>
      <c r="Q186" s="3" t="str">
        <f ca="1">IFERROR(__xludf.DUMMYFUNCTION("""COMPUTED_VALUE"""),"970x250")</f>
        <v>970x250</v>
      </c>
      <c r="R186" s="3"/>
      <c r="S186" s="3" t="str">
        <f ca="1">IFERROR(__xludf.DUMMYFUNCTION("""COMPUTED_VALUE"""),"100 (200 - HTML5)")</f>
        <v>100 (200 - HTML5)</v>
      </c>
      <c r="T186" s="3"/>
      <c r="U186" s="3" t="str">
        <f ca="1">IFERROR(__xludf.DUMMYFUNCTION("""COMPUTED_VALUE"""),"banner standard")</f>
        <v>banner standard</v>
      </c>
      <c r="V186" s="3"/>
      <c r="W186" s="4" t="str">
        <f ca="1">IFERROR(__xludf.DUMMYFUNCTION("""COMPUTED_VALUE"""),"https://reklama.cncenter.cz/Online/billboard-bottom")</f>
        <v>https://reklama.cncenter.cz/Online/billboard-bottom</v>
      </c>
      <c r="X186" s="3"/>
      <c r="Y186" s="3"/>
      <c r="Z186" s="3" t="str">
        <f ca="1">IFERROR(__xludf.DUMMYFUNCTION("""COMPUTED_VALUE"""),"podklady@cncenter.cz")</f>
        <v>podklady@cncenter.cz</v>
      </c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 t="str">
        <f ca="1">IFERROR(__xludf.DUMMYFUNCTION("""COMPUTED_VALUE"""),"desktop")</f>
        <v>desktop</v>
      </c>
      <c r="AO186" s="3"/>
      <c r="AP186" s="3"/>
      <c r="AQ186" s="3"/>
      <c r="AR186" s="3"/>
      <c r="AS186" s="3"/>
      <c r="AT186" s="3"/>
      <c r="AU186" s="3" t="str">
        <f ca="1">IFERROR(__xludf.DUMMYFUNCTION("""COMPUTED_VALUE"""),"billboard bottom")</f>
        <v>billboard bottom</v>
      </c>
    </row>
    <row r="187" spans="1:47" x14ac:dyDescent="0.3">
      <c r="A187" s="3">
        <f ca="1"/>
        <v>2346826</v>
      </c>
      <c r="B187" s="3" t="str">
        <f ca="1"/>
        <v>CZECH NEWS CENTER a. s.</v>
      </c>
      <c r="C187" s="3" t="str">
        <f ca="1">IFERROR(__xludf.DUMMYFUNCTION("""COMPUTED_VALUE"""),"Blesk floating")</f>
        <v>Blesk floating</v>
      </c>
      <c r="D187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87" s="3" t="str">
        <f ca="1">IFERROR(__xludf.DUMMYFUNCTION("""COMPUTED_VALUE"""),"celý web")</f>
        <v>celý web</v>
      </c>
      <c r="F187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87" s="3" t="str">
        <f ca="1">IFERROR(__xludf.DUMMYFUNCTION("""COMPUTED_VALUE"""),"branding cross-device low season")</f>
        <v>branding cross-device low season</v>
      </c>
      <c r="H187" s="3">
        <f ca="1">IFERROR(__xludf.DUMMYFUNCTION("""COMPUTED_VALUE"""),7)</f>
        <v>7</v>
      </c>
      <c r="I187" s="5">
        <f ca="1">IFERROR(__xludf.DUMMYFUNCTION("""COMPUTED_VALUE"""),1000)</f>
        <v>1000</v>
      </c>
      <c r="J187" s="5">
        <f ca="1">IFERROR(__xludf.DUMMYFUNCTION("""COMPUTED_VALUE"""),280)</f>
        <v>280</v>
      </c>
      <c r="K187" s="3"/>
      <c r="L187" s="3" t="str">
        <f ca="1">IFERROR(__xludf.DUMMYFUNCTION("""COMPUTED_VALUE"""),"Cost per period")</f>
        <v>Cost per period</v>
      </c>
      <c r="M187" s="3"/>
      <c r="N187" s="3"/>
      <c r="O187" s="3" t="str">
        <f ca="1">IFERROR(__xludf.DUMMYFUNCTION("""COMPUTED_VALUE"""),"2000")</f>
        <v>2000</v>
      </c>
      <c r="P187" s="3" t="str">
        <f ca="1">IFERROR(__xludf.DUMMYFUNCTION("""COMPUTED_VALUE"""),"1400")</f>
        <v>1400</v>
      </c>
      <c r="Q187" s="3" t="str">
        <f ca="1">IFERROR(__xludf.DUMMYFUNCTION("""COMPUTED_VALUE"""),"2000x1400 + 600x1080")</f>
        <v>2000x1400 + 600x1080</v>
      </c>
      <c r="R187" s="3"/>
      <c r="S187" s="3" t="str">
        <f ca="1">IFERROR(__xludf.DUMMYFUNCTION("""COMPUTED_VALUE"""),"500 (600 - HTLM5)")</f>
        <v>500 (600 - HTLM5)</v>
      </c>
      <c r="T187" s="3"/>
      <c r="U187" s="3" t="str">
        <f ca="1">IFERROR(__xludf.DUMMYFUNCTION("""COMPUTED_VALUE"""),"banner standard")</f>
        <v>banner standard</v>
      </c>
      <c r="V187" s="3"/>
      <c r="W187" s="4" t="str">
        <f ca="1">IFERROR(__xludf.DUMMYFUNCTION("""COMPUTED_VALUE"""),"https://reklama.cncenter.cz/Online/branding-cross-device")</f>
        <v>https://reklama.cncenter.cz/Online/branding-cross-device</v>
      </c>
      <c r="X187" s="3"/>
      <c r="Y187" s="3"/>
      <c r="Z187" s="3" t="str">
        <f ca="1">IFERROR(__xludf.DUMMYFUNCTION("""COMPUTED_VALUE"""),"podklady@cncenter.cz")</f>
        <v>podklady@cncenter.cz</v>
      </c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 t="str">
        <f ca="1">IFERROR(__xludf.DUMMYFUNCTION("""COMPUTED_VALUE"""),"cross-device")</f>
        <v>cross-device</v>
      </c>
      <c r="AO187" s="3"/>
      <c r="AP187" s="3"/>
      <c r="AQ187" s="3"/>
      <c r="AR187" s="3"/>
      <c r="AS187" s="3"/>
      <c r="AT187" s="3"/>
      <c r="AU187" s="3" t="str">
        <f ca="1">IFERROR(__xludf.DUMMYFUNCTION("""COMPUTED_VALUE"""),"branding cross-device")</f>
        <v>branding cross-device</v>
      </c>
    </row>
    <row r="188" spans="1:47" x14ac:dyDescent="0.3">
      <c r="A188" s="3">
        <f ca="1"/>
        <v>2346826</v>
      </c>
      <c r="B188" s="3" t="str">
        <f ca="1"/>
        <v>CZECH NEWS CENTER a. s.</v>
      </c>
      <c r="C188" s="3" t="str">
        <f ca="1">IFERROR(__xludf.DUMMYFUNCTION("""COMPUTED_VALUE"""),"Blesk floating")</f>
        <v>Blesk floating</v>
      </c>
      <c r="D188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88" s="3" t="str">
        <f ca="1">IFERROR(__xludf.DUMMYFUNCTION("""COMPUTED_VALUE"""),"celý web")</f>
        <v>celý web</v>
      </c>
      <c r="F188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88" s="3" t="str">
        <f ca="1">IFERROR(__xludf.DUMMYFUNCTION("""COMPUTED_VALUE"""),"branding low season")</f>
        <v>branding low season</v>
      </c>
      <c r="H188" s="3">
        <f ca="1">IFERROR(__xludf.DUMMYFUNCTION("""COMPUTED_VALUE"""),7)</f>
        <v>7</v>
      </c>
      <c r="I188" s="5">
        <f ca="1">IFERROR(__xludf.DUMMYFUNCTION("""COMPUTED_VALUE"""),1000)</f>
        <v>1000</v>
      </c>
      <c r="J188" s="5">
        <f ca="1">IFERROR(__xludf.DUMMYFUNCTION("""COMPUTED_VALUE"""),430)</f>
        <v>430</v>
      </c>
      <c r="K188" s="3"/>
      <c r="L188" s="3" t="str">
        <f ca="1">IFERROR(__xludf.DUMMYFUNCTION("""COMPUTED_VALUE"""),"Cost per period")</f>
        <v>Cost per period</v>
      </c>
      <c r="M188" s="3"/>
      <c r="N188" s="3"/>
      <c r="O188" s="3" t="str">
        <f ca="1">IFERROR(__xludf.DUMMYFUNCTION("""COMPUTED_VALUE"""),"2000")</f>
        <v>2000</v>
      </c>
      <c r="P188" s="3" t="str">
        <f ca="1">IFERROR(__xludf.DUMMYFUNCTION("""COMPUTED_VALUE"""),"1400")</f>
        <v>1400</v>
      </c>
      <c r="Q188" s="3" t="str">
        <f ca="1">IFERROR(__xludf.DUMMYFUNCTION("""COMPUTED_VALUE"""),"2000x1400")</f>
        <v>2000x1400</v>
      </c>
      <c r="R188" s="3"/>
      <c r="S188" s="3" t="str">
        <f ca="1">IFERROR(__xludf.DUMMYFUNCTION("""COMPUTED_VALUE"""),"500 + 200 (600+200 HTML5)")</f>
        <v>500 + 200 (600+200 HTML5)</v>
      </c>
      <c r="T188" s="3"/>
      <c r="U188" s="3" t="str">
        <f ca="1">IFERROR(__xludf.DUMMYFUNCTION("""COMPUTED_VALUE"""),"banner standard")</f>
        <v>banner standard</v>
      </c>
      <c r="V188" s="3"/>
      <c r="W188" s="4" t="str">
        <f ca="1">IFERROR(__xludf.DUMMYFUNCTION("""COMPUTED_VALUE"""),"https://reklama.cncenter.cz/Online/branding")</f>
        <v>https://reklama.cncenter.cz/Online/branding</v>
      </c>
      <c r="X188" s="3"/>
      <c r="Y188" s="3"/>
      <c r="Z188" s="3" t="str">
        <f ca="1">IFERROR(__xludf.DUMMYFUNCTION("""COMPUTED_VALUE"""),"podklady@cncenter.cz")</f>
        <v>podklady@cncenter.cz</v>
      </c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 t="str">
        <f ca="1">IFERROR(__xludf.DUMMYFUNCTION("""COMPUTED_VALUE"""),"desktop")</f>
        <v>desktop</v>
      </c>
      <c r="AO188" s="3"/>
      <c r="AP188" s="3"/>
      <c r="AQ188" s="3"/>
      <c r="AR188" s="3"/>
      <c r="AS188" s="3"/>
      <c r="AT188" s="3"/>
      <c r="AU188" s="3" t="str">
        <f ca="1">IFERROR(__xludf.DUMMYFUNCTION("""COMPUTED_VALUE"""),"branding")</f>
        <v>branding</v>
      </c>
    </row>
    <row r="189" spans="1:47" x14ac:dyDescent="0.3">
      <c r="A189" s="3">
        <f ca="1"/>
        <v>2346826</v>
      </c>
      <c r="B189" s="3" t="str">
        <f ca="1"/>
        <v>CZECH NEWS CENTER a. s.</v>
      </c>
      <c r="C189" s="3" t="str">
        <f ca="1">IFERROR(__xludf.DUMMYFUNCTION("""COMPUTED_VALUE"""),"Blesk floating")</f>
        <v>Blesk floating</v>
      </c>
      <c r="D189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89" s="3" t="str">
        <f ca="1">IFERROR(__xludf.DUMMYFUNCTION("""COMPUTED_VALUE"""),"celý web")</f>
        <v>celý web</v>
      </c>
      <c r="F189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89" s="3" t="str">
        <f ca="1">IFERROR(__xludf.DUMMYFUNCTION("""COMPUTED_VALUE"""),"cílený billboard bottom low season")</f>
        <v>cílený billboard bottom low season</v>
      </c>
      <c r="H189" s="3">
        <f ca="1">IFERROR(__xludf.DUMMYFUNCTION("""COMPUTED_VALUE"""),7)</f>
        <v>7</v>
      </c>
      <c r="I189" s="5">
        <f ca="1">IFERROR(__xludf.DUMMYFUNCTION("""COMPUTED_VALUE"""),1000)</f>
        <v>1000</v>
      </c>
      <c r="J189" s="5">
        <f ca="1">IFERROR(__xludf.DUMMYFUNCTION("""COMPUTED_VALUE"""),276)</f>
        <v>276</v>
      </c>
      <c r="K189" s="3"/>
      <c r="L189" s="3" t="str">
        <f ca="1">IFERROR(__xludf.DUMMYFUNCTION("""COMPUTED_VALUE"""),"Cost per period")</f>
        <v>Cost per period</v>
      </c>
      <c r="M189" s="3"/>
      <c r="N189" s="3"/>
      <c r="O189" s="3" t="str">
        <f ca="1">IFERROR(__xludf.DUMMYFUNCTION("""COMPUTED_VALUE"""),"970")</f>
        <v>970</v>
      </c>
      <c r="P189" s="3" t="str">
        <f ca="1">IFERROR(__xludf.DUMMYFUNCTION("""COMPUTED_VALUE"""),"250")</f>
        <v>250</v>
      </c>
      <c r="Q189" s="3" t="str">
        <f ca="1">IFERROR(__xludf.DUMMYFUNCTION("""COMPUTED_VALUE"""),"970x250")</f>
        <v>970x250</v>
      </c>
      <c r="R189" s="3"/>
      <c r="S189" s="3" t="str">
        <f ca="1">IFERROR(__xludf.DUMMYFUNCTION("""COMPUTED_VALUE"""),"100 (200 - HTML5)")</f>
        <v>100 (200 - HTML5)</v>
      </c>
      <c r="T189" s="3"/>
      <c r="U189" s="3" t="str">
        <f ca="1">IFERROR(__xludf.DUMMYFUNCTION("""COMPUTED_VALUE"""),"banner standard")</f>
        <v>banner standard</v>
      </c>
      <c r="V189" s="3"/>
      <c r="W189" s="4" t="str">
        <f ca="1">IFERROR(__xludf.DUMMYFUNCTION("""COMPUTED_VALUE"""),"https://reklama.cncenter.cz/Online/billboard-bottom")</f>
        <v>https://reklama.cncenter.cz/Online/billboard-bottom</v>
      </c>
      <c r="X189" s="3"/>
      <c r="Y189" s="3"/>
      <c r="Z189" s="3" t="str">
        <f ca="1">IFERROR(__xludf.DUMMYFUNCTION("""COMPUTED_VALUE"""),"podklady@cncenter.cz")</f>
        <v>podklady@cncenter.cz</v>
      </c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 t="str">
        <f ca="1">IFERROR(__xludf.DUMMYFUNCTION("""COMPUTED_VALUE"""),"desktop")</f>
        <v>desktop</v>
      </c>
      <c r="AO189" s="3"/>
      <c r="AP189" s="3"/>
      <c r="AQ189" s="3"/>
      <c r="AR189" s="3"/>
      <c r="AS189" s="3"/>
      <c r="AT189" s="3"/>
      <c r="AU189" s="3" t="str">
        <f ca="1">IFERROR(__xludf.DUMMYFUNCTION("""COMPUTED_VALUE"""),"cílený billboard bottom")</f>
        <v>cílený billboard bottom</v>
      </c>
    </row>
    <row r="190" spans="1:47" x14ac:dyDescent="0.3">
      <c r="A190" s="3">
        <f ca="1"/>
        <v>2346826</v>
      </c>
      <c r="B190" s="3" t="str">
        <f ca="1"/>
        <v>CZECH NEWS CENTER a. s.</v>
      </c>
      <c r="C190" s="3" t="str">
        <f ca="1">IFERROR(__xludf.DUMMYFUNCTION("""COMPUTED_VALUE"""),"Blesk floating")</f>
        <v>Blesk floating</v>
      </c>
      <c r="D190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0" s="3" t="str">
        <f ca="1">IFERROR(__xludf.DUMMYFUNCTION("""COMPUTED_VALUE"""),"celý web")</f>
        <v>celý web</v>
      </c>
      <c r="F190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0" s="3" t="str">
        <f ca="1">IFERROR(__xludf.DUMMYFUNCTION("""COMPUTED_VALUE"""),"cílený branding cross-device low season")</f>
        <v>cílený branding cross-device low season</v>
      </c>
      <c r="H190" s="3">
        <f ca="1">IFERROR(__xludf.DUMMYFUNCTION("""COMPUTED_VALUE"""),7)</f>
        <v>7</v>
      </c>
      <c r="I190" s="5">
        <f ca="1">IFERROR(__xludf.DUMMYFUNCTION("""COMPUTED_VALUE"""),1000)</f>
        <v>1000</v>
      </c>
      <c r="J190" s="5">
        <f ca="1">IFERROR(__xludf.DUMMYFUNCTION("""COMPUTED_VALUE"""),336)</f>
        <v>336</v>
      </c>
      <c r="K190" s="3"/>
      <c r="L190" s="3" t="str">
        <f ca="1">IFERROR(__xludf.DUMMYFUNCTION("""COMPUTED_VALUE"""),"Cost per period")</f>
        <v>Cost per period</v>
      </c>
      <c r="M190" s="3"/>
      <c r="N190" s="3"/>
      <c r="O190" s="3" t="str">
        <f ca="1">IFERROR(__xludf.DUMMYFUNCTION("""COMPUTED_VALUE"""),"2000")</f>
        <v>2000</v>
      </c>
      <c r="P190" s="3" t="str">
        <f ca="1">IFERROR(__xludf.DUMMYFUNCTION("""COMPUTED_VALUE"""),"1400")</f>
        <v>1400</v>
      </c>
      <c r="Q190" s="3" t="str">
        <f ca="1">IFERROR(__xludf.DUMMYFUNCTION("""COMPUTED_VALUE"""),"2000x1400 + 600x1080")</f>
        <v>2000x1400 + 600x1080</v>
      </c>
      <c r="R190" s="3"/>
      <c r="S190" s="3" t="str">
        <f ca="1">IFERROR(__xludf.DUMMYFUNCTION("""COMPUTED_VALUE"""),"500 (600 - HTLM5)")</f>
        <v>500 (600 - HTLM5)</v>
      </c>
      <c r="T190" s="3"/>
      <c r="U190" s="3" t="str">
        <f ca="1">IFERROR(__xludf.DUMMYFUNCTION("""COMPUTED_VALUE"""),"banner standard")</f>
        <v>banner standard</v>
      </c>
      <c r="V190" s="3"/>
      <c r="W190" s="4" t="str">
        <f ca="1">IFERROR(__xludf.DUMMYFUNCTION("""COMPUTED_VALUE"""),"https://reklama.cncenter.cz/Online/branding-cross-device")</f>
        <v>https://reklama.cncenter.cz/Online/branding-cross-device</v>
      </c>
      <c r="X190" s="3"/>
      <c r="Y190" s="3"/>
      <c r="Z190" s="3" t="str">
        <f ca="1">IFERROR(__xludf.DUMMYFUNCTION("""COMPUTED_VALUE"""),"podklady@cncenter.cz")</f>
        <v>podklady@cncenter.cz</v>
      </c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 t="str">
        <f ca="1">IFERROR(__xludf.DUMMYFUNCTION("""COMPUTED_VALUE"""),"cross-device")</f>
        <v>cross-device</v>
      </c>
      <c r="AO190" s="3"/>
      <c r="AP190" s="3"/>
      <c r="AQ190" s="3"/>
      <c r="AR190" s="3"/>
      <c r="AS190" s="3"/>
      <c r="AT190" s="3"/>
      <c r="AU190" s="3" t="str">
        <f ca="1">IFERROR(__xludf.DUMMYFUNCTION("""COMPUTED_VALUE"""),"cílený branding cross-device")</f>
        <v>cílený branding cross-device</v>
      </c>
    </row>
    <row r="191" spans="1:47" x14ac:dyDescent="0.3">
      <c r="A191" s="3">
        <f ca="1"/>
        <v>2346826</v>
      </c>
      <c r="B191" s="3" t="str">
        <f ca="1"/>
        <v>CZECH NEWS CENTER a. s.</v>
      </c>
      <c r="C191" s="3" t="str">
        <f ca="1">IFERROR(__xludf.DUMMYFUNCTION("""COMPUTED_VALUE"""),"Blesk floating")</f>
        <v>Blesk floating</v>
      </c>
      <c r="D191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1" s="3" t="str">
        <f ca="1">IFERROR(__xludf.DUMMYFUNCTION("""COMPUTED_VALUE"""),"celý web")</f>
        <v>celý web</v>
      </c>
      <c r="F191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1" s="3" t="str">
        <f ca="1">IFERROR(__xludf.DUMMYFUNCTION("""COMPUTED_VALUE"""),"cílený branding low season")</f>
        <v>cílený branding low season</v>
      </c>
      <c r="H191" s="3">
        <f ca="1">IFERROR(__xludf.DUMMYFUNCTION("""COMPUTED_VALUE"""),7)</f>
        <v>7</v>
      </c>
      <c r="I191" s="5">
        <f ca="1">IFERROR(__xludf.DUMMYFUNCTION("""COMPUTED_VALUE"""),1000)</f>
        <v>1000</v>
      </c>
      <c r="J191" s="5">
        <f ca="1">IFERROR(__xludf.DUMMYFUNCTION("""COMPUTED_VALUE"""),516)</f>
        <v>516</v>
      </c>
      <c r="K191" s="3"/>
      <c r="L191" s="3" t="str">
        <f ca="1">IFERROR(__xludf.DUMMYFUNCTION("""COMPUTED_VALUE"""),"Cost per period")</f>
        <v>Cost per period</v>
      </c>
      <c r="M191" s="3"/>
      <c r="N191" s="3"/>
      <c r="O191" s="3" t="str">
        <f ca="1">IFERROR(__xludf.DUMMYFUNCTION("""COMPUTED_VALUE"""),"2000")</f>
        <v>2000</v>
      </c>
      <c r="P191" s="3" t="str">
        <f ca="1">IFERROR(__xludf.DUMMYFUNCTION("""COMPUTED_VALUE"""),"1400")</f>
        <v>1400</v>
      </c>
      <c r="Q191" s="3" t="str">
        <f ca="1">IFERROR(__xludf.DUMMYFUNCTION("""COMPUTED_VALUE"""),"2000x1400")</f>
        <v>2000x1400</v>
      </c>
      <c r="R191" s="3"/>
      <c r="S191" s="3" t="str">
        <f ca="1">IFERROR(__xludf.DUMMYFUNCTION("""COMPUTED_VALUE"""),"500 + 200 (600+200 HTML5)")</f>
        <v>500 + 200 (600+200 HTML5)</v>
      </c>
      <c r="T191" s="3"/>
      <c r="U191" s="3" t="str">
        <f ca="1">IFERROR(__xludf.DUMMYFUNCTION("""COMPUTED_VALUE"""),"banner standard")</f>
        <v>banner standard</v>
      </c>
      <c r="V191" s="3"/>
      <c r="W191" s="4" t="str">
        <f ca="1">IFERROR(__xludf.DUMMYFUNCTION("""COMPUTED_VALUE"""),"https://reklama.cncenter.cz/Online/branding")</f>
        <v>https://reklama.cncenter.cz/Online/branding</v>
      </c>
      <c r="X191" s="3"/>
      <c r="Y191" s="3"/>
      <c r="Z191" s="3" t="str">
        <f ca="1">IFERROR(__xludf.DUMMYFUNCTION("""COMPUTED_VALUE"""),"podklady@cncenter.cz")</f>
        <v>podklady@cncenter.cz</v>
      </c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 t="str">
        <f ca="1">IFERROR(__xludf.DUMMYFUNCTION("""COMPUTED_VALUE"""),"desktop")</f>
        <v>desktop</v>
      </c>
      <c r="AO191" s="3"/>
      <c r="AP191" s="3"/>
      <c r="AQ191" s="3"/>
      <c r="AR191" s="3"/>
      <c r="AS191" s="3"/>
      <c r="AT191" s="3"/>
      <c r="AU191" s="3" t="str">
        <f ca="1">IFERROR(__xludf.DUMMYFUNCTION("""COMPUTED_VALUE"""),"cílený branding")</f>
        <v>cílený branding</v>
      </c>
    </row>
    <row r="192" spans="1:47" x14ac:dyDescent="0.3">
      <c r="A192" s="3">
        <f ca="1"/>
        <v>2346826</v>
      </c>
      <c r="B192" s="3" t="str">
        <f ca="1"/>
        <v>CZECH NEWS CENTER a. s.</v>
      </c>
      <c r="C192" s="3" t="str">
        <f ca="1">IFERROR(__xludf.DUMMYFUNCTION("""COMPUTED_VALUE"""),"Blesk floating")</f>
        <v>Blesk floating</v>
      </c>
      <c r="D192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2" s="3" t="str">
        <f ca="1">IFERROR(__xludf.DUMMYFUNCTION("""COMPUTED_VALUE"""),"celý web")</f>
        <v>celý web</v>
      </c>
      <c r="F192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2" s="3" t="str">
        <f ca="1">IFERROR(__xludf.DUMMYFUNCTION("""COMPUTED_VALUE"""),"cílený double skyscraper low season")</f>
        <v>cílený double skyscraper low season</v>
      </c>
      <c r="H192" s="3">
        <f ca="1">IFERROR(__xludf.DUMMYFUNCTION("""COMPUTED_VALUE"""),7)</f>
        <v>7</v>
      </c>
      <c r="I192" s="5">
        <f ca="1">IFERROR(__xludf.DUMMYFUNCTION("""COMPUTED_VALUE"""),1000)</f>
        <v>1000</v>
      </c>
      <c r="J192" s="5">
        <f ca="1">IFERROR(__xludf.DUMMYFUNCTION("""COMPUTED_VALUE"""),192)</f>
        <v>192</v>
      </c>
      <c r="K192" s="3"/>
      <c r="L192" s="3" t="str">
        <f ca="1">IFERROR(__xludf.DUMMYFUNCTION("""COMPUTED_VALUE"""),"Cost per period")</f>
        <v>Cost per period</v>
      </c>
      <c r="M192" s="3"/>
      <c r="N192" s="3"/>
      <c r="O192" s="3" t="str">
        <f ca="1">IFERROR(__xludf.DUMMYFUNCTION("""COMPUTED_VALUE"""),"300")</f>
        <v>300</v>
      </c>
      <c r="P192" s="3" t="str">
        <f ca="1">IFERROR(__xludf.DUMMYFUNCTION("""COMPUTED_VALUE"""),"600")</f>
        <v>600</v>
      </c>
      <c r="Q192" s="3" t="str">
        <f ca="1">IFERROR(__xludf.DUMMYFUNCTION("""COMPUTED_VALUE"""),"300x600")</f>
        <v>300x600</v>
      </c>
      <c r="R192" s="3"/>
      <c r="S192" s="3" t="str">
        <f ca="1">IFERROR(__xludf.DUMMYFUNCTION("""COMPUTED_VALUE"""),"100 (200 - HTML5)")</f>
        <v>100 (200 - HTML5)</v>
      </c>
      <c r="T192" s="3"/>
      <c r="U192" s="3" t="str">
        <f ca="1">IFERROR(__xludf.DUMMYFUNCTION("""COMPUTED_VALUE"""),"banner standard")</f>
        <v>banner standard</v>
      </c>
      <c r="V192" s="3"/>
      <c r="W192" s="4" t="str">
        <f ca="1">IFERROR(__xludf.DUMMYFUNCTION("""COMPUTED_VALUE"""),"https://reklama.cncenter.cz/Online/double-skyscraper")</f>
        <v>https://reklama.cncenter.cz/Online/double-skyscraper</v>
      </c>
      <c r="X192" s="3"/>
      <c r="Y192" s="3"/>
      <c r="Z192" s="3" t="str">
        <f ca="1">IFERROR(__xludf.DUMMYFUNCTION("""COMPUTED_VALUE"""),"podklady@cncenter.cz")</f>
        <v>podklady@cncenter.cz</v>
      </c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 t="str">
        <f ca="1">IFERROR(__xludf.DUMMYFUNCTION("""COMPUTED_VALUE"""),"desktop")</f>
        <v>desktop</v>
      </c>
      <c r="AO192" s="3"/>
      <c r="AP192" s="3"/>
      <c r="AQ192" s="3"/>
      <c r="AR192" s="3"/>
      <c r="AS192" s="3"/>
      <c r="AT192" s="3"/>
      <c r="AU192" s="3" t="str">
        <f ca="1">IFERROR(__xludf.DUMMYFUNCTION("""COMPUTED_VALUE"""),"cílený double skyscraper")</f>
        <v>cílený double skyscraper</v>
      </c>
    </row>
    <row r="193" spans="1:47" x14ac:dyDescent="0.3">
      <c r="A193" s="3">
        <f ca="1"/>
        <v>2346826</v>
      </c>
      <c r="B193" s="3" t="str">
        <f ca="1"/>
        <v>CZECH NEWS CENTER a. s.</v>
      </c>
      <c r="C193" s="3" t="str">
        <f ca="1">IFERROR(__xludf.DUMMYFUNCTION("""COMPUTED_VALUE"""),"Blesk floating")</f>
        <v>Blesk floating</v>
      </c>
      <c r="D193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3" s="3" t="str">
        <f ca="1">IFERROR(__xludf.DUMMYFUNCTION("""COMPUTED_VALUE"""),"celý web")</f>
        <v>celý web</v>
      </c>
      <c r="F193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3" s="3" t="str">
        <f ca="1">IFERROR(__xludf.DUMMYFUNCTION("""COMPUTED_VALUE"""),"cílený mini videospot - max. 30 sec. low season")</f>
        <v>cílený mini videospot - max. 30 sec. low season</v>
      </c>
      <c r="H193" s="3">
        <f ca="1">IFERROR(__xludf.DUMMYFUNCTION("""COMPUTED_VALUE"""),7)</f>
        <v>7</v>
      </c>
      <c r="I193" s="5">
        <f ca="1">IFERROR(__xludf.DUMMYFUNCTION("""COMPUTED_VALUE"""),1000)</f>
        <v>1000</v>
      </c>
      <c r="J193" s="5">
        <f ca="1">IFERROR(__xludf.DUMMYFUNCTION("""COMPUTED_VALUE"""),192)</f>
        <v>192</v>
      </c>
      <c r="K193" s="3"/>
      <c r="L193" s="3" t="str">
        <f ca="1">IFERROR(__xludf.DUMMYFUNCTION("""COMPUTED_VALUE"""),"Cost per period")</f>
        <v>Cost per period</v>
      </c>
      <c r="M193" s="3"/>
      <c r="N193" s="3"/>
      <c r="O193" s="3"/>
      <c r="P193" s="3"/>
      <c r="Q193" s="3" t="str">
        <f ca="1">IFERROR(__xludf.DUMMYFUNCTION("""COMPUTED_VALUE"""),"16:9 / umístění po domluvě dle možností")</f>
        <v>16:9 / umístění po domluvě dle možností</v>
      </c>
      <c r="R193" s="3" t="str">
        <f ca="1">IFERROR(__xludf.DUMMYFUNCTION("""COMPUTED_VALUE"""),"přeskočení po 7 sekundách")</f>
        <v>přeskočení po 7 sekundách</v>
      </c>
      <c r="S193" s="3" t="str">
        <f ca="1">IFERROR(__xludf.DUMMYFUNCTION("""COMPUTED_VALUE"""),"100")</f>
        <v>100</v>
      </c>
      <c r="T193" s="3"/>
      <c r="U193" s="3" t="str">
        <f ca="1">IFERROR(__xludf.DUMMYFUNCTION("""COMPUTED_VALUE"""),"videospot")</f>
        <v>videospot</v>
      </c>
      <c r="V193" s="3"/>
      <c r="W193" s="4" t="str">
        <f ca="1">IFERROR(__xludf.DUMMYFUNCTION("""COMPUTED_VALUE"""),"https://reklama.cncenter.cz/Online/Videospot")</f>
        <v>https://reklama.cncenter.cz/Online/Videospot</v>
      </c>
      <c r="X193" s="3"/>
      <c r="Y193" s="3"/>
      <c r="Z193" s="3" t="str">
        <f ca="1">IFERROR(__xludf.DUMMYFUNCTION("""COMPUTED_VALUE"""),"podklady@cncenter.cz")</f>
        <v>podklady@cncenter.cz</v>
      </c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 t="str">
        <f ca="1">IFERROR(__xludf.DUMMYFUNCTION("""COMPUTED_VALUE"""),"desktop")</f>
        <v>desktop</v>
      </c>
      <c r="AO193" s="3"/>
      <c r="AP193" s="3"/>
      <c r="AQ193" s="3"/>
      <c r="AR193" s="3"/>
      <c r="AS193" s="3"/>
      <c r="AT193" s="3"/>
      <c r="AU193" s="3" t="str">
        <f ca="1">IFERROR(__xludf.DUMMYFUNCTION("""COMPUTED_VALUE"""),"cílený mini videospot - max. 30 sec.")</f>
        <v>cílený mini videospot - max. 30 sec.</v>
      </c>
    </row>
    <row r="194" spans="1:47" x14ac:dyDescent="0.3">
      <c r="A194" s="3">
        <f ca="1"/>
        <v>2346826</v>
      </c>
      <c r="B194" s="3" t="str">
        <f ca="1"/>
        <v>CZECH NEWS CENTER a. s.</v>
      </c>
      <c r="C194" s="3" t="str">
        <f ca="1">IFERROR(__xludf.DUMMYFUNCTION("""COMPUTED_VALUE"""),"Blesk floating")</f>
        <v>Blesk floating</v>
      </c>
      <c r="D194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4" s="3" t="str">
        <f ca="1">IFERROR(__xludf.DUMMYFUNCTION("""COMPUTED_VALUE"""),"celý web")</f>
        <v>celý web</v>
      </c>
      <c r="F194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4" s="3" t="str">
        <f ca="1">IFERROR(__xludf.DUMMYFUNCTION("""COMPUTED_VALUE"""),"cílený mobilní interscroller low season")</f>
        <v>cílený mobilní interscroller low season</v>
      </c>
      <c r="H194" s="3">
        <f ca="1">IFERROR(__xludf.DUMMYFUNCTION("""COMPUTED_VALUE"""),7)</f>
        <v>7</v>
      </c>
      <c r="I194" s="5">
        <f ca="1">IFERROR(__xludf.DUMMYFUNCTION("""COMPUTED_VALUE"""),1000)</f>
        <v>1000</v>
      </c>
      <c r="J194" s="5">
        <f ca="1">IFERROR(__xludf.DUMMYFUNCTION("""COMPUTED_VALUE"""),252)</f>
        <v>252</v>
      </c>
      <c r="K194" s="3"/>
      <c r="L194" s="3" t="str">
        <f ca="1">IFERROR(__xludf.DUMMYFUNCTION("""COMPUTED_VALUE"""),"Cost per period")</f>
        <v>Cost per period</v>
      </c>
      <c r="M194" s="3"/>
      <c r="N194" s="3"/>
      <c r="O194" s="3" t="str">
        <f ca="1">IFERROR(__xludf.DUMMYFUNCTION("""COMPUTED_VALUE"""),"600")</f>
        <v>600</v>
      </c>
      <c r="P194" s="3" t="str">
        <f ca="1">IFERROR(__xludf.DUMMYFUNCTION("""COMPUTED_VALUE"""),"1080")</f>
        <v>1080</v>
      </c>
      <c r="Q194" s="3" t="str">
        <f ca="1">IFERROR(__xludf.DUMMYFUNCTION("""COMPUTED_VALUE"""),"600x1080")</f>
        <v>600x1080</v>
      </c>
      <c r="R194" s="3"/>
      <c r="S194" s="3" t="str">
        <f ca="1">IFERROR(__xludf.DUMMYFUNCTION("""COMPUTED_VALUE"""),"200")</f>
        <v>200</v>
      </c>
      <c r="T194" s="3"/>
      <c r="U194" s="3" t="str">
        <f ca="1">IFERROR(__xludf.DUMMYFUNCTION("""COMPUTED_VALUE"""),"banner standard")</f>
        <v>banner standard</v>
      </c>
      <c r="V194" s="3"/>
      <c r="W194" s="4" t="str">
        <f ca="1">IFERROR(__xludf.DUMMYFUNCTION("""COMPUTED_VALUE"""),"https://reklama.cncenter.cz/Online/mobilni-interscroller")</f>
        <v>https://reklama.cncenter.cz/Online/mobilni-interscroller</v>
      </c>
      <c r="X194" s="3"/>
      <c r="Y194" s="3"/>
      <c r="Z194" s="3" t="str">
        <f ca="1">IFERROR(__xludf.DUMMYFUNCTION("""COMPUTED_VALUE"""),"podklady@cncenter.cz")</f>
        <v>podklady@cncenter.cz</v>
      </c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 t="str">
        <f ca="1">IFERROR(__xludf.DUMMYFUNCTION("""COMPUTED_VALUE"""),"mobile")</f>
        <v>mobile</v>
      </c>
      <c r="AO194" s="3"/>
      <c r="AP194" s="3"/>
      <c r="AQ194" s="3"/>
      <c r="AR194" s="3"/>
      <c r="AS194" s="3"/>
      <c r="AT194" s="3"/>
      <c r="AU194" s="3" t="str">
        <f ca="1">IFERROR(__xludf.DUMMYFUNCTION("""COMPUTED_VALUE"""),"cílený mobilní interscroller")</f>
        <v>cílený mobilní interscroller</v>
      </c>
    </row>
    <row r="195" spans="1:47" x14ac:dyDescent="0.3">
      <c r="A195" s="3">
        <f ca="1"/>
        <v>2346826</v>
      </c>
      <c r="B195" s="3" t="str">
        <f ca="1"/>
        <v>CZECH NEWS CENTER a. s.</v>
      </c>
      <c r="C195" s="3" t="str">
        <f ca="1">IFERROR(__xludf.DUMMYFUNCTION("""COMPUTED_VALUE"""),"Blesk floating")</f>
        <v>Blesk floating</v>
      </c>
      <c r="D195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5" s="3" t="str">
        <f ca="1">IFERROR(__xludf.DUMMYFUNCTION("""COMPUTED_VALUE"""),"celý web")</f>
        <v>celý web</v>
      </c>
      <c r="F195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5" s="3" t="str">
        <f ca="1">IFERROR(__xludf.DUMMYFUNCTION("""COMPUTED_VALUE"""),"cílený mobilní slide-up low season")</f>
        <v>cílený mobilní slide-up low season</v>
      </c>
      <c r="H195" s="3">
        <f ca="1">IFERROR(__xludf.DUMMYFUNCTION("""COMPUTED_VALUE"""),7)</f>
        <v>7</v>
      </c>
      <c r="I195" s="5">
        <f ca="1">IFERROR(__xludf.DUMMYFUNCTION("""COMPUTED_VALUE"""),1000)</f>
        <v>1000</v>
      </c>
      <c r="J195" s="5">
        <f ca="1">IFERROR(__xludf.DUMMYFUNCTION("""COMPUTED_VALUE"""),540)</f>
        <v>540</v>
      </c>
      <c r="K195" s="3"/>
      <c r="L195" s="3" t="str">
        <f ca="1">IFERROR(__xludf.DUMMYFUNCTION("""COMPUTED_VALUE"""),"Cost per period")</f>
        <v>Cost per period</v>
      </c>
      <c r="M195" s="3"/>
      <c r="N195" s="3"/>
      <c r="O195" s="3" t="str">
        <f ca="1">IFERROR(__xludf.DUMMYFUNCTION("""COMPUTED_VALUE"""),"300")</f>
        <v>300</v>
      </c>
      <c r="P195" s="3" t="str">
        <f ca="1">IFERROR(__xludf.DUMMYFUNCTION("""COMPUTED_VALUE"""),"120")</f>
        <v>120</v>
      </c>
      <c r="Q195" s="3" t="str">
        <f ca="1">IFERROR(__xludf.DUMMYFUNCTION("""COMPUTED_VALUE"""),"300x120")</f>
        <v>300x120</v>
      </c>
      <c r="R195" s="3"/>
      <c r="S195" s="3" t="str">
        <f ca="1">IFERROR(__xludf.DUMMYFUNCTION("""COMPUTED_VALUE"""),"100")</f>
        <v>100</v>
      </c>
      <c r="T195" s="3"/>
      <c r="U195" s="3" t="str">
        <f ca="1">IFERROR(__xludf.DUMMYFUNCTION("""COMPUTED_VALUE"""),"banner standard")</f>
        <v>banner standard</v>
      </c>
      <c r="V195" s="3"/>
      <c r="W195" s="4" t="str">
        <f ca="1">IFERROR(__xludf.DUMMYFUNCTION("""COMPUTED_VALUE"""),"https://reklama.cncenter.cz/Online/mobilni-slide-up")</f>
        <v>https://reklama.cncenter.cz/Online/mobilni-slide-up</v>
      </c>
      <c r="X195" s="3"/>
      <c r="Y195" s="3"/>
      <c r="Z195" s="3" t="str">
        <f ca="1">IFERROR(__xludf.DUMMYFUNCTION("""COMPUTED_VALUE"""),"podklady@cncenter.cz")</f>
        <v>podklady@cncenter.cz</v>
      </c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 t="str">
        <f ca="1">IFERROR(__xludf.DUMMYFUNCTION("""COMPUTED_VALUE"""),"mobile")</f>
        <v>mobile</v>
      </c>
      <c r="AO195" s="3"/>
      <c r="AP195" s="3"/>
      <c r="AQ195" s="3"/>
      <c r="AR195" s="3"/>
      <c r="AS195" s="3"/>
      <c r="AT195" s="3"/>
      <c r="AU195" s="3" t="str">
        <f ca="1">IFERROR(__xludf.DUMMYFUNCTION("""COMPUTED_VALUE"""),"cílený mobilní slide-up")</f>
        <v>cílený mobilní slide-up</v>
      </c>
    </row>
    <row r="196" spans="1:47" x14ac:dyDescent="0.3">
      <c r="A196" s="3">
        <f ca="1"/>
        <v>2346826</v>
      </c>
      <c r="B196" s="3" t="str">
        <f ca="1"/>
        <v>CZECH NEWS CENTER a. s.</v>
      </c>
      <c r="C196" s="3" t="str">
        <f ca="1">IFERROR(__xludf.DUMMYFUNCTION("""COMPUTED_VALUE"""),"Blesk floating")</f>
        <v>Blesk floating</v>
      </c>
      <c r="D196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6" s="3" t="str">
        <f ca="1">IFERROR(__xludf.DUMMYFUNCTION("""COMPUTED_VALUE"""),"celý web")</f>
        <v>celý web</v>
      </c>
      <c r="F196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6" s="3" t="str">
        <f ca="1">IFERROR(__xludf.DUMMYFUNCTION("""COMPUTED_VALUE"""),"cílený mobilní viněta low season")</f>
        <v>cílený mobilní viněta low season</v>
      </c>
      <c r="H196" s="3">
        <f ca="1">IFERROR(__xludf.DUMMYFUNCTION("""COMPUTED_VALUE"""),7)</f>
        <v>7</v>
      </c>
      <c r="I196" s="5">
        <f ca="1">IFERROR(__xludf.DUMMYFUNCTION("""COMPUTED_VALUE"""),1000)</f>
        <v>1000</v>
      </c>
      <c r="J196" s="5">
        <f ca="1">IFERROR(__xludf.DUMMYFUNCTION("""COMPUTED_VALUE"""),720)</f>
        <v>720</v>
      </c>
      <c r="K196" s="3"/>
      <c r="L196" s="3" t="str">
        <f ca="1">IFERROR(__xludf.DUMMYFUNCTION("""COMPUTED_VALUE"""),"Cost per period")</f>
        <v>Cost per period</v>
      </c>
      <c r="M196" s="3"/>
      <c r="N196" s="3"/>
      <c r="O196" s="3" t="str">
        <f ca="1">IFERROR(__xludf.DUMMYFUNCTION("""COMPUTED_VALUE"""),"600")</f>
        <v>600</v>
      </c>
      <c r="P196" s="3" t="str">
        <f ca="1">IFERROR(__xludf.DUMMYFUNCTION("""COMPUTED_VALUE"""),"800")</f>
        <v>800</v>
      </c>
      <c r="Q196" s="3" t="str">
        <f ca="1">IFERROR(__xludf.DUMMYFUNCTION("""COMPUTED_VALUE"""),"300x250 nebo 600x800")</f>
        <v>300x250 nebo 600x800</v>
      </c>
      <c r="R196" s="3"/>
      <c r="S196" s="3" t="str">
        <f ca="1">IFERROR(__xludf.DUMMYFUNCTION("""COMPUTED_VALUE"""),"100")</f>
        <v>100</v>
      </c>
      <c r="T196" s="3"/>
      <c r="U196" s="3" t="str">
        <f ca="1">IFERROR(__xludf.DUMMYFUNCTION("""COMPUTED_VALUE"""),"banner standard")</f>
        <v>banner standard</v>
      </c>
      <c r="V196" s="3"/>
      <c r="W196" s="4" t="str">
        <f ca="1">IFERROR(__xludf.DUMMYFUNCTION("""COMPUTED_VALUE"""),"https://reklama.cncenter.cz/Online/mobilni-vineta")</f>
        <v>https://reklama.cncenter.cz/Online/mobilni-vineta</v>
      </c>
      <c r="X196" s="3"/>
      <c r="Y196" s="3"/>
      <c r="Z196" s="3" t="str">
        <f ca="1">IFERROR(__xludf.DUMMYFUNCTION("""COMPUTED_VALUE"""),"podklady@cncenter.cz")</f>
        <v>podklady@cncenter.cz</v>
      </c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 t="str">
        <f ca="1">IFERROR(__xludf.DUMMYFUNCTION("""COMPUTED_VALUE"""),"mobile")</f>
        <v>mobile</v>
      </c>
      <c r="AO196" s="3"/>
      <c r="AP196" s="3"/>
      <c r="AQ196" s="3"/>
      <c r="AR196" s="3"/>
      <c r="AS196" s="3"/>
      <c r="AT196" s="3"/>
      <c r="AU196" s="3" t="str">
        <f ca="1">IFERROR(__xludf.DUMMYFUNCTION("""COMPUTED_VALUE"""),"cílený mobilní viněta")</f>
        <v>cílený mobilní viněta</v>
      </c>
    </row>
    <row r="197" spans="1:47" x14ac:dyDescent="0.3">
      <c r="A197" s="3">
        <f ca="1"/>
        <v>2346826</v>
      </c>
      <c r="B197" s="3" t="str">
        <f ca="1"/>
        <v>CZECH NEWS CENTER a. s.</v>
      </c>
      <c r="C197" s="3" t="str">
        <f ca="1">IFERROR(__xludf.DUMMYFUNCTION("""COMPUTED_VALUE"""),"Blesk floating")</f>
        <v>Blesk floating</v>
      </c>
      <c r="D197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7" s="3" t="str">
        <f ca="1">IFERROR(__xludf.DUMMYFUNCTION("""COMPUTED_VALUE"""),"celý web")</f>
        <v>celý web</v>
      </c>
      <c r="F197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7" s="3" t="str">
        <f ca="1">IFERROR(__xludf.DUMMYFUNCTION("""COMPUTED_VALUE"""),"cílený nativní rectangle cross-device low season")</f>
        <v>cílený nativní rectangle cross-device low season</v>
      </c>
      <c r="H197" s="3">
        <f ca="1">IFERROR(__xludf.DUMMYFUNCTION("""COMPUTED_VALUE"""),7)</f>
        <v>7</v>
      </c>
      <c r="I197" s="5">
        <f ca="1">IFERROR(__xludf.DUMMYFUNCTION("""COMPUTED_VALUE"""),1000)</f>
        <v>1000</v>
      </c>
      <c r="J197" s="5">
        <f ca="1">IFERROR(__xludf.DUMMYFUNCTION("""COMPUTED_VALUE"""),216)</f>
        <v>216</v>
      </c>
      <c r="K197" s="3"/>
      <c r="L197" s="3" t="str">
        <f ca="1">IFERROR(__xludf.DUMMYFUNCTION("""COMPUTED_VALUE"""),"Cost per period")</f>
        <v>Cost per period</v>
      </c>
      <c r="M197" s="3"/>
      <c r="N197" s="3"/>
      <c r="O197" s="3" t="str">
        <f ca="1">IFERROR(__xludf.DUMMYFUNCTION("""COMPUTED_VALUE"""),"640")</f>
        <v>640</v>
      </c>
      <c r="P197" s="3" t="str">
        <f ca="1">IFERROR(__xludf.DUMMYFUNCTION("""COMPUTED_VALUE"""),"335, 640")</f>
        <v>335, 640</v>
      </c>
      <c r="Q197" s="3" t="str">
        <f ca="1">IFERROR(__xludf.DUMMYFUNCTION("""COMPUTED_VALUE"""),"640x640 a 640x335 + text + logo")</f>
        <v>640x640 a 640x335 + text + logo</v>
      </c>
      <c r="R197" s="3"/>
      <c r="S197" s="3" t="str">
        <f ca="1">IFERROR(__xludf.DUMMYFUNCTION("""COMPUTED_VALUE"""),"45")</f>
        <v>45</v>
      </c>
      <c r="T197" s="3"/>
      <c r="U197" s="3" t="str">
        <f ca="1">IFERROR(__xludf.DUMMYFUNCTION("""COMPUTED_VALUE"""),"nativní reklama")</f>
        <v>nativní reklama</v>
      </c>
      <c r="V197" s="3"/>
      <c r="W197" s="4" t="str">
        <f ca="1">IFERROR(__xludf.DUMMYFUNCTION("""COMPUTED_VALUE"""),"https://reklama.cncenter.cz/Online/nativni-rectangle-cross-device")</f>
        <v>https://reklama.cncenter.cz/Online/nativni-rectangle-cross-device</v>
      </c>
      <c r="X197" s="3"/>
      <c r="Y197" s="3"/>
      <c r="Z197" s="3" t="str">
        <f ca="1">IFERROR(__xludf.DUMMYFUNCTION("""COMPUTED_VALUE"""),"podklady@cncenter.cz")</f>
        <v>podklady@cncenter.cz</v>
      </c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 t="str">
        <f ca="1">IFERROR(__xludf.DUMMYFUNCTION("""COMPUTED_VALUE"""),"cross-device")</f>
        <v>cross-device</v>
      </c>
      <c r="AO197" s="3"/>
      <c r="AP197" s="3"/>
      <c r="AQ197" s="3"/>
      <c r="AR197" s="3"/>
      <c r="AS197" s="3"/>
      <c r="AT197" s="3"/>
      <c r="AU197" s="3" t="str">
        <f ca="1">IFERROR(__xludf.DUMMYFUNCTION("""COMPUTED_VALUE"""),"cílený nativní rectangle cross-device")</f>
        <v>cílený nativní rectangle cross-device</v>
      </c>
    </row>
    <row r="198" spans="1:47" x14ac:dyDescent="0.3">
      <c r="A198" s="3">
        <f ca="1"/>
        <v>2346826</v>
      </c>
      <c r="B198" s="3" t="str">
        <f ca="1"/>
        <v>CZECH NEWS CENTER a. s.</v>
      </c>
      <c r="C198" s="3" t="str">
        <f ca="1">IFERROR(__xludf.DUMMYFUNCTION("""COMPUTED_VALUE"""),"Blesk floating")</f>
        <v>Blesk floating</v>
      </c>
      <c r="D198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8" s="3" t="str">
        <f ca="1">IFERROR(__xludf.DUMMYFUNCTION("""COMPUTED_VALUE"""),"celý web")</f>
        <v>celý web</v>
      </c>
      <c r="F198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8" s="3" t="str">
        <f ca="1">IFERROR(__xludf.DUMMYFUNCTION("""COMPUTED_VALUE"""),"cílený outstream low season")</f>
        <v>cílený outstream low season</v>
      </c>
      <c r="H198" s="3">
        <f ca="1">IFERROR(__xludf.DUMMYFUNCTION("""COMPUTED_VALUE"""),7)</f>
        <v>7</v>
      </c>
      <c r="I198" s="5">
        <f ca="1">IFERROR(__xludf.DUMMYFUNCTION("""COMPUTED_VALUE"""),1000)</f>
        <v>1000</v>
      </c>
      <c r="J198" s="5">
        <f ca="1">IFERROR(__xludf.DUMMYFUNCTION("""COMPUTED_VALUE"""),276)</f>
        <v>276</v>
      </c>
      <c r="K198" s="3"/>
      <c r="L198" s="3" t="str">
        <f ca="1">IFERROR(__xludf.DUMMYFUNCTION("""COMPUTED_VALUE"""),"Cost per period")</f>
        <v>Cost per period</v>
      </c>
      <c r="M198" s="3"/>
      <c r="N198" s="3"/>
      <c r="O198" s="3" t="str">
        <f ca="1">IFERROR(__xludf.DUMMYFUNCTION("""COMPUTED_VALUE"""),"1280")</f>
        <v>1280</v>
      </c>
      <c r="P198" s="3" t="str">
        <f ca="1">IFERROR(__xludf.DUMMYFUNCTION("""COMPUTED_VALUE"""),"720")</f>
        <v>720</v>
      </c>
      <c r="Q198" s="3" t="str">
        <f ca="1">IFERROR(__xludf.DUMMYFUNCTION("""COMPUTED_VALUE"""),"16:9")</f>
        <v>16:9</v>
      </c>
      <c r="R198" s="3"/>
      <c r="S198" s="3" t="str">
        <f ca="1">IFERROR(__xludf.DUMMYFUNCTION("""COMPUTED_VALUE"""),"100")</f>
        <v>100</v>
      </c>
      <c r="T198" s="3"/>
      <c r="U198" s="3" t="str">
        <f ca="1">IFERROR(__xludf.DUMMYFUNCTION("""COMPUTED_VALUE"""),"videospot")</f>
        <v>videospot</v>
      </c>
      <c r="V198" s="3"/>
      <c r="W198" s="4" t="str">
        <f ca="1">IFERROR(__xludf.DUMMYFUNCTION("""COMPUTED_VALUE"""),"https://reklama.cncenter.cz/Online/Outstream")</f>
        <v>https://reklama.cncenter.cz/Online/Outstream</v>
      </c>
      <c r="X198" s="3"/>
      <c r="Y198" s="3"/>
      <c r="Z198" s="3" t="str">
        <f ca="1">IFERROR(__xludf.DUMMYFUNCTION("""COMPUTED_VALUE"""),"podklady@cncenter.cz")</f>
        <v>podklady@cncenter.cz</v>
      </c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 t="str">
        <f ca="1">IFERROR(__xludf.DUMMYFUNCTION("""COMPUTED_VALUE"""),"cross-device")</f>
        <v>cross-device</v>
      </c>
      <c r="AO198" s="3"/>
      <c r="AP198" s="3"/>
      <c r="AQ198" s="3"/>
      <c r="AR198" s="3"/>
      <c r="AS198" s="3"/>
      <c r="AT198" s="3"/>
      <c r="AU198" s="3" t="str">
        <f ca="1">IFERROR(__xludf.DUMMYFUNCTION("""COMPUTED_VALUE"""),"cílený outstream")</f>
        <v>cílený outstream</v>
      </c>
    </row>
    <row r="199" spans="1:47" x14ac:dyDescent="0.3">
      <c r="A199" s="3">
        <f ca="1"/>
        <v>2346826</v>
      </c>
      <c r="B199" s="3" t="str">
        <f ca="1"/>
        <v>CZECH NEWS CENTER a. s.</v>
      </c>
      <c r="C199" s="3" t="str">
        <f ca="1">IFERROR(__xludf.DUMMYFUNCTION("""COMPUTED_VALUE"""),"Blesk floating")</f>
        <v>Blesk floating</v>
      </c>
      <c r="D199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9" s="3" t="str">
        <f ca="1">IFERROR(__xludf.DUMMYFUNCTION("""COMPUTED_VALUE"""),"celý web")</f>
        <v>celý web</v>
      </c>
      <c r="F199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9" s="3" t="str">
        <f ca="1">IFERROR(__xludf.DUMMYFUNCTION("""COMPUTED_VALUE"""),"cílený Smarticle low season")</f>
        <v>cílený Smarticle low season</v>
      </c>
      <c r="H199" s="3">
        <f ca="1">IFERROR(__xludf.DUMMYFUNCTION("""COMPUTED_VALUE"""),7)</f>
        <v>7</v>
      </c>
      <c r="I199" s="5">
        <f ca="1">IFERROR(__xludf.DUMMYFUNCTION("""COMPUTED_VALUE"""),1000)</f>
        <v>1000</v>
      </c>
      <c r="J199" s="5">
        <f ca="1">IFERROR(__xludf.DUMMYFUNCTION("""COMPUTED_VALUE"""),240)</f>
        <v>240</v>
      </c>
      <c r="K199" s="3"/>
      <c r="L199" s="3" t="str">
        <f ca="1">IFERROR(__xludf.DUMMYFUNCTION("""COMPUTED_VALUE"""),"Cost per period")</f>
        <v>Cost per period</v>
      </c>
      <c r="M199" s="3"/>
      <c r="N199" s="3" t="str">
        <f ca="1">IFERROR(__xludf.DUMMYFUNCTION("""COMPUTED_VALUE"""),"A4")</f>
        <v>A4</v>
      </c>
      <c r="O199" s="3"/>
      <c r="P199" s="3"/>
      <c r="Q199" s="3" t="str">
        <f ca="1">IFERROR(__xludf.DUMMYFUNCTION("""COMPUTED_VALUE"""),"viz. tech.specifikace; HP + sekce")</f>
        <v>viz. tech.specifikace; HP + sekce</v>
      </c>
      <c r="R199" s="3" t="str">
        <f ca="1">IFERROR(__xludf.DUMMYFUNCTION("""COMPUTED_VALUE"""),"HP + sekce")</f>
        <v>HP + sekce</v>
      </c>
      <c r="S199" s="3" t="str">
        <f ca="1">IFERROR(__xludf.DUMMYFUNCTION("""COMPUTED_VALUE"""),"100")</f>
        <v>100</v>
      </c>
      <c r="T199" s="3"/>
      <c r="U199" s="3" t="str">
        <f ca="1">IFERROR(__xludf.DUMMYFUNCTION("""COMPUTED_VALUE"""),"pr článek")</f>
        <v>pr článek</v>
      </c>
      <c r="V199" s="3"/>
      <c r="W199" s="4" t="str">
        <f ca="1">IFERROR(__xludf.DUMMYFUNCTION("""COMPUTED_VALUE"""),"https://reklama.cncenter.cz/Online/Smarticle")</f>
        <v>https://reklama.cncenter.cz/Online/Smarticle</v>
      </c>
      <c r="X199" s="3"/>
      <c r="Y199" s="3"/>
      <c r="Z199" s="3" t="str">
        <f ca="1">IFERROR(__xludf.DUMMYFUNCTION("""COMPUTED_VALUE"""),"podklady@cncenter.cz")</f>
        <v>podklady@cncenter.cz</v>
      </c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 t="str">
        <f ca="1">IFERROR(__xludf.DUMMYFUNCTION("""COMPUTED_VALUE"""),"cross-device")</f>
        <v>cross-device</v>
      </c>
      <c r="AO199" s="3"/>
      <c r="AP199" s="3"/>
      <c r="AQ199" s="3"/>
      <c r="AR199" s="3"/>
      <c r="AS199" s="3"/>
      <c r="AT199" s="3"/>
      <c r="AU199" s="3" t="str">
        <f ca="1">IFERROR(__xludf.DUMMYFUNCTION("""COMPUTED_VALUE"""),"cílený Smarticle")</f>
        <v>cílený Smarticle</v>
      </c>
    </row>
    <row r="200" spans="1:47" x14ac:dyDescent="0.3">
      <c r="A200" s="3">
        <f ca="1"/>
        <v>2346826</v>
      </c>
      <c r="B200" s="3" t="str">
        <f ca="1"/>
        <v>CZECH NEWS CENTER a. s.</v>
      </c>
      <c r="C200" s="3" t="str">
        <f ca="1">IFERROR(__xludf.DUMMYFUNCTION("""COMPUTED_VALUE"""),"Blesk floating")</f>
        <v>Blesk floating</v>
      </c>
      <c r="D200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0" s="3" t="str">
        <f ca="1">IFERROR(__xludf.DUMMYFUNCTION("""COMPUTED_VALUE"""),"celý web")</f>
        <v>celý web</v>
      </c>
      <c r="F200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0" s="3" t="str">
        <f ca="1">IFERROR(__xludf.DUMMYFUNCTION("""COMPUTED_VALUE"""),"cílený videospot - max. 30 sec. / bumper low season")</f>
        <v>cílený videospot - max. 30 sec. / bumper low season</v>
      </c>
      <c r="H200" s="3">
        <f ca="1">IFERROR(__xludf.DUMMYFUNCTION("""COMPUTED_VALUE"""),7)</f>
        <v>7</v>
      </c>
      <c r="I200" s="5">
        <f ca="1">IFERROR(__xludf.DUMMYFUNCTION("""COMPUTED_VALUE"""),1000)</f>
        <v>1000</v>
      </c>
      <c r="J200" s="5">
        <f ca="1">IFERROR(__xludf.DUMMYFUNCTION("""COMPUTED_VALUE"""),852)</f>
        <v>852</v>
      </c>
      <c r="K200" s="3"/>
      <c r="L200" s="3" t="str">
        <f ca="1">IFERROR(__xludf.DUMMYFUNCTION("""COMPUTED_VALUE"""),"Cost per period")</f>
        <v>Cost per period</v>
      </c>
      <c r="M200" s="3"/>
      <c r="N200" s="3"/>
      <c r="O200" s="3" t="str">
        <f ca="1">IFERROR(__xludf.DUMMYFUNCTION("""COMPUTED_VALUE"""),"1280")</f>
        <v>1280</v>
      </c>
      <c r="P200" s="3" t="str">
        <f ca="1">IFERROR(__xludf.DUMMYFUNCTION("""COMPUTED_VALUE"""),"720")</f>
        <v>720</v>
      </c>
      <c r="Q200" s="3" t="str">
        <f ca="1">IFERROR(__xludf.DUMMYFUNCTION("""COMPUTED_VALUE"""),"16:9 / umístění po domluvě dle možností")</f>
        <v>16:9 / umístění po domluvě dle možností</v>
      </c>
      <c r="R200" s="3" t="str">
        <f ca="1">IFERROR(__xludf.DUMMYFUNCTION("""COMPUTED_VALUE"""),"přeskočení po 7 sekundách")</f>
        <v>přeskočení po 7 sekundách</v>
      </c>
      <c r="S200" s="3" t="str">
        <f ca="1">IFERROR(__xludf.DUMMYFUNCTION("""COMPUTED_VALUE"""),"100")</f>
        <v>100</v>
      </c>
      <c r="T200" s="3"/>
      <c r="U200" s="3" t="str">
        <f ca="1">IFERROR(__xludf.DUMMYFUNCTION("""COMPUTED_VALUE"""),"videospot")</f>
        <v>videospot</v>
      </c>
      <c r="V200" s="3"/>
      <c r="W200" s="4" t="str">
        <f ca="1">IFERROR(__xludf.DUMMYFUNCTION("""COMPUTED_VALUE"""),"https://reklama.cncenter.cz/Online/Bumper")</f>
        <v>https://reklama.cncenter.cz/Online/Bumper</v>
      </c>
      <c r="X200" s="3"/>
      <c r="Y200" s="3"/>
      <c r="Z200" s="3" t="str">
        <f ca="1">IFERROR(__xludf.DUMMYFUNCTION("""COMPUTED_VALUE"""),"podklady@cncenter.cz")</f>
        <v>podklady@cncenter.cz</v>
      </c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 t="str">
        <f ca="1">IFERROR(__xludf.DUMMYFUNCTION("""COMPUTED_VALUE"""),"cross-device")</f>
        <v>cross-device</v>
      </c>
      <c r="AO200" s="3"/>
      <c r="AP200" s="3"/>
      <c r="AQ200" s="3"/>
      <c r="AR200" s="3"/>
      <c r="AS200" s="3"/>
      <c r="AT200" s="3"/>
      <c r="AU200" s="3" t="str">
        <f ca="1">IFERROR(__xludf.DUMMYFUNCTION("""COMPUTED_VALUE"""),"cílený videospot - max. 30 sec. / bumper")</f>
        <v>cílený videospot - max. 30 sec. / bumper</v>
      </c>
    </row>
    <row r="201" spans="1:47" x14ac:dyDescent="0.3">
      <c r="A201" s="3">
        <f ca="1"/>
        <v>2346826</v>
      </c>
      <c r="B201" s="3" t="str">
        <f ca="1"/>
        <v>CZECH NEWS CENTER a. s.</v>
      </c>
      <c r="C201" s="3" t="str">
        <f ca="1">IFERROR(__xludf.DUMMYFUNCTION("""COMPUTED_VALUE"""),"Blesk floating")</f>
        <v>Blesk floating</v>
      </c>
      <c r="D201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1" s="3" t="str">
        <f ca="1">IFERROR(__xludf.DUMMYFUNCTION("""COMPUTED_VALUE"""),"celý web")</f>
        <v>celý web</v>
      </c>
      <c r="F201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1" s="3" t="str">
        <f ca="1">IFERROR(__xludf.DUMMYFUNCTION("""COMPUTED_VALUE"""),"double skyscraper low season")</f>
        <v>double skyscraper low season</v>
      </c>
      <c r="H201" s="3">
        <f ca="1">IFERROR(__xludf.DUMMYFUNCTION("""COMPUTED_VALUE"""),7)</f>
        <v>7</v>
      </c>
      <c r="I201" s="5">
        <f ca="1">IFERROR(__xludf.DUMMYFUNCTION("""COMPUTED_VALUE"""),1000)</f>
        <v>1000</v>
      </c>
      <c r="J201" s="5">
        <f ca="1">IFERROR(__xludf.DUMMYFUNCTION("""COMPUTED_VALUE"""),160)</f>
        <v>160</v>
      </c>
      <c r="K201" s="3"/>
      <c r="L201" s="3" t="str">
        <f ca="1">IFERROR(__xludf.DUMMYFUNCTION("""COMPUTED_VALUE"""),"Cost per period")</f>
        <v>Cost per period</v>
      </c>
      <c r="M201" s="3"/>
      <c r="N201" s="3"/>
      <c r="O201" s="3" t="str">
        <f ca="1">IFERROR(__xludf.DUMMYFUNCTION("""COMPUTED_VALUE"""),"300")</f>
        <v>300</v>
      </c>
      <c r="P201" s="3" t="str">
        <f ca="1">IFERROR(__xludf.DUMMYFUNCTION("""COMPUTED_VALUE"""),"600")</f>
        <v>600</v>
      </c>
      <c r="Q201" s="3" t="str">
        <f ca="1">IFERROR(__xludf.DUMMYFUNCTION("""COMPUTED_VALUE"""),"300x600")</f>
        <v>300x600</v>
      </c>
      <c r="R201" s="3"/>
      <c r="S201" s="3" t="str">
        <f ca="1">IFERROR(__xludf.DUMMYFUNCTION("""COMPUTED_VALUE"""),"100 (200 - HTML5)")</f>
        <v>100 (200 - HTML5)</v>
      </c>
      <c r="T201" s="3"/>
      <c r="U201" s="3" t="str">
        <f ca="1">IFERROR(__xludf.DUMMYFUNCTION("""COMPUTED_VALUE"""),"banner standard")</f>
        <v>banner standard</v>
      </c>
      <c r="V201" s="3"/>
      <c r="W201" s="4" t="str">
        <f ca="1">IFERROR(__xludf.DUMMYFUNCTION("""COMPUTED_VALUE"""),"https://reklama.cncenter.cz/Online/double-skyscraper")</f>
        <v>https://reklama.cncenter.cz/Online/double-skyscraper</v>
      </c>
      <c r="X201" s="3"/>
      <c r="Y201" s="3"/>
      <c r="Z201" s="3" t="str">
        <f ca="1">IFERROR(__xludf.DUMMYFUNCTION("""COMPUTED_VALUE"""),"podklady@cncenter.cz")</f>
        <v>podklady@cncenter.cz</v>
      </c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 t="str">
        <f ca="1">IFERROR(__xludf.DUMMYFUNCTION("""COMPUTED_VALUE"""),"desktop")</f>
        <v>desktop</v>
      </c>
      <c r="AO201" s="3"/>
      <c r="AP201" s="3"/>
      <c r="AQ201" s="3"/>
      <c r="AR201" s="3"/>
      <c r="AS201" s="3"/>
      <c r="AT201" s="3"/>
      <c r="AU201" s="3" t="str">
        <f ca="1">IFERROR(__xludf.DUMMYFUNCTION("""COMPUTED_VALUE"""),"double skyscraper")</f>
        <v>double skyscraper</v>
      </c>
    </row>
    <row r="202" spans="1:47" x14ac:dyDescent="0.3">
      <c r="A202" s="3">
        <f ca="1"/>
        <v>2346826</v>
      </c>
      <c r="B202" s="3" t="str">
        <f ca="1"/>
        <v>CZECH NEWS CENTER a. s.</v>
      </c>
      <c r="C202" s="3" t="str">
        <f ca="1">IFERROR(__xludf.DUMMYFUNCTION("""COMPUTED_VALUE"""),"Blesk floating")</f>
        <v>Blesk floating</v>
      </c>
      <c r="D202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2" s="3" t="str">
        <f ca="1">IFERROR(__xludf.DUMMYFUNCTION("""COMPUTED_VALUE"""),"celý web")</f>
        <v>celý web</v>
      </c>
      <c r="F202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2" s="3" t="str">
        <f ca="1">IFERROR(__xludf.DUMMYFUNCTION("""COMPUTED_VALUE"""),"mini videospot - max. 30 sec. low season")</f>
        <v>mini videospot - max. 30 sec. low season</v>
      </c>
      <c r="H202" s="3">
        <f ca="1">IFERROR(__xludf.DUMMYFUNCTION("""COMPUTED_VALUE"""),7)</f>
        <v>7</v>
      </c>
      <c r="I202" s="5">
        <f ca="1">IFERROR(__xludf.DUMMYFUNCTION("""COMPUTED_VALUE"""),1000)</f>
        <v>1000</v>
      </c>
      <c r="J202" s="5">
        <f ca="1">IFERROR(__xludf.DUMMYFUNCTION("""COMPUTED_VALUE"""),160)</f>
        <v>160</v>
      </c>
      <c r="K202" s="3"/>
      <c r="L202" s="3" t="str">
        <f ca="1">IFERROR(__xludf.DUMMYFUNCTION("""COMPUTED_VALUE"""),"Cost per period")</f>
        <v>Cost per period</v>
      </c>
      <c r="M202" s="3"/>
      <c r="N202" s="3"/>
      <c r="O202" s="3"/>
      <c r="P202" s="3"/>
      <c r="Q202" s="3" t="str">
        <f ca="1">IFERROR(__xludf.DUMMYFUNCTION("""COMPUTED_VALUE"""),"16:9 / umístění po domluvě dle možností")</f>
        <v>16:9 / umístění po domluvě dle možností</v>
      </c>
      <c r="R202" s="3" t="str">
        <f ca="1">IFERROR(__xludf.DUMMYFUNCTION("""COMPUTED_VALUE"""),"přeskočení po 7 sekundách")</f>
        <v>přeskočení po 7 sekundách</v>
      </c>
      <c r="S202" s="3" t="str">
        <f ca="1">IFERROR(__xludf.DUMMYFUNCTION("""COMPUTED_VALUE"""),"100")</f>
        <v>100</v>
      </c>
      <c r="T202" s="3"/>
      <c r="U202" s="3" t="str">
        <f ca="1">IFERROR(__xludf.DUMMYFUNCTION("""COMPUTED_VALUE"""),"videospot")</f>
        <v>videospot</v>
      </c>
      <c r="V202" s="3"/>
      <c r="W202" s="4" t="str">
        <f ca="1">IFERROR(__xludf.DUMMYFUNCTION("""COMPUTED_VALUE"""),"https://reklama.cncenter.cz/Online/Videospot")</f>
        <v>https://reklama.cncenter.cz/Online/Videospot</v>
      </c>
      <c r="X202" s="3"/>
      <c r="Y202" s="3"/>
      <c r="Z202" s="3" t="str">
        <f ca="1">IFERROR(__xludf.DUMMYFUNCTION("""COMPUTED_VALUE"""),"podklady@cncenter.cz")</f>
        <v>podklady@cncenter.cz</v>
      </c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 t="str">
        <f ca="1">IFERROR(__xludf.DUMMYFUNCTION("""COMPUTED_VALUE"""),"desktop")</f>
        <v>desktop</v>
      </c>
      <c r="AO202" s="3"/>
      <c r="AP202" s="3"/>
      <c r="AQ202" s="3"/>
      <c r="AR202" s="3"/>
      <c r="AS202" s="3"/>
      <c r="AT202" s="3"/>
      <c r="AU202" s="3" t="str">
        <f ca="1">IFERROR(__xludf.DUMMYFUNCTION("""COMPUTED_VALUE"""),"mini videospot - max. 30 sec.")</f>
        <v>mini videospot - max. 30 sec.</v>
      </c>
    </row>
    <row r="203" spans="1:47" x14ac:dyDescent="0.3">
      <c r="A203" s="3">
        <f ca="1"/>
        <v>2346826</v>
      </c>
      <c r="B203" s="3" t="str">
        <f ca="1"/>
        <v>CZECH NEWS CENTER a. s.</v>
      </c>
      <c r="C203" s="3" t="str">
        <f ca="1">IFERROR(__xludf.DUMMYFUNCTION("""COMPUTED_VALUE"""),"Blesk floating")</f>
        <v>Blesk floating</v>
      </c>
      <c r="D203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3" s="3" t="str">
        <f ca="1">IFERROR(__xludf.DUMMYFUNCTION("""COMPUTED_VALUE"""),"celý web")</f>
        <v>celý web</v>
      </c>
      <c r="F203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3" s="3" t="str">
        <f ca="1">IFERROR(__xludf.DUMMYFUNCTION("""COMPUTED_VALUE"""),"mobilní interscroller low season")</f>
        <v>mobilní interscroller low season</v>
      </c>
      <c r="H203" s="3">
        <f ca="1">IFERROR(__xludf.DUMMYFUNCTION("""COMPUTED_VALUE"""),7)</f>
        <v>7</v>
      </c>
      <c r="I203" s="5">
        <f ca="1">IFERROR(__xludf.DUMMYFUNCTION("""COMPUTED_VALUE"""),1000)</f>
        <v>1000</v>
      </c>
      <c r="J203" s="5">
        <f ca="1">IFERROR(__xludf.DUMMYFUNCTION("""COMPUTED_VALUE"""),210)</f>
        <v>210</v>
      </c>
      <c r="K203" s="3"/>
      <c r="L203" s="3" t="str">
        <f ca="1">IFERROR(__xludf.DUMMYFUNCTION("""COMPUTED_VALUE"""),"Cost per period")</f>
        <v>Cost per period</v>
      </c>
      <c r="M203" s="3"/>
      <c r="N203" s="3"/>
      <c r="O203" s="3" t="str">
        <f ca="1">IFERROR(__xludf.DUMMYFUNCTION("""COMPUTED_VALUE"""),"600")</f>
        <v>600</v>
      </c>
      <c r="P203" s="3" t="str">
        <f ca="1">IFERROR(__xludf.DUMMYFUNCTION("""COMPUTED_VALUE"""),"1080")</f>
        <v>1080</v>
      </c>
      <c r="Q203" s="3" t="str">
        <f ca="1">IFERROR(__xludf.DUMMYFUNCTION("""COMPUTED_VALUE"""),"600x1080")</f>
        <v>600x1080</v>
      </c>
      <c r="R203" s="3"/>
      <c r="S203" s="3" t="str">
        <f ca="1">IFERROR(__xludf.DUMMYFUNCTION("""COMPUTED_VALUE"""),"200")</f>
        <v>200</v>
      </c>
      <c r="T203" s="3"/>
      <c r="U203" s="3" t="str">
        <f ca="1">IFERROR(__xludf.DUMMYFUNCTION("""COMPUTED_VALUE"""),"banner standard")</f>
        <v>banner standard</v>
      </c>
      <c r="V203" s="3"/>
      <c r="W203" s="4" t="str">
        <f ca="1">IFERROR(__xludf.DUMMYFUNCTION("""COMPUTED_VALUE"""),"https://reklama.cncenter.cz/Online/mobilni-interscroller")</f>
        <v>https://reklama.cncenter.cz/Online/mobilni-interscroller</v>
      </c>
      <c r="X203" s="3"/>
      <c r="Y203" s="3"/>
      <c r="Z203" s="3" t="str">
        <f ca="1">IFERROR(__xludf.DUMMYFUNCTION("""COMPUTED_VALUE"""),"podklady@cncenter.cz")</f>
        <v>podklady@cncenter.cz</v>
      </c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 t="str">
        <f ca="1">IFERROR(__xludf.DUMMYFUNCTION("""COMPUTED_VALUE"""),"mobile")</f>
        <v>mobile</v>
      </c>
      <c r="AO203" s="3"/>
      <c r="AP203" s="3"/>
      <c r="AQ203" s="3"/>
      <c r="AR203" s="3"/>
      <c r="AS203" s="3"/>
      <c r="AT203" s="3"/>
      <c r="AU203" s="3" t="str">
        <f ca="1">IFERROR(__xludf.DUMMYFUNCTION("""COMPUTED_VALUE"""),"mobilní interscroller")</f>
        <v>mobilní interscroller</v>
      </c>
    </row>
    <row r="204" spans="1:47" x14ac:dyDescent="0.3">
      <c r="A204" s="3">
        <f ca="1"/>
        <v>2346826</v>
      </c>
      <c r="B204" s="3" t="str">
        <f ca="1"/>
        <v>CZECH NEWS CENTER a. s.</v>
      </c>
      <c r="C204" s="3" t="str">
        <f ca="1">IFERROR(__xludf.DUMMYFUNCTION("""COMPUTED_VALUE"""),"Blesk floating")</f>
        <v>Blesk floating</v>
      </c>
      <c r="D204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4" s="3" t="str">
        <f ca="1">IFERROR(__xludf.DUMMYFUNCTION("""COMPUTED_VALUE"""),"celý web")</f>
        <v>celý web</v>
      </c>
      <c r="F204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4" s="3" t="str">
        <f ca="1">IFERROR(__xludf.DUMMYFUNCTION("""COMPUTED_VALUE"""),"mobilní slide-up low season")</f>
        <v>mobilní slide-up low season</v>
      </c>
      <c r="H204" s="3">
        <f ca="1">IFERROR(__xludf.DUMMYFUNCTION("""COMPUTED_VALUE"""),7)</f>
        <v>7</v>
      </c>
      <c r="I204" s="5">
        <f ca="1">IFERROR(__xludf.DUMMYFUNCTION("""COMPUTED_VALUE"""),1000)</f>
        <v>1000</v>
      </c>
      <c r="J204" s="5">
        <f ca="1">IFERROR(__xludf.DUMMYFUNCTION("""COMPUTED_VALUE"""),450)</f>
        <v>450</v>
      </c>
      <c r="K204" s="3"/>
      <c r="L204" s="3" t="str">
        <f ca="1">IFERROR(__xludf.DUMMYFUNCTION("""COMPUTED_VALUE"""),"Cost per period")</f>
        <v>Cost per period</v>
      </c>
      <c r="M204" s="3"/>
      <c r="N204" s="3"/>
      <c r="O204" s="3" t="str">
        <f ca="1">IFERROR(__xludf.DUMMYFUNCTION("""COMPUTED_VALUE"""),"300")</f>
        <v>300</v>
      </c>
      <c r="P204" s="3" t="str">
        <f ca="1">IFERROR(__xludf.DUMMYFUNCTION("""COMPUTED_VALUE"""),"120")</f>
        <v>120</v>
      </c>
      <c r="Q204" s="3" t="str">
        <f ca="1">IFERROR(__xludf.DUMMYFUNCTION("""COMPUTED_VALUE"""),"300x120")</f>
        <v>300x120</v>
      </c>
      <c r="R204" s="3"/>
      <c r="S204" s="3" t="str">
        <f ca="1">IFERROR(__xludf.DUMMYFUNCTION("""COMPUTED_VALUE"""),"100")</f>
        <v>100</v>
      </c>
      <c r="T204" s="3"/>
      <c r="U204" s="3" t="str">
        <f ca="1">IFERROR(__xludf.DUMMYFUNCTION("""COMPUTED_VALUE"""),"banner standard")</f>
        <v>banner standard</v>
      </c>
      <c r="V204" s="3"/>
      <c r="W204" s="4" t="str">
        <f ca="1">IFERROR(__xludf.DUMMYFUNCTION("""COMPUTED_VALUE"""),"https://reklama.cncenter.cz/Online/mobilni-slide-up")</f>
        <v>https://reklama.cncenter.cz/Online/mobilni-slide-up</v>
      </c>
      <c r="X204" s="3"/>
      <c r="Y204" s="3"/>
      <c r="Z204" s="3" t="str">
        <f ca="1">IFERROR(__xludf.DUMMYFUNCTION("""COMPUTED_VALUE"""),"podklady@cncenter.cz")</f>
        <v>podklady@cncenter.cz</v>
      </c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 t="str">
        <f ca="1">IFERROR(__xludf.DUMMYFUNCTION("""COMPUTED_VALUE"""),"mobile")</f>
        <v>mobile</v>
      </c>
      <c r="AO204" s="3"/>
      <c r="AP204" s="3"/>
      <c r="AQ204" s="3"/>
      <c r="AR204" s="3"/>
      <c r="AS204" s="3"/>
      <c r="AT204" s="3"/>
      <c r="AU204" s="3" t="str">
        <f ca="1">IFERROR(__xludf.DUMMYFUNCTION("""COMPUTED_VALUE"""),"mobilní slide-up")</f>
        <v>mobilní slide-up</v>
      </c>
    </row>
    <row r="205" spans="1:47" x14ac:dyDescent="0.3">
      <c r="A205" s="3">
        <f ca="1"/>
        <v>2346826</v>
      </c>
      <c r="B205" s="3" t="str">
        <f ca="1"/>
        <v>CZECH NEWS CENTER a. s.</v>
      </c>
      <c r="C205" s="3" t="str">
        <f ca="1">IFERROR(__xludf.DUMMYFUNCTION("""COMPUTED_VALUE"""),"Blesk floating")</f>
        <v>Blesk floating</v>
      </c>
      <c r="D205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5" s="3" t="str">
        <f ca="1">IFERROR(__xludf.DUMMYFUNCTION("""COMPUTED_VALUE"""),"celý web")</f>
        <v>celý web</v>
      </c>
      <c r="F205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5" s="3" t="str">
        <f ca="1">IFERROR(__xludf.DUMMYFUNCTION("""COMPUTED_VALUE"""),"mobilní viněta low season")</f>
        <v>mobilní viněta low season</v>
      </c>
      <c r="H205" s="3">
        <f ca="1">IFERROR(__xludf.DUMMYFUNCTION("""COMPUTED_VALUE"""),7)</f>
        <v>7</v>
      </c>
      <c r="I205" s="5">
        <f ca="1">IFERROR(__xludf.DUMMYFUNCTION("""COMPUTED_VALUE"""),1000)</f>
        <v>1000</v>
      </c>
      <c r="J205" s="5">
        <f ca="1">IFERROR(__xludf.DUMMYFUNCTION("""COMPUTED_VALUE"""),600)</f>
        <v>600</v>
      </c>
      <c r="K205" s="3"/>
      <c r="L205" s="3" t="str">
        <f ca="1">IFERROR(__xludf.DUMMYFUNCTION("""COMPUTED_VALUE"""),"Cost per period")</f>
        <v>Cost per period</v>
      </c>
      <c r="M205" s="3"/>
      <c r="N205" s="3"/>
      <c r="O205" s="3" t="str">
        <f ca="1">IFERROR(__xludf.DUMMYFUNCTION("""COMPUTED_VALUE"""),"600")</f>
        <v>600</v>
      </c>
      <c r="P205" s="3" t="str">
        <f ca="1">IFERROR(__xludf.DUMMYFUNCTION("""COMPUTED_VALUE"""),"800")</f>
        <v>800</v>
      </c>
      <c r="Q205" s="3" t="str">
        <f ca="1">IFERROR(__xludf.DUMMYFUNCTION("""COMPUTED_VALUE"""),"300x250 nebo 600x800")</f>
        <v>300x250 nebo 600x800</v>
      </c>
      <c r="R205" s="3"/>
      <c r="S205" s="3" t="str">
        <f ca="1">IFERROR(__xludf.DUMMYFUNCTION("""COMPUTED_VALUE"""),"100")</f>
        <v>100</v>
      </c>
      <c r="T205" s="3"/>
      <c r="U205" s="3" t="str">
        <f ca="1">IFERROR(__xludf.DUMMYFUNCTION("""COMPUTED_VALUE"""),"banner standard")</f>
        <v>banner standard</v>
      </c>
      <c r="V205" s="3"/>
      <c r="W205" s="4" t="str">
        <f ca="1">IFERROR(__xludf.DUMMYFUNCTION("""COMPUTED_VALUE"""),"https://reklama.cncenter.cz/Online/mobilni-vineta")</f>
        <v>https://reklama.cncenter.cz/Online/mobilni-vineta</v>
      </c>
      <c r="X205" s="3"/>
      <c r="Y205" s="3"/>
      <c r="Z205" s="3" t="str">
        <f ca="1">IFERROR(__xludf.DUMMYFUNCTION("""COMPUTED_VALUE"""),"podklady@cncenter.cz")</f>
        <v>podklady@cncenter.cz</v>
      </c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 t="str">
        <f ca="1">IFERROR(__xludf.DUMMYFUNCTION("""COMPUTED_VALUE"""),"mobile")</f>
        <v>mobile</v>
      </c>
      <c r="AO205" s="3"/>
      <c r="AP205" s="3"/>
      <c r="AQ205" s="3"/>
      <c r="AR205" s="3"/>
      <c r="AS205" s="3"/>
      <c r="AT205" s="3"/>
      <c r="AU205" s="3" t="str">
        <f ca="1">IFERROR(__xludf.DUMMYFUNCTION("""COMPUTED_VALUE"""),"mobilní viněta")</f>
        <v>mobilní viněta</v>
      </c>
    </row>
    <row r="206" spans="1:47" x14ac:dyDescent="0.3">
      <c r="A206" s="3">
        <f ca="1"/>
        <v>2346826</v>
      </c>
      <c r="B206" s="3" t="str">
        <f ca="1"/>
        <v>CZECH NEWS CENTER a. s.</v>
      </c>
      <c r="C206" s="3" t="str">
        <f ca="1">IFERROR(__xludf.DUMMYFUNCTION("""COMPUTED_VALUE"""),"Blesk floating")</f>
        <v>Blesk floating</v>
      </c>
      <c r="D206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6" s="3" t="str">
        <f ca="1">IFERROR(__xludf.DUMMYFUNCTION("""COMPUTED_VALUE"""),"celý web")</f>
        <v>celý web</v>
      </c>
      <c r="F206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6" s="3" t="str">
        <f ca="1">IFERROR(__xludf.DUMMYFUNCTION("""COMPUTED_VALUE"""),"nativní rectangle cross-device low season")</f>
        <v>nativní rectangle cross-device low season</v>
      </c>
      <c r="H206" s="3">
        <f ca="1">IFERROR(__xludf.DUMMYFUNCTION("""COMPUTED_VALUE"""),7)</f>
        <v>7</v>
      </c>
      <c r="I206" s="5">
        <f ca="1">IFERROR(__xludf.DUMMYFUNCTION("""COMPUTED_VALUE"""),1000)</f>
        <v>1000</v>
      </c>
      <c r="J206" s="5">
        <f ca="1">IFERROR(__xludf.DUMMYFUNCTION("""COMPUTED_VALUE"""),180)</f>
        <v>180</v>
      </c>
      <c r="K206" s="3"/>
      <c r="L206" s="3" t="str">
        <f ca="1">IFERROR(__xludf.DUMMYFUNCTION("""COMPUTED_VALUE"""),"Cost per period")</f>
        <v>Cost per period</v>
      </c>
      <c r="M206" s="3"/>
      <c r="N206" s="3"/>
      <c r="O206" s="3" t="str">
        <f ca="1">IFERROR(__xludf.DUMMYFUNCTION("""COMPUTED_VALUE"""),"640")</f>
        <v>640</v>
      </c>
      <c r="P206" s="3" t="str">
        <f ca="1">IFERROR(__xludf.DUMMYFUNCTION("""COMPUTED_VALUE"""),"335, 640")</f>
        <v>335, 640</v>
      </c>
      <c r="Q206" s="3" t="str">
        <f ca="1">IFERROR(__xludf.DUMMYFUNCTION("""COMPUTED_VALUE"""),"640x640 a 640x335 + text + logo")</f>
        <v>640x640 a 640x335 + text + logo</v>
      </c>
      <c r="R206" s="3"/>
      <c r="S206" s="3" t="str">
        <f ca="1">IFERROR(__xludf.DUMMYFUNCTION("""COMPUTED_VALUE"""),"45")</f>
        <v>45</v>
      </c>
      <c r="T206" s="3"/>
      <c r="U206" s="3" t="str">
        <f ca="1">IFERROR(__xludf.DUMMYFUNCTION("""COMPUTED_VALUE"""),"nativní reklama")</f>
        <v>nativní reklama</v>
      </c>
      <c r="V206" s="3"/>
      <c r="W206" s="4" t="str">
        <f ca="1">IFERROR(__xludf.DUMMYFUNCTION("""COMPUTED_VALUE"""),"https://reklama.cncenter.cz/Online/nativni-rectangle-cross-device")</f>
        <v>https://reklama.cncenter.cz/Online/nativni-rectangle-cross-device</v>
      </c>
      <c r="X206" s="3"/>
      <c r="Y206" s="3"/>
      <c r="Z206" s="3" t="str">
        <f ca="1">IFERROR(__xludf.DUMMYFUNCTION("""COMPUTED_VALUE"""),"podklady@cncenter.cz")</f>
        <v>podklady@cncenter.cz</v>
      </c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 t="str">
        <f ca="1">IFERROR(__xludf.DUMMYFUNCTION("""COMPUTED_VALUE"""),"cross-device")</f>
        <v>cross-device</v>
      </c>
      <c r="AO206" s="3"/>
      <c r="AP206" s="3"/>
      <c r="AQ206" s="3"/>
      <c r="AR206" s="3"/>
      <c r="AS206" s="3"/>
      <c r="AT206" s="3"/>
      <c r="AU206" s="3" t="str">
        <f ca="1">IFERROR(__xludf.DUMMYFUNCTION("""COMPUTED_VALUE"""),"nativní rectangle cross-device")</f>
        <v>nativní rectangle cross-device</v>
      </c>
    </row>
    <row r="207" spans="1:47" x14ac:dyDescent="0.3">
      <c r="A207" s="3">
        <f ca="1"/>
        <v>2346826</v>
      </c>
      <c r="B207" s="3" t="str">
        <f ca="1"/>
        <v>CZECH NEWS CENTER a. s.</v>
      </c>
      <c r="C207" s="3" t="str">
        <f ca="1">IFERROR(__xludf.DUMMYFUNCTION("""COMPUTED_VALUE"""),"Blesk floating")</f>
        <v>Blesk floating</v>
      </c>
      <c r="D207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7" s="3" t="str">
        <f ca="1">IFERROR(__xludf.DUMMYFUNCTION("""COMPUTED_VALUE"""),"celý web")</f>
        <v>celý web</v>
      </c>
      <c r="F207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7" s="3" t="str">
        <f ca="1">IFERROR(__xludf.DUMMYFUNCTION("""COMPUTED_VALUE"""),"outstream low season")</f>
        <v>outstream low season</v>
      </c>
      <c r="H207" s="3">
        <f ca="1">IFERROR(__xludf.DUMMYFUNCTION("""COMPUTED_VALUE"""),7)</f>
        <v>7</v>
      </c>
      <c r="I207" s="5">
        <f ca="1">IFERROR(__xludf.DUMMYFUNCTION("""COMPUTED_VALUE"""),1000)</f>
        <v>1000</v>
      </c>
      <c r="J207" s="5">
        <f ca="1">IFERROR(__xludf.DUMMYFUNCTION("""COMPUTED_VALUE"""),230)</f>
        <v>230</v>
      </c>
      <c r="K207" s="3"/>
      <c r="L207" s="3" t="str">
        <f ca="1">IFERROR(__xludf.DUMMYFUNCTION("""COMPUTED_VALUE"""),"Cost per period")</f>
        <v>Cost per period</v>
      </c>
      <c r="M207" s="3"/>
      <c r="N207" s="3"/>
      <c r="O207" s="3" t="str">
        <f ca="1">IFERROR(__xludf.DUMMYFUNCTION("""COMPUTED_VALUE"""),"1280")</f>
        <v>1280</v>
      </c>
      <c r="P207" s="3" t="str">
        <f ca="1">IFERROR(__xludf.DUMMYFUNCTION("""COMPUTED_VALUE"""),"720")</f>
        <v>720</v>
      </c>
      <c r="Q207" s="3" t="str">
        <f ca="1">IFERROR(__xludf.DUMMYFUNCTION("""COMPUTED_VALUE"""),"16:9")</f>
        <v>16:9</v>
      </c>
      <c r="R207" s="3"/>
      <c r="S207" s="3" t="str">
        <f ca="1">IFERROR(__xludf.DUMMYFUNCTION("""COMPUTED_VALUE"""),"100")</f>
        <v>100</v>
      </c>
      <c r="T207" s="3"/>
      <c r="U207" s="3" t="str">
        <f ca="1">IFERROR(__xludf.DUMMYFUNCTION("""COMPUTED_VALUE"""),"videospot")</f>
        <v>videospot</v>
      </c>
      <c r="V207" s="3"/>
      <c r="W207" s="4" t="str">
        <f ca="1">IFERROR(__xludf.DUMMYFUNCTION("""COMPUTED_VALUE"""),"https://reklama.cncenter.cz/Online/Outstream")</f>
        <v>https://reklama.cncenter.cz/Online/Outstream</v>
      </c>
      <c r="X207" s="3"/>
      <c r="Y207" s="3"/>
      <c r="Z207" s="3" t="str">
        <f ca="1">IFERROR(__xludf.DUMMYFUNCTION("""COMPUTED_VALUE"""),"podklady@cncenter.cz")</f>
        <v>podklady@cncenter.cz</v>
      </c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 t="str">
        <f ca="1">IFERROR(__xludf.DUMMYFUNCTION("""COMPUTED_VALUE"""),"cross-device")</f>
        <v>cross-device</v>
      </c>
      <c r="AO207" s="3"/>
      <c r="AP207" s="3"/>
      <c r="AQ207" s="3"/>
      <c r="AR207" s="3"/>
      <c r="AS207" s="3"/>
      <c r="AT207" s="3"/>
      <c r="AU207" s="3" t="str">
        <f ca="1">IFERROR(__xludf.DUMMYFUNCTION("""COMPUTED_VALUE"""),"outstream")</f>
        <v>outstream</v>
      </c>
    </row>
    <row r="208" spans="1:47" x14ac:dyDescent="0.3">
      <c r="A208" s="3">
        <f ca="1"/>
        <v>2346826</v>
      </c>
      <c r="B208" s="3" t="str">
        <f ca="1"/>
        <v>CZECH NEWS CENTER a. s.</v>
      </c>
      <c r="C208" s="3" t="str">
        <f ca="1">IFERROR(__xludf.DUMMYFUNCTION("""COMPUTED_VALUE"""),"Blesk floating")</f>
        <v>Blesk floating</v>
      </c>
      <c r="D208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8" s="3" t="str">
        <f ca="1">IFERROR(__xludf.DUMMYFUNCTION("""COMPUTED_VALUE"""),"celý web")</f>
        <v>celý web</v>
      </c>
      <c r="F208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8" s="3" t="str">
        <f ca="1">IFERROR(__xludf.DUMMYFUNCTION("""COMPUTED_VALUE"""),"Smarticle low season")</f>
        <v>Smarticle low season</v>
      </c>
      <c r="H208" s="3">
        <f ca="1">IFERROR(__xludf.DUMMYFUNCTION("""COMPUTED_VALUE"""),7)</f>
        <v>7</v>
      </c>
      <c r="I208" s="5">
        <f ca="1">IFERROR(__xludf.DUMMYFUNCTION("""COMPUTED_VALUE"""),1000)</f>
        <v>1000</v>
      </c>
      <c r="J208" s="5">
        <f ca="1">IFERROR(__xludf.DUMMYFUNCTION("""COMPUTED_VALUE"""),200)</f>
        <v>200</v>
      </c>
      <c r="K208" s="3"/>
      <c r="L208" s="3" t="str">
        <f ca="1">IFERROR(__xludf.DUMMYFUNCTION("""COMPUTED_VALUE"""),"Cost per period")</f>
        <v>Cost per period</v>
      </c>
      <c r="M208" s="3"/>
      <c r="N208" s="3" t="str">
        <f ca="1">IFERROR(__xludf.DUMMYFUNCTION("""COMPUTED_VALUE"""),"A4")</f>
        <v>A4</v>
      </c>
      <c r="O208" s="3"/>
      <c r="P208" s="3"/>
      <c r="Q208" s="3" t="str">
        <f ca="1">IFERROR(__xludf.DUMMYFUNCTION("""COMPUTED_VALUE"""),"viz. tech.specifikace; HP + sekce")</f>
        <v>viz. tech.specifikace; HP + sekce</v>
      </c>
      <c r="R208" s="3" t="str">
        <f ca="1">IFERROR(__xludf.DUMMYFUNCTION("""COMPUTED_VALUE"""),"HP + sekce")</f>
        <v>HP + sekce</v>
      </c>
      <c r="S208" s="3" t="str">
        <f ca="1">IFERROR(__xludf.DUMMYFUNCTION("""COMPUTED_VALUE"""),"100")</f>
        <v>100</v>
      </c>
      <c r="T208" s="3"/>
      <c r="U208" s="3" t="str">
        <f ca="1">IFERROR(__xludf.DUMMYFUNCTION("""COMPUTED_VALUE"""),"pr článek")</f>
        <v>pr článek</v>
      </c>
      <c r="V208" s="3"/>
      <c r="W208" s="4" t="str">
        <f ca="1">IFERROR(__xludf.DUMMYFUNCTION("""COMPUTED_VALUE"""),"https://reklama.cncenter.cz/Online/Smarticle")</f>
        <v>https://reklama.cncenter.cz/Online/Smarticle</v>
      </c>
      <c r="X208" s="3"/>
      <c r="Y208" s="3"/>
      <c r="Z208" s="3" t="str">
        <f ca="1">IFERROR(__xludf.DUMMYFUNCTION("""COMPUTED_VALUE"""),"podklady@cncenter.cz")</f>
        <v>podklady@cncenter.cz</v>
      </c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 t="str">
        <f ca="1">IFERROR(__xludf.DUMMYFUNCTION("""COMPUTED_VALUE"""),"cross-device")</f>
        <v>cross-device</v>
      </c>
      <c r="AO208" s="3"/>
      <c r="AP208" s="3"/>
      <c r="AQ208" s="3"/>
      <c r="AR208" s="3"/>
      <c r="AS208" s="3"/>
      <c r="AT208" s="3"/>
      <c r="AU208" s="3" t="str">
        <f ca="1">IFERROR(__xludf.DUMMYFUNCTION("""COMPUTED_VALUE"""),"Smarticle")</f>
        <v>Smarticle</v>
      </c>
    </row>
    <row r="209" spans="1:47" x14ac:dyDescent="0.3">
      <c r="A209" s="3">
        <f ca="1"/>
        <v>2346826</v>
      </c>
      <c r="B209" s="3" t="str">
        <f ca="1"/>
        <v>CZECH NEWS CENTER a. s.</v>
      </c>
      <c r="C209" s="3" t="str">
        <f ca="1">IFERROR(__xludf.DUMMYFUNCTION("""COMPUTED_VALUE"""),"Blesk floating")</f>
        <v>Blesk floating</v>
      </c>
      <c r="D209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9" s="3" t="str">
        <f ca="1">IFERROR(__xludf.DUMMYFUNCTION("""COMPUTED_VALUE"""),"celý web")</f>
        <v>celý web</v>
      </c>
      <c r="F209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9" s="3" t="str">
        <f ca="1">IFERROR(__xludf.DUMMYFUNCTION("""COMPUTED_VALUE"""),"videospot - max. 30 sec. / bumper low season")</f>
        <v>videospot - max. 30 sec. / bumper low season</v>
      </c>
      <c r="H209" s="3">
        <f ca="1">IFERROR(__xludf.DUMMYFUNCTION("""COMPUTED_VALUE"""),7)</f>
        <v>7</v>
      </c>
      <c r="I209" s="5">
        <f ca="1">IFERROR(__xludf.DUMMYFUNCTION("""COMPUTED_VALUE"""),1000)</f>
        <v>1000</v>
      </c>
      <c r="J209" s="5">
        <f ca="1">IFERROR(__xludf.DUMMYFUNCTION("""COMPUTED_VALUE"""),710)</f>
        <v>710</v>
      </c>
      <c r="K209" s="3"/>
      <c r="L209" s="3" t="str">
        <f ca="1">IFERROR(__xludf.DUMMYFUNCTION("""COMPUTED_VALUE"""),"Cost per period")</f>
        <v>Cost per period</v>
      </c>
      <c r="M209" s="3"/>
      <c r="N209" s="3"/>
      <c r="O209" s="3" t="str">
        <f ca="1">IFERROR(__xludf.DUMMYFUNCTION("""COMPUTED_VALUE"""),"1280")</f>
        <v>1280</v>
      </c>
      <c r="P209" s="3" t="str">
        <f ca="1">IFERROR(__xludf.DUMMYFUNCTION("""COMPUTED_VALUE"""),"720")</f>
        <v>720</v>
      </c>
      <c r="Q209" s="3" t="str">
        <f ca="1">IFERROR(__xludf.DUMMYFUNCTION("""COMPUTED_VALUE"""),"16:9 / umístění po domluvě dle možností")</f>
        <v>16:9 / umístění po domluvě dle možností</v>
      </c>
      <c r="R209" s="3" t="str">
        <f ca="1">IFERROR(__xludf.DUMMYFUNCTION("""COMPUTED_VALUE"""),"přeskočení po 7 sekundách")</f>
        <v>přeskočení po 7 sekundách</v>
      </c>
      <c r="S209" s="3" t="str">
        <f ca="1">IFERROR(__xludf.DUMMYFUNCTION("""COMPUTED_VALUE"""),"100")</f>
        <v>100</v>
      </c>
      <c r="T209" s="3"/>
      <c r="U209" s="3" t="str">
        <f ca="1">IFERROR(__xludf.DUMMYFUNCTION("""COMPUTED_VALUE"""),"videospot")</f>
        <v>videospot</v>
      </c>
      <c r="V209" s="3"/>
      <c r="W209" s="4" t="str">
        <f ca="1">IFERROR(__xludf.DUMMYFUNCTION("""COMPUTED_VALUE"""),"https://reklama.cncenter.cz/Online/Bumper")</f>
        <v>https://reklama.cncenter.cz/Online/Bumper</v>
      </c>
      <c r="X209" s="3"/>
      <c r="Y209" s="3"/>
      <c r="Z209" s="3" t="str">
        <f ca="1">IFERROR(__xludf.DUMMYFUNCTION("""COMPUTED_VALUE"""),"podklady@cncenter.cz")</f>
        <v>podklady@cncenter.cz</v>
      </c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 t="str">
        <f ca="1">IFERROR(__xludf.DUMMYFUNCTION("""COMPUTED_VALUE"""),"cross-device")</f>
        <v>cross-device</v>
      </c>
      <c r="AO209" s="3"/>
      <c r="AP209" s="3"/>
      <c r="AQ209" s="3"/>
      <c r="AR209" s="3"/>
      <c r="AS209" s="3"/>
      <c r="AT209" s="3"/>
      <c r="AU209" s="3" t="str">
        <f ca="1">IFERROR(__xludf.DUMMYFUNCTION("""COMPUTED_VALUE"""),"videospot - max. 30 sec. / bumper")</f>
        <v>videospot - max. 30 sec. / bumper</v>
      </c>
    </row>
    <row r="210" spans="1:47" x14ac:dyDescent="0.3">
      <c r="A210" s="3">
        <f ca="1"/>
        <v>2346826</v>
      </c>
      <c r="B210" s="3" t="str">
        <f ca="1"/>
        <v>CZECH NEWS CENTER a. s.</v>
      </c>
      <c r="C210" s="3" t="str">
        <f ca="1">IFERROR(__xludf.DUMMYFUNCTION("""COMPUTED_VALUE"""),"Blesk homepage")</f>
        <v>Blesk homepage</v>
      </c>
      <c r="D210" s="4" t="str">
        <f ca="1">IFERROR(__xludf.DUMMYFUNCTION("""COMPUTED_VALUE"""),"https://blesk.cz")</f>
        <v>https://blesk.cz</v>
      </c>
      <c r="E210" s="3" t="str">
        <f ca="1">IFERROR(__xludf.DUMMYFUNCTION("""COMPUTED_VALUE"""),"homepage")</f>
        <v>homepage</v>
      </c>
      <c r="F210" s="4" t="str">
        <f ca="1">IFERROR(__xludf.DUMMYFUNCTION("""COMPUTED_VALUE"""),"https://blesk.cz")</f>
        <v>https://blesk.cz</v>
      </c>
      <c r="G210" s="3" t="str">
        <f ca="1">IFERROR(__xludf.DUMMYFUNCTION("""COMPUTED_VALUE"""),"branding cross-device low season")</f>
        <v>branding cross-device low season</v>
      </c>
      <c r="H210" s="3">
        <f ca="1">IFERROR(__xludf.DUMMYFUNCTION("""COMPUTED_VALUE"""),7)</f>
        <v>7</v>
      </c>
      <c r="I210" s="5">
        <f ca="1">IFERROR(__xludf.DUMMYFUNCTION("""COMPUTED_VALUE"""),1000)</f>
        <v>1000</v>
      </c>
      <c r="J210" s="5">
        <f ca="1">IFERROR(__xludf.DUMMYFUNCTION("""COMPUTED_VALUE"""),360)</f>
        <v>360</v>
      </c>
      <c r="K210" s="3"/>
      <c r="L210" s="3" t="str">
        <f ca="1">IFERROR(__xludf.DUMMYFUNCTION("""COMPUTED_VALUE"""),"Cost per period")</f>
        <v>Cost per period</v>
      </c>
      <c r="M210" s="3"/>
      <c r="N210" s="3"/>
      <c r="O210" s="3" t="str">
        <f ca="1">IFERROR(__xludf.DUMMYFUNCTION("""COMPUTED_VALUE"""),"2000")</f>
        <v>2000</v>
      </c>
      <c r="P210" s="3" t="str">
        <f ca="1">IFERROR(__xludf.DUMMYFUNCTION("""COMPUTED_VALUE"""),"1400")</f>
        <v>1400</v>
      </c>
      <c r="Q210" s="3" t="str">
        <f ca="1">IFERROR(__xludf.DUMMYFUNCTION("""COMPUTED_VALUE"""),"2000x1400 + 600x1080")</f>
        <v>2000x1400 + 600x1080</v>
      </c>
      <c r="R210" s="3"/>
      <c r="S210" s="3" t="str">
        <f ca="1">IFERROR(__xludf.DUMMYFUNCTION("""COMPUTED_VALUE"""),"500 (600 - HTLM5)")</f>
        <v>500 (600 - HTLM5)</v>
      </c>
      <c r="T210" s="3"/>
      <c r="U210" s="3" t="str">
        <f ca="1">IFERROR(__xludf.DUMMYFUNCTION("""COMPUTED_VALUE"""),"banner standard")</f>
        <v>banner standard</v>
      </c>
      <c r="V210" s="3"/>
      <c r="W210" s="4" t="str">
        <f ca="1">IFERROR(__xludf.DUMMYFUNCTION("""COMPUTED_VALUE"""),"https://reklama.cncenter.cz/Online/branding-cross-device")</f>
        <v>https://reklama.cncenter.cz/Online/branding-cross-device</v>
      </c>
      <c r="X210" s="3"/>
      <c r="Y210" s="3"/>
      <c r="Z210" s="3" t="str">
        <f ca="1">IFERROR(__xludf.DUMMYFUNCTION("""COMPUTED_VALUE"""),"podklady@cncenter.cz")</f>
        <v>podklady@cncenter.cz</v>
      </c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 t="str">
        <f ca="1">IFERROR(__xludf.DUMMYFUNCTION("""COMPUTED_VALUE"""),"cross-device")</f>
        <v>cross-device</v>
      </c>
      <c r="AO210" s="3"/>
      <c r="AP210" s="3"/>
      <c r="AQ210" s="3"/>
      <c r="AR210" s="3"/>
      <c r="AS210" s="3"/>
      <c r="AT210" s="3"/>
      <c r="AU210" s="3" t="str">
        <f ca="1">IFERROR(__xludf.DUMMYFUNCTION("""COMPUTED_VALUE"""),"branding cross-device")</f>
        <v>branding cross-device</v>
      </c>
    </row>
    <row r="211" spans="1:47" x14ac:dyDescent="0.3">
      <c r="A211" s="3">
        <f ca="1"/>
        <v>2346826</v>
      </c>
      <c r="B211" s="3" t="str">
        <f ca="1"/>
        <v>CZECH NEWS CENTER a. s.</v>
      </c>
      <c r="C211" s="3" t="str">
        <f ca="1">IFERROR(__xludf.DUMMYFUNCTION("""COMPUTED_VALUE"""),"Blesk homepage")</f>
        <v>Blesk homepage</v>
      </c>
      <c r="D211" s="4" t="str">
        <f ca="1">IFERROR(__xludf.DUMMYFUNCTION("""COMPUTED_VALUE"""),"https://blesk.cz")</f>
        <v>https://blesk.cz</v>
      </c>
      <c r="E211" s="3" t="str">
        <f ca="1">IFERROR(__xludf.DUMMYFUNCTION("""COMPUTED_VALUE"""),"homepage")</f>
        <v>homepage</v>
      </c>
      <c r="F211" s="4" t="str">
        <f ca="1">IFERROR(__xludf.DUMMYFUNCTION("""COMPUTED_VALUE"""),"https://blesk.cz")</f>
        <v>https://blesk.cz</v>
      </c>
      <c r="G211" s="3" t="str">
        <f ca="1">IFERROR(__xludf.DUMMYFUNCTION("""COMPUTED_VALUE"""),"branding low season")</f>
        <v>branding low season</v>
      </c>
      <c r="H211" s="3">
        <f ca="1">IFERROR(__xludf.DUMMYFUNCTION("""COMPUTED_VALUE"""),7)</f>
        <v>7</v>
      </c>
      <c r="I211" s="5">
        <f ca="1">IFERROR(__xludf.DUMMYFUNCTION("""COMPUTED_VALUE"""),1000)</f>
        <v>1000</v>
      </c>
      <c r="J211" s="5">
        <f ca="1">IFERROR(__xludf.DUMMYFUNCTION("""COMPUTED_VALUE"""),560)</f>
        <v>560</v>
      </c>
      <c r="K211" s="3"/>
      <c r="L211" s="3" t="str">
        <f ca="1">IFERROR(__xludf.DUMMYFUNCTION("""COMPUTED_VALUE"""),"Cost per period")</f>
        <v>Cost per period</v>
      </c>
      <c r="M211" s="3"/>
      <c r="N211" s="3"/>
      <c r="O211" s="3" t="str">
        <f ca="1">IFERROR(__xludf.DUMMYFUNCTION("""COMPUTED_VALUE"""),"2000")</f>
        <v>2000</v>
      </c>
      <c r="P211" s="3" t="str">
        <f ca="1">IFERROR(__xludf.DUMMYFUNCTION("""COMPUTED_VALUE"""),"1400")</f>
        <v>1400</v>
      </c>
      <c r="Q211" s="3" t="str">
        <f ca="1">IFERROR(__xludf.DUMMYFUNCTION("""COMPUTED_VALUE"""),"2000x1400")</f>
        <v>2000x1400</v>
      </c>
      <c r="R211" s="3"/>
      <c r="S211" s="3" t="str">
        <f ca="1">IFERROR(__xludf.DUMMYFUNCTION("""COMPUTED_VALUE"""),"500 + 200 (600+200 HTML5)")</f>
        <v>500 + 200 (600+200 HTML5)</v>
      </c>
      <c r="T211" s="3"/>
      <c r="U211" s="3" t="str">
        <f ca="1">IFERROR(__xludf.DUMMYFUNCTION("""COMPUTED_VALUE"""),"banner standard")</f>
        <v>banner standard</v>
      </c>
      <c r="V211" s="3"/>
      <c r="W211" s="4" t="str">
        <f ca="1">IFERROR(__xludf.DUMMYFUNCTION("""COMPUTED_VALUE"""),"https://reklama.cncenter.cz/Online/branding")</f>
        <v>https://reklama.cncenter.cz/Online/branding</v>
      </c>
      <c r="X211" s="3"/>
      <c r="Y211" s="3"/>
      <c r="Z211" s="3" t="str">
        <f ca="1">IFERROR(__xludf.DUMMYFUNCTION("""COMPUTED_VALUE"""),"podklady@cncenter.cz")</f>
        <v>podklady@cncenter.cz</v>
      </c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 t="str">
        <f ca="1">IFERROR(__xludf.DUMMYFUNCTION("""COMPUTED_VALUE"""),"desktop")</f>
        <v>desktop</v>
      </c>
      <c r="AO211" s="3"/>
      <c r="AP211" s="3"/>
      <c r="AQ211" s="3"/>
      <c r="AR211" s="3"/>
      <c r="AS211" s="3"/>
      <c r="AT211" s="3"/>
      <c r="AU211" s="3" t="str">
        <f ca="1">IFERROR(__xludf.DUMMYFUNCTION("""COMPUTED_VALUE"""),"branding")</f>
        <v>branding</v>
      </c>
    </row>
    <row r="212" spans="1:47" x14ac:dyDescent="0.3">
      <c r="A212" s="3">
        <f ca="1"/>
        <v>2346826</v>
      </c>
      <c r="B212" s="3" t="str">
        <f ca="1"/>
        <v>CZECH NEWS CENTER a. s.</v>
      </c>
      <c r="C212" s="3" t="str">
        <f ca="1">IFERROR(__xludf.DUMMYFUNCTION("""COMPUTED_VALUE"""),"Blesk homepage")</f>
        <v>Blesk homepage</v>
      </c>
      <c r="D212" s="4" t="str">
        <f ca="1">IFERROR(__xludf.DUMMYFUNCTION("""COMPUTED_VALUE"""),"https://blesk.cz")</f>
        <v>https://blesk.cz</v>
      </c>
      <c r="E212" s="3" t="str">
        <f ca="1">IFERROR(__xludf.DUMMYFUNCTION("""COMPUTED_VALUE"""),"homepage")</f>
        <v>homepage</v>
      </c>
      <c r="F212" s="4" t="str">
        <f ca="1">IFERROR(__xludf.DUMMYFUNCTION("""COMPUTED_VALUE"""),"https://blesk.cz")</f>
        <v>https://blesk.cz</v>
      </c>
      <c r="G212" s="3" t="str">
        <f ca="1">IFERROR(__xludf.DUMMYFUNCTION("""COMPUTED_VALUE"""),"cílený branding cross-device low season")</f>
        <v>cílený branding cross-device low season</v>
      </c>
      <c r="H212" s="3">
        <f ca="1">IFERROR(__xludf.DUMMYFUNCTION("""COMPUTED_VALUE"""),7)</f>
        <v>7</v>
      </c>
      <c r="I212" s="5">
        <f ca="1">IFERROR(__xludf.DUMMYFUNCTION("""COMPUTED_VALUE"""),1000)</f>
        <v>1000</v>
      </c>
      <c r="J212" s="5">
        <f ca="1">IFERROR(__xludf.DUMMYFUNCTION("""COMPUTED_VALUE"""),432)</f>
        <v>432</v>
      </c>
      <c r="K212" s="3"/>
      <c r="L212" s="3" t="str">
        <f ca="1">IFERROR(__xludf.DUMMYFUNCTION("""COMPUTED_VALUE"""),"Cost per period")</f>
        <v>Cost per period</v>
      </c>
      <c r="M212" s="3"/>
      <c r="N212" s="3"/>
      <c r="O212" s="3" t="str">
        <f ca="1">IFERROR(__xludf.DUMMYFUNCTION("""COMPUTED_VALUE"""),"2000")</f>
        <v>2000</v>
      </c>
      <c r="P212" s="3" t="str">
        <f ca="1">IFERROR(__xludf.DUMMYFUNCTION("""COMPUTED_VALUE"""),"1400")</f>
        <v>1400</v>
      </c>
      <c r="Q212" s="3" t="str">
        <f ca="1">IFERROR(__xludf.DUMMYFUNCTION("""COMPUTED_VALUE"""),"2000x1400 + 600x1080")</f>
        <v>2000x1400 + 600x1080</v>
      </c>
      <c r="R212" s="3"/>
      <c r="S212" s="3" t="str">
        <f ca="1">IFERROR(__xludf.DUMMYFUNCTION("""COMPUTED_VALUE"""),"500 (600 - HTLM5)")</f>
        <v>500 (600 - HTLM5)</v>
      </c>
      <c r="T212" s="3"/>
      <c r="U212" s="3" t="str">
        <f ca="1">IFERROR(__xludf.DUMMYFUNCTION("""COMPUTED_VALUE"""),"banner standard")</f>
        <v>banner standard</v>
      </c>
      <c r="V212" s="3"/>
      <c r="W212" s="4" t="str">
        <f ca="1">IFERROR(__xludf.DUMMYFUNCTION("""COMPUTED_VALUE"""),"https://reklama.cncenter.cz/Online/branding-cross-device")</f>
        <v>https://reklama.cncenter.cz/Online/branding-cross-device</v>
      </c>
      <c r="X212" s="3"/>
      <c r="Y212" s="3"/>
      <c r="Z212" s="3" t="str">
        <f ca="1">IFERROR(__xludf.DUMMYFUNCTION("""COMPUTED_VALUE"""),"podklady@cncenter.cz")</f>
        <v>podklady@cncenter.cz</v>
      </c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 t="str">
        <f ca="1">IFERROR(__xludf.DUMMYFUNCTION("""COMPUTED_VALUE"""),"cross-device")</f>
        <v>cross-device</v>
      </c>
      <c r="AO212" s="3"/>
      <c r="AP212" s="3"/>
      <c r="AQ212" s="3"/>
      <c r="AR212" s="3"/>
      <c r="AS212" s="3"/>
      <c r="AT212" s="3"/>
      <c r="AU212" s="3" t="str">
        <f ca="1">IFERROR(__xludf.DUMMYFUNCTION("""COMPUTED_VALUE"""),"cílený branding cross-device")</f>
        <v>cílený branding cross-device</v>
      </c>
    </row>
    <row r="213" spans="1:47" x14ac:dyDescent="0.3">
      <c r="A213" s="3">
        <f ca="1"/>
        <v>2346826</v>
      </c>
      <c r="B213" s="3" t="str">
        <f ca="1"/>
        <v>CZECH NEWS CENTER a. s.</v>
      </c>
      <c r="C213" s="3" t="str">
        <f ca="1">IFERROR(__xludf.DUMMYFUNCTION("""COMPUTED_VALUE"""),"Blesk homepage")</f>
        <v>Blesk homepage</v>
      </c>
      <c r="D213" s="4" t="str">
        <f ca="1">IFERROR(__xludf.DUMMYFUNCTION("""COMPUTED_VALUE"""),"https://blesk.cz")</f>
        <v>https://blesk.cz</v>
      </c>
      <c r="E213" s="3" t="str">
        <f ca="1">IFERROR(__xludf.DUMMYFUNCTION("""COMPUTED_VALUE"""),"homepage")</f>
        <v>homepage</v>
      </c>
      <c r="F213" s="4" t="str">
        <f ca="1">IFERROR(__xludf.DUMMYFUNCTION("""COMPUTED_VALUE"""),"https://blesk.cz")</f>
        <v>https://blesk.cz</v>
      </c>
      <c r="G213" s="3" t="str">
        <f ca="1">IFERROR(__xludf.DUMMYFUNCTION("""COMPUTED_VALUE"""),"cílený branding low season")</f>
        <v>cílený branding low season</v>
      </c>
      <c r="H213" s="3">
        <f ca="1">IFERROR(__xludf.DUMMYFUNCTION("""COMPUTED_VALUE"""),7)</f>
        <v>7</v>
      </c>
      <c r="I213" s="5">
        <f ca="1">IFERROR(__xludf.DUMMYFUNCTION("""COMPUTED_VALUE"""),1000)</f>
        <v>1000</v>
      </c>
      <c r="J213" s="5">
        <f ca="1">IFERROR(__xludf.DUMMYFUNCTION("""COMPUTED_VALUE"""),672)</f>
        <v>672</v>
      </c>
      <c r="K213" s="3"/>
      <c r="L213" s="3" t="str">
        <f ca="1">IFERROR(__xludf.DUMMYFUNCTION("""COMPUTED_VALUE"""),"Cost per period")</f>
        <v>Cost per period</v>
      </c>
      <c r="M213" s="3"/>
      <c r="N213" s="3"/>
      <c r="O213" s="3" t="str">
        <f ca="1">IFERROR(__xludf.DUMMYFUNCTION("""COMPUTED_VALUE"""),"2000")</f>
        <v>2000</v>
      </c>
      <c r="P213" s="3" t="str">
        <f ca="1">IFERROR(__xludf.DUMMYFUNCTION("""COMPUTED_VALUE"""),"1400")</f>
        <v>1400</v>
      </c>
      <c r="Q213" s="3" t="str">
        <f ca="1">IFERROR(__xludf.DUMMYFUNCTION("""COMPUTED_VALUE"""),"2000x1400")</f>
        <v>2000x1400</v>
      </c>
      <c r="R213" s="3"/>
      <c r="S213" s="3" t="str">
        <f ca="1">IFERROR(__xludf.DUMMYFUNCTION("""COMPUTED_VALUE"""),"500 + 200 (600+200 HTML5)")</f>
        <v>500 + 200 (600+200 HTML5)</v>
      </c>
      <c r="T213" s="3"/>
      <c r="U213" s="3" t="str">
        <f ca="1">IFERROR(__xludf.DUMMYFUNCTION("""COMPUTED_VALUE"""),"banner standard")</f>
        <v>banner standard</v>
      </c>
      <c r="V213" s="3"/>
      <c r="W213" s="4" t="str">
        <f ca="1">IFERROR(__xludf.DUMMYFUNCTION("""COMPUTED_VALUE"""),"https://reklama.cncenter.cz/Online/branding")</f>
        <v>https://reklama.cncenter.cz/Online/branding</v>
      </c>
      <c r="X213" s="3"/>
      <c r="Y213" s="3"/>
      <c r="Z213" s="3" t="str">
        <f ca="1">IFERROR(__xludf.DUMMYFUNCTION("""COMPUTED_VALUE"""),"podklady@cncenter.cz")</f>
        <v>podklady@cncenter.cz</v>
      </c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 t="str">
        <f ca="1">IFERROR(__xludf.DUMMYFUNCTION("""COMPUTED_VALUE"""),"desktop")</f>
        <v>desktop</v>
      </c>
      <c r="AO213" s="3"/>
      <c r="AP213" s="3"/>
      <c r="AQ213" s="3"/>
      <c r="AR213" s="3"/>
      <c r="AS213" s="3"/>
      <c r="AT213" s="3"/>
      <c r="AU213" s="3" t="str">
        <f ca="1">IFERROR(__xludf.DUMMYFUNCTION("""COMPUTED_VALUE"""),"cílený branding")</f>
        <v>cílený branding</v>
      </c>
    </row>
    <row r="214" spans="1:47" x14ac:dyDescent="0.3">
      <c r="A214" s="3">
        <f ca="1"/>
        <v>2346826</v>
      </c>
      <c r="B214" s="3" t="str">
        <f ca="1"/>
        <v>CZECH NEWS CENTER a. s.</v>
      </c>
      <c r="C214" s="3" t="str">
        <f ca="1">IFERROR(__xludf.DUMMYFUNCTION("""COMPUTED_VALUE"""),"Blesk homepage")</f>
        <v>Blesk homepage</v>
      </c>
      <c r="D214" s="4" t="str">
        <f ca="1">IFERROR(__xludf.DUMMYFUNCTION("""COMPUTED_VALUE"""),"https://blesk.cz")</f>
        <v>https://blesk.cz</v>
      </c>
      <c r="E214" s="3" t="str">
        <f ca="1">IFERROR(__xludf.DUMMYFUNCTION("""COMPUTED_VALUE"""),"homepage")</f>
        <v>homepage</v>
      </c>
      <c r="F214" s="4" t="str">
        <f ca="1">IFERROR(__xludf.DUMMYFUNCTION("""COMPUTED_VALUE"""),"https://blesk.cz")</f>
        <v>https://blesk.cz</v>
      </c>
      <c r="G214" s="3" t="str">
        <f ca="1">IFERROR(__xludf.DUMMYFUNCTION("""COMPUTED_VALUE"""),"cílený mobilní interscroller low season")</f>
        <v>cílený mobilní interscroller low season</v>
      </c>
      <c r="H214" s="3">
        <f ca="1">IFERROR(__xludf.DUMMYFUNCTION("""COMPUTED_VALUE"""),7)</f>
        <v>7</v>
      </c>
      <c r="I214" s="5">
        <f ca="1">IFERROR(__xludf.DUMMYFUNCTION("""COMPUTED_VALUE"""),1000)</f>
        <v>1000</v>
      </c>
      <c r="J214" s="5">
        <f ca="1">IFERROR(__xludf.DUMMYFUNCTION("""COMPUTED_VALUE"""),264)</f>
        <v>264</v>
      </c>
      <c r="K214" s="3"/>
      <c r="L214" s="3" t="str">
        <f ca="1">IFERROR(__xludf.DUMMYFUNCTION("""COMPUTED_VALUE"""),"Cost per period")</f>
        <v>Cost per period</v>
      </c>
      <c r="M214" s="3"/>
      <c r="N214" s="3"/>
      <c r="O214" s="3" t="str">
        <f ca="1">IFERROR(__xludf.DUMMYFUNCTION("""COMPUTED_VALUE"""),"600")</f>
        <v>600</v>
      </c>
      <c r="P214" s="3" t="str">
        <f ca="1">IFERROR(__xludf.DUMMYFUNCTION("""COMPUTED_VALUE"""),"1080")</f>
        <v>1080</v>
      </c>
      <c r="Q214" s="3" t="str">
        <f ca="1">IFERROR(__xludf.DUMMYFUNCTION("""COMPUTED_VALUE"""),"600x1080")</f>
        <v>600x1080</v>
      </c>
      <c r="R214" s="3"/>
      <c r="S214" s="3" t="str">
        <f ca="1">IFERROR(__xludf.DUMMYFUNCTION("""COMPUTED_VALUE"""),"200")</f>
        <v>200</v>
      </c>
      <c r="T214" s="3"/>
      <c r="U214" s="3" t="str">
        <f ca="1">IFERROR(__xludf.DUMMYFUNCTION("""COMPUTED_VALUE"""),"banner standard")</f>
        <v>banner standard</v>
      </c>
      <c r="V214" s="3"/>
      <c r="W214" s="4" t="str">
        <f ca="1">IFERROR(__xludf.DUMMYFUNCTION("""COMPUTED_VALUE"""),"https://reklama.cncenter.cz/Online/mobilni-interscroller")</f>
        <v>https://reklama.cncenter.cz/Online/mobilni-interscroller</v>
      </c>
      <c r="X214" s="3"/>
      <c r="Y214" s="3"/>
      <c r="Z214" s="3" t="str">
        <f ca="1">IFERROR(__xludf.DUMMYFUNCTION("""COMPUTED_VALUE"""),"podklady@cncenter.cz")</f>
        <v>podklady@cncenter.cz</v>
      </c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 t="str">
        <f ca="1">IFERROR(__xludf.DUMMYFUNCTION("""COMPUTED_VALUE"""),"mobile")</f>
        <v>mobile</v>
      </c>
      <c r="AO214" s="3"/>
      <c r="AP214" s="3"/>
      <c r="AQ214" s="3"/>
      <c r="AR214" s="3"/>
      <c r="AS214" s="3"/>
      <c r="AT214" s="3"/>
      <c r="AU214" s="3" t="str">
        <f ca="1">IFERROR(__xludf.DUMMYFUNCTION("""COMPUTED_VALUE"""),"cílený mobilní interscroller")</f>
        <v>cílený mobilní interscroller</v>
      </c>
    </row>
    <row r="215" spans="1:47" x14ac:dyDescent="0.3">
      <c r="A215" s="3">
        <f ca="1"/>
        <v>2346826</v>
      </c>
      <c r="B215" s="3" t="str">
        <f ca="1"/>
        <v>CZECH NEWS CENTER a. s.</v>
      </c>
      <c r="C215" s="3" t="str">
        <f ca="1">IFERROR(__xludf.DUMMYFUNCTION("""COMPUTED_VALUE"""),"Blesk homepage")</f>
        <v>Blesk homepage</v>
      </c>
      <c r="D215" s="4" t="str">
        <f ca="1">IFERROR(__xludf.DUMMYFUNCTION("""COMPUTED_VALUE"""),"https://blesk.cz")</f>
        <v>https://blesk.cz</v>
      </c>
      <c r="E215" s="3" t="str">
        <f ca="1">IFERROR(__xludf.DUMMYFUNCTION("""COMPUTED_VALUE"""),"homepage")</f>
        <v>homepage</v>
      </c>
      <c r="F215" s="4" t="str">
        <f ca="1">IFERROR(__xludf.DUMMYFUNCTION("""COMPUTED_VALUE"""),"https://blesk.cz")</f>
        <v>https://blesk.cz</v>
      </c>
      <c r="G215" s="3" t="str">
        <f ca="1">IFERROR(__xludf.DUMMYFUNCTION("""COMPUTED_VALUE"""),"cílený mobilní slide-up low season")</f>
        <v>cílený mobilní slide-up low season</v>
      </c>
      <c r="H215" s="3">
        <f ca="1">IFERROR(__xludf.DUMMYFUNCTION("""COMPUTED_VALUE"""),7)</f>
        <v>7</v>
      </c>
      <c r="I215" s="5">
        <f ca="1">IFERROR(__xludf.DUMMYFUNCTION("""COMPUTED_VALUE"""),1000)</f>
        <v>1000</v>
      </c>
      <c r="J215" s="5">
        <f ca="1">IFERROR(__xludf.DUMMYFUNCTION("""COMPUTED_VALUE"""),540)</f>
        <v>540</v>
      </c>
      <c r="K215" s="3"/>
      <c r="L215" s="3" t="str">
        <f ca="1">IFERROR(__xludf.DUMMYFUNCTION("""COMPUTED_VALUE"""),"Cost per period")</f>
        <v>Cost per period</v>
      </c>
      <c r="M215" s="3"/>
      <c r="N215" s="3"/>
      <c r="O215" s="3" t="str">
        <f ca="1">IFERROR(__xludf.DUMMYFUNCTION("""COMPUTED_VALUE"""),"300")</f>
        <v>300</v>
      </c>
      <c r="P215" s="3" t="str">
        <f ca="1">IFERROR(__xludf.DUMMYFUNCTION("""COMPUTED_VALUE"""),"120")</f>
        <v>120</v>
      </c>
      <c r="Q215" s="3" t="str">
        <f ca="1">IFERROR(__xludf.DUMMYFUNCTION("""COMPUTED_VALUE"""),"300x120")</f>
        <v>300x120</v>
      </c>
      <c r="R215" s="3"/>
      <c r="S215" s="3" t="str">
        <f ca="1">IFERROR(__xludf.DUMMYFUNCTION("""COMPUTED_VALUE"""),"100")</f>
        <v>100</v>
      </c>
      <c r="T215" s="3"/>
      <c r="U215" s="3" t="str">
        <f ca="1">IFERROR(__xludf.DUMMYFUNCTION("""COMPUTED_VALUE"""),"banner standard")</f>
        <v>banner standard</v>
      </c>
      <c r="V215" s="3"/>
      <c r="W215" s="4" t="str">
        <f ca="1">IFERROR(__xludf.DUMMYFUNCTION("""COMPUTED_VALUE"""),"https://reklama.cncenter.cz/Online/mobilni-slide-up")</f>
        <v>https://reklama.cncenter.cz/Online/mobilni-slide-up</v>
      </c>
      <c r="X215" s="3"/>
      <c r="Y215" s="3"/>
      <c r="Z215" s="3" t="str">
        <f ca="1">IFERROR(__xludf.DUMMYFUNCTION("""COMPUTED_VALUE"""),"podklady@cncenter.cz")</f>
        <v>podklady@cncenter.cz</v>
      </c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 t="str">
        <f ca="1">IFERROR(__xludf.DUMMYFUNCTION("""COMPUTED_VALUE"""),"mobile")</f>
        <v>mobile</v>
      </c>
      <c r="AO215" s="3"/>
      <c r="AP215" s="3"/>
      <c r="AQ215" s="3"/>
      <c r="AR215" s="3"/>
      <c r="AS215" s="3"/>
      <c r="AT215" s="3"/>
      <c r="AU215" s="3" t="str">
        <f ca="1">IFERROR(__xludf.DUMMYFUNCTION("""COMPUTED_VALUE"""),"cílený mobilní slide-up")</f>
        <v>cílený mobilní slide-up</v>
      </c>
    </row>
    <row r="216" spans="1:47" x14ac:dyDescent="0.3">
      <c r="A216" s="3">
        <f ca="1"/>
        <v>2346826</v>
      </c>
      <c r="B216" s="3" t="str">
        <f ca="1"/>
        <v>CZECH NEWS CENTER a. s.</v>
      </c>
      <c r="C216" s="3" t="str">
        <f ca="1">IFERROR(__xludf.DUMMYFUNCTION("""COMPUTED_VALUE"""),"Blesk homepage")</f>
        <v>Blesk homepage</v>
      </c>
      <c r="D216" s="4" t="str">
        <f ca="1">IFERROR(__xludf.DUMMYFUNCTION("""COMPUTED_VALUE"""),"https://blesk.cz")</f>
        <v>https://blesk.cz</v>
      </c>
      <c r="E216" s="3" t="str">
        <f ca="1">IFERROR(__xludf.DUMMYFUNCTION("""COMPUTED_VALUE"""),"homepage")</f>
        <v>homepage</v>
      </c>
      <c r="F216" s="4" t="str">
        <f ca="1">IFERROR(__xludf.DUMMYFUNCTION("""COMPUTED_VALUE"""),"https://blesk.cz")</f>
        <v>https://blesk.cz</v>
      </c>
      <c r="G216" s="3" t="str">
        <f ca="1">IFERROR(__xludf.DUMMYFUNCTION("""COMPUTED_VALUE"""),"mobilní interscroller low season")</f>
        <v>mobilní interscroller low season</v>
      </c>
      <c r="H216" s="3">
        <f ca="1">IFERROR(__xludf.DUMMYFUNCTION("""COMPUTED_VALUE"""),7)</f>
        <v>7</v>
      </c>
      <c r="I216" s="5">
        <f ca="1">IFERROR(__xludf.DUMMYFUNCTION("""COMPUTED_VALUE"""),1000)</f>
        <v>1000</v>
      </c>
      <c r="J216" s="5">
        <f ca="1">IFERROR(__xludf.DUMMYFUNCTION("""COMPUTED_VALUE"""),220)</f>
        <v>220</v>
      </c>
      <c r="K216" s="3"/>
      <c r="L216" s="3" t="str">
        <f ca="1">IFERROR(__xludf.DUMMYFUNCTION("""COMPUTED_VALUE"""),"Cost per period")</f>
        <v>Cost per period</v>
      </c>
      <c r="M216" s="3"/>
      <c r="N216" s="3"/>
      <c r="O216" s="3" t="str">
        <f ca="1">IFERROR(__xludf.DUMMYFUNCTION("""COMPUTED_VALUE"""),"600")</f>
        <v>600</v>
      </c>
      <c r="P216" s="3" t="str">
        <f ca="1">IFERROR(__xludf.DUMMYFUNCTION("""COMPUTED_VALUE"""),"1080")</f>
        <v>1080</v>
      </c>
      <c r="Q216" s="3" t="str">
        <f ca="1">IFERROR(__xludf.DUMMYFUNCTION("""COMPUTED_VALUE"""),"600x1080")</f>
        <v>600x1080</v>
      </c>
      <c r="R216" s="3"/>
      <c r="S216" s="3" t="str">
        <f ca="1">IFERROR(__xludf.DUMMYFUNCTION("""COMPUTED_VALUE"""),"200")</f>
        <v>200</v>
      </c>
      <c r="T216" s="3"/>
      <c r="U216" s="3" t="str">
        <f ca="1">IFERROR(__xludf.DUMMYFUNCTION("""COMPUTED_VALUE"""),"banner standard")</f>
        <v>banner standard</v>
      </c>
      <c r="V216" s="3"/>
      <c r="W216" s="4" t="str">
        <f ca="1">IFERROR(__xludf.DUMMYFUNCTION("""COMPUTED_VALUE"""),"https://reklama.cncenter.cz/Online/mobilni-interscroller")</f>
        <v>https://reklama.cncenter.cz/Online/mobilni-interscroller</v>
      </c>
      <c r="X216" s="3"/>
      <c r="Y216" s="3"/>
      <c r="Z216" s="3" t="str">
        <f ca="1">IFERROR(__xludf.DUMMYFUNCTION("""COMPUTED_VALUE"""),"podklady@cncenter.cz")</f>
        <v>podklady@cncenter.cz</v>
      </c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 t="str">
        <f ca="1">IFERROR(__xludf.DUMMYFUNCTION("""COMPUTED_VALUE"""),"mobile")</f>
        <v>mobile</v>
      </c>
      <c r="AO216" s="3"/>
      <c r="AP216" s="3"/>
      <c r="AQ216" s="3"/>
      <c r="AR216" s="3"/>
      <c r="AS216" s="3"/>
      <c r="AT216" s="3"/>
      <c r="AU216" s="3" t="str">
        <f ca="1">IFERROR(__xludf.DUMMYFUNCTION("""COMPUTED_VALUE"""),"mobilní interscroller")</f>
        <v>mobilní interscroller</v>
      </c>
    </row>
    <row r="217" spans="1:47" x14ac:dyDescent="0.3">
      <c r="A217" s="3">
        <f ca="1"/>
        <v>2346826</v>
      </c>
      <c r="B217" s="3" t="str">
        <f ca="1"/>
        <v>CZECH NEWS CENTER a. s.</v>
      </c>
      <c r="C217" s="3" t="str">
        <f ca="1">IFERROR(__xludf.DUMMYFUNCTION("""COMPUTED_VALUE"""),"Blesk homepage")</f>
        <v>Blesk homepage</v>
      </c>
      <c r="D217" s="4" t="str">
        <f ca="1">IFERROR(__xludf.DUMMYFUNCTION("""COMPUTED_VALUE"""),"https://blesk.cz")</f>
        <v>https://blesk.cz</v>
      </c>
      <c r="E217" s="3" t="str">
        <f ca="1">IFERROR(__xludf.DUMMYFUNCTION("""COMPUTED_VALUE"""),"homepage")</f>
        <v>homepage</v>
      </c>
      <c r="F217" s="4" t="str">
        <f ca="1">IFERROR(__xludf.DUMMYFUNCTION("""COMPUTED_VALUE"""),"https://blesk.cz")</f>
        <v>https://blesk.cz</v>
      </c>
      <c r="G217" s="3" t="str">
        <f ca="1">IFERROR(__xludf.DUMMYFUNCTION("""COMPUTED_VALUE"""),"mobilní slide-up low season")</f>
        <v>mobilní slide-up low season</v>
      </c>
      <c r="H217" s="3">
        <f ca="1">IFERROR(__xludf.DUMMYFUNCTION("""COMPUTED_VALUE"""),7)</f>
        <v>7</v>
      </c>
      <c r="I217" s="5">
        <f ca="1">IFERROR(__xludf.DUMMYFUNCTION("""COMPUTED_VALUE"""),1000)</f>
        <v>1000</v>
      </c>
      <c r="J217" s="5">
        <f ca="1">IFERROR(__xludf.DUMMYFUNCTION("""COMPUTED_VALUE"""),450)</f>
        <v>450</v>
      </c>
      <c r="K217" s="3"/>
      <c r="L217" s="3" t="str">
        <f ca="1">IFERROR(__xludf.DUMMYFUNCTION("""COMPUTED_VALUE"""),"Cost per period")</f>
        <v>Cost per period</v>
      </c>
      <c r="M217" s="3"/>
      <c r="N217" s="3"/>
      <c r="O217" s="3" t="str">
        <f ca="1">IFERROR(__xludf.DUMMYFUNCTION("""COMPUTED_VALUE"""),"300")</f>
        <v>300</v>
      </c>
      <c r="P217" s="3" t="str">
        <f ca="1">IFERROR(__xludf.DUMMYFUNCTION("""COMPUTED_VALUE"""),"120")</f>
        <v>120</v>
      </c>
      <c r="Q217" s="3" t="str">
        <f ca="1">IFERROR(__xludf.DUMMYFUNCTION("""COMPUTED_VALUE"""),"300x120")</f>
        <v>300x120</v>
      </c>
      <c r="R217" s="3"/>
      <c r="S217" s="3" t="str">
        <f ca="1">IFERROR(__xludf.DUMMYFUNCTION("""COMPUTED_VALUE"""),"100")</f>
        <v>100</v>
      </c>
      <c r="T217" s="3"/>
      <c r="U217" s="3" t="str">
        <f ca="1">IFERROR(__xludf.DUMMYFUNCTION("""COMPUTED_VALUE"""),"banner standard")</f>
        <v>banner standard</v>
      </c>
      <c r="V217" s="3"/>
      <c r="W217" s="4" t="str">
        <f ca="1">IFERROR(__xludf.DUMMYFUNCTION("""COMPUTED_VALUE"""),"https://reklama.cncenter.cz/Online/mobilni-slide-up")</f>
        <v>https://reklama.cncenter.cz/Online/mobilni-slide-up</v>
      </c>
      <c r="X217" s="3"/>
      <c r="Y217" s="3"/>
      <c r="Z217" s="3" t="str">
        <f ca="1">IFERROR(__xludf.DUMMYFUNCTION("""COMPUTED_VALUE"""),"podklady@cncenter.cz")</f>
        <v>podklady@cncenter.cz</v>
      </c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 t="str">
        <f ca="1">IFERROR(__xludf.DUMMYFUNCTION("""COMPUTED_VALUE"""),"mobile")</f>
        <v>mobile</v>
      </c>
      <c r="AO217" s="3"/>
      <c r="AP217" s="3"/>
      <c r="AQ217" s="3"/>
      <c r="AR217" s="3"/>
      <c r="AS217" s="3"/>
      <c r="AT217" s="3"/>
      <c r="AU217" s="3" t="str">
        <f ca="1">IFERROR(__xludf.DUMMYFUNCTION("""COMPUTED_VALUE"""),"mobilní slide-up")</f>
        <v>mobilní slide-up</v>
      </c>
    </row>
    <row r="218" spans="1:47" x14ac:dyDescent="0.3">
      <c r="A218" s="3">
        <f ca="1"/>
        <v>2346826</v>
      </c>
      <c r="B218" s="3" t="str">
        <f ca="1"/>
        <v>CZECH NEWS CENTER a. s.</v>
      </c>
      <c r="C218" s="3" t="str">
        <f ca="1">IFERROR(__xludf.DUMMYFUNCTION("""COMPUTED_VALUE"""),"Blesk pro ženy")</f>
        <v>Blesk pro ženy</v>
      </c>
      <c r="D218" s="4" t="str">
        <f ca="1">IFERROR(__xludf.DUMMYFUNCTION("""COMPUTED_VALUE"""),"https://bleskprozeny.cz")</f>
        <v>https://bleskprozeny.cz</v>
      </c>
      <c r="E218" s="3" t="str">
        <f ca="1">IFERROR(__xludf.DUMMYFUNCTION("""COMPUTED_VALUE"""),"celý web")</f>
        <v>celý web</v>
      </c>
      <c r="F218" s="4" t="str">
        <f ca="1">IFERROR(__xludf.DUMMYFUNCTION("""COMPUTED_VALUE"""),"https://bleskprozeny.cz")</f>
        <v>https://bleskprozeny.cz</v>
      </c>
      <c r="G218" s="3" t="str">
        <f ca="1">IFERROR(__xludf.DUMMYFUNCTION("""COMPUTED_VALUE"""),"Advertorial low season")</f>
        <v>Advertorial low season</v>
      </c>
      <c r="H218" s="3">
        <f ca="1">IFERROR(__xludf.DUMMYFUNCTION("""COMPUTED_VALUE"""),1)</f>
        <v>1</v>
      </c>
      <c r="I218" s="5">
        <f ca="1">IFERROR(__xludf.DUMMYFUNCTION("""COMPUTED_VALUE"""),1)</f>
        <v>1</v>
      </c>
      <c r="J218" s="5">
        <f ca="1">IFERROR(__xludf.DUMMYFUNCTION("""COMPUTED_VALUE"""),90000)</f>
        <v>90000</v>
      </c>
      <c r="K218" s="3"/>
      <c r="L218" s="3" t="str">
        <f ca="1">IFERROR(__xludf.DUMMYFUNCTION("""COMPUTED_VALUE"""),"Cost per instance")</f>
        <v>Cost per instance</v>
      </c>
      <c r="M218" s="3"/>
      <c r="N218" s="3"/>
      <c r="O218" s="3"/>
      <c r="P218" s="3"/>
      <c r="Q218" s="3"/>
      <c r="R218" s="3"/>
      <c r="S218" s="3" t="str">
        <f ca="1">IFERROR(__xludf.DUMMYFUNCTION("""COMPUTED_VALUE"""),"100")</f>
        <v>100</v>
      </c>
      <c r="T218" s="3"/>
      <c r="U218" s="3" t="str">
        <f ca="1">IFERROR(__xludf.DUMMYFUNCTION("""COMPUTED_VALUE"""),"pr článek")</f>
        <v>pr článek</v>
      </c>
      <c r="V218" s="3"/>
      <c r="W218" s="3"/>
      <c r="X218" s="3"/>
      <c r="Y218" s="3"/>
      <c r="Z218" s="3" t="str">
        <f ca="1">IFERROR(__xludf.DUMMYFUNCTION("""COMPUTED_VALUE"""),"podklady@cncenter.cz")</f>
        <v>podklady@cncenter.cz</v>
      </c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 t="str">
        <f ca="1">IFERROR(__xludf.DUMMYFUNCTION("""COMPUTED_VALUE"""),"cross-device")</f>
        <v>cross-device</v>
      </c>
      <c r="AO218" s="3"/>
      <c r="AP218" s="3"/>
      <c r="AQ218" s="3"/>
      <c r="AR218" s="3"/>
      <c r="AS218" s="3"/>
      <c r="AT218" s="3"/>
      <c r="AU218" s="3" t="str">
        <f ca="1">IFERROR(__xludf.DUMMYFUNCTION("""COMPUTED_VALUE"""),"Advertorial")</f>
        <v>Advertorial</v>
      </c>
    </row>
    <row r="219" spans="1:47" x14ac:dyDescent="0.3">
      <c r="A219" s="3">
        <f ca="1"/>
        <v>2346826</v>
      </c>
      <c r="B219" s="3" t="str">
        <f ca="1"/>
        <v>CZECH NEWS CENTER a. s.</v>
      </c>
      <c r="C219" s="3" t="str">
        <f ca="1">IFERROR(__xludf.DUMMYFUNCTION("""COMPUTED_VALUE"""),"Blesk pro ženy")</f>
        <v>Blesk pro ženy</v>
      </c>
      <c r="D219" s="4" t="str">
        <f ca="1">IFERROR(__xludf.DUMMYFUNCTION("""COMPUTED_VALUE"""),"https://bleskprozeny.cz")</f>
        <v>https://bleskprozeny.cz</v>
      </c>
      <c r="E219" s="3" t="str">
        <f ca="1">IFERROR(__xludf.DUMMYFUNCTION("""COMPUTED_VALUE"""),"celý web")</f>
        <v>celý web</v>
      </c>
      <c r="F219" s="4" t="str">
        <f ca="1">IFERROR(__xludf.DUMMYFUNCTION("""COMPUTED_VALUE"""),"https://bleskprozeny.cz")</f>
        <v>https://bleskprozeny.cz</v>
      </c>
      <c r="G219" s="3" t="str">
        <f ca="1">IFERROR(__xludf.DUMMYFUNCTION("""COMPUTED_VALUE"""),"billboard bottom low season")</f>
        <v>billboard bottom low season</v>
      </c>
      <c r="H219" s="3">
        <f ca="1">IFERROR(__xludf.DUMMYFUNCTION("""COMPUTED_VALUE"""),7)</f>
        <v>7</v>
      </c>
      <c r="I219" s="5">
        <f ca="1">IFERROR(__xludf.DUMMYFUNCTION("""COMPUTED_VALUE"""),1000)</f>
        <v>1000</v>
      </c>
      <c r="J219" s="5">
        <f ca="1">IFERROR(__xludf.DUMMYFUNCTION("""COMPUTED_VALUE"""),240)</f>
        <v>240</v>
      </c>
      <c r="K219" s="3"/>
      <c r="L219" s="3" t="str">
        <f ca="1">IFERROR(__xludf.DUMMYFUNCTION("""COMPUTED_VALUE"""),"Cost per period")</f>
        <v>Cost per period</v>
      </c>
      <c r="M219" s="3"/>
      <c r="N219" s="3"/>
      <c r="O219" s="3" t="str">
        <f ca="1">IFERROR(__xludf.DUMMYFUNCTION("""COMPUTED_VALUE"""),"970")</f>
        <v>970</v>
      </c>
      <c r="P219" s="3" t="str">
        <f ca="1">IFERROR(__xludf.DUMMYFUNCTION("""COMPUTED_VALUE"""),"250")</f>
        <v>250</v>
      </c>
      <c r="Q219" s="3" t="str">
        <f ca="1">IFERROR(__xludf.DUMMYFUNCTION("""COMPUTED_VALUE"""),"970x250")</f>
        <v>970x250</v>
      </c>
      <c r="R219" s="3"/>
      <c r="S219" s="3" t="str">
        <f ca="1">IFERROR(__xludf.DUMMYFUNCTION("""COMPUTED_VALUE"""),"100 (200 - HTML5)")</f>
        <v>100 (200 - HTML5)</v>
      </c>
      <c r="T219" s="3"/>
      <c r="U219" s="3" t="str">
        <f ca="1">IFERROR(__xludf.DUMMYFUNCTION("""COMPUTED_VALUE"""),"banner standard")</f>
        <v>banner standard</v>
      </c>
      <c r="V219" s="3"/>
      <c r="W219" s="4" t="str">
        <f ca="1">IFERROR(__xludf.DUMMYFUNCTION("""COMPUTED_VALUE"""),"https://reklama.cncenter.cz/Online/billboard-bottom")</f>
        <v>https://reklama.cncenter.cz/Online/billboard-bottom</v>
      </c>
      <c r="X219" s="3"/>
      <c r="Y219" s="3"/>
      <c r="Z219" s="3" t="str">
        <f ca="1">IFERROR(__xludf.DUMMYFUNCTION("""COMPUTED_VALUE"""),"podklady@cncenter.cz")</f>
        <v>podklady@cncenter.cz</v>
      </c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 t="str">
        <f ca="1">IFERROR(__xludf.DUMMYFUNCTION("""COMPUTED_VALUE"""),"desktop")</f>
        <v>desktop</v>
      </c>
      <c r="AO219" s="3"/>
      <c r="AP219" s="3"/>
      <c r="AQ219" s="3"/>
      <c r="AR219" s="3"/>
      <c r="AS219" s="3"/>
      <c r="AT219" s="3"/>
      <c r="AU219" s="3" t="str">
        <f ca="1">IFERROR(__xludf.DUMMYFUNCTION("""COMPUTED_VALUE"""),"billboard bottom")</f>
        <v>billboard bottom</v>
      </c>
    </row>
    <row r="220" spans="1:47" x14ac:dyDescent="0.3">
      <c r="A220" s="3">
        <f ca="1"/>
        <v>2346826</v>
      </c>
      <c r="B220" s="3" t="str">
        <f ca="1"/>
        <v>CZECH NEWS CENTER a. s.</v>
      </c>
      <c r="C220" s="3" t="str">
        <f ca="1">IFERROR(__xludf.DUMMYFUNCTION("""COMPUTED_VALUE"""),"Blesk pro ženy")</f>
        <v>Blesk pro ženy</v>
      </c>
      <c r="D220" s="4" t="str">
        <f ca="1">IFERROR(__xludf.DUMMYFUNCTION("""COMPUTED_VALUE"""),"https://bleskprozeny.cz")</f>
        <v>https://bleskprozeny.cz</v>
      </c>
      <c r="E220" s="3" t="str">
        <f ca="1">IFERROR(__xludf.DUMMYFUNCTION("""COMPUTED_VALUE"""),"celý web")</f>
        <v>celý web</v>
      </c>
      <c r="F220" s="4" t="str">
        <f ca="1">IFERROR(__xludf.DUMMYFUNCTION("""COMPUTED_VALUE"""),"https://bleskprozeny.cz")</f>
        <v>https://bleskprozeny.cz</v>
      </c>
      <c r="G220" s="3" t="str">
        <f ca="1">IFERROR(__xludf.DUMMYFUNCTION("""COMPUTED_VALUE"""),"branding cross-device low season")</f>
        <v>branding cross-device low season</v>
      </c>
      <c r="H220" s="3">
        <f ca="1">IFERROR(__xludf.DUMMYFUNCTION("""COMPUTED_VALUE"""),7)</f>
        <v>7</v>
      </c>
      <c r="I220" s="5">
        <f ca="1">IFERROR(__xludf.DUMMYFUNCTION("""COMPUTED_VALUE"""),1000)</f>
        <v>1000</v>
      </c>
      <c r="J220" s="5">
        <f ca="1">IFERROR(__xludf.DUMMYFUNCTION("""COMPUTED_VALUE"""),300)</f>
        <v>300</v>
      </c>
      <c r="K220" s="3"/>
      <c r="L220" s="3" t="str">
        <f ca="1">IFERROR(__xludf.DUMMYFUNCTION("""COMPUTED_VALUE"""),"Cost per period")</f>
        <v>Cost per period</v>
      </c>
      <c r="M220" s="3"/>
      <c r="N220" s="3"/>
      <c r="O220" s="3" t="str">
        <f ca="1">IFERROR(__xludf.DUMMYFUNCTION("""COMPUTED_VALUE"""),"2000")</f>
        <v>2000</v>
      </c>
      <c r="P220" s="3" t="str">
        <f ca="1">IFERROR(__xludf.DUMMYFUNCTION("""COMPUTED_VALUE"""),"1400")</f>
        <v>1400</v>
      </c>
      <c r="Q220" s="3" t="str">
        <f ca="1">IFERROR(__xludf.DUMMYFUNCTION("""COMPUTED_VALUE"""),"2000x1400 + 600x1080")</f>
        <v>2000x1400 + 600x1080</v>
      </c>
      <c r="R220" s="3"/>
      <c r="S220" s="3" t="str">
        <f ca="1">IFERROR(__xludf.DUMMYFUNCTION("""COMPUTED_VALUE"""),"500 (600 - HTLM5)")</f>
        <v>500 (600 - HTLM5)</v>
      </c>
      <c r="T220" s="3"/>
      <c r="U220" s="3" t="str">
        <f ca="1">IFERROR(__xludf.DUMMYFUNCTION("""COMPUTED_VALUE"""),"banner standard")</f>
        <v>banner standard</v>
      </c>
      <c r="V220" s="3"/>
      <c r="W220" s="4" t="str">
        <f ca="1">IFERROR(__xludf.DUMMYFUNCTION("""COMPUTED_VALUE"""),"https://reklama.cncenter.cz/Online/branding-cross-device")</f>
        <v>https://reklama.cncenter.cz/Online/branding-cross-device</v>
      </c>
      <c r="X220" s="3"/>
      <c r="Y220" s="3"/>
      <c r="Z220" s="3" t="str">
        <f ca="1">IFERROR(__xludf.DUMMYFUNCTION("""COMPUTED_VALUE"""),"podklady@cncenter.cz")</f>
        <v>podklady@cncenter.cz</v>
      </c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 t="str">
        <f ca="1">IFERROR(__xludf.DUMMYFUNCTION("""COMPUTED_VALUE"""),"cross-device")</f>
        <v>cross-device</v>
      </c>
      <c r="AO220" s="3"/>
      <c r="AP220" s="3"/>
      <c r="AQ220" s="3"/>
      <c r="AR220" s="3"/>
      <c r="AS220" s="3"/>
      <c r="AT220" s="3"/>
      <c r="AU220" s="3" t="str">
        <f ca="1">IFERROR(__xludf.DUMMYFUNCTION("""COMPUTED_VALUE"""),"branding cross-device")</f>
        <v>branding cross-device</v>
      </c>
    </row>
    <row r="221" spans="1:47" x14ac:dyDescent="0.3">
      <c r="A221" s="3">
        <f ca="1"/>
        <v>2346826</v>
      </c>
      <c r="B221" s="3" t="str">
        <f ca="1"/>
        <v>CZECH NEWS CENTER a. s.</v>
      </c>
      <c r="C221" s="3" t="str">
        <f ca="1">IFERROR(__xludf.DUMMYFUNCTION("""COMPUTED_VALUE"""),"Blesk pro ženy")</f>
        <v>Blesk pro ženy</v>
      </c>
      <c r="D221" s="4" t="str">
        <f ca="1">IFERROR(__xludf.DUMMYFUNCTION("""COMPUTED_VALUE"""),"https://bleskprozeny.cz")</f>
        <v>https://bleskprozeny.cz</v>
      </c>
      <c r="E221" s="3" t="str">
        <f ca="1">IFERROR(__xludf.DUMMYFUNCTION("""COMPUTED_VALUE"""),"celý web")</f>
        <v>celý web</v>
      </c>
      <c r="F221" s="4" t="str">
        <f ca="1">IFERROR(__xludf.DUMMYFUNCTION("""COMPUTED_VALUE"""),"https://bleskprozeny.cz")</f>
        <v>https://bleskprozeny.cz</v>
      </c>
      <c r="G221" s="3" t="str">
        <f ca="1">IFERROR(__xludf.DUMMYFUNCTION("""COMPUTED_VALUE"""),"branding low season")</f>
        <v>branding low season</v>
      </c>
      <c r="H221" s="3">
        <f ca="1">IFERROR(__xludf.DUMMYFUNCTION("""COMPUTED_VALUE"""),7)</f>
        <v>7</v>
      </c>
      <c r="I221" s="5">
        <f ca="1">IFERROR(__xludf.DUMMYFUNCTION("""COMPUTED_VALUE"""),1000)</f>
        <v>1000</v>
      </c>
      <c r="J221" s="5">
        <f ca="1">IFERROR(__xludf.DUMMYFUNCTION("""COMPUTED_VALUE"""),490)</f>
        <v>490</v>
      </c>
      <c r="K221" s="3"/>
      <c r="L221" s="3" t="str">
        <f ca="1">IFERROR(__xludf.DUMMYFUNCTION("""COMPUTED_VALUE"""),"Cost per period")</f>
        <v>Cost per period</v>
      </c>
      <c r="M221" s="3"/>
      <c r="N221" s="3"/>
      <c r="O221" s="3" t="str">
        <f ca="1">IFERROR(__xludf.DUMMYFUNCTION("""COMPUTED_VALUE"""),"2000")</f>
        <v>2000</v>
      </c>
      <c r="P221" s="3" t="str">
        <f ca="1">IFERROR(__xludf.DUMMYFUNCTION("""COMPUTED_VALUE"""),"1400")</f>
        <v>1400</v>
      </c>
      <c r="Q221" s="3" t="str">
        <f ca="1">IFERROR(__xludf.DUMMYFUNCTION("""COMPUTED_VALUE"""),"2000x1400")</f>
        <v>2000x1400</v>
      </c>
      <c r="R221" s="3"/>
      <c r="S221" s="3" t="str">
        <f ca="1">IFERROR(__xludf.DUMMYFUNCTION("""COMPUTED_VALUE"""),"500 + 200 (600+200 HTML5)")</f>
        <v>500 + 200 (600+200 HTML5)</v>
      </c>
      <c r="T221" s="3"/>
      <c r="U221" s="3" t="str">
        <f ca="1">IFERROR(__xludf.DUMMYFUNCTION("""COMPUTED_VALUE"""),"banner standard")</f>
        <v>banner standard</v>
      </c>
      <c r="V221" s="3"/>
      <c r="W221" s="4" t="str">
        <f ca="1">IFERROR(__xludf.DUMMYFUNCTION("""COMPUTED_VALUE"""),"https://reklama.cncenter.cz/Online/branding")</f>
        <v>https://reklama.cncenter.cz/Online/branding</v>
      </c>
      <c r="X221" s="3"/>
      <c r="Y221" s="3"/>
      <c r="Z221" s="3" t="str">
        <f ca="1">IFERROR(__xludf.DUMMYFUNCTION("""COMPUTED_VALUE"""),"podklady@cncenter.cz")</f>
        <v>podklady@cncenter.cz</v>
      </c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 t="str">
        <f ca="1">IFERROR(__xludf.DUMMYFUNCTION("""COMPUTED_VALUE"""),"desktop")</f>
        <v>desktop</v>
      </c>
      <c r="AO221" s="3"/>
      <c r="AP221" s="3"/>
      <c r="AQ221" s="3"/>
      <c r="AR221" s="3"/>
      <c r="AS221" s="3"/>
      <c r="AT221" s="3"/>
      <c r="AU221" s="3" t="str">
        <f ca="1">IFERROR(__xludf.DUMMYFUNCTION("""COMPUTED_VALUE"""),"branding")</f>
        <v>branding</v>
      </c>
    </row>
    <row r="222" spans="1:47" x14ac:dyDescent="0.3">
      <c r="A222" s="3">
        <f ca="1"/>
        <v>2346826</v>
      </c>
      <c r="B222" s="3" t="str">
        <f ca="1"/>
        <v>CZECH NEWS CENTER a. s.</v>
      </c>
      <c r="C222" s="3" t="str">
        <f ca="1">IFERROR(__xludf.DUMMYFUNCTION("""COMPUTED_VALUE"""),"Blesk pro ženy")</f>
        <v>Blesk pro ženy</v>
      </c>
      <c r="D222" s="4" t="str">
        <f ca="1">IFERROR(__xludf.DUMMYFUNCTION("""COMPUTED_VALUE"""),"https://bleskprozeny.cz")</f>
        <v>https://bleskprozeny.cz</v>
      </c>
      <c r="E222" s="3" t="str">
        <f ca="1">IFERROR(__xludf.DUMMYFUNCTION("""COMPUTED_VALUE"""),"celý web")</f>
        <v>celý web</v>
      </c>
      <c r="F222" s="4" t="str">
        <f ca="1">IFERROR(__xludf.DUMMYFUNCTION("""COMPUTED_VALUE"""),"https://bleskprozeny.cz")</f>
        <v>https://bleskprozeny.cz</v>
      </c>
      <c r="G222" s="3" t="str">
        <f ca="1">IFERROR(__xludf.DUMMYFUNCTION("""COMPUTED_VALUE"""),"cílený billboard bottom low season")</f>
        <v>cílený billboard bottom low season</v>
      </c>
      <c r="H222" s="3">
        <f ca="1">IFERROR(__xludf.DUMMYFUNCTION("""COMPUTED_VALUE"""),7)</f>
        <v>7</v>
      </c>
      <c r="I222" s="5">
        <f ca="1">IFERROR(__xludf.DUMMYFUNCTION("""COMPUTED_VALUE"""),1000)</f>
        <v>1000</v>
      </c>
      <c r="J222" s="5">
        <f ca="1">IFERROR(__xludf.DUMMYFUNCTION("""COMPUTED_VALUE"""),288)</f>
        <v>288</v>
      </c>
      <c r="K222" s="3"/>
      <c r="L222" s="3" t="str">
        <f ca="1">IFERROR(__xludf.DUMMYFUNCTION("""COMPUTED_VALUE"""),"Cost per period")</f>
        <v>Cost per period</v>
      </c>
      <c r="M222" s="3"/>
      <c r="N222" s="3"/>
      <c r="O222" s="3" t="str">
        <f ca="1">IFERROR(__xludf.DUMMYFUNCTION("""COMPUTED_VALUE"""),"970")</f>
        <v>970</v>
      </c>
      <c r="P222" s="3" t="str">
        <f ca="1">IFERROR(__xludf.DUMMYFUNCTION("""COMPUTED_VALUE"""),"250")</f>
        <v>250</v>
      </c>
      <c r="Q222" s="3" t="str">
        <f ca="1">IFERROR(__xludf.DUMMYFUNCTION("""COMPUTED_VALUE"""),"970x250")</f>
        <v>970x250</v>
      </c>
      <c r="R222" s="3"/>
      <c r="S222" s="3" t="str">
        <f ca="1">IFERROR(__xludf.DUMMYFUNCTION("""COMPUTED_VALUE"""),"100 (200 - HTML5)")</f>
        <v>100 (200 - HTML5)</v>
      </c>
      <c r="T222" s="3"/>
      <c r="U222" s="3" t="str">
        <f ca="1">IFERROR(__xludf.DUMMYFUNCTION("""COMPUTED_VALUE"""),"banner standard")</f>
        <v>banner standard</v>
      </c>
      <c r="V222" s="3"/>
      <c r="W222" s="4" t="str">
        <f ca="1">IFERROR(__xludf.DUMMYFUNCTION("""COMPUTED_VALUE"""),"https://reklama.cncenter.cz/Online/billboard-bottom")</f>
        <v>https://reklama.cncenter.cz/Online/billboard-bottom</v>
      </c>
      <c r="X222" s="3"/>
      <c r="Y222" s="3"/>
      <c r="Z222" s="3" t="str">
        <f ca="1">IFERROR(__xludf.DUMMYFUNCTION("""COMPUTED_VALUE"""),"podklady@cncenter.cz")</f>
        <v>podklady@cncenter.cz</v>
      </c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 t="str">
        <f ca="1">IFERROR(__xludf.DUMMYFUNCTION("""COMPUTED_VALUE"""),"desktop")</f>
        <v>desktop</v>
      </c>
      <c r="AO222" s="3"/>
      <c r="AP222" s="3"/>
      <c r="AQ222" s="3"/>
      <c r="AR222" s="3"/>
      <c r="AS222" s="3"/>
      <c r="AT222" s="3"/>
      <c r="AU222" s="3" t="str">
        <f ca="1">IFERROR(__xludf.DUMMYFUNCTION("""COMPUTED_VALUE"""),"cílený billboard bottom")</f>
        <v>cílený billboard bottom</v>
      </c>
    </row>
    <row r="223" spans="1:47" x14ac:dyDescent="0.3">
      <c r="A223" s="3">
        <f ca="1"/>
        <v>2346826</v>
      </c>
      <c r="B223" s="3" t="str">
        <f ca="1"/>
        <v>CZECH NEWS CENTER a. s.</v>
      </c>
      <c r="C223" s="3" t="str">
        <f ca="1">IFERROR(__xludf.DUMMYFUNCTION("""COMPUTED_VALUE"""),"Blesk pro ženy")</f>
        <v>Blesk pro ženy</v>
      </c>
      <c r="D223" s="4" t="str">
        <f ca="1">IFERROR(__xludf.DUMMYFUNCTION("""COMPUTED_VALUE"""),"https://bleskprozeny.cz")</f>
        <v>https://bleskprozeny.cz</v>
      </c>
      <c r="E223" s="3" t="str">
        <f ca="1">IFERROR(__xludf.DUMMYFUNCTION("""COMPUTED_VALUE"""),"celý web")</f>
        <v>celý web</v>
      </c>
      <c r="F223" s="4" t="str">
        <f ca="1">IFERROR(__xludf.DUMMYFUNCTION("""COMPUTED_VALUE"""),"https://bleskprozeny.cz")</f>
        <v>https://bleskprozeny.cz</v>
      </c>
      <c r="G223" s="3" t="str">
        <f ca="1">IFERROR(__xludf.DUMMYFUNCTION("""COMPUTED_VALUE"""),"cílený branding cross-device low season")</f>
        <v>cílený branding cross-device low season</v>
      </c>
      <c r="H223" s="3">
        <f ca="1">IFERROR(__xludf.DUMMYFUNCTION("""COMPUTED_VALUE"""),7)</f>
        <v>7</v>
      </c>
      <c r="I223" s="5">
        <f ca="1">IFERROR(__xludf.DUMMYFUNCTION("""COMPUTED_VALUE"""),1000)</f>
        <v>1000</v>
      </c>
      <c r="J223" s="5">
        <f ca="1">IFERROR(__xludf.DUMMYFUNCTION("""COMPUTED_VALUE"""),360)</f>
        <v>360</v>
      </c>
      <c r="K223" s="3"/>
      <c r="L223" s="3" t="str">
        <f ca="1">IFERROR(__xludf.DUMMYFUNCTION("""COMPUTED_VALUE"""),"Cost per period")</f>
        <v>Cost per period</v>
      </c>
      <c r="M223" s="3"/>
      <c r="N223" s="3"/>
      <c r="O223" s="3" t="str">
        <f ca="1">IFERROR(__xludf.DUMMYFUNCTION("""COMPUTED_VALUE"""),"2000")</f>
        <v>2000</v>
      </c>
      <c r="P223" s="3" t="str">
        <f ca="1">IFERROR(__xludf.DUMMYFUNCTION("""COMPUTED_VALUE"""),"1400")</f>
        <v>1400</v>
      </c>
      <c r="Q223" s="3" t="str">
        <f ca="1">IFERROR(__xludf.DUMMYFUNCTION("""COMPUTED_VALUE"""),"2000x1400 + 600x1080")</f>
        <v>2000x1400 + 600x1080</v>
      </c>
      <c r="R223" s="3"/>
      <c r="S223" s="3" t="str">
        <f ca="1">IFERROR(__xludf.DUMMYFUNCTION("""COMPUTED_VALUE"""),"500 (600 - HTLM5)")</f>
        <v>500 (600 - HTLM5)</v>
      </c>
      <c r="T223" s="3"/>
      <c r="U223" s="3" t="str">
        <f ca="1">IFERROR(__xludf.DUMMYFUNCTION("""COMPUTED_VALUE"""),"banner standard")</f>
        <v>banner standard</v>
      </c>
      <c r="V223" s="3"/>
      <c r="W223" s="4" t="str">
        <f ca="1">IFERROR(__xludf.DUMMYFUNCTION("""COMPUTED_VALUE"""),"https://reklama.cncenter.cz/Online/branding-cross-device")</f>
        <v>https://reklama.cncenter.cz/Online/branding-cross-device</v>
      </c>
      <c r="X223" s="3"/>
      <c r="Y223" s="3"/>
      <c r="Z223" s="3" t="str">
        <f ca="1">IFERROR(__xludf.DUMMYFUNCTION("""COMPUTED_VALUE"""),"podklady@cncenter.cz")</f>
        <v>podklady@cncenter.cz</v>
      </c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 t="str">
        <f ca="1">IFERROR(__xludf.DUMMYFUNCTION("""COMPUTED_VALUE"""),"cross-device")</f>
        <v>cross-device</v>
      </c>
      <c r="AO223" s="3"/>
      <c r="AP223" s="3"/>
      <c r="AQ223" s="3"/>
      <c r="AR223" s="3"/>
      <c r="AS223" s="3"/>
      <c r="AT223" s="3"/>
      <c r="AU223" s="3" t="str">
        <f ca="1">IFERROR(__xludf.DUMMYFUNCTION("""COMPUTED_VALUE"""),"cílený branding cross-device")</f>
        <v>cílený branding cross-device</v>
      </c>
    </row>
    <row r="224" spans="1:47" x14ac:dyDescent="0.3">
      <c r="A224" s="3">
        <f ca="1"/>
        <v>2346826</v>
      </c>
      <c r="B224" s="3" t="str">
        <f ca="1"/>
        <v>CZECH NEWS CENTER a. s.</v>
      </c>
      <c r="C224" s="3" t="str">
        <f ca="1">IFERROR(__xludf.DUMMYFUNCTION("""COMPUTED_VALUE"""),"Blesk pro ženy")</f>
        <v>Blesk pro ženy</v>
      </c>
      <c r="D224" s="4" t="str">
        <f ca="1">IFERROR(__xludf.DUMMYFUNCTION("""COMPUTED_VALUE"""),"https://bleskprozeny.cz")</f>
        <v>https://bleskprozeny.cz</v>
      </c>
      <c r="E224" s="3" t="str">
        <f ca="1">IFERROR(__xludf.DUMMYFUNCTION("""COMPUTED_VALUE"""),"celý web")</f>
        <v>celý web</v>
      </c>
      <c r="F224" s="4" t="str">
        <f ca="1">IFERROR(__xludf.DUMMYFUNCTION("""COMPUTED_VALUE"""),"https://bleskprozeny.cz")</f>
        <v>https://bleskprozeny.cz</v>
      </c>
      <c r="G224" s="3" t="str">
        <f ca="1">IFERROR(__xludf.DUMMYFUNCTION("""COMPUTED_VALUE"""),"cílený branding low season")</f>
        <v>cílený branding low season</v>
      </c>
      <c r="H224" s="3">
        <f ca="1">IFERROR(__xludf.DUMMYFUNCTION("""COMPUTED_VALUE"""),7)</f>
        <v>7</v>
      </c>
      <c r="I224" s="5">
        <f ca="1">IFERROR(__xludf.DUMMYFUNCTION("""COMPUTED_VALUE"""),1000)</f>
        <v>1000</v>
      </c>
      <c r="J224" s="5">
        <f ca="1">IFERROR(__xludf.DUMMYFUNCTION("""COMPUTED_VALUE"""),588)</f>
        <v>588</v>
      </c>
      <c r="K224" s="3"/>
      <c r="L224" s="3" t="str">
        <f ca="1">IFERROR(__xludf.DUMMYFUNCTION("""COMPUTED_VALUE"""),"Cost per period")</f>
        <v>Cost per period</v>
      </c>
      <c r="M224" s="3"/>
      <c r="N224" s="3"/>
      <c r="O224" s="3" t="str">
        <f ca="1">IFERROR(__xludf.DUMMYFUNCTION("""COMPUTED_VALUE"""),"2000")</f>
        <v>2000</v>
      </c>
      <c r="P224" s="3" t="str">
        <f ca="1">IFERROR(__xludf.DUMMYFUNCTION("""COMPUTED_VALUE"""),"1400")</f>
        <v>1400</v>
      </c>
      <c r="Q224" s="3" t="str">
        <f ca="1">IFERROR(__xludf.DUMMYFUNCTION("""COMPUTED_VALUE"""),"2000x1400")</f>
        <v>2000x1400</v>
      </c>
      <c r="R224" s="3"/>
      <c r="S224" s="3" t="str">
        <f ca="1">IFERROR(__xludf.DUMMYFUNCTION("""COMPUTED_VALUE"""),"500 + 200 (600+200 HTML5)")</f>
        <v>500 + 200 (600+200 HTML5)</v>
      </c>
      <c r="T224" s="3"/>
      <c r="U224" s="3" t="str">
        <f ca="1">IFERROR(__xludf.DUMMYFUNCTION("""COMPUTED_VALUE"""),"banner standard")</f>
        <v>banner standard</v>
      </c>
      <c r="V224" s="3"/>
      <c r="W224" s="4" t="str">
        <f ca="1">IFERROR(__xludf.DUMMYFUNCTION("""COMPUTED_VALUE"""),"https://reklama.cncenter.cz/Online/branding")</f>
        <v>https://reklama.cncenter.cz/Online/branding</v>
      </c>
      <c r="X224" s="3"/>
      <c r="Y224" s="3"/>
      <c r="Z224" s="3" t="str">
        <f ca="1">IFERROR(__xludf.DUMMYFUNCTION("""COMPUTED_VALUE"""),"podklady@cncenter.cz")</f>
        <v>podklady@cncenter.cz</v>
      </c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 t="str">
        <f ca="1">IFERROR(__xludf.DUMMYFUNCTION("""COMPUTED_VALUE"""),"desktop")</f>
        <v>desktop</v>
      </c>
      <c r="AO224" s="3"/>
      <c r="AP224" s="3"/>
      <c r="AQ224" s="3"/>
      <c r="AR224" s="3"/>
      <c r="AS224" s="3"/>
      <c r="AT224" s="3"/>
      <c r="AU224" s="3" t="str">
        <f ca="1">IFERROR(__xludf.DUMMYFUNCTION("""COMPUTED_VALUE"""),"cílený branding")</f>
        <v>cílený branding</v>
      </c>
    </row>
    <row r="225" spans="1:47" x14ac:dyDescent="0.3">
      <c r="A225" s="3">
        <f ca="1"/>
        <v>2346826</v>
      </c>
      <c r="B225" s="3" t="str">
        <f ca="1"/>
        <v>CZECH NEWS CENTER a. s.</v>
      </c>
      <c r="C225" s="3" t="str">
        <f ca="1">IFERROR(__xludf.DUMMYFUNCTION("""COMPUTED_VALUE"""),"Blesk pro ženy")</f>
        <v>Blesk pro ženy</v>
      </c>
      <c r="D225" s="4" t="str">
        <f ca="1">IFERROR(__xludf.DUMMYFUNCTION("""COMPUTED_VALUE"""),"https://bleskprozeny.cz")</f>
        <v>https://bleskprozeny.cz</v>
      </c>
      <c r="E225" s="3" t="str">
        <f ca="1">IFERROR(__xludf.DUMMYFUNCTION("""COMPUTED_VALUE"""),"celý web")</f>
        <v>celý web</v>
      </c>
      <c r="F225" s="4" t="str">
        <f ca="1">IFERROR(__xludf.DUMMYFUNCTION("""COMPUTED_VALUE"""),"https://bleskprozeny.cz")</f>
        <v>https://bleskprozeny.cz</v>
      </c>
      <c r="G225" s="3" t="str">
        <f ca="1">IFERROR(__xludf.DUMMYFUNCTION("""COMPUTED_VALUE"""),"cílený double skyscraper low season")</f>
        <v>cílený double skyscraper low season</v>
      </c>
      <c r="H225" s="3">
        <f ca="1">IFERROR(__xludf.DUMMYFUNCTION("""COMPUTED_VALUE"""),7)</f>
        <v>7</v>
      </c>
      <c r="I225" s="5">
        <f ca="1">IFERROR(__xludf.DUMMYFUNCTION("""COMPUTED_VALUE"""),1000)</f>
        <v>1000</v>
      </c>
      <c r="J225" s="5">
        <f ca="1">IFERROR(__xludf.DUMMYFUNCTION("""COMPUTED_VALUE"""),228)</f>
        <v>228</v>
      </c>
      <c r="K225" s="3"/>
      <c r="L225" s="3" t="str">
        <f ca="1">IFERROR(__xludf.DUMMYFUNCTION("""COMPUTED_VALUE"""),"Cost per period")</f>
        <v>Cost per period</v>
      </c>
      <c r="M225" s="3"/>
      <c r="N225" s="3"/>
      <c r="O225" s="3" t="str">
        <f ca="1">IFERROR(__xludf.DUMMYFUNCTION("""COMPUTED_VALUE"""),"300")</f>
        <v>300</v>
      </c>
      <c r="P225" s="3" t="str">
        <f ca="1">IFERROR(__xludf.DUMMYFUNCTION("""COMPUTED_VALUE"""),"600")</f>
        <v>600</v>
      </c>
      <c r="Q225" s="3" t="str">
        <f ca="1">IFERROR(__xludf.DUMMYFUNCTION("""COMPUTED_VALUE"""),"300x600")</f>
        <v>300x600</v>
      </c>
      <c r="R225" s="3"/>
      <c r="S225" s="3" t="str">
        <f ca="1">IFERROR(__xludf.DUMMYFUNCTION("""COMPUTED_VALUE"""),"100 (200 - HTML5)")</f>
        <v>100 (200 - HTML5)</v>
      </c>
      <c r="T225" s="3"/>
      <c r="U225" s="3" t="str">
        <f ca="1">IFERROR(__xludf.DUMMYFUNCTION("""COMPUTED_VALUE"""),"banner standard")</f>
        <v>banner standard</v>
      </c>
      <c r="V225" s="3"/>
      <c r="W225" s="4" t="str">
        <f ca="1">IFERROR(__xludf.DUMMYFUNCTION("""COMPUTED_VALUE"""),"https://reklama.cncenter.cz/Online/double-skyscraper")</f>
        <v>https://reklama.cncenter.cz/Online/double-skyscraper</v>
      </c>
      <c r="X225" s="3"/>
      <c r="Y225" s="3"/>
      <c r="Z225" s="3" t="str">
        <f ca="1">IFERROR(__xludf.DUMMYFUNCTION("""COMPUTED_VALUE"""),"podklady@cncenter.cz")</f>
        <v>podklady@cncenter.cz</v>
      </c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 t="str">
        <f ca="1">IFERROR(__xludf.DUMMYFUNCTION("""COMPUTED_VALUE"""),"desktop")</f>
        <v>desktop</v>
      </c>
      <c r="AO225" s="3"/>
      <c r="AP225" s="3"/>
      <c r="AQ225" s="3"/>
      <c r="AR225" s="3"/>
      <c r="AS225" s="3"/>
      <c r="AT225" s="3"/>
      <c r="AU225" s="3" t="str">
        <f ca="1">IFERROR(__xludf.DUMMYFUNCTION("""COMPUTED_VALUE"""),"cílený double skyscraper")</f>
        <v>cílený double skyscraper</v>
      </c>
    </row>
    <row r="226" spans="1:47" x14ac:dyDescent="0.3">
      <c r="A226" s="3">
        <f ca="1"/>
        <v>2346826</v>
      </c>
      <c r="B226" s="3" t="str">
        <f ca="1"/>
        <v>CZECH NEWS CENTER a. s.</v>
      </c>
      <c r="C226" s="3" t="str">
        <f ca="1">IFERROR(__xludf.DUMMYFUNCTION("""COMPUTED_VALUE"""),"Blesk pro ženy")</f>
        <v>Blesk pro ženy</v>
      </c>
      <c r="D226" s="4" t="str">
        <f ca="1">IFERROR(__xludf.DUMMYFUNCTION("""COMPUTED_VALUE"""),"https://bleskprozeny.cz")</f>
        <v>https://bleskprozeny.cz</v>
      </c>
      <c r="E226" s="3" t="str">
        <f ca="1">IFERROR(__xludf.DUMMYFUNCTION("""COMPUTED_VALUE"""),"celý web")</f>
        <v>celý web</v>
      </c>
      <c r="F226" s="4" t="str">
        <f ca="1">IFERROR(__xludf.DUMMYFUNCTION("""COMPUTED_VALUE"""),"https://bleskprozeny.cz")</f>
        <v>https://bleskprozeny.cz</v>
      </c>
      <c r="G226" s="3" t="str">
        <f ca="1">IFERROR(__xludf.DUMMYFUNCTION("""COMPUTED_VALUE"""),"cílený mini videospot - max. 30 sec. low season")</f>
        <v>cílený mini videospot - max. 30 sec. low season</v>
      </c>
      <c r="H226" s="3">
        <f ca="1">IFERROR(__xludf.DUMMYFUNCTION("""COMPUTED_VALUE"""),7)</f>
        <v>7</v>
      </c>
      <c r="I226" s="5">
        <f ca="1">IFERROR(__xludf.DUMMYFUNCTION("""COMPUTED_VALUE"""),1000)</f>
        <v>1000</v>
      </c>
      <c r="J226" s="5">
        <f ca="1">IFERROR(__xludf.DUMMYFUNCTION("""COMPUTED_VALUE"""),168)</f>
        <v>168</v>
      </c>
      <c r="K226" s="3"/>
      <c r="L226" s="3" t="str">
        <f ca="1">IFERROR(__xludf.DUMMYFUNCTION("""COMPUTED_VALUE"""),"Cost per period")</f>
        <v>Cost per period</v>
      </c>
      <c r="M226" s="3"/>
      <c r="N226" s="3"/>
      <c r="O226" s="3"/>
      <c r="P226" s="3"/>
      <c r="Q226" s="3" t="str">
        <f ca="1">IFERROR(__xludf.DUMMYFUNCTION("""COMPUTED_VALUE"""),"16:9 / umístění po domluvě dle možností")</f>
        <v>16:9 / umístění po domluvě dle možností</v>
      </c>
      <c r="R226" s="3" t="str">
        <f ca="1">IFERROR(__xludf.DUMMYFUNCTION("""COMPUTED_VALUE"""),"přeskočení po 7 sekundách")</f>
        <v>přeskočení po 7 sekundách</v>
      </c>
      <c r="S226" s="3" t="str">
        <f ca="1">IFERROR(__xludf.DUMMYFUNCTION("""COMPUTED_VALUE"""),"100")</f>
        <v>100</v>
      </c>
      <c r="T226" s="3"/>
      <c r="U226" s="3" t="str">
        <f ca="1">IFERROR(__xludf.DUMMYFUNCTION("""COMPUTED_VALUE"""),"videospot")</f>
        <v>videospot</v>
      </c>
      <c r="V226" s="3"/>
      <c r="W226" s="4" t="str">
        <f ca="1">IFERROR(__xludf.DUMMYFUNCTION("""COMPUTED_VALUE"""),"https://reklama.cncenter.cz/Online/Videospot")</f>
        <v>https://reklama.cncenter.cz/Online/Videospot</v>
      </c>
      <c r="X226" s="3"/>
      <c r="Y226" s="3"/>
      <c r="Z226" s="3" t="str">
        <f ca="1">IFERROR(__xludf.DUMMYFUNCTION("""COMPUTED_VALUE"""),"podklady@cncenter.cz")</f>
        <v>podklady@cncenter.cz</v>
      </c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 t="str">
        <f ca="1">IFERROR(__xludf.DUMMYFUNCTION("""COMPUTED_VALUE"""),"desktop")</f>
        <v>desktop</v>
      </c>
      <c r="AO226" s="3"/>
      <c r="AP226" s="3"/>
      <c r="AQ226" s="3"/>
      <c r="AR226" s="3"/>
      <c r="AS226" s="3"/>
      <c r="AT226" s="3"/>
      <c r="AU226" s="3" t="str">
        <f ca="1">IFERROR(__xludf.DUMMYFUNCTION("""COMPUTED_VALUE"""),"cílený mini videospot - max. 30 sec.")</f>
        <v>cílený mini videospot - max. 30 sec.</v>
      </c>
    </row>
    <row r="227" spans="1:47" x14ac:dyDescent="0.3">
      <c r="A227" s="3">
        <f ca="1"/>
        <v>2346826</v>
      </c>
      <c r="B227" s="3" t="str">
        <f ca="1"/>
        <v>CZECH NEWS CENTER a. s.</v>
      </c>
      <c r="C227" s="3" t="str">
        <f ca="1">IFERROR(__xludf.DUMMYFUNCTION("""COMPUTED_VALUE"""),"Blesk pro ženy")</f>
        <v>Blesk pro ženy</v>
      </c>
      <c r="D227" s="4" t="str">
        <f ca="1">IFERROR(__xludf.DUMMYFUNCTION("""COMPUTED_VALUE"""),"https://bleskprozeny.cz")</f>
        <v>https://bleskprozeny.cz</v>
      </c>
      <c r="E227" s="3" t="str">
        <f ca="1">IFERROR(__xludf.DUMMYFUNCTION("""COMPUTED_VALUE"""),"celý web")</f>
        <v>celý web</v>
      </c>
      <c r="F227" s="4" t="str">
        <f ca="1">IFERROR(__xludf.DUMMYFUNCTION("""COMPUTED_VALUE"""),"https://bleskprozeny.cz")</f>
        <v>https://bleskprozeny.cz</v>
      </c>
      <c r="G227" s="3" t="str">
        <f ca="1">IFERROR(__xludf.DUMMYFUNCTION("""COMPUTED_VALUE"""),"cílený mobilní interscroller low season")</f>
        <v>cílený mobilní interscroller low season</v>
      </c>
      <c r="H227" s="3">
        <f ca="1">IFERROR(__xludf.DUMMYFUNCTION("""COMPUTED_VALUE"""),7)</f>
        <v>7</v>
      </c>
      <c r="I227" s="5">
        <f ca="1">IFERROR(__xludf.DUMMYFUNCTION("""COMPUTED_VALUE"""),1000)</f>
        <v>1000</v>
      </c>
      <c r="J227" s="5">
        <f ca="1">IFERROR(__xludf.DUMMYFUNCTION("""COMPUTED_VALUE"""),300)</f>
        <v>300</v>
      </c>
      <c r="K227" s="3"/>
      <c r="L227" s="3" t="str">
        <f ca="1">IFERROR(__xludf.DUMMYFUNCTION("""COMPUTED_VALUE"""),"Cost per period")</f>
        <v>Cost per period</v>
      </c>
      <c r="M227" s="3"/>
      <c r="N227" s="3"/>
      <c r="O227" s="3" t="str">
        <f ca="1">IFERROR(__xludf.DUMMYFUNCTION("""COMPUTED_VALUE"""),"600")</f>
        <v>600</v>
      </c>
      <c r="P227" s="3" t="str">
        <f ca="1">IFERROR(__xludf.DUMMYFUNCTION("""COMPUTED_VALUE"""),"1080")</f>
        <v>1080</v>
      </c>
      <c r="Q227" s="3" t="str">
        <f ca="1">IFERROR(__xludf.DUMMYFUNCTION("""COMPUTED_VALUE"""),"600x1080")</f>
        <v>600x1080</v>
      </c>
      <c r="R227" s="3"/>
      <c r="S227" s="3" t="str">
        <f ca="1">IFERROR(__xludf.DUMMYFUNCTION("""COMPUTED_VALUE"""),"200")</f>
        <v>200</v>
      </c>
      <c r="T227" s="3"/>
      <c r="U227" s="3" t="str">
        <f ca="1">IFERROR(__xludf.DUMMYFUNCTION("""COMPUTED_VALUE"""),"banner standard")</f>
        <v>banner standard</v>
      </c>
      <c r="V227" s="3"/>
      <c r="W227" s="4" t="str">
        <f ca="1">IFERROR(__xludf.DUMMYFUNCTION("""COMPUTED_VALUE"""),"https://reklama.cncenter.cz/Online/mobilni-interscroller")</f>
        <v>https://reklama.cncenter.cz/Online/mobilni-interscroller</v>
      </c>
      <c r="X227" s="3"/>
      <c r="Y227" s="3"/>
      <c r="Z227" s="3" t="str">
        <f ca="1">IFERROR(__xludf.DUMMYFUNCTION("""COMPUTED_VALUE"""),"podklady@cncenter.cz")</f>
        <v>podklady@cncenter.cz</v>
      </c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 t="str">
        <f ca="1">IFERROR(__xludf.DUMMYFUNCTION("""COMPUTED_VALUE"""),"mobile")</f>
        <v>mobile</v>
      </c>
      <c r="AO227" s="3"/>
      <c r="AP227" s="3"/>
      <c r="AQ227" s="3"/>
      <c r="AR227" s="3"/>
      <c r="AS227" s="3"/>
      <c r="AT227" s="3"/>
      <c r="AU227" s="3" t="str">
        <f ca="1">IFERROR(__xludf.DUMMYFUNCTION("""COMPUTED_VALUE"""),"cílený mobilní interscroller")</f>
        <v>cílený mobilní interscroller</v>
      </c>
    </row>
    <row r="228" spans="1:47" x14ac:dyDescent="0.3">
      <c r="A228" s="3">
        <f ca="1"/>
        <v>2346826</v>
      </c>
      <c r="B228" s="3" t="str">
        <f ca="1"/>
        <v>CZECH NEWS CENTER a. s.</v>
      </c>
      <c r="C228" s="3" t="str">
        <f ca="1">IFERROR(__xludf.DUMMYFUNCTION("""COMPUTED_VALUE"""),"Blesk pro ženy")</f>
        <v>Blesk pro ženy</v>
      </c>
      <c r="D228" s="4" t="str">
        <f ca="1">IFERROR(__xludf.DUMMYFUNCTION("""COMPUTED_VALUE"""),"https://bleskprozeny.cz")</f>
        <v>https://bleskprozeny.cz</v>
      </c>
      <c r="E228" s="3" t="str">
        <f ca="1">IFERROR(__xludf.DUMMYFUNCTION("""COMPUTED_VALUE"""),"celý web")</f>
        <v>celý web</v>
      </c>
      <c r="F228" s="4" t="str">
        <f ca="1">IFERROR(__xludf.DUMMYFUNCTION("""COMPUTED_VALUE"""),"https://bleskprozeny.cz")</f>
        <v>https://bleskprozeny.cz</v>
      </c>
      <c r="G228" s="3" t="str">
        <f ca="1">IFERROR(__xludf.DUMMYFUNCTION("""COMPUTED_VALUE"""),"cílený mobilní slide-up low season")</f>
        <v>cílený mobilní slide-up low season</v>
      </c>
      <c r="H228" s="3">
        <f ca="1">IFERROR(__xludf.DUMMYFUNCTION("""COMPUTED_VALUE"""),7)</f>
        <v>7</v>
      </c>
      <c r="I228" s="5">
        <f ca="1">IFERROR(__xludf.DUMMYFUNCTION("""COMPUTED_VALUE"""),1000)</f>
        <v>1000</v>
      </c>
      <c r="J228" s="5">
        <f ca="1">IFERROR(__xludf.DUMMYFUNCTION("""COMPUTED_VALUE"""),612)</f>
        <v>612</v>
      </c>
      <c r="K228" s="3"/>
      <c r="L228" s="3" t="str">
        <f ca="1">IFERROR(__xludf.DUMMYFUNCTION("""COMPUTED_VALUE"""),"Cost per period")</f>
        <v>Cost per period</v>
      </c>
      <c r="M228" s="3"/>
      <c r="N228" s="3"/>
      <c r="O228" s="3" t="str">
        <f ca="1">IFERROR(__xludf.DUMMYFUNCTION("""COMPUTED_VALUE"""),"300")</f>
        <v>300</v>
      </c>
      <c r="P228" s="3" t="str">
        <f ca="1">IFERROR(__xludf.DUMMYFUNCTION("""COMPUTED_VALUE"""),"120")</f>
        <v>120</v>
      </c>
      <c r="Q228" s="3" t="str">
        <f ca="1">IFERROR(__xludf.DUMMYFUNCTION("""COMPUTED_VALUE"""),"300x120")</f>
        <v>300x120</v>
      </c>
      <c r="R228" s="3"/>
      <c r="S228" s="3" t="str">
        <f ca="1">IFERROR(__xludf.DUMMYFUNCTION("""COMPUTED_VALUE"""),"100")</f>
        <v>100</v>
      </c>
      <c r="T228" s="3"/>
      <c r="U228" s="3" t="str">
        <f ca="1">IFERROR(__xludf.DUMMYFUNCTION("""COMPUTED_VALUE"""),"banner standard")</f>
        <v>banner standard</v>
      </c>
      <c r="V228" s="3"/>
      <c r="W228" s="4" t="str">
        <f ca="1">IFERROR(__xludf.DUMMYFUNCTION("""COMPUTED_VALUE"""),"https://reklama.cncenter.cz/Online/mobilni-slide-up")</f>
        <v>https://reklama.cncenter.cz/Online/mobilni-slide-up</v>
      </c>
      <c r="X228" s="3"/>
      <c r="Y228" s="3"/>
      <c r="Z228" s="3" t="str">
        <f ca="1">IFERROR(__xludf.DUMMYFUNCTION("""COMPUTED_VALUE"""),"podklady@cncenter.cz")</f>
        <v>podklady@cncenter.cz</v>
      </c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 t="str">
        <f ca="1">IFERROR(__xludf.DUMMYFUNCTION("""COMPUTED_VALUE"""),"mobile")</f>
        <v>mobile</v>
      </c>
      <c r="AO228" s="3"/>
      <c r="AP228" s="3"/>
      <c r="AQ228" s="3"/>
      <c r="AR228" s="3"/>
      <c r="AS228" s="3"/>
      <c r="AT228" s="3"/>
      <c r="AU228" s="3" t="str">
        <f ca="1">IFERROR(__xludf.DUMMYFUNCTION("""COMPUTED_VALUE"""),"cílený mobilní slide-up")</f>
        <v>cílený mobilní slide-up</v>
      </c>
    </row>
    <row r="229" spans="1:47" x14ac:dyDescent="0.3">
      <c r="A229" s="3">
        <f ca="1"/>
        <v>2346826</v>
      </c>
      <c r="B229" s="3" t="str">
        <f ca="1"/>
        <v>CZECH NEWS CENTER a. s.</v>
      </c>
      <c r="C229" s="3" t="str">
        <f ca="1">IFERROR(__xludf.DUMMYFUNCTION("""COMPUTED_VALUE"""),"Blesk pro ženy")</f>
        <v>Blesk pro ženy</v>
      </c>
      <c r="D229" s="4" t="str">
        <f ca="1">IFERROR(__xludf.DUMMYFUNCTION("""COMPUTED_VALUE"""),"https://bleskprozeny.cz")</f>
        <v>https://bleskprozeny.cz</v>
      </c>
      <c r="E229" s="3" t="str">
        <f ca="1">IFERROR(__xludf.DUMMYFUNCTION("""COMPUTED_VALUE"""),"celý web")</f>
        <v>celý web</v>
      </c>
      <c r="F229" s="4" t="str">
        <f ca="1">IFERROR(__xludf.DUMMYFUNCTION("""COMPUTED_VALUE"""),"https://bleskprozeny.cz")</f>
        <v>https://bleskprozeny.cz</v>
      </c>
      <c r="G229" s="3" t="str">
        <f ca="1">IFERROR(__xludf.DUMMYFUNCTION("""COMPUTED_VALUE"""),"cílený mobilní viněta low season")</f>
        <v>cílený mobilní viněta low season</v>
      </c>
      <c r="H229" s="3">
        <f ca="1">IFERROR(__xludf.DUMMYFUNCTION("""COMPUTED_VALUE"""),7)</f>
        <v>7</v>
      </c>
      <c r="I229" s="5">
        <f ca="1">IFERROR(__xludf.DUMMYFUNCTION("""COMPUTED_VALUE"""),1000)</f>
        <v>1000</v>
      </c>
      <c r="J229" s="5">
        <f ca="1">IFERROR(__xludf.DUMMYFUNCTION("""COMPUTED_VALUE"""),1056)</f>
        <v>1056</v>
      </c>
      <c r="K229" s="3"/>
      <c r="L229" s="3" t="str">
        <f ca="1">IFERROR(__xludf.DUMMYFUNCTION("""COMPUTED_VALUE"""),"Cost per period")</f>
        <v>Cost per period</v>
      </c>
      <c r="M229" s="3"/>
      <c r="N229" s="3"/>
      <c r="O229" s="3" t="str">
        <f ca="1">IFERROR(__xludf.DUMMYFUNCTION("""COMPUTED_VALUE"""),"600")</f>
        <v>600</v>
      </c>
      <c r="P229" s="3" t="str">
        <f ca="1">IFERROR(__xludf.DUMMYFUNCTION("""COMPUTED_VALUE"""),"800")</f>
        <v>800</v>
      </c>
      <c r="Q229" s="3" t="str">
        <f ca="1">IFERROR(__xludf.DUMMYFUNCTION("""COMPUTED_VALUE"""),"300x250 nebo 600x800")</f>
        <v>300x250 nebo 600x800</v>
      </c>
      <c r="R229" s="3"/>
      <c r="S229" s="3" t="str">
        <f ca="1">IFERROR(__xludf.DUMMYFUNCTION("""COMPUTED_VALUE"""),"100")</f>
        <v>100</v>
      </c>
      <c r="T229" s="3"/>
      <c r="U229" s="3" t="str">
        <f ca="1">IFERROR(__xludf.DUMMYFUNCTION("""COMPUTED_VALUE"""),"banner standard")</f>
        <v>banner standard</v>
      </c>
      <c r="V229" s="3"/>
      <c r="W229" s="4" t="str">
        <f ca="1">IFERROR(__xludf.DUMMYFUNCTION("""COMPUTED_VALUE"""),"https://reklama.cncenter.cz/Online/mobilni-vineta")</f>
        <v>https://reklama.cncenter.cz/Online/mobilni-vineta</v>
      </c>
      <c r="X229" s="3"/>
      <c r="Y229" s="3"/>
      <c r="Z229" s="3" t="str">
        <f ca="1">IFERROR(__xludf.DUMMYFUNCTION("""COMPUTED_VALUE"""),"podklady@cncenter.cz")</f>
        <v>podklady@cncenter.cz</v>
      </c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 t="str">
        <f ca="1">IFERROR(__xludf.DUMMYFUNCTION("""COMPUTED_VALUE"""),"mobile")</f>
        <v>mobile</v>
      </c>
      <c r="AO229" s="3"/>
      <c r="AP229" s="3"/>
      <c r="AQ229" s="3"/>
      <c r="AR229" s="3"/>
      <c r="AS229" s="3"/>
      <c r="AT229" s="3"/>
      <c r="AU229" s="3" t="str">
        <f ca="1">IFERROR(__xludf.DUMMYFUNCTION("""COMPUTED_VALUE"""),"cílený mobilní viněta")</f>
        <v>cílený mobilní viněta</v>
      </c>
    </row>
    <row r="230" spans="1:47" x14ac:dyDescent="0.3">
      <c r="A230" s="3">
        <f ca="1"/>
        <v>2346826</v>
      </c>
      <c r="B230" s="3" t="str">
        <f ca="1"/>
        <v>CZECH NEWS CENTER a. s.</v>
      </c>
      <c r="C230" s="3" t="str">
        <f ca="1">IFERROR(__xludf.DUMMYFUNCTION("""COMPUTED_VALUE"""),"Blesk pro ženy")</f>
        <v>Blesk pro ženy</v>
      </c>
      <c r="D230" s="4" t="str">
        <f ca="1">IFERROR(__xludf.DUMMYFUNCTION("""COMPUTED_VALUE"""),"https://bleskprozeny.cz")</f>
        <v>https://bleskprozeny.cz</v>
      </c>
      <c r="E230" s="3" t="str">
        <f ca="1">IFERROR(__xludf.DUMMYFUNCTION("""COMPUTED_VALUE"""),"celý web")</f>
        <v>celý web</v>
      </c>
      <c r="F230" s="4" t="str">
        <f ca="1">IFERROR(__xludf.DUMMYFUNCTION("""COMPUTED_VALUE"""),"https://bleskprozeny.cz")</f>
        <v>https://bleskprozeny.cz</v>
      </c>
      <c r="G230" s="3" t="str">
        <f ca="1">IFERROR(__xludf.DUMMYFUNCTION("""COMPUTED_VALUE"""),"cílený nativní pr premium low season")</f>
        <v>cílený nativní pr premium low season</v>
      </c>
      <c r="H230" s="3">
        <f ca="1">IFERROR(__xludf.DUMMYFUNCTION("""COMPUTED_VALUE"""),7)</f>
        <v>7</v>
      </c>
      <c r="I230" s="5">
        <f ca="1">IFERROR(__xludf.DUMMYFUNCTION("""COMPUTED_VALUE"""),1000)</f>
        <v>1000</v>
      </c>
      <c r="J230" s="5">
        <f ca="1">IFERROR(__xludf.DUMMYFUNCTION("""COMPUTED_VALUE"""),120)</f>
        <v>120</v>
      </c>
      <c r="K230" s="3"/>
      <c r="L230" s="3" t="str">
        <f ca="1">IFERROR(__xludf.DUMMYFUNCTION("""COMPUTED_VALUE"""),"Cost per period")</f>
        <v>Cost per period</v>
      </c>
      <c r="M230" s="3"/>
      <c r="N230" s="3"/>
      <c r="O230" s="3" t="str">
        <f ca="1">IFERROR(__xludf.DUMMYFUNCTION("""COMPUTED_VALUE"""),"640")</f>
        <v>640</v>
      </c>
      <c r="P230" s="3" t="str">
        <f ca="1">IFERROR(__xludf.DUMMYFUNCTION("""COMPUTED_VALUE"""),"335, 640")</f>
        <v>335, 640</v>
      </c>
      <c r="Q230" s="3" t="str">
        <f ca="1">IFERROR(__xludf.DUMMYFUNCTION("""COMPUTED_VALUE"""),"640x640 a 640x335 + text + logo")</f>
        <v>640x640 a 640x335 + text + logo</v>
      </c>
      <c r="R230" s="3" t="str">
        <f ca="1">IFERROR(__xludf.DUMMYFUNCTION("""COMPUTED_VALUE"""),"detailní specifikace na URL odkaze")</f>
        <v>detailní specifikace na URL odkaze</v>
      </c>
      <c r="S230" s="3" t="str">
        <f ca="1">IFERROR(__xludf.DUMMYFUNCTION("""COMPUTED_VALUE"""),"100")</f>
        <v>100</v>
      </c>
      <c r="T230" s="3"/>
      <c r="U230" s="3" t="str">
        <f ca="1">IFERROR(__xludf.DUMMYFUNCTION("""COMPUTED_VALUE"""),"nativní reklama")</f>
        <v>nativní reklama</v>
      </c>
      <c r="V230" s="3"/>
      <c r="W230" s="4" t="str">
        <f ca="1">IFERROR(__xludf.DUMMYFUNCTION("""COMPUTED_VALUE"""),"https://reklama.cncenter.cz/Online/nativni-PR-premium")</f>
        <v>https://reklama.cncenter.cz/Online/nativni-PR-premium</v>
      </c>
      <c r="X230" s="3"/>
      <c r="Y230" s="3"/>
      <c r="Z230" s="3" t="str">
        <f ca="1">IFERROR(__xludf.DUMMYFUNCTION("""COMPUTED_VALUE"""),"podklady@cncenter.cz")</f>
        <v>podklady@cncenter.cz</v>
      </c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 t="str">
        <f ca="1">IFERROR(__xludf.DUMMYFUNCTION("""COMPUTED_VALUE"""),"cross-device")</f>
        <v>cross-device</v>
      </c>
      <c r="AO230" s="3"/>
      <c r="AP230" s="3"/>
      <c r="AQ230" s="3"/>
      <c r="AR230" s="3"/>
      <c r="AS230" s="3"/>
      <c r="AT230" s="3"/>
      <c r="AU230" s="3" t="str">
        <f ca="1">IFERROR(__xludf.DUMMYFUNCTION("""COMPUTED_VALUE"""),"cílený nativní pr premium")</f>
        <v>cílený nativní pr premium</v>
      </c>
    </row>
    <row r="231" spans="1:47" x14ac:dyDescent="0.3">
      <c r="A231" s="3">
        <f ca="1"/>
        <v>2346826</v>
      </c>
      <c r="B231" s="3" t="str">
        <f ca="1"/>
        <v>CZECH NEWS CENTER a. s.</v>
      </c>
      <c r="C231" s="3" t="str">
        <f ca="1">IFERROR(__xludf.DUMMYFUNCTION("""COMPUTED_VALUE"""),"Blesk pro ženy")</f>
        <v>Blesk pro ženy</v>
      </c>
      <c r="D231" s="4" t="str">
        <f ca="1">IFERROR(__xludf.DUMMYFUNCTION("""COMPUTED_VALUE"""),"https://bleskprozeny.cz")</f>
        <v>https://bleskprozeny.cz</v>
      </c>
      <c r="E231" s="3" t="str">
        <f ca="1">IFERROR(__xludf.DUMMYFUNCTION("""COMPUTED_VALUE"""),"celý web")</f>
        <v>celý web</v>
      </c>
      <c r="F231" s="4" t="str">
        <f ca="1">IFERROR(__xludf.DUMMYFUNCTION("""COMPUTED_VALUE"""),"https://bleskprozeny.cz")</f>
        <v>https://bleskprozeny.cz</v>
      </c>
      <c r="G231" s="3" t="str">
        <f ca="1">IFERROR(__xludf.DUMMYFUNCTION("""COMPUTED_VALUE"""),"cílený nativní rectangle cross-device low season")</f>
        <v>cílený nativní rectangle cross-device low season</v>
      </c>
      <c r="H231" s="3">
        <f ca="1">IFERROR(__xludf.DUMMYFUNCTION("""COMPUTED_VALUE"""),7)</f>
        <v>7</v>
      </c>
      <c r="I231" s="5">
        <f ca="1">IFERROR(__xludf.DUMMYFUNCTION("""COMPUTED_VALUE"""),1000)</f>
        <v>1000</v>
      </c>
      <c r="J231" s="5">
        <f ca="1">IFERROR(__xludf.DUMMYFUNCTION("""COMPUTED_VALUE"""),240)</f>
        <v>240</v>
      </c>
      <c r="K231" s="3"/>
      <c r="L231" s="3" t="str">
        <f ca="1">IFERROR(__xludf.DUMMYFUNCTION("""COMPUTED_VALUE"""),"Cost per period")</f>
        <v>Cost per period</v>
      </c>
      <c r="M231" s="3"/>
      <c r="N231" s="3"/>
      <c r="O231" s="3" t="str">
        <f ca="1">IFERROR(__xludf.DUMMYFUNCTION("""COMPUTED_VALUE"""),"640")</f>
        <v>640</v>
      </c>
      <c r="P231" s="3" t="str">
        <f ca="1">IFERROR(__xludf.DUMMYFUNCTION("""COMPUTED_VALUE"""),"335, 640")</f>
        <v>335, 640</v>
      </c>
      <c r="Q231" s="3" t="str">
        <f ca="1">IFERROR(__xludf.DUMMYFUNCTION("""COMPUTED_VALUE"""),"640x640 a 640x335 + text + logo")</f>
        <v>640x640 a 640x335 + text + logo</v>
      </c>
      <c r="R231" s="3"/>
      <c r="S231" s="3" t="str">
        <f ca="1">IFERROR(__xludf.DUMMYFUNCTION("""COMPUTED_VALUE"""),"45")</f>
        <v>45</v>
      </c>
      <c r="T231" s="3"/>
      <c r="U231" s="3" t="str">
        <f ca="1">IFERROR(__xludf.DUMMYFUNCTION("""COMPUTED_VALUE"""),"nativní reklama")</f>
        <v>nativní reklama</v>
      </c>
      <c r="V231" s="3"/>
      <c r="W231" s="4" t="str">
        <f ca="1">IFERROR(__xludf.DUMMYFUNCTION("""COMPUTED_VALUE"""),"https://reklama.cncenter.cz/Online/nativni-rectangle-cross-device")</f>
        <v>https://reklama.cncenter.cz/Online/nativni-rectangle-cross-device</v>
      </c>
      <c r="X231" s="3"/>
      <c r="Y231" s="3"/>
      <c r="Z231" s="3" t="str">
        <f ca="1">IFERROR(__xludf.DUMMYFUNCTION("""COMPUTED_VALUE"""),"podklady@cncenter.cz")</f>
        <v>podklady@cncenter.cz</v>
      </c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 t="str">
        <f ca="1">IFERROR(__xludf.DUMMYFUNCTION("""COMPUTED_VALUE"""),"cross-device")</f>
        <v>cross-device</v>
      </c>
      <c r="AO231" s="3"/>
      <c r="AP231" s="3"/>
      <c r="AQ231" s="3"/>
      <c r="AR231" s="3"/>
      <c r="AS231" s="3"/>
      <c r="AT231" s="3"/>
      <c r="AU231" s="3" t="str">
        <f ca="1">IFERROR(__xludf.DUMMYFUNCTION("""COMPUTED_VALUE"""),"cílený nativní rectangle cross-device")</f>
        <v>cílený nativní rectangle cross-device</v>
      </c>
    </row>
    <row r="232" spans="1:47" x14ac:dyDescent="0.3">
      <c r="A232" s="3">
        <f ca="1"/>
        <v>2346826</v>
      </c>
      <c r="B232" s="3" t="str">
        <f ca="1"/>
        <v>CZECH NEWS CENTER a. s.</v>
      </c>
      <c r="C232" s="3" t="str">
        <f ca="1">IFERROR(__xludf.DUMMYFUNCTION("""COMPUTED_VALUE"""),"Blesk pro ženy")</f>
        <v>Blesk pro ženy</v>
      </c>
      <c r="D232" s="4" t="str">
        <f ca="1">IFERROR(__xludf.DUMMYFUNCTION("""COMPUTED_VALUE"""),"https://bleskprozeny.cz")</f>
        <v>https://bleskprozeny.cz</v>
      </c>
      <c r="E232" s="3" t="str">
        <f ca="1">IFERROR(__xludf.DUMMYFUNCTION("""COMPUTED_VALUE"""),"celý web")</f>
        <v>celý web</v>
      </c>
      <c r="F232" s="4" t="str">
        <f ca="1">IFERROR(__xludf.DUMMYFUNCTION("""COMPUTED_VALUE"""),"https://bleskprozeny.cz")</f>
        <v>https://bleskprozeny.cz</v>
      </c>
      <c r="G232" s="3" t="str">
        <f ca="1">IFERROR(__xludf.DUMMYFUNCTION("""COMPUTED_VALUE"""),"cílený outstream low season")</f>
        <v>cílený outstream low season</v>
      </c>
      <c r="H232" s="3">
        <f ca="1">IFERROR(__xludf.DUMMYFUNCTION("""COMPUTED_VALUE"""),7)</f>
        <v>7</v>
      </c>
      <c r="I232" s="5">
        <f ca="1">IFERROR(__xludf.DUMMYFUNCTION("""COMPUTED_VALUE"""),1000)</f>
        <v>1000</v>
      </c>
      <c r="J232" s="5">
        <f ca="1">IFERROR(__xludf.DUMMYFUNCTION("""COMPUTED_VALUE"""),300)</f>
        <v>300</v>
      </c>
      <c r="K232" s="3"/>
      <c r="L232" s="3" t="str">
        <f ca="1">IFERROR(__xludf.DUMMYFUNCTION("""COMPUTED_VALUE"""),"Cost per period")</f>
        <v>Cost per period</v>
      </c>
      <c r="M232" s="3"/>
      <c r="N232" s="3"/>
      <c r="O232" s="3" t="str">
        <f ca="1">IFERROR(__xludf.DUMMYFUNCTION("""COMPUTED_VALUE"""),"1280")</f>
        <v>1280</v>
      </c>
      <c r="P232" s="3" t="str">
        <f ca="1">IFERROR(__xludf.DUMMYFUNCTION("""COMPUTED_VALUE"""),"720")</f>
        <v>720</v>
      </c>
      <c r="Q232" s="3" t="str">
        <f ca="1">IFERROR(__xludf.DUMMYFUNCTION("""COMPUTED_VALUE"""),"16:9")</f>
        <v>16:9</v>
      </c>
      <c r="R232" s="3"/>
      <c r="S232" s="3" t="str">
        <f ca="1">IFERROR(__xludf.DUMMYFUNCTION("""COMPUTED_VALUE"""),"100")</f>
        <v>100</v>
      </c>
      <c r="T232" s="3"/>
      <c r="U232" s="3" t="str">
        <f ca="1">IFERROR(__xludf.DUMMYFUNCTION("""COMPUTED_VALUE"""),"videospot")</f>
        <v>videospot</v>
      </c>
      <c r="V232" s="3"/>
      <c r="W232" s="4" t="str">
        <f ca="1">IFERROR(__xludf.DUMMYFUNCTION("""COMPUTED_VALUE"""),"https://reklama.cncenter.cz/Online/Outstream")</f>
        <v>https://reklama.cncenter.cz/Online/Outstream</v>
      </c>
      <c r="X232" s="3"/>
      <c r="Y232" s="3"/>
      <c r="Z232" s="3" t="str">
        <f ca="1">IFERROR(__xludf.DUMMYFUNCTION("""COMPUTED_VALUE"""),"podklady@cncenter.cz")</f>
        <v>podklady@cncenter.cz</v>
      </c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 t="str">
        <f ca="1">IFERROR(__xludf.DUMMYFUNCTION("""COMPUTED_VALUE"""),"cross-device")</f>
        <v>cross-device</v>
      </c>
      <c r="AO232" s="3"/>
      <c r="AP232" s="3"/>
      <c r="AQ232" s="3"/>
      <c r="AR232" s="3"/>
      <c r="AS232" s="3"/>
      <c r="AT232" s="3"/>
      <c r="AU232" s="3" t="str">
        <f ca="1">IFERROR(__xludf.DUMMYFUNCTION("""COMPUTED_VALUE"""),"cílený outstream")</f>
        <v>cílený outstream</v>
      </c>
    </row>
    <row r="233" spans="1:47" x14ac:dyDescent="0.3">
      <c r="A233" s="3">
        <f ca="1"/>
        <v>2346826</v>
      </c>
      <c r="B233" s="3" t="str">
        <f ca="1"/>
        <v>CZECH NEWS CENTER a. s.</v>
      </c>
      <c r="C233" s="3" t="str">
        <f ca="1">IFERROR(__xludf.DUMMYFUNCTION("""COMPUTED_VALUE"""),"Blesk pro ženy")</f>
        <v>Blesk pro ženy</v>
      </c>
      <c r="D233" s="4" t="str">
        <f ca="1">IFERROR(__xludf.DUMMYFUNCTION("""COMPUTED_VALUE"""),"https://bleskprozeny.cz")</f>
        <v>https://bleskprozeny.cz</v>
      </c>
      <c r="E233" s="3" t="str">
        <f ca="1">IFERROR(__xludf.DUMMYFUNCTION("""COMPUTED_VALUE"""),"celý web")</f>
        <v>celý web</v>
      </c>
      <c r="F233" s="4" t="str">
        <f ca="1">IFERROR(__xludf.DUMMYFUNCTION("""COMPUTED_VALUE"""),"https://bleskprozeny.cz")</f>
        <v>https://bleskprozeny.cz</v>
      </c>
      <c r="G233" s="3" t="str">
        <f ca="1">IFERROR(__xludf.DUMMYFUNCTION("""COMPUTED_VALUE"""),"cílený videospot - max. 30 sec. / bumper low season")</f>
        <v>cílený videospot - max. 30 sec. / bumper low season</v>
      </c>
      <c r="H233" s="3">
        <f ca="1">IFERROR(__xludf.DUMMYFUNCTION("""COMPUTED_VALUE"""),7)</f>
        <v>7</v>
      </c>
      <c r="I233" s="5">
        <f ca="1">IFERROR(__xludf.DUMMYFUNCTION("""COMPUTED_VALUE"""),1000)</f>
        <v>1000</v>
      </c>
      <c r="J233" s="5">
        <f ca="1">IFERROR(__xludf.DUMMYFUNCTION("""COMPUTED_VALUE"""),888)</f>
        <v>888</v>
      </c>
      <c r="K233" s="3"/>
      <c r="L233" s="3" t="str">
        <f ca="1">IFERROR(__xludf.DUMMYFUNCTION("""COMPUTED_VALUE"""),"Cost per period")</f>
        <v>Cost per period</v>
      </c>
      <c r="M233" s="3"/>
      <c r="N233" s="3"/>
      <c r="O233" s="3" t="str">
        <f ca="1">IFERROR(__xludf.DUMMYFUNCTION("""COMPUTED_VALUE"""),"1280")</f>
        <v>1280</v>
      </c>
      <c r="P233" s="3" t="str">
        <f ca="1">IFERROR(__xludf.DUMMYFUNCTION("""COMPUTED_VALUE"""),"720")</f>
        <v>720</v>
      </c>
      <c r="Q233" s="3" t="str">
        <f ca="1">IFERROR(__xludf.DUMMYFUNCTION("""COMPUTED_VALUE"""),"16:9 / umístění po domluvě dle možností")</f>
        <v>16:9 / umístění po domluvě dle možností</v>
      </c>
      <c r="R233" s="3" t="str">
        <f ca="1">IFERROR(__xludf.DUMMYFUNCTION("""COMPUTED_VALUE"""),"přeskočení po 7 sekundách")</f>
        <v>přeskočení po 7 sekundách</v>
      </c>
      <c r="S233" s="3" t="str">
        <f ca="1">IFERROR(__xludf.DUMMYFUNCTION("""COMPUTED_VALUE"""),"100")</f>
        <v>100</v>
      </c>
      <c r="T233" s="3"/>
      <c r="U233" s="3" t="str">
        <f ca="1">IFERROR(__xludf.DUMMYFUNCTION("""COMPUTED_VALUE"""),"videospot")</f>
        <v>videospot</v>
      </c>
      <c r="V233" s="3"/>
      <c r="W233" s="4" t="str">
        <f ca="1">IFERROR(__xludf.DUMMYFUNCTION("""COMPUTED_VALUE"""),"https://reklama.cncenter.cz/Online/Bumper")</f>
        <v>https://reklama.cncenter.cz/Online/Bumper</v>
      </c>
      <c r="X233" s="3"/>
      <c r="Y233" s="3"/>
      <c r="Z233" s="3" t="str">
        <f ca="1">IFERROR(__xludf.DUMMYFUNCTION("""COMPUTED_VALUE"""),"podklady@cncenter.cz")</f>
        <v>podklady@cncenter.cz</v>
      </c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 t="str">
        <f ca="1">IFERROR(__xludf.DUMMYFUNCTION("""COMPUTED_VALUE"""),"cross-device")</f>
        <v>cross-device</v>
      </c>
      <c r="AO233" s="3"/>
      <c r="AP233" s="3"/>
      <c r="AQ233" s="3"/>
      <c r="AR233" s="3"/>
      <c r="AS233" s="3"/>
      <c r="AT233" s="3"/>
      <c r="AU233" s="3" t="str">
        <f ca="1">IFERROR(__xludf.DUMMYFUNCTION("""COMPUTED_VALUE"""),"cílený videospot - max. 30 sec. / bumper")</f>
        <v>cílený videospot - max. 30 sec. / bumper</v>
      </c>
    </row>
    <row r="234" spans="1:47" x14ac:dyDescent="0.3">
      <c r="A234" s="3">
        <f ca="1"/>
        <v>2346826</v>
      </c>
      <c r="B234" s="3" t="str">
        <f ca="1"/>
        <v>CZECH NEWS CENTER a. s.</v>
      </c>
      <c r="C234" s="3" t="str">
        <f ca="1">IFERROR(__xludf.DUMMYFUNCTION("""COMPUTED_VALUE"""),"Blesk pro ženy")</f>
        <v>Blesk pro ženy</v>
      </c>
      <c r="D234" s="4" t="str">
        <f ca="1">IFERROR(__xludf.DUMMYFUNCTION("""COMPUTED_VALUE"""),"https://bleskprozeny.cz")</f>
        <v>https://bleskprozeny.cz</v>
      </c>
      <c r="E234" s="3" t="str">
        <f ca="1">IFERROR(__xludf.DUMMYFUNCTION("""COMPUTED_VALUE"""),"celý web")</f>
        <v>celý web</v>
      </c>
      <c r="F234" s="4" t="str">
        <f ca="1">IFERROR(__xludf.DUMMYFUNCTION("""COMPUTED_VALUE"""),"https://bleskprozeny.cz")</f>
        <v>https://bleskprozeny.cz</v>
      </c>
      <c r="G234" s="3" t="str">
        <f ca="1">IFERROR(__xludf.DUMMYFUNCTION("""COMPUTED_VALUE"""),"dokoupení proma o 2 týdny - 10 000 PV *** low season")</f>
        <v>dokoupení proma o 2 týdny - 10 000 PV *** low season</v>
      </c>
      <c r="H234" s="3">
        <f ca="1">IFERROR(__xludf.DUMMYFUNCTION("""COMPUTED_VALUE"""),1)</f>
        <v>1</v>
      </c>
      <c r="I234" s="5">
        <f ca="1">IFERROR(__xludf.DUMMYFUNCTION("""COMPUTED_VALUE"""),1)</f>
        <v>1</v>
      </c>
      <c r="J234" s="5">
        <f ca="1">IFERROR(__xludf.DUMMYFUNCTION("""COMPUTED_VALUE"""),60000)</f>
        <v>60000</v>
      </c>
      <c r="K234" s="3"/>
      <c r="L234" s="3" t="str">
        <f ca="1">IFERROR(__xludf.DUMMYFUNCTION("""COMPUTED_VALUE"""),"Cost per instance")</f>
        <v>Cost per instance</v>
      </c>
      <c r="M234" s="3"/>
      <c r="N234" s="3"/>
      <c r="O234" s="3"/>
      <c r="P234" s="3"/>
      <c r="Q234" s="3"/>
      <c r="R234" s="3"/>
      <c r="S234" s="3" t="str">
        <f ca="1">IFERROR(__xludf.DUMMYFUNCTION("""COMPUTED_VALUE"""),"100")</f>
        <v>100</v>
      </c>
      <c r="T234" s="3"/>
      <c r="U234" s="3" t="str">
        <f ca="1">IFERROR(__xludf.DUMMYFUNCTION("""COMPUTED_VALUE"""),"microsite")</f>
        <v>microsite</v>
      </c>
      <c r="V234" s="3"/>
      <c r="W234" s="3"/>
      <c r="X234" s="3"/>
      <c r="Y234" s="3"/>
      <c r="Z234" s="3" t="str">
        <f ca="1">IFERROR(__xludf.DUMMYFUNCTION("""COMPUTED_VALUE"""),"podklady@cncenter.cz")</f>
        <v>podklady@cncenter.cz</v>
      </c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 t="str">
        <f ca="1">IFERROR(__xludf.DUMMYFUNCTION("""COMPUTED_VALUE"""),"cross-device")</f>
        <v>cross-device</v>
      </c>
      <c r="AO234" s="3"/>
      <c r="AP234" s="3"/>
      <c r="AQ234" s="3"/>
      <c r="AR234" s="3"/>
      <c r="AS234" s="3"/>
      <c r="AT234" s="3"/>
      <c r="AU234" s="3" t="str">
        <f ca="1">IFERROR(__xludf.DUMMYFUNCTION("""COMPUTED_VALUE"""),"dokoupení proma o 2 týdny - 10 000 PV ***")</f>
        <v>dokoupení proma o 2 týdny - 10 000 PV ***</v>
      </c>
    </row>
    <row r="235" spans="1:47" x14ac:dyDescent="0.3">
      <c r="A235" s="3">
        <f ca="1"/>
        <v>2346826</v>
      </c>
      <c r="B235" s="3" t="str">
        <f ca="1"/>
        <v>CZECH NEWS CENTER a. s.</v>
      </c>
      <c r="C235" s="3" t="str">
        <f ca="1">IFERROR(__xludf.DUMMYFUNCTION("""COMPUTED_VALUE"""),"Blesk pro ženy")</f>
        <v>Blesk pro ženy</v>
      </c>
      <c r="D235" s="4" t="str">
        <f ca="1">IFERROR(__xludf.DUMMYFUNCTION("""COMPUTED_VALUE"""),"https://bleskprozeny.cz")</f>
        <v>https://bleskprozeny.cz</v>
      </c>
      <c r="E235" s="3" t="str">
        <f ca="1">IFERROR(__xludf.DUMMYFUNCTION("""COMPUTED_VALUE"""),"celý web")</f>
        <v>celý web</v>
      </c>
      <c r="F235" s="4" t="str">
        <f ca="1">IFERROR(__xludf.DUMMYFUNCTION("""COMPUTED_VALUE"""),"https://bleskprozeny.cz")</f>
        <v>https://bleskprozeny.cz</v>
      </c>
      <c r="G235" s="3" t="str">
        <f ca="1">IFERROR(__xludf.DUMMYFUNCTION("""COMPUTED_VALUE"""),"double skyscraper low season")</f>
        <v>double skyscraper low season</v>
      </c>
      <c r="H235" s="3">
        <f ca="1">IFERROR(__xludf.DUMMYFUNCTION("""COMPUTED_VALUE"""),7)</f>
        <v>7</v>
      </c>
      <c r="I235" s="5">
        <f ca="1">IFERROR(__xludf.DUMMYFUNCTION("""COMPUTED_VALUE"""),1000)</f>
        <v>1000</v>
      </c>
      <c r="J235" s="5">
        <f ca="1">IFERROR(__xludf.DUMMYFUNCTION("""COMPUTED_VALUE"""),190)</f>
        <v>190</v>
      </c>
      <c r="K235" s="3"/>
      <c r="L235" s="3" t="str">
        <f ca="1">IFERROR(__xludf.DUMMYFUNCTION("""COMPUTED_VALUE"""),"Cost per period")</f>
        <v>Cost per period</v>
      </c>
      <c r="M235" s="3"/>
      <c r="N235" s="3"/>
      <c r="O235" s="3" t="str">
        <f ca="1">IFERROR(__xludf.DUMMYFUNCTION("""COMPUTED_VALUE"""),"300")</f>
        <v>300</v>
      </c>
      <c r="P235" s="3" t="str">
        <f ca="1">IFERROR(__xludf.DUMMYFUNCTION("""COMPUTED_VALUE"""),"600")</f>
        <v>600</v>
      </c>
      <c r="Q235" s="3" t="str">
        <f ca="1">IFERROR(__xludf.DUMMYFUNCTION("""COMPUTED_VALUE"""),"300x600")</f>
        <v>300x600</v>
      </c>
      <c r="R235" s="3"/>
      <c r="S235" s="3" t="str">
        <f ca="1">IFERROR(__xludf.DUMMYFUNCTION("""COMPUTED_VALUE"""),"100 (200 - HTML5)")</f>
        <v>100 (200 - HTML5)</v>
      </c>
      <c r="T235" s="3"/>
      <c r="U235" s="3" t="str">
        <f ca="1">IFERROR(__xludf.DUMMYFUNCTION("""COMPUTED_VALUE"""),"banner standard")</f>
        <v>banner standard</v>
      </c>
      <c r="V235" s="3"/>
      <c r="W235" s="4" t="str">
        <f ca="1">IFERROR(__xludf.DUMMYFUNCTION("""COMPUTED_VALUE"""),"https://reklama.cncenter.cz/Online/double-skyscraper")</f>
        <v>https://reklama.cncenter.cz/Online/double-skyscraper</v>
      </c>
      <c r="X235" s="3"/>
      <c r="Y235" s="3"/>
      <c r="Z235" s="3" t="str">
        <f ca="1">IFERROR(__xludf.DUMMYFUNCTION("""COMPUTED_VALUE"""),"podklady@cncenter.cz")</f>
        <v>podklady@cncenter.cz</v>
      </c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 t="str">
        <f ca="1">IFERROR(__xludf.DUMMYFUNCTION("""COMPUTED_VALUE"""),"desktop")</f>
        <v>desktop</v>
      </c>
      <c r="AO235" s="3"/>
      <c r="AP235" s="3"/>
      <c r="AQ235" s="3"/>
      <c r="AR235" s="3"/>
      <c r="AS235" s="3"/>
      <c r="AT235" s="3"/>
      <c r="AU235" s="3" t="str">
        <f ca="1">IFERROR(__xludf.DUMMYFUNCTION("""COMPUTED_VALUE"""),"double skyscraper")</f>
        <v>double skyscraper</v>
      </c>
    </row>
    <row r="236" spans="1:47" x14ac:dyDescent="0.3">
      <c r="A236" s="3">
        <f ca="1"/>
        <v>2346826</v>
      </c>
      <c r="B236" s="3" t="str">
        <f ca="1"/>
        <v>CZECH NEWS CENTER a. s.</v>
      </c>
      <c r="C236" s="3" t="str">
        <f ca="1">IFERROR(__xludf.DUMMYFUNCTION("""COMPUTED_VALUE"""),"Blesk pro ženy")</f>
        <v>Blesk pro ženy</v>
      </c>
      <c r="D236" s="4" t="str">
        <f ca="1">IFERROR(__xludf.DUMMYFUNCTION("""COMPUTED_VALUE"""),"https://bleskprozeny.cz")</f>
        <v>https://bleskprozeny.cz</v>
      </c>
      <c r="E236" s="3" t="str">
        <f ca="1">IFERROR(__xludf.DUMMYFUNCTION("""COMPUTED_VALUE"""),"celý web")</f>
        <v>celý web</v>
      </c>
      <c r="F236" s="4" t="str">
        <f ca="1">IFERROR(__xludf.DUMMYFUNCTION("""COMPUTED_VALUE"""),"https://bleskprozeny.cz")</f>
        <v>https://bleskprozeny.cz</v>
      </c>
      <c r="G236" s="3" t="str">
        <f ca="1">IFERROR(__xludf.DUMMYFUNCTION("""COMPUTED_VALUE"""),"mini videospot - max. 30 sec. low season")</f>
        <v>mini videospot - max. 30 sec. low season</v>
      </c>
      <c r="H236" s="3">
        <f ca="1">IFERROR(__xludf.DUMMYFUNCTION("""COMPUTED_VALUE"""),7)</f>
        <v>7</v>
      </c>
      <c r="I236" s="5">
        <f ca="1">IFERROR(__xludf.DUMMYFUNCTION("""COMPUTED_VALUE"""),1000)</f>
        <v>1000</v>
      </c>
      <c r="J236" s="5">
        <f ca="1">IFERROR(__xludf.DUMMYFUNCTION("""COMPUTED_VALUE"""),140)</f>
        <v>140</v>
      </c>
      <c r="K236" s="3"/>
      <c r="L236" s="3" t="str">
        <f ca="1">IFERROR(__xludf.DUMMYFUNCTION("""COMPUTED_VALUE"""),"Cost per period")</f>
        <v>Cost per period</v>
      </c>
      <c r="M236" s="3"/>
      <c r="N236" s="3"/>
      <c r="O236" s="3"/>
      <c r="P236" s="3"/>
      <c r="Q236" s="3" t="str">
        <f ca="1">IFERROR(__xludf.DUMMYFUNCTION("""COMPUTED_VALUE"""),"16:9 / umístění po domluvě dle možností")</f>
        <v>16:9 / umístění po domluvě dle možností</v>
      </c>
      <c r="R236" s="3" t="str">
        <f ca="1">IFERROR(__xludf.DUMMYFUNCTION("""COMPUTED_VALUE"""),"přeskočení po 7 sekundách")</f>
        <v>přeskočení po 7 sekundách</v>
      </c>
      <c r="S236" s="3" t="str">
        <f ca="1">IFERROR(__xludf.DUMMYFUNCTION("""COMPUTED_VALUE"""),"100")</f>
        <v>100</v>
      </c>
      <c r="T236" s="3"/>
      <c r="U236" s="3" t="str">
        <f ca="1">IFERROR(__xludf.DUMMYFUNCTION("""COMPUTED_VALUE"""),"videospot")</f>
        <v>videospot</v>
      </c>
      <c r="V236" s="3"/>
      <c r="W236" s="4" t="str">
        <f ca="1">IFERROR(__xludf.DUMMYFUNCTION("""COMPUTED_VALUE"""),"https://reklama.cncenter.cz/Online/Videospot")</f>
        <v>https://reklama.cncenter.cz/Online/Videospot</v>
      </c>
      <c r="X236" s="3"/>
      <c r="Y236" s="3"/>
      <c r="Z236" s="3" t="str">
        <f ca="1">IFERROR(__xludf.DUMMYFUNCTION("""COMPUTED_VALUE"""),"podklady@cncenter.cz")</f>
        <v>podklady@cncenter.cz</v>
      </c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 t="str">
        <f ca="1">IFERROR(__xludf.DUMMYFUNCTION("""COMPUTED_VALUE"""),"desktop")</f>
        <v>desktop</v>
      </c>
      <c r="AO236" s="3"/>
      <c r="AP236" s="3"/>
      <c r="AQ236" s="3"/>
      <c r="AR236" s="3"/>
      <c r="AS236" s="3"/>
      <c r="AT236" s="3"/>
      <c r="AU236" s="3" t="str">
        <f ca="1">IFERROR(__xludf.DUMMYFUNCTION("""COMPUTED_VALUE"""),"mini videospot - max. 30 sec.")</f>
        <v>mini videospot - max. 30 sec.</v>
      </c>
    </row>
    <row r="237" spans="1:47" x14ac:dyDescent="0.3">
      <c r="A237" s="3">
        <f ca="1"/>
        <v>2346826</v>
      </c>
      <c r="B237" s="3" t="str">
        <f ca="1"/>
        <v>CZECH NEWS CENTER a. s.</v>
      </c>
      <c r="C237" s="3" t="str">
        <f ca="1">IFERROR(__xludf.DUMMYFUNCTION("""COMPUTED_VALUE"""),"Blesk pro ženy")</f>
        <v>Blesk pro ženy</v>
      </c>
      <c r="D237" s="4" t="str">
        <f ca="1">IFERROR(__xludf.DUMMYFUNCTION("""COMPUTED_VALUE"""),"https://bleskprozeny.cz")</f>
        <v>https://bleskprozeny.cz</v>
      </c>
      <c r="E237" s="3" t="str">
        <f ca="1">IFERROR(__xludf.DUMMYFUNCTION("""COMPUTED_VALUE"""),"celý web")</f>
        <v>celý web</v>
      </c>
      <c r="F237" s="4" t="str">
        <f ca="1">IFERROR(__xludf.DUMMYFUNCTION("""COMPUTED_VALUE"""),"https://bleskprozeny.cz")</f>
        <v>https://bleskprozeny.cz</v>
      </c>
      <c r="G237" s="3" t="str">
        <f ca="1">IFERROR(__xludf.DUMMYFUNCTION("""COMPUTED_VALUE"""),"mobilní interscroller low season")</f>
        <v>mobilní interscroller low season</v>
      </c>
      <c r="H237" s="3">
        <f ca="1">IFERROR(__xludf.DUMMYFUNCTION("""COMPUTED_VALUE"""),7)</f>
        <v>7</v>
      </c>
      <c r="I237" s="5">
        <f ca="1">IFERROR(__xludf.DUMMYFUNCTION("""COMPUTED_VALUE"""),1000)</f>
        <v>1000</v>
      </c>
      <c r="J237" s="5">
        <f ca="1">IFERROR(__xludf.DUMMYFUNCTION("""COMPUTED_VALUE"""),250)</f>
        <v>250</v>
      </c>
      <c r="K237" s="3"/>
      <c r="L237" s="3" t="str">
        <f ca="1">IFERROR(__xludf.DUMMYFUNCTION("""COMPUTED_VALUE"""),"Cost per period")</f>
        <v>Cost per period</v>
      </c>
      <c r="M237" s="3"/>
      <c r="N237" s="3"/>
      <c r="O237" s="3" t="str">
        <f ca="1">IFERROR(__xludf.DUMMYFUNCTION("""COMPUTED_VALUE"""),"600")</f>
        <v>600</v>
      </c>
      <c r="P237" s="3" t="str">
        <f ca="1">IFERROR(__xludf.DUMMYFUNCTION("""COMPUTED_VALUE"""),"1080")</f>
        <v>1080</v>
      </c>
      <c r="Q237" s="3" t="str">
        <f ca="1">IFERROR(__xludf.DUMMYFUNCTION("""COMPUTED_VALUE"""),"600x1080")</f>
        <v>600x1080</v>
      </c>
      <c r="R237" s="3"/>
      <c r="S237" s="3" t="str">
        <f ca="1">IFERROR(__xludf.DUMMYFUNCTION("""COMPUTED_VALUE"""),"200")</f>
        <v>200</v>
      </c>
      <c r="T237" s="3"/>
      <c r="U237" s="3" t="str">
        <f ca="1">IFERROR(__xludf.DUMMYFUNCTION("""COMPUTED_VALUE"""),"banner standard")</f>
        <v>banner standard</v>
      </c>
      <c r="V237" s="3"/>
      <c r="W237" s="4" t="str">
        <f ca="1">IFERROR(__xludf.DUMMYFUNCTION("""COMPUTED_VALUE"""),"https://reklama.cncenter.cz/Online/mobilni-interscroller")</f>
        <v>https://reklama.cncenter.cz/Online/mobilni-interscroller</v>
      </c>
      <c r="X237" s="3"/>
      <c r="Y237" s="3"/>
      <c r="Z237" s="3" t="str">
        <f ca="1">IFERROR(__xludf.DUMMYFUNCTION("""COMPUTED_VALUE"""),"podklady@cncenter.cz")</f>
        <v>podklady@cncenter.cz</v>
      </c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 t="str">
        <f ca="1">IFERROR(__xludf.DUMMYFUNCTION("""COMPUTED_VALUE"""),"mobile")</f>
        <v>mobile</v>
      </c>
      <c r="AO237" s="3"/>
      <c r="AP237" s="3"/>
      <c r="AQ237" s="3"/>
      <c r="AR237" s="3"/>
      <c r="AS237" s="3"/>
      <c r="AT237" s="3"/>
      <c r="AU237" s="3" t="str">
        <f ca="1">IFERROR(__xludf.DUMMYFUNCTION("""COMPUTED_VALUE"""),"mobilní interscroller")</f>
        <v>mobilní interscroller</v>
      </c>
    </row>
    <row r="238" spans="1:47" x14ac:dyDescent="0.3">
      <c r="A238" s="3">
        <f ca="1"/>
        <v>2346826</v>
      </c>
      <c r="B238" s="3" t="str">
        <f ca="1"/>
        <v>CZECH NEWS CENTER a. s.</v>
      </c>
      <c r="C238" s="3" t="str">
        <f ca="1">IFERROR(__xludf.DUMMYFUNCTION("""COMPUTED_VALUE"""),"Blesk pro ženy")</f>
        <v>Blesk pro ženy</v>
      </c>
      <c r="D238" s="4" t="str">
        <f ca="1">IFERROR(__xludf.DUMMYFUNCTION("""COMPUTED_VALUE"""),"https://bleskprozeny.cz")</f>
        <v>https://bleskprozeny.cz</v>
      </c>
      <c r="E238" s="3" t="str">
        <f ca="1">IFERROR(__xludf.DUMMYFUNCTION("""COMPUTED_VALUE"""),"celý web")</f>
        <v>celý web</v>
      </c>
      <c r="F238" s="4" t="str">
        <f ca="1">IFERROR(__xludf.DUMMYFUNCTION("""COMPUTED_VALUE"""),"https://bleskprozeny.cz")</f>
        <v>https://bleskprozeny.cz</v>
      </c>
      <c r="G238" s="3" t="str">
        <f ca="1">IFERROR(__xludf.DUMMYFUNCTION("""COMPUTED_VALUE"""),"mobilní slide-up low season")</f>
        <v>mobilní slide-up low season</v>
      </c>
      <c r="H238" s="3">
        <f ca="1">IFERROR(__xludf.DUMMYFUNCTION("""COMPUTED_VALUE"""),7)</f>
        <v>7</v>
      </c>
      <c r="I238" s="5">
        <f ca="1">IFERROR(__xludf.DUMMYFUNCTION("""COMPUTED_VALUE"""),1000)</f>
        <v>1000</v>
      </c>
      <c r="J238" s="5">
        <f ca="1">IFERROR(__xludf.DUMMYFUNCTION("""COMPUTED_VALUE"""),510)</f>
        <v>510</v>
      </c>
      <c r="K238" s="3"/>
      <c r="L238" s="3" t="str">
        <f ca="1">IFERROR(__xludf.DUMMYFUNCTION("""COMPUTED_VALUE"""),"Cost per period")</f>
        <v>Cost per period</v>
      </c>
      <c r="M238" s="3"/>
      <c r="N238" s="3"/>
      <c r="O238" s="3" t="str">
        <f ca="1">IFERROR(__xludf.DUMMYFUNCTION("""COMPUTED_VALUE"""),"300")</f>
        <v>300</v>
      </c>
      <c r="P238" s="3" t="str">
        <f ca="1">IFERROR(__xludf.DUMMYFUNCTION("""COMPUTED_VALUE"""),"120")</f>
        <v>120</v>
      </c>
      <c r="Q238" s="3" t="str">
        <f ca="1">IFERROR(__xludf.DUMMYFUNCTION("""COMPUTED_VALUE"""),"300x120")</f>
        <v>300x120</v>
      </c>
      <c r="R238" s="3"/>
      <c r="S238" s="3" t="str">
        <f ca="1">IFERROR(__xludf.DUMMYFUNCTION("""COMPUTED_VALUE"""),"100")</f>
        <v>100</v>
      </c>
      <c r="T238" s="3"/>
      <c r="U238" s="3" t="str">
        <f ca="1">IFERROR(__xludf.DUMMYFUNCTION("""COMPUTED_VALUE"""),"banner standard")</f>
        <v>banner standard</v>
      </c>
      <c r="V238" s="3"/>
      <c r="W238" s="4" t="str">
        <f ca="1">IFERROR(__xludf.DUMMYFUNCTION("""COMPUTED_VALUE"""),"https://reklama.cncenter.cz/Online/mobilni-slide-up")</f>
        <v>https://reklama.cncenter.cz/Online/mobilni-slide-up</v>
      </c>
      <c r="X238" s="3"/>
      <c r="Y238" s="3"/>
      <c r="Z238" s="3" t="str">
        <f ca="1">IFERROR(__xludf.DUMMYFUNCTION("""COMPUTED_VALUE"""),"podklady@cncenter.cz")</f>
        <v>podklady@cncenter.cz</v>
      </c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 t="str">
        <f ca="1">IFERROR(__xludf.DUMMYFUNCTION("""COMPUTED_VALUE"""),"mobile")</f>
        <v>mobile</v>
      </c>
      <c r="AO238" s="3"/>
      <c r="AP238" s="3"/>
      <c r="AQ238" s="3"/>
      <c r="AR238" s="3"/>
      <c r="AS238" s="3"/>
      <c r="AT238" s="3"/>
      <c r="AU238" s="3" t="str">
        <f ca="1">IFERROR(__xludf.DUMMYFUNCTION("""COMPUTED_VALUE"""),"mobilní slide-up")</f>
        <v>mobilní slide-up</v>
      </c>
    </row>
    <row r="239" spans="1:47" x14ac:dyDescent="0.3">
      <c r="A239" s="3">
        <f ca="1"/>
        <v>2346826</v>
      </c>
      <c r="B239" s="3" t="str">
        <f ca="1"/>
        <v>CZECH NEWS CENTER a. s.</v>
      </c>
      <c r="C239" s="3" t="str">
        <f ca="1">IFERROR(__xludf.DUMMYFUNCTION("""COMPUTED_VALUE"""),"Blesk pro ženy")</f>
        <v>Blesk pro ženy</v>
      </c>
      <c r="D239" s="4" t="str">
        <f ca="1">IFERROR(__xludf.DUMMYFUNCTION("""COMPUTED_VALUE"""),"https://bleskprozeny.cz")</f>
        <v>https://bleskprozeny.cz</v>
      </c>
      <c r="E239" s="3" t="str">
        <f ca="1">IFERROR(__xludf.DUMMYFUNCTION("""COMPUTED_VALUE"""),"celý web")</f>
        <v>celý web</v>
      </c>
      <c r="F239" s="4" t="str">
        <f ca="1">IFERROR(__xludf.DUMMYFUNCTION("""COMPUTED_VALUE"""),"https://bleskprozeny.cz")</f>
        <v>https://bleskprozeny.cz</v>
      </c>
      <c r="G239" s="3" t="str">
        <f ca="1">IFERROR(__xludf.DUMMYFUNCTION("""COMPUTED_VALUE"""),"mobilní viněta low season")</f>
        <v>mobilní viněta low season</v>
      </c>
      <c r="H239" s="3">
        <f ca="1">IFERROR(__xludf.DUMMYFUNCTION("""COMPUTED_VALUE"""),7)</f>
        <v>7</v>
      </c>
      <c r="I239" s="5">
        <f ca="1">IFERROR(__xludf.DUMMYFUNCTION("""COMPUTED_VALUE"""),1000)</f>
        <v>1000</v>
      </c>
      <c r="J239" s="5">
        <f ca="1">IFERROR(__xludf.DUMMYFUNCTION("""COMPUTED_VALUE"""),880)</f>
        <v>880</v>
      </c>
      <c r="K239" s="3"/>
      <c r="L239" s="3" t="str">
        <f ca="1">IFERROR(__xludf.DUMMYFUNCTION("""COMPUTED_VALUE"""),"Cost per period")</f>
        <v>Cost per period</v>
      </c>
      <c r="M239" s="3"/>
      <c r="N239" s="3"/>
      <c r="O239" s="3" t="str">
        <f ca="1">IFERROR(__xludf.DUMMYFUNCTION("""COMPUTED_VALUE"""),"600")</f>
        <v>600</v>
      </c>
      <c r="P239" s="3" t="str">
        <f ca="1">IFERROR(__xludf.DUMMYFUNCTION("""COMPUTED_VALUE"""),"800")</f>
        <v>800</v>
      </c>
      <c r="Q239" s="3" t="str">
        <f ca="1">IFERROR(__xludf.DUMMYFUNCTION("""COMPUTED_VALUE"""),"300x250 nebo 600x800")</f>
        <v>300x250 nebo 600x800</v>
      </c>
      <c r="R239" s="3"/>
      <c r="S239" s="3" t="str">
        <f ca="1">IFERROR(__xludf.DUMMYFUNCTION("""COMPUTED_VALUE"""),"100")</f>
        <v>100</v>
      </c>
      <c r="T239" s="3"/>
      <c r="U239" s="3" t="str">
        <f ca="1">IFERROR(__xludf.DUMMYFUNCTION("""COMPUTED_VALUE"""),"banner standard")</f>
        <v>banner standard</v>
      </c>
      <c r="V239" s="3"/>
      <c r="W239" s="4" t="str">
        <f ca="1">IFERROR(__xludf.DUMMYFUNCTION("""COMPUTED_VALUE"""),"https://reklama.cncenter.cz/Online/mobilni-vineta")</f>
        <v>https://reklama.cncenter.cz/Online/mobilni-vineta</v>
      </c>
      <c r="X239" s="3"/>
      <c r="Y239" s="3"/>
      <c r="Z239" s="3" t="str">
        <f ca="1">IFERROR(__xludf.DUMMYFUNCTION("""COMPUTED_VALUE"""),"podklady@cncenter.cz")</f>
        <v>podklady@cncenter.cz</v>
      </c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 t="str">
        <f ca="1">IFERROR(__xludf.DUMMYFUNCTION("""COMPUTED_VALUE"""),"mobile")</f>
        <v>mobile</v>
      </c>
      <c r="AO239" s="3"/>
      <c r="AP239" s="3"/>
      <c r="AQ239" s="3"/>
      <c r="AR239" s="3"/>
      <c r="AS239" s="3"/>
      <c r="AT239" s="3"/>
      <c r="AU239" s="3" t="str">
        <f ca="1">IFERROR(__xludf.DUMMYFUNCTION("""COMPUTED_VALUE"""),"mobilní viněta")</f>
        <v>mobilní viněta</v>
      </c>
    </row>
    <row r="240" spans="1:47" x14ac:dyDescent="0.3">
      <c r="A240" s="3">
        <f ca="1"/>
        <v>2346826</v>
      </c>
      <c r="B240" s="3" t="str">
        <f ca="1"/>
        <v>CZECH NEWS CENTER a. s.</v>
      </c>
      <c r="C240" s="3" t="str">
        <f ca="1">IFERROR(__xludf.DUMMYFUNCTION("""COMPUTED_VALUE"""),"Blesk pro ženy")</f>
        <v>Blesk pro ženy</v>
      </c>
      <c r="D240" s="4" t="str">
        <f ca="1">IFERROR(__xludf.DUMMYFUNCTION("""COMPUTED_VALUE"""),"https://bleskprozeny.cz")</f>
        <v>https://bleskprozeny.cz</v>
      </c>
      <c r="E240" s="3" t="str">
        <f ca="1">IFERROR(__xludf.DUMMYFUNCTION("""COMPUTED_VALUE"""),"celý web")</f>
        <v>celý web</v>
      </c>
      <c r="F240" s="4" t="str">
        <f ca="1">IFERROR(__xludf.DUMMYFUNCTION("""COMPUTED_VALUE"""),"https://bleskprozeny.cz")</f>
        <v>https://bleskprozeny.cz</v>
      </c>
      <c r="G240" s="3" t="str">
        <f ca="1">IFERROR(__xludf.DUMMYFUNCTION("""COMPUTED_VALUE"""),"Native Standard low season")</f>
        <v>Native Standard low season</v>
      </c>
      <c r="H240" s="3">
        <f ca="1">IFERROR(__xludf.DUMMYFUNCTION("""COMPUTED_VALUE"""),1)</f>
        <v>1</v>
      </c>
      <c r="I240" s="5">
        <f ca="1">IFERROR(__xludf.DUMMYFUNCTION("""COMPUTED_VALUE"""),1)</f>
        <v>1</v>
      </c>
      <c r="J240" s="5">
        <f ca="1">IFERROR(__xludf.DUMMYFUNCTION("""COMPUTED_VALUE"""),330000)</f>
        <v>330000</v>
      </c>
      <c r="K240" s="3"/>
      <c r="L240" s="3" t="str">
        <f ca="1">IFERROR(__xludf.DUMMYFUNCTION("""COMPUTED_VALUE"""),"Cost per instance")</f>
        <v>Cost per instance</v>
      </c>
      <c r="M240" s="3"/>
      <c r="N240" s="3"/>
      <c r="O240" s="3"/>
      <c r="P240" s="3"/>
      <c r="Q240" s="3"/>
      <c r="R240" s="3"/>
      <c r="S240" s="3" t="str">
        <f ca="1">IFERROR(__xludf.DUMMYFUNCTION("""COMPUTED_VALUE"""),"100")</f>
        <v>100</v>
      </c>
      <c r="T240" s="3"/>
      <c r="U240" s="3" t="str">
        <f ca="1">IFERROR(__xludf.DUMMYFUNCTION("""COMPUTED_VALUE"""),"microsite")</f>
        <v>microsite</v>
      </c>
      <c r="V240" s="3"/>
      <c r="W240" s="3"/>
      <c r="X240" s="3"/>
      <c r="Y240" s="3"/>
      <c r="Z240" s="3" t="str">
        <f ca="1">IFERROR(__xludf.DUMMYFUNCTION("""COMPUTED_VALUE"""),"podklady@cncenter.cz")</f>
        <v>podklady@cncenter.cz</v>
      </c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 t="str">
        <f ca="1">IFERROR(__xludf.DUMMYFUNCTION("""COMPUTED_VALUE"""),"cross-device")</f>
        <v>cross-device</v>
      </c>
      <c r="AO240" s="3"/>
      <c r="AP240" s="3"/>
      <c r="AQ240" s="3"/>
      <c r="AR240" s="3"/>
      <c r="AS240" s="3"/>
      <c r="AT240" s="3"/>
      <c r="AU240" s="3" t="str">
        <f ca="1">IFERROR(__xludf.DUMMYFUNCTION("""COMPUTED_VALUE"""),"Native Standard")</f>
        <v>Native Standard</v>
      </c>
    </row>
    <row r="241" spans="1:47" x14ac:dyDescent="0.3">
      <c r="A241" s="3">
        <f ca="1"/>
        <v>2346826</v>
      </c>
      <c r="B241" s="3" t="str">
        <f ca="1"/>
        <v>CZECH NEWS CENTER a. s.</v>
      </c>
      <c r="C241" s="3" t="str">
        <f ca="1">IFERROR(__xludf.DUMMYFUNCTION("""COMPUTED_VALUE"""),"Blesk pro ženy")</f>
        <v>Blesk pro ženy</v>
      </c>
      <c r="D241" s="4" t="str">
        <f ca="1">IFERROR(__xludf.DUMMYFUNCTION("""COMPUTED_VALUE"""),"https://bleskprozeny.cz")</f>
        <v>https://bleskprozeny.cz</v>
      </c>
      <c r="E241" s="3" t="str">
        <f ca="1">IFERROR(__xludf.DUMMYFUNCTION("""COMPUTED_VALUE"""),"celý web")</f>
        <v>celý web</v>
      </c>
      <c r="F241" s="4" t="str">
        <f ca="1">IFERROR(__xludf.DUMMYFUNCTION("""COMPUTED_VALUE"""),"https://bleskprozeny.cz")</f>
        <v>https://bleskprozeny.cz</v>
      </c>
      <c r="G241" s="3" t="str">
        <f ca="1">IFERROR(__xludf.DUMMYFUNCTION("""COMPUTED_VALUE"""),"nativní pr premium low season")</f>
        <v>nativní pr premium low season</v>
      </c>
      <c r="H241" s="3">
        <f ca="1">IFERROR(__xludf.DUMMYFUNCTION("""COMPUTED_VALUE"""),7)</f>
        <v>7</v>
      </c>
      <c r="I241" s="5">
        <f ca="1">IFERROR(__xludf.DUMMYFUNCTION("""COMPUTED_VALUE"""),1000)</f>
        <v>1000</v>
      </c>
      <c r="J241" s="5">
        <f ca="1">IFERROR(__xludf.DUMMYFUNCTION("""COMPUTED_VALUE"""),100)</f>
        <v>100</v>
      </c>
      <c r="K241" s="3"/>
      <c r="L241" s="3" t="str">
        <f ca="1">IFERROR(__xludf.DUMMYFUNCTION("""COMPUTED_VALUE"""),"Cost per period")</f>
        <v>Cost per period</v>
      </c>
      <c r="M241" s="3"/>
      <c r="N241" s="3"/>
      <c r="O241" s="3" t="str">
        <f ca="1">IFERROR(__xludf.DUMMYFUNCTION("""COMPUTED_VALUE"""),"640")</f>
        <v>640</v>
      </c>
      <c r="P241" s="3" t="str">
        <f ca="1">IFERROR(__xludf.DUMMYFUNCTION("""COMPUTED_VALUE"""),"335, 640")</f>
        <v>335, 640</v>
      </c>
      <c r="Q241" s="3" t="str">
        <f ca="1">IFERROR(__xludf.DUMMYFUNCTION("""COMPUTED_VALUE"""),"640x640 a 640x335 + text + logo")</f>
        <v>640x640 a 640x335 + text + logo</v>
      </c>
      <c r="R241" s="3" t="str">
        <f ca="1">IFERROR(__xludf.DUMMYFUNCTION("""COMPUTED_VALUE"""),"detailní specifikace na URL odkaze")</f>
        <v>detailní specifikace na URL odkaze</v>
      </c>
      <c r="S241" s="3" t="str">
        <f ca="1">IFERROR(__xludf.DUMMYFUNCTION("""COMPUTED_VALUE"""),"100")</f>
        <v>100</v>
      </c>
      <c r="T241" s="3"/>
      <c r="U241" s="3" t="str">
        <f ca="1">IFERROR(__xludf.DUMMYFUNCTION("""COMPUTED_VALUE"""),"nativní reklama")</f>
        <v>nativní reklama</v>
      </c>
      <c r="V241" s="3"/>
      <c r="W241" s="4" t="str">
        <f ca="1">IFERROR(__xludf.DUMMYFUNCTION("""COMPUTED_VALUE"""),"https://reklama.cncenter.cz/Online/nativni-PR-premium")</f>
        <v>https://reklama.cncenter.cz/Online/nativni-PR-premium</v>
      </c>
      <c r="X241" s="3"/>
      <c r="Y241" s="3"/>
      <c r="Z241" s="3" t="str">
        <f ca="1">IFERROR(__xludf.DUMMYFUNCTION("""COMPUTED_VALUE"""),"podklady@cncenter.cz")</f>
        <v>podklady@cncenter.cz</v>
      </c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 t="str">
        <f ca="1">IFERROR(__xludf.DUMMYFUNCTION("""COMPUTED_VALUE"""),"cross-device")</f>
        <v>cross-device</v>
      </c>
      <c r="AO241" s="3"/>
      <c r="AP241" s="3"/>
      <c r="AQ241" s="3"/>
      <c r="AR241" s="3"/>
      <c r="AS241" s="3"/>
      <c r="AT241" s="3"/>
      <c r="AU241" s="3" t="str">
        <f ca="1">IFERROR(__xludf.DUMMYFUNCTION("""COMPUTED_VALUE"""),"nativní pr premium")</f>
        <v>nativní pr premium</v>
      </c>
    </row>
    <row r="242" spans="1:47" x14ac:dyDescent="0.3">
      <c r="A242" s="3">
        <f ca="1"/>
        <v>2346826</v>
      </c>
      <c r="B242" s="3" t="str">
        <f ca="1"/>
        <v>CZECH NEWS CENTER a. s.</v>
      </c>
      <c r="C242" s="3" t="str">
        <f ca="1">IFERROR(__xludf.DUMMYFUNCTION("""COMPUTED_VALUE"""),"Blesk pro ženy")</f>
        <v>Blesk pro ženy</v>
      </c>
      <c r="D242" s="4" t="str">
        <f ca="1">IFERROR(__xludf.DUMMYFUNCTION("""COMPUTED_VALUE"""),"https://bleskprozeny.cz")</f>
        <v>https://bleskprozeny.cz</v>
      </c>
      <c r="E242" s="3" t="str">
        <f ca="1">IFERROR(__xludf.DUMMYFUNCTION("""COMPUTED_VALUE"""),"celý web")</f>
        <v>celý web</v>
      </c>
      <c r="F242" s="4" t="str">
        <f ca="1">IFERROR(__xludf.DUMMYFUNCTION("""COMPUTED_VALUE"""),"https://bleskprozeny.cz")</f>
        <v>https://bleskprozeny.cz</v>
      </c>
      <c r="G242" s="3" t="str">
        <f ca="1">IFERROR(__xludf.DUMMYFUNCTION("""COMPUTED_VALUE"""),"nativní rectangle cross-device low season")</f>
        <v>nativní rectangle cross-device low season</v>
      </c>
      <c r="H242" s="3">
        <f ca="1">IFERROR(__xludf.DUMMYFUNCTION("""COMPUTED_VALUE"""),7)</f>
        <v>7</v>
      </c>
      <c r="I242" s="5">
        <f ca="1">IFERROR(__xludf.DUMMYFUNCTION("""COMPUTED_VALUE"""),1000)</f>
        <v>1000</v>
      </c>
      <c r="J242" s="5">
        <f ca="1">IFERROR(__xludf.DUMMYFUNCTION("""COMPUTED_VALUE"""),200)</f>
        <v>200</v>
      </c>
      <c r="K242" s="3"/>
      <c r="L242" s="3" t="str">
        <f ca="1">IFERROR(__xludf.DUMMYFUNCTION("""COMPUTED_VALUE"""),"Cost per period")</f>
        <v>Cost per period</v>
      </c>
      <c r="M242" s="3"/>
      <c r="N242" s="3"/>
      <c r="O242" s="3" t="str">
        <f ca="1">IFERROR(__xludf.DUMMYFUNCTION("""COMPUTED_VALUE"""),"640")</f>
        <v>640</v>
      </c>
      <c r="P242" s="3" t="str">
        <f ca="1">IFERROR(__xludf.DUMMYFUNCTION("""COMPUTED_VALUE"""),"335, 640")</f>
        <v>335, 640</v>
      </c>
      <c r="Q242" s="3" t="str">
        <f ca="1">IFERROR(__xludf.DUMMYFUNCTION("""COMPUTED_VALUE"""),"640x640 a 640x335 + text + logo")</f>
        <v>640x640 a 640x335 + text + logo</v>
      </c>
      <c r="R242" s="3"/>
      <c r="S242" s="3" t="str">
        <f ca="1">IFERROR(__xludf.DUMMYFUNCTION("""COMPUTED_VALUE"""),"45")</f>
        <v>45</v>
      </c>
      <c r="T242" s="3"/>
      <c r="U242" s="3" t="str">
        <f ca="1">IFERROR(__xludf.DUMMYFUNCTION("""COMPUTED_VALUE"""),"nativní reklama")</f>
        <v>nativní reklama</v>
      </c>
      <c r="V242" s="3"/>
      <c r="W242" s="4" t="str">
        <f ca="1">IFERROR(__xludf.DUMMYFUNCTION("""COMPUTED_VALUE"""),"https://reklama.cncenter.cz/Online/nativni-rectangle-cross-device")</f>
        <v>https://reklama.cncenter.cz/Online/nativni-rectangle-cross-device</v>
      </c>
      <c r="X242" s="3"/>
      <c r="Y242" s="3"/>
      <c r="Z242" s="3" t="str">
        <f ca="1">IFERROR(__xludf.DUMMYFUNCTION("""COMPUTED_VALUE"""),"podklady@cncenter.cz")</f>
        <v>podklady@cncenter.cz</v>
      </c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 t="str">
        <f ca="1">IFERROR(__xludf.DUMMYFUNCTION("""COMPUTED_VALUE"""),"cross-device")</f>
        <v>cross-device</v>
      </c>
      <c r="AO242" s="3"/>
      <c r="AP242" s="3"/>
      <c r="AQ242" s="3"/>
      <c r="AR242" s="3"/>
      <c r="AS242" s="3"/>
      <c r="AT242" s="3"/>
      <c r="AU242" s="3" t="str">
        <f ca="1">IFERROR(__xludf.DUMMYFUNCTION("""COMPUTED_VALUE"""),"nativní rectangle cross-device")</f>
        <v>nativní rectangle cross-device</v>
      </c>
    </row>
    <row r="243" spans="1:47" x14ac:dyDescent="0.3">
      <c r="A243" s="3">
        <f ca="1"/>
        <v>2346826</v>
      </c>
      <c r="B243" s="3" t="str">
        <f ca="1"/>
        <v>CZECH NEWS CENTER a. s.</v>
      </c>
      <c r="C243" s="3" t="str">
        <f ca="1">IFERROR(__xludf.DUMMYFUNCTION("""COMPUTED_VALUE"""),"Blesk pro ženy")</f>
        <v>Blesk pro ženy</v>
      </c>
      <c r="D243" s="4" t="str">
        <f ca="1">IFERROR(__xludf.DUMMYFUNCTION("""COMPUTED_VALUE"""),"https://bleskprozeny.cz")</f>
        <v>https://bleskprozeny.cz</v>
      </c>
      <c r="E243" s="3" t="str">
        <f ca="1">IFERROR(__xludf.DUMMYFUNCTION("""COMPUTED_VALUE"""),"celý web")</f>
        <v>celý web</v>
      </c>
      <c r="F243" s="4" t="str">
        <f ca="1">IFERROR(__xludf.DUMMYFUNCTION("""COMPUTED_VALUE"""),"https://bleskprozeny.cz")</f>
        <v>https://bleskprozeny.cz</v>
      </c>
      <c r="G243" s="3" t="str">
        <f ca="1">IFERROR(__xludf.DUMMYFUNCTION("""COMPUTED_VALUE"""),"outstream low season")</f>
        <v>outstream low season</v>
      </c>
      <c r="H243" s="3">
        <f ca="1">IFERROR(__xludf.DUMMYFUNCTION("""COMPUTED_VALUE"""),7)</f>
        <v>7</v>
      </c>
      <c r="I243" s="5">
        <f ca="1">IFERROR(__xludf.DUMMYFUNCTION("""COMPUTED_VALUE"""),1000)</f>
        <v>1000</v>
      </c>
      <c r="J243" s="5">
        <f ca="1">IFERROR(__xludf.DUMMYFUNCTION("""COMPUTED_VALUE"""),250)</f>
        <v>250</v>
      </c>
      <c r="K243" s="3"/>
      <c r="L243" s="3" t="str">
        <f ca="1">IFERROR(__xludf.DUMMYFUNCTION("""COMPUTED_VALUE"""),"Cost per period")</f>
        <v>Cost per period</v>
      </c>
      <c r="M243" s="3"/>
      <c r="N243" s="3"/>
      <c r="O243" s="3" t="str">
        <f ca="1">IFERROR(__xludf.DUMMYFUNCTION("""COMPUTED_VALUE"""),"1280")</f>
        <v>1280</v>
      </c>
      <c r="P243" s="3" t="str">
        <f ca="1">IFERROR(__xludf.DUMMYFUNCTION("""COMPUTED_VALUE"""),"720")</f>
        <v>720</v>
      </c>
      <c r="Q243" s="3" t="str">
        <f ca="1">IFERROR(__xludf.DUMMYFUNCTION("""COMPUTED_VALUE"""),"16:9")</f>
        <v>16:9</v>
      </c>
      <c r="R243" s="3"/>
      <c r="S243" s="3" t="str">
        <f ca="1">IFERROR(__xludf.DUMMYFUNCTION("""COMPUTED_VALUE"""),"100")</f>
        <v>100</v>
      </c>
      <c r="T243" s="3"/>
      <c r="U243" s="3" t="str">
        <f ca="1">IFERROR(__xludf.DUMMYFUNCTION("""COMPUTED_VALUE"""),"videospot")</f>
        <v>videospot</v>
      </c>
      <c r="V243" s="3"/>
      <c r="W243" s="4" t="str">
        <f ca="1">IFERROR(__xludf.DUMMYFUNCTION("""COMPUTED_VALUE"""),"https://reklama.cncenter.cz/Online/Outstream")</f>
        <v>https://reklama.cncenter.cz/Online/Outstream</v>
      </c>
      <c r="X243" s="3"/>
      <c r="Y243" s="3"/>
      <c r="Z243" s="3" t="str">
        <f ca="1">IFERROR(__xludf.DUMMYFUNCTION("""COMPUTED_VALUE"""),"podklady@cncenter.cz")</f>
        <v>podklady@cncenter.cz</v>
      </c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 t="str">
        <f ca="1">IFERROR(__xludf.DUMMYFUNCTION("""COMPUTED_VALUE"""),"cross-device")</f>
        <v>cross-device</v>
      </c>
      <c r="AO243" s="3"/>
      <c r="AP243" s="3"/>
      <c r="AQ243" s="3"/>
      <c r="AR243" s="3"/>
      <c r="AS243" s="3"/>
      <c r="AT243" s="3"/>
      <c r="AU243" s="3" t="str">
        <f ca="1">IFERROR(__xludf.DUMMYFUNCTION("""COMPUTED_VALUE"""),"outstream")</f>
        <v>outstream</v>
      </c>
    </row>
    <row r="244" spans="1:47" x14ac:dyDescent="0.3">
      <c r="A244" s="3">
        <f ca="1"/>
        <v>2346826</v>
      </c>
      <c r="B244" s="3" t="str">
        <f ca="1"/>
        <v>CZECH NEWS CENTER a. s.</v>
      </c>
      <c r="C244" s="3" t="str">
        <f ca="1">IFERROR(__xludf.DUMMYFUNCTION("""COMPUTED_VALUE"""),"Blesk pro ženy")</f>
        <v>Blesk pro ženy</v>
      </c>
      <c r="D244" s="4" t="str">
        <f ca="1">IFERROR(__xludf.DUMMYFUNCTION("""COMPUTED_VALUE"""),"https://bleskprozeny.cz")</f>
        <v>https://bleskprozeny.cz</v>
      </c>
      <c r="E244" s="3" t="str">
        <f ca="1">IFERROR(__xludf.DUMMYFUNCTION("""COMPUTED_VALUE"""),"celý web")</f>
        <v>celý web</v>
      </c>
      <c r="F244" s="4" t="str">
        <f ca="1">IFERROR(__xludf.DUMMYFUNCTION("""COMPUTED_VALUE"""),"https://bleskprozeny.cz")</f>
        <v>https://bleskprozeny.cz</v>
      </c>
      <c r="G244" s="3" t="str">
        <f ca="1">IFERROR(__xludf.DUMMYFUNCTION("""COMPUTED_VALUE"""),"PR článek low season")</f>
        <v>PR článek low season</v>
      </c>
      <c r="H244" s="3">
        <f ca="1">IFERROR(__xludf.DUMMYFUNCTION("""COMPUTED_VALUE"""),1)</f>
        <v>1</v>
      </c>
      <c r="I244" s="5">
        <f ca="1">IFERROR(__xludf.DUMMYFUNCTION("""COMPUTED_VALUE"""),1)</f>
        <v>1</v>
      </c>
      <c r="J244" s="5">
        <f ca="1">IFERROR(__xludf.DUMMYFUNCTION("""COMPUTED_VALUE"""),33000)</f>
        <v>33000</v>
      </c>
      <c r="K244" s="3"/>
      <c r="L244" s="3" t="str">
        <f ca="1">IFERROR(__xludf.DUMMYFUNCTION("""COMPUTED_VALUE"""),"Cost per instance")</f>
        <v>Cost per instance</v>
      </c>
      <c r="M244" s="3"/>
      <c r="N244" s="3"/>
      <c r="O244" s="3"/>
      <c r="P244" s="3"/>
      <c r="Q244" s="3"/>
      <c r="R244" s="3"/>
      <c r="S244" s="3" t="str">
        <f ca="1">IFERROR(__xludf.DUMMYFUNCTION("""COMPUTED_VALUE"""),"100")</f>
        <v>100</v>
      </c>
      <c r="T244" s="3"/>
      <c r="U244" s="3" t="str">
        <f ca="1">IFERROR(__xludf.DUMMYFUNCTION("""COMPUTED_VALUE"""),"pr článek")</f>
        <v>pr článek</v>
      </c>
      <c r="V244" s="3"/>
      <c r="W244" s="4" t="str">
        <f ca="1">IFERROR(__xludf.DUMMYFUNCTION("""COMPUTED_VALUE"""),"https://reklama.cncenter.cz/?ads=PR%2520%25C4%258Dl%25C3%25A1nky")</f>
        <v>https://reklama.cncenter.cz/?ads=PR%2520%25C4%258Dl%25C3%25A1nky</v>
      </c>
      <c r="X244" s="3"/>
      <c r="Y244" s="3"/>
      <c r="Z244" s="3" t="str">
        <f ca="1">IFERROR(__xludf.DUMMYFUNCTION("""COMPUTED_VALUE"""),"podklady@cncenter.cz")</f>
        <v>podklady@cncenter.cz</v>
      </c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 t="str">
        <f ca="1">IFERROR(__xludf.DUMMYFUNCTION("""COMPUTED_VALUE"""),"cross-device")</f>
        <v>cross-device</v>
      </c>
      <c r="AO244" s="3"/>
      <c r="AP244" s="3"/>
      <c r="AQ244" s="3"/>
      <c r="AR244" s="3"/>
      <c r="AS244" s="3"/>
      <c r="AT244" s="3"/>
      <c r="AU244" s="3" t="str">
        <f ca="1">IFERROR(__xludf.DUMMYFUNCTION("""COMPUTED_VALUE"""),"PR článek")</f>
        <v>PR článek</v>
      </c>
    </row>
    <row r="245" spans="1:47" x14ac:dyDescent="0.3">
      <c r="A245" s="3">
        <f ca="1"/>
        <v>2346826</v>
      </c>
      <c r="B245" s="3" t="str">
        <f ca="1"/>
        <v>CZECH NEWS CENTER a. s.</v>
      </c>
      <c r="C245" s="3" t="str">
        <f ca="1">IFERROR(__xludf.DUMMYFUNCTION("""COMPUTED_VALUE"""),"Blesk pro ženy")</f>
        <v>Blesk pro ženy</v>
      </c>
      <c r="D245" s="4" t="str">
        <f ca="1">IFERROR(__xludf.DUMMYFUNCTION("""COMPUTED_VALUE"""),"https://bleskprozeny.cz")</f>
        <v>https://bleskprozeny.cz</v>
      </c>
      <c r="E245" s="3" t="str">
        <f ca="1">IFERROR(__xludf.DUMMYFUNCTION("""COMPUTED_VALUE"""),"celý web")</f>
        <v>celý web</v>
      </c>
      <c r="F245" s="4" t="str">
        <f ca="1">IFERROR(__xludf.DUMMYFUNCTION("""COMPUTED_VALUE"""),"https://bleskprozeny.cz")</f>
        <v>https://bleskprozeny.cz</v>
      </c>
      <c r="G245" s="3" t="str">
        <f ca="1">IFERROR(__xludf.DUMMYFUNCTION("""COMPUTED_VALUE"""),"Prodloužení existující microsite, bez úprav low season")</f>
        <v>Prodloužení existující microsite, bez úprav low season</v>
      </c>
      <c r="H245" s="3">
        <f ca="1">IFERROR(__xludf.DUMMYFUNCTION("""COMPUTED_VALUE"""),1)</f>
        <v>1</v>
      </c>
      <c r="I245" s="5">
        <f ca="1">IFERROR(__xludf.DUMMYFUNCTION("""COMPUTED_VALUE"""),1)</f>
        <v>1</v>
      </c>
      <c r="J245" s="5">
        <f ca="1">IFERROR(__xludf.DUMMYFUNCTION("""COMPUTED_VALUE"""),15000)</f>
        <v>15000</v>
      </c>
      <c r="K245" s="3"/>
      <c r="L245" s="3" t="str">
        <f ca="1">IFERROR(__xludf.DUMMYFUNCTION("""COMPUTED_VALUE"""),"Cost per instance")</f>
        <v>Cost per instance</v>
      </c>
      <c r="M245" s="3"/>
      <c r="N245" s="3"/>
      <c r="O245" s="3"/>
      <c r="P245" s="3"/>
      <c r="Q245" s="3"/>
      <c r="R245" s="3"/>
      <c r="S245" s="3" t="str">
        <f ca="1">IFERROR(__xludf.DUMMYFUNCTION("""COMPUTED_VALUE"""),"100")</f>
        <v>100</v>
      </c>
      <c r="T245" s="3"/>
      <c r="U245" s="3" t="str">
        <f ca="1">IFERROR(__xludf.DUMMYFUNCTION("""COMPUTED_VALUE"""),"microsite")</f>
        <v>microsite</v>
      </c>
      <c r="V245" s="3"/>
      <c r="W245" s="3"/>
      <c r="X245" s="3"/>
      <c r="Y245" s="3"/>
      <c r="Z245" s="3" t="str">
        <f ca="1">IFERROR(__xludf.DUMMYFUNCTION("""COMPUTED_VALUE"""),"podklady@cncenter.cz")</f>
        <v>podklady@cncenter.cz</v>
      </c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 t="str">
        <f ca="1">IFERROR(__xludf.DUMMYFUNCTION("""COMPUTED_VALUE"""),"cross-device")</f>
        <v>cross-device</v>
      </c>
      <c r="AO245" s="3"/>
      <c r="AP245" s="3"/>
      <c r="AQ245" s="3"/>
      <c r="AR245" s="3"/>
      <c r="AS245" s="3"/>
      <c r="AT245" s="3"/>
      <c r="AU245" s="3" t="str">
        <f ca="1">IFERROR(__xludf.DUMMYFUNCTION("""COMPUTED_VALUE"""),"Prodloužení existující microsite, bez úprav")</f>
        <v>Prodloužení existující microsite, bez úprav</v>
      </c>
    </row>
    <row r="246" spans="1:47" x14ac:dyDescent="0.3">
      <c r="A246" s="3">
        <f ca="1"/>
        <v>2346826</v>
      </c>
      <c r="B246" s="3" t="str">
        <f ca="1"/>
        <v>CZECH NEWS CENTER a. s.</v>
      </c>
      <c r="C246" s="3" t="str">
        <f ca="1">IFERROR(__xludf.DUMMYFUNCTION("""COMPUTED_VALUE"""),"Blesk pro ženy")</f>
        <v>Blesk pro ženy</v>
      </c>
      <c r="D246" s="4" t="str">
        <f ca="1">IFERROR(__xludf.DUMMYFUNCTION("""COMPUTED_VALUE"""),"https://bleskprozeny.cz")</f>
        <v>https://bleskprozeny.cz</v>
      </c>
      <c r="E246" s="3" t="str">
        <f ca="1">IFERROR(__xludf.DUMMYFUNCTION("""COMPUTED_VALUE"""),"celý web")</f>
        <v>celý web</v>
      </c>
      <c r="F246" s="4" t="str">
        <f ca="1">IFERROR(__xludf.DUMMYFUNCTION("""COMPUTED_VALUE"""),"https://bleskprozeny.cz")</f>
        <v>https://bleskprozeny.cz</v>
      </c>
      <c r="G246" s="3" t="str">
        <f ca="1">IFERROR(__xludf.DUMMYFUNCTION("""COMPUTED_VALUE"""),"Prodloužení existující microsite, bez úprav low season")</f>
        <v>Prodloužení existující microsite, bez úprav low season</v>
      </c>
      <c r="H246" s="3">
        <f ca="1">IFERROR(__xludf.DUMMYFUNCTION("""COMPUTED_VALUE"""),1)</f>
        <v>1</v>
      </c>
      <c r="I246" s="5">
        <f ca="1">IFERROR(__xludf.DUMMYFUNCTION("""COMPUTED_VALUE"""),1)</f>
        <v>1</v>
      </c>
      <c r="J246" s="5">
        <f ca="1">IFERROR(__xludf.DUMMYFUNCTION("""COMPUTED_VALUE"""),15000)</f>
        <v>15000</v>
      </c>
      <c r="K246" s="3"/>
      <c r="L246" s="3" t="str">
        <f ca="1">IFERROR(__xludf.DUMMYFUNCTION("""COMPUTED_VALUE"""),"Cost per instance")</f>
        <v>Cost per instance</v>
      </c>
      <c r="M246" s="3"/>
      <c r="N246" s="3"/>
      <c r="O246" s="3"/>
      <c r="P246" s="3"/>
      <c r="Q246" s="3"/>
      <c r="R246" s="3"/>
      <c r="S246" s="3" t="str">
        <f ca="1">IFERROR(__xludf.DUMMYFUNCTION("""COMPUTED_VALUE"""),"100")</f>
        <v>100</v>
      </c>
      <c r="T246" s="3"/>
      <c r="U246" s="3" t="str">
        <f ca="1">IFERROR(__xludf.DUMMYFUNCTION("""COMPUTED_VALUE"""),"microsite")</f>
        <v>microsite</v>
      </c>
      <c r="V246" s="3"/>
      <c r="W246" s="3"/>
      <c r="X246" s="3"/>
      <c r="Y246" s="3"/>
      <c r="Z246" s="3" t="str">
        <f ca="1">IFERROR(__xludf.DUMMYFUNCTION("""COMPUTED_VALUE"""),"podklady@cncenter.cz")</f>
        <v>podklady@cncenter.cz</v>
      </c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 t="str">
        <f ca="1">IFERROR(__xludf.DUMMYFUNCTION("""COMPUTED_VALUE"""),"cross-device")</f>
        <v>cross-device</v>
      </c>
      <c r="AO246" s="3"/>
      <c r="AP246" s="3"/>
      <c r="AQ246" s="3"/>
      <c r="AR246" s="3"/>
      <c r="AS246" s="3"/>
      <c r="AT246" s="3"/>
      <c r="AU246" s="3" t="str">
        <f ca="1">IFERROR(__xludf.DUMMYFUNCTION("""COMPUTED_VALUE"""),"Prodloužení existující microsite, bez úprav")</f>
        <v>Prodloužení existující microsite, bez úprav</v>
      </c>
    </row>
    <row r="247" spans="1:47" x14ac:dyDescent="0.3">
      <c r="A247" s="3">
        <f ca="1"/>
        <v>2346826</v>
      </c>
      <c r="B247" s="3" t="str">
        <f ca="1"/>
        <v>CZECH NEWS CENTER a. s.</v>
      </c>
      <c r="C247" s="3" t="str">
        <f ca="1">IFERROR(__xludf.DUMMYFUNCTION("""COMPUTED_VALUE"""),"Blesk pro ženy")</f>
        <v>Blesk pro ženy</v>
      </c>
      <c r="D247" s="4" t="str">
        <f ca="1">IFERROR(__xludf.DUMMYFUNCTION("""COMPUTED_VALUE"""),"https://bleskprozeny.cz")</f>
        <v>https://bleskprozeny.cz</v>
      </c>
      <c r="E247" s="3" t="str">
        <f ca="1">IFERROR(__xludf.DUMMYFUNCTION("""COMPUTED_VALUE"""),"celý web")</f>
        <v>celý web</v>
      </c>
      <c r="F247" s="4" t="str">
        <f ca="1">IFERROR(__xludf.DUMMYFUNCTION("""COMPUTED_VALUE"""),"https://bleskprozeny.cz")</f>
        <v>https://bleskprozeny.cz</v>
      </c>
      <c r="G247" s="3" t="str">
        <f ca="1">IFERROR(__xludf.DUMMYFUNCTION("""COMPUTED_VALUE"""),"Prodloužení existující microsite, bez úprav low season")</f>
        <v>Prodloužení existující microsite, bez úprav low season</v>
      </c>
      <c r="H247" s="3">
        <f ca="1">IFERROR(__xludf.DUMMYFUNCTION("""COMPUTED_VALUE"""),1)</f>
        <v>1</v>
      </c>
      <c r="I247" s="5">
        <f ca="1">IFERROR(__xludf.DUMMYFUNCTION("""COMPUTED_VALUE"""),1)</f>
        <v>1</v>
      </c>
      <c r="J247" s="5">
        <f ca="1">IFERROR(__xludf.DUMMYFUNCTION("""COMPUTED_VALUE"""),15000)</f>
        <v>15000</v>
      </c>
      <c r="K247" s="3"/>
      <c r="L247" s="3" t="str">
        <f ca="1">IFERROR(__xludf.DUMMYFUNCTION("""COMPUTED_VALUE"""),"Cost per instance")</f>
        <v>Cost per instance</v>
      </c>
      <c r="M247" s="3"/>
      <c r="N247" s="3"/>
      <c r="O247" s="3"/>
      <c r="P247" s="3"/>
      <c r="Q247" s="3"/>
      <c r="R247" s="3"/>
      <c r="S247" s="3" t="str">
        <f ca="1">IFERROR(__xludf.DUMMYFUNCTION("""COMPUTED_VALUE"""),"100")</f>
        <v>100</v>
      </c>
      <c r="T247" s="3"/>
      <c r="U247" s="3" t="str">
        <f ca="1">IFERROR(__xludf.DUMMYFUNCTION("""COMPUTED_VALUE"""),"microsite")</f>
        <v>microsite</v>
      </c>
      <c r="V247" s="3"/>
      <c r="W247" s="3"/>
      <c r="X247" s="3"/>
      <c r="Y247" s="3"/>
      <c r="Z247" s="3" t="str">
        <f ca="1">IFERROR(__xludf.DUMMYFUNCTION("""COMPUTED_VALUE"""),"podklady@cncenter.cz")</f>
        <v>podklady@cncenter.cz</v>
      </c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 t="str">
        <f ca="1">IFERROR(__xludf.DUMMYFUNCTION("""COMPUTED_VALUE"""),"cross-device")</f>
        <v>cross-device</v>
      </c>
      <c r="AO247" s="3"/>
      <c r="AP247" s="3"/>
      <c r="AQ247" s="3"/>
      <c r="AR247" s="3"/>
      <c r="AS247" s="3"/>
      <c r="AT247" s="3"/>
      <c r="AU247" s="3" t="str">
        <f ca="1">IFERROR(__xludf.DUMMYFUNCTION("""COMPUTED_VALUE"""),"Prodloužení existující microsite, bez úprav")</f>
        <v>Prodloužení existující microsite, bez úprav</v>
      </c>
    </row>
    <row r="248" spans="1:47" x14ac:dyDescent="0.3">
      <c r="A248" s="3">
        <f ca="1"/>
        <v>2346826</v>
      </c>
      <c r="B248" s="3" t="str">
        <f ca="1"/>
        <v>CZECH NEWS CENTER a. s.</v>
      </c>
      <c r="C248" s="3" t="str">
        <f ca="1">IFERROR(__xludf.DUMMYFUNCTION("""COMPUTED_VALUE"""),"Blesk pro ženy")</f>
        <v>Blesk pro ženy</v>
      </c>
      <c r="D248" s="4" t="str">
        <f ca="1">IFERROR(__xludf.DUMMYFUNCTION("""COMPUTED_VALUE"""),"https://bleskprozeny.cz")</f>
        <v>https://bleskprozeny.cz</v>
      </c>
      <c r="E248" s="3" t="str">
        <f ca="1">IFERROR(__xludf.DUMMYFUNCTION("""COMPUTED_VALUE"""),"celý web")</f>
        <v>celý web</v>
      </c>
      <c r="F248" s="4" t="str">
        <f ca="1">IFERROR(__xludf.DUMMYFUNCTION("""COMPUTED_VALUE"""),"https://bleskprozeny.cz")</f>
        <v>https://bleskprozeny.cz</v>
      </c>
      <c r="G248" s="3" t="str">
        <f ca="1">IFERROR(__xludf.DUMMYFUNCTION("""COMPUTED_VALUE"""),"videospot - max. 30 sec. / bumper low season")</f>
        <v>videospot - max. 30 sec. / bumper low season</v>
      </c>
      <c r="H248" s="3">
        <f ca="1">IFERROR(__xludf.DUMMYFUNCTION("""COMPUTED_VALUE"""),7)</f>
        <v>7</v>
      </c>
      <c r="I248" s="5">
        <f ca="1">IFERROR(__xludf.DUMMYFUNCTION("""COMPUTED_VALUE"""),1000)</f>
        <v>1000</v>
      </c>
      <c r="J248" s="5">
        <f ca="1">IFERROR(__xludf.DUMMYFUNCTION("""COMPUTED_VALUE"""),740)</f>
        <v>740</v>
      </c>
      <c r="K248" s="3"/>
      <c r="L248" s="3" t="str">
        <f ca="1">IFERROR(__xludf.DUMMYFUNCTION("""COMPUTED_VALUE"""),"Cost per period")</f>
        <v>Cost per period</v>
      </c>
      <c r="M248" s="3"/>
      <c r="N248" s="3"/>
      <c r="O248" s="3" t="str">
        <f ca="1">IFERROR(__xludf.DUMMYFUNCTION("""COMPUTED_VALUE"""),"1280")</f>
        <v>1280</v>
      </c>
      <c r="P248" s="3" t="str">
        <f ca="1">IFERROR(__xludf.DUMMYFUNCTION("""COMPUTED_VALUE"""),"720")</f>
        <v>720</v>
      </c>
      <c r="Q248" s="3" t="str">
        <f ca="1">IFERROR(__xludf.DUMMYFUNCTION("""COMPUTED_VALUE"""),"16:9 / umístění po domluvě dle možností")</f>
        <v>16:9 / umístění po domluvě dle možností</v>
      </c>
      <c r="R248" s="3" t="str">
        <f ca="1">IFERROR(__xludf.DUMMYFUNCTION("""COMPUTED_VALUE"""),"přeskočení po 7 sekundách")</f>
        <v>přeskočení po 7 sekundách</v>
      </c>
      <c r="S248" s="3" t="str">
        <f ca="1">IFERROR(__xludf.DUMMYFUNCTION("""COMPUTED_VALUE"""),"100")</f>
        <v>100</v>
      </c>
      <c r="T248" s="3"/>
      <c r="U248" s="3" t="str">
        <f ca="1">IFERROR(__xludf.DUMMYFUNCTION("""COMPUTED_VALUE"""),"videospot")</f>
        <v>videospot</v>
      </c>
      <c r="V248" s="3"/>
      <c r="W248" s="4" t="str">
        <f ca="1">IFERROR(__xludf.DUMMYFUNCTION("""COMPUTED_VALUE"""),"https://reklama.cncenter.cz/Online/Bumper")</f>
        <v>https://reklama.cncenter.cz/Online/Bumper</v>
      </c>
      <c r="X248" s="3"/>
      <c r="Y248" s="3"/>
      <c r="Z248" s="3" t="str">
        <f ca="1">IFERROR(__xludf.DUMMYFUNCTION("""COMPUTED_VALUE"""),"podklady@cncenter.cz")</f>
        <v>podklady@cncenter.cz</v>
      </c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 t="str">
        <f ca="1">IFERROR(__xludf.DUMMYFUNCTION("""COMPUTED_VALUE"""),"cross-device")</f>
        <v>cross-device</v>
      </c>
      <c r="AO248" s="3"/>
      <c r="AP248" s="3"/>
      <c r="AQ248" s="3"/>
      <c r="AR248" s="3"/>
      <c r="AS248" s="3"/>
      <c r="AT248" s="3"/>
      <c r="AU248" s="3" t="str">
        <f ca="1">IFERROR(__xludf.DUMMYFUNCTION("""COMPUTED_VALUE"""),"videospot - max. 30 sec. / bumper")</f>
        <v>videospot - max. 30 sec. / bumper</v>
      </c>
    </row>
    <row r="249" spans="1:47" x14ac:dyDescent="0.3">
      <c r="A249" s="3">
        <f ca="1"/>
        <v>2346826</v>
      </c>
      <c r="B249" s="3" t="str">
        <f ca="1"/>
        <v>CZECH NEWS CENTER a. s.</v>
      </c>
      <c r="C249" s="3" t="str">
        <f ca="1">IFERROR(__xludf.DUMMYFUNCTION("""COMPUTED_VALUE"""),"CNC auto moto pack")</f>
        <v>CNC auto moto pack</v>
      </c>
      <c r="D249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49" s="3" t="str">
        <f ca="1">IFERROR(__xludf.DUMMYFUNCTION("""COMPUTED_VALUE"""),"celý web")</f>
        <v>celý web</v>
      </c>
      <c r="F249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49" s="3" t="str">
        <f ca="1">IFERROR(__xludf.DUMMYFUNCTION("""COMPUTED_VALUE"""),"billboard bottom low season")</f>
        <v>billboard bottom low season</v>
      </c>
      <c r="H249" s="3">
        <f ca="1">IFERROR(__xludf.DUMMYFUNCTION("""COMPUTED_VALUE"""),7)</f>
        <v>7</v>
      </c>
      <c r="I249" s="5">
        <f ca="1">IFERROR(__xludf.DUMMYFUNCTION("""COMPUTED_VALUE"""),1000)</f>
        <v>1000</v>
      </c>
      <c r="J249" s="5">
        <f ca="1">IFERROR(__xludf.DUMMYFUNCTION("""COMPUTED_VALUE"""),210)</f>
        <v>210</v>
      </c>
      <c r="K249" s="3"/>
      <c r="L249" s="3" t="str">
        <f ca="1">IFERROR(__xludf.DUMMYFUNCTION("""COMPUTED_VALUE"""),"Cost per period")</f>
        <v>Cost per period</v>
      </c>
      <c r="M249" s="3"/>
      <c r="N249" s="3"/>
      <c r="O249" s="3" t="str">
        <f ca="1">IFERROR(__xludf.DUMMYFUNCTION("""COMPUTED_VALUE"""),"970")</f>
        <v>970</v>
      </c>
      <c r="P249" s="3" t="str">
        <f ca="1">IFERROR(__xludf.DUMMYFUNCTION("""COMPUTED_VALUE"""),"250")</f>
        <v>250</v>
      </c>
      <c r="Q249" s="3" t="str">
        <f ca="1">IFERROR(__xludf.DUMMYFUNCTION("""COMPUTED_VALUE"""),"970x250")</f>
        <v>970x250</v>
      </c>
      <c r="R249" s="3"/>
      <c r="S249" s="3" t="str">
        <f ca="1">IFERROR(__xludf.DUMMYFUNCTION("""COMPUTED_VALUE"""),"100 (200 - HTML5)")</f>
        <v>100 (200 - HTML5)</v>
      </c>
      <c r="T249" s="3"/>
      <c r="U249" s="3" t="str">
        <f ca="1">IFERROR(__xludf.DUMMYFUNCTION("""COMPUTED_VALUE"""),"banner standard")</f>
        <v>banner standard</v>
      </c>
      <c r="V249" s="3"/>
      <c r="W249" s="4" t="str">
        <f ca="1">IFERROR(__xludf.DUMMYFUNCTION("""COMPUTED_VALUE"""),"https://reklama.cncenter.cz/Online/billboard-bottom")</f>
        <v>https://reklama.cncenter.cz/Online/billboard-bottom</v>
      </c>
      <c r="X249" s="3"/>
      <c r="Y249" s="3"/>
      <c r="Z249" s="3" t="str">
        <f ca="1">IFERROR(__xludf.DUMMYFUNCTION("""COMPUTED_VALUE"""),"podklady@cncenter.cz")</f>
        <v>podklady@cncenter.cz</v>
      </c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 t="str">
        <f ca="1">IFERROR(__xludf.DUMMYFUNCTION("""COMPUTED_VALUE"""),"desktop")</f>
        <v>desktop</v>
      </c>
      <c r="AO249" s="3"/>
      <c r="AP249" s="3"/>
      <c r="AQ249" s="3"/>
      <c r="AR249" s="3"/>
      <c r="AS249" s="3"/>
      <c r="AT249" s="3"/>
      <c r="AU249" s="3" t="str">
        <f ca="1">IFERROR(__xludf.DUMMYFUNCTION("""COMPUTED_VALUE"""),"billboard bottom")</f>
        <v>billboard bottom</v>
      </c>
    </row>
    <row r="250" spans="1:47" x14ac:dyDescent="0.3">
      <c r="A250" s="3">
        <f ca="1"/>
        <v>2346826</v>
      </c>
      <c r="B250" s="3" t="str">
        <f ca="1"/>
        <v>CZECH NEWS CENTER a. s.</v>
      </c>
      <c r="C250" s="3" t="str">
        <f ca="1">IFERROR(__xludf.DUMMYFUNCTION("""COMPUTED_VALUE"""),"CNC auto moto pack")</f>
        <v>CNC auto moto pack</v>
      </c>
      <c r="D250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0" s="3" t="str">
        <f ca="1">IFERROR(__xludf.DUMMYFUNCTION("""COMPUTED_VALUE"""),"celý web")</f>
        <v>celý web</v>
      </c>
      <c r="F250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0" s="3" t="str">
        <f ca="1">IFERROR(__xludf.DUMMYFUNCTION("""COMPUTED_VALUE"""),"branding cross-device low season")</f>
        <v>branding cross-device low season</v>
      </c>
      <c r="H250" s="3">
        <f ca="1">IFERROR(__xludf.DUMMYFUNCTION("""COMPUTED_VALUE"""),7)</f>
        <v>7</v>
      </c>
      <c r="I250" s="5">
        <f ca="1">IFERROR(__xludf.DUMMYFUNCTION("""COMPUTED_VALUE"""),1000)</f>
        <v>1000</v>
      </c>
      <c r="J250" s="5">
        <f ca="1">IFERROR(__xludf.DUMMYFUNCTION("""COMPUTED_VALUE"""),270)</f>
        <v>270</v>
      </c>
      <c r="K250" s="3"/>
      <c r="L250" s="3" t="str">
        <f ca="1">IFERROR(__xludf.DUMMYFUNCTION("""COMPUTED_VALUE"""),"Cost per period")</f>
        <v>Cost per period</v>
      </c>
      <c r="M250" s="3"/>
      <c r="N250" s="3"/>
      <c r="O250" s="3" t="str">
        <f ca="1">IFERROR(__xludf.DUMMYFUNCTION("""COMPUTED_VALUE"""),"2000")</f>
        <v>2000</v>
      </c>
      <c r="P250" s="3" t="str">
        <f ca="1">IFERROR(__xludf.DUMMYFUNCTION("""COMPUTED_VALUE"""),"1400")</f>
        <v>1400</v>
      </c>
      <c r="Q250" s="3" t="str">
        <f ca="1">IFERROR(__xludf.DUMMYFUNCTION("""COMPUTED_VALUE"""),"2000x1400 + 600x1080")</f>
        <v>2000x1400 + 600x1080</v>
      </c>
      <c r="R250" s="3"/>
      <c r="S250" s="3" t="str">
        <f ca="1">IFERROR(__xludf.DUMMYFUNCTION("""COMPUTED_VALUE"""),"500 (600 - HTLM5)")</f>
        <v>500 (600 - HTLM5)</v>
      </c>
      <c r="T250" s="3"/>
      <c r="U250" s="3" t="str">
        <f ca="1">IFERROR(__xludf.DUMMYFUNCTION("""COMPUTED_VALUE"""),"banner standard")</f>
        <v>banner standard</v>
      </c>
      <c r="V250" s="3"/>
      <c r="W250" s="4" t="str">
        <f ca="1">IFERROR(__xludf.DUMMYFUNCTION("""COMPUTED_VALUE"""),"https://reklama.cncenter.cz/Online/branding-cross-device")</f>
        <v>https://reklama.cncenter.cz/Online/branding-cross-device</v>
      </c>
      <c r="X250" s="3"/>
      <c r="Y250" s="3"/>
      <c r="Z250" s="3" t="str">
        <f ca="1">IFERROR(__xludf.DUMMYFUNCTION("""COMPUTED_VALUE"""),"podklady@cncenter.cz")</f>
        <v>podklady@cncenter.cz</v>
      </c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 t="str">
        <f ca="1">IFERROR(__xludf.DUMMYFUNCTION("""COMPUTED_VALUE"""),"cross-device")</f>
        <v>cross-device</v>
      </c>
      <c r="AO250" s="3"/>
      <c r="AP250" s="3"/>
      <c r="AQ250" s="3"/>
      <c r="AR250" s="3"/>
      <c r="AS250" s="3"/>
      <c r="AT250" s="3"/>
      <c r="AU250" s="3" t="str">
        <f ca="1">IFERROR(__xludf.DUMMYFUNCTION("""COMPUTED_VALUE"""),"branding cross-device")</f>
        <v>branding cross-device</v>
      </c>
    </row>
    <row r="251" spans="1:47" x14ac:dyDescent="0.3">
      <c r="A251" s="3">
        <f ca="1"/>
        <v>2346826</v>
      </c>
      <c r="B251" s="3" t="str">
        <f ca="1"/>
        <v>CZECH NEWS CENTER a. s.</v>
      </c>
      <c r="C251" s="3" t="str">
        <f ca="1">IFERROR(__xludf.DUMMYFUNCTION("""COMPUTED_VALUE"""),"CNC auto moto pack")</f>
        <v>CNC auto moto pack</v>
      </c>
      <c r="D251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1" s="3" t="str">
        <f ca="1">IFERROR(__xludf.DUMMYFUNCTION("""COMPUTED_VALUE"""),"celý web")</f>
        <v>celý web</v>
      </c>
      <c r="F251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1" s="3" t="str">
        <f ca="1">IFERROR(__xludf.DUMMYFUNCTION("""COMPUTED_VALUE"""),"branding low season")</f>
        <v>branding low season</v>
      </c>
      <c r="H251" s="3">
        <f ca="1">IFERROR(__xludf.DUMMYFUNCTION("""COMPUTED_VALUE"""),7)</f>
        <v>7</v>
      </c>
      <c r="I251" s="5">
        <f ca="1">IFERROR(__xludf.DUMMYFUNCTION("""COMPUTED_VALUE"""),1000)</f>
        <v>1000</v>
      </c>
      <c r="J251" s="5">
        <f ca="1">IFERROR(__xludf.DUMMYFUNCTION("""COMPUTED_VALUE"""),400)</f>
        <v>400</v>
      </c>
      <c r="K251" s="3"/>
      <c r="L251" s="3" t="str">
        <f ca="1">IFERROR(__xludf.DUMMYFUNCTION("""COMPUTED_VALUE"""),"Cost per period")</f>
        <v>Cost per period</v>
      </c>
      <c r="M251" s="3"/>
      <c r="N251" s="3"/>
      <c r="O251" s="3" t="str">
        <f ca="1">IFERROR(__xludf.DUMMYFUNCTION("""COMPUTED_VALUE"""),"2000")</f>
        <v>2000</v>
      </c>
      <c r="P251" s="3" t="str">
        <f ca="1">IFERROR(__xludf.DUMMYFUNCTION("""COMPUTED_VALUE"""),"1400")</f>
        <v>1400</v>
      </c>
      <c r="Q251" s="3" t="str">
        <f ca="1">IFERROR(__xludf.DUMMYFUNCTION("""COMPUTED_VALUE"""),"2000x1400")</f>
        <v>2000x1400</v>
      </c>
      <c r="R251" s="3"/>
      <c r="S251" s="3" t="str">
        <f ca="1">IFERROR(__xludf.DUMMYFUNCTION("""COMPUTED_VALUE"""),"500 + 200 (600+200 HTML5)")</f>
        <v>500 + 200 (600+200 HTML5)</v>
      </c>
      <c r="T251" s="3"/>
      <c r="U251" s="3" t="str">
        <f ca="1">IFERROR(__xludf.DUMMYFUNCTION("""COMPUTED_VALUE"""),"banner standard")</f>
        <v>banner standard</v>
      </c>
      <c r="V251" s="3"/>
      <c r="W251" s="4" t="str">
        <f ca="1">IFERROR(__xludf.DUMMYFUNCTION("""COMPUTED_VALUE"""),"https://reklama.cncenter.cz/Online/branding")</f>
        <v>https://reklama.cncenter.cz/Online/branding</v>
      </c>
      <c r="X251" s="3"/>
      <c r="Y251" s="3"/>
      <c r="Z251" s="3" t="str">
        <f ca="1">IFERROR(__xludf.DUMMYFUNCTION("""COMPUTED_VALUE"""),"podklady@cncenter.cz")</f>
        <v>podklady@cncenter.cz</v>
      </c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 t="str">
        <f ca="1">IFERROR(__xludf.DUMMYFUNCTION("""COMPUTED_VALUE"""),"desktop")</f>
        <v>desktop</v>
      </c>
      <c r="AO251" s="3"/>
      <c r="AP251" s="3"/>
      <c r="AQ251" s="3"/>
      <c r="AR251" s="3"/>
      <c r="AS251" s="3"/>
      <c r="AT251" s="3"/>
      <c r="AU251" s="3" t="str">
        <f ca="1">IFERROR(__xludf.DUMMYFUNCTION("""COMPUTED_VALUE"""),"branding")</f>
        <v>branding</v>
      </c>
    </row>
    <row r="252" spans="1:47" x14ac:dyDescent="0.3">
      <c r="A252" s="3">
        <f ca="1"/>
        <v>2346826</v>
      </c>
      <c r="B252" s="3" t="str">
        <f ca="1"/>
        <v>CZECH NEWS CENTER a. s.</v>
      </c>
      <c r="C252" s="3" t="str">
        <f ca="1">IFERROR(__xludf.DUMMYFUNCTION("""COMPUTED_VALUE"""),"CNC auto moto pack")</f>
        <v>CNC auto moto pack</v>
      </c>
      <c r="D252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2" s="3" t="str">
        <f ca="1">IFERROR(__xludf.DUMMYFUNCTION("""COMPUTED_VALUE"""),"celý web")</f>
        <v>celý web</v>
      </c>
      <c r="F252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2" s="3" t="str">
        <f ca="1">IFERROR(__xludf.DUMMYFUNCTION("""COMPUTED_VALUE"""),"cílený billboard bottom low season")</f>
        <v>cílený billboard bottom low season</v>
      </c>
      <c r="H252" s="3">
        <f ca="1">IFERROR(__xludf.DUMMYFUNCTION("""COMPUTED_VALUE"""),7)</f>
        <v>7</v>
      </c>
      <c r="I252" s="5">
        <f ca="1">IFERROR(__xludf.DUMMYFUNCTION("""COMPUTED_VALUE"""),1000)</f>
        <v>1000</v>
      </c>
      <c r="J252" s="5">
        <f ca="1">IFERROR(__xludf.DUMMYFUNCTION("""COMPUTED_VALUE"""),252)</f>
        <v>252</v>
      </c>
      <c r="K252" s="3"/>
      <c r="L252" s="3" t="str">
        <f ca="1">IFERROR(__xludf.DUMMYFUNCTION("""COMPUTED_VALUE"""),"Cost per period")</f>
        <v>Cost per period</v>
      </c>
      <c r="M252" s="3"/>
      <c r="N252" s="3"/>
      <c r="O252" s="3" t="str">
        <f ca="1">IFERROR(__xludf.DUMMYFUNCTION("""COMPUTED_VALUE"""),"970")</f>
        <v>970</v>
      </c>
      <c r="P252" s="3" t="str">
        <f ca="1">IFERROR(__xludf.DUMMYFUNCTION("""COMPUTED_VALUE"""),"250")</f>
        <v>250</v>
      </c>
      <c r="Q252" s="3" t="str">
        <f ca="1">IFERROR(__xludf.DUMMYFUNCTION("""COMPUTED_VALUE"""),"970x250")</f>
        <v>970x250</v>
      </c>
      <c r="R252" s="3"/>
      <c r="S252" s="3" t="str">
        <f ca="1">IFERROR(__xludf.DUMMYFUNCTION("""COMPUTED_VALUE"""),"100 (200 - HTML5)")</f>
        <v>100 (200 - HTML5)</v>
      </c>
      <c r="T252" s="3"/>
      <c r="U252" s="3" t="str">
        <f ca="1">IFERROR(__xludf.DUMMYFUNCTION("""COMPUTED_VALUE"""),"banner standard")</f>
        <v>banner standard</v>
      </c>
      <c r="V252" s="3"/>
      <c r="W252" s="4" t="str">
        <f ca="1">IFERROR(__xludf.DUMMYFUNCTION("""COMPUTED_VALUE"""),"https://reklama.cncenter.cz/Online/billboard-bottom")</f>
        <v>https://reklama.cncenter.cz/Online/billboard-bottom</v>
      </c>
      <c r="X252" s="3"/>
      <c r="Y252" s="3"/>
      <c r="Z252" s="3" t="str">
        <f ca="1">IFERROR(__xludf.DUMMYFUNCTION("""COMPUTED_VALUE"""),"podklady@cncenter.cz")</f>
        <v>podklady@cncenter.cz</v>
      </c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 t="str">
        <f ca="1">IFERROR(__xludf.DUMMYFUNCTION("""COMPUTED_VALUE"""),"desktop")</f>
        <v>desktop</v>
      </c>
      <c r="AO252" s="3"/>
      <c r="AP252" s="3"/>
      <c r="AQ252" s="3"/>
      <c r="AR252" s="3"/>
      <c r="AS252" s="3"/>
      <c r="AT252" s="3"/>
      <c r="AU252" s="3" t="str">
        <f ca="1">IFERROR(__xludf.DUMMYFUNCTION("""COMPUTED_VALUE"""),"cílený billboard bottom")</f>
        <v>cílený billboard bottom</v>
      </c>
    </row>
    <row r="253" spans="1:47" x14ac:dyDescent="0.3">
      <c r="A253" s="3">
        <f ca="1"/>
        <v>2346826</v>
      </c>
      <c r="B253" s="3" t="str">
        <f ca="1"/>
        <v>CZECH NEWS CENTER a. s.</v>
      </c>
      <c r="C253" s="3" t="str">
        <f ca="1">IFERROR(__xludf.DUMMYFUNCTION("""COMPUTED_VALUE"""),"CNC auto moto pack")</f>
        <v>CNC auto moto pack</v>
      </c>
      <c r="D253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3" s="3" t="str">
        <f ca="1">IFERROR(__xludf.DUMMYFUNCTION("""COMPUTED_VALUE"""),"celý web")</f>
        <v>celý web</v>
      </c>
      <c r="F253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3" s="3" t="str">
        <f ca="1">IFERROR(__xludf.DUMMYFUNCTION("""COMPUTED_VALUE"""),"cílený branding cross-device low season")</f>
        <v>cílený branding cross-device low season</v>
      </c>
      <c r="H253" s="3">
        <f ca="1">IFERROR(__xludf.DUMMYFUNCTION("""COMPUTED_VALUE"""),7)</f>
        <v>7</v>
      </c>
      <c r="I253" s="5">
        <f ca="1">IFERROR(__xludf.DUMMYFUNCTION("""COMPUTED_VALUE"""),1000)</f>
        <v>1000</v>
      </c>
      <c r="J253" s="5">
        <f ca="1">IFERROR(__xludf.DUMMYFUNCTION("""COMPUTED_VALUE"""),324)</f>
        <v>324</v>
      </c>
      <c r="K253" s="3"/>
      <c r="L253" s="3" t="str">
        <f ca="1">IFERROR(__xludf.DUMMYFUNCTION("""COMPUTED_VALUE"""),"Cost per period")</f>
        <v>Cost per period</v>
      </c>
      <c r="M253" s="3"/>
      <c r="N253" s="3"/>
      <c r="O253" s="3" t="str">
        <f ca="1">IFERROR(__xludf.DUMMYFUNCTION("""COMPUTED_VALUE"""),"2000")</f>
        <v>2000</v>
      </c>
      <c r="P253" s="3" t="str">
        <f ca="1">IFERROR(__xludf.DUMMYFUNCTION("""COMPUTED_VALUE"""),"1400")</f>
        <v>1400</v>
      </c>
      <c r="Q253" s="3" t="str">
        <f ca="1">IFERROR(__xludf.DUMMYFUNCTION("""COMPUTED_VALUE"""),"2000x1400 + 600x1080")</f>
        <v>2000x1400 + 600x1080</v>
      </c>
      <c r="R253" s="3"/>
      <c r="S253" s="3" t="str">
        <f ca="1">IFERROR(__xludf.DUMMYFUNCTION("""COMPUTED_VALUE"""),"500 (600 - HTLM5)")</f>
        <v>500 (600 - HTLM5)</v>
      </c>
      <c r="T253" s="3"/>
      <c r="U253" s="3" t="str">
        <f ca="1">IFERROR(__xludf.DUMMYFUNCTION("""COMPUTED_VALUE"""),"banner standard")</f>
        <v>banner standard</v>
      </c>
      <c r="V253" s="3"/>
      <c r="W253" s="4" t="str">
        <f ca="1">IFERROR(__xludf.DUMMYFUNCTION("""COMPUTED_VALUE"""),"https://reklama.cncenter.cz/Online/branding-cross-device")</f>
        <v>https://reklama.cncenter.cz/Online/branding-cross-device</v>
      </c>
      <c r="X253" s="3"/>
      <c r="Y253" s="3"/>
      <c r="Z253" s="3" t="str">
        <f ca="1">IFERROR(__xludf.DUMMYFUNCTION("""COMPUTED_VALUE"""),"podklady@cncenter.cz")</f>
        <v>podklady@cncenter.cz</v>
      </c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 t="str">
        <f ca="1">IFERROR(__xludf.DUMMYFUNCTION("""COMPUTED_VALUE"""),"cross-device")</f>
        <v>cross-device</v>
      </c>
      <c r="AO253" s="3"/>
      <c r="AP253" s="3"/>
      <c r="AQ253" s="3"/>
      <c r="AR253" s="3"/>
      <c r="AS253" s="3"/>
      <c r="AT253" s="3"/>
      <c r="AU253" s="3" t="str">
        <f ca="1">IFERROR(__xludf.DUMMYFUNCTION("""COMPUTED_VALUE"""),"cílený branding cross-device")</f>
        <v>cílený branding cross-device</v>
      </c>
    </row>
    <row r="254" spans="1:47" x14ac:dyDescent="0.3">
      <c r="A254" s="3">
        <f ca="1"/>
        <v>2346826</v>
      </c>
      <c r="B254" s="3" t="str">
        <f ca="1"/>
        <v>CZECH NEWS CENTER a. s.</v>
      </c>
      <c r="C254" s="3" t="str">
        <f ca="1">IFERROR(__xludf.DUMMYFUNCTION("""COMPUTED_VALUE"""),"CNC auto moto pack")</f>
        <v>CNC auto moto pack</v>
      </c>
      <c r="D254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4" s="3" t="str">
        <f ca="1">IFERROR(__xludf.DUMMYFUNCTION("""COMPUTED_VALUE"""),"celý web")</f>
        <v>celý web</v>
      </c>
      <c r="F254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4" s="3" t="str">
        <f ca="1">IFERROR(__xludf.DUMMYFUNCTION("""COMPUTED_VALUE"""),"cílený branding low season")</f>
        <v>cílený branding low season</v>
      </c>
      <c r="H254" s="3">
        <f ca="1">IFERROR(__xludf.DUMMYFUNCTION("""COMPUTED_VALUE"""),7)</f>
        <v>7</v>
      </c>
      <c r="I254" s="5">
        <f ca="1">IFERROR(__xludf.DUMMYFUNCTION("""COMPUTED_VALUE"""),1000)</f>
        <v>1000</v>
      </c>
      <c r="J254" s="5">
        <f ca="1">IFERROR(__xludf.DUMMYFUNCTION("""COMPUTED_VALUE"""),480)</f>
        <v>480</v>
      </c>
      <c r="K254" s="3"/>
      <c r="L254" s="3" t="str">
        <f ca="1">IFERROR(__xludf.DUMMYFUNCTION("""COMPUTED_VALUE"""),"Cost per period")</f>
        <v>Cost per period</v>
      </c>
      <c r="M254" s="3"/>
      <c r="N254" s="3"/>
      <c r="O254" s="3" t="str">
        <f ca="1">IFERROR(__xludf.DUMMYFUNCTION("""COMPUTED_VALUE"""),"2000")</f>
        <v>2000</v>
      </c>
      <c r="P254" s="3" t="str">
        <f ca="1">IFERROR(__xludf.DUMMYFUNCTION("""COMPUTED_VALUE"""),"1400")</f>
        <v>1400</v>
      </c>
      <c r="Q254" s="3" t="str">
        <f ca="1">IFERROR(__xludf.DUMMYFUNCTION("""COMPUTED_VALUE"""),"2000x1400")</f>
        <v>2000x1400</v>
      </c>
      <c r="R254" s="3"/>
      <c r="S254" s="3" t="str">
        <f ca="1">IFERROR(__xludf.DUMMYFUNCTION("""COMPUTED_VALUE"""),"500 + 200 (600+200 HTML5)")</f>
        <v>500 + 200 (600+200 HTML5)</v>
      </c>
      <c r="T254" s="3"/>
      <c r="U254" s="3" t="str">
        <f ca="1">IFERROR(__xludf.DUMMYFUNCTION("""COMPUTED_VALUE"""),"banner standard")</f>
        <v>banner standard</v>
      </c>
      <c r="V254" s="3"/>
      <c r="W254" s="4" t="str">
        <f ca="1">IFERROR(__xludf.DUMMYFUNCTION("""COMPUTED_VALUE"""),"https://reklama.cncenter.cz/Online/branding")</f>
        <v>https://reklama.cncenter.cz/Online/branding</v>
      </c>
      <c r="X254" s="3"/>
      <c r="Y254" s="3"/>
      <c r="Z254" s="3" t="str">
        <f ca="1">IFERROR(__xludf.DUMMYFUNCTION("""COMPUTED_VALUE"""),"podklady@cncenter.cz")</f>
        <v>podklady@cncenter.cz</v>
      </c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 t="str">
        <f ca="1">IFERROR(__xludf.DUMMYFUNCTION("""COMPUTED_VALUE"""),"desktop")</f>
        <v>desktop</v>
      </c>
      <c r="AO254" s="3"/>
      <c r="AP254" s="3"/>
      <c r="AQ254" s="3"/>
      <c r="AR254" s="3"/>
      <c r="AS254" s="3"/>
      <c r="AT254" s="3"/>
      <c r="AU254" s="3" t="str">
        <f ca="1">IFERROR(__xludf.DUMMYFUNCTION("""COMPUTED_VALUE"""),"cílený branding")</f>
        <v>cílený branding</v>
      </c>
    </row>
    <row r="255" spans="1:47" x14ac:dyDescent="0.3">
      <c r="A255" s="3">
        <f ca="1"/>
        <v>2346826</v>
      </c>
      <c r="B255" s="3" t="str">
        <f ca="1"/>
        <v>CZECH NEWS CENTER a. s.</v>
      </c>
      <c r="C255" s="3" t="str">
        <f ca="1">IFERROR(__xludf.DUMMYFUNCTION("""COMPUTED_VALUE"""),"CNC auto moto pack")</f>
        <v>CNC auto moto pack</v>
      </c>
      <c r="D255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5" s="3" t="str">
        <f ca="1">IFERROR(__xludf.DUMMYFUNCTION("""COMPUTED_VALUE"""),"celý web")</f>
        <v>celý web</v>
      </c>
      <c r="F255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5" s="3" t="str">
        <f ca="1">IFERROR(__xludf.DUMMYFUNCTION("""COMPUTED_VALUE"""),"cílený double skyscraper low season")</f>
        <v>cílený double skyscraper low season</v>
      </c>
      <c r="H255" s="3">
        <f ca="1">IFERROR(__xludf.DUMMYFUNCTION("""COMPUTED_VALUE"""),7)</f>
        <v>7</v>
      </c>
      <c r="I255" s="5">
        <f ca="1">IFERROR(__xludf.DUMMYFUNCTION("""COMPUTED_VALUE"""),1000)</f>
        <v>1000</v>
      </c>
      <c r="J255" s="5">
        <f ca="1">IFERROR(__xludf.DUMMYFUNCTION("""COMPUTED_VALUE"""),180)</f>
        <v>180</v>
      </c>
      <c r="K255" s="3"/>
      <c r="L255" s="3" t="str">
        <f ca="1">IFERROR(__xludf.DUMMYFUNCTION("""COMPUTED_VALUE"""),"Cost per period")</f>
        <v>Cost per period</v>
      </c>
      <c r="M255" s="3"/>
      <c r="N255" s="3"/>
      <c r="O255" s="3" t="str">
        <f ca="1">IFERROR(__xludf.DUMMYFUNCTION("""COMPUTED_VALUE"""),"300")</f>
        <v>300</v>
      </c>
      <c r="P255" s="3" t="str">
        <f ca="1">IFERROR(__xludf.DUMMYFUNCTION("""COMPUTED_VALUE"""),"600")</f>
        <v>600</v>
      </c>
      <c r="Q255" s="3" t="str">
        <f ca="1">IFERROR(__xludf.DUMMYFUNCTION("""COMPUTED_VALUE"""),"300x600")</f>
        <v>300x600</v>
      </c>
      <c r="R255" s="3"/>
      <c r="S255" s="3" t="str">
        <f ca="1">IFERROR(__xludf.DUMMYFUNCTION("""COMPUTED_VALUE"""),"100 (200 - HTML5)")</f>
        <v>100 (200 - HTML5)</v>
      </c>
      <c r="T255" s="3"/>
      <c r="U255" s="3" t="str">
        <f ca="1">IFERROR(__xludf.DUMMYFUNCTION("""COMPUTED_VALUE"""),"banner standard")</f>
        <v>banner standard</v>
      </c>
      <c r="V255" s="3"/>
      <c r="W255" s="4" t="str">
        <f ca="1">IFERROR(__xludf.DUMMYFUNCTION("""COMPUTED_VALUE"""),"https://reklama.cncenter.cz/Online/double-skyscraper")</f>
        <v>https://reklama.cncenter.cz/Online/double-skyscraper</v>
      </c>
      <c r="X255" s="3"/>
      <c r="Y255" s="3"/>
      <c r="Z255" s="3" t="str">
        <f ca="1">IFERROR(__xludf.DUMMYFUNCTION("""COMPUTED_VALUE"""),"podklady@cncenter.cz")</f>
        <v>podklady@cncenter.cz</v>
      </c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 t="str">
        <f ca="1">IFERROR(__xludf.DUMMYFUNCTION("""COMPUTED_VALUE"""),"desktop")</f>
        <v>desktop</v>
      </c>
      <c r="AO255" s="3"/>
      <c r="AP255" s="3"/>
      <c r="AQ255" s="3"/>
      <c r="AR255" s="3"/>
      <c r="AS255" s="3"/>
      <c r="AT255" s="3"/>
      <c r="AU255" s="3" t="str">
        <f ca="1">IFERROR(__xludf.DUMMYFUNCTION("""COMPUTED_VALUE"""),"cílený double skyscraper")</f>
        <v>cílený double skyscraper</v>
      </c>
    </row>
    <row r="256" spans="1:47" x14ac:dyDescent="0.3">
      <c r="A256" s="3">
        <f ca="1"/>
        <v>2346826</v>
      </c>
      <c r="B256" s="3" t="str">
        <f ca="1"/>
        <v>CZECH NEWS CENTER a. s.</v>
      </c>
      <c r="C256" s="3" t="str">
        <f ca="1">IFERROR(__xludf.DUMMYFUNCTION("""COMPUTED_VALUE"""),"CNC auto moto pack")</f>
        <v>CNC auto moto pack</v>
      </c>
      <c r="D256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6" s="3" t="str">
        <f ca="1">IFERROR(__xludf.DUMMYFUNCTION("""COMPUTED_VALUE"""),"celý web")</f>
        <v>celý web</v>
      </c>
      <c r="F256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6" s="3" t="str">
        <f ca="1">IFERROR(__xludf.DUMMYFUNCTION("""COMPUTED_VALUE"""),"cílený mini videospot - max. 30 sec. low season")</f>
        <v>cílený mini videospot - max. 30 sec. low season</v>
      </c>
      <c r="H256" s="3">
        <f ca="1">IFERROR(__xludf.DUMMYFUNCTION("""COMPUTED_VALUE"""),7)</f>
        <v>7</v>
      </c>
      <c r="I256" s="5">
        <f ca="1">IFERROR(__xludf.DUMMYFUNCTION("""COMPUTED_VALUE"""),1000)</f>
        <v>1000</v>
      </c>
      <c r="J256" s="5">
        <f ca="1">IFERROR(__xludf.DUMMYFUNCTION("""COMPUTED_VALUE"""),180)</f>
        <v>180</v>
      </c>
      <c r="K256" s="3"/>
      <c r="L256" s="3" t="str">
        <f ca="1">IFERROR(__xludf.DUMMYFUNCTION("""COMPUTED_VALUE"""),"Cost per period")</f>
        <v>Cost per period</v>
      </c>
      <c r="M256" s="3"/>
      <c r="N256" s="3"/>
      <c r="O256" s="3"/>
      <c r="P256" s="3"/>
      <c r="Q256" s="3" t="str">
        <f ca="1">IFERROR(__xludf.DUMMYFUNCTION("""COMPUTED_VALUE"""),"16:9 / umístění po domluvě dle možností")</f>
        <v>16:9 / umístění po domluvě dle možností</v>
      </c>
      <c r="R256" s="3" t="str">
        <f ca="1">IFERROR(__xludf.DUMMYFUNCTION("""COMPUTED_VALUE"""),"přeskočení po 7 sekundách")</f>
        <v>přeskočení po 7 sekundách</v>
      </c>
      <c r="S256" s="3" t="str">
        <f ca="1">IFERROR(__xludf.DUMMYFUNCTION("""COMPUTED_VALUE"""),"100")</f>
        <v>100</v>
      </c>
      <c r="T256" s="3"/>
      <c r="U256" s="3" t="str">
        <f ca="1">IFERROR(__xludf.DUMMYFUNCTION("""COMPUTED_VALUE"""),"videospot")</f>
        <v>videospot</v>
      </c>
      <c r="V256" s="3"/>
      <c r="W256" s="4" t="str">
        <f ca="1">IFERROR(__xludf.DUMMYFUNCTION("""COMPUTED_VALUE"""),"https://reklama.cncenter.cz/Online/Videospot")</f>
        <v>https://reklama.cncenter.cz/Online/Videospot</v>
      </c>
      <c r="X256" s="3"/>
      <c r="Y256" s="3"/>
      <c r="Z256" s="3" t="str">
        <f ca="1">IFERROR(__xludf.DUMMYFUNCTION("""COMPUTED_VALUE"""),"podklady@cncenter.cz")</f>
        <v>podklady@cncenter.cz</v>
      </c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 t="str">
        <f ca="1">IFERROR(__xludf.DUMMYFUNCTION("""COMPUTED_VALUE"""),"desktop")</f>
        <v>desktop</v>
      </c>
      <c r="AO256" s="3"/>
      <c r="AP256" s="3"/>
      <c r="AQ256" s="3"/>
      <c r="AR256" s="3"/>
      <c r="AS256" s="3"/>
      <c r="AT256" s="3"/>
      <c r="AU256" s="3" t="str">
        <f ca="1">IFERROR(__xludf.DUMMYFUNCTION("""COMPUTED_VALUE"""),"cílený mini videospot - max. 30 sec.")</f>
        <v>cílený mini videospot - max. 30 sec.</v>
      </c>
    </row>
    <row r="257" spans="1:47" x14ac:dyDescent="0.3">
      <c r="A257" s="3">
        <f ca="1"/>
        <v>2346826</v>
      </c>
      <c r="B257" s="3" t="str">
        <f ca="1"/>
        <v>CZECH NEWS CENTER a. s.</v>
      </c>
      <c r="C257" s="3" t="str">
        <f ca="1">IFERROR(__xludf.DUMMYFUNCTION("""COMPUTED_VALUE"""),"CNC auto moto pack")</f>
        <v>CNC auto moto pack</v>
      </c>
      <c r="D257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7" s="3" t="str">
        <f ca="1">IFERROR(__xludf.DUMMYFUNCTION("""COMPUTED_VALUE"""),"celý web")</f>
        <v>celý web</v>
      </c>
      <c r="F257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7" s="3" t="str">
        <f ca="1">IFERROR(__xludf.DUMMYFUNCTION("""COMPUTED_VALUE"""),"cílený mobilní interscroller low season")</f>
        <v>cílený mobilní interscroller low season</v>
      </c>
      <c r="H257" s="3">
        <f ca="1">IFERROR(__xludf.DUMMYFUNCTION("""COMPUTED_VALUE"""),7)</f>
        <v>7</v>
      </c>
      <c r="I257" s="5">
        <f ca="1">IFERROR(__xludf.DUMMYFUNCTION("""COMPUTED_VALUE"""),1000)</f>
        <v>1000</v>
      </c>
      <c r="J257" s="5">
        <f ca="1">IFERROR(__xludf.DUMMYFUNCTION("""COMPUTED_VALUE"""),240)</f>
        <v>240</v>
      </c>
      <c r="K257" s="3"/>
      <c r="L257" s="3" t="str">
        <f ca="1">IFERROR(__xludf.DUMMYFUNCTION("""COMPUTED_VALUE"""),"Cost per period")</f>
        <v>Cost per period</v>
      </c>
      <c r="M257" s="3"/>
      <c r="N257" s="3"/>
      <c r="O257" s="3" t="str">
        <f ca="1">IFERROR(__xludf.DUMMYFUNCTION("""COMPUTED_VALUE"""),"600")</f>
        <v>600</v>
      </c>
      <c r="P257" s="3" t="str">
        <f ca="1">IFERROR(__xludf.DUMMYFUNCTION("""COMPUTED_VALUE"""),"1080")</f>
        <v>1080</v>
      </c>
      <c r="Q257" s="3" t="str">
        <f ca="1">IFERROR(__xludf.DUMMYFUNCTION("""COMPUTED_VALUE"""),"600x1080")</f>
        <v>600x1080</v>
      </c>
      <c r="R257" s="3"/>
      <c r="S257" s="3" t="str">
        <f ca="1">IFERROR(__xludf.DUMMYFUNCTION("""COMPUTED_VALUE"""),"200")</f>
        <v>200</v>
      </c>
      <c r="T257" s="3"/>
      <c r="U257" s="3" t="str">
        <f ca="1">IFERROR(__xludf.DUMMYFUNCTION("""COMPUTED_VALUE"""),"banner standard")</f>
        <v>banner standard</v>
      </c>
      <c r="V257" s="3"/>
      <c r="W257" s="4" t="str">
        <f ca="1">IFERROR(__xludf.DUMMYFUNCTION("""COMPUTED_VALUE"""),"https://reklama.cncenter.cz/Online/mobilni-interscroller")</f>
        <v>https://reklama.cncenter.cz/Online/mobilni-interscroller</v>
      </c>
      <c r="X257" s="3"/>
      <c r="Y257" s="3"/>
      <c r="Z257" s="3" t="str">
        <f ca="1">IFERROR(__xludf.DUMMYFUNCTION("""COMPUTED_VALUE"""),"podklady@cncenter.cz")</f>
        <v>podklady@cncenter.cz</v>
      </c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 t="str">
        <f ca="1">IFERROR(__xludf.DUMMYFUNCTION("""COMPUTED_VALUE"""),"mobile")</f>
        <v>mobile</v>
      </c>
      <c r="AO257" s="3"/>
      <c r="AP257" s="3"/>
      <c r="AQ257" s="3"/>
      <c r="AR257" s="3"/>
      <c r="AS257" s="3"/>
      <c r="AT257" s="3"/>
      <c r="AU257" s="3" t="str">
        <f ca="1">IFERROR(__xludf.DUMMYFUNCTION("""COMPUTED_VALUE"""),"cílený mobilní interscroller")</f>
        <v>cílený mobilní interscroller</v>
      </c>
    </row>
    <row r="258" spans="1:47" x14ac:dyDescent="0.3">
      <c r="A258" s="3">
        <f ca="1"/>
        <v>2346826</v>
      </c>
      <c r="B258" s="3" t="str">
        <f ca="1"/>
        <v>CZECH NEWS CENTER a. s.</v>
      </c>
      <c r="C258" s="3" t="str">
        <f ca="1">IFERROR(__xludf.DUMMYFUNCTION("""COMPUTED_VALUE"""),"CNC auto moto pack")</f>
        <v>CNC auto moto pack</v>
      </c>
      <c r="D258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8" s="3" t="str">
        <f ca="1">IFERROR(__xludf.DUMMYFUNCTION("""COMPUTED_VALUE"""),"celý web")</f>
        <v>celý web</v>
      </c>
      <c r="F258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8" s="3" t="str">
        <f ca="1">IFERROR(__xludf.DUMMYFUNCTION("""COMPUTED_VALUE"""),"cílený mobilní slide-up low season")</f>
        <v>cílený mobilní slide-up low season</v>
      </c>
      <c r="H258" s="3">
        <f ca="1">IFERROR(__xludf.DUMMYFUNCTION("""COMPUTED_VALUE"""),7)</f>
        <v>7</v>
      </c>
      <c r="I258" s="5">
        <f ca="1">IFERROR(__xludf.DUMMYFUNCTION("""COMPUTED_VALUE"""),1000)</f>
        <v>1000</v>
      </c>
      <c r="J258" s="5">
        <f ca="1">IFERROR(__xludf.DUMMYFUNCTION("""COMPUTED_VALUE"""),480)</f>
        <v>480</v>
      </c>
      <c r="K258" s="3"/>
      <c r="L258" s="3" t="str">
        <f ca="1">IFERROR(__xludf.DUMMYFUNCTION("""COMPUTED_VALUE"""),"Cost per period")</f>
        <v>Cost per period</v>
      </c>
      <c r="M258" s="3"/>
      <c r="N258" s="3"/>
      <c r="O258" s="3" t="str">
        <f ca="1">IFERROR(__xludf.DUMMYFUNCTION("""COMPUTED_VALUE"""),"300")</f>
        <v>300</v>
      </c>
      <c r="P258" s="3" t="str">
        <f ca="1">IFERROR(__xludf.DUMMYFUNCTION("""COMPUTED_VALUE"""),"120")</f>
        <v>120</v>
      </c>
      <c r="Q258" s="3" t="str">
        <f ca="1">IFERROR(__xludf.DUMMYFUNCTION("""COMPUTED_VALUE"""),"300x120")</f>
        <v>300x120</v>
      </c>
      <c r="R258" s="3"/>
      <c r="S258" s="3" t="str">
        <f ca="1">IFERROR(__xludf.DUMMYFUNCTION("""COMPUTED_VALUE"""),"100")</f>
        <v>100</v>
      </c>
      <c r="T258" s="3"/>
      <c r="U258" s="3" t="str">
        <f ca="1">IFERROR(__xludf.DUMMYFUNCTION("""COMPUTED_VALUE"""),"banner standard")</f>
        <v>banner standard</v>
      </c>
      <c r="V258" s="3"/>
      <c r="W258" s="4" t="str">
        <f ca="1">IFERROR(__xludf.DUMMYFUNCTION("""COMPUTED_VALUE"""),"https://reklama.cncenter.cz/Online/mobilni-slide-up")</f>
        <v>https://reklama.cncenter.cz/Online/mobilni-slide-up</v>
      </c>
      <c r="X258" s="3"/>
      <c r="Y258" s="3"/>
      <c r="Z258" s="3" t="str">
        <f ca="1">IFERROR(__xludf.DUMMYFUNCTION("""COMPUTED_VALUE"""),"podklady@cncenter.cz")</f>
        <v>podklady@cncenter.cz</v>
      </c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 t="str">
        <f ca="1">IFERROR(__xludf.DUMMYFUNCTION("""COMPUTED_VALUE"""),"mobile")</f>
        <v>mobile</v>
      </c>
      <c r="AO258" s="3"/>
      <c r="AP258" s="3"/>
      <c r="AQ258" s="3"/>
      <c r="AR258" s="3"/>
      <c r="AS258" s="3"/>
      <c r="AT258" s="3"/>
      <c r="AU258" s="3" t="str">
        <f ca="1">IFERROR(__xludf.DUMMYFUNCTION("""COMPUTED_VALUE"""),"cílený mobilní slide-up")</f>
        <v>cílený mobilní slide-up</v>
      </c>
    </row>
    <row r="259" spans="1:47" x14ac:dyDescent="0.3">
      <c r="A259" s="3">
        <f ca="1"/>
        <v>2346826</v>
      </c>
      <c r="B259" s="3" t="str">
        <f ca="1"/>
        <v>CZECH NEWS CENTER a. s.</v>
      </c>
      <c r="C259" s="3" t="str">
        <f ca="1">IFERROR(__xludf.DUMMYFUNCTION("""COMPUTED_VALUE"""),"CNC auto moto pack")</f>
        <v>CNC auto moto pack</v>
      </c>
      <c r="D259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9" s="3" t="str">
        <f ca="1">IFERROR(__xludf.DUMMYFUNCTION("""COMPUTED_VALUE"""),"celý web")</f>
        <v>celý web</v>
      </c>
      <c r="F259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9" s="3" t="str">
        <f ca="1">IFERROR(__xludf.DUMMYFUNCTION("""COMPUTED_VALUE"""),"cílený mobilní viněta low season")</f>
        <v>cílený mobilní viněta low season</v>
      </c>
      <c r="H259" s="3">
        <f ca="1">IFERROR(__xludf.DUMMYFUNCTION("""COMPUTED_VALUE"""),7)</f>
        <v>7</v>
      </c>
      <c r="I259" s="5">
        <f ca="1">IFERROR(__xludf.DUMMYFUNCTION("""COMPUTED_VALUE"""),1000)</f>
        <v>1000</v>
      </c>
      <c r="J259" s="5">
        <f ca="1">IFERROR(__xludf.DUMMYFUNCTION("""COMPUTED_VALUE"""),672)</f>
        <v>672</v>
      </c>
      <c r="K259" s="3"/>
      <c r="L259" s="3" t="str">
        <f ca="1">IFERROR(__xludf.DUMMYFUNCTION("""COMPUTED_VALUE"""),"Cost per period")</f>
        <v>Cost per period</v>
      </c>
      <c r="M259" s="3"/>
      <c r="N259" s="3"/>
      <c r="O259" s="3" t="str">
        <f ca="1">IFERROR(__xludf.DUMMYFUNCTION("""COMPUTED_VALUE"""),"600")</f>
        <v>600</v>
      </c>
      <c r="P259" s="3" t="str">
        <f ca="1">IFERROR(__xludf.DUMMYFUNCTION("""COMPUTED_VALUE"""),"800")</f>
        <v>800</v>
      </c>
      <c r="Q259" s="3" t="str">
        <f ca="1">IFERROR(__xludf.DUMMYFUNCTION("""COMPUTED_VALUE"""),"300x250 nebo 600x800")</f>
        <v>300x250 nebo 600x800</v>
      </c>
      <c r="R259" s="3"/>
      <c r="S259" s="3" t="str">
        <f ca="1">IFERROR(__xludf.DUMMYFUNCTION("""COMPUTED_VALUE"""),"100")</f>
        <v>100</v>
      </c>
      <c r="T259" s="3"/>
      <c r="U259" s="3" t="str">
        <f ca="1">IFERROR(__xludf.DUMMYFUNCTION("""COMPUTED_VALUE"""),"banner standard")</f>
        <v>banner standard</v>
      </c>
      <c r="V259" s="3"/>
      <c r="W259" s="4" t="str">
        <f ca="1">IFERROR(__xludf.DUMMYFUNCTION("""COMPUTED_VALUE"""),"https://reklama.cncenter.cz/Online/mobilni-vineta")</f>
        <v>https://reklama.cncenter.cz/Online/mobilni-vineta</v>
      </c>
      <c r="X259" s="3"/>
      <c r="Y259" s="3"/>
      <c r="Z259" s="3" t="str">
        <f ca="1">IFERROR(__xludf.DUMMYFUNCTION("""COMPUTED_VALUE"""),"podklady@cncenter.cz")</f>
        <v>podklady@cncenter.cz</v>
      </c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 t="str">
        <f ca="1">IFERROR(__xludf.DUMMYFUNCTION("""COMPUTED_VALUE"""),"mobile")</f>
        <v>mobile</v>
      </c>
      <c r="AO259" s="3"/>
      <c r="AP259" s="3"/>
      <c r="AQ259" s="3"/>
      <c r="AR259" s="3"/>
      <c r="AS259" s="3"/>
      <c r="AT259" s="3"/>
      <c r="AU259" s="3" t="str">
        <f ca="1">IFERROR(__xludf.DUMMYFUNCTION("""COMPUTED_VALUE"""),"cílený mobilní viněta")</f>
        <v>cílený mobilní viněta</v>
      </c>
    </row>
    <row r="260" spans="1:47" x14ac:dyDescent="0.3">
      <c r="A260" s="3">
        <f ca="1"/>
        <v>2346826</v>
      </c>
      <c r="B260" s="3" t="str">
        <f ca="1"/>
        <v>CZECH NEWS CENTER a. s.</v>
      </c>
      <c r="C260" s="3" t="str">
        <f ca="1">IFERROR(__xludf.DUMMYFUNCTION("""COMPUTED_VALUE"""),"CNC auto moto pack")</f>
        <v>CNC auto moto pack</v>
      </c>
      <c r="D260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0" s="3" t="str">
        <f ca="1">IFERROR(__xludf.DUMMYFUNCTION("""COMPUTED_VALUE"""),"celý web")</f>
        <v>celý web</v>
      </c>
      <c r="F260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0" s="3" t="str">
        <f ca="1">IFERROR(__xludf.DUMMYFUNCTION("""COMPUTED_VALUE"""),"cílený nativní rectangle cross-device low season")</f>
        <v>cílený nativní rectangle cross-device low season</v>
      </c>
      <c r="H260" s="3">
        <f ca="1">IFERROR(__xludf.DUMMYFUNCTION("""COMPUTED_VALUE"""),7)</f>
        <v>7</v>
      </c>
      <c r="I260" s="5">
        <f ca="1">IFERROR(__xludf.DUMMYFUNCTION("""COMPUTED_VALUE"""),1000)</f>
        <v>1000</v>
      </c>
      <c r="J260" s="5">
        <f ca="1">IFERROR(__xludf.DUMMYFUNCTION("""COMPUTED_VALUE"""),180)</f>
        <v>180</v>
      </c>
      <c r="K260" s="3"/>
      <c r="L260" s="3" t="str">
        <f ca="1">IFERROR(__xludf.DUMMYFUNCTION("""COMPUTED_VALUE"""),"Cost per period")</f>
        <v>Cost per period</v>
      </c>
      <c r="M260" s="3"/>
      <c r="N260" s="3"/>
      <c r="O260" s="3" t="str">
        <f ca="1">IFERROR(__xludf.DUMMYFUNCTION("""COMPUTED_VALUE"""),"640")</f>
        <v>640</v>
      </c>
      <c r="P260" s="3" t="str">
        <f ca="1">IFERROR(__xludf.DUMMYFUNCTION("""COMPUTED_VALUE"""),"335, 640")</f>
        <v>335, 640</v>
      </c>
      <c r="Q260" s="3" t="str">
        <f ca="1">IFERROR(__xludf.DUMMYFUNCTION("""COMPUTED_VALUE"""),"640x640 a 640x335 + text + logo")</f>
        <v>640x640 a 640x335 + text + logo</v>
      </c>
      <c r="R260" s="3"/>
      <c r="S260" s="3" t="str">
        <f ca="1">IFERROR(__xludf.DUMMYFUNCTION("""COMPUTED_VALUE"""),"45")</f>
        <v>45</v>
      </c>
      <c r="T260" s="3"/>
      <c r="U260" s="3" t="str">
        <f ca="1">IFERROR(__xludf.DUMMYFUNCTION("""COMPUTED_VALUE"""),"nativní reklama")</f>
        <v>nativní reklama</v>
      </c>
      <c r="V260" s="3"/>
      <c r="W260" s="4" t="str">
        <f ca="1">IFERROR(__xludf.DUMMYFUNCTION("""COMPUTED_VALUE"""),"https://reklama.cncenter.cz/Online/nativni-rectangle-cross-device")</f>
        <v>https://reklama.cncenter.cz/Online/nativni-rectangle-cross-device</v>
      </c>
      <c r="X260" s="3"/>
      <c r="Y260" s="3"/>
      <c r="Z260" s="3" t="str">
        <f ca="1">IFERROR(__xludf.DUMMYFUNCTION("""COMPUTED_VALUE"""),"podklady@cncenter.cz")</f>
        <v>podklady@cncenter.cz</v>
      </c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 t="str">
        <f ca="1">IFERROR(__xludf.DUMMYFUNCTION("""COMPUTED_VALUE"""),"cross-device")</f>
        <v>cross-device</v>
      </c>
      <c r="AO260" s="3"/>
      <c r="AP260" s="3"/>
      <c r="AQ260" s="3"/>
      <c r="AR260" s="3"/>
      <c r="AS260" s="3"/>
      <c r="AT260" s="3"/>
      <c r="AU260" s="3" t="str">
        <f ca="1">IFERROR(__xludf.DUMMYFUNCTION("""COMPUTED_VALUE"""),"cílený nativní rectangle cross-device")</f>
        <v>cílený nativní rectangle cross-device</v>
      </c>
    </row>
    <row r="261" spans="1:47" x14ac:dyDescent="0.3">
      <c r="A261" s="3">
        <f ca="1"/>
        <v>2346826</v>
      </c>
      <c r="B261" s="3" t="str">
        <f ca="1"/>
        <v>CZECH NEWS CENTER a. s.</v>
      </c>
      <c r="C261" s="3" t="str">
        <f ca="1">IFERROR(__xludf.DUMMYFUNCTION("""COMPUTED_VALUE"""),"CNC auto moto pack")</f>
        <v>CNC auto moto pack</v>
      </c>
      <c r="D261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1" s="3" t="str">
        <f ca="1">IFERROR(__xludf.DUMMYFUNCTION("""COMPUTED_VALUE"""),"celý web")</f>
        <v>celý web</v>
      </c>
      <c r="F261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1" s="3" t="str">
        <f ca="1">IFERROR(__xludf.DUMMYFUNCTION("""COMPUTED_VALUE"""),"cílený outstream low season")</f>
        <v>cílený outstream low season</v>
      </c>
      <c r="H261" s="3">
        <f ca="1">IFERROR(__xludf.DUMMYFUNCTION("""COMPUTED_VALUE"""),7)</f>
        <v>7</v>
      </c>
      <c r="I261" s="5">
        <f ca="1">IFERROR(__xludf.DUMMYFUNCTION("""COMPUTED_VALUE"""),1000)</f>
        <v>1000</v>
      </c>
      <c r="J261" s="5">
        <f ca="1">IFERROR(__xludf.DUMMYFUNCTION("""COMPUTED_VALUE"""),276)</f>
        <v>276</v>
      </c>
      <c r="K261" s="3"/>
      <c r="L261" s="3" t="str">
        <f ca="1">IFERROR(__xludf.DUMMYFUNCTION("""COMPUTED_VALUE"""),"Cost per period")</f>
        <v>Cost per period</v>
      </c>
      <c r="M261" s="3"/>
      <c r="N261" s="3"/>
      <c r="O261" s="3" t="str">
        <f ca="1">IFERROR(__xludf.DUMMYFUNCTION("""COMPUTED_VALUE"""),"1280")</f>
        <v>1280</v>
      </c>
      <c r="P261" s="3" t="str">
        <f ca="1">IFERROR(__xludf.DUMMYFUNCTION("""COMPUTED_VALUE"""),"720")</f>
        <v>720</v>
      </c>
      <c r="Q261" s="3" t="str">
        <f ca="1">IFERROR(__xludf.DUMMYFUNCTION("""COMPUTED_VALUE"""),"16:9")</f>
        <v>16:9</v>
      </c>
      <c r="R261" s="3"/>
      <c r="S261" s="3" t="str">
        <f ca="1">IFERROR(__xludf.DUMMYFUNCTION("""COMPUTED_VALUE"""),"100")</f>
        <v>100</v>
      </c>
      <c r="T261" s="3"/>
      <c r="U261" s="3" t="str">
        <f ca="1">IFERROR(__xludf.DUMMYFUNCTION("""COMPUTED_VALUE"""),"videospot")</f>
        <v>videospot</v>
      </c>
      <c r="V261" s="3"/>
      <c r="W261" s="4" t="str">
        <f ca="1">IFERROR(__xludf.DUMMYFUNCTION("""COMPUTED_VALUE"""),"https://reklama.cncenter.cz/Online/Outstream")</f>
        <v>https://reklama.cncenter.cz/Online/Outstream</v>
      </c>
      <c r="X261" s="3"/>
      <c r="Y261" s="3"/>
      <c r="Z261" s="3" t="str">
        <f ca="1">IFERROR(__xludf.DUMMYFUNCTION("""COMPUTED_VALUE"""),"podklady@cncenter.cz")</f>
        <v>podklady@cncenter.cz</v>
      </c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 t="str">
        <f ca="1">IFERROR(__xludf.DUMMYFUNCTION("""COMPUTED_VALUE"""),"cross-device")</f>
        <v>cross-device</v>
      </c>
      <c r="AO261" s="3"/>
      <c r="AP261" s="3"/>
      <c r="AQ261" s="3"/>
      <c r="AR261" s="3"/>
      <c r="AS261" s="3"/>
      <c r="AT261" s="3"/>
      <c r="AU261" s="3" t="str">
        <f ca="1">IFERROR(__xludf.DUMMYFUNCTION("""COMPUTED_VALUE"""),"cílený outstream")</f>
        <v>cílený outstream</v>
      </c>
    </row>
    <row r="262" spans="1:47" x14ac:dyDescent="0.3">
      <c r="A262" s="3">
        <f ca="1"/>
        <v>2346826</v>
      </c>
      <c r="B262" s="3" t="str">
        <f ca="1"/>
        <v>CZECH NEWS CENTER a. s.</v>
      </c>
      <c r="C262" s="3" t="str">
        <f ca="1">IFERROR(__xludf.DUMMYFUNCTION("""COMPUTED_VALUE"""),"CNC auto moto pack")</f>
        <v>CNC auto moto pack</v>
      </c>
      <c r="D262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2" s="3" t="str">
        <f ca="1">IFERROR(__xludf.DUMMYFUNCTION("""COMPUTED_VALUE"""),"celý web")</f>
        <v>celý web</v>
      </c>
      <c r="F262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2" s="3" t="str">
        <f ca="1">IFERROR(__xludf.DUMMYFUNCTION("""COMPUTED_VALUE"""),"cílený Smarticle low season")</f>
        <v>cílený Smarticle low season</v>
      </c>
      <c r="H262" s="3">
        <f ca="1">IFERROR(__xludf.DUMMYFUNCTION("""COMPUTED_VALUE"""),7)</f>
        <v>7</v>
      </c>
      <c r="I262" s="5">
        <f ca="1">IFERROR(__xludf.DUMMYFUNCTION("""COMPUTED_VALUE"""),1000)</f>
        <v>1000</v>
      </c>
      <c r="J262" s="5">
        <f ca="1">IFERROR(__xludf.DUMMYFUNCTION("""COMPUTED_VALUE"""),240)</f>
        <v>240</v>
      </c>
      <c r="K262" s="3"/>
      <c r="L262" s="3" t="str">
        <f ca="1">IFERROR(__xludf.DUMMYFUNCTION("""COMPUTED_VALUE"""),"Cost per period")</f>
        <v>Cost per period</v>
      </c>
      <c r="M262" s="3"/>
      <c r="N262" s="3" t="str">
        <f ca="1">IFERROR(__xludf.DUMMYFUNCTION("""COMPUTED_VALUE"""),"A4")</f>
        <v>A4</v>
      </c>
      <c r="O262" s="3"/>
      <c r="P262" s="3"/>
      <c r="Q262" s="3" t="str">
        <f ca="1">IFERROR(__xludf.DUMMYFUNCTION("""COMPUTED_VALUE"""),"viz. tech.specifikace; HP + sekce")</f>
        <v>viz. tech.specifikace; HP + sekce</v>
      </c>
      <c r="R262" s="3" t="str">
        <f ca="1">IFERROR(__xludf.DUMMYFUNCTION("""COMPUTED_VALUE"""),"HP + sekce")</f>
        <v>HP + sekce</v>
      </c>
      <c r="S262" s="3" t="str">
        <f ca="1">IFERROR(__xludf.DUMMYFUNCTION("""COMPUTED_VALUE"""),"100")</f>
        <v>100</v>
      </c>
      <c r="T262" s="3"/>
      <c r="U262" s="3" t="str">
        <f ca="1">IFERROR(__xludf.DUMMYFUNCTION("""COMPUTED_VALUE"""),"pr článek")</f>
        <v>pr článek</v>
      </c>
      <c r="V262" s="3"/>
      <c r="W262" s="4" t="str">
        <f ca="1">IFERROR(__xludf.DUMMYFUNCTION("""COMPUTED_VALUE"""),"https://reklama.cncenter.cz/Online/Smarticle")</f>
        <v>https://reklama.cncenter.cz/Online/Smarticle</v>
      </c>
      <c r="X262" s="3"/>
      <c r="Y262" s="3"/>
      <c r="Z262" s="3" t="str">
        <f ca="1">IFERROR(__xludf.DUMMYFUNCTION("""COMPUTED_VALUE"""),"podklady@cncenter.cz")</f>
        <v>podklady@cncenter.cz</v>
      </c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 t="str">
        <f ca="1">IFERROR(__xludf.DUMMYFUNCTION("""COMPUTED_VALUE"""),"cross-device")</f>
        <v>cross-device</v>
      </c>
      <c r="AO262" s="3"/>
      <c r="AP262" s="3"/>
      <c r="AQ262" s="3"/>
      <c r="AR262" s="3"/>
      <c r="AS262" s="3"/>
      <c r="AT262" s="3"/>
      <c r="AU262" s="3" t="str">
        <f ca="1">IFERROR(__xludf.DUMMYFUNCTION("""COMPUTED_VALUE"""),"cílený Smarticle")</f>
        <v>cílený Smarticle</v>
      </c>
    </row>
    <row r="263" spans="1:47" x14ac:dyDescent="0.3">
      <c r="A263" s="3">
        <f ca="1"/>
        <v>2346826</v>
      </c>
      <c r="B263" s="3" t="str">
        <f ca="1"/>
        <v>CZECH NEWS CENTER a. s.</v>
      </c>
      <c r="C263" s="3" t="str">
        <f ca="1">IFERROR(__xludf.DUMMYFUNCTION("""COMPUTED_VALUE"""),"CNC auto moto pack")</f>
        <v>CNC auto moto pack</v>
      </c>
      <c r="D263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3" s="3" t="str">
        <f ca="1">IFERROR(__xludf.DUMMYFUNCTION("""COMPUTED_VALUE"""),"celý web")</f>
        <v>celý web</v>
      </c>
      <c r="F263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3" s="3" t="str">
        <f ca="1">IFERROR(__xludf.DUMMYFUNCTION("""COMPUTED_VALUE"""),"cílený videospot - max. 30 sec. / bumper low season")</f>
        <v>cílený videospot - max. 30 sec. / bumper low season</v>
      </c>
      <c r="H263" s="3">
        <f ca="1">IFERROR(__xludf.DUMMYFUNCTION("""COMPUTED_VALUE"""),7)</f>
        <v>7</v>
      </c>
      <c r="I263" s="5">
        <f ca="1">IFERROR(__xludf.DUMMYFUNCTION("""COMPUTED_VALUE"""),1000)</f>
        <v>1000</v>
      </c>
      <c r="J263" s="5">
        <f ca="1">IFERROR(__xludf.DUMMYFUNCTION("""COMPUTED_VALUE"""),816)</f>
        <v>816</v>
      </c>
      <c r="K263" s="3"/>
      <c r="L263" s="3" t="str">
        <f ca="1">IFERROR(__xludf.DUMMYFUNCTION("""COMPUTED_VALUE"""),"Cost per period")</f>
        <v>Cost per period</v>
      </c>
      <c r="M263" s="3"/>
      <c r="N263" s="3"/>
      <c r="O263" s="3" t="str">
        <f ca="1">IFERROR(__xludf.DUMMYFUNCTION("""COMPUTED_VALUE"""),"1280")</f>
        <v>1280</v>
      </c>
      <c r="P263" s="3" t="str">
        <f ca="1">IFERROR(__xludf.DUMMYFUNCTION("""COMPUTED_VALUE"""),"720")</f>
        <v>720</v>
      </c>
      <c r="Q263" s="3" t="str">
        <f ca="1">IFERROR(__xludf.DUMMYFUNCTION("""COMPUTED_VALUE"""),"16:9 / umístění po domluvě dle možností")</f>
        <v>16:9 / umístění po domluvě dle možností</v>
      </c>
      <c r="R263" s="3" t="str">
        <f ca="1">IFERROR(__xludf.DUMMYFUNCTION("""COMPUTED_VALUE"""),"přeskočení po 7 sekundách")</f>
        <v>přeskočení po 7 sekundách</v>
      </c>
      <c r="S263" s="3" t="str">
        <f ca="1">IFERROR(__xludf.DUMMYFUNCTION("""COMPUTED_VALUE"""),"100")</f>
        <v>100</v>
      </c>
      <c r="T263" s="3"/>
      <c r="U263" s="3" t="str">
        <f ca="1">IFERROR(__xludf.DUMMYFUNCTION("""COMPUTED_VALUE"""),"videospot")</f>
        <v>videospot</v>
      </c>
      <c r="V263" s="3"/>
      <c r="W263" s="4" t="str">
        <f ca="1">IFERROR(__xludf.DUMMYFUNCTION("""COMPUTED_VALUE"""),"https://reklama.cncenter.cz/Online/Bumper")</f>
        <v>https://reklama.cncenter.cz/Online/Bumper</v>
      </c>
      <c r="X263" s="3"/>
      <c r="Y263" s="3"/>
      <c r="Z263" s="3" t="str">
        <f ca="1">IFERROR(__xludf.DUMMYFUNCTION("""COMPUTED_VALUE"""),"podklady@cncenter.cz")</f>
        <v>podklady@cncenter.cz</v>
      </c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 t="str">
        <f ca="1">IFERROR(__xludf.DUMMYFUNCTION("""COMPUTED_VALUE"""),"cross-device")</f>
        <v>cross-device</v>
      </c>
      <c r="AO263" s="3"/>
      <c r="AP263" s="3"/>
      <c r="AQ263" s="3"/>
      <c r="AR263" s="3"/>
      <c r="AS263" s="3"/>
      <c r="AT263" s="3"/>
      <c r="AU263" s="3" t="str">
        <f ca="1">IFERROR(__xludf.DUMMYFUNCTION("""COMPUTED_VALUE"""),"cílený videospot - max. 30 sec. / bumper")</f>
        <v>cílený videospot - max. 30 sec. / bumper</v>
      </c>
    </row>
    <row r="264" spans="1:47" x14ac:dyDescent="0.3">
      <c r="A264" s="3">
        <f ca="1"/>
        <v>2346826</v>
      </c>
      <c r="B264" s="3" t="str">
        <f ca="1"/>
        <v>CZECH NEWS CENTER a. s.</v>
      </c>
      <c r="C264" s="3" t="str">
        <f ca="1">IFERROR(__xludf.DUMMYFUNCTION("""COMPUTED_VALUE"""),"CNC auto moto pack")</f>
        <v>CNC auto moto pack</v>
      </c>
      <c r="D264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4" s="3" t="str">
        <f ca="1">IFERROR(__xludf.DUMMYFUNCTION("""COMPUTED_VALUE"""),"celý web")</f>
        <v>celý web</v>
      </c>
      <c r="F264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4" s="3" t="str">
        <f ca="1">IFERROR(__xludf.DUMMYFUNCTION("""COMPUTED_VALUE"""),"double skyscraper low season")</f>
        <v>double skyscraper low season</v>
      </c>
      <c r="H264" s="3">
        <f ca="1">IFERROR(__xludf.DUMMYFUNCTION("""COMPUTED_VALUE"""),7)</f>
        <v>7</v>
      </c>
      <c r="I264" s="5">
        <f ca="1">IFERROR(__xludf.DUMMYFUNCTION("""COMPUTED_VALUE"""),1000)</f>
        <v>1000</v>
      </c>
      <c r="J264" s="5">
        <f ca="1">IFERROR(__xludf.DUMMYFUNCTION("""COMPUTED_VALUE"""),150)</f>
        <v>150</v>
      </c>
      <c r="K264" s="3"/>
      <c r="L264" s="3" t="str">
        <f ca="1">IFERROR(__xludf.DUMMYFUNCTION("""COMPUTED_VALUE"""),"Cost per period")</f>
        <v>Cost per period</v>
      </c>
      <c r="M264" s="3"/>
      <c r="N264" s="3"/>
      <c r="O264" s="3" t="str">
        <f ca="1">IFERROR(__xludf.DUMMYFUNCTION("""COMPUTED_VALUE"""),"300")</f>
        <v>300</v>
      </c>
      <c r="P264" s="3" t="str">
        <f ca="1">IFERROR(__xludf.DUMMYFUNCTION("""COMPUTED_VALUE"""),"600")</f>
        <v>600</v>
      </c>
      <c r="Q264" s="3" t="str">
        <f ca="1">IFERROR(__xludf.DUMMYFUNCTION("""COMPUTED_VALUE"""),"300x600")</f>
        <v>300x600</v>
      </c>
      <c r="R264" s="3"/>
      <c r="S264" s="3" t="str">
        <f ca="1">IFERROR(__xludf.DUMMYFUNCTION("""COMPUTED_VALUE"""),"100 (200 - HTML5)")</f>
        <v>100 (200 - HTML5)</v>
      </c>
      <c r="T264" s="3"/>
      <c r="U264" s="3" t="str">
        <f ca="1">IFERROR(__xludf.DUMMYFUNCTION("""COMPUTED_VALUE"""),"banner standard")</f>
        <v>banner standard</v>
      </c>
      <c r="V264" s="3"/>
      <c r="W264" s="4" t="str">
        <f ca="1">IFERROR(__xludf.DUMMYFUNCTION("""COMPUTED_VALUE"""),"https://reklama.cncenter.cz/Online/double-skyscraper")</f>
        <v>https://reklama.cncenter.cz/Online/double-skyscraper</v>
      </c>
      <c r="X264" s="3"/>
      <c r="Y264" s="3"/>
      <c r="Z264" s="3" t="str">
        <f ca="1">IFERROR(__xludf.DUMMYFUNCTION("""COMPUTED_VALUE"""),"podklady@cncenter.cz")</f>
        <v>podklady@cncenter.cz</v>
      </c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 t="str">
        <f ca="1">IFERROR(__xludf.DUMMYFUNCTION("""COMPUTED_VALUE"""),"desktop")</f>
        <v>desktop</v>
      </c>
      <c r="AO264" s="3"/>
      <c r="AP264" s="3"/>
      <c r="AQ264" s="3"/>
      <c r="AR264" s="3"/>
      <c r="AS264" s="3"/>
      <c r="AT264" s="3"/>
      <c r="AU264" s="3" t="str">
        <f ca="1">IFERROR(__xludf.DUMMYFUNCTION("""COMPUTED_VALUE"""),"double skyscraper")</f>
        <v>double skyscraper</v>
      </c>
    </row>
    <row r="265" spans="1:47" x14ac:dyDescent="0.3">
      <c r="A265" s="3">
        <f ca="1"/>
        <v>2346826</v>
      </c>
      <c r="B265" s="3" t="str">
        <f ca="1"/>
        <v>CZECH NEWS CENTER a. s.</v>
      </c>
      <c r="C265" s="3" t="str">
        <f ca="1">IFERROR(__xludf.DUMMYFUNCTION("""COMPUTED_VALUE"""),"CNC auto moto pack")</f>
        <v>CNC auto moto pack</v>
      </c>
      <c r="D265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5" s="3" t="str">
        <f ca="1">IFERROR(__xludf.DUMMYFUNCTION("""COMPUTED_VALUE"""),"celý web")</f>
        <v>celý web</v>
      </c>
      <c r="F265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5" s="3" t="str">
        <f ca="1">IFERROR(__xludf.DUMMYFUNCTION("""COMPUTED_VALUE"""),"mini videospot - max. 30 sec. low season")</f>
        <v>mini videospot - max. 30 sec. low season</v>
      </c>
      <c r="H265" s="3">
        <f ca="1">IFERROR(__xludf.DUMMYFUNCTION("""COMPUTED_VALUE"""),7)</f>
        <v>7</v>
      </c>
      <c r="I265" s="5">
        <f ca="1">IFERROR(__xludf.DUMMYFUNCTION("""COMPUTED_VALUE"""),1000)</f>
        <v>1000</v>
      </c>
      <c r="J265" s="5">
        <f ca="1">IFERROR(__xludf.DUMMYFUNCTION("""COMPUTED_VALUE"""),150)</f>
        <v>150</v>
      </c>
      <c r="K265" s="3"/>
      <c r="L265" s="3" t="str">
        <f ca="1">IFERROR(__xludf.DUMMYFUNCTION("""COMPUTED_VALUE"""),"Cost per period")</f>
        <v>Cost per period</v>
      </c>
      <c r="M265" s="3"/>
      <c r="N265" s="3"/>
      <c r="O265" s="3"/>
      <c r="P265" s="3"/>
      <c r="Q265" s="3" t="str">
        <f ca="1">IFERROR(__xludf.DUMMYFUNCTION("""COMPUTED_VALUE"""),"16:9 / umístění po domluvě dle možností")</f>
        <v>16:9 / umístění po domluvě dle možností</v>
      </c>
      <c r="R265" s="3" t="str">
        <f ca="1">IFERROR(__xludf.DUMMYFUNCTION("""COMPUTED_VALUE"""),"přeskočení po 7 sekundách")</f>
        <v>přeskočení po 7 sekundách</v>
      </c>
      <c r="S265" s="3" t="str">
        <f ca="1">IFERROR(__xludf.DUMMYFUNCTION("""COMPUTED_VALUE"""),"100")</f>
        <v>100</v>
      </c>
      <c r="T265" s="3"/>
      <c r="U265" s="3" t="str">
        <f ca="1">IFERROR(__xludf.DUMMYFUNCTION("""COMPUTED_VALUE"""),"videospot")</f>
        <v>videospot</v>
      </c>
      <c r="V265" s="3"/>
      <c r="W265" s="4" t="str">
        <f ca="1">IFERROR(__xludf.DUMMYFUNCTION("""COMPUTED_VALUE"""),"https://reklama.cncenter.cz/Online/Videospot")</f>
        <v>https://reklama.cncenter.cz/Online/Videospot</v>
      </c>
      <c r="X265" s="3"/>
      <c r="Y265" s="3"/>
      <c r="Z265" s="3" t="str">
        <f ca="1">IFERROR(__xludf.DUMMYFUNCTION("""COMPUTED_VALUE"""),"podklady@cncenter.cz")</f>
        <v>podklady@cncenter.cz</v>
      </c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 t="str">
        <f ca="1">IFERROR(__xludf.DUMMYFUNCTION("""COMPUTED_VALUE"""),"desktop")</f>
        <v>desktop</v>
      </c>
      <c r="AO265" s="3"/>
      <c r="AP265" s="3"/>
      <c r="AQ265" s="3"/>
      <c r="AR265" s="3"/>
      <c r="AS265" s="3"/>
      <c r="AT265" s="3"/>
      <c r="AU265" s="3" t="str">
        <f ca="1">IFERROR(__xludf.DUMMYFUNCTION("""COMPUTED_VALUE"""),"mini videospot - max. 30 sec.")</f>
        <v>mini videospot - max. 30 sec.</v>
      </c>
    </row>
    <row r="266" spans="1:47" x14ac:dyDescent="0.3">
      <c r="A266" s="3">
        <f ca="1"/>
        <v>2346826</v>
      </c>
      <c r="B266" s="3" t="str">
        <f ca="1"/>
        <v>CZECH NEWS CENTER a. s.</v>
      </c>
      <c r="C266" s="3" t="str">
        <f ca="1">IFERROR(__xludf.DUMMYFUNCTION("""COMPUTED_VALUE"""),"CNC auto moto pack")</f>
        <v>CNC auto moto pack</v>
      </c>
      <c r="D266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6" s="3" t="str">
        <f ca="1">IFERROR(__xludf.DUMMYFUNCTION("""COMPUTED_VALUE"""),"celý web")</f>
        <v>celý web</v>
      </c>
      <c r="F266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6" s="3" t="str">
        <f ca="1">IFERROR(__xludf.DUMMYFUNCTION("""COMPUTED_VALUE"""),"mobilní interscroller low season")</f>
        <v>mobilní interscroller low season</v>
      </c>
      <c r="H266" s="3">
        <f ca="1">IFERROR(__xludf.DUMMYFUNCTION("""COMPUTED_VALUE"""),7)</f>
        <v>7</v>
      </c>
      <c r="I266" s="5">
        <f ca="1">IFERROR(__xludf.DUMMYFUNCTION("""COMPUTED_VALUE"""),1000)</f>
        <v>1000</v>
      </c>
      <c r="J266" s="5">
        <f ca="1">IFERROR(__xludf.DUMMYFUNCTION("""COMPUTED_VALUE"""),200)</f>
        <v>200</v>
      </c>
      <c r="K266" s="3"/>
      <c r="L266" s="3" t="str">
        <f ca="1">IFERROR(__xludf.DUMMYFUNCTION("""COMPUTED_VALUE"""),"Cost per period")</f>
        <v>Cost per period</v>
      </c>
      <c r="M266" s="3"/>
      <c r="N266" s="3"/>
      <c r="O266" s="3" t="str">
        <f ca="1">IFERROR(__xludf.DUMMYFUNCTION("""COMPUTED_VALUE"""),"600")</f>
        <v>600</v>
      </c>
      <c r="P266" s="3" t="str">
        <f ca="1">IFERROR(__xludf.DUMMYFUNCTION("""COMPUTED_VALUE"""),"1080")</f>
        <v>1080</v>
      </c>
      <c r="Q266" s="3" t="str">
        <f ca="1">IFERROR(__xludf.DUMMYFUNCTION("""COMPUTED_VALUE"""),"600x1080")</f>
        <v>600x1080</v>
      </c>
      <c r="R266" s="3"/>
      <c r="S266" s="3" t="str">
        <f ca="1">IFERROR(__xludf.DUMMYFUNCTION("""COMPUTED_VALUE"""),"200")</f>
        <v>200</v>
      </c>
      <c r="T266" s="3"/>
      <c r="U266" s="3" t="str">
        <f ca="1">IFERROR(__xludf.DUMMYFUNCTION("""COMPUTED_VALUE"""),"banner standard")</f>
        <v>banner standard</v>
      </c>
      <c r="V266" s="3"/>
      <c r="W266" s="4" t="str">
        <f ca="1">IFERROR(__xludf.DUMMYFUNCTION("""COMPUTED_VALUE"""),"https://reklama.cncenter.cz/Online/mobilni-interscroller")</f>
        <v>https://reklama.cncenter.cz/Online/mobilni-interscroller</v>
      </c>
      <c r="X266" s="3"/>
      <c r="Y266" s="3"/>
      <c r="Z266" s="3" t="str">
        <f ca="1">IFERROR(__xludf.DUMMYFUNCTION("""COMPUTED_VALUE"""),"podklady@cncenter.cz")</f>
        <v>podklady@cncenter.cz</v>
      </c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 t="str">
        <f ca="1">IFERROR(__xludf.DUMMYFUNCTION("""COMPUTED_VALUE"""),"mobile")</f>
        <v>mobile</v>
      </c>
      <c r="AO266" s="3"/>
      <c r="AP266" s="3"/>
      <c r="AQ266" s="3"/>
      <c r="AR266" s="3"/>
      <c r="AS266" s="3"/>
      <c r="AT266" s="3"/>
      <c r="AU266" s="3" t="str">
        <f ca="1">IFERROR(__xludf.DUMMYFUNCTION("""COMPUTED_VALUE"""),"mobilní interscroller")</f>
        <v>mobilní interscroller</v>
      </c>
    </row>
    <row r="267" spans="1:47" x14ac:dyDescent="0.3">
      <c r="A267" s="3">
        <f ca="1"/>
        <v>2346826</v>
      </c>
      <c r="B267" s="3" t="str">
        <f ca="1"/>
        <v>CZECH NEWS CENTER a. s.</v>
      </c>
      <c r="C267" s="3" t="str">
        <f ca="1">IFERROR(__xludf.DUMMYFUNCTION("""COMPUTED_VALUE"""),"CNC auto moto pack")</f>
        <v>CNC auto moto pack</v>
      </c>
      <c r="D267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7" s="3" t="str">
        <f ca="1">IFERROR(__xludf.DUMMYFUNCTION("""COMPUTED_VALUE"""),"celý web")</f>
        <v>celý web</v>
      </c>
      <c r="F267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7" s="3" t="str">
        <f ca="1">IFERROR(__xludf.DUMMYFUNCTION("""COMPUTED_VALUE"""),"mobilní slide-up low season")</f>
        <v>mobilní slide-up low season</v>
      </c>
      <c r="H267" s="3">
        <f ca="1">IFERROR(__xludf.DUMMYFUNCTION("""COMPUTED_VALUE"""),7)</f>
        <v>7</v>
      </c>
      <c r="I267" s="5">
        <f ca="1">IFERROR(__xludf.DUMMYFUNCTION("""COMPUTED_VALUE"""),1000)</f>
        <v>1000</v>
      </c>
      <c r="J267" s="5">
        <f ca="1">IFERROR(__xludf.DUMMYFUNCTION("""COMPUTED_VALUE"""),400)</f>
        <v>400</v>
      </c>
      <c r="K267" s="3"/>
      <c r="L267" s="3" t="str">
        <f ca="1">IFERROR(__xludf.DUMMYFUNCTION("""COMPUTED_VALUE"""),"Cost per period")</f>
        <v>Cost per period</v>
      </c>
      <c r="M267" s="3"/>
      <c r="N267" s="3"/>
      <c r="O267" s="3" t="str">
        <f ca="1">IFERROR(__xludf.DUMMYFUNCTION("""COMPUTED_VALUE"""),"300")</f>
        <v>300</v>
      </c>
      <c r="P267" s="3" t="str">
        <f ca="1">IFERROR(__xludf.DUMMYFUNCTION("""COMPUTED_VALUE"""),"120")</f>
        <v>120</v>
      </c>
      <c r="Q267" s="3" t="str">
        <f ca="1">IFERROR(__xludf.DUMMYFUNCTION("""COMPUTED_VALUE"""),"300x120")</f>
        <v>300x120</v>
      </c>
      <c r="R267" s="3"/>
      <c r="S267" s="3" t="str">
        <f ca="1">IFERROR(__xludf.DUMMYFUNCTION("""COMPUTED_VALUE"""),"100")</f>
        <v>100</v>
      </c>
      <c r="T267" s="3"/>
      <c r="U267" s="3" t="str">
        <f ca="1">IFERROR(__xludf.DUMMYFUNCTION("""COMPUTED_VALUE"""),"banner standard")</f>
        <v>banner standard</v>
      </c>
      <c r="V267" s="3"/>
      <c r="W267" s="4" t="str">
        <f ca="1">IFERROR(__xludf.DUMMYFUNCTION("""COMPUTED_VALUE"""),"https://reklama.cncenter.cz/Online/mobilni-slide-up")</f>
        <v>https://reklama.cncenter.cz/Online/mobilni-slide-up</v>
      </c>
      <c r="X267" s="3"/>
      <c r="Y267" s="3"/>
      <c r="Z267" s="3" t="str">
        <f ca="1">IFERROR(__xludf.DUMMYFUNCTION("""COMPUTED_VALUE"""),"podklady@cncenter.cz")</f>
        <v>podklady@cncenter.cz</v>
      </c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 t="str">
        <f ca="1">IFERROR(__xludf.DUMMYFUNCTION("""COMPUTED_VALUE"""),"mobile")</f>
        <v>mobile</v>
      </c>
      <c r="AO267" s="3"/>
      <c r="AP267" s="3"/>
      <c r="AQ267" s="3"/>
      <c r="AR267" s="3"/>
      <c r="AS267" s="3"/>
      <c r="AT267" s="3"/>
      <c r="AU267" s="3" t="str">
        <f ca="1">IFERROR(__xludf.DUMMYFUNCTION("""COMPUTED_VALUE"""),"mobilní slide-up")</f>
        <v>mobilní slide-up</v>
      </c>
    </row>
    <row r="268" spans="1:47" x14ac:dyDescent="0.3">
      <c r="A268" s="3">
        <f ca="1"/>
        <v>2346826</v>
      </c>
      <c r="B268" s="3" t="str">
        <f ca="1"/>
        <v>CZECH NEWS CENTER a. s.</v>
      </c>
      <c r="C268" s="3" t="str">
        <f ca="1">IFERROR(__xludf.DUMMYFUNCTION("""COMPUTED_VALUE"""),"CNC auto moto pack")</f>
        <v>CNC auto moto pack</v>
      </c>
      <c r="D268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8" s="3" t="str">
        <f ca="1">IFERROR(__xludf.DUMMYFUNCTION("""COMPUTED_VALUE"""),"celý web")</f>
        <v>celý web</v>
      </c>
      <c r="F268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8" s="3" t="str">
        <f ca="1">IFERROR(__xludf.DUMMYFUNCTION("""COMPUTED_VALUE"""),"mobilní viněta low season")</f>
        <v>mobilní viněta low season</v>
      </c>
      <c r="H268" s="3">
        <f ca="1">IFERROR(__xludf.DUMMYFUNCTION("""COMPUTED_VALUE"""),7)</f>
        <v>7</v>
      </c>
      <c r="I268" s="5">
        <f ca="1">IFERROR(__xludf.DUMMYFUNCTION("""COMPUTED_VALUE"""),1000)</f>
        <v>1000</v>
      </c>
      <c r="J268" s="5">
        <f ca="1">IFERROR(__xludf.DUMMYFUNCTION("""COMPUTED_VALUE"""),560)</f>
        <v>560</v>
      </c>
      <c r="K268" s="3"/>
      <c r="L268" s="3" t="str">
        <f ca="1">IFERROR(__xludf.DUMMYFUNCTION("""COMPUTED_VALUE"""),"Cost per period")</f>
        <v>Cost per period</v>
      </c>
      <c r="M268" s="3"/>
      <c r="N268" s="3"/>
      <c r="O268" s="3" t="str">
        <f ca="1">IFERROR(__xludf.DUMMYFUNCTION("""COMPUTED_VALUE"""),"600")</f>
        <v>600</v>
      </c>
      <c r="P268" s="3" t="str">
        <f ca="1">IFERROR(__xludf.DUMMYFUNCTION("""COMPUTED_VALUE"""),"800")</f>
        <v>800</v>
      </c>
      <c r="Q268" s="3" t="str">
        <f ca="1">IFERROR(__xludf.DUMMYFUNCTION("""COMPUTED_VALUE"""),"300x250 nebo 600x800")</f>
        <v>300x250 nebo 600x800</v>
      </c>
      <c r="R268" s="3"/>
      <c r="S268" s="3" t="str">
        <f ca="1">IFERROR(__xludf.DUMMYFUNCTION("""COMPUTED_VALUE"""),"100")</f>
        <v>100</v>
      </c>
      <c r="T268" s="3"/>
      <c r="U268" s="3" t="str">
        <f ca="1">IFERROR(__xludf.DUMMYFUNCTION("""COMPUTED_VALUE"""),"banner standard")</f>
        <v>banner standard</v>
      </c>
      <c r="V268" s="3"/>
      <c r="W268" s="4" t="str">
        <f ca="1">IFERROR(__xludf.DUMMYFUNCTION("""COMPUTED_VALUE"""),"https://reklama.cncenter.cz/Online/mobilni-vineta")</f>
        <v>https://reklama.cncenter.cz/Online/mobilni-vineta</v>
      </c>
      <c r="X268" s="3"/>
      <c r="Y268" s="3"/>
      <c r="Z268" s="3" t="str">
        <f ca="1">IFERROR(__xludf.DUMMYFUNCTION("""COMPUTED_VALUE"""),"podklady@cncenter.cz")</f>
        <v>podklady@cncenter.cz</v>
      </c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 t="str">
        <f ca="1">IFERROR(__xludf.DUMMYFUNCTION("""COMPUTED_VALUE"""),"mobile")</f>
        <v>mobile</v>
      </c>
      <c r="AO268" s="3"/>
      <c r="AP268" s="3"/>
      <c r="AQ268" s="3"/>
      <c r="AR268" s="3"/>
      <c r="AS268" s="3"/>
      <c r="AT268" s="3"/>
      <c r="AU268" s="3" t="str">
        <f ca="1">IFERROR(__xludf.DUMMYFUNCTION("""COMPUTED_VALUE"""),"mobilní viněta")</f>
        <v>mobilní viněta</v>
      </c>
    </row>
    <row r="269" spans="1:47" x14ac:dyDescent="0.3">
      <c r="A269" s="3">
        <f ca="1"/>
        <v>2346826</v>
      </c>
      <c r="B269" s="3" t="str">
        <f ca="1"/>
        <v>CZECH NEWS CENTER a. s.</v>
      </c>
      <c r="C269" s="3" t="str">
        <f ca="1">IFERROR(__xludf.DUMMYFUNCTION("""COMPUTED_VALUE"""),"CNC auto moto pack")</f>
        <v>CNC auto moto pack</v>
      </c>
      <c r="D269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9" s="3" t="str">
        <f ca="1">IFERROR(__xludf.DUMMYFUNCTION("""COMPUTED_VALUE"""),"celý web")</f>
        <v>celý web</v>
      </c>
      <c r="F269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9" s="3" t="str">
        <f ca="1">IFERROR(__xludf.DUMMYFUNCTION("""COMPUTED_VALUE"""),"nativní rectangle cross-device low season")</f>
        <v>nativní rectangle cross-device low season</v>
      </c>
      <c r="H269" s="3">
        <f ca="1">IFERROR(__xludf.DUMMYFUNCTION("""COMPUTED_VALUE"""),7)</f>
        <v>7</v>
      </c>
      <c r="I269" s="5">
        <f ca="1">IFERROR(__xludf.DUMMYFUNCTION("""COMPUTED_VALUE"""),1000)</f>
        <v>1000</v>
      </c>
      <c r="J269" s="5">
        <f ca="1">IFERROR(__xludf.DUMMYFUNCTION("""COMPUTED_VALUE"""),150)</f>
        <v>150</v>
      </c>
      <c r="K269" s="3"/>
      <c r="L269" s="3" t="str">
        <f ca="1">IFERROR(__xludf.DUMMYFUNCTION("""COMPUTED_VALUE"""),"Cost per period")</f>
        <v>Cost per period</v>
      </c>
      <c r="M269" s="3"/>
      <c r="N269" s="3"/>
      <c r="O269" s="3" t="str">
        <f ca="1">IFERROR(__xludf.DUMMYFUNCTION("""COMPUTED_VALUE"""),"640")</f>
        <v>640</v>
      </c>
      <c r="P269" s="3" t="str">
        <f ca="1">IFERROR(__xludf.DUMMYFUNCTION("""COMPUTED_VALUE"""),"335, 640")</f>
        <v>335, 640</v>
      </c>
      <c r="Q269" s="3" t="str">
        <f ca="1">IFERROR(__xludf.DUMMYFUNCTION("""COMPUTED_VALUE"""),"640x640 a 640x335 + text + logo")</f>
        <v>640x640 a 640x335 + text + logo</v>
      </c>
      <c r="R269" s="3"/>
      <c r="S269" s="3" t="str">
        <f ca="1">IFERROR(__xludf.DUMMYFUNCTION("""COMPUTED_VALUE"""),"45")</f>
        <v>45</v>
      </c>
      <c r="T269" s="3"/>
      <c r="U269" s="3" t="str">
        <f ca="1">IFERROR(__xludf.DUMMYFUNCTION("""COMPUTED_VALUE"""),"nativní reklama")</f>
        <v>nativní reklama</v>
      </c>
      <c r="V269" s="3"/>
      <c r="W269" s="4" t="str">
        <f ca="1">IFERROR(__xludf.DUMMYFUNCTION("""COMPUTED_VALUE"""),"https://reklama.cncenter.cz/Online/nativni-rectangle-cross-device")</f>
        <v>https://reklama.cncenter.cz/Online/nativni-rectangle-cross-device</v>
      </c>
      <c r="X269" s="3"/>
      <c r="Y269" s="3"/>
      <c r="Z269" s="3" t="str">
        <f ca="1">IFERROR(__xludf.DUMMYFUNCTION("""COMPUTED_VALUE"""),"podklady@cncenter.cz")</f>
        <v>podklady@cncenter.cz</v>
      </c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 t="str">
        <f ca="1">IFERROR(__xludf.DUMMYFUNCTION("""COMPUTED_VALUE"""),"cross-device")</f>
        <v>cross-device</v>
      </c>
      <c r="AO269" s="3"/>
      <c r="AP269" s="3"/>
      <c r="AQ269" s="3"/>
      <c r="AR269" s="3"/>
      <c r="AS269" s="3"/>
      <c r="AT269" s="3"/>
      <c r="AU269" s="3" t="str">
        <f ca="1">IFERROR(__xludf.DUMMYFUNCTION("""COMPUTED_VALUE"""),"nativní rectangle cross-device")</f>
        <v>nativní rectangle cross-device</v>
      </c>
    </row>
    <row r="270" spans="1:47" x14ac:dyDescent="0.3">
      <c r="A270" s="3">
        <f ca="1"/>
        <v>2346826</v>
      </c>
      <c r="B270" s="3" t="str">
        <f ca="1"/>
        <v>CZECH NEWS CENTER a. s.</v>
      </c>
      <c r="C270" s="3" t="str">
        <f ca="1">IFERROR(__xludf.DUMMYFUNCTION("""COMPUTED_VALUE"""),"CNC auto moto pack")</f>
        <v>CNC auto moto pack</v>
      </c>
      <c r="D270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70" s="3" t="str">
        <f ca="1">IFERROR(__xludf.DUMMYFUNCTION("""COMPUTED_VALUE"""),"celý web")</f>
        <v>celý web</v>
      </c>
      <c r="F270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70" s="3" t="str">
        <f ca="1">IFERROR(__xludf.DUMMYFUNCTION("""COMPUTED_VALUE"""),"outstream low season")</f>
        <v>outstream low season</v>
      </c>
      <c r="H270" s="3">
        <f ca="1">IFERROR(__xludf.DUMMYFUNCTION("""COMPUTED_VALUE"""),7)</f>
        <v>7</v>
      </c>
      <c r="I270" s="5">
        <f ca="1">IFERROR(__xludf.DUMMYFUNCTION("""COMPUTED_VALUE"""),1000)</f>
        <v>1000</v>
      </c>
      <c r="J270" s="5">
        <f ca="1">IFERROR(__xludf.DUMMYFUNCTION("""COMPUTED_VALUE"""),230)</f>
        <v>230</v>
      </c>
      <c r="K270" s="3"/>
      <c r="L270" s="3" t="str">
        <f ca="1">IFERROR(__xludf.DUMMYFUNCTION("""COMPUTED_VALUE"""),"Cost per period")</f>
        <v>Cost per period</v>
      </c>
      <c r="M270" s="3"/>
      <c r="N270" s="3"/>
      <c r="O270" s="3" t="str">
        <f ca="1">IFERROR(__xludf.DUMMYFUNCTION("""COMPUTED_VALUE"""),"1280")</f>
        <v>1280</v>
      </c>
      <c r="P270" s="3" t="str">
        <f ca="1">IFERROR(__xludf.DUMMYFUNCTION("""COMPUTED_VALUE"""),"720")</f>
        <v>720</v>
      </c>
      <c r="Q270" s="3" t="str">
        <f ca="1">IFERROR(__xludf.DUMMYFUNCTION("""COMPUTED_VALUE"""),"16:9")</f>
        <v>16:9</v>
      </c>
      <c r="R270" s="3"/>
      <c r="S270" s="3" t="str">
        <f ca="1">IFERROR(__xludf.DUMMYFUNCTION("""COMPUTED_VALUE"""),"100")</f>
        <v>100</v>
      </c>
      <c r="T270" s="3"/>
      <c r="U270" s="3" t="str">
        <f ca="1">IFERROR(__xludf.DUMMYFUNCTION("""COMPUTED_VALUE"""),"videospot")</f>
        <v>videospot</v>
      </c>
      <c r="V270" s="3"/>
      <c r="W270" s="4" t="str">
        <f ca="1">IFERROR(__xludf.DUMMYFUNCTION("""COMPUTED_VALUE"""),"https://reklama.cncenter.cz/Online/Outstream")</f>
        <v>https://reklama.cncenter.cz/Online/Outstream</v>
      </c>
      <c r="X270" s="3"/>
      <c r="Y270" s="3"/>
      <c r="Z270" s="3" t="str">
        <f ca="1">IFERROR(__xludf.DUMMYFUNCTION("""COMPUTED_VALUE"""),"podklady@cncenter.cz")</f>
        <v>podklady@cncenter.cz</v>
      </c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 t="str">
        <f ca="1">IFERROR(__xludf.DUMMYFUNCTION("""COMPUTED_VALUE"""),"cross-device")</f>
        <v>cross-device</v>
      </c>
      <c r="AO270" s="3"/>
      <c r="AP270" s="3"/>
      <c r="AQ270" s="3"/>
      <c r="AR270" s="3"/>
      <c r="AS270" s="3"/>
      <c r="AT270" s="3"/>
      <c r="AU270" s="3" t="str">
        <f ca="1">IFERROR(__xludf.DUMMYFUNCTION("""COMPUTED_VALUE"""),"outstream")</f>
        <v>outstream</v>
      </c>
    </row>
    <row r="271" spans="1:47" x14ac:dyDescent="0.3">
      <c r="A271" s="3">
        <f ca="1"/>
        <v>2346826</v>
      </c>
      <c r="B271" s="3" t="str">
        <f ca="1"/>
        <v>CZECH NEWS CENTER a. s.</v>
      </c>
      <c r="C271" s="3" t="str">
        <f ca="1">IFERROR(__xludf.DUMMYFUNCTION("""COMPUTED_VALUE"""),"CNC auto moto pack")</f>
        <v>CNC auto moto pack</v>
      </c>
      <c r="D271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71" s="3" t="str">
        <f ca="1">IFERROR(__xludf.DUMMYFUNCTION("""COMPUTED_VALUE"""),"celý web")</f>
        <v>celý web</v>
      </c>
      <c r="F271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71" s="3" t="str">
        <f ca="1">IFERROR(__xludf.DUMMYFUNCTION("""COMPUTED_VALUE"""),"Smarticle low season")</f>
        <v>Smarticle low season</v>
      </c>
      <c r="H271" s="3">
        <f ca="1">IFERROR(__xludf.DUMMYFUNCTION("""COMPUTED_VALUE"""),7)</f>
        <v>7</v>
      </c>
      <c r="I271" s="5">
        <f ca="1">IFERROR(__xludf.DUMMYFUNCTION("""COMPUTED_VALUE"""),1000)</f>
        <v>1000</v>
      </c>
      <c r="J271" s="5">
        <f ca="1">IFERROR(__xludf.DUMMYFUNCTION("""COMPUTED_VALUE"""),200)</f>
        <v>200</v>
      </c>
      <c r="K271" s="3"/>
      <c r="L271" s="3" t="str">
        <f ca="1">IFERROR(__xludf.DUMMYFUNCTION("""COMPUTED_VALUE"""),"Cost per period")</f>
        <v>Cost per period</v>
      </c>
      <c r="M271" s="3"/>
      <c r="N271" s="3" t="str">
        <f ca="1">IFERROR(__xludf.DUMMYFUNCTION("""COMPUTED_VALUE"""),"A4")</f>
        <v>A4</v>
      </c>
      <c r="O271" s="3"/>
      <c r="P271" s="3"/>
      <c r="Q271" s="3" t="str">
        <f ca="1">IFERROR(__xludf.DUMMYFUNCTION("""COMPUTED_VALUE"""),"viz. tech.specifikace; HP + sekce")</f>
        <v>viz. tech.specifikace; HP + sekce</v>
      </c>
      <c r="R271" s="3" t="str">
        <f ca="1">IFERROR(__xludf.DUMMYFUNCTION("""COMPUTED_VALUE"""),"HP + sekce")</f>
        <v>HP + sekce</v>
      </c>
      <c r="S271" s="3" t="str">
        <f ca="1">IFERROR(__xludf.DUMMYFUNCTION("""COMPUTED_VALUE"""),"100")</f>
        <v>100</v>
      </c>
      <c r="T271" s="3"/>
      <c r="U271" s="3" t="str">
        <f ca="1">IFERROR(__xludf.DUMMYFUNCTION("""COMPUTED_VALUE"""),"pr článek")</f>
        <v>pr článek</v>
      </c>
      <c r="V271" s="3"/>
      <c r="W271" s="4" t="str">
        <f ca="1">IFERROR(__xludf.DUMMYFUNCTION("""COMPUTED_VALUE"""),"https://reklama.cncenter.cz/Online/Smarticle")</f>
        <v>https://reklama.cncenter.cz/Online/Smarticle</v>
      </c>
      <c r="X271" s="3"/>
      <c r="Y271" s="3"/>
      <c r="Z271" s="3" t="str">
        <f ca="1">IFERROR(__xludf.DUMMYFUNCTION("""COMPUTED_VALUE"""),"podklady@cncenter.cz")</f>
        <v>podklady@cncenter.cz</v>
      </c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 t="str">
        <f ca="1">IFERROR(__xludf.DUMMYFUNCTION("""COMPUTED_VALUE"""),"cross-device")</f>
        <v>cross-device</v>
      </c>
      <c r="AO271" s="3"/>
      <c r="AP271" s="3"/>
      <c r="AQ271" s="3"/>
      <c r="AR271" s="3"/>
      <c r="AS271" s="3"/>
      <c r="AT271" s="3"/>
      <c r="AU271" s="3" t="str">
        <f ca="1">IFERROR(__xludf.DUMMYFUNCTION("""COMPUTED_VALUE"""),"Smarticle")</f>
        <v>Smarticle</v>
      </c>
    </row>
    <row r="272" spans="1:47" x14ac:dyDescent="0.3">
      <c r="A272" s="3">
        <f ca="1"/>
        <v>2346826</v>
      </c>
      <c r="B272" s="3" t="str">
        <f ca="1"/>
        <v>CZECH NEWS CENTER a. s.</v>
      </c>
      <c r="C272" s="3" t="str">
        <f ca="1">IFERROR(__xludf.DUMMYFUNCTION("""COMPUTED_VALUE"""),"CNC auto moto pack")</f>
        <v>CNC auto moto pack</v>
      </c>
      <c r="D272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72" s="3" t="str">
        <f ca="1">IFERROR(__xludf.DUMMYFUNCTION("""COMPUTED_VALUE"""),"celý web")</f>
        <v>celý web</v>
      </c>
      <c r="F272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72" s="3" t="str">
        <f ca="1">IFERROR(__xludf.DUMMYFUNCTION("""COMPUTED_VALUE"""),"videospot - max. 30 sec. / bumper low season")</f>
        <v>videospot - max. 30 sec. / bumper low season</v>
      </c>
      <c r="H272" s="3">
        <f ca="1">IFERROR(__xludf.DUMMYFUNCTION("""COMPUTED_VALUE"""),7)</f>
        <v>7</v>
      </c>
      <c r="I272" s="5">
        <f ca="1">IFERROR(__xludf.DUMMYFUNCTION("""COMPUTED_VALUE"""),1000)</f>
        <v>1000</v>
      </c>
      <c r="J272" s="5">
        <f ca="1">IFERROR(__xludf.DUMMYFUNCTION("""COMPUTED_VALUE"""),680)</f>
        <v>680</v>
      </c>
      <c r="K272" s="3"/>
      <c r="L272" s="3" t="str">
        <f ca="1">IFERROR(__xludf.DUMMYFUNCTION("""COMPUTED_VALUE"""),"Cost per period")</f>
        <v>Cost per period</v>
      </c>
      <c r="M272" s="3"/>
      <c r="N272" s="3"/>
      <c r="O272" s="3" t="str">
        <f ca="1">IFERROR(__xludf.DUMMYFUNCTION("""COMPUTED_VALUE"""),"1280")</f>
        <v>1280</v>
      </c>
      <c r="P272" s="3" t="str">
        <f ca="1">IFERROR(__xludf.DUMMYFUNCTION("""COMPUTED_VALUE"""),"720")</f>
        <v>720</v>
      </c>
      <c r="Q272" s="3" t="str">
        <f ca="1">IFERROR(__xludf.DUMMYFUNCTION("""COMPUTED_VALUE"""),"16:9 / umístění po domluvě dle možností")</f>
        <v>16:9 / umístění po domluvě dle možností</v>
      </c>
      <c r="R272" s="3" t="str">
        <f ca="1">IFERROR(__xludf.DUMMYFUNCTION("""COMPUTED_VALUE"""),"přeskočení po 7 sekundách")</f>
        <v>přeskočení po 7 sekundách</v>
      </c>
      <c r="S272" s="3" t="str">
        <f ca="1">IFERROR(__xludf.DUMMYFUNCTION("""COMPUTED_VALUE"""),"100")</f>
        <v>100</v>
      </c>
      <c r="T272" s="3"/>
      <c r="U272" s="3" t="str">
        <f ca="1">IFERROR(__xludf.DUMMYFUNCTION("""COMPUTED_VALUE"""),"videospot")</f>
        <v>videospot</v>
      </c>
      <c r="V272" s="3"/>
      <c r="W272" s="4" t="str">
        <f ca="1">IFERROR(__xludf.DUMMYFUNCTION("""COMPUTED_VALUE"""),"https://reklama.cncenter.cz/Online/Bumper")</f>
        <v>https://reklama.cncenter.cz/Online/Bumper</v>
      </c>
      <c r="X272" s="3"/>
      <c r="Y272" s="3"/>
      <c r="Z272" s="3" t="str">
        <f ca="1">IFERROR(__xludf.DUMMYFUNCTION("""COMPUTED_VALUE"""),"podklady@cncenter.cz")</f>
        <v>podklady@cncenter.cz</v>
      </c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 t="str">
        <f ca="1">IFERROR(__xludf.DUMMYFUNCTION("""COMPUTED_VALUE"""),"cross-device")</f>
        <v>cross-device</v>
      </c>
      <c r="AO272" s="3"/>
      <c r="AP272" s="3"/>
      <c r="AQ272" s="3"/>
      <c r="AR272" s="3"/>
      <c r="AS272" s="3"/>
      <c r="AT272" s="3"/>
      <c r="AU272" s="3" t="str">
        <f ca="1">IFERROR(__xludf.DUMMYFUNCTION("""COMPUTED_VALUE"""),"videospot - max. 30 sec. / bumper")</f>
        <v>videospot - max. 30 sec. / bumper</v>
      </c>
    </row>
    <row r="273" spans="1:47" x14ac:dyDescent="0.3">
      <c r="A273" s="3">
        <f ca="1"/>
        <v>2346826</v>
      </c>
      <c r="B273" s="3" t="str">
        <f ca="1"/>
        <v>CZECH NEWS CENTER a. s.</v>
      </c>
      <c r="C273" s="3" t="str">
        <f ca="1">IFERROR(__xludf.DUMMYFUNCTION("""COMPUTED_VALUE"""),"CNC floating")</f>
        <v>CNC floating</v>
      </c>
      <c r="D27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3" s="3" t="str">
        <f ca="1">IFERROR(__xludf.DUMMYFUNCTION("""COMPUTED_VALUE"""),"celý web")</f>
        <v>celý web</v>
      </c>
      <c r="F27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3" s="3" t="str">
        <f ca="1">IFERROR(__xludf.DUMMYFUNCTION("""COMPUTED_VALUE"""),"billboard bottom low season")</f>
        <v>billboard bottom low season</v>
      </c>
      <c r="H273" s="3">
        <f ca="1">IFERROR(__xludf.DUMMYFUNCTION("""COMPUTED_VALUE"""),7)</f>
        <v>7</v>
      </c>
      <c r="I273" s="5">
        <f ca="1">IFERROR(__xludf.DUMMYFUNCTION("""COMPUTED_VALUE"""),1000)</f>
        <v>1000</v>
      </c>
      <c r="J273" s="5">
        <f ca="1">IFERROR(__xludf.DUMMYFUNCTION("""COMPUTED_VALUE"""),180)</f>
        <v>180</v>
      </c>
      <c r="K273" s="3"/>
      <c r="L273" s="3" t="str">
        <f ca="1">IFERROR(__xludf.DUMMYFUNCTION("""COMPUTED_VALUE"""),"Cost per period")</f>
        <v>Cost per period</v>
      </c>
      <c r="M273" s="3"/>
      <c r="N273" s="3"/>
      <c r="O273" s="3" t="str">
        <f ca="1">IFERROR(__xludf.DUMMYFUNCTION("""COMPUTED_VALUE"""),"970")</f>
        <v>970</v>
      </c>
      <c r="P273" s="3" t="str">
        <f ca="1">IFERROR(__xludf.DUMMYFUNCTION("""COMPUTED_VALUE"""),"250")</f>
        <v>250</v>
      </c>
      <c r="Q273" s="3" t="str">
        <f ca="1">IFERROR(__xludf.DUMMYFUNCTION("""COMPUTED_VALUE"""),"970x250")</f>
        <v>970x250</v>
      </c>
      <c r="R273" s="3"/>
      <c r="S273" s="3" t="str">
        <f ca="1">IFERROR(__xludf.DUMMYFUNCTION("""COMPUTED_VALUE"""),"100 (200 - HTML5)")</f>
        <v>100 (200 - HTML5)</v>
      </c>
      <c r="T273" s="3"/>
      <c r="U273" s="3" t="str">
        <f ca="1">IFERROR(__xludf.DUMMYFUNCTION("""COMPUTED_VALUE"""),"banner standard")</f>
        <v>banner standard</v>
      </c>
      <c r="V273" s="3"/>
      <c r="W273" s="4" t="str">
        <f ca="1">IFERROR(__xludf.DUMMYFUNCTION("""COMPUTED_VALUE"""),"https://reklama.cncenter.cz/Online/billboard-bottom")</f>
        <v>https://reklama.cncenter.cz/Online/billboard-bottom</v>
      </c>
      <c r="X273" s="3"/>
      <c r="Y273" s="3"/>
      <c r="Z273" s="3" t="str">
        <f ca="1">IFERROR(__xludf.DUMMYFUNCTION("""COMPUTED_VALUE"""),"podklady@cncenter.cz")</f>
        <v>podklady@cncenter.cz</v>
      </c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 t="str">
        <f ca="1">IFERROR(__xludf.DUMMYFUNCTION("""COMPUTED_VALUE"""),"desktop")</f>
        <v>desktop</v>
      </c>
      <c r="AO273" s="3"/>
      <c r="AP273" s="3"/>
      <c r="AQ273" s="3"/>
      <c r="AR273" s="3"/>
      <c r="AS273" s="3"/>
      <c r="AT273" s="3"/>
      <c r="AU273" s="3" t="str">
        <f ca="1">IFERROR(__xludf.DUMMYFUNCTION("""COMPUTED_VALUE"""),"billboard bottom")</f>
        <v>billboard bottom</v>
      </c>
    </row>
    <row r="274" spans="1:47" x14ac:dyDescent="0.3">
      <c r="A274" s="3">
        <f ca="1"/>
        <v>2346826</v>
      </c>
      <c r="B274" s="3" t="str">
        <f ca="1"/>
        <v>CZECH NEWS CENTER a. s.</v>
      </c>
      <c r="C274" s="3" t="str">
        <f ca="1">IFERROR(__xludf.DUMMYFUNCTION("""COMPUTED_VALUE"""),"CNC floating")</f>
        <v>CNC floating</v>
      </c>
      <c r="D274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4" s="3" t="str">
        <f ca="1">IFERROR(__xludf.DUMMYFUNCTION("""COMPUTED_VALUE"""),"celý web")</f>
        <v>celý web</v>
      </c>
      <c r="F274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4" s="3" t="str">
        <f ca="1">IFERROR(__xludf.DUMMYFUNCTION("""COMPUTED_VALUE"""),"branding cross-device low season")</f>
        <v>branding cross-device low season</v>
      </c>
      <c r="H274" s="3">
        <f ca="1">IFERROR(__xludf.DUMMYFUNCTION("""COMPUTED_VALUE"""),7)</f>
        <v>7</v>
      </c>
      <c r="I274" s="5">
        <f ca="1">IFERROR(__xludf.DUMMYFUNCTION("""COMPUTED_VALUE"""),1000)</f>
        <v>1000</v>
      </c>
      <c r="J274" s="5">
        <f ca="1">IFERROR(__xludf.DUMMYFUNCTION("""COMPUTED_VALUE"""),230)</f>
        <v>230</v>
      </c>
      <c r="K274" s="3"/>
      <c r="L274" s="3" t="str">
        <f ca="1">IFERROR(__xludf.DUMMYFUNCTION("""COMPUTED_VALUE"""),"Cost per period")</f>
        <v>Cost per period</v>
      </c>
      <c r="M274" s="3"/>
      <c r="N274" s="3"/>
      <c r="O274" s="3" t="str">
        <f ca="1">IFERROR(__xludf.DUMMYFUNCTION("""COMPUTED_VALUE"""),"2000")</f>
        <v>2000</v>
      </c>
      <c r="P274" s="3" t="str">
        <f ca="1">IFERROR(__xludf.DUMMYFUNCTION("""COMPUTED_VALUE"""),"1400")</f>
        <v>1400</v>
      </c>
      <c r="Q274" s="3" t="str">
        <f ca="1">IFERROR(__xludf.DUMMYFUNCTION("""COMPUTED_VALUE"""),"2000x1400 + 600x1080")</f>
        <v>2000x1400 + 600x1080</v>
      </c>
      <c r="R274" s="3"/>
      <c r="S274" s="3" t="str">
        <f ca="1">IFERROR(__xludf.DUMMYFUNCTION("""COMPUTED_VALUE"""),"500 (600 - HTLM5)")</f>
        <v>500 (600 - HTLM5)</v>
      </c>
      <c r="T274" s="3"/>
      <c r="U274" s="3" t="str">
        <f ca="1">IFERROR(__xludf.DUMMYFUNCTION("""COMPUTED_VALUE"""),"banner standard")</f>
        <v>banner standard</v>
      </c>
      <c r="V274" s="3"/>
      <c r="W274" s="4" t="str">
        <f ca="1">IFERROR(__xludf.DUMMYFUNCTION("""COMPUTED_VALUE"""),"https://reklama.cncenter.cz/Online/branding-cross-device")</f>
        <v>https://reklama.cncenter.cz/Online/branding-cross-device</v>
      </c>
      <c r="X274" s="3"/>
      <c r="Y274" s="3"/>
      <c r="Z274" s="3" t="str">
        <f ca="1">IFERROR(__xludf.DUMMYFUNCTION("""COMPUTED_VALUE"""),"podklady@cncenter.cz")</f>
        <v>podklady@cncenter.cz</v>
      </c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 t="str">
        <f ca="1">IFERROR(__xludf.DUMMYFUNCTION("""COMPUTED_VALUE"""),"cross-device")</f>
        <v>cross-device</v>
      </c>
      <c r="AO274" s="3"/>
      <c r="AP274" s="3"/>
      <c r="AQ274" s="3"/>
      <c r="AR274" s="3"/>
      <c r="AS274" s="3"/>
      <c r="AT274" s="3"/>
      <c r="AU274" s="3" t="str">
        <f ca="1">IFERROR(__xludf.DUMMYFUNCTION("""COMPUTED_VALUE"""),"branding cross-device")</f>
        <v>branding cross-device</v>
      </c>
    </row>
    <row r="275" spans="1:47" x14ac:dyDescent="0.3">
      <c r="A275" s="3">
        <f ca="1"/>
        <v>2346826</v>
      </c>
      <c r="B275" s="3" t="str">
        <f ca="1"/>
        <v>CZECH NEWS CENTER a. s.</v>
      </c>
      <c r="C275" s="3" t="str">
        <f ca="1">IFERROR(__xludf.DUMMYFUNCTION("""COMPUTED_VALUE"""),"CNC floating")</f>
        <v>CNC floating</v>
      </c>
      <c r="D275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5" s="3" t="str">
        <f ca="1">IFERROR(__xludf.DUMMYFUNCTION("""COMPUTED_VALUE"""),"celý web")</f>
        <v>celý web</v>
      </c>
      <c r="F275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5" s="3" t="str">
        <f ca="1">IFERROR(__xludf.DUMMYFUNCTION("""COMPUTED_VALUE"""),"branding low season")</f>
        <v>branding low season</v>
      </c>
      <c r="H275" s="3">
        <f ca="1">IFERROR(__xludf.DUMMYFUNCTION("""COMPUTED_VALUE"""),7)</f>
        <v>7</v>
      </c>
      <c r="I275" s="5">
        <f ca="1">IFERROR(__xludf.DUMMYFUNCTION("""COMPUTED_VALUE"""),1000)</f>
        <v>1000</v>
      </c>
      <c r="J275" s="5">
        <f ca="1">IFERROR(__xludf.DUMMYFUNCTION("""COMPUTED_VALUE"""),340)</f>
        <v>340</v>
      </c>
      <c r="K275" s="3"/>
      <c r="L275" s="3" t="str">
        <f ca="1">IFERROR(__xludf.DUMMYFUNCTION("""COMPUTED_VALUE"""),"Cost per period")</f>
        <v>Cost per period</v>
      </c>
      <c r="M275" s="3"/>
      <c r="N275" s="3"/>
      <c r="O275" s="3" t="str">
        <f ca="1">IFERROR(__xludf.DUMMYFUNCTION("""COMPUTED_VALUE"""),"2000")</f>
        <v>2000</v>
      </c>
      <c r="P275" s="3" t="str">
        <f ca="1">IFERROR(__xludf.DUMMYFUNCTION("""COMPUTED_VALUE"""),"1400")</f>
        <v>1400</v>
      </c>
      <c r="Q275" s="3" t="str">
        <f ca="1">IFERROR(__xludf.DUMMYFUNCTION("""COMPUTED_VALUE"""),"2000x1400")</f>
        <v>2000x1400</v>
      </c>
      <c r="R275" s="3"/>
      <c r="S275" s="3" t="str">
        <f ca="1">IFERROR(__xludf.DUMMYFUNCTION("""COMPUTED_VALUE"""),"500 + 200 (600+200 HTML5)")</f>
        <v>500 + 200 (600+200 HTML5)</v>
      </c>
      <c r="T275" s="3"/>
      <c r="U275" s="3" t="str">
        <f ca="1">IFERROR(__xludf.DUMMYFUNCTION("""COMPUTED_VALUE"""),"banner standard")</f>
        <v>banner standard</v>
      </c>
      <c r="V275" s="3"/>
      <c r="W275" s="4" t="str">
        <f ca="1">IFERROR(__xludf.DUMMYFUNCTION("""COMPUTED_VALUE"""),"https://reklama.cncenter.cz/Online/branding")</f>
        <v>https://reklama.cncenter.cz/Online/branding</v>
      </c>
      <c r="X275" s="3"/>
      <c r="Y275" s="3"/>
      <c r="Z275" s="3" t="str">
        <f ca="1">IFERROR(__xludf.DUMMYFUNCTION("""COMPUTED_VALUE"""),"podklady@cncenter.cz")</f>
        <v>podklady@cncenter.cz</v>
      </c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 t="str">
        <f ca="1">IFERROR(__xludf.DUMMYFUNCTION("""COMPUTED_VALUE"""),"desktop")</f>
        <v>desktop</v>
      </c>
      <c r="AO275" s="3"/>
      <c r="AP275" s="3"/>
      <c r="AQ275" s="3"/>
      <c r="AR275" s="3"/>
      <c r="AS275" s="3"/>
      <c r="AT275" s="3"/>
      <c r="AU275" s="3" t="str">
        <f ca="1">IFERROR(__xludf.DUMMYFUNCTION("""COMPUTED_VALUE"""),"branding")</f>
        <v>branding</v>
      </c>
    </row>
    <row r="276" spans="1:47" x14ac:dyDescent="0.3">
      <c r="A276" s="3">
        <f ca="1"/>
        <v>2346826</v>
      </c>
      <c r="B276" s="3" t="str">
        <f ca="1"/>
        <v>CZECH NEWS CENTER a. s.</v>
      </c>
      <c r="C276" s="3" t="str">
        <f ca="1">IFERROR(__xludf.DUMMYFUNCTION("""COMPUTED_VALUE"""),"CNC floating")</f>
        <v>CNC floating</v>
      </c>
      <c r="D276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6" s="3" t="str">
        <f ca="1">IFERROR(__xludf.DUMMYFUNCTION("""COMPUTED_VALUE"""),"celý web")</f>
        <v>celý web</v>
      </c>
      <c r="F276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6" s="3" t="str">
        <f ca="1">IFERROR(__xludf.DUMMYFUNCTION("""COMPUTED_VALUE"""),"cílený billboard bottom low season")</f>
        <v>cílený billboard bottom low season</v>
      </c>
      <c r="H276" s="3">
        <f ca="1">IFERROR(__xludf.DUMMYFUNCTION("""COMPUTED_VALUE"""),7)</f>
        <v>7</v>
      </c>
      <c r="I276" s="5">
        <f ca="1">IFERROR(__xludf.DUMMYFUNCTION("""COMPUTED_VALUE"""),1000)</f>
        <v>1000</v>
      </c>
      <c r="J276" s="5">
        <f ca="1">IFERROR(__xludf.DUMMYFUNCTION("""COMPUTED_VALUE"""),216)</f>
        <v>216</v>
      </c>
      <c r="K276" s="3"/>
      <c r="L276" s="3" t="str">
        <f ca="1">IFERROR(__xludf.DUMMYFUNCTION("""COMPUTED_VALUE"""),"Cost per period")</f>
        <v>Cost per period</v>
      </c>
      <c r="M276" s="3"/>
      <c r="N276" s="3"/>
      <c r="O276" s="3" t="str">
        <f ca="1">IFERROR(__xludf.DUMMYFUNCTION("""COMPUTED_VALUE"""),"970")</f>
        <v>970</v>
      </c>
      <c r="P276" s="3" t="str">
        <f ca="1">IFERROR(__xludf.DUMMYFUNCTION("""COMPUTED_VALUE"""),"250")</f>
        <v>250</v>
      </c>
      <c r="Q276" s="3" t="str">
        <f ca="1">IFERROR(__xludf.DUMMYFUNCTION("""COMPUTED_VALUE"""),"970x250")</f>
        <v>970x250</v>
      </c>
      <c r="R276" s="3"/>
      <c r="S276" s="3" t="str">
        <f ca="1">IFERROR(__xludf.DUMMYFUNCTION("""COMPUTED_VALUE"""),"100 (200 - HTML5)")</f>
        <v>100 (200 - HTML5)</v>
      </c>
      <c r="T276" s="3"/>
      <c r="U276" s="3" t="str">
        <f ca="1">IFERROR(__xludf.DUMMYFUNCTION("""COMPUTED_VALUE"""),"banner standard")</f>
        <v>banner standard</v>
      </c>
      <c r="V276" s="3"/>
      <c r="W276" s="4" t="str">
        <f ca="1">IFERROR(__xludf.DUMMYFUNCTION("""COMPUTED_VALUE"""),"https://reklama.cncenter.cz/Online/billboard-bottom")</f>
        <v>https://reklama.cncenter.cz/Online/billboard-bottom</v>
      </c>
      <c r="X276" s="3"/>
      <c r="Y276" s="3"/>
      <c r="Z276" s="3" t="str">
        <f ca="1">IFERROR(__xludf.DUMMYFUNCTION("""COMPUTED_VALUE"""),"podklady@cncenter.cz")</f>
        <v>podklady@cncenter.cz</v>
      </c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 t="str">
        <f ca="1">IFERROR(__xludf.DUMMYFUNCTION("""COMPUTED_VALUE"""),"desktop")</f>
        <v>desktop</v>
      </c>
      <c r="AO276" s="3"/>
      <c r="AP276" s="3"/>
      <c r="AQ276" s="3"/>
      <c r="AR276" s="3"/>
      <c r="AS276" s="3"/>
      <c r="AT276" s="3"/>
      <c r="AU276" s="3" t="str">
        <f ca="1">IFERROR(__xludf.DUMMYFUNCTION("""COMPUTED_VALUE"""),"cílený billboard bottom")</f>
        <v>cílený billboard bottom</v>
      </c>
    </row>
    <row r="277" spans="1:47" x14ac:dyDescent="0.3">
      <c r="A277" s="3">
        <f ca="1"/>
        <v>2346826</v>
      </c>
      <c r="B277" s="3" t="str">
        <f ca="1"/>
        <v>CZECH NEWS CENTER a. s.</v>
      </c>
      <c r="C277" s="3" t="str">
        <f ca="1">IFERROR(__xludf.DUMMYFUNCTION("""COMPUTED_VALUE"""),"CNC floating")</f>
        <v>CNC floating</v>
      </c>
      <c r="D277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7" s="3" t="str">
        <f ca="1">IFERROR(__xludf.DUMMYFUNCTION("""COMPUTED_VALUE"""),"celý web")</f>
        <v>celý web</v>
      </c>
      <c r="F277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7" s="3" t="str">
        <f ca="1">IFERROR(__xludf.DUMMYFUNCTION("""COMPUTED_VALUE"""),"cílený branding cross-device low season")</f>
        <v>cílený branding cross-device low season</v>
      </c>
      <c r="H277" s="3">
        <f ca="1">IFERROR(__xludf.DUMMYFUNCTION("""COMPUTED_VALUE"""),7)</f>
        <v>7</v>
      </c>
      <c r="I277" s="5">
        <f ca="1">IFERROR(__xludf.DUMMYFUNCTION("""COMPUTED_VALUE"""),1000)</f>
        <v>1000</v>
      </c>
      <c r="J277" s="5">
        <f ca="1">IFERROR(__xludf.DUMMYFUNCTION("""COMPUTED_VALUE"""),276)</f>
        <v>276</v>
      </c>
      <c r="K277" s="3"/>
      <c r="L277" s="3" t="str">
        <f ca="1">IFERROR(__xludf.DUMMYFUNCTION("""COMPUTED_VALUE"""),"Cost per period")</f>
        <v>Cost per period</v>
      </c>
      <c r="M277" s="3"/>
      <c r="N277" s="3"/>
      <c r="O277" s="3" t="str">
        <f ca="1">IFERROR(__xludf.DUMMYFUNCTION("""COMPUTED_VALUE"""),"2000")</f>
        <v>2000</v>
      </c>
      <c r="P277" s="3" t="str">
        <f ca="1">IFERROR(__xludf.DUMMYFUNCTION("""COMPUTED_VALUE"""),"1400")</f>
        <v>1400</v>
      </c>
      <c r="Q277" s="3" t="str">
        <f ca="1">IFERROR(__xludf.DUMMYFUNCTION("""COMPUTED_VALUE"""),"2000x1400 + 600x1080")</f>
        <v>2000x1400 + 600x1080</v>
      </c>
      <c r="R277" s="3"/>
      <c r="S277" s="3" t="str">
        <f ca="1">IFERROR(__xludf.DUMMYFUNCTION("""COMPUTED_VALUE"""),"500 (600 - HTLM5)")</f>
        <v>500 (600 - HTLM5)</v>
      </c>
      <c r="T277" s="3"/>
      <c r="U277" s="3" t="str">
        <f ca="1">IFERROR(__xludf.DUMMYFUNCTION("""COMPUTED_VALUE"""),"banner standard")</f>
        <v>banner standard</v>
      </c>
      <c r="V277" s="3"/>
      <c r="W277" s="4" t="str">
        <f ca="1">IFERROR(__xludf.DUMMYFUNCTION("""COMPUTED_VALUE"""),"https://reklama.cncenter.cz/Online/branding-cross-device")</f>
        <v>https://reklama.cncenter.cz/Online/branding-cross-device</v>
      </c>
      <c r="X277" s="3"/>
      <c r="Y277" s="3"/>
      <c r="Z277" s="3" t="str">
        <f ca="1">IFERROR(__xludf.DUMMYFUNCTION("""COMPUTED_VALUE"""),"podklady@cncenter.cz")</f>
        <v>podklady@cncenter.cz</v>
      </c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 t="str">
        <f ca="1">IFERROR(__xludf.DUMMYFUNCTION("""COMPUTED_VALUE"""),"cross-device")</f>
        <v>cross-device</v>
      </c>
      <c r="AO277" s="3"/>
      <c r="AP277" s="3"/>
      <c r="AQ277" s="3"/>
      <c r="AR277" s="3"/>
      <c r="AS277" s="3"/>
      <c r="AT277" s="3"/>
      <c r="AU277" s="3" t="str">
        <f ca="1">IFERROR(__xludf.DUMMYFUNCTION("""COMPUTED_VALUE"""),"cílený branding cross-device")</f>
        <v>cílený branding cross-device</v>
      </c>
    </row>
    <row r="278" spans="1:47" x14ac:dyDescent="0.3">
      <c r="A278" s="3">
        <f ca="1"/>
        <v>2346826</v>
      </c>
      <c r="B278" s="3" t="str">
        <f ca="1"/>
        <v>CZECH NEWS CENTER a. s.</v>
      </c>
      <c r="C278" s="3" t="str">
        <f ca="1">IFERROR(__xludf.DUMMYFUNCTION("""COMPUTED_VALUE"""),"CNC floating")</f>
        <v>CNC floating</v>
      </c>
      <c r="D278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8" s="3" t="str">
        <f ca="1">IFERROR(__xludf.DUMMYFUNCTION("""COMPUTED_VALUE"""),"celý web")</f>
        <v>celý web</v>
      </c>
      <c r="F278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8" s="3" t="str">
        <f ca="1">IFERROR(__xludf.DUMMYFUNCTION("""COMPUTED_VALUE"""),"cílený branding low season")</f>
        <v>cílený branding low season</v>
      </c>
      <c r="H278" s="3">
        <f ca="1">IFERROR(__xludf.DUMMYFUNCTION("""COMPUTED_VALUE"""),7)</f>
        <v>7</v>
      </c>
      <c r="I278" s="5">
        <f ca="1">IFERROR(__xludf.DUMMYFUNCTION("""COMPUTED_VALUE"""),1000)</f>
        <v>1000</v>
      </c>
      <c r="J278" s="5">
        <f ca="1">IFERROR(__xludf.DUMMYFUNCTION("""COMPUTED_VALUE"""),408)</f>
        <v>408</v>
      </c>
      <c r="K278" s="3"/>
      <c r="L278" s="3" t="str">
        <f ca="1">IFERROR(__xludf.DUMMYFUNCTION("""COMPUTED_VALUE"""),"Cost per period")</f>
        <v>Cost per period</v>
      </c>
      <c r="M278" s="3"/>
      <c r="N278" s="3"/>
      <c r="O278" s="3" t="str">
        <f ca="1">IFERROR(__xludf.DUMMYFUNCTION("""COMPUTED_VALUE"""),"2000")</f>
        <v>2000</v>
      </c>
      <c r="P278" s="3" t="str">
        <f ca="1">IFERROR(__xludf.DUMMYFUNCTION("""COMPUTED_VALUE"""),"1400")</f>
        <v>1400</v>
      </c>
      <c r="Q278" s="3" t="str">
        <f ca="1">IFERROR(__xludf.DUMMYFUNCTION("""COMPUTED_VALUE"""),"2000x1400")</f>
        <v>2000x1400</v>
      </c>
      <c r="R278" s="3"/>
      <c r="S278" s="3" t="str">
        <f ca="1">IFERROR(__xludf.DUMMYFUNCTION("""COMPUTED_VALUE"""),"500 + 200 (600+200 HTML5)")</f>
        <v>500 + 200 (600+200 HTML5)</v>
      </c>
      <c r="T278" s="3"/>
      <c r="U278" s="3" t="str">
        <f ca="1">IFERROR(__xludf.DUMMYFUNCTION("""COMPUTED_VALUE"""),"banner standard")</f>
        <v>banner standard</v>
      </c>
      <c r="V278" s="3"/>
      <c r="W278" s="4" t="str">
        <f ca="1">IFERROR(__xludf.DUMMYFUNCTION("""COMPUTED_VALUE"""),"https://reklama.cncenter.cz/Online/branding")</f>
        <v>https://reklama.cncenter.cz/Online/branding</v>
      </c>
      <c r="X278" s="3"/>
      <c r="Y278" s="3"/>
      <c r="Z278" s="3" t="str">
        <f ca="1">IFERROR(__xludf.DUMMYFUNCTION("""COMPUTED_VALUE"""),"podklady@cncenter.cz")</f>
        <v>podklady@cncenter.cz</v>
      </c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 t="str">
        <f ca="1">IFERROR(__xludf.DUMMYFUNCTION("""COMPUTED_VALUE"""),"desktop")</f>
        <v>desktop</v>
      </c>
      <c r="AO278" s="3"/>
      <c r="AP278" s="3"/>
      <c r="AQ278" s="3"/>
      <c r="AR278" s="3"/>
      <c r="AS278" s="3"/>
      <c r="AT278" s="3"/>
      <c r="AU278" s="3" t="str">
        <f ca="1">IFERROR(__xludf.DUMMYFUNCTION("""COMPUTED_VALUE"""),"cílený branding")</f>
        <v>cílený branding</v>
      </c>
    </row>
    <row r="279" spans="1:47" x14ac:dyDescent="0.3">
      <c r="A279" s="3">
        <f ca="1"/>
        <v>2346826</v>
      </c>
      <c r="B279" s="3" t="str">
        <f ca="1"/>
        <v>CZECH NEWS CENTER a. s.</v>
      </c>
      <c r="C279" s="3" t="str">
        <f ca="1">IFERROR(__xludf.DUMMYFUNCTION("""COMPUTED_VALUE"""),"CNC floating")</f>
        <v>CNC floating</v>
      </c>
      <c r="D279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9" s="3" t="str">
        <f ca="1">IFERROR(__xludf.DUMMYFUNCTION("""COMPUTED_VALUE"""),"celý web")</f>
        <v>celý web</v>
      </c>
      <c r="F279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9" s="3" t="str">
        <f ca="1">IFERROR(__xludf.DUMMYFUNCTION("""COMPUTED_VALUE"""),"cílený double skyscraper low season")</f>
        <v>cílený double skyscraper low season</v>
      </c>
      <c r="H279" s="3">
        <f ca="1">IFERROR(__xludf.DUMMYFUNCTION("""COMPUTED_VALUE"""),7)</f>
        <v>7</v>
      </c>
      <c r="I279" s="5">
        <f ca="1">IFERROR(__xludf.DUMMYFUNCTION("""COMPUTED_VALUE"""),1000)</f>
        <v>1000</v>
      </c>
      <c r="J279" s="5">
        <f ca="1">IFERROR(__xludf.DUMMYFUNCTION("""COMPUTED_VALUE"""),168)</f>
        <v>168</v>
      </c>
      <c r="K279" s="3"/>
      <c r="L279" s="3" t="str">
        <f ca="1">IFERROR(__xludf.DUMMYFUNCTION("""COMPUTED_VALUE"""),"Cost per period")</f>
        <v>Cost per period</v>
      </c>
      <c r="M279" s="3"/>
      <c r="N279" s="3"/>
      <c r="O279" s="3" t="str">
        <f ca="1">IFERROR(__xludf.DUMMYFUNCTION("""COMPUTED_VALUE"""),"300")</f>
        <v>300</v>
      </c>
      <c r="P279" s="3" t="str">
        <f ca="1">IFERROR(__xludf.DUMMYFUNCTION("""COMPUTED_VALUE"""),"600")</f>
        <v>600</v>
      </c>
      <c r="Q279" s="3" t="str">
        <f ca="1">IFERROR(__xludf.DUMMYFUNCTION("""COMPUTED_VALUE"""),"300x600")</f>
        <v>300x600</v>
      </c>
      <c r="R279" s="3"/>
      <c r="S279" s="3" t="str">
        <f ca="1">IFERROR(__xludf.DUMMYFUNCTION("""COMPUTED_VALUE"""),"100 (200 - HTML5)")</f>
        <v>100 (200 - HTML5)</v>
      </c>
      <c r="T279" s="3"/>
      <c r="U279" s="3" t="str">
        <f ca="1">IFERROR(__xludf.DUMMYFUNCTION("""COMPUTED_VALUE"""),"banner standard")</f>
        <v>banner standard</v>
      </c>
      <c r="V279" s="3"/>
      <c r="W279" s="4" t="str">
        <f ca="1">IFERROR(__xludf.DUMMYFUNCTION("""COMPUTED_VALUE"""),"https://reklama.cncenter.cz/Online/double-skyscraper")</f>
        <v>https://reklama.cncenter.cz/Online/double-skyscraper</v>
      </c>
      <c r="X279" s="3"/>
      <c r="Y279" s="3"/>
      <c r="Z279" s="3" t="str">
        <f ca="1">IFERROR(__xludf.DUMMYFUNCTION("""COMPUTED_VALUE"""),"podklady@cncenter.cz")</f>
        <v>podklady@cncenter.cz</v>
      </c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 t="str">
        <f ca="1">IFERROR(__xludf.DUMMYFUNCTION("""COMPUTED_VALUE"""),"desktop")</f>
        <v>desktop</v>
      </c>
      <c r="AO279" s="3"/>
      <c r="AP279" s="3"/>
      <c r="AQ279" s="3"/>
      <c r="AR279" s="3"/>
      <c r="AS279" s="3"/>
      <c r="AT279" s="3"/>
      <c r="AU279" s="3" t="str">
        <f ca="1">IFERROR(__xludf.DUMMYFUNCTION("""COMPUTED_VALUE"""),"cílený double skyscraper")</f>
        <v>cílený double skyscraper</v>
      </c>
    </row>
    <row r="280" spans="1:47" x14ac:dyDescent="0.3">
      <c r="A280" s="3">
        <f ca="1"/>
        <v>2346826</v>
      </c>
      <c r="B280" s="3" t="str">
        <f ca="1"/>
        <v>CZECH NEWS CENTER a. s.</v>
      </c>
      <c r="C280" s="3" t="str">
        <f ca="1">IFERROR(__xludf.DUMMYFUNCTION("""COMPUTED_VALUE"""),"CNC floating")</f>
        <v>CNC floating</v>
      </c>
      <c r="D280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0" s="3" t="str">
        <f ca="1">IFERROR(__xludf.DUMMYFUNCTION("""COMPUTED_VALUE"""),"celý web")</f>
        <v>celý web</v>
      </c>
      <c r="F280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0" s="3" t="str">
        <f ca="1">IFERROR(__xludf.DUMMYFUNCTION("""COMPUTED_VALUE"""),"cílený mini videospot - max. 30 sec. low season")</f>
        <v>cílený mini videospot - max. 30 sec. low season</v>
      </c>
      <c r="H280" s="3">
        <f ca="1">IFERROR(__xludf.DUMMYFUNCTION("""COMPUTED_VALUE"""),7)</f>
        <v>7</v>
      </c>
      <c r="I280" s="5">
        <f ca="1">IFERROR(__xludf.DUMMYFUNCTION("""COMPUTED_VALUE"""),1000)</f>
        <v>1000</v>
      </c>
      <c r="J280" s="5">
        <f ca="1">IFERROR(__xludf.DUMMYFUNCTION("""COMPUTED_VALUE"""),156)</f>
        <v>156</v>
      </c>
      <c r="K280" s="3"/>
      <c r="L280" s="3" t="str">
        <f ca="1">IFERROR(__xludf.DUMMYFUNCTION("""COMPUTED_VALUE"""),"Cost per period")</f>
        <v>Cost per period</v>
      </c>
      <c r="M280" s="3"/>
      <c r="N280" s="3"/>
      <c r="O280" s="3"/>
      <c r="P280" s="3"/>
      <c r="Q280" s="3" t="str">
        <f ca="1">IFERROR(__xludf.DUMMYFUNCTION("""COMPUTED_VALUE"""),"16:9 / umístění po domluvě dle možností")</f>
        <v>16:9 / umístění po domluvě dle možností</v>
      </c>
      <c r="R280" s="3" t="str">
        <f ca="1">IFERROR(__xludf.DUMMYFUNCTION("""COMPUTED_VALUE"""),"přeskočení po 7 sekundách")</f>
        <v>přeskočení po 7 sekundách</v>
      </c>
      <c r="S280" s="3" t="str">
        <f ca="1">IFERROR(__xludf.DUMMYFUNCTION("""COMPUTED_VALUE"""),"100")</f>
        <v>100</v>
      </c>
      <c r="T280" s="3"/>
      <c r="U280" s="3" t="str">
        <f ca="1">IFERROR(__xludf.DUMMYFUNCTION("""COMPUTED_VALUE"""),"videospot")</f>
        <v>videospot</v>
      </c>
      <c r="V280" s="3"/>
      <c r="W280" s="4" t="str">
        <f ca="1">IFERROR(__xludf.DUMMYFUNCTION("""COMPUTED_VALUE"""),"https://reklama.cncenter.cz/Online/Videospot")</f>
        <v>https://reklama.cncenter.cz/Online/Videospot</v>
      </c>
      <c r="X280" s="3"/>
      <c r="Y280" s="3"/>
      <c r="Z280" s="3" t="str">
        <f ca="1">IFERROR(__xludf.DUMMYFUNCTION("""COMPUTED_VALUE"""),"podklady@cncenter.cz")</f>
        <v>podklady@cncenter.cz</v>
      </c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 t="str">
        <f ca="1">IFERROR(__xludf.DUMMYFUNCTION("""COMPUTED_VALUE"""),"desktop")</f>
        <v>desktop</v>
      </c>
      <c r="AO280" s="3"/>
      <c r="AP280" s="3"/>
      <c r="AQ280" s="3"/>
      <c r="AR280" s="3"/>
      <c r="AS280" s="3"/>
      <c r="AT280" s="3"/>
      <c r="AU280" s="3" t="str">
        <f ca="1">IFERROR(__xludf.DUMMYFUNCTION("""COMPUTED_VALUE"""),"cílený mini videospot - max. 30 sec.")</f>
        <v>cílený mini videospot - max. 30 sec.</v>
      </c>
    </row>
    <row r="281" spans="1:47" x14ac:dyDescent="0.3">
      <c r="A281" s="3">
        <f ca="1"/>
        <v>2346826</v>
      </c>
      <c r="B281" s="3" t="str">
        <f ca="1"/>
        <v>CZECH NEWS CENTER a. s.</v>
      </c>
      <c r="C281" s="3" t="str">
        <f ca="1">IFERROR(__xludf.DUMMYFUNCTION("""COMPUTED_VALUE"""),"CNC floating")</f>
        <v>CNC floating</v>
      </c>
      <c r="D281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1" s="3" t="str">
        <f ca="1">IFERROR(__xludf.DUMMYFUNCTION("""COMPUTED_VALUE"""),"celý web")</f>
        <v>celý web</v>
      </c>
      <c r="F281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1" s="3" t="str">
        <f ca="1">IFERROR(__xludf.DUMMYFUNCTION("""COMPUTED_VALUE"""),"cílený mobilní interscroller low season")</f>
        <v>cílený mobilní interscroller low season</v>
      </c>
      <c r="H281" s="3">
        <f ca="1">IFERROR(__xludf.DUMMYFUNCTION("""COMPUTED_VALUE"""),7)</f>
        <v>7</v>
      </c>
      <c r="I281" s="5">
        <f ca="1">IFERROR(__xludf.DUMMYFUNCTION("""COMPUTED_VALUE"""),1000)</f>
        <v>1000</v>
      </c>
      <c r="J281" s="5">
        <f ca="1">IFERROR(__xludf.DUMMYFUNCTION("""COMPUTED_VALUE"""),216)</f>
        <v>216</v>
      </c>
      <c r="K281" s="3"/>
      <c r="L281" s="3" t="str">
        <f ca="1">IFERROR(__xludf.DUMMYFUNCTION("""COMPUTED_VALUE"""),"Cost per period")</f>
        <v>Cost per period</v>
      </c>
      <c r="M281" s="3"/>
      <c r="N281" s="3"/>
      <c r="O281" s="3" t="str">
        <f ca="1">IFERROR(__xludf.DUMMYFUNCTION("""COMPUTED_VALUE"""),"600")</f>
        <v>600</v>
      </c>
      <c r="P281" s="3" t="str">
        <f ca="1">IFERROR(__xludf.DUMMYFUNCTION("""COMPUTED_VALUE"""),"1080")</f>
        <v>1080</v>
      </c>
      <c r="Q281" s="3" t="str">
        <f ca="1">IFERROR(__xludf.DUMMYFUNCTION("""COMPUTED_VALUE"""),"600x1080")</f>
        <v>600x1080</v>
      </c>
      <c r="R281" s="3"/>
      <c r="S281" s="3" t="str">
        <f ca="1">IFERROR(__xludf.DUMMYFUNCTION("""COMPUTED_VALUE"""),"200")</f>
        <v>200</v>
      </c>
      <c r="T281" s="3"/>
      <c r="U281" s="3" t="str">
        <f ca="1">IFERROR(__xludf.DUMMYFUNCTION("""COMPUTED_VALUE"""),"banner standard")</f>
        <v>banner standard</v>
      </c>
      <c r="V281" s="3"/>
      <c r="W281" s="4" t="str">
        <f ca="1">IFERROR(__xludf.DUMMYFUNCTION("""COMPUTED_VALUE"""),"https://reklama.cncenter.cz/Online/mobilni-interscroller")</f>
        <v>https://reklama.cncenter.cz/Online/mobilni-interscroller</v>
      </c>
      <c r="X281" s="3"/>
      <c r="Y281" s="3"/>
      <c r="Z281" s="3" t="str">
        <f ca="1">IFERROR(__xludf.DUMMYFUNCTION("""COMPUTED_VALUE"""),"podklady@cncenter.cz")</f>
        <v>podklady@cncenter.cz</v>
      </c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 t="str">
        <f ca="1">IFERROR(__xludf.DUMMYFUNCTION("""COMPUTED_VALUE"""),"mobile")</f>
        <v>mobile</v>
      </c>
      <c r="AO281" s="3"/>
      <c r="AP281" s="3"/>
      <c r="AQ281" s="3"/>
      <c r="AR281" s="3"/>
      <c r="AS281" s="3"/>
      <c r="AT281" s="3"/>
      <c r="AU281" s="3" t="str">
        <f ca="1">IFERROR(__xludf.DUMMYFUNCTION("""COMPUTED_VALUE"""),"cílený mobilní interscroller")</f>
        <v>cílený mobilní interscroller</v>
      </c>
    </row>
    <row r="282" spans="1:47" x14ac:dyDescent="0.3">
      <c r="A282" s="3">
        <f ca="1"/>
        <v>2346826</v>
      </c>
      <c r="B282" s="3" t="str">
        <f ca="1"/>
        <v>CZECH NEWS CENTER a. s.</v>
      </c>
      <c r="C282" s="3" t="str">
        <f ca="1">IFERROR(__xludf.DUMMYFUNCTION("""COMPUTED_VALUE"""),"CNC floating")</f>
        <v>CNC floating</v>
      </c>
      <c r="D282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2" s="3" t="str">
        <f ca="1">IFERROR(__xludf.DUMMYFUNCTION("""COMPUTED_VALUE"""),"celý web")</f>
        <v>celý web</v>
      </c>
      <c r="F282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2" s="3" t="str">
        <f ca="1">IFERROR(__xludf.DUMMYFUNCTION("""COMPUTED_VALUE"""),"cílený mobilní slide-up low season")</f>
        <v>cílený mobilní slide-up low season</v>
      </c>
      <c r="H282" s="3">
        <f ca="1">IFERROR(__xludf.DUMMYFUNCTION("""COMPUTED_VALUE"""),7)</f>
        <v>7</v>
      </c>
      <c r="I282" s="5">
        <f ca="1">IFERROR(__xludf.DUMMYFUNCTION("""COMPUTED_VALUE"""),1000)</f>
        <v>1000</v>
      </c>
      <c r="J282" s="5">
        <f ca="1">IFERROR(__xludf.DUMMYFUNCTION("""COMPUTED_VALUE"""),456)</f>
        <v>456</v>
      </c>
      <c r="K282" s="3"/>
      <c r="L282" s="3" t="str">
        <f ca="1">IFERROR(__xludf.DUMMYFUNCTION("""COMPUTED_VALUE"""),"Cost per period")</f>
        <v>Cost per period</v>
      </c>
      <c r="M282" s="3"/>
      <c r="N282" s="3"/>
      <c r="O282" s="3" t="str">
        <f ca="1">IFERROR(__xludf.DUMMYFUNCTION("""COMPUTED_VALUE"""),"300")</f>
        <v>300</v>
      </c>
      <c r="P282" s="3" t="str">
        <f ca="1">IFERROR(__xludf.DUMMYFUNCTION("""COMPUTED_VALUE"""),"120")</f>
        <v>120</v>
      </c>
      <c r="Q282" s="3" t="str">
        <f ca="1">IFERROR(__xludf.DUMMYFUNCTION("""COMPUTED_VALUE"""),"300x120")</f>
        <v>300x120</v>
      </c>
      <c r="R282" s="3"/>
      <c r="S282" s="3" t="str">
        <f ca="1">IFERROR(__xludf.DUMMYFUNCTION("""COMPUTED_VALUE"""),"100")</f>
        <v>100</v>
      </c>
      <c r="T282" s="3"/>
      <c r="U282" s="3" t="str">
        <f ca="1">IFERROR(__xludf.DUMMYFUNCTION("""COMPUTED_VALUE"""),"banner standard")</f>
        <v>banner standard</v>
      </c>
      <c r="V282" s="3"/>
      <c r="W282" s="4" t="str">
        <f ca="1">IFERROR(__xludf.DUMMYFUNCTION("""COMPUTED_VALUE"""),"https://reklama.cncenter.cz/Online/mobilni-slide-up")</f>
        <v>https://reklama.cncenter.cz/Online/mobilni-slide-up</v>
      </c>
      <c r="X282" s="3"/>
      <c r="Y282" s="3"/>
      <c r="Z282" s="3" t="str">
        <f ca="1">IFERROR(__xludf.DUMMYFUNCTION("""COMPUTED_VALUE"""),"podklady@cncenter.cz")</f>
        <v>podklady@cncenter.cz</v>
      </c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 t="str">
        <f ca="1">IFERROR(__xludf.DUMMYFUNCTION("""COMPUTED_VALUE"""),"mobile")</f>
        <v>mobile</v>
      </c>
      <c r="AO282" s="3"/>
      <c r="AP282" s="3"/>
      <c r="AQ282" s="3"/>
      <c r="AR282" s="3"/>
      <c r="AS282" s="3"/>
      <c r="AT282" s="3"/>
      <c r="AU282" s="3" t="str">
        <f ca="1">IFERROR(__xludf.DUMMYFUNCTION("""COMPUTED_VALUE"""),"cílený mobilní slide-up")</f>
        <v>cílený mobilní slide-up</v>
      </c>
    </row>
    <row r="283" spans="1:47" x14ac:dyDescent="0.3">
      <c r="A283" s="3">
        <f ca="1"/>
        <v>2346826</v>
      </c>
      <c r="B283" s="3" t="str">
        <f ca="1"/>
        <v>CZECH NEWS CENTER a. s.</v>
      </c>
      <c r="C283" s="3" t="str">
        <f ca="1">IFERROR(__xludf.DUMMYFUNCTION("""COMPUTED_VALUE"""),"CNC floating")</f>
        <v>CNC floating</v>
      </c>
      <c r="D28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3" s="3" t="str">
        <f ca="1">IFERROR(__xludf.DUMMYFUNCTION("""COMPUTED_VALUE"""),"celý web")</f>
        <v>celý web</v>
      </c>
      <c r="F28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3" s="3" t="str">
        <f ca="1">IFERROR(__xludf.DUMMYFUNCTION("""COMPUTED_VALUE"""),"cílený mobilní viněta low season")</f>
        <v>cílený mobilní viněta low season</v>
      </c>
      <c r="H283" s="3">
        <f ca="1">IFERROR(__xludf.DUMMYFUNCTION("""COMPUTED_VALUE"""),7)</f>
        <v>7</v>
      </c>
      <c r="I283" s="5">
        <f ca="1">IFERROR(__xludf.DUMMYFUNCTION("""COMPUTED_VALUE"""),1000)</f>
        <v>1000</v>
      </c>
      <c r="J283" s="5">
        <f ca="1">IFERROR(__xludf.DUMMYFUNCTION("""COMPUTED_VALUE"""),852)</f>
        <v>852</v>
      </c>
      <c r="K283" s="3"/>
      <c r="L283" s="3" t="str">
        <f ca="1">IFERROR(__xludf.DUMMYFUNCTION("""COMPUTED_VALUE"""),"Cost per period")</f>
        <v>Cost per period</v>
      </c>
      <c r="M283" s="3"/>
      <c r="N283" s="3"/>
      <c r="O283" s="3" t="str">
        <f ca="1">IFERROR(__xludf.DUMMYFUNCTION("""COMPUTED_VALUE"""),"600")</f>
        <v>600</v>
      </c>
      <c r="P283" s="3" t="str">
        <f ca="1">IFERROR(__xludf.DUMMYFUNCTION("""COMPUTED_VALUE"""),"800")</f>
        <v>800</v>
      </c>
      <c r="Q283" s="3" t="str">
        <f ca="1">IFERROR(__xludf.DUMMYFUNCTION("""COMPUTED_VALUE"""),"300x250 nebo 600x800")</f>
        <v>300x250 nebo 600x800</v>
      </c>
      <c r="R283" s="3"/>
      <c r="S283" s="3" t="str">
        <f ca="1">IFERROR(__xludf.DUMMYFUNCTION("""COMPUTED_VALUE"""),"100")</f>
        <v>100</v>
      </c>
      <c r="T283" s="3"/>
      <c r="U283" s="3" t="str">
        <f ca="1">IFERROR(__xludf.DUMMYFUNCTION("""COMPUTED_VALUE"""),"banner standard")</f>
        <v>banner standard</v>
      </c>
      <c r="V283" s="3"/>
      <c r="W283" s="4" t="str">
        <f ca="1">IFERROR(__xludf.DUMMYFUNCTION("""COMPUTED_VALUE"""),"https://reklama.cncenter.cz/Online/mobilni-vineta")</f>
        <v>https://reklama.cncenter.cz/Online/mobilni-vineta</v>
      </c>
      <c r="X283" s="3"/>
      <c r="Y283" s="3"/>
      <c r="Z283" s="3" t="str">
        <f ca="1">IFERROR(__xludf.DUMMYFUNCTION("""COMPUTED_VALUE"""),"podklady@cncenter.cz")</f>
        <v>podklady@cncenter.cz</v>
      </c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 t="str">
        <f ca="1">IFERROR(__xludf.DUMMYFUNCTION("""COMPUTED_VALUE"""),"mobile")</f>
        <v>mobile</v>
      </c>
      <c r="AO283" s="3"/>
      <c r="AP283" s="3"/>
      <c r="AQ283" s="3"/>
      <c r="AR283" s="3"/>
      <c r="AS283" s="3"/>
      <c r="AT283" s="3"/>
      <c r="AU283" s="3" t="str">
        <f ca="1">IFERROR(__xludf.DUMMYFUNCTION("""COMPUTED_VALUE"""),"cílený mobilní viněta")</f>
        <v>cílený mobilní viněta</v>
      </c>
    </row>
    <row r="284" spans="1:47" x14ac:dyDescent="0.3">
      <c r="A284" s="3">
        <f ca="1"/>
        <v>2346826</v>
      </c>
      <c r="B284" s="3" t="str">
        <f ca="1"/>
        <v>CZECH NEWS CENTER a. s.</v>
      </c>
      <c r="C284" s="3" t="str">
        <f ca="1">IFERROR(__xludf.DUMMYFUNCTION("""COMPUTED_VALUE"""),"CNC floating")</f>
        <v>CNC floating</v>
      </c>
      <c r="D284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4" s="3" t="str">
        <f ca="1">IFERROR(__xludf.DUMMYFUNCTION("""COMPUTED_VALUE"""),"celý web")</f>
        <v>celý web</v>
      </c>
      <c r="F284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4" s="3" t="str">
        <f ca="1">IFERROR(__xludf.DUMMYFUNCTION("""COMPUTED_VALUE"""),"cílený nativní rectangle cross-device low season")</f>
        <v>cílený nativní rectangle cross-device low season</v>
      </c>
      <c r="H284" s="3">
        <f ca="1">IFERROR(__xludf.DUMMYFUNCTION("""COMPUTED_VALUE"""),7)</f>
        <v>7</v>
      </c>
      <c r="I284" s="5">
        <f ca="1">IFERROR(__xludf.DUMMYFUNCTION("""COMPUTED_VALUE"""),1000)</f>
        <v>1000</v>
      </c>
      <c r="J284" s="5">
        <f ca="1">IFERROR(__xludf.DUMMYFUNCTION("""COMPUTED_VALUE"""),192)</f>
        <v>192</v>
      </c>
      <c r="K284" s="3"/>
      <c r="L284" s="3" t="str">
        <f ca="1">IFERROR(__xludf.DUMMYFUNCTION("""COMPUTED_VALUE"""),"Cost per period")</f>
        <v>Cost per period</v>
      </c>
      <c r="M284" s="3"/>
      <c r="N284" s="3"/>
      <c r="O284" s="3" t="str">
        <f ca="1">IFERROR(__xludf.DUMMYFUNCTION("""COMPUTED_VALUE"""),"640")</f>
        <v>640</v>
      </c>
      <c r="P284" s="3" t="str">
        <f ca="1">IFERROR(__xludf.DUMMYFUNCTION("""COMPUTED_VALUE"""),"335, 640")</f>
        <v>335, 640</v>
      </c>
      <c r="Q284" s="3" t="str">
        <f ca="1">IFERROR(__xludf.DUMMYFUNCTION("""COMPUTED_VALUE"""),"640x640 a 640x335 + text + logo")</f>
        <v>640x640 a 640x335 + text + logo</v>
      </c>
      <c r="R284" s="3"/>
      <c r="S284" s="3" t="str">
        <f ca="1">IFERROR(__xludf.DUMMYFUNCTION("""COMPUTED_VALUE"""),"45")</f>
        <v>45</v>
      </c>
      <c r="T284" s="3"/>
      <c r="U284" s="3" t="str">
        <f ca="1">IFERROR(__xludf.DUMMYFUNCTION("""COMPUTED_VALUE"""),"nativní reklama")</f>
        <v>nativní reklama</v>
      </c>
      <c r="V284" s="3"/>
      <c r="W284" s="4" t="str">
        <f ca="1">IFERROR(__xludf.DUMMYFUNCTION("""COMPUTED_VALUE"""),"https://reklama.cncenter.cz/Online/nativni-rectangle-cross-device")</f>
        <v>https://reklama.cncenter.cz/Online/nativni-rectangle-cross-device</v>
      </c>
      <c r="X284" s="3"/>
      <c r="Y284" s="3"/>
      <c r="Z284" s="3" t="str">
        <f ca="1">IFERROR(__xludf.DUMMYFUNCTION("""COMPUTED_VALUE"""),"podklady@cncenter.cz")</f>
        <v>podklady@cncenter.cz</v>
      </c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 t="str">
        <f ca="1">IFERROR(__xludf.DUMMYFUNCTION("""COMPUTED_VALUE"""),"cross-device")</f>
        <v>cross-device</v>
      </c>
      <c r="AO284" s="3"/>
      <c r="AP284" s="3"/>
      <c r="AQ284" s="3"/>
      <c r="AR284" s="3"/>
      <c r="AS284" s="3"/>
      <c r="AT284" s="3"/>
      <c r="AU284" s="3" t="str">
        <f ca="1">IFERROR(__xludf.DUMMYFUNCTION("""COMPUTED_VALUE"""),"cílený nativní rectangle cross-device")</f>
        <v>cílený nativní rectangle cross-device</v>
      </c>
    </row>
    <row r="285" spans="1:47" x14ac:dyDescent="0.3">
      <c r="A285" s="3">
        <f ca="1"/>
        <v>2346826</v>
      </c>
      <c r="B285" s="3" t="str">
        <f ca="1"/>
        <v>CZECH NEWS CENTER a. s.</v>
      </c>
      <c r="C285" s="3" t="str">
        <f ca="1">IFERROR(__xludf.DUMMYFUNCTION("""COMPUTED_VALUE"""),"CNC floating")</f>
        <v>CNC floating</v>
      </c>
      <c r="D285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5" s="3" t="str">
        <f ca="1">IFERROR(__xludf.DUMMYFUNCTION("""COMPUTED_VALUE"""),"celý web")</f>
        <v>celý web</v>
      </c>
      <c r="F285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5" s="3" t="str">
        <f ca="1">IFERROR(__xludf.DUMMYFUNCTION("""COMPUTED_VALUE"""),"cílený outstream low season")</f>
        <v>cílený outstream low season</v>
      </c>
      <c r="H285" s="3">
        <f ca="1">IFERROR(__xludf.DUMMYFUNCTION("""COMPUTED_VALUE"""),7)</f>
        <v>7</v>
      </c>
      <c r="I285" s="5">
        <f ca="1">IFERROR(__xludf.DUMMYFUNCTION("""COMPUTED_VALUE"""),1000)</f>
        <v>1000</v>
      </c>
      <c r="J285" s="5">
        <f ca="1">IFERROR(__xludf.DUMMYFUNCTION("""COMPUTED_VALUE"""),228)</f>
        <v>228</v>
      </c>
      <c r="K285" s="3"/>
      <c r="L285" s="3" t="str">
        <f ca="1">IFERROR(__xludf.DUMMYFUNCTION("""COMPUTED_VALUE"""),"Cost per period")</f>
        <v>Cost per period</v>
      </c>
      <c r="M285" s="3"/>
      <c r="N285" s="3"/>
      <c r="O285" s="3" t="str">
        <f ca="1">IFERROR(__xludf.DUMMYFUNCTION("""COMPUTED_VALUE"""),"1280")</f>
        <v>1280</v>
      </c>
      <c r="P285" s="3" t="str">
        <f ca="1">IFERROR(__xludf.DUMMYFUNCTION("""COMPUTED_VALUE"""),"720")</f>
        <v>720</v>
      </c>
      <c r="Q285" s="3" t="str">
        <f ca="1">IFERROR(__xludf.DUMMYFUNCTION("""COMPUTED_VALUE"""),"16:9")</f>
        <v>16:9</v>
      </c>
      <c r="R285" s="3"/>
      <c r="S285" s="3" t="str">
        <f ca="1">IFERROR(__xludf.DUMMYFUNCTION("""COMPUTED_VALUE"""),"100")</f>
        <v>100</v>
      </c>
      <c r="T285" s="3"/>
      <c r="U285" s="3" t="str">
        <f ca="1">IFERROR(__xludf.DUMMYFUNCTION("""COMPUTED_VALUE"""),"videospot")</f>
        <v>videospot</v>
      </c>
      <c r="V285" s="3"/>
      <c r="W285" s="4" t="str">
        <f ca="1">IFERROR(__xludf.DUMMYFUNCTION("""COMPUTED_VALUE"""),"https://reklama.cncenter.cz/Online/Outstream")</f>
        <v>https://reklama.cncenter.cz/Online/Outstream</v>
      </c>
      <c r="X285" s="3"/>
      <c r="Y285" s="3"/>
      <c r="Z285" s="3" t="str">
        <f ca="1">IFERROR(__xludf.DUMMYFUNCTION("""COMPUTED_VALUE"""),"podklady@cncenter.cz")</f>
        <v>podklady@cncenter.cz</v>
      </c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 t="str">
        <f ca="1">IFERROR(__xludf.DUMMYFUNCTION("""COMPUTED_VALUE"""),"cross-device")</f>
        <v>cross-device</v>
      </c>
      <c r="AO285" s="3"/>
      <c r="AP285" s="3"/>
      <c r="AQ285" s="3"/>
      <c r="AR285" s="3"/>
      <c r="AS285" s="3"/>
      <c r="AT285" s="3"/>
      <c r="AU285" s="3" t="str">
        <f ca="1">IFERROR(__xludf.DUMMYFUNCTION("""COMPUTED_VALUE"""),"cílený outstream")</f>
        <v>cílený outstream</v>
      </c>
    </row>
    <row r="286" spans="1:47" x14ac:dyDescent="0.3">
      <c r="A286" s="3">
        <f ca="1"/>
        <v>2346826</v>
      </c>
      <c r="B286" s="3" t="str">
        <f ca="1"/>
        <v>CZECH NEWS CENTER a. s.</v>
      </c>
      <c r="C286" s="3" t="str">
        <f ca="1">IFERROR(__xludf.DUMMYFUNCTION("""COMPUTED_VALUE"""),"CNC floating")</f>
        <v>CNC floating</v>
      </c>
      <c r="D286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6" s="3" t="str">
        <f ca="1">IFERROR(__xludf.DUMMYFUNCTION("""COMPUTED_VALUE"""),"celý web")</f>
        <v>celý web</v>
      </c>
      <c r="F286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6" s="3" t="str">
        <f ca="1">IFERROR(__xludf.DUMMYFUNCTION("""COMPUTED_VALUE"""),"cílený Smarticle low season")</f>
        <v>cílený Smarticle low season</v>
      </c>
      <c r="H286" s="3">
        <f ca="1">IFERROR(__xludf.DUMMYFUNCTION("""COMPUTED_VALUE"""),7)</f>
        <v>7</v>
      </c>
      <c r="I286" s="5">
        <f ca="1">IFERROR(__xludf.DUMMYFUNCTION("""COMPUTED_VALUE"""),1000)</f>
        <v>1000</v>
      </c>
      <c r="J286" s="5">
        <f ca="1">IFERROR(__xludf.DUMMYFUNCTION("""COMPUTED_VALUE"""),204)</f>
        <v>204</v>
      </c>
      <c r="K286" s="3"/>
      <c r="L286" s="3" t="str">
        <f ca="1">IFERROR(__xludf.DUMMYFUNCTION("""COMPUTED_VALUE"""),"Cost per period")</f>
        <v>Cost per period</v>
      </c>
      <c r="M286" s="3"/>
      <c r="N286" s="3" t="str">
        <f ca="1">IFERROR(__xludf.DUMMYFUNCTION("""COMPUTED_VALUE"""),"A4")</f>
        <v>A4</v>
      </c>
      <c r="O286" s="3"/>
      <c r="P286" s="3"/>
      <c r="Q286" s="3" t="str">
        <f ca="1">IFERROR(__xludf.DUMMYFUNCTION("""COMPUTED_VALUE"""),"viz. tech.specifikace; HP + sekce")</f>
        <v>viz. tech.specifikace; HP + sekce</v>
      </c>
      <c r="R286" s="3" t="str">
        <f ca="1">IFERROR(__xludf.DUMMYFUNCTION("""COMPUTED_VALUE"""),"HP + sekce")</f>
        <v>HP + sekce</v>
      </c>
      <c r="S286" s="3" t="str">
        <f ca="1">IFERROR(__xludf.DUMMYFUNCTION("""COMPUTED_VALUE"""),"100")</f>
        <v>100</v>
      </c>
      <c r="T286" s="3"/>
      <c r="U286" s="3" t="str">
        <f ca="1">IFERROR(__xludf.DUMMYFUNCTION("""COMPUTED_VALUE"""),"pr článek")</f>
        <v>pr článek</v>
      </c>
      <c r="V286" s="3"/>
      <c r="W286" s="4" t="str">
        <f ca="1">IFERROR(__xludf.DUMMYFUNCTION("""COMPUTED_VALUE"""),"https://reklama.cncenter.cz/Online/Smarticle")</f>
        <v>https://reklama.cncenter.cz/Online/Smarticle</v>
      </c>
      <c r="X286" s="3"/>
      <c r="Y286" s="3"/>
      <c r="Z286" s="3" t="str">
        <f ca="1">IFERROR(__xludf.DUMMYFUNCTION("""COMPUTED_VALUE"""),"podklady@cncenter.cz")</f>
        <v>podklady@cncenter.cz</v>
      </c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 t="str">
        <f ca="1">IFERROR(__xludf.DUMMYFUNCTION("""COMPUTED_VALUE"""),"cross-device")</f>
        <v>cross-device</v>
      </c>
      <c r="AO286" s="3"/>
      <c r="AP286" s="3"/>
      <c r="AQ286" s="3"/>
      <c r="AR286" s="3"/>
      <c r="AS286" s="3"/>
      <c r="AT286" s="3"/>
      <c r="AU286" s="3" t="str">
        <f ca="1">IFERROR(__xludf.DUMMYFUNCTION("""COMPUTED_VALUE"""),"cílený Smarticle")</f>
        <v>cílený Smarticle</v>
      </c>
    </row>
    <row r="287" spans="1:47" x14ac:dyDescent="0.3">
      <c r="A287" s="3">
        <f ca="1"/>
        <v>2346826</v>
      </c>
      <c r="B287" s="3" t="str">
        <f ca="1"/>
        <v>CZECH NEWS CENTER a. s.</v>
      </c>
      <c r="C287" s="3" t="str">
        <f ca="1">IFERROR(__xludf.DUMMYFUNCTION("""COMPUTED_VALUE"""),"CNC floating")</f>
        <v>CNC floating</v>
      </c>
      <c r="D287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7" s="3" t="str">
        <f ca="1">IFERROR(__xludf.DUMMYFUNCTION("""COMPUTED_VALUE"""),"celý web")</f>
        <v>celý web</v>
      </c>
      <c r="F287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7" s="3" t="str">
        <f ca="1">IFERROR(__xludf.DUMMYFUNCTION("""COMPUTED_VALUE"""),"cílený videospot - max. 30 sec. / bumper low season")</f>
        <v>cílený videospot - max. 30 sec. / bumper low season</v>
      </c>
      <c r="H287" s="3">
        <f ca="1">IFERROR(__xludf.DUMMYFUNCTION("""COMPUTED_VALUE"""),7)</f>
        <v>7</v>
      </c>
      <c r="I287" s="5">
        <f ca="1">IFERROR(__xludf.DUMMYFUNCTION("""COMPUTED_VALUE"""),1000)</f>
        <v>1000</v>
      </c>
      <c r="J287" s="5">
        <f ca="1">IFERROR(__xludf.DUMMYFUNCTION("""COMPUTED_VALUE"""),684)</f>
        <v>684</v>
      </c>
      <c r="K287" s="3"/>
      <c r="L287" s="3" t="str">
        <f ca="1">IFERROR(__xludf.DUMMYFUNCTION("""COMPUTED_VALUE"""),"Cost per period")</f>
        <v>Cost per period</v>
      </c>
      <c r="M287" s="3"/>
      <c r="N287" s="3"/>
      <c r="O287" s="3" t="str">
        <f ca="1">IFERROR(__xludf.DUMMYFUNCTION("""COMPUTED_VALUE"""),"1280")</f>
        <v>1280</v>
      </c>
      <c r="P287" s="3" t="str">
        <f ca="1">IFERROR(__xludf.DUMMYFUNCTION("""COMPUTED_VALUE"""),"720")</f>
        <v>720</v>
      </c>
      <c r="Q287" s="3" t="str">
        <f ca="1">IFERROR(__xludf.DUMMYFUNCTION("""COMPUTED_VALUE"""),"16:9 / umístění po domluvě dle možností")</f>
        <v>16:9 / umístění po domluvě dle možností</v>
      </c>
      <c r="R287" s="3" t="str">
        <f ca="1">IFERROR(__xludf.DUMMYFUNCTION("""COMPUTED_VALUE"""),"přeskočení po 7 sekundách")</f>
        <v>přeskočení po 7 sekundách</v>
      </c>
      <c r="S287" s="3" t="str">
        <f ca="1">IFERROR(__xludf.DUMMYFUNCTION("""COMPUTED_VALUE"""),"100")</f>
        <v>100</v>
      </c>
      <c r="T287" s="3"/>
      <c r="U287" s="3" t="str">
        <f ca="1">IFERROR(__xludf.DUMMYFUNCTION("""COMPUTED_VALUE"""),"videospot")</f>
        <v>videospot</v>
      </c>
      <c r="V287" s="3"/>
      <c r="W287" s="4" t="str">
        <f ca="1">IFERROR(__xludf.DUMMYFUNCTION("""COMPUTED_VALUE"""),"https://reklama.cncenter.cz/Online/Bumper")</f>
        <v>https://reklama.cncenter.cz/Online/Bumper</v>
      </c>
      <c r="X287" s="3"/>
      <c r="Y287" s="3"/>
      <c r="Z287" s="3" t="str">
        <f ca="1">IFERROR(__xludf.DUMMYFUNCTION("""COMPUTED_VALUE"""),"podklady@cncenter.cz")</f>
        <v>podklady@cncenter.cz</v>
      </c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 t="str">
        <f ca="1">IFERROR(__xludf.DUMMYFUNCTION("""COMPUTED_VALUE"""),"cross-device")</f>
        <v>cross-device</v>
      </c>
      <c r="AO287" s="3"/>
      <c r="AP287" s="3"/>
      <c r="AQ287" s="3"/>
      <c r="AR287" s="3"/>
      <c r="AS287" s="3"/>
      <c r="AT287" s="3"/>
      <c r="AU287" s="3" t="str">
        <f ca="1">IFERROR(__xludf.DUMMYFUNCTION("""COMPUTED_VALUE"""),"cílený videospot - max. 30 sec. / bumper")</f>
        <v>cílený videospot - max. 30 sec. / bumper</v>
      </c>
    </row>
    <row r="288" spans="1:47" x14ac:dyDescent="0.3">
      <c r="A288" s="3">
        <f ca="1"/>
        <v>2346826</v>
      </c>
      <c r="B288" s="3" t="str">
        <f ca="1"/>
        <v>CZECH NEWS CENTER a. s.</v>
      </c>
      <c r="C288" s="3" t="str">
        <f ca="1">IFERROR(__xludf.DUMMYFUNCTION("""COMPUTED_VALUE"""),"CNC floating")</f>
        <v>CNC floating</v>
      </c>
      <c r="D288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8" s="3" t="str">
        <f ca="1">IFERROR(__xludf.DUMMYFUNCTION("""COMPUTED_VALUE"""),"celý web")</f>
        <v>celý web</v>
      </c>
      <c r="F288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8" s="3" t="str">
        <f ca="1">IFERROR(__xludf.DUMMYFUNCTION("""COMPUTED_VALUE"""),"double skyscraper low season")</f>
        <v>double skyscraper low season</v>
      </c>
      <c r="H288" s="3">
        <f ca="1">IFERROR(__xludf.DUMMYFUNCTION("""COMPUTED_VALUE"""),7)</f>
        <v>7</v>
      </c>
      <c r="I288" s="5">
        <f ca="1">IFERROR(__xludf.DUMMYFUNCTION("""COMPUTED_VALUE"""),1000)</f>
        <v>1000</v>
      </c>
      <c r="J288" s="5">
        <f ca="1">IFERROR(__xludf.DUMMYFUNCTION("""COMPUTED_VALUE"""),140)</f>
        <v>140</v>
      </c>
      <c r="K288" s="3"/>
      <c r="L288" s="3" t="str">
        <f ca="1">IFERROR(__xludf.DUMMYFUNCTION("""COMPUTED_VALUE"""),"Cost per period")</f>
        <v>Cost per period</v>
      </c>
      <c r="M288" s="3"/>
      <c r="N288" s="3"/>
      <c r="O288" s="3" t="str">
        <f ca="1">IFERROR(__xludf.DUMMYFUNCTION("""COMPUTED_VALUE"""),"300")</f>
        <v>300</v>
      </c>
      <c r="P288" s="3" t="str">
        <f ca="1">IFERROR(__xludf.DUMMYFUNCTION("""COMPUTED_VALUE"""),"600")</f>
        <v>600</v>
      </c>
      <c r="Q288" s="3" t="str">
        <f ca="1">IFERROR(__xludf.DUMMYFUNCTION("""COMPUTED_VALUE"""),"300x600")</f>
        <v>300x600</v>
      </c>
      <c r="R288" s="3"/>
      <c r="S288" s="3" t="str">
        <f ca="1">IFERROR(__xludf.DUMMYFUNCTION("""COMPUTED_VALUE"""),"100 (200 - HTML5)")</f>
        <v>100 (200 - HTML5)</v>
      </c>
      <c r="T288" s="3"/>
      <c r="U288" s="3" t="str">
        <f ca="1">IFERROR(__xludf.DUMMYFUNCTION("""COMPUTED_VALUE"""),"banner standard")</f>
        <v>banner standard</v>
      </c>
      <c r="V288" s="3"/>
      <c r="W288" s="4" t="str">
        <f ca="1">IFERROR(__xludf.DUMMYFUNCTION("""COMPUTED_VALUE"""),"https://reklama.cncenter.cz/Online/double-skyscraper")</f>
        <v>https://reklama.cncenter.cz/Online/double-skyscraper</v>
      </c>
      <c r="X288" s="3"/>
      <c r="Y288" s="3"/>
      <c r="Z288" s="3" t="str">
        <f ca="1">IFERROR(__xludf.DUMMYFUNCTION("""COMPUTED_VALUE"""),"podklady@cncenter.cz")</f>
        <v>podklady@cncenter.cz</v>
      </c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 t="str">
        <f ca="1">IFERROR(__xludf.DUMMYFUNCTION("""COMPUTED_VALUE"""),"desktop")</f>
        <v>desktop</v>
      </c>
      <c r="AO288" s="3"/>
      <c r="AP288" s="3"/>
      <c r="AQ288" s="3"/>
      <c r="AR288" s="3"/>
      <c r="AS288" s="3"/>
      <c r="AT288" s="3"/>
      <c r="AU288" s="3" t="str">
        <f ca="1">IFERROR(__xludf.DUMMYFUNCTION("""COMPUTED_VALUE"""),"double skyscraper")</f>
        <v>double skyscraper</v>
      </c>
    </row>
    <row r="289" spans="1:47" x14ac:dyDescent="0.3">
      <c r="A289" s="3">
        <f ca="1"/>
        <v>2346826</v>
      </c>
      <c r="B289" s="3" t="str">
        <f ca="1"/>
        <v>CZECH NEWS CENTER a. s.</v>
      </c>
      <c r="C289" s="3" t="str">
        <f ca="1">IFERROR(__xludf.DUMMYFUNCTION("""COMPUTED_VALUE"""),"CNC floating")</f>
        <v>CNC floating</v>
      </c>
      <c r="D289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9" s="3" t="str">
        <f ca="1">IFERROR(__xludf.DUMMYFUNCTION("""COMPUTED_VALUE"""),"celý web")</f>
        <v>celý web</v>
      </c>
      <c r="F289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9" s="3" t="str">
        <f ca="1">IFERROR(__xludf.DUMMYFUNCTION("""COMPUTED_VALUE"""),"korporátní video low season")</f>
        <v>korporátní video low season</v>
      </c>
      <c r="H289" s="3">
        <f ca="1">IFERROR(__xludf.DUMMYFUNCTION("""COMPUTED_VALUE"""),1)</f>
        <v>1</v>
      </c>
      <c r="I289" s="5">
        <f ca="1">IFERROR(__xludf.DUMMYFUNCTION("""COMPUTED_VALUE"""),1)</f>
        <v>1</v>
      </c>
      <c r="J289" s="5">
        <f ca="1">IFERROR(__xludf.DUMMYFUNCTION("""COMPUTED_VALUE"""),60000)</f>
        <v>60000</v>
      </c>
      <c r="K289" s="3"/>
      <c r="L289" s="3" t="str">
        <f ca="1">IFERROR(__xludf.DUMMYFUNCTION("""COMPUTED_VALUE"""),"Cost per instance")</f>
        <v>Cost per instance</v>
      </c>
      <c r="M289" s="3"/>
      <c r="N289" s="3"/>
      <c r="O289" s="3"/>
      <c r="P289" s="3"/>
      <c r="Q289" s="3"/>
      <c r="R289" s="3"/>
      <c r="S289" s="3" t="str">
        <f ca="1">IFERROR(__xludf.DUMMYFUNCTION("""COMPUTED_VALUE"""),"100")</f>
        <v>100</v>
      </c>
      <c r="T289" s="3"/>
      <c r="U289" s="3" t="str">
        <f ca="1">IFERROR(__xludf.DUMMYFUNCTION("""COMPUTED_VALUE"""),"pr video")</f>
        <v>pr video</v>
      </c>
      <c r="V289" s="3"/>
      <c r="W289" s="3"/>
      <c r="X289" s="3"/>
      <c r="Y289" s="3"/>
      <c r="Z289" s="3" t="str">
        <f ca="1">IFERROR(__xludf.DUMMYFUNCTION("""COMPUTED_VALUE"""),"podklady@cncenter.cz")</f>
        <v>podklady@cncenter.cz</v>
      </c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 t="str">
        <f ca="1">IFERROR(__xludf.DUMMYFUNCTION("""COMPUTED_VALUE"""),"cross-device")</f>
        <v>cross-device</v>
      </c>
      <c r="AO289" s="3"/>
      <c r="AP289" s="3"/>
      <c r="AQ289" s="3"/>
      <c r="AR289" s="3"/>
      <c r="AS289" s="3"/>
      <c r="AT289" s="3"/>
      <c r="AU289" s="3" t="str">
        <f ca="1">IFERROR(__xludf.DUMMYFUNCTION("""COMPUTED_VALUE"""),"korporátní video")</f>
        <v>korporátní video</v>
      </c>
    </row>
    <row r="290" spans="1:47" x14ac:dyDescent="0.3">
      <c r="A290" s="3">
        <f ca="1"/>
        <v>2346826</v>
      </c>
      <c r="B290" s="3" t="str">
        <f ca="1"/>
        <v>CZECH NEWS CENTER a. s.</v>
      </c>
      <c r="C290" s="3" t="str">
        <f ca="1">IFERROR(__xludf.DUMMYFUNCTION("""COMPUTED_VALUE"""),"CNC floating")</f>
        <v>CNC floating</v>
      </c>
      <c r="D290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0" s="3" t="str">
        <f ca="1">IFERROR(__xludf.DUMMYFUNCTION("""COMPUTED_VALUE"""),"celý web")</f>
        <v>celý web</v>
      </c>
      <c r="F290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0" s="3" t="str">
        <f ca="1">IFERROR(__xludf.DUMMYFUNCTION("""COMPUTED_VALUE"""),"mini videospot - max. 30 sec. low season")</f>
        <v>mini videospot - max. 30 sec. low season</v>
      </c>
      <c r="H290" s="3">
        <f ca="1">IFERROR(__xludf.DUMMYFUNCTION("""COMPUTED_VALUE"""),7)</f>
        <v>7</v>
      </c>
      <c r="I290" s="5">
        <f ca="1">IFERROR(__xludf.DUMMYFUNCTION("""COMPUTED_VALUE"""),1000)</f>
        <v>1000</v>
      </c>
      <c r="J290" s="5">
        <f ca="1">IFERROR(__xludf.DUMMYFUNCTION("""COMPUTED_VALUE"""),130)</f>
        <v>130</v>
      </c>
      <c r="K290" s="3"/>
      <c r="L290" s="3" t="str">
        <f ca="1">IFERROR(__xludf.DUMMYFUNCTION("""COMPUTED_VALUE"""),"Cost per period")</f>
        <v>Cost per period</v>
      </c>
      <c r="M290" s="3"/>
      <c r="N290" s="3"/>
      <c r="O290" s="3"/>
      <c r="P290" s="3"/>
      <c r="Q290" s="3" t="str">
        <f ca="1">IFERROR(__xludf.DUMMYFUNCTION("""COMPUTED_VALUE"""),"16:9 / umístění po domluvě dle možností")</f>
        <v>16:9 / umístění po domluvě dle možností</v>
      </c>
      <c r="R290" s="3" t="str">
        <f ca="1">IFERROR(__xludf.DUMMYFUNCTION("""COMPUTED_VALUE"""),"přeskočení po 7 sekundách")</f>
        <v>přeskočení po 7 sekundách</v>
      </c>
      <c r="S290" s="3" t="str">
        <f ca="1">IFERROR(__xludf.DUMMYFUNCTION("""COMPUTED_VALUE"""),"100")</f>
        <v>100</v>
      </c>
      <c r="T290" s="3"/>
      <c r="U290" s="3" t="str">
        <f ca="1">IFERROR(__xludf.DUMMYFUNCTION("""COMPUTED_VALUE"""),"videospot")</f>
        <v>videospot</v>
      </c>
      <c r="V290" s="3"/>
      <c r="W290" s="4" t="str">
        <f ca="1">IFERROR(__xludf.DUMMYFUNCTION("""COMPUTED_VALUE"""),"https://reklama.cncenter.cz/Online/Videospot")</f>
        <v>https://reklama.cncenter.cz/Online/Videospot</v>
      </c>
      <c r="X290" s="3"/>
      <c r="Y290" s="3"/>
      <c r="Z290" s="3" t="str">
        <f ca="1">IFERROR(__xludf.DUMMYFUNCTION("""COMPUTED_VALUE"""),"podklady@cncenter.cz")</f>
        <v>podklady@cncenter.cz</v>
      </c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 t="str">
        <f ca="1">IFERROR(__xludf.DUMMYFUNCTION("""COMPUTED_VALUE"""),"desktop")</f>
        <v>desktop</v>
      </c>
      <c r="AO290" s="3"/>
      <c r="AP290" s="3"/>
      <c r="AQ290" s="3"/>
      <c r="AR290" s="3"/>
      <c r="AS290" s="3"/>
      <c r="AT290" s="3"/>
      <c r="AU290" s="3" t="str">
        <f ca="1">IFERROR(__xludf.DUMMYFUNCTION("""COMPUTED_VALUE"""),"mini videospot - max. 30 sec.")</f>
        <v>mini videospot - max. 30 sec.</v>
      </c>
    </row>
    <row r="291" spans="1:47" x14ac:dyDescent="0.3">
      <c r="A291" s="3">
        <f ca="1"/>
        <v>2346826</v>
      </c>
      <c r="B291" s="3" t="str">
        <f ca="1"/>
        <v>CZECH NEWS CENTER a. s.</v>
      </c>
      <c r="C291" s="3" t="str">
        <f ca="1">IFERROR(__xludf.DUMMYFUNCTION("""COMPUTED_VALUE"""),"CNC floating")</f>
        <v>CNC floating</v>
      </c>
      <c r="D291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1" s="3" t="str">
        <f ca="1">IFERROR(__xludf.DUMMYFUNCTION("""COMPUTED_VALUE"""),"celý web")</f>
        <v>celý web</v>
      </c>
      <c r="F291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1" s="3" t="str">
        <f ca="1">IFERROR(__xludf.DUMMYFUNCTION("""COMPUTED_VALUE"""),"mobilní interscroller low season")</f>
        <v>mobilní interscroller low season</v>
      </c>
      <c r="H291" s="3">
        <f ca="1">IFERROR(__xludf.DUMMYFUNCTION("""COMPUTED_VALUE"""),7)</f>
        <v>7</v>
      </c>
      <c r="I291" s="5">
        <f ca="1">IFERROR(__xludf.DUMMYFUNCTION("""COMPUTED_VALUE"""),1000)</f>
        <v>1000</v>
      </c>
      <c r="J291" s="5">
        <f ca="1">IFERROR(__xludf.DUMMYFUNCTION("""COMPUTED_VALUE"""),180)</f>
        <v>180</v>
      </c>
      <c r="K291" s="3"/>
      <c r="L291" s="3" t="str">
        <f ca="1">IFERROR(__xludf.DUMMYFUNCTION("""COMPUTED_VALUE"""),"Cost per period")</f>
        <v>Cost per period</v>
      </c>
      <c r="M291" s="3"/>
      <c r="N291" s="3"/>
      <c r="O291" s="3" t="str">
        <f ca="1">IFERROR(__xludf.DUMMYFUNCTION("""COMPUTED_VALUE"""),"600")</f>
        <v>600</v>
      </c>
      <c r="P291" s="3" t="str">
        <f ca="1">IFERROR(__xludf.DUMMYFUNCTION("""COMPUTED_VALUE"""),"1080")</f>
        <v>1080</v>
      </c>
      <c r="Q291" s="3" t="str">
        <f ca="1">IFERROR(__xludf.DUMMYFUNCTION("""COMPUTED_VALUE"""),"600x1080")</f>
        <v>600x1080</v>
      </c>
      <c r="R291" s="3"/>
      <c r="S291" s="3" t="str">
        <f ca="1">IFERROR(__xludf.DUMMYFUNCTION("""COMPUTED_VALUE"""),"200")</f>
        <v>200</v>
      </c>
      <c r="T291" s="3"/>
      <c r="U291" s="3" t="str">
        <f ca="1">IFERROR(__xludf.DUMMYFUNCTION("""COMPUTED_VALUE"""),"banner standard")</f>
        <v>banner standard</v>
      </c>
      <c r="V291" s="3"/>
      <c r="W291" s="4" t="str">
        <f ca="1">IFERROR(__xludf.DUMMYFUNCTION("""COMPUTED_VALUE"""),"https://reklama.cncenter.cz/Online/mobilni-interscroller")</f>
        <v>https://reklama.cncenter.cz/Online/mobilni-interscroller</v>
      </c>
      <c r="X291" s="3"/>
      <c r="Y291" s="3"/>
      <c r="Z291" s="3" t="str">
        <f ca="1">IFERROR(__xludf.DUMMYFUNCTION("""COMPUTED_VALUE"""),"podklady@cncenter.cz")</f>
        <v>podklady@cncenter.cz</v>
      </c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 t="str">
        <f ca="1">IFERROR(__xludf.DUMMYFUNCTION("""COMPUTED_VALUE"""),"mobile")</f>
        <v>mobile</v>
      </c>
      <c r="AO291" s="3"/>
      <c r="AP291" s="3"/>
      <c r="AQ291" s="3"/>
      <c r="AR291" s="3"/>
      <c r="AS291" s="3"/>
      <c r="AT291" s="3"/>
      <c r="AU291" s="3" t="str">
        <f ca="1">IFERROR(__xludf.DUMMYFUNCTION("""COMPUTED_VALUE"""),"mobilní interscroller")</f>
        <v>mobilní interscroller</v>
      </c>
    </row>
    <row r="292" spans="1:47" x14ac:dyDescent="0.3">
      <c r="A292" s="3">
        <f ca="1"/>
        <v>2346826</v>
      </c>
      <c r="B292" s="3" t="str">
        <f ca="1"/>
        <v>CZECH NEWS CENTER a. s.</v>
      </c>
      <c r="C292" s="3" t="str">
        <f ca="1">IFERROR(__xludf.DUMMYFUNCTION("""COMPUTED_VALUE"""),"CNC floating")</f>
        <v>CNC floating</v>
      </c>
      <c r="D292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2" s="3" t="str">
        <f ca="1">IFERROR(__xludf.DUMMYFUNCTION("""COMPUTED_VALUE"""),"celý web")</f>
        <v>celý web</v>
      </c>
      <c r="F292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2" s="3" t="str">
        <f ca="1">IFERROR(__xludf.DUMMYFUNCTION("""COMPUTED_VALUE"""),"mobilní slide-up low season")</f>
        <v>mobilní slide-up low season</v>
      </c>
      <c r="H292" s="3">
        <f ca="1">IFERROR(__xludf.DUMMYFUNCTION("""COMPUTED_VALUE"""),7)</f>
        <v>7</v>
      </c>
      <c r="I292" s="5">
        <f ca="1">IFERROR(__xludf.DUMMYFUNCTION("""COMPUTED_VALUE"""),1000)</f>
        <v>1000</v>
      </c>
      <c r="J292" s="5">
        <f ca="1">IFERROR(__xludf.DUMMYFUNCTION("""COMPUTED_VALUE"""),380)</f>
        <v>380</v>
      </c>
      <c r="K292" s="3"/>
      <c r="L292" s="3" t="str">
        <f ca="1">IFERROR(__xludf.DUMMYFUNCTION("""COMPUTED_VALUE"""),"Cost per period")</f>
        <v>Cost per period</v>
      </c>
      <c r="M292" s="3"/>
      <c r="N292" s="3"/>
      <c r="O292" s="3" t="str">
        <f ca="1">IFERROR(__xludf.DUMMYFUNCTION("""COMPUTED_VALUE"""),"300")</f>
        <v>300</v>
      </c>
      <c r="P292" s="3" t="str">
        <f ca="1">IFERROR(__xludf.DUMMYFUNCTION("""COMPUTED_VALUE"""),"120")</f>
        <v>120</v>
      </c>
      <c r="Q292" s="3" t="str">
        <f ca="1">IFERROR(__xludf.DUMMYFUNCTION("""COMPUTED_VALUE"""),"300x120")</f>
        <v>300x120</v>
      </c>
      <c r="R292" s="3"/>
      <c r="S292" s="3" t="str">
        <f ca="1">IFERROR(__xludf.DUMMYFUNCTION("""COMPUTED_VALUE"""),"100")</f>
        <v>100</v>
      </c>
      <c r="T292" s="3"/>
      <c r="U292" s="3" t="str">
        <f ca="1">IFERROR(__xludf.DUMMYFUNCTION("""COMPUTED_VALUE"""),"banner standard")</f>
        <v>banner standard</v>
      </c>
      <c r="V292" s="3"/>
      <c r="W292" s="4" t="str">
        <f ca="1">IFERROR(__xludf.DUMMYFUNCTION("""COMPUTED_VALUE"""),"https://reklama.cncenter.cz/Online/mobilni-slide-up")</f>
        <v>https://reklama.cncenter.cz/Online/mobilni-slide-up</v>
      </c>
      <c r="X292" s="3"/>
      <c r="Y292" s="3"/>
      <c r="Z292" s="3" t="str">
        <f ca="1">IFERROR(__xludf.DUMMYFUNCTION("""COMPUTED_VALUE"""),"podklady@cncenter.cz")</f>
        <v>podklady@cncenter.cz</v>
      </c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 t="str">
        <f ca="1">IFERROR(__xludf.DUMMYFUNCTION("""COMPUTED_VALUE"""),"mobile")</f>
        <v>mobile</v>
      </c>
      <c r="AO292" s="3"/>
      <c r="AP292" s="3"/>
      <c r="AQ292" s="3"/>
      <c r="AR292" s="3"/>
      <c r="AS292" s="3"/>
      <c r="AT292" s="3"/>
      <c r="AU292" s="3" t="str">
        <f ca="1">IFERROR(__xludf.DUMMYFUNCTION("""COMPUTED_VALUE"""),"mobilní slide-up")</f>
        <v>mobilní slide-up</v>
      </c>
    </row>
    <row r="293" spans="1:47" x14ac:dyDescent="0.3">
      <c r="A293" s="3">
        <f ca="1"/>
        <v>2346826</v>
      </c>
      <c r="B293" s="3" t="str">
        <f ca="1"/>
        <v>CZECH NEWS CENTER a. s.</v>
      </c>
      <c r="C293" s="3" t="str">
        <f ca="1">IFERROR(__xludf.DUMMYFUNCTION("""COMPUTED_VALUE"""),"CNC floating")</f>
        <v>CNC floating</v>
      </c>
      <c r="D29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3" s="3" t="str">
        <f ca="1">IFERROR(__xludf.DUMMYFUNCTION("""COMPUTED_VALUE"""),"celý web")</f>
        <v>celý web</v>
      </c>
      <c r="F29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3" s="3" t="str">
        <f ca="1">IFERROR(__xludf.DUMMYFUNCTION("""COMPUTED_VALUE"""),"mobilní viněta low season")</f>
        <v>mobilní viněta low season</v>
      </c>
      <c r="H293" s="3">
        <f ca="1">IFERROR(__xludf.DUMMYFUNCTION("""COMPUTED_VALUE"""),7)</f>
        <v>7</v>
      </c>
      <c r="I293" s="5">
        <f ca="1">IFERROR(__xludf.DUMMYFUNCTION("""COMPUTED_VALUE"""),1000)</f>
        <v>1000</v>
      </c>
      <c r="J293" s="5">
        <f ca="1">IFERROR(__xludf.DUMMYFUNCTION("""COMPUTED_VALUE"""),710)</f>
        <v>710</v>
      </c>
      <c r="K293" s="3"/>
      <c r="L293" s="3" t="str">
        <f ca="1">IFERROR(__xludf.DUMMYFUNCTION("""COMPUTED_VALUE"""),"Cost per period")</f>
        <v>Cost per period</v>
      </c>
      <c r="M293" s="3"/>
      <c r="N293" s="3"/>
      <c r="O293" s="3" t="str">
        <f ca="1">IFERROR(__xludf.DUMMYFUNCTION("""COMPUTED_VALUE"""),"600")</f>
        <v>600</v>
      </c>
      <c r="P293" s="3" t="str">
        <f ca="1">IFERROR(__xludf.DUMMYFUNCTION("""COMPUTED_VALUE"""),"800")</f>
        <v>800</v>
      </c>
      <c r="Q293" s="3" t="str">
        <f ca="1">IFERROR(__xludf.DUMMYFUNCTION("""COMPUTED_VALUE"""),"300x250 nebo 600x800")</f>
        <v>300x250 nebo 600x800</v>
      </c>
      <c r="R293" s="3"/>
      <c r="S293" s="3" t="str">
        <f ca="1">IFERROR(__xludf.DUMMYFUNCTION("""COMPUTED_VALUE"""),"100")</f>
        <v>100</v>
      </c>
      <c r="T293" s="3"/>
      <c r="U293" s="3" t="str">
        <f ca="1">IFERROR(__xludf.DUMMYFUNCTION("""COMPUTED_VALUE"""),"banner standard")</f>
        <v>banner standard</v>
      </c>
      <c r="V293" s="3"/>
      <c r="W293" s="4" t="str">
        <f ca="1">IFERROR(__xludf.DUMMYFUNCTION("""COMPUTED_VALUE"""),"https://reklama.cncenter.cz/Online/mobilni-vineta")</f>
        <v>https://reklama.cncenter.cz/Online/mobilni-vineta</v>
      </c>
      <c r="X293" s="3"/>
      <c r="Y293" s="3"/>
      <c r="Z293" s="3" t="str">
        <f ca="1">IFERROR(__xludf.DUMMYFUNCTION("""COMPUTED_VALUE"""),"podklady@cncenter.cz")</f>
        <v>podklady@cncenter.cz</v>
      </c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 t="str">
        <f ca="1">IFERROR(__xludf.DUMMYFUNCTION("""COMPUTED_VALUE"""),"mobile")</f>
        <v>mobile</v>
      </c>
      <c r="AO293" s="3"/>
      <c r="AP293" s="3"/>
      <c r="AQ293" s="3"/>
      <c r="AR293" s="3"/>
      <c r="AS293" s="3"/>
      <c r="AT293" s="3"/>
      <c r="AU293" s="3" t="str">
        <f ca="1">IFERROR(__xludf.DUMMYFUNCTION("""COMPUTED_VALUE"""),"mobilní viněta")</f>
        <v>mobilní viněta</v>
      </c>
    </row>
    <row r="294" spans="1:47" x14ac:dyDescent="0.3">
      <c r="A294" s="3">
        <f ca="1"/>
        <v>2346826</v>
      </c>
      <c r="B294" s="3" t="str">
        <f ca="1"/>
        <v>CZECH NEWS CENTER a. s.</v>
      </c>
      <c r="C294" s="3" t="str">
        <f ca="1">IFERROR(__xludf.DUMMYFUNCTION("""COMPUTED_VALUE"""),"CNC floating")</f>
        <v>CNC floating</v>
      </c>
      <c r="D294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4" s="3" t="str">
        <f ca="1">IFERROR(__xludf.DUMMYFUNCTION("""COMPUTED_VALUE"""),"celý web")</f>
        <v>celý web</v>
      </c>
      <c r="F294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4" s="3" t="str">
        <f ca="1">IFERROR(__xludf.DUMMYFUNCTION("""COMPUTED_VALUE"""),"nativní rectangle cross-device low season")</f>
        <v>nativní rectangle cross-device low season</v>
      </c>
      <c r="H294" s="3">
        <f ca="1">IFERROR(__xludf.DUMMYFUNCTION("""COMPUTED_VALUE"""),7)</f>
        <v>7</v>
      </c>
      <c r="I294" s="5">
        <f ca="1">IFERROR(__xludf.DUMMYFUNCTION("""COMPUTED_VALUE"""),1000)</f>
        <v>1000</v>
      </c>
      <c r="J294" s="5">
        <f ca="1">IFERROR(__xludf.DUMMYFUNCTION("""COMPUTED_VALUE"""),160)</f>
        <v>160</v>
      </c>
      <c r="K294" s="3"/>
      <c r="L294" s="3" t="str">
        <f ca="1">IFERROR(__xludf.DUMMYFUNCTION("""COMPUTED_VALUE"""),"Cost per period")</f>
        <v>Cost per period</v>
      </c>
      <c r="M294" s="3"/>
      <c r="N294" s="3"/>
      <c r="O294" s="3" t="str">
        <f ca="1">IFERROR(__xludf.DUMMYFUNCTION("""COMPUTED_VALUE"""),"640")</f>
        <v>640</v>
      </c>
      <c r="P294" s="3" t="str">
        <f ca="1">IFERROR(__xludf.DUMMYFUNCTION("""COMPUTED_VALUE"""),"335, 640")</f>
        <v>335, 640</v>
      </c>
      <c r="Q294" s="3" t="str">
        <f ca="1">IFERROR(__xludf.DUMMYFUNCTION("""COMPUTED_VALUE"""),"640x640 a 640x335 + text + logo")</f>
        <v>640x640 a 640x335 + text + logo</v>
      </c>
      <c r="R294" s="3"/>
      <c r="S294" s="3" t="str">
        <f ca="1">IFERROR(__xludf.DUMMYFUNCTION("""COMPUTED_VALUE"""),"45")</f>
        <v>45</v>
      </c>
      <c r="T294" s="3"/>
      <c r="U294" s="3" t="str">
        <f ca="1">IFERROR(__xludf.DUMMYFUNCTION("""COMPUTED_VALUE"""),"nativní reklama")</f>
        <v>nativní reklama</v>
      </c>
      <c r="V294" s="3"/>
      <c r="W294" s="4" t="str">
        <f ca="1">IFERROR(__xludf.DUMMYFUNCTION("""COMPUTED_VALUE"""),"https://reklama.cncenter.cz/Online/nativni-rectangle-cross-device")</f>
        <v>https://reklama.cncenter.cz/Online/nativni-rectangle-cross-device</v>
      </c>
      <c r="X294" s="3"/>
      <c r="Y294" s="3"/>
      <c r="Z294" s="3" t="str">
        <f ca="1">IFERROR(__xludf.DUMMYFUNCTION("""COMPUTED_VALUE"""),"podklady@cncenter.cz")</f>
        <v>podklady@cncenter.cz</v>
      </c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 t="str">
        <f ca="1">IFERROR(__xludf.DUMMYFUNCTION("""COMPUTED_VALUE"""),"cross-device")</f>
        <v>cross-device</v>
      </c>
      <c r="AO294" s="3"/>
      <c r="AP294" s="3"/>
      <c r="AQ294" s="3"/>
      <c r="AR294" s="3"/>
      <c r="AS294" s="3"/>
      <c r="AT294" s="3"/>
      <c r="AU294" s="3" t="str">
        <f ca="1">IFERROR(__xludf.DUMMYFUNCTION("""COMPUTED_VALUE"""),"nativní rectangle cross-device")</f>
        <v>nativní rectangle cross-device</v>
      </c>
    </row>
    <row r="295" spans="1:47" x14ac:dyDescent="0.3">
      <c r="A295" s="3">
        <f ca="1"/>
        <v>2346826</v>
      </c>
      <c r="B295" s="3" t="str">
        <f ca="1"/>
        <v>CZECH NEWS CENTER a. s.</v>
      </c>
      <c r="C295" s="3" t="str">
        <f ca="1">IFERROR(__xludf.DUMMYFUNCTION("""COMPUTED_VALUE"""),"CNC floating")</f>
        <v>CNC floating</v>
      </c>
      <c r="D295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5" s="3" t="str">
        <f ca="1">IFERROR(__xludf.DUMMYFUNCTION("""COMPUTED_VALUE"""),"celý web")</f>
        <v>celý web</v>
      </c>
      <c r="F295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5" s="3" t="str">
        <f ca="1">IFERROR(__xludf.DUMMYFUNCTION("""COMPUTED_VALUE"""),"outstream low season")</f>
        <v>outstream low season</v>
      </c>
      <c r="H295" s="3">
        <f ca="1">IFERROR(__xludf.DUMMYFUNCTION("""COMPUTED_VALUE"""),7)</f>
        <v>7</v>
      </c>
      <c r="I295" s="5">
        <f ca="1">IFERROR(__xludf.DUMMYFUNCTION("""COMPUTED_VALUE"""),1000)</f>
        <v>1000</v>
      </c>
      <c r="J295" s="5">
        <f ca="1">IFERROR(__xludf.DUMMYFUNCTION("""COMPUTED_VALUE"""),190)</f>
        <v>190</v>
      </c>
      <c r="K295" s="3"/>
      <c r="L295" s="3" t="str">
        <f ca="1">IFERROR(__xludf.DUMMYFUNCTION("""COMPUTED_VALUE"""),"Cost per period")</f>
        <v>Cost per period</v>
      </c>
      <c r="M295" s="3"/>
      <c r="N295" s="3"/>
      <c r="O295" s="3" t="str">
        <f ca="1">IFERROR(__xludf.DUMMYFUNCTION("""COMPUTED_VALUE"""),"1280")</f>
        <v>1280</v>
      </c>
      <c r="P295" s="3" t="str">
        <f ca="1">IFERROR(__xludf.DUMMYFUNCTION("""COMPUTED_VALUE"""),"720")</f>
        <v>720</v>
      </c>
      <c r="Q295" s="3" t="str">
        <f ca="1">IFERROR(__xludf.DUMMYFUNCTION("""COMPUTED_VALUE"""),"16:9")</f>
        <v>16:9</v>
      </c>
      <c r="R295" s="3"/>
      <c r="S295" s="3" t="str">
        <f ca="1">IFERROR(__xludf.DUMMYFUNCTION("""COMPUTED_VALUE"""),"100")</f>
        <v>100</v>
      </c>
      <c r="T295" s="3"/>
      <c r="U295" s="3" t="str">
        <f ca="1">IFERROR(__xludf.DUMMYFUNCTION("""COMPUTED_VALUE"""),"videospot")</f>
        <v>videospot</v>
      </c>
      <c r="V295" s="3"/>
      <c r="W295" s="4" t="str">
        <f ca="1">IFERROR(__xludf.DUMMYFUNCTION("""COMPUTED_VALUE"""),"https://reklama.cncenter.cz/Online/Outstream")</f>
        <v>https://reklama.cncenter.cz/Online/Outstream</v>
      </c>
      <c r="X295" s="3"/>
      <c r="Y295" s="3"/>
      <c r="Z295" s="3" t="str">
        <f ca="1">IFERROR(__xludf.DUMMYFUNCTION("""COMPUTED_VALUE"""),"podklady@cncenter.cz")</f>
        <v>podklady@cncenter.cz</v>
      </c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 t="str">
        <f ca="1">IFERROR(__xludf.DUMMYFUNCTION("""COMPUTED_VALUE"""),"cross-device")</f>
        <v>cross-device</v>
      </c>
      <c r="AO295" s="3"/>
      <c r="AP295" s="3"/>
      <c r="AQ295" s="3"/>
      <c r="AR295" s="3"/>
      <c r="AS295" s="3"/>
      <c r="AT295" s="3"/>
      <c r="AU295" s="3" t="str">
        <f ca="1">IFERROR(__xludf.DUMMYFUNCTION("""COMPUTED_VALUE"""),"outstream")</f>
        <v>outstream</v>
      </c>
    </row>
    <row r="296" spans="1:47" x14ac:dyDescent="0.3">
      <c r="A296" s="3">
        <f ca="1"/>
        <v>2346826</v>
      </c>
      <c r="B296" s="3" t="str">
        <f ca="1"/>
        <v>CZECH NEWS CENTER a. s.</v>
      </c>
      <c r="C296" s="3" t="str">
        <f ca="1">IFERROR(__xludf.DUMMYFUNCTION("""COMPUTED_VALUE"""),"CNC floating")</f>
        <v>CNC floating</v>
      </c>
      <c r="D296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6" s="3" t="str">
        <f ca="1">IFERROR(__xludf.DUMMYFUNCTION("""COMPUTED_VALUE"""),"celý web")</f>
        <v>celý web</v>
      </c>
      <c r="F296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6" s="3" t="str">
        <f ca="1">IFERROR(__xludf.DUMMYFUNCTION("""COMPUTED_VALUE"""),"PR chat low season")</f>
        <v>PR chat low season</v>
      </c>
      <c r="H296" s="3">
        <f ca="1">IFERROR(__xludf.DUMMYFUNCTION("""COMPUTED_VALUE"""),1)</f>
        <v>1</v>
      </c>
      <c r="I296" s="5">
        <f ca="1">IFERROR(__xludf.DUMMYFUNCTION("""COMPUTED_VALUE"""),1)</f>
        <v>1</v>
      </c>
      <c r="J296" s="5">
        <f ca="1">IFERROR(__xludf.DUMMYFUNCTION("""COMPUTED_VALUE"""),50000)</f>
        <v>50000</v>
      </c>
      <c r="K296" s="3"/>
      <c r="L296" s="3" t="str">
        <f ca="1">IFERROR(__xludf.DUMMYFUNCTION("""COMPUTED_VALUE"""),"Cost per instance")</f>
        <v>Cost per instance</v>
      </c>
      <c r="M296" s="3"/>
      <c r="N296" s="3"/>
      <c r="O296" s="3"/>
      <c r="P296" s="3"/>
      <c r="Q296" s="3"/>
      <c r="R296" s="3"/>
      <c r="S296" s="3" t="str">
        <f ca="1">IFERROR(__xludf.DUMMYFUNCTION("""COMPUTED_VALUE"""),"100")</f>
        <v>100</v>
      </c>
      <c r="T296" s="3"/>
      <c r="U296" s="3" t="str">
        <f ca="1">IFERROR(__xludf.DUMMYFUNCTION("""COMPUTED_VALUE"""),"pr článek")</f>
        <v>pr článek</v>
      </c>
      <c r="V296" s="3"/>
      <c r="W296" s="3"/>
      <c r="X296" s="3"/>
      <c r="Y296" s="3"/>
      <c r="Z296" s="3" t="str">
        <f ca="1">IFERROR(__xludf.DUMMYFUNCTION("""COMPUTED_VALUE"""),"podklady@cncenter.cz")</f>
        <v>podklady@cncenter.cz</v>
      </c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 t="str">
        <f ca="1">IFERROR(__xludf.DUMMYFUNCTION("""COMPUTED_VALUE"""),"cross-device")</f>
        <v>cross-device</v>
      </c>
      <c r="AO296" s="3"/>
      <c r="AP296" s="3"/>
      <c r="AQ296" s="3"/>
      <c r="AR296" s="3"/>
      <c r="AS296" s="3"/>
      <c r="AT296" s="3"/>
      <c r="AU296" s="3" t="str">
        <f ca="1">IFERROR(__xludf.DUMMYFUNCTION("""COMPUTED_VALUE"""),"PR chat")</f>
        <v>PR chat</v>
      </c>
    </row>
    <row r="297" spans="1:47" x14ac:dyDescent="0.3">
      <c r="A297" s="3">
        <f ca="1"/>
        <v>2346826</v>
      </c>
      <c r="B297" s="3" t="str">
        <f ca="1"/>
        <v>CZECH NEWS CENTER a. s.</v>
      </c>
      <c r="C297" s="3" t="str">
        <f ca="1">IFERROR(__xludf.DUMMYFUNCTION("""COMPUTED_VALUE"""),"CNC floating")</f>
        <v>CNC floating</v>
      </c>
      <c r="D297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7" s="3" t="str">
        <f ca="1">IFERROR(__xludf.DUMMYFUNCTION("""COMPUTED_VALUE"""),"celý web")</f>
        <v>celý web</v>
      </c>
      <c r="F297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7" s="3" t="str">
        <f ca="1">IFERROR(__xludf.DUMMYFUNCTION("""COMPUTED_VALUE"""),"Smarticle low season")</f>
        <v>Smarticle low season</v>
      </c>
      <c r="H297" s="3">
        <f ca="1">IFERROR(__xludf.DUMMYFUNCTION("""COMPUTED_VALUE"""),7)</f>
        <v>7</v>
      </c>
      <c r="I297" s="5">
        <f ca="1">IFERROR(__xludf.DUMMYFUNCTION("""COMPUTED_VALUE"""),1000)</f>
        <v>1000</v>
      </c>
      <c r="J297" s="5">
        <f ca="1">IFERROR(__xludf.DUMMYFUNCTION("""COMPUTED_VALUE"""),170)</f>
        <v>170</v>
      </c>
      <c r="K297" s="3"/>
      <c r="L297" s="3" t="str">
        <f ca="1">IFERROR(__xludf.DUMMYFUNCTION("""COMPUTED_VALUE"""),"Cost per period")</f>
        <v>Cost per period</v>
      </c>
      <c r="M297" s="3"/>
      <c r="N297" s="3" t="str">
        <f ca="1">IFERROR(__xludf.DUMMYFUNCTION("""COMPUTED_VALUE"""),"A4")</f>
        <v>A4</v>
      </c>
      <c r="O297" s="3"/>
      <c r="P297" s="3"/>
      <c r="Q297" s="3" t="str">
        <f ca="1">IFERROR(__xludf.DUMMYFUNCTION("""COMPUTED_VALUE"""),"viz. tech.specifikace; HP + sekce")</f>
        <v>viz. tech.specifikace; HP + sekce</v>
      </c>
      <c r="R297" s="3" t="str">
        <f ca="1">IFERROR(__xludf.DUMMYFUNCTION("""COMPUTED_VALUE"""),"HP + sekce")</f>
        <v>HP + sekce</v>
      </c>
      <c r="S297" s="3" t="str">
        <f ca="1">IFERROR(__xludf.DUMMYFUNCTION("""COMPUTED_VALUE"""),"100")</f>
        <v>100</v>
      </c>
      <c r="T297" s="3"/>
      <c r="U297" s="3" t="str">
        <f ca="1">IFERROR(__xludf.DUMMYFUNCTION("""COMPUTED_VALUE"""),"pr článek")</f>
        <v>pr článek</v>
      </c>
      <c r="V297" s="3"/>
      <c r="W297" s="4" t="str">
        <f ca="1">IFERROR(__xludf.DUMMYFUNCTION("""COMPUTED_VALUE"""),"https://reklama.cncenter.cz/Online/Smarticle")</f>
        <v>https://reklama.cncenter.cz/Online/Smarticle</v>
      </c>
      <c r="X297" s="3"/>
      <c r="Y297" s="3"/>
      <c r="Z297" s="3" t="str">
        <f ca="1">IFERROR(__xludf.DUMMYFUNCTION("""COMPUTED_VALUE"""),"podklady@cncenter.cz")</f>
        <v>podklady@cncenter.cz</v>
      </c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 t="str">
        <f ca="1">IFERROR(__xludf.DUMMYFUNCTION("""COMPUTED_VALUE"""),"cross-device")</f>
        <v>cross-device</v>
      </c>
      <c r="AO297" s="3"/>
      <c r="AP297" s="3"/>
      <c r="AQ297" s="3"/>
      <c r="AR297" s="3"/>
      <c r="AS297" s="3"/>
      <c r="AT297" s="3"/>
      <c r="AU297" s="3" t="str">
        <f ca="1">IFERROR(__xludf.DUMMYFUNCTION("""COMPUTED_VALUE"""),"Smarticle")</f>
        <v>Smarticle</v>
      </c>
    </row>
    <row r="298" spans="1:47" x14ac:dyDescent="0.3">
      <c r="A298" s="3">
        <f ca="1"/>
        <v>2346826</v>
      </c>
      <c r="B298" s="3" t="str">
        <f ca="1"/>
        <v>CZECH NEWS CENTER a. s.</v>
      </c>
      <c r="C298" s="3" t="str">
        <f ca="1">IFERROR(__xludf.DUMMYFUNCTION("""COMPUTED_VALUE"""),"CNC floating")</f>
        <v>CNC floating</v>
      </c>
      <c r="D298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8" s="3" t="str">
        <f ca="1">IFERROR(__xludf.DUMMYFUNCTION("""COMPUTED_VALUE"""),"celý web")</f>
        <v>celý web</v>
      </c>
      <c r="F298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8" s="3" t="str">
        <f ca="1">IFERROR(__xludf.DUMMYFUNCTION("""COMPUTED_VALUE"""),"Speciální spolupráce low season")</f>
        <v>Speciální spolupráce low season</v>
      </c>
      <c r="H298" s="3">
        <f ca="1">IFERROR(__xludf.DUMMYFUNCTION("""COMPUTED_VALUE"""),1)</f>
        <v>1</v>
      </c>
      <c r="I298" s="5">
        <f ca="1">IFERROR(__xludf.DUMMYFUNCTION("""COMPUTED_VALUE"""),1)</f>
        <v>1</v>
      </c>
      <c r="J298" s="5"/>
      <c r="K298" s="3"/>
      <c r="L298" s="3" t="str">
        <f ca="1">IFERROR(__xludf.DUMMYFUNCTION("""COMPUTED_VALUE"""),"Cost per instance")</f>
        <v>Cost per instance</v>
      </c>
      <c r="M298" s="3"/>
      <c r="N298" s="3"/>
      <c r="O298" s="3"/>
      <c r="P298" s="3"/>
      <c r="Q298" s="3" t="str">
        <f ca="1">IFERROR(__xludf.DUMMYFUNCTION("""COMPUTED_VALUE"""),"viz. tech.specifikace")</f>
        <v>viz. tech.specifikace</v>
      </c>
      <c r="R298" s="3"/>
      <c r="S298" s="3" t="str">
        <f ca="1">IFERROR(__xludf.DUMMYFUNCTION("""COMPUTED_VALUE"""),"100")</f>
        <v>100</v>
      </c>
      <c r="T298" s="3"/>
      <c r="U298" s="3" t="str">
        <f ca="1">IFERROR(__xludf.DUMMYFUNCTION("""COMPUTED_VALUE"""),"pr článek")</f>
        <v>pr článek</v>
      </c>
      <c r="V298" s="3"/>
      <c r="W298" s="3"/>
      <c r="X298" s="3"/>
      <c r="Y298" s="3"/>
      <c r="Z298" s="3" t="str">
        <f ca="1">IFERROR(__xludf.DUMMYFUNCTION("""COMPUTED_VALUE"""),"podklady@cncenter.cz")</f>
        <v>podklady@cncenter.cz</v>
      </c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 t="str">
        <f ca="1">IFERROR(__xludf.DUMMYFUNCTION("""COMPUTED_VALUE"""),"cross-device")</f>
        <v>cross-device</v>
      </c>
      <c r="AO298" s="3"/>
      <c r="AP298" s="3"/>
      <c r="AQ298" s="3"/>
      <c r="AR298" s="3"/>
      <c r="AS298" s="3"/>
      <c r="AT298" s="3"/>
      <c r="AU298" s="3" t="str">
        <f ca="1">IFERROR(__xludf.DUMMYFUNCTION("""COMPUTED_VALUE"""),"Speciální spolupráce")</f>
        <v>Speciální spolupráce</v>
      </c>
    </row>
    <row r="299" spans="1:47" x14ac:dyDescent="0.3">
      <c r="A299" s="3">
        <f ca="1"/>
        <v>2346826</v>
      </c>
      <c r="B299" s="3" t="str">
        <f ca="1"/>
        <v>CZECH NEWS CENTER a. s.</v>
      </c>
      <c r="C299" s="3" t="str">
        <f ca="1">IFERROR(__xludf.DUMMYFUNCTION("""COMPUTED_VALUE"""),"CNC floating")</f>
        <v>CNC floating</v>
      </c>
      <c r="D299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9" s="3" t="str">
        <f ca="1">IFERROR(__xludf.DUMMYFUNCTION("""COMPUTED_VALUE"""),"celý web")</f>
        <v>celý web</v>
      </c>
      <c r="F299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9" s="3" t="str">
        <f ca="1">IFERROR(__xludf.DUMMYFUNCTION("""COMPUTED_VALUE"""),"tvorba článku vč. rešerše low season")</f>
        <v>tvorba článku vč. rešerše low season</v>
      </c>
      <c r="H299" s="3">
        <f ca="1">IFERROR(__xludf.DUMMYFUNCTION("""COMPUTED_VALUE"""),1)</f>
        <v>1</v>
      </c>
      <c r="I299" s="5">
        <f ca="1">IFERROR(__xludf.DUMMYFUNCTION("""COMPUTED_VALUE"""),1)</f>
        <v>1</v>
      </c>
      <c r="J299" s="5">
        <f ca="1">IFERROR(__xludf.DUMMYFUNCTION("""COMPUTED_VALUE"""),4000)</f>
        <v>4000</v>
      </c>
      <c r="K299" s="3"/>
      <c r="L299" s="3" t="str">
        <f ca="1">IFERROR(__xludf.DUMMYFUNCTION("""COMPUTED_VALUE"""),"Cost per instance")</f>
        <v>Cost per instance</v>
      </c>
      <c r="M299" s="3"/>
      <c r="N299" s="3"/>
      <c r="O299" s="3"/>
      <c r="P299" s="3"/>
      <c r="Q299" s="3"/>
      <c r="R299" s="3"/>
      <c r="S299" s="3" t="str">
        <f ca="1">IFERROR(__xludf.DUMMYFUNCTION("""COMPUTED_VALUE"""),"100")</f>
        <v>100</v>
      </c>
      <c r="T299" s="3"/>
      <c r="U299" s="3" t="str">
        <f ca="1">IFERROR(__xludf.DUMMYFUNCTION("""COMPUTED_VALUE"""),"pr nestandard")</f>
        <v>pr nestandard</v>
      </c>
      <c r="V299" s="3"/>
      <c r="W299" s="3"/>
      <c r="X299" s="3"/>
      <c r="Y299" s="3"/>
      <c r="Z299" s="3" t="str">
        <f ca="1">IFERROR(__xludf.DUMMYFUNCTION("""COMPUTED_VALUE"""),"podklady@cncenter.cz")</f>
        <v>podklady@cncenter.cz</v>
      </c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 t="str">
        <f ca="1">IFERROR(__xludf.DUMMYFUNCTION("""COMPUTED_VALUE"""),"cross-device")</f>
        <v>cross-device</v>
      </c>
      <c r="AO299" s="3"/>
      <c r="AP299" s="3"/>
      <c r="AQ299" s="3"/>
      <c r="AR299" s="3"/>
      <c r="AS299" s="3"/>
      <c r="AT299" s="3"/>
      <c r="AU299" s="3" t="str">
        <f ca="1">IFERROR(__xludf.DUMMYFUNCTION("""COMPUTED_VALUE"""),"tvorba článku vč. rešerše")</f>
        <v>tvorba článku vč. rešerše</v>
      </c>
    </row>
    <row r="300" spans="1:47" x14ac:dyDescent="0.3">
      <c r="A300" s="3">
        <f ca="1"/>
        <v>2346826</v>
      </c>
      <c r="B300" s="3" t="str">
        <f ca="1"/>
        <v>CZECH NEWS CENTER a. s.</v>
      </c>
      <c r="C300" s="3" t="str">
        <f ca="1">IFERROR(__xludf.DUMMYFUNCTION("""COMPUTED_VALUE"""),"CNC floating")</f>
        <v>CNC floating</v>
      </c>
      <c r="D300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300" s="3" t="str">
        <f ca="1">IFERROR(__xludf.DUMMYFUNCTION("""COMPUTED_VALUE"""),"celý web")</f>
        <v>celý web</v>
      </c>
      <c r="F300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300" s="3" t="str">
        <f ca="1">IFERROR(__xludf.DUMMYFUNCTION("""COMPUTED_VALUE"""),"video reklamního typu bez mediálního prostoru low season")</f>
        <v>video reklamního typu bez mediálního prostoru low season</v>
      </c>
      <c r="H300" s="3">
        <f ca="1">IFERROR(__xludf.DUMMYFUNCTION("""COMPUTED_VALUE"""),1)</f>
        <v>1</v>
      </c>
      <c r="I300" s="5">
        <f ca="1">IFERROR(__xludf.DUMMYFUNCTION("""COMPUTED_VALUE"""),1)</f>
        <v>1</v>
      </c>
      <c r="J300" s="5">
        <f ca="1">IFERROR(__xludf.DUMMYFUNCTION("""COMPUTED_VALUE"""),200000)</f>
        <v>200000</v>
      </c>
      <c r="K300" s="3"/>
      <c r="L300" s="3" t="str">
        <f ca="1">IFERROR(__xludf.DUMMYFUNCTION("""COMPUTED_VALUE"""),"Cost per instance")</f>
        <v>Cost per instance</v>
      </c>
      <c r="M300" s="3"/>
      <c r="N300" s="3"/>
      <c r="O300" s="3"/>
      <c r="P300" s="3"/>
      <c r="Q300" s="3"/>
      <c r="R300" s="3" t="str">
        <f ca="1">IFERROR(__xludf.DUMMYFUNCTION("""COMPUTED_VALUE"""),"cena od 200 000 Kč")</f>
        <v>cena od 200 000 Kč</v>
      </c>
      <c r="S300" s="3" t="str">
        <f ca="1">IFERROR(__xludf.DUMMYFUNCTION("""COMPUTED_VALUE"""),"100")</f>
        <v>100</v>
      </c>
      <c r="T300" s="3"/>
      <c r="U300" s="3" t="str">
        <f ca="1">IFERROR(__xludf.DUMMYFUNCTION("""COMPUTED_VALUE"""),"pr video")</f>
        <v>pr video</v>
      </c>
      <c r="V300" s="3"/>
      <c r="W300" s="3"/>
      <c r="X300" s="3"/>
      <c r="Y300" s="3"/>
      <c r="Z300" s="3" t="str">
        <f ca="1">IFERROR(__xludf.DUMMYFUNCTION("""COMPUTED_VALUE"""),"podklady@cncenter.cz")</f>
        <v>podklady@cncenter.cz</v>
      </c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 t="str">
        <f ca="1">IFERROR(__xludf.DUMMYFUNCTION("""COMPUTED_VALUE"""),"cross-device")</f>
        <v>cross-device</v>
      </c>
      <c r="AO300" s="3"/>
      <c r="AP300" s="3"/>
      <c r="AQ300" s="3"/>
      <c r="AR300" s="3"/>
      <c r="AS300" s="3"/>
      <c r="AT300" s="3"/>
      <c r="AU300" s="3" t="str">
        <f ca="1">IFERROR(__xludf.DUMMYFUNCTION("""COMPUTED_VALUE"""),"video reklamního typu bez mediálního prostoru")</f>
        <v>video reklamního typu bez mediálního prostoru</v>
      </c>
    </row>
    <row r="301" spans="1:47" x14ac:dyDescent="0.3">
      <c r="A301" s="3">
        <f ca="1"/>
        <v>2346826</v>
      </c>
      <c r="B301" s="3" t="str">
        <f ca="1"/>
        <v>CZECH NEWS CENTER a. s.</v>
      </c>
      <c r="C301" s="3" t="str">
        <f ca="1">IFERROR(__xludf.DUMMYFUNCTION("""COMPUTED_VALUE"""),"CNC floating")</f>
        <v>CNC floating</v>
      </c>
      <c r="D301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301" s="3" t="str">
        <f ca="1">IFERROR(__xludf.DUMMYFUNCTION("""COMPUTED_VALUE"""),"celý web")</f>
        <v>celý web</v>
      </c>
      <c r="F301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301" s="3" t="str">
        <f ca="1">IFERROR(__xludf.DUMMYFUNCTION("""COMPUTED_VALUE"""),"video reklamního typu s mediálním prostorem low season")</f>
        <v>video reklamního typu s mediálním prostorem low season</v>
      </c>
      <c r="H301" s="3">
        <f ca="1">IFERROR(__xludf.DUMMYFUNCTION("""COMPUTED_VALUE"""),1)</f>
        <v>1</v>
      </c>
      <c r="I301" s="5">
        <f ca="1">IFERROR(__xludf.DUMMYFUNCTION("""COMPUTED_VALUE"""),1)</f>
        <v>1</v>
      </c>
      <c r="J301" s="5">
        <f ca="1">IFERROR(__xludf.DUMMYFUNCTION("""COMPUTED_VALUE"""),300000)</f>
        <v>300000</v>
      </c>
      <c r="K301" s="3"/>
      <c r="L301" s="3" t="str">
        <f ca="1">IFERROR(__xludf.DUMMYFUNCTION("""COMPUTED_VALUE"""),"Cost per instance")</f>
        <v>Cost per instance</v>
      </c>
      <c r="M301" s="3"/>
      <c r="N301" s="3"/>
      <c r="O301" s="3"/>
      <c r="P301" s="3"/>
      <c r="Q301" s="3"/>
      <c r="R301" s="3" t="str">
        <f ca="1">IFERROR(__xludf.DUMMYFUNCTION("""COMPUTED_VALUE"""),"cena bez možnosti slevy")</f>
        <v>cena bez možnosti slevy</v>
      </c>
      <c r="S301" s="3" t="str">
        <f ca="1">IFERROR(__xludf.DUMMYFUNCTION("""COMPUTED_VALUE"""),"100")</f>
        <v>100</v>
      </c>
      <c r="T301" s="3"/>
      <c r="U301" s="3" t="str">
        <f ca="1">IFERROR(__xludf.DUMMYFUNCTION("""COMPUTED_VALUE"""),"pr video")</f>
        <v>pr video</v>
      </c>
      <c r="V301" s="3"/>
      <c r="W301" s="3"/>
      <c r="X301" s="3"/>
      <c r="Y301" s="3"/>
      <c r="Z301" s="3" t="str">
        <f ca="1">IFERROR(__xludf.DUMMYFUNCTION("""COMPUTED_VALUE"""),"podklady@cncenter.cz")</f>
        <v>podklady@cncenter.cz</v>
      </c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 t="str">
        <f ca="1">IFERROR(__xludf.DUMMYFUNCTION("""COMPUTED_VALUE"""),"cross-device")</f>
        <v>cross-device</v>
      </c>
      <c r="AO301" s="3"/>
      <c r="AP301" s="3"/>
      <c r="AQ301" s="3"/>
      <c r="AR301" s="3"/>
      <c r="AS301" s="3"/>
      <c r="AT301" s="3"/>
      <c r="AU301" s="3" t="str">
        <f ca="1">IFERROR(__xludf.DUMMYFUNCTION("""COMPUTED_VALUE"""),"video reklamního typu s mediálním prostorem")</f>
        <v>video reklamního typu s mediálním prostorem</v>
      </c>
    </row>
    <row r="302" spans="1:47" x14ac:dyDescent="0.3">
      <c r="A302" s="3">
        <f ca="1"/>
        <v>2346826</v>
      </c>
      <c r="B302" s="3" t="str">
        <f ca="1"/>
        <v>CZECH NEWS CENTER a. s.</v>
      </c>
      <c r="C302" s="3" t="str">
        <f ca="1">IFERROR(__xludf.DUMMYFUNCTION("""COMPUTED_VALUE"""),"CNC floating")</f>
        <v>CNC floating</v>
      </c>
      <c r="D302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302" s="3" t="str">
        <f ca="1">IFERROR(__xludf.DUMMYFUNCTION("""COMPUTED_VALUE"""),"celý web")</f>
        <v>celý web</v>
      </c>
      <c r="F302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302" s="3" t="str">
        <f ca="1">IFERROR(__xludf.DUMMYFUNCTION("""COMPUTED_VALUE"""),"videospot - max. 30 sec. / bumper low season")</f>
        <v>videospot - max. 30 sec. / bumper low season</v>
      </c>
      <c r="H302" s="3">
        <f ca="1">IFERROR(__xludf.DUMMYFUNCTION("""COMPUTED_VALUE"""),7)</f>
        <v>7</v>
      </c>
      <c r="I302" s="5">
        <f ca="1">IFERROR(__xludf.DUMMYFUNCTION("""COMPUTED_VALUE"""),1000)</f>
        <v>1000</v>
      </c>
      <c r="J302" s="5">
        <f ca="1">IFERROR(__xludf.DUMMYFUNCTION("""COMPUTED_VALUE"""),570)</f>
        <v>570</v>
      </c>
      <c r="K302" s="3"/>
      <c r="L302" s="3" t="str">
        <f ca="1">IFERROR(__xludf.DUMMYFUNCTION("""COMPUTED_VALUE"""),"Cost per period")</f>
        <v>Cost per period</v>
      </c>
      <c r="M302" s="3"/>
      <c r="N302" s="3"/>
      <c r="O302" s="3" t="str">
        <f ca="1">IFERROR(__xludf.DUMMYFUNCTION("""COMPUTED_VALUE"""),"1280")</f>
        <v>1280</v>
      </c>
      <c r="P302" s="3" t="str">
        <f ca="1">IFERROR(__xludf.DUMMYFUNCTION("""COMPUTED_VALUE"""),"720")</f>
        <v>720</v>
      </c>
      <c r="Q302" s="3" t="str">
        <f ca="1">IFERROR(__xludf.DUMMYFUNCTION("""COMPUTED_VALUE"""),"16:9 / umístění po domluvě dle možností")</f>
        <v>16:9 / umístění po domluvě dle možností</v>
      </c>
      <c r="R302" s="3" t="str">
        <f ca="1">IFERROR(__xludf.DUMMYFUNCTION("""COMPUTED_VALUE"""),"přeskočení po 7 sekundách")</f>
        <v>přeskočení po 7 sekundách</v>
      </c>
      <c r="S302" s="3" t="str">
        <f ca="1">IFERROR(__xludf.DUMMYFUNCTION("""COMPUTED_VALUE"""),"100")</f>
        <v>100</v>
      </c>
      <c r="T302" s="3"/>
      <c r="U302" s="3" t="str">
        <f ca="1">IFERROR(__xludf.DUMMYFUNCTION("""COMPUTED_VALUE"""),"videospot")</f>
        <v>videospot</v>
      </c>
      <c r="V302" s="3"/>
      <c r="W302" s="4" t="str">
        <f ca="1">IFERROR(__xludf.DUMMYFUNCTION("""COMPUTED_VALUE"""),"https://reklama.cncenter.cz/Online/Bumper")</f>
        <v>https://reklama.cncenter.cz/Online/Bumper</v>
      </c>
      <c r="X302" s="3"/>
      <c r="Y302" s="3"/>
      <c r="Z302" s="3" t="str">
        <f ca="1">IFERROR(__xludf.DUMMYFUNCTION("""COMPUTED_VALUE"""),"podklady@cncenter.cz")</f>
        <v>podklady@cncenter.cz</v>
      </c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 t="str">
        <f ca="1">IFERROR(__xludf.DUMMYFUNCTION("""COMPUTED_VALUE"""),"cross-device")</f>
        <v>cross-device</v>
      </c>
      <c r="AO302" s="3"/>
      <c r="AP302" s="3"/>
      <c r="AQ302" s="3"/>
      <c r="AR302" s="3"/>
      <c r="AS302" s="3"/>
      <c r="AT302" s="3"/>
      <c r="AU302" s="3" t="str">
        <f ca="1">IFERROR(__xludf.DUMMYFUNCTION("""COMPUTED_VALUE"""),"videospot - max. 30 sec. / bumper")</f>
        <v>videospot - max. 30 sec. / bumper</v>
      </c>
    </row>
    <row r="303" spans="1:47" x14ac:dyDescent="0.3">
      <c r="A303" s="3">
        <f ca="1"/>
        <v>2346826</v>
      </c>
      <c r="B303" s="3" t="str">
        <f ca="1"/>
        <v>CZECH NEWS CENTER a. s.</v>
      </c>
      <c r="C303" s="3" t="str">
        <f ca="1">IFERROR(__xludf.DUMMYFUNCTION("""COMPUTED_VALUE"""),"CNC floating")</f>
        <v>CNC floating</v>
      </c>
      <c r="D30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303" s="3" t="str">
        <f ca="1">IFERROR(__xludf.DUMMYFUNCTION("""COMPUTED_VALUE"""),"celý web")</f>
        <v>celý web</v>
      </c>
      <c r="F30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303" s="3" t="str">
        <f ca="1">IFERROR(__xludf.DUMMYFUNCTION("""COMPUTED_VALUE"""),"vytvoření nebo úprava 1 ks banneru z dodaného master podkladu low season")</f>
        <v>vytvoření nebo úprava 1 ks banneru z dodaného master podkladu low season</v>
      </c>
      <c r="H303" s="3">
        <f ca="1">IFERROR(__xludf.DUMMYFUNCTION("""COMPUTED_VALUE"""),1)</f>
        <v>1</v>
      </c>
      <c r="I303" s="5">
        <f ca="1">IFERROR(__xludf.DUMMYFUNCTION("""COMPUTED_VALUE"""),1)</f>
        <v>1</v>
      </c>
      <c r="J303" s="5"/>
      <c r="K303" s="3"/>
      <c r="L303" s="3" t="str">
        <f ca="1">IFERROR(__xludf.DUMMYFUNCTION("""COMPUTED_VALUE"""),"Cost per instance")</f>
        <v>Cost per instance</v>
      </c>
      <c r="M303" s="3"/>
      <c r="N303" s="3"/>
      <c r="O303" s="3"/>
      <c r="P303" s="3"/>
      <c r="Q303" s="3"/>
      <c r="R303" s="3"/>
      <c r="S303" s="3" t="str">
        <f ca="1">IFERROR(__xludf.DUMMYFUNCTION("""COMPUTED_VALUE"""),"100")</f>
        <v>100</v>
      </c>
      <c r="T303" s="3"/>
      <c r="U303" s="3" t="str">
        <f ca="1">IFERROR(__xludf.DUMMYFUNCTION("""COMPUTED_VALUE"""),"pr nestandard")</f>
        <v>pr nestandard</v>
      </c>
      <c r="V303" s="3"/>
      <c r="W303" s="3"/>
      <c r="X303" s="3"/>
      <c r="Y303" s="3"/>
      <c r="Z303" s="3" t="str">
        <f ca="1">IFERROR(__xludf.DUMMYFUNCTION("""COMPUTED_VALUE"""),"podklady@cncenter.cz")</f>
        <v>podklady@cncenter.cz</v>
      </c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 t="str">
        <f ca="1">IFERROR(__xludf.DUMMYFUNCTION("""COMPUTED_VALUE"""),"cross-device")</f>
        <v>cross-device</v>
      </c>
      <c r="AO303" s="3"/>
      <c r="AP303" s="3"/>
      <c r="AQ303" s="3"/>
      <c r="AR303" s="3"/>
      <c r="AS303" s="3"/>
      <c r="AT303" s="3"/>
      <c r="AU303" s="3" t="str">
        <f ca="1">IFERROR(__xludf.DUMMYFUNCTION("""COMPUTED_VALUE"""),"vytvoření nebo úprava 1 ks banneru z dodaného master podkladu")</f>
        <v>vytvoření nebo úprava 1 ks banneru z dodaného master podkladu</v>
      </c>
    </row>
    <row r="304" spans="1:47" x14ac:dyDescent="0.3">
      <c r="A304" s="3">
        <f ca="1"/>
        <v>2346826</v>
      </c>
      <c r="B304" s="3" t="str">
        <f ca="1"/>
        <v>CZECH NEWS CENTER a. s.</v>
      </c>
      <c r="C304" s="3" t="str">
        <f ca="1">IFERROR(__xludf.DUMMYFUNCTION("""COMPUTED_VALUE"""),"CNC IT &amp; mobile &amp; digital pack")</f>
        <v>CNC IT &amp; mobile &amp; digital pack</v>
      </c>
      <c r="D304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04" s="3" t="str">
        <f ca="1">IFERROR(__xludf.DUMMYFUNCTION("""COMPUTED_VALUE"""),"celý web")</f>
        <v>celý web</v>
      </c>
      <c r="F304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04" s="3" t="str">
        <f ca="1">IFERROR(__xludf.DUMMYFUNCTION("""COMPUTED_VALUE"""),"billboard bottom low season")</f>
        <v>billboard bottom low season</v>
      </c>
      <c r="H304" s="3">
        <f ca="1">IFERROR(__xludf.DUMMYFUNCTION("""COMPUTED_VALUE"""),7)</f>
        <v>7</v>
      </c>
      <c r="I304" s="5">
        <f ca="1">IFERROR(__xludf.DUMMYFUNCTION("""COMPUTED_VALUE"""),1000)</f>
        <v>1000</v>
      </c>
      <c r="J304" s="5">
        <f ca="1">IFERROR(__xludf.DUMMYFUNCTION("""COMPUTED_VALUE"""),210)</f>
        <v>210</v>
      </c>
      <c r="K304" s="3"/>
      <c r="L304" s="3" t="str">
        <f ca="1">IFERROR(__xludf.DUMMYFUNCTION("""COMPUTED_VALUE"""),"Cost per period")</f>
        <v>Cost per period</v>
      </c>
      <c r="M304" s="3"/>
      <c r="N304" s="3"/>
      <c r="O304" s="3" t="str">
        <f ca="1">IFERROR(__xludf.DUMMYFUNCTION("""COMPUTED_VALUE"""),"970")</f>
        <v>970</v>
      </c>
      <c r="P304" s="3" t="str">
        <f ca="1">IFERROR(__xludf.DUMMYFUNCTION("""COMPUTED_VALUE"""),"250")</f>
        <v>250</v>
      </c>
      <c r="Q304" s="3" t="str">
        <f ca="1">IFERROR(__xludf.DUMMYFUNCTION("""COMPUTED_VALUE"""),"970x250")</f>
        <v>970x250</v>
      </c>
      <c r="R304" s="3"/>
      <c r="S304" s="3" t="str">
        <f ca="1">IFERROR(__xludf.DUMMYFUNCTION("""COMPUTED_VALUE"""),"100 (200 - HTML5)")</f>
        <v>100 (200 - HTML5)</v>
      </c>
      <c r="T304" s="3"/>
      <c r="U304" s="3" t="str">
        <f ca="1">IFERROR(__xludf.DUMMYFUNCTION("""COMPUTED_VALUE"""),"banner standard")</f>
        <v>banner standard</v>
      </c>
      <c r="V304" s="3"/>
      <c r="W304" s="4" t="str">
        <f ca="1">IFERROR(__xludf.DUMMYFUNCTION("""COMPUTED_VALUE"""),"https://reklama.cncenter.cz/Online/billboard-bottom")</f>
        <v>https://reklama.cncenter.cz/Online/billboard-bottom</v>
      </c>
      <c r="X304" s="3"/>
      <c r="Y304" s="3"/>
      <c r="Z304" s="3" t="str">
        <f ca="1">IFERROR(__xludf.DUMMYFUNCTION("""COMPUTED_VALUE"""),"podklady@cncenter.cz")</f>
        <v>podklady@cncenter.cz</v>
      </c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 t="str">
        <f ca="1">IFERROR(__xludf.DUMMYFUNCTION("""COMPUTED_VALUE"""),"desktop")</f>
        <v>desktop</v>
      </c>
      <c r="AO304" s="3"/>
      <c r="AP304" s="3"/>
      <c r="AQ304" s="3"/>
      <c r="AR304" s="3"/>
      <c r="AS304" s="3"/>
      <c r="AT304" s="3"/>
      <c r="AU304" s="3" t="str">
        <f ca="1">IFERROR(__xludf.DUMMYFUNCTION("""COMPUTED_VALUE"""),"billboard bottom")</f>
        <v>billboard bottom</v>
      </c>
    </row>
    <row r="305" spans="1:47" x14ac:dyDescent="0.3">
      <c r="A305" s="3">
        <f ca="1"/>
        <v>2346826</v>
      </c>
      <c r="B305" s="3" t="str">
        <f ca="1"/>
        <v>CZECH NEWS CENTER a. s.</v>
      </c>
      <c r="C305" s="3" t="str">
        <f ca="1">IFERROR(__xludf.DUMMYFUNCTION("""COMPUTED_VALUE"""),"CNC IT &amp; mobile &amp; digital pack")</f>
        <v>CNC IT &amp; mobile &amp; digital pack</v>
      </c>
      <c r="D305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05" s="3" t="str">
        <f ca="1">IFERROR(__xludf.DUMMYFUNCTION("""COMPUTED_VALUE"""),"celý web")</f>
        <v>celý web</v>
      </c>
      <c r="F305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05" s="3" t="str">
        <f ca="1">IFERROR(__xludf.DUMMYFUNCTION("""COMPUTED_VALUE"""),"branding cross-device low season")</f>
        <v>branding cross-device low season</v>
      </c>
      <c r="H305" s="3">
        <f ca="1">IFERROR(__xludf.DUMMYFUNCTION("""COMPUTED_VALUE"""),7)</f>
        <v>7</v>
      </c>
      <c r="I305" s="5">
        <f ca="1">IFERROR(__xludf.DUMMYFUNCTION("""COMPUTED_VALUE"""),1000)</f>
        <v>1000</v>
      </c>
      <c r="J305" s="5">
        <f ca="1">IFERROR(__xludf.DUMMYFUNCTION("""COMPUTED_VALUE"""),270)</f>
        <v>270</v>
      </c>
      <c r="K305" s="3"/>
      <c r="L305" s="3" t="str">
        <f ca="1">IFERROR(__xludf.DUMMYFUNCTION("""COMPUTED_VALUE"""),"Cost per period")</f>
        <v>Cost per period</v>
      </c>
      <c r="M305" s="3"/>
      <c r="N305" s="3"/>
      <c r="O305" s="3" t="str">
        <f ca="1">IFERROR(__xludf.DUMMYFUNCTION("""COMPUTED_VALUE"""),"2000")</f>
        <v>2000</v>
      </c>
      <c r="P305" s="3" t="str">
        <f ca="1">IFERROR(__xludf.DUMMYFUNCTION("""COMPUTED_VALUE"""),"1400")</f>
        <v>1400</v>
      </c>
      <c r="Q305" s="3" t="str">
        <f ca="1">IFERROR(__xludf.DUMMYFUNCTION("""COMPUTED_VALUE"""),"2000x1400 + 600x1080")</f>
        <v>2000x1400 + 600x1080</v>
      </c>
      <c r="R305" s="3"/>
      <c r="S305" s="3" t="str">
        <f ca="1">IFERROR(__xludf.DUMMYFUNCTION("""COMPUTED_VALUE"""),"500 (600 - HTLM5)")</f>
        <v>500 (600 - HTLM5)</v>
      </c>
      <c r="T305" s="3"/>
      <c r="U305" s="3" t="str">
        <f ca="1">IFERROR(__xludf.DUMMYFUNCTION("""COMPUTED_VALUE"""),"banner standard")</f>
        <v>banner standard</v>
      </c>
      <c r="V305" s="3"/>
      <c r="W305" s="4" t="str">
        <f ca="1">IFERROR(__xludf.DUMMYFUNCTION("""COMPUTED_VALUE"""),"https://reklama.cncenter.cz/Online/branding-cross-device")</f>
        <v>https://reklama.cncenter.cz/Online/branding-cross-device</v>
      </c>
      <c r="X305" s="3"/>
      <c r="Y305" s="3"/>
      <c r="Z305" s="3" t="str">
        <f ca="1">IFERROR(__xludf.DUMMYFUNCTION("""COMPUTED_VALUE"""),"podklady@cncenter.cz")</f>
        <v>podklady@cncenter.cz</v>
      </c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 t="str">
        <f ca="1">IFERROR(__xludf.DUMMYFUNCTION("""COMPUTED_VALUE"""),"cross-device")</f>
        <v>cross-device</v>
      </c>
      <c r="AO305" s="3"/>
      <c r="AP305" s="3"/>
      <c r="AQ305" s="3"/>
      <c r="AR305" s="3"/>
      <c r="AS305" s="3"/>
      <c r="AT305" s="3"/>
      <c r="AU305" s="3" t="str">
        <f ca="1">IFERROR(__xludf.DUMMYFUNCTION("""COMPUTED_VALUE"""),"branding cross-device")</f>
        <v>branding cross-device</v>
      </c>
    </row>
    <row r="306" spans="1:47" x14ac:dyDescent="0.3">
      <c r="A306" s="3">
        <f ca="1"/>
        <v>2346826</v>
      </c>
      <c r="B306" s="3" t="str">
        <f ca="1"/>
        <v>CZECH NEWS CENTER a. s.</v>
      </c>
      <c r="C306" s="3" t="str">
        <f ca="1">IFERROR(__xludf.DUMMYFUNCTION("""COMPUTED_VALUE"""),"CNC IT &amp; mobile &amp; digital pack")</f>
        <v>CNC IT &amp; mobile &amp; digital pack</v>
      </c>
      <c r="D306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06" s="3" t="str">
        <f ca="1">IFERROR(__xludf.DUMMYFUNCTION("""COMPUTED_VALUE"""),"celý web")</f>
        <v>celý web</v>
      </c>
      <c r="F306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06" s="3" t="str">
        <f ca="1">IFERROR(__xludf.DUMMYFUNCTION("""COMPUTED_VALUE"""),"branding low season")</f>
        <v>branding low season</v>
      </c>
      <c r="H306" s="3">
        <f ca="1">IFERROR(__xludf.DUMMYFUNCTION("""COMPUTED_VALUE"""),7)</f>
        <v>7</v>
      </c>
      <c r="I306" s="5">
        <f ca="1">IFERROR(__xludf.DUMMYFUNCTION("""COMPUTED_VALUE"""),1000)</f>
        <v>1000</v>
      </c>
      <c r="J306" s="5">
        <f ca="1">IFERROR(__xludf.DUMMYFUNCTION("""COMPUTED_VALUE"""),400)</f>
        <v>400</v>
      </c>
      <c r="K306" s="3"/>
      <c r="L306" s="3" t="str">
        <f ca="1">IFERROR(__xludf.DUMMYFUNCTION("""COMPUTED_VALUE"""),"Cost per period")</f>
        <v>Cost per period</v>
      </c>
      <c r="M306" s="3"/>
      <c r="N306" s="3"/>
      <c r="O306" s="3" t="str">
        <f ca="1">IFERROR(__xludf.DUMMYFUNCTION("""COMPUTED_VALUE"""),"2000")</f>
        <v>2000</v>
      </c>
      <c r="P306" s="3" t="str">
        <f ca="1">IFERROR(__xludf.DUMMYFUNCTION("""COMPUTED_VALUE"""),"1400")</f>
        <v>1400</v>
      </c>
      <c r="Q306" s="3" t="str">
        <f ca="1">IFERROR(__xludf.DUMMYFUNCTION("""COMPUTED_VALUE"""),"2000x1400")</f>
        <v>2000x1400</v>
      </c>
      <c r="R306" s="3"/>
      <c r="S306" s="3" t="str">
        <f ca="1">IFERROR(__xludf.DUMMYFUNCTION("""COMPUTED_VALUE"""),"500 + 200 (600+200 HTML5)")</f>
        <v>500 + 200 (600+200 HTML5)</v>
      </c>
      <c r="T306" s="3"/>
      <c r="U306" s="3" t="str">
        <f ca="1">IFERROR(__xludf.DUMMYFUNCTION("""COMPUTED_VALUE"""),"banner standard")</f>
        <v>banner standard</v>
      </c>
      <c r="V306" s="3"/>
      <c r="W306" s="4" t="str">
        <f ca="1">IFERROR(__xludf.DUMMYFUNCTION("""COMPUTED_VALUE"""),"https://reklama.cncenter.cz/Online/branding")</f>
        <v>https://reklama.cncenter.cz/Online/branding</v>
      </c>
      <c r="X306" s="3"/>
      <c r="Y306" s="3"/>
      <c r="Z306" s="3" t="str">
        <f ca="1">IFERROR(__xludf.DUMMYFUNCTION("""COMPUTED_VALUE"""),"podklady@cncenter.cz")</f>
        <v>podklady@cncenter.cz</v>
      </c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 t="str">
        <f ca="1">IFERROR(__xludf.DUMMYFUNCTION("""COMPUTED_VALUE"""),"desktop")</f>
        <v>desktop</v>
      </c>
      <c r="AO306" s="3"/>
      <c r="AP306" s="3"/>
      <c r="AQ306" s="3"/>
      <c r="AR306" s="3"/>
      <c r="AS306" s="3"/>
      <c r="AT306" s="3"/>
      <c r="AU306" s="3" t="str">
        <f ca="1">IFERROR(__xludf.DUMMYFUNCTION("""COMPUTED_VALUE"""),"branding")</f>
        <v>branding</v>
      </c>
    </row>
    <row r="307" spans="1:47" x14ac:dyDescent="0.3">
      <c r="A307" s="3">
        <f ca="1"/>
        <v>2346826</v>
      </c>
      <c r="B307" s="3" t="str">
        <f ca="1"/>
        <v>CZECH NEWS CENTER a. s.</v>
      </c>
      <c r="C307" s="3" t="str">
        <f ca="1">IFERROR(__xludf.DUMMYFUNCTION("""COMPUTED_VALUE"""),"CNC IT &amp; mobile &amp; digital pack")</f>
        <v>CNC IT &amp; mobile &amp; digital pack</v>
      </c>
      <c r="D307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07" s="3" t="str">
        <f ca="1">IFERROR(__xludf.DUMMYFUNCTION("""COMPUTED_VALUE"""),"celý web")</f>
        <v>celý web</v>
      </c>
      <c r="F307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07" s="3" t="str">
        <f ca="1">IFERROR(__xludf.DUMMYFUNCTION("""COMPUTED_VALUE"""),"cílený billboard bottom low season")</f>
        <v>cílený billboard bottom low season</v>
      </c>
      <c r="H307" s="3">
        <f ca="1">IFERROR(__xludf.DUMMYFUNCTION("""COMPUTED_VALUE"""),7)</f>
        <v>7</v>
      </c>
      <c r="I307" s="5">
        <f ca="1">IFERROR(__xludf.DUMMYFUNCTION("""COMPUTED_VALUE"""),1000)</f>
        <v>1000</v>
      </c>
      <c r="J307" s="5">
        <f ca="1">IFERROR(__xludf.DUMMYFUNCTION("""COMPUTED_VALUE"""),252)</f>
        <v>252</v>
      </c>
      <c r="K307" s="3"/>
      <c r="L307" s="3" t="str">
        <f ca="1">IFERROR(__xludf.DUMMYFUNCTION("""COMPUTED_VALUE"""),"Cost per period")</f>
        <v>Cost per period</v>
      </c>
      <c r="M307" s="3"/>
      <c r="N307" s="3"/>
      <c r="O307" s="3" t="str">
        <f ca="1">IFERROR(__xludf.DUMMYFUNCTION("""COMPUTED_VALUE"""),"970")</f>
        <v>970</v>
      </c>
      <c r="P307" s="3" t="str">
        <f ca="1">IFERROR(__xludf.DUMMYFUNCTION("""COMPUTED_VALUE"""),"250")</f>
        <v>250</v>
      </c>
      <c r="Q307" s="3" t="str">
        <f ca="1">IFERROR(__xludf.DUMMYFUNCTION("""COMPUTED_VALUE"""),"970x250")</f>
        <v>970x250</v>
      </c>
      <c r="R307" s="3"/>
      <c r="S307" s="3" t="str">
        <f ca="1">IFERROR(__xludf.DUMMYFUNCTION("""COMPUTED_VALUE"""),"100 (200 - HTML5)")</f>
        <v>100 (200 - HTML5)</v>
      </c>
      <c r="T307" s="3"/>
      <c r="U307" s="3" t="str">
        <f ca="1">IFERROR(__xludf.DUMMYFUNCTION("""COMPUTED_VALUE"""),"banner standard")</f>
        <v>banner standard</v>
      </c>
      <c r="V307" s="3"/>
      <c r="W307" s="4" t="str">
        <f ca="1">IFERROR(__xludf.DUMMYFUNCTION("""COMPUTED_VALUE"""),"https://reklama.cncenter.cz/Online/billboard-bottom")</f>
        <v>https://reklama.cncenter.cz/Online/billboard-bottom</v>
      </c>
      <c r="X307" s="3"/>
      <c r="Y307" s="3"/>
      <c r="Z307" s="3" t="str">
        <f ca="1">IFERROR(__xludf.DUMMYFUNCTION("""COMPUTED_VALUE"""),"podklady@cncenter.cz")</f>
        <v>podklady@cncenter.cz</v>
      </c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 t="str">
        <f ca="1">IFERROR(__xludf.DUMMYFUNCTION("""COMPUTED_VALUE"""),"desktop")</f>
        <v>desktop</v>
      </c>
      <c r="AO307" s="3"/>
      <c r="AP307" s="3"/>
      <c r="AQ307" s="3"/>
      <c r="AR307" s="3"/>
      <c r="AS307" s="3"/>
      <c r="AT307" s="3"/>
      <c r="AU307" s="3" t="str">
        <f ca="1">IFERROR(__xludf.DUMMYFUNCTION("""COMPUTED_VALUE"""),"cílený billboard bottom")</f>
        <v>cílený billboard bottom</v>
      </c>
    </row>
    <row r="308" spans="1:47" x14ac:dyDescent="0.3">
      <c r="A308" s="3">
        <f ca="1"/>
        <v>2346826</v>
      </c>
      <c r="B308" s="3" t="str">
        <f ca="1"/>
        <v>CZECH NEWS CENTER a. s.</v>
      </c>
      <c r="C308" s="3" t="str">
        <f ca="1">IFERROR(__xludf.DUMMYFUNCTION("""COMPUTED_VALUE"""),"CNC IT &amp; mobile &amp; digital pack")</f>
        <v>CNC IT &amp; mobile &amp; digital pack</v>
      </c>
      <c r="D308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08" s="3" t="str">
        <f ca="1">IFERROR(__xludf.DUMMYFUNCTION("""COMPUTED_VALUE"""),"celý web")</f>
        <v>celý web</v>
      </c>
      <c r="F308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08" s="3" t="str">
        <f ca="1">IFERROR(__xludf.DUMMYFUNCTION("""COMPUTED_VALUE"""),"cílený branding cross-device low season")</f>
        <v>cílený branding cross-device low season</v>
      </c>
      <c r="H308" s="3">
        <f ca="1">IFERROR(__xludf.DUMMYFUNCTION("""COMPUTED_VALUE"""),7)</f>
        <v>7</v>
      </c>
      <c r="I308" s="5">
        <f ca="1">IFERROR(__xludf.DUMMYFUNCTION("""COMPUTED_VALUE"""),1000)</f>
        <v>1000</v>
      </c>
      <c r="J308" s="5">
        <f ca="1">IFERROR(__xludf.DUMMYFUNCTION("""COMPUTED_VALUE"""),324)</f>
        <v>324</v>
      </c>
      <c r="K308" s="3"/>
      <c r="L308" s="3" t="str">
        <f ca="1">IFERROR(__xludf.DUMMYFUNCTION("""COMPUTED_VALUE"""),"Cost per period")</f>
        <v>Cost per period</v>
      </c>
      <c r="M308" s="3"/>
      <c r="N308" s="3"/>
      <c r="O308" s="3" t="str">
        <f ca="1">IFERROR(__xludf.DUMMYFUNCTION("""COMPUTED_VALUE"""),"2000")</f>
        <v>2000</v>
      </c>
      <c r="P308" s="3" t="str">
        <f ca="1">IFERROR(__xludf.DUMMYFUNCTION("""COMPUTED_VALUE"""),"1400")</f>
        <v>1400</v>
      </c>
      <c r="Q308" s="3" t="str">
        <f ca="1">IFERROR(__xludf.DUMMYFUNCTION("""COMPUTED_VALUE"""),"2000x1400 + 600x1080")</f>
        <v>2000x1400 + 600x1080</v>
      </c>
      <c r="R308" s="3"/>
      <c r="S308" s="3" t="str">
        <f ca="1">IFERROR(__xludf.DUMMYFUNCTION("""COMPUTED_VALUE"""),"500 (600 - HTLM5)")</f>
        <v>500 (600 - HTLM5)</v>
      </c>
      <c r="T308" s="3"/>
      <c r="U308" s="3" t="str">
        <f ca="1">IFERROR(__xludf.DUMMYFUNCTION("""COMPUTED_VALUE"""),"banner standard")</f>
        <v>banner standard</v>
      </c>
      <c r="V308" s="3"/>
      <c r="W308" s="4" t="str">
        <f ca="1">IFERROR(__xludf.DUMMYFUNCTION("""COMPUTED_VALUE"""),"https://reklama.cncenter.cz/Online/branding-cross-device")</f>
        <v>https://reklama.cncenter.cz/Online/branding-cross-device</v>
      </c>
      <c r="X308" s="3"/>
      <c r="Y308" s="3"/>
      <c r="Z308" s="3" t="str">
        <f ca="1">IFERROR(__xludf.DUMMYFUNCTION("""COMPUTED_VALUE"""),"podklady@cncenter.cz")</f>
        <v>podklady@cncenter.cz</v>
      </c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 t="str">
        <f ca="1">IFERROR(__xludf.DUMMYFUNCTION("""COMPUTED_VALUE"""),"cross-device")</f>
        <v>cross-device</v>
      </c>
      <c r="AO308" s="3"/>
      <c r="AP308" s="3"/>
      <c r="AQ308" s="3"/>
      <c r="AR308" s="3"/>
      <c r="AS308" s="3"/>
      <c r="AT308" s="3"/>
      <c r="AU308" s="3" t="str">
        <f ca="1">IFERROR(__xludf.DUMMYFUNCTION("""COMPUTED_VALUE"""),"cílený branding cross-device")</f>
        <v>cílený branding cross-device</v>
      </c>
    </row>
    <row r="309" spans="1:47" x14ac:dyDescent="0.3">
      <c r="A309" s="3">
        <f ca="1"/>
        <v>2346826</v>
      </c>
      <c r="B309" s="3" t="str">
        <f ca="1"/>
        <v>CZECH NEWS CENTER a. s.</v>
      </c>
      <c r="C309" s="3" t="str">
        <f ca="1">IFERROR(__xludf.DUMMYFUNCTION("""COMPUTED_VALUE"""),"CNC IT &amp; mobile &amp; digital pack")</f>
        <v>CNC IT &amp; mobile &amp; digital pack</v>
      </c>
      <c r="D309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09" s="3" t="str">
        <f ca="1">IFERROR(__xludf.DUMMYFUNCTION("""COMPUTED_VALUE"""),"celý web")</f>
        <v>celý web</v>
      </c>
      <c r="F309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09" s="3" t="str">
        <f ca="1">IFERROR(__xludf.DUMMYFUNCTION("""COMPUTED_VALUE"""),"cílený branding low season")</f>
        <v>cílený branding low season</v>
      </c>
      <c r="H309" s="3">
        <f ca="1">IFERROR(__xludf.DUMMYFUNCTION("""COMPUTED_VALUE"""),7)</f>
        <v>7</v>
      </c>
      <c r="I309" s="5">
        <f ca="1">IFERROR(__xludf.DUMMYFUNCTION("""COMPUTED_VALUE"""),1000)</f>
        <v>1000</v>
      </c>
      <c r="J309" s="5">
        <f ca="1">IFERROR(__xludf.DUMMYFUNCTION("""COMPUTED_VALUE"""),480)</f>
        <v>480</v>
      </c>
      <c r="K309" s="3"/>
      <c r="L309" s="3" t="str">
        <f ca="1">IFERROR(__xludf.DUMMYFUNCTION("""COMPUTED_VALUE"""),"Cost per period")</f>
        <v>Cost per period</v>
      </c>
      <c r="M309" s="3"/>
      <c r="N309" s="3"/>
      <c r="O309" s="3" t="str">
        <f ca="1">IFERROR(__xludf.DUMMYFUNCTION("""COMPUTED_VALUE"""),"2000")</f>
        <v>2000</v>
      </c>
      <c r="P309" s="3" t="str">
        <f ca="1">IFERROR(__xludf.DUMMYFUNCTION("""COMPUTED_VALUE"""),"1400")</f>
        <v>1400</v>
      </c>
      <c r="Q309" s="3" t="str">
        <f ca="1">IFERROR(__xludf.DUMMYFUNCTION("""COMPUTED_VALUE"""),"2000x1400")</f>
        <v>2000x1400</v>
      </c>
      <c r="R309" s="3"/>
      <c r="S309" s="3" t="str">
        <f ca="1">IFERROR(__xludf.DUMMYFUNCTION("""COMPUTED_VALUE"""),"500 + 200 (600+200 HTML5)")</f>
        <v>500 + 200 (600+200 HTML5)</v>
      </c>
      <c r="T309" s="3"/>
      <c r="U309" s="3" t="str">
        <f ca="1">IFERROR(__xludf.DUMMYFUNCTION("""COMPUTED_VALUE"""),"banner standard")</f>
        <v>banner standard</v>
      </c>
      <c r="V309" s="3"/>
      <c r="W309" s="4" t="str">
        <f ca="1">IFERROR(__xludf.DUMMYFUNCTION("""COMPUTED_VALUE"""),"https://reklama.cncenter.cz/Online/branding")</f>
        <v>https://reklama.cncenter.cz/Online/branding</v>
      </c>
      <c r="X309" s="3"/>
      <c r="Y309" s="3"/>
      <c r="Z309" s="3" t="str">
        <f ca="1">IFERROR(__xludf.DUMMYFUNCTION("""COMPUTED_VALUE"""),"podklady@cncenter.cz")</f>
        <v>podklady@cncenter.cz</v>
      </c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 t="str">
        <f ca="1">IFERROR(__xludf.DUMMYFUNCTION("""COMPUTED_VALUE"""),"desktop")</f>
        <v>desktop</v>
      </c>
      <c r="AO309" s="3"/>
      <c r="AP309" s="3"/>
      <c r="AQ309" s="3"/>
      <c r="AR309" s="3"/>
      <c r="AS309" s="3"/>
      <c r="AT309" s="3"/>
      <c r="AU309" s="3" t="str">
        <f ca="1">IFERROR(__xludf.DUMMYFUNCTION("""COMPUTED_VALUE"""),"cílený branding")</f>
        <v>cílený branding</v>
      </c>
    </row>
    <row r="310" spans="1:47" x14ac:dyDescent="0.3">
      <c r="A310" s="3">
        <f ca="1"/>
        <v>2346826</v>
      </c>
      <c r="B310" s="3" t="str">
        <f ca="1"/>
        <v>CZECH NEWS CENTER a. s.</v>
      </c>
      <c r="C310" s="3" t="str">
        <f ca="1">IFERROR(__xludf.DUMMYFUNCTION("""COMPUTED_VALUE"""),"CNC IT &amp; mobile &amp; digital pack")</f>
        <v>CNC IT &amp; mobile &amp; digital pack</v>
      </c>
      <c r="D310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0" s="3" t="str">
        <f ca="1">IFERROR(__xludf.DUMMYFUNCTION("""COMPUTED_VALUE"""),"celý web")</f>
        <v>celý web</v>
      </c>
      <c r="F310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0" s="3" t="str">
        <f ca="1">IFERROR(__xludf.DUMMYFUNCTION("""COMPUTED_VALUE"""),"cílený double skyscraper low season")</f>
        <v>cílený double skyscraper low season</v>
      </c>
      <c r="H310" s="3">
        <f ca="1">IFERROR(__xludf.DUMMYFUNCTION("""COMPUTED_VALUE"""),7)</f>
        <v>7</v>
      </c>
      <c r="I310" s="5">
        <f ca="1">IFERROR(__xludf.DUMMYFUNCTION("""COMPUTED_VALUE"""),1000)</f>
        <v>1000</v>
      </c>
      <c r="J310" s="5">
        <f ca="1">IFERROR(__xludf.DUMMYFUNCTION("""COMPUTED_VALUE"""),180)</f>
        <v>180</v>
      </c>
      <c r="K310" s="3"/>
      <c r="L310" s="3" t="str">
        <f ca="1">IFERROR(__xludf.DUMMYFUNCTION("""COMPUTED_VALUE"""),"Cost per period")</f>
        <v>Cost per period</v>
      </c>
      <c r="M310" s="3"/>
      <c r="N310" s="3"/>
      <c r="O310" s="3" t="str">
        <f ca="1">IFERROR(__xludf.DUMMYFUNCTION("""COMPUTED_VALUE"""),"300")</f>
        <v>300</v>
      </c>
      <c r="P310" s="3" t="str">
        <f ca="1">IFERROR(__xludf.DUMMYFUNCTION("""COMPUTED_VALUE"""),"600")</f>
        <v>600</v>
      </c>
      <c r="Q310" s="3" t="str">
        <f ca="1">IFERROR(__xludf.DUMMYFUNCTION("""COMPUTED_VALUE"""),"300x600")</f>
        <v>300x600</v>
      </c>
      <c r="R310" s="3"/>
      <c r="S310" s="3" t="str">
        <f ca="1">IFERROR(__xludf.DUMMYFUNCTION("""COMPUTED_VALUE"""),"100 (200 - HTML5)")</f>
        <v>100 (200 - HTML5)</v>
      </c>
      <c r="T310" s="3"/>
      <c r="U310" s="3" t="str">
        <f ca="1">IFERROR(__xludf.DUMMYFUNCTION("""COMPUTED_VALUE"""),"banner standard")</f>
        <v>banner standard</v>
      </c>
      <c r="V310" s="3"/>
      <c r="W310" s="4" t="str">
        <f ca="1">IFERROR(__xludf.DUMMYFUNCTION("""COMPUTED_VALUE"""),"https://reklama.cncenter.cz/Online/double-skyscraper")</f>
        <v>https://reklama.cncenter.cz/Online/double-skyscraper</v>
      </c>
      <c r="X310" s="3"/>
      <c r="Y310" s="3"/>
      <c r="Z310" s="3" t="str">
        <f ca="1">IFERROR(__xludf.DUMMYFUNCTION("""COMPUTED_VALUE"""),"podklady@cncenter.cz")</f>
        <v>podklady@cncenter.cz</v>
      </c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 t="str">
        <f ca="1">IFERROR(__xludf.DUMMYFUNCTION("""COMPUTED_VALUE"""),"desktop")</f>
        <v>desktop</v>
      </c>
      <c r="AO310" s="3"/>
      <c r="AP310" s="3"/>
      <c r="AQ310" s="3"/>
      <c r="AR310" s="3"/>
      <c r="AS310" s="3"/>
      <c r="AT310" s="3"/>
      <c r="AU310" s="3" t="str">
        <f ca="1">IFERROR(__xludf.DUMMYFUNCTION("""COMPUTED_VALUE"""),"cílený double skyscraper")</f>
        <v>cílený double skyscraper</v>
      </c>
    </row>
    <row r="311" spans="1:47" x14ac:dyDescent="0.3">
      <c r="A311" s="3">
        <f ca="1"/>
        <v>2346826</v>
      </c>
      <c r="B311" s="3" t="str">
        <f ca="1"/>
        <v>CZECH NEWS CENTER a. s.</v>
      </c>
      <c r="C311" s="3" t="str">
        <f ca="1">IFERROR(__xludf.DUMMYFUNCTION("""COMPUTED_VALUE"""),"CNC IT &amp; mobile &amp; digital pack")</f>
        <v>CNC IT &amp; mobile &amp; digital pack</v>
      </c>
      <c r="D311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1" s="3" t="str">
        <f ca="1">IFERROR(__xludf.DUMMYFUNCTION("""COMPUTED_VALUE"""),"celý web")</f>
        <v>celý web</v>
      </c>
      <c r="F311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1" s="3" t="str">
        <f ca="1">IFERROR(__xludf.DUMMYFUNCTION("""COMPUTED_VALUE"""),"cílený mobilní interscroller low season")</f>
        <v>cílený mobilní interscroller low season</v>
      </c>
      <c r="H311" s="3">
        <f ca="1">IFERROR(__xludf.DUMMYFUNCTION("""COMPUTED_VALUE"""),7)</f>
        <v>7</v>
      </c>
      <c r="I311" s="5">
        <f ca="1">IFERROR(__xludf.DUMMYFUNCTION("""COMPUTED_VALUE"""),1000)</f>
        <v>1000</v>
      </c>
      <c r="J311" s="5">
        <f ca="1">IFERROR(__xludf.DUMMYFUNCTION("""COMPUTED_VALUE"""),240)</f>
        <v>240</v>
      </c>
      <c r="K311" s="3"/>
      <c r="L311" s="3" t="str">
        <f ca="1">IFERROR(__xludf.DUMMYFUNCTION("""COMPUTED_VALUE"""),"Cost per period")</f>
        <v>Cost per period</v>
      </c>
      <c r="M311" s="3"/>
      <c r="N311" s="3"/>
      <c r="O311" s="3" t="str">
        <f ca="1">IFERROR(__xludf.DUMMYFUNCTION("""COMPUTED_VALUE"""),"600")</f>
        <v>600</v>
      </c>
      <c r="P311" s="3" t="str">
        <f ca="1">IFERROR(__xludf.DUMMYFUNCTION("""COMPUTED_VALUE"""),"1080")</f>
        <v>1080</v>
      </c>
      <c r="Q311" s="3" t="str">
        <f ca="1">IFERROR(__xludf.DUMMYFUNCTION("""COMPUTED_VALUE"""),"600x1080")</f>
        <v>600x1080</v>
      </c>
      <c r="R311" s="3"/>
      <c r="S311" s="3" t="str">
        <f ca="1">IFERROR(__xludf.DUMMYFUNCTION("""COMPUTED_VALUE"""),"200")</f>
        <v>200</v>
      </c>
      <c r="T311" s="3"/>
      <c r="U311" s="3" t="str">
        <f ca="1">IFERROR(__xludf.DUMMYFUNCTION("""COMPUTED_VALUE"""),"banner standard")</f>
        <v>banner standard</v>
      </c>
      <c r="V311" s="3"/>
      <c r="W311" s="4" t="str">
        <f ca="1">IFERROR(__xludf.DUMMYFUNCTION("""COMPUTED_VALUE"""),"https://reklama.cncenter.cz/Online/mobilni-interscroller")</f>
        <v>https://reklama.cncenter.cz/Online/mobilni-interscroller</v>
      </c>
      <c r="X311" s="3"/>
      <c r="Y311" s="3"/>
      <c r="Z311" s="3" t="str">
        <f ca="1">IFERROR(__xludf.DUMMYFUNCTION("""COMPUTED_VALUE"""),"podklady@cncenter.cz")</f>
        <v>podklady@cncenter.cz</v>
      </c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 t="str">
        <f ca="1">IFERROR(__xludf.DUMMYFUNCTION("""COMPUTED_VALUE"""),"mobile")</f>
        <v>mobile</v>
      </c>
      <c r="AO311" s="3"/>
      <c r="AP311" s="3"/>
      <c r="AQ311" s="3"/>
      <c r="AR311" s="3"/>
      <c r="AS311" s="3"/>
      <c r="AT311" s="3"/>
      <c r="AU311" s="3" t="str">
        <f ca="1">IFERROR(__xludf.DUMMYFUNCTION("""COMPUTED_VALUE"""),"cílený mobilní interscroller")</f>
        <v>cílený mobilní interscroller</v>
      </c>
    </row>
    <row r="312" spans="1:47" x14ac:dyDescent="0.3">
      <c r="A312" s="3">
        <f ca="1"/>
        <v>2346826</v>
      </c>
      <c r="B312" s="3" t="str">
        <f ca="1"/>
        <v>CZECH NEWS CENTER a. s.</v>
      </c>
      <c r="C312" s="3" t="str">
        <f ca="1">IFERROR(__xludf.DUMMYFUNCTION("""COMPUTED_VALUE"""),"CNC IT &amp; mobile &amp; digital pack")</f>
        <v>CNC IT &amp; mobile &amp; digital pack</v>
      </c>
      <c r="D312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2" s="3" t="str">
        <f ca="1">IFERROR(__xludf.DUMMYFUNCTION("""COMPUTED_VALUE"""),"celý web")</f>
        <v>celý web</v>
      </c>
      <c r="F312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2" s="3" t="str">
        <f ca="1">IFERROR(__xludf.DUMMYFUNCTION("""COMPUTED_VALUE"""),"cílený mobilní slide-up low season")</f>
        <v>cílený mobilní slide-up low season</v>
      </c>
      <c r="H312" s="3">
        <f ca="1">IFERROR(__xludf.DUMMYFUNCTION("""COMPUTED_VALUE"""),7)</f>
        <v>7</v>
      </c>
      <c r="I312" s="5">
        <f ca="1">IFERROR(__xludf.DUMMYFUNCTION("""COMPUTED_VALUE"""),1000)</f>
        <v>1000</v>
      </c>
      <c r="J312" s="5">
        <f ca="1">IFERROR(__xludf.DUMMYFUNCTION("""COMPUTED_VALUE"""),480)</f>
        <v>480</v>
      </c>
      <c r="K312" s="3"/>
      <c r="L312" s="3" t="str">
        <f ca="1">IFERROR(__xludf.DUMMYFUNCTION("""COMPUTED_VALUE"""),"Cost per period")</f>
        <v>Cost per period</v>
      </c>
      <c r="M312" s="3"/>
      <c r="N312" s="3"/>
      <c r="O312" s="3" t="str">
        <f ca="1">IFERROR(__xludf.DUMMYFUNCTION("""COMPUTED_VALUE"""),"300")</f>
        <v>300</v>
      </c>
      <c r="P312" s="3" t="str">
        <f ca="1">IFERROR(__xludf.DUMMYFUNCTION("""COMPUTED_VALUE"""),"120")</f>
        <v>120</v>
      </c>
      <c r="Q312" s="3" t="str">
        <f ca="1">IFERROR(__xludf.DUMMYFUNCTION("""COMPUTED_VALUE"""),"300x120")</f>
        <v>300x120</v>
      </c>
      <c r="R312" s="3"/>
      <c r="S312" s="3" t="str">
        <f ca="1">IFERROR(__xludf.DUMMYFUNCTION("""COMPUTED_VALUE"""),"100")</f>
        <v>100</v>
      </c>
      <c r="T312" s="3"/>
      <c r="U312" s="3" t="str">
        <f ca="1">IFERROR(__xludf.DUMMYFUNCTION("""COMPUTED_VALUE"""),"banner standard")</f>
        <v>banner standard</v>
      </c>
      <c r="V312" s="3"/>
      <c r="W312" s="4" t="str">
        <f ca="1">IFERROR(__xludf.DUMMYFUNCTION("""COMPUTED_VALUE"""),"https://reklama.cncenter.cz/Online/mobilni-slide-up")</f>
        <v>https://reklama.cncenter.cz/Online/mobilni-slide-up</v>
      </c>
      <c r="X312" s="3"/>
      <c r="Y312" s="3"/>
      <c r="Z312" s="3" t="str">
        <f ca="1">IFERROR(__xludf.DUMMYFUNCTION("""COMPUTED_VALUE"""),"podklady@cncenter.cz")</f>
        <v>podklady@cncenter.cz</v>
      </c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 t="str">
        <f ca="1">IFERROR(__xludf.DUMMYFUNCTION("""COMPUTED_VALUE"""),"mobile")</f>
        <v>mobile</v>
      </c>
      <c r="AO312" s="3"/>
      <c r="AP312" s="3"/>
      <c r="AQ312" s="3"/>
      <c r="AR312" s="3"/>
      <c r="AS312" s="3"/>
      <c r="AT312" s="3"/>
      <c r="AU312" s="3" t="str">
        <f ca="1">IFERROR(__xludf.DUMMYFUNCTION("""COMPUTED_VALUE"""),"cílený mobilní slide-up")</f>
        <v>cílený mobilní slide-up</v>
      </c>
    </row>
    <row r="313" spans="1:47" x14ac:dyDescent="0.3">
      <c r="A313" s="3">
        <f ca="1"/>
        <v>2346826</v>
      </c>
      <c r="B313" s="3" t="str">
        <f ca="1"/>
        <v>CZECH NEWS CENTER a. s.</v>
      </c>
      <c r="C313" s="3" t="str">
        <f ca="1">IFERROR(__xludf.DUMMYFUNCTION("""COMPUTED_VALUE"""),"CNC IT &amp; mobile &amp; digital pack")</f>
        <v>CNC IT &amp; mobile &amp; digital pack</v>
      </c>
      <c r="D313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3" s="3" t="str">
        <f ca="1">IFERROR(__xludf.DUMMYFUNCTION("""COMPUTED_VALUE"""),"celý web")</f>
        <v>celý web</v>
      </c>
      <c r="F313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3" s="3" t="str">
        <f ca="1">IFERROR(__xludf.DUMMYFUNCTION("""COMPUTED_VALUE"""),"cílený mobilní viněta low season")</f>
        <v>cílený mobilní viněta low season</v>
      </c>
      <c r="H313" s="3">
        <f ca="1">IFERROR(__xludf.DUMMYFUNCTION("""COMPUTED_VALUE"""),7)</f>
        <v>7</v>
      </c>
      <c r="I313" s="5">
        <f ca="1">IFERROR(__xludf.DUMMYFUNCTION("""COMPUTED_VALUE"""),1000)</f>
        <v>1000</v>
      </c>
      <c r="J313" s="5">
        <f ca="1">IFERROR(__xludf.DUMMYFUNCTION("""COMPUTED_VALUE"""),672)</f>
        <v>672</v>
      </c>
      <c r="K313" s="3"/>
      <c r="L313" s="3" t="str">
        <f ca="1">IFERROR(__xludf.DUMMYFUNCTION("""COMPUTED_VALUE"""),"Cost per period")</f>
        <v>Cost per period</v>
      </c>
      <c r="M313" s="3"/>
      <c r="N313" s="3"/>
      <c r="O313" s="3" t="str">
        <f ca="1">IFERROR(__xludf.DUMMYFUNCTION("""COMPUTED_VALUE"""),"600")</f>
        <v>600</v>
      </c>
      <c r="P313" s="3" t="str">
        <f ca="1">IFERROR(__xludf.DUMMYFUNCTION("""COMPUTED_VALUE"""),"800")</f>
        <v>800</v>
      </c>
      <c r="Q313" s="3" t="str">
        <f ca="1">IFERROR(__xludf.DUMMYFUNCTION("""COMPUTED_VALUE"""),"300x250 nebo 600x800")</f>
        <v>300x250 nebo 600x800</v>
      </c>
      <c r="R313" s="3"/>
      <c r="S313" s="3" t="str">
        <f ca="1">IFERROR(__xludf.DUMMYFUNCTION("""COMPUTED_VALUE"""),"100")</f>
        <v>100</v>
      </c>
      <c r="T313" s="3"/>
      <c r="U313" s="3" t="str">
        <f ca="1">IFERROR(__xludf.DUMMYFUNCTION("""COMPUTED_VALUE"""),"banner standard")</f>
        <v>banner standard</v>
      </c>
      <c r="V313" s="3"/>
      <c r="W313" s="4" t="str">
        <f ca="1">IFERROR(__xludf.DUMMYFUNCTION("""COMPUTED_VALUE"""),"https://reklama.cncenter.cz/Online/mobilni-vineta")</f>
        <v>https://reklama.cncenter.cz/Online/mobilni-vineta</v>
      </c>
      <c r="X313" s="3"/>
      <c r="Y313" s="3"/>
      <c r="Z313" s="3" t="str">
        <f ca="1">IFERROR(__xludf.DUMMYFUNCTION("""COMPUTED_VALUE"""),"podklady@cncenter.cz")</f>
        <v>podklady@cncenter.cz</v>
      </c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 t="str">
        <f ca="1">IFERROR(__xludf.DUMMYFUNCTION("""COMPUTED_VALUE"""),"mobile")</f>
        <v>mobile</v>
      </c>
      <c r="AO313" s="3"/>
      <c r="AP313" s="3"/>
      <c r="AQ313" s="3"/>
      <c r="AR313" s="3"/>
      <c r="AS313" s="3"/>
      <c r="AT313" s="3"/>
      <c r="AU313" s="3" t="str">
        <f ca="1">IFERROR(__xludf.DUMMYFUNCTION("""COMPUTED_VALUE"""),"cílený mobilní viněta")</f>
        <v>cílený mobilní viněta</v>
      </c>
    </row>
    <row r="314" spans="1:47" x14ac:dyDescent="0.3">
      <c r="A314" s="3">
        <f ca="1"/>
        <v>2346826</v>
      </c>
      <c r="B314" s="3" t="str">
        <f ca="1"/>
        <v>CZECH NEWS CENTER a. s.</v>
      </c>
      <c r="C314" s="3" t="str">
        <f ca="1">IFERROR(__xludf.DUMMYFUNCTION("""COMPUTED_VALUE"""),"CNC IT &amp; mobile &amp; digital pack")</f>
        <v>CNC IT &amp; mobile &amp; digital pack</v>
      </c>
      <c r="D314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4" s="3" t="str">
        <f ca="1">IFERROR(__xludf.DUMMYFUNCTION("""COMPUTED_VALUE"""),"celý web")</f>
        <v>celý web</v>
      </c>
      <c r="F314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4" s="3" t="str">
        <f ca="1">IFERROR(__xludf.DUMMYFUNCTION("""COMPUTED_VALUE"""),"cílený nativní rectangle cross-device low season")</f>
        <v>cílený nativní rectangle cross-device low season</v>
      </c>
      <c r="H314" s="3">
        <f ca="1">IFERROR(__xludf.DUMMYFUNCTION("""COMPUTED_VALUE"""),7)</f>
        <v>7</v>
      </c>
      <c r="I314" s="5">
        <f ca="1">IFERROR(__xludf.DUMMYFUNCTION("""COMPUTED_VALUE"""),1000)</f>
        <v>1000</v>
      </c>
      <c r="J314" s="5">
        <f ca="1">IFERROR(__xludf.DUMMYFUNCTION("""COMPUTED_VALUE"""),180)</f>
        <v>180</v>
      </c>
      <c r="K314" s="3"/>
      <c r="L314" s="3" t="str">
        <f ca="1">IFERROR(__xludf.DUMMYFUNCTION("""COMPUTED_VALUE"""),"Cost per period")</f>
        <v>Cost per period</v>
      </c>
      <c r="M314" s="3"/>
      <c r="N314" s="3"/>
      <c r="O314" s="3" t="str">
        <f ca="1">IFERROR(__xludf.DUMMYFUNCTION("""COMPUTED_VALUE"""),"640")</f>
        <v>640</v>
      </c>
      <c r="P314" s="3" t="str">
        <f ca="1">IFERROR(__xludf.DUMMYFUNCTION("""COMPUTED_VALUE"""),"335, 640")</f>
        <v>335, 640</v>
      </c>
      <c r="Q314" s="3" t="str">
        <f ca="1">IFERROR(__xludf.DUMMYFUNCTION("""COMPUTED_VALUE"""),"640x640 a 640x335 + text + logo")</f>
        <v>640x640 a 640x335 + text + logo</v>
      </c>
      <c r="R314" s="3"/>
      <c r="S314" s="3" t="str">
        <f ca="1">IFERROR(__xludf.DUMMYFUNCTION("""COMPUTED_VALUE"""),"45")</f>
        <v>45</v>
      </c>
      <c r="T314" s="3"/>
      <c r="U314" s="3" t="str">
        <f ca="1">IFERROR(__xludf.DUMMYFUNCTION("""COMPUTED_VALUE"""),"nativní reklama")</f>
        <v>nativní reklama</v>
      </c>
      <c r="V314" s="3"/>
      <c r="W314" s="4" t="str">
        <f ca="1">IFERROR(__xludf.DUMMYFUNCTION("""COMPUTED_VALUE"""),"https://reklama.cncenter.cz/Online/nativni-rectangle-cross-device")</f>
        <v>https://reklama.cncenter.cz/Online/nativni-rectangle-cross-device</v>
      </c>
      <c r="X314" s="3"/>
      <c r="Y314" s="3"/>
      <c r="Z314" s="3" t="str">
        <f ca="1">IFERROR(__xludf.DUMMYFUNCTION("""COMPUTED_VALUE"""),"podklady@cncenter.cz")</f>
        <v>podklady@cncenter.cz</v>
      </c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 t="str">
        <f ca="1">IFERROR(__xludf.DUMMYFUNCTION("""COMPUTED_VALUE"""),"cross-device")</f>
        <v>cross-device</v>
      </c>
      <c r="AO314" s="3"/>
      <c r="AP314" s="3"/>
      <c r="AQ314" s="3"/>
      <c r="AR314" s="3"/>
      <c r="AS314" s="3"/>
      <c r="AT314" s="3"/>
      <c r="AU314" s="3" t="str">
        <f ca="1">IFERROR(__xludf.DUMMYFUNCTION("""COMPUTED_VALUE"""),"cílený nativní rectangle cross-device")</f>
        <v>cílený nativní rectangle cross-device</v>
      </c>
    </row>
    <row r="315" spans="1:47" x14ac:dyDescent="0.3">
      <c r="A315" s="3">
        <f ca="1"/>
        <v>2346826</v>
      </c>
      <c r="B315" s="3" t="str">
        <f ca="1"/>
        <v>CZECH NEWS CENTER a. s.</v>
      </c>
      <c r="C315" s="3" t="str">
        <f ca="1">IFERROR(__xludf.DUMMYFUNCTION("""COMPUTED_VALUE"""),"CNC IT &amp; mobile &amp; digital pack")</f>
        <v>CNC IT &amp; mobile &amp; digital pack</v>
      </c>
      <c r="D315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5" s="3" t="str">
        <f ca="1">IFERROR(__xludf.DUMMYFUNCTION("""COMPUTED_VALUE"""),"celý web")</f>
        <v>celý web</v>
      </c>
      <c r="F315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5" s="3" t="str">
        <f ca="1">IFERROR(__xludf.DUMMYFUNCTION("""COMPUTED_VALUE"""),"cílený outstream low season")</f>
        <v>cílený outstream low season</v>
      </c>
      <c r="H315" s="3">
        <f ca="1">IFERROR(__xludf.DUMMYFUNCTION("""COMPUTED_VALUE"""),7)</f>
        <v>7</v>
      </c>
      <c r="I315" s="5">
        <f ca="1">IFERROR(__xludf.DUMMYFUNCTION("""COMPUTED_VALUE"""),1000)</f>
        <v>1000</v>
      </c>
      <c r="J315" s="5">
        <f ca="1">IFERROR(__xludf.DUMMYFUNCTION("""COMPUTED_VALUE"""),276)</f>
        <v>276</v>
      </c>
      <c r="K315" s="3"/>
      <c r="L315" s="3" t="str">
        <f ca="1">IFERROR(__xludf.DUMMYFUNCTION("""COMPUTED_VALUE"""),"Cost per period")</f>
        <v>Cost per period</v>
      </c>
      <c r="M315" s="3"/>
      <c r="N315" s="3"/>
      <c r="O315" s="3" t="str">
        <f ca="1">IFERROR(__xludf.DUMMYFUNCTION("""COMPUTED_VALUE"""),"1280")</f>
        <v>1280</v>
      </c>
      <c r="P315" s="3" t="str">
        <f ca="1">IFERROR(__xludf.DUMMYFUNCTION("""COMPUTED_VALUE"""),"720")</f>
        <v>720</v>
      </c>
      <c r="Q315" s="3" t="str">
        <f ca="1">IFERROR(__xludf.DUMMYFUNCTION("""COMPUTED_VALUE"""),"16:9")</f>
        <v>16:9</v>
      </c>
      <c r="R315" s="3"/>
      <c r="S315" s="3" t="str">
        <f ca="1">IFERROR(__xludf.DUMMYFUNCTION("""COMPUTED_VALUE"""),"100")</f>
        <v>100</v>
      </c>
      <c r="T315" s="3"/>
      <c r="U315" s="3" t="str">
        <f ca="1">IFERROR(__xludf.DUMMYFUNCTION("""COMPUTED_VALUE"""),"videospot")</f>
        <v>videospot</v>
      </c>
      <c r="V315" s="3"/>
      <c r="W315" s="4" t="str">
        <f ca="1">IFERROR(__xludf.DUMMYFUNCTION("""COMPUTED_VALUE"""),"https://reklama.cncenter.cz/Online/Outstream")</f>
        <v>https://reklama.cncenter.cz/Online/Outstream</v>
      </c>
      <c r="X315" s="3"/>
      <c r="Y315" s="3"/>
      <c r="Z315" s="3" t="str">
        <f ca="1">IFERROR(__xludf.DUMMYFUNCTION("""COMPUTED_VALUE"""),"podklady@cncenter.cz")</f>
        <v>podklady@cncenter.cz</v>
      </c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 t="str">
        <f ca="1">IFERROR(__xludf.DUMMYFUNCTION("""COMPUTED_VALUE"""),"cross-device")</f>
        <v>cross-device</v>
      </c>
      <c r="AO315" s="3"/>
      <c r="AP315" s="3"/>
      <c r="AQ315" s="3"/>
      <c r="AR315" s="3"/>
      <c r="AS315" s="3"/>
      <c r="AT315" s="3"/>
      <c r="AU315" s="3" t="str">
        <f ca="1">IFERROR(__xludf.DUMMYFUNCTION("""COMPUTED_VALUE"""),"cílený outstream")</f>
        <v>cílený outstream</v>
      </c>
    </row>
    <row r="316" spans="1:47" x14ac:dyDescent="0.3">
      <c r="A316" s="3">
        <f ca="1"/>
        <v>2346826</v>
      </c>
      <c r="B316" s="3" t="str">
        <f ca="1"/>
        <v>CZECH NEWS CENTER a. s.</v>
      </c>
      <c r="C316" s="3" t="str">
        <f ca="1">IFERROR(__xludf.DUMMYFUNCTION("""COMPUTED_VALUE"""),"CNC IT &amp; mobile &amp; digital pack")</f>
        <v>CNC IT &amp; mobile &amp; digital pack</v>
      </c>
      <c r="D316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6" s="3" t="str">
        <f ca="1">IFERROR(__xludf.DUMMYFUNCTION("""COMPUTED_VALUE"""),"celý web")</f>
        <v>celý web</v>
      </c>
      <c r="F316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6" s="3" t="str">
        <f ca="1">IFERROR(__xludf.DUMMYFUNCTION("""COMPUTED_VALUE"""),"cílený Smarticle low season")</f>
        <v>cílený Smarticle low season</v>
      </c>
      <c r="H316" s="3">
        <f ca="1">IFERROR(__xludf.DUMMYFUNCTION("""COMPUTED_VALUE"""),7)</f>
        <v>7</v>
      </c>
      <c r="I316" s="5">
        <f ca="1">IFERROR(__xludf.DUMMYFUNCTION("""COMPUTED_VALUE"""),1000)</f>
        <v>1000</v>
      </c>
      <c r="J316" s="5">
        <f ca="1">IFERROR(__xludf.DUMMYFUNCTION("""COMPUTED_VALUE"""),240)</f>
        <v>240</v>
      </c>
      <c r="K316" s="3"/>
      <c r="L316" s="3" t="str">
        <f ca="1">IFERROR(__xludf.DUMMYFUNCTION("""COMPUTED_VALUE"""),"Cost per period")</f>
        <v>Cost per period</v>
      </c>
      <c r="M316" s="3"/>
      <c r="N316" s="3" t="str">
        <f ca="1">IFERROR(__xludf.DUMMYFUNCTION("""COMPUTED_VALUE"""),"A4")</f>
        <v>A4</v>
      </c>
      <c r="O316" s="3"/>
      <c r="P316" s="3"/>
      <c r="Q316" s="3" t="str">
        <f ca="1">IFERROR(__xludf.DUMMYFUNCTION("""COMPUTED_VALUE"""),"viz. tech.specifikace; HP + sekce")</f>
        <v>viz. tech.specifikace; HP + sekce</v>
      </c>
      <c r="R316" s="3" t="str">
        <f ca="1">IFERROR(__xludf.DUMMYFUNCTION("""COMPUTED_VALUE"""),"HP + sekce")</f>
        <v>HP + sekce</v>
      </c>
      <c r="S316" s="3" t="str">
        <f ca="1">IFERROR(__xludf.DUMMYFUNCTION("""COMPUTED_VALUE"""),"100")</f>
        <v>100</v>
      </c>
      <c r="T316" s="3"/>
      <c r="U316" s="3" t="str">
        <f ca="1">IFERROR(__xludf.DUMMYFUNCTION("""COMPUTED_VALUE"""),"pr článek")</f>
        <v>pr článek</v>
      </c>
      <c r="V316" s="3"/>
      <c r="W316" s="4" t="str">
        <f ca="1">IFERROR(__xludf.DUMMYFUNCTION("""COMPUTED_VALUE"""),"https://reklama.cncenter.cz/Online/Smarticle")</f>
        <v>https://reklama.cncenter.cz/Online/Smarticle</v>
      </c>
      <c r="X316" s="3"/>
      <c r="Y316" s="3"/>
      <c r="Z316" s="3" t="str">
        <f ca="1">IFERROR(__xludf.DUMMYFUNCTION("""COMPUTED_VALUE"""),"podklady@cncenter.cz")</f>
        <v>podklady@cncenter.cz</v>
      </c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 t="str">
        <f ca="1">IFERROR(__xludf.DUMMYFUNCTION("""COMPUTED_VALUE"""),"cross-device")</f>
        <v>cross-device</v>
      </c>
      <c r="AO316" s="3"/>
      <c r="AP316" s="3"/>
      <c r="AQ316" s="3"/>
      <c r="AR316" s="3"/>
      <c r="AS316" s="3"/>
      <c r="AT316" s="3"/>
      <c r="AU316" s="3" t="str">
        <f ca="1">IFERROR(__xludf.DUMMYFUNCTION("""COMPUTED_VALUE"""),"cílený Smarticle")</f>
        <v>cílený Smarticle</v>
      </c>
    </row>
    <row r="317" spans="1:47" x14ac:dyDescent="0.3">
      <c r="A317" s="3">
        <f ca="1"/>
        <v>2346826</v>
      </c>
      <c r="B317" s="3" t="str">
        <f ca="1"/>
        <v>CZECH NEWS CENTER a. s.</v>
      </c>
      <c r="C317" s="3" t="str">
        <f ca="1">IFERROR(__xludf.DUMMYFUNCTION("""COMPUTED_VALUE"""),"CNC IT &amp; mobile &amp; digital pack")</f>
        <v>CNC IT &amp; mobile &amp; digital pack</v>
      </c>
      <c r="D317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7" s="3" t="str">
        <f ca="1">IFERROR(__xludf.DUMMYFUNCTION("""COMPUTED_VALUE"""),"celý web")</f>
        <v>celý web</v>
      </c>
      <c r="F317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7" s="3" t="str">
        <f ca="1">IFERROR(__xludf.DUMMYFUNCTION("""COMPUTED_VALUE"""),"cílený videospot - max. 30 sec. / bumper low season")</f>
        <v>cílený videospot - max. 30 sec. / bumper low season</v>
      </c>
      <c r="H317" s="3">
        <f ca="1">IFERROR(__xludf.DUMMYFUNCTION("""COMPUTED_VALUE"""),7)</f>
        <v>7</v>
      </c>
      <c r="I317" s="5">
        <f ca="1">IFERROR(__xludf.DUMMYFUNCTION("""COMPUTED_VALUE"""),1000)</f>
        <v>1000</v>
      </c>
      <c r="J317" s="5">
        <f ca="1">IFERROR(__xludf.DUMMYFUNCTION("""COMPUTED_VALUE"""),816)</f>
        <v>816</v>
      </c>
      <c r="K317" s="3"/>
      <c r="L317" s="3" t="str">
        <f ca="1">IFERROR(__xludf.DUMMYFUNCTION("""COMPUTED_VALUE"""),"Cost per period")</f>
        <v>Cost per period</v>
      </c>
      <c r="M317" s="3"/>
      <c r="N317" s="3"/>
      <c r="O317" s="3" t="str">
        <f ca="1">IFERROR(__xludf.DUMMYFUNCTION("""COMPUTED_VALUE"""),"1280")</f>
        <v>1280</v>
      </c>
      <c r="P317" s="3" t="str">
        <f ca="1">IFERROR(__xludf.DUMMYFUNCTION("""COMPUTED_VALUE"""),"720")</f>
        <v>720</v>
      </c>
      <c r="Q317" s="3" t="str">
        <f ca="1">IFERROR(__xludf.DUMMYFUNCTION("""COMPUTED_VALUE"""),"16:9 / umístění po domluvě dle možností")</f>
        <v>16:9 / umístění po domluvě dle možností</v>
      </c>
      <c r="R317" s="3" t="str">
        <f ca="1">IFERROR(__xludf.DUMMYFUNCTION("""COMPUTED_VALUE"""),"přeskočení po 7 sekundách")</f>
        <v>přeskočení po 7 sekundách</v>
      </c>
      <c r="S317" s="3" t="str">
        <f ca="1">IFERROR(__xludf.DUMMYFUNCTION("""COMPUTED_VALUE"""),"100")</f>
        <v>100</v>
      </c>
      <c r="T317" s="3"/>
      <c r="U317" s="3" t="str">
        <f ca="1">IFERROR(__xludf.DUMMYFUNCTION("""COMPUTED_VALUE"""),"videospot")</f>
        <v>videospot</v>
      </c>
      <c r="V317" s="3"/>
      <c r="W317" s="4" t="str">
        <f ca="1">IFERROR(__xludf.DUMMYFUNCTION("""COMPUTED_VALUE"""),"https://reklama.cncenter.cz/Online/Bumper")</f>
        <v>https://reklama.cncenter.cz/Online/Bumper</v>
      </c>
      <c r="X317" s="3"/>
      <c r="Y317" s="3"/>
      <c r="Z317" s="3" t="str">
        <f ca="1">IFERROR(__xludf.DUMMYFUNCTION("""COMPUTED_VALUE"""),"podklady@cncenter.cz")</f>
        <v>podklady@cncenter.cz</v>
      </c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 t="str">
        <f ca="1">IFERROR(__xludf.DUMMYFUNCTION("""COMPUTED_VALUE"""),"cross-device")</f>
        <v>cross-device</v>
      </c>
      <c r="AO317" s="3"/>
      <c r="AP317" s="3"/>
      <c r="AQ317" s="3"/>
      <c r="AR317" s="3"/>
      <c r="AS317" s="3"/>
      <c r="AT317" s="3"/>
      <c r="AU317" s="3" t="str">
        <f ca="1">IFERROR(__xludf.DUMMYFUNCTION("""COMPUTED_VALUE"""),"cílený videospot - max. 30 sec. / bumper")</f>
        <v>cílený videospot - max. 30 sec. / bumper</v>
      </c>
    </row>
    <row r="318" spans="1:47" x14ac:dyDescent="0.3">
      <c r="A318" s="3">
        <f ca="1"/>
        <v>2346826</v>
      </c>
      <c r="B318" s="3" t="str">
        <f ca="1"/>
        <v>CZECH NEWS CENTER a. s.</v>
      </c>
      <c r="C318" s="3" t="str">
        <f ca="1">IFERROR(__xludf.DUMMYFUNCTION("""COMPUTED_VALUE"""),"CNC IT &amp; mobile &amp; digital pack")</f>
        <v>CNC IT &amp; mobile &amp; digital pack</v>
      </c>
      <c r="D318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8" s="3" t="str">
        <f ca="1">IFERROR(__xludf.DUMMYFUNCTION("""COMPUTED_VALUE"""),"celý web")</f>
        <v>celý web</v>
      </c>
      <c r="F318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8" s="3" t="str">
        <f ca="1">IFERROR(__xludf.DUMMYFUNCTION("""COMPUTED_VALUE"""),"double skyscraper low season")</f>
        <v>double skyscraper low season</v>
      </c>
      <c r="H318" s="3">
        <f ca="1">IFERROR(__xludf.DUMMYFUNCTION("""COMPUTED_VALUE"""),7)</f>
        <v>7</v>
      </c>
      <c r="I318" s="5">
        <f ca="1">IFERROR(__xludf.DUMMYFUNCTION("""COMPUTED_VALUE"""),1000)</f>
        <v>1000</v>
      </c>
      <c r="J318" s="5">
        <f ca="1">IFERROR(__xludf.DUMMYFUNCTION("""COMPUTED_VALUE"""),150)</f>
        <v>150</v>
      </c>
      <c r="K318" s="3"/>
      <c r="L318" s="3" t="str">
        <f ca="1">IFERROR(__xludf.DUMMYFUNCTION("""COMPUTED_VALUE"""),"Cost per period")</f>
        <v>Cost per period</v>
      </c>
      <c r="M318" s="3"/>
      <c r="N318" s="3"/>
      <c r="O318" s="3" t="str">
        <f ca="1">IFERROR(__xludf.DUMMYFUNCTION("""COMPUTED_VALUE"""),"300")</f>
        <v>300</v>
      </c>
      <c r="P318" s="3" t="str">
        <f ca="1">IFERROR(__xludf.DUMMYFUNCTION("""COMPUTED_VALUE"""),"600")</f>
        <v>600</v>
      </c>
      <c r="Q318" s="3" t="str">
        <f ca="1">IFERROR(__xludf.DUMMYFUNCTION("""COMPUTED_VALUE"""),"300x600")</f>
        <v>300x600</v>
      </c>
      <c r="R318" s="3"/>
      <c r="S318" s="3" t="str">
        <f ca="1">IFERROR(__xludf.DUMMYFUNCTION("""COMPUTED_VALUE"""),"100 (200 - HTML5)")</f>
        <v>100 (200 - HTML5)</v>
      </c>
      <c r="T318" s="3"/>
      <c r="U318" s="3" t="str">
        <f ca="1">IFERROR(__xludf.DUMMYFUNCTION("""COMPUTED_VALUE"""),"banner standard")</f>
        <v>banner standard</v>
      </c>
      <c r="V318" s="3"/>
      <c r="W318" s="4" t="str">
        <f ca="1">IFERROR(__xludf.DUMMYFUNCTION("""COMPUTED_VALUE"""),"https://reklama.cncenter.cz/Online/double-skyscraper")</f>
        <v>https://reklama.cncenter.cz/Online/double-skyscraper</v>
      </c>
      <c r="X318" s="3"/>
      <c r="Y318" s="3"/>
      <c r="Z318" s="3" t="str">
        <f ca="1">IFERROR(__xludf.DUMMYFUNCTION("""COMPUTED_VALUE"""),"podklady@cncenter.cz")</f>
        <v>podklady@cncenter.cz</v>
      </c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 t="str">
        <f ca="1">IFERROR(__xludf.DUMMYFUNCTION("""COMPUTED_VALUE"""),"desktop")</f>
        <v>desktop</v>
      </c>
      <c r="AO318" s="3"/>
      <c r="AP318" s="3"/>
      <c r="AQ318" s="3"/>
      <c r="AR318" s="3"/>
      <c r="AS318" s="3"/>
      <c r="AT318" s="3"/>
      <c r="AU318" s="3" t="str">
        <f ca="1">IFERROR(__xludf.DUMMYFUNCTION("""COMPUTED_VALUE"""),"double skyscraper")</f>
        <v>double skyscraper</v>
      </c>
    </row>
    <row r="319" spans="1:47" x14ac:dyDescent="0.3">
      <c r="A319" s="3">
        <f ca="1"/>
        <v>2346826</v>
      </c>
      <c r="B319" s="3" t="str">
        <f ca="1"/>
        <v>CZECH NEWS CENTER a. s.</v>
      </c>
      <c r="C319" s="3" t="str">
        <f ca="1">IFERROR(__xludf.DUMMYFUNCTION("""COMPUTED_VALUE"""),"CNC IT &amp; mobile &amp; digital pack")</f>
        <v>CNC IT &amp; mobile &amp; digital pack</v>
      </c>
      <c r="D319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9" s="3" t="str">
        <f ca="1">IFERROR(__xludf.DUMMYFUNCTION("""COMPUTED_VALUE"""),"celý web")</f>
        <v>celý web</v>
      </c>
      <c r="F319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9" s="3" t="str">
        <f ca="1">IFERROR(__xludf.DUMMYFUNCTION("""COMPUTED_VALUE"""),"mobilní interscroller low season")</f>
        <v>mobilní interscroller low season</v>
      </c>
      <c r="H319" s="3">
        <f ca="1">IFERROR(__xludf.DUMMYFUNCTION("""COMPUTED_VALUE"""),7)</f>
        <v>7</v>
      </c>
      <c r="I319" s="5">
        <f ca="1">IFERROR(__xludf.DUMMYFUNCTION("""COMPUTED_VALUE"""),1000)</f>
        <v>1000</v>
      </c>
      <c r="J319" s="5">
        <f ca="1">IFERROR(__xludf.DUMMYFUNCTION("""COMPUTED_VALUE"""),200)</f>
        <v>200</v>
      </c>
      <c r="K319" s="3"/>
      <c r="L319" s="3" t="str">
        <f ca="1">IFERROR(__xludf.DUMMYFUNCTION("""COMPUTED_VALUE"""),"Cost per period")</f>
        <v>Cost per period</v>
      </c>
      <c r="M319" s="3"/>
      <c r="N319" s="3"/>
      <c r="O319" s="3" t="str">
        <f ca="1">IFERROR(__xludf.DUMMYFUNCTION("""COMPUTED_VALUE"""),"600")</f>
        <v>600</v>
      </c>
      <c r="P319" s="3" t="str">
        <f ca="1">IFERROR(__xludf.DUMMYFUNCTION("""COMPUTED_VALUE"""),"1080")</f>
        <v>1080</v>
      </c>
      <c r="Q319" s="3" t="str">
        <f ca="1">IFERROR(__xludf.DUMMYFUNCTION("""COMPUTED_VALUE"""),"600x1080")</f>
        <v>600x1080</v>
      </c>
      <c r="R319" s="3"/>
      <c r="S319" s="3" t="str">
        <f ca="1">IFERROR(__xludf.DUMMYFUNCTION("""COMPUTED_VALUE"""),"200")</f>
        <v>200</v>
      </c>
      <c r="T319" s="3"/>
      <c r="U319" s="3" t="str">
        <f ca="1">IFERROR(__xludf.DUMMYFUNCTION("""COMPUTED_VALUE"""),"banner standard")</f>
        <v>banner standard</v>
      </c>
      <c r="V319" s="3"/>
      <c r="W319" s="4" t="str">
        <f ca="1">IFERROR(__xludf.DUMMYFUNCTION("""COMPUTED_VALUE"""),"https://reklama.cncenter.cz/Online/mobilni-interscroller")</f>
        <v>https://reklama.cncenter.cz/Online/mobilni-interscroller</v>
      </c>
      <c r="X319" s="3"/>
      <c r="Y319" s="3"/>
      <c r="Z319" s="3" t="str">
        <f ca="1">IFERROR(__xludf.DUMMYFUNCTION("""COMPUTED_VALUE"""),"podklady@cncenter.cz")</f>
        <v>podklady@cncenter.cz</v>
      </c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 t="str">
        <f ca="1">IFERROR(__xludf.DUMMYFUNCTION("""COMPUTED_VALUE"""),"mobile")</f>
        <v>mobile</v>
      </c>
      <c r="AO319" s="3"/>
      <c r="AP319" s="3"/>
      <c r="AQ319" s="3"/>
      <c r="AR319" s="3"/>
      <c r="AS319" s="3"/>
      <c r="AT319" s="3"/>
      <c r="AU319" s="3" t="str">
        <f ca="1">IFERROR(__xludf.DUMMYFUNCTION("""COMPUTED_VALUE"""),"mobilní interscroller")</f>
        <v>mobilní interscroller</v>
      </c>
    </row>
    <row r="320" spans="1:47" x14ac:dyDescent="0.3">
      <c r="A320" s="3">
        <f ca="1"/>
        <v>2346826</v>
      </c>
      <c r="B320" s="3" t="str">
        <f ca="1"/>
        <v>CZECH NEWS CENTER a. s.</v>
      </c>
      <c r="C320" s="3" t="str">
        <f ca="1">IFERROR(__xludf.DUMMYFUNCTION("""COMPUTED_VALUE"""),"CNC IT &amp; mobile &amp; digital pack")</f>
        <v>CNC IT &amp; mobile &amp; digital pack</v>
      </c>
      <c r="D320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20" s="3" t="str">
        <f ca="1">IFERROR(__xludf.DUMMYFUNCTION("""COMPUTED_VALUE"""),"celý web")</f>
        <v>celý web</v>
      </c>
      <c r="F320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20" s="3" t="str">
        <f ca="1">IFERROR(__xludf.DUMMYFUNCTION("""COMPUTED_VALUE"""),"mobilní slide-up low season")</f>
        <v>mobilní slide-up low season</v>
      </c>
      <c r="H320" s="3">
        <f ca="1">IFERROR(__xludf.DUMMYFUNCTION("""COMPUTED_VALUE"""),7)</f>
        <v>7</v>
      </c>
      <c r="I320" s="5">
        <f ca="1">IFERROR(__xludf.DUMMYFUNCTION("""COMPUTED_VALUE"""),1000)</f>
        <v>1000</v>
      </c>
      <c r="J320" s="5">
        <f ca="1">IFERROR(__xludf.DUMMYFUNCTION("""COMPUTED_VALUE"""),400)</f>
        <v>400</v>
      </c>
      <c r="K320" s="3"/>
      <c r="L320" s="3" t="str">
        <f ca="1">IFERROR(__xludf.DUMMYFUNCTION("""COMPUTED_VALUE"""),"Cost per period")</f>
        <v>Cost per period</v>
      </c>
      <c r="M320" s="3"/>
      <c r="N320" s="3"/>
      <c r="O320" s="3" t="str">
        <f ca="1">IFERROR(__xludf.DUMMYFUNCTION("""COMPUTED_VALUE"""),"300")</f>
        <v>300</v>
      </c>
      <c r="P320" s="3" t="str">
        <f ca="1">IFERROR(__xludf.DUMMYFUNCTION("""COMPUTED_VALUE"""),"120")</f>
        <v>120</v>
      </c>
      <c r="Q320" s="3" t="str">
        <f ca="1">IFERROR(__xludf.DUMMYFUNCTION("""COMPUTED_VALUE"""),"300x120")</f>
        <v>300x120</v>
      </c>
      <c r="R320" s="3"/>
      <c r="S320" s="3" t="str">
        <f ca="1">IFERROR(__xludf.DUMMYFUNCTION("""COMPUTED_VALUE"""),"100")</f>
        <v>100</v>
      </c>
      <c r="T320" s="3"/>
      <c r="U320" s="3" t="str">
        <f ca="1">IFERROR(__xludf.DUMMYFUNCTION("""COMPUTED_VALUE"""),"banner standard")</f>
        <v>banner standard</v>
      </c>
      <c r="V320" s="3"/>
      <c r="W320" s="4" t="str">
        <f ca="1">IFERROR(__xludf.DUMMYFUNCTION("""COMPUTED_VALUE"""),"https://reklama.cncenter.cz/Online/mobilni-slide-up")</f>
        <v>https://reklama.cncenter.cz/Online/mobilni-slide-up</v>
      </c>
      <c r="X320" s="3"/>
      <c r="Y320" s="3"/>
      <c r="Z320" s="3" t="str">
        <f ca="1">IFERROR(__xludf.DUMMYFUNCTION("""COMPUTED_VALUE"""),"podklady@cncenter.cz")</f>
        <v>podklady@cncenter.cz</v>
      </c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 t="str">
        <f ca="1">IFERROR(__xludf.DUMMYFUNCTION("""COMPUTED_VALUE"""),"mobile")</f>
        <v>mobile</v>
      </c>
      <c r="AO320" s="3"/>
      <c r="AP320" s="3"/>
      <c r="AQ320" s="3"/>
      <c r="AR320" s="3"/>
      <c r="AS320" s="3"/>
      <c r="AT320" s="3"/>
      <c r="AU320" s="3" t="str">
        <f ca="1">IFERROR(__xludf.DUMMYFUNCTION("""COMPUTED_VALUE"""),"mobilní slide-up")</f>
        <v>mobilní slide-up</v>
      </c>
    </row>
    <row r="321" spans="1:47" x14ac:dyDescent="0.3">
      <c r="A321" s="3">
        <f ca="1"/>
        <v>2346826</v>
      </c>
      <c r="B321" s="3" t="str">
        <f ca="1"/>
        <v>CZECH NEWS CENTER a. s.</v>
      </c>
      <c r="C321" s="3" t="str">
        <f ca="1">IFERROR(__xludf.DUMMYFUNCTION("""COMPUTED_VALUE"""),"CNC IT &amp; mobile &amp; digital pack")</f>
        <v>CNC IT &amp; mobile &amp; digital pack</v>
      </c>
      <c r="D321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21" s="3" t="str">
        <f ca="1">IFERROR(__xludf.DUMMYFUNCTION("""COMPUTED_VALUE"""),"celý web")</f>
        <v>celý web</v>
      </c>
      <c r="F321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21" s="3" t="str">
        <f ca="1">IFERROR(__xludf.DUMMYFUNCTION("""COMPUTED_VALUE"""),"mobilní viněta low season")</f>
        <v>mobilní viněta low season</v>
      </c>
      <c r="H321" s="3">
        <f ca="1">IFERROR(__xludf.DUMMYFUNCTION("""COMPUTED_VALUE"""),7)</f>
        <v>7</v>
      </c>
      <c r="I321" s="5">
        <f ca="1">IFERROR(__xludf.DUMMYFUNCTION("""COMPUTED_VALUE"""),1000)</f>
        <v>1000</v>
      </c>
      <c r="J321" s="5">
        <f ca="1">IFERROR(__xludf.DUMMYFUNCTION("""COMPUTED_VALUE"""),560)</f>
        <v>560</v>
      </c>
      <c r="K321" s="3"/>
      <c r="L321" s="3" t="str">
        <f ca="1">IFERROR(__xludf.DUMMYFUNCTION("""COMPUTED_VALUE"""),"Cost per period")</f>
        <v>Cost per period</v>
      </c>
      <c r="M321" s="3"/>
      <c r="N321" s="3"/>
      <c r="O321" s="3" t="str">
        <f ca="1">IFERROR(__xludf.DUMMYFUNCTION("""COMPUTED_VALUE"""),"600")</f>
        <v>600</v>
      </c>
      <c r="P321" s="3" t="str">
        <f ca="1">IFERROR(__xludf.DUMMYFUNCTION("""COMPUTED_VALUE"""),"800")</f>
        <v>800</v>
      </c>
      <c r="Q321" s="3" t="str">
        <f ca="1">IFERROR(__xludf.DUMMYFUNCTION("""COMPUTED_VALUE"""),"300x250 nebo 600x800")</f>
        <v>300x250 nebo 600x800</v>
      </c>
      <c r="R321" s="3"/>
      <c r="S321" s="3" t="str">
        <f ca="1">IFERROR(__xludf.DUMMYFUNCTION("""COMPUTED_VALUE"""),"100")</f>
        <v>100</v>
      </c>
      <c r="T321" s="3"/>
      <c r="U321" s="3" t="str">
        <f ca="1">IFERROR(__xludf.DUMMYFUNCTION("""COMPUTED_VALUE"""),"banner standard")</f>
        <v>banner standard</v>
      </c>
      <c r="V321" s="3"/>
      <c r="W321" s="4" t="str">
        <f ca="1">IFERROR(__xludf.DUMMYFUNCTION("""COMPUTED_VALUE"""),"https://reklama.cncenter.cz/Online/mobilni-vineta")</f>
        <v>https://reklama.cncenter.cz/Online/mobilni-vineta</v>
      </c>
      <c r="X321" s="3"/>
      <c r="Y321" s="3"/>
      <c r="Z321" s="3" t="str">
        <f ca="1">IFERROR(__xludf.DUMMYFUNCTION("""COMPUTED_VALUE"""),"podklady@cncenter.cz")</f>
        <v>podklady@cncenter.cz</v>
      </c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 t="str">
        <f ca="1">IFERROR(__xludf.DUMMYFUNCTION("""COMPUTED_VALUE"""),"mobile")</f>
        <v>mobile</v>
      </c>
      <c r="AO321" s="3"/>
      <c r="AP321" s="3"/>
      <c r="AQ321" s="3"/>
      <c r="AR321" s="3"/>
      <c r="AS321" s="3"/>
      <c r="AT321" s="3"/>
      <c r="AU321" s="3" t="str">
        <f ca="1">IFERROR(__xludf.DUMMYFUNCTION("""COMPUTED_VALUE"""),"mobilní viněta")</f>
        <v>mobilní viněta</v>
      </c>
    </row>
    <row r="322" spans="1:47" x14ac:dyDescent="0.3">
      <c r="A322" s="3">
        <f ca="1"/>
        <v>2346826</v>
      </c>
      <c r="B322" s="3" t="str">
        <f ca="1"/>
        <v>CZECH NEWS CENTER a. s.</v>
      </c>
      <c r="C322" s="3" t="str">
        <f ca="1">IFERROR(__xludf.DUMMYFUNCTION("""COMPUTED_VALUE"""),"CNC IT &amp; mobile &amp; digital pack")</f>
        <v>CNC IT &amp; mobile &amp; digital pack</v>
      </c>
      <c r="D322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22" s="3" t="str">
        <f ca="1">IFERROR(__xludf.DUMMYFUNCTION("""COMPUTED_VALUE"""),"celý web")</f>
        <v>celý web</v>
      </c>
      <c r="F322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22" s="3" t="str">
        <f ca="1">IFERROR(__xludf.DUMMYFUNCTION("""COMPUTED_VALUE"""),"nativní rectangle cross-device low season")</f>
        <v>nativní rectangle cross-device low season</v>
      </c>
      <c r="H322" s="3">
        <f ca="1">IFERROR(__xludf.DUMMYFUNCTION("""COMPUTED_VALUE"""),7)</f>
        <v>7</v>
      </c>
      <c r="I322" s="5">
        <f ca="1">IFERROR(__xludf.DUMMYFUNCTION("""COMPUTED_VALUE"""),1000)</f>
        <v>1000</v>
      </c>
      <c r="J322" s="5">
        <f ca="1">IFERROR(__xludf.DUMMYFUNCTION("""COMPUTED_VALUE"""),150)</f>
        <v>150</v>
      </c>
      <c r="K322" s="3"/>
      <c r="L322" s="3" t="str">
        <f ca="1">IFERROR(__xludf.DUMMYFUNCTION("""COMPUTED_VALUE"""),"Cost per period")</f>
        <v>Cost per period</v>
      </c>
      <c r="M322" s="3"/>
      <c r="N322" s="3"/>
      <c r="O322" s="3" t="str">
        <f ca="1">IFERROR(__xludf.DUMMYFUNCTION("""COMPUTED_VALUE"""),"640")</f>
        <v>640</v>
      </c>
      <c r="P322" s="3" t="str">
        <f ca="1">IFERROR(__xludf.DUMMYFUNCTION("""COMPUTED_VALUE"""),"335, 640")</f>
        <v>335, 640</v>
      </c>
      <c r="Q322" s="3" t="str">
        <f ca="1">IFERROR(__xludf.DUMMYFUNCTION("""COMPUTED_VALUE"""),"640x640 a 640x335 + text + logo")</f>
        <v>640x640 a 640x335 + text + logo</v>
      </c>
      <c r="R322" s="3"/>
      <c r="S322" s="3" t="str">
        <f ca="1">IFERROR(__xludf.DUMMYFUNCTION("""COMPUTED_VALUE"""),"45")</f>
        <v>45</v>
      </c>
      <c r="T322" s="3"/>
      <c r="U322" s="3" t="str">
        <f ca="1">IFERROR(__xludf.DUMMYFUNCTION("""COMPUTED_VALUE"""),"nativní reklama")</f>
        <v>nativní reklama</v>
      </c>
      <c r="V322" s="3"/>
      <c r="W322" s="4" t="str">
        <f ca="1">IFERROR(__xludf.DUMMYFUNCTION("""COMPUTED_VALUE"""),"https://reklama.cncenter.cz/Online/nativni-rectangle-cross-device")</f>
        <v>https://reklama.cncenter.cz/Online/nativni-rectangle-cross-device</v>
      </c>
      <c r="X322" s="3"/>
      <c r="Y322" s="3"/>
      <c r="Z322" s="3" t="str">
        <f ca="1">IFERROR(__xludf.DUMMYFUNCTION("""COMPUTED_VALUE"""),"podklady@cncenter.cz")</f>
        <v>podklady@cncenter.cz</v>
      </c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 t="str">
        <f ca="1">IFERROR(__xludf.DUMMYFUNCTION("""COMPUTED_VALUE"""),"cross-device")</f>
        <v>cross-device</v>
      </c>
      <c r="AO322" s="3"/>
      <c r="AP322" s="3"/>
      <c r="AQ322" s="3"/>
      <c r="AR322" s="3"/>
      <c r="AS322" s="3"/>
      <c r="AT322" s="3"/>
      <c r="AU322" s="3" t="str">
        <f ca="1">IFERROR(__xludf.DUMMYFUNCTION("""COMPUTED_VALUE"""),"nativní rectangle cross-device")</f>
        <v>nativní rectangle cross-device</v>
      </c>
    </row>
    <row r="323" spans="1:47" x14ac:dyDescent="0.3">
      <c r="A323" s="3">
        <f ca="1"/>
        <v>2346826</v>
      </c>
      <c r="B323" s="3" t="str">
        <f ca="1"/>
        <v>CZECH NEWS CENTER a. s.</v>
      </c>
      <c r="C323" s="3" t="str">
        <f ca="1">IFERROR(__xludf.DUMMYFUNCTION("""COMPUTED_VALUE"""),"CNC IT &amp; mobile &amp; digital pack")</f>
        <v>CNC IT &amp; mobile &amp; digital pack</v>
      </c>
      <c r="D323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23" s="3" t="str">
        <f ca="1">IFERROR(__xludf.DUMMYFUNCTION("""COMPUTED_VALUE"""),"celý web")</f>
        <v>celý web</v>
      </c>
      <c r="F323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23" s="3" t="str">
        <f ca="1">IFERROR(__xludf.DUMMYFUNCTION("""COMPUTED_VALUE"""),"outstream low season")</f>
        <v>outstream low season</v>
      </c>
      <c r="H323" s="3">
        <f ca="1">IFERROR(__xludf.DUMMYFUNCTION("""COMPUTED_VALUE"""),7)</f>
        <v>7</v>
      </c>
      <c r="I323" s="5">
        <f ca="1">IFERROR(__xludf.DUMMYFUNCTION("""COMPUTED_VALUE"""),1000)</f>
        <v>1000</v>
      </c>
      <c r="J323" s="5">
        <f ca="1">IFERROR(__xludf.DUMMYFUNCTION("""COMPUTED_VALUE"""),230)</f>
        <v>230</v>
      </c>
      <c r="K323" s="3"/>
      <c r="L323" s="3" t="str">
        <f ca="1">IFERROR(__xludf.DUMMYFUNCTION("""COMPUTED_VALUE"""),"Cost per period")</f>
        <v>Cost per period</v>
      </c>
      <c r="M323" s="3"/>
      <c r="N323" s="3"/>
      <c r="O323" s="3" t="str">
        <f ca="1">IFERROR(__xludf.DUMMYFUNCTION("""COMPUTED_VALUE"""),"1280")</f>
        <v>1280</v>
      </c>
      <c r="P323" s="3" t="str">
        <f ca="1">IFERROR(__xludf.DUMMYFUNCTION("""COMPUTED_VALUE"""),"720")</f>
        <v>720</v>
      </c>
      <c r="Q323" s="3" t="str">
        <f ca="1">IFERROR(__xludf.DUMMYFUNCTION("""COMPUTED_VALUE"""),"16:9")</f>
        <v>16:9</v>
      </c>
      <c r="R323" s="3"/>
      <c r="S323" s="3" t="str">
        <f ca="1">IFERROR(__xludf.DUMMYFUNCTION("""COMPUTED_VALUE"""),"100")</f>
        <v>100</v>
      </c>
      <c r="T323" s="3"/>
      <c r="U323" s="3" t="str">
        <f ca="1">IFERROR(__xludf.DUMMYFUNCTION("""COMPUTED_VALUE"""),"videospot")</f>
        <v>videospot</v>
      </c>
      <c r="V323" s="3"/>
      <c r="W323" s="4" t="str">
        <f ca="1">IFERROR(__xludf.DUMMYFUNCTION("""COMPUTED_VALUE"""),"https://reklama.cncenter.cz/Online/Outstream")</f>
        <v>https://reklama.cncenter.cz/Online/Outstream</v>
      </c>
      <c r="X323" s="3"/>
      <c r="Y323" s="3"/>
      <c r="Z323" s="3" t="str">
        <f ca="1">IFERROR(__xludf.DUMMYFUNCTION("""COMPUTED_VALUE"""),"podklady@cncenter.cz")</f>
        <v>podklady@cncenter.cz</v>
      </c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 t="str">
        <f ca="1">IFERROR(__xludf.DUMMYFUNCTION("""COMPUTED_VALUE"""),"cross-device")</f>
        <v>cross-device</v>
      </c>
      <c r="AO323" s="3"/>
      <c r="AP323" s="3"/>
      <c r="AQ323" s="3"/>
      <c r="AR323" s="3"/>
      <c r="AS323" s="3"/>
      <c r="AT323" s="3"/>
      <c r="AU323" s="3" t="str">
        <f ca="1">IFERROR(__xludf.DUMMYFUNCTION("""COMPUTED_VALUE"""),"outstream")</f>
        <v>outstream</v>
      </c>
    </row>
    <row r="324" spans="1:47" x14ac:dyDescent="0.3">
      <c r="A324" s="3">
        <f ca="1"/>
        <v>2346826</v>
      </c>
      <c r="B324" s="3" t="str">
        <f ca="1"/>
        <v>CZECH NEWS CENTER a. s.</v>
      </c>
      <c r="C324" s="3" t="str">
        <f ca="1">IFERROR(__xludf.DUMMYFUNCTION("""COMPUTED_VALUE"""),"CNC IT &amp; mobile &amp; digital pack")</f>
        <v>CNC IT &amp; mobile &amp; digital pack</v>
      </c>
      <c r="D324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24" s="3" t="str">
        <f ca="1">IFERROR(__xludf.DUMMYFUNCTION("""COMPUTED_VALUE"""),"celý web")</f>
        <v>celý web</v>
      </c>
      <c r="F324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24" s="3" t="str">
        <f ca="1">IFERROR(__xludf.DUMMYFUNCTION("""COMPUTED_VALUE"""),"Smarticle low season")</f>
        <v>Smarticle low season</v>
      </c>
      <c r="H324" s="3">
        <f ca="1">IFERROR(__xludf.DUMMYFUNCTION("""COMPUTED_VALUE"""),7)</f>
        <v>7</v>
      </c>
      <c r="I324" s="5">
        <f ca="1">IFERROR(__xludf.DUMMYFUNCTION("""COMPUTED_VALUE"""),1000)</f>
        <v>1000</v>
      </c>
      <c r="J324" s="5">
        <f ca="1">IFERROR(__xludf.DUMMYFUNCTION("""COMPUTED_VALUE"""),200)</f>
        <v>200</v>
      </c>
      <c r="K324" s="3"/>
      <c r="L324" s="3" t="str">
        <f ca="1">IFERROR(__xludf.DUMMYFUNCTION("""COMPUTED_VALUE"""),"Cost per period")</f>
        <v>Cost per period</v>
      </c>
      <c r="M324" s="3"/>
      <c r="N324" s="3" t="str">
        <f ca="1">IFERROR(__xludf.DUMMYFUNCTION("""COMPUTED_VALUE"""),"A4")</f>
        <v>A4</v>
      </c>
      <c r="O324" s="3"/>
      <c r="P324" s="3"/>
      <c r="Q324" s="3" t="str">
        <f ca="1">IFERROR(__xludf.DUMMYFUNCTION("""COMPUTED_VALUE"""),"viz. tech.specifikace; HP + sekce")</f>
        <v>viz. tech.specifikace; HP + sekce</v>
      </c>
      <c r="R324" s="3" t="str">
        <f ca="1">IFERROR(__xludf.DUMMYFUNCTION("""COMPUTED_VALUE"""),"HP + sekce")</f>
        <v>HP + sekce</v>
      </c>
      <c r="S324" s="3" t="str">
        <f ca="1">IFERROR(__xludf.DUMMYFUNCTION("""COMPUTED_VALUE"""),"100")</f>
        <v>100</v>
      </c>
      <c r="T324" s="3"/>
      <c r="U324" s="3" t="str">
        <f ca="1">IFERROR(__xludf.DUMMYFUNCTION("""COMPUTED_VALUE"""),"pr článek")</f>
        <v>pr článek</v>
      </c>
      <c r="V324" s="3"/>
      <c r="W324" s="4" t="str">
        <f ca="1">IFERROR(__xludf.DUMMYFUNCTION("""COMPUTED_VALUE"""),"https://reklama.cncenter.cz/Online/Smarticle")</f>
        <v>https://reklama.cncenter.cz/Online/Smarticle</v>
      </c>
      <c r="X324" s="3"/>
      <c r="Y324" s="3"/>
      <c r="Z324" s="3" t="str">
        <f ca="1">IFERROR(__xludf.DUMMYFUNCTION("""COMPUTED_VALUE"""),"podklady@cncenter.cz")</f>
        <v>podklady@cncenter.cz</v>
      </c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 t="str">
        <f ca="1">IFERROR(__xludf.DUMMYFUNCTION("""COMPUTED_VALUE"""),"cross-device")</f>
        <v>cross-device</v>
      </c>
      <c r="AO324" s="3"/>
      <c r="AP324" s="3"/>
      <c r="AQ324" s="3"/>
      <c r="AR324" s="3"/>
      <c r="AS324" s="3"/>
      <c r="AT324" s="3"/>
      <c r="AU324" s="3" t="str">
        <f ca="1">IFERROR(__xludf.DUMMYFUNCTION("""COMPUTED_VALUE"""),"Smarticle")</f>
        <v>Smarticle</v>
      </c>
    </row>
    <row r="325" spans="1:47" x14ac:dyDescent="0.3">
      <c r="A325" s="3">
        <f ca="1"/>
        <v>2346826</v>
      </c>
      <c r="B325" s="3" t="str">
        <f ca="1"/>
        <v>CZECH NEWS CENTER a. s.</v>
      </c>
      <c r="C325" s="3" t="str">
        <f ca="1">IFERROR(__xludf.DUMMYFUNCTION("""COMPUTED_VALUE"""),"CNC IT &amp; mobile &amp; digital pack")</f>
        <v>CNC IT &amp; mobile &amp; digital pack</v>
      </c>
      <c r="D325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25" s="3" t="str">
        <f ca="1">IFERROR(__xludf.DUMMYFUNCTION("""COMPUTED_VALUE"""),"celý web")</f>
        <v>celý web</v>
      </c>
      <c r="F325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25" s="3" t="str">
        <f ca="1">IFERROR(__xludf.DUMMYFUNCTION("""COMPUTED_VALUE"""),"videospot - max. 30 sec. / bumper low season")</f>
        <v>videospot - max. 30 sec. / bumper low season</v>
      </c>
      <c r="H325" s="3">
        <f ca="1">IFERROR(__xludf.DUMMYFUNCTION("""COMPUTED_VALUE"""),7)</f>
        <v>7</v>
      </c>
      <c r="I325" s="5">
        <f ca="1">IFERROR(__xludf.DUMMYFUNCTION("""COMPUTED_VALUE"""),1000)</f>
        <v>1000</v>
      </c>
      <c r="J325" s="5">
        <f ca="1">IFERROR(__xludf.DUMMYFUNCTION("""COMPUTED_VALUE"""),680)</f>
        <v>680</v>
      </c>
      <c r="K325" s="3"/>
      <c r="L325" s="3" t="str">
        <f ca="1">IFERROR(__xludf.DUMMYFUNCTION("""COMPUTED_VALUE"""),"Cost per period")</f>
        <v>Cost per period</v>
      </c>
      <c r="M325" s="3"/>
      <c r="N325" s="3"/>
      <c r="O325" s="3" t="str">
        <f ca="1">IFERROR(__xludf.DUMMYFUNCTION("""COMPUTED_VALUE"""),"1280")</f>
        <v>1280</v>
      </c>
      <c r="P325" s="3" t="str">
        <f ca="1">IFERROR(__xludf.DUMMYFUNCTION("""COMPUTED_VALUE"""),"720")</f>
        <v>720</v>
      </c>
      <c r="Q325" s="3" t="str">
        <f ca="1">IFERROR(__xludf.DUMMYFUNCTION("""COMPUTED_VALUE"""),"16:9 / umístění po domluvě dle možností")</f>
        <v>16:9 / umístění po domluvě dle možností</v>
      </c>
      <c r="R325" s="3" t="str">
        <f ca="1">IFERROR(__xludf.DUMMYFUNCTION("""COMPUTED_VALUE"""),"přeskočení po 7 sekundách")</f>
        <v>přeskočení po 7 sekundách</v>
      </c>
      <c r="S325" s="3" t="str">
        <f ca="1">IFERROR(__xludf.DUMMYFUNCTION("""COMPUTED_VALUE"""),"100")</f>
        <v>100</v>
      </c>
      <c r="T325" s="3"/>
      <c r="U325" s="3" t="str">
        <f ca="1">IFERROR(__xludf.DUMMYFUNCTION("""COMPUTED_VALUE"""),"videospot")</f>
        <v>videospot</v>
      </c>
      <c r="V325" s="3"/>
      <c r="W325" s="4" t="str">
        <f ca="1">IFERROR(__xludf.DUMMYFUNCTION("""COMPUTED_VALUE"""),"https://reklama.cncenter.cz/Online/Bumper")</f>
        <v>https://reklama.cncenter.cz/Online/Bumper</v>
      </c>
      <c r="X325" s="3"/>
      <c r="Y325" s="3"/>
      <c r="Z325" s="3" t="str">
        <f ca="1">IFERROR(__xludf.DUMMYFUNCTION("""COMPUTED_VALUE"""),"podklady@cncenter.cz")</f>
        <v>podklady@cncenter.cz</v>
      </c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 t="str">
        <f ca="1">IFERROR(__xludf.DUMMYFUNCTION("""COMPUTED_VALUE"""),"cross-device")</f>
        <v>cross-device</v>
      </c>
      <c r="AO325" s="3"/>
      <c r="AP325" s="3"/>
      <c r="AQ325" s="3"/>
      <c r="AR325" s="3"/>
      <c r="AS325" s="3"/>
      <c r="AT325" s="3"/>
      <c r="AU325" s="3" t="str">
        <f ca="1">IFERROR(__xludf.DUMMYFUNCTION("""COMPUTED_VALUE"""),"videospot - max. 30 sec. / bumper")</f>
        <v>videospot - max. 30 sec. / bumper</v>
      </c>
    </row>
    <row r="326" spans="1:47" x14ac:dyDescent="0.3">
      <c r="A326" s="3">
        <f ca="1"/>
        <v>2346826</v>
      </c>
      <c r="B326" s="3" t="str">
        <f ca="1"/>
        <v>CZECH NEWS CENTER a. s.</v>
      </c>
      <c r="C326" s="3" t="str">
        <f ca="1">IFERROR(__xludf.DUMMYFUNCTION("""COMPUTED_VALUE"""),"CNC muži pack")</f>
        <v>CNC muži pack</v>
      </c>
      <c r="D326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26" s="3" t="str">
        <f ca="1">IFERROR(__xludf.DUMMYFUNCTION("""COMPUTED_VALUE"""),"celý web")</f>
        <v>celý web</v>
      </c>
      <c r="F326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26" s="3" t="str">
        <f ca="1">IFERROR(__xludf.DUMMYFUNCTION("""COMPUTED_VALUE"""),"billboard bottom low season")</f>
        <v>billboard bottom low season</v>
      </c>
      <c r="H326" s="3">
        <f ca="1">IFERROR(__xludf.DUMMYFUNCTION("""COMPUTED_VALUE"""),7)</f>
        <v>7</v>
      </c>
      <c r="I326" s="5">
        <f ca="1">IFERROR(__xludf.DUMMYFUNCTION("""COMPUTED_VALUE"""),1000)</f>
        <v>1000</v>
      </c>
      <c r="J326" s="5">
        <f ca="1">IFERROR(__xludf.DUMMYFUNCTION("""COMPUTED_VALUE"""),210)</f>
        <v>210</v>
      </c>
      <c r="K326" s="3"/>
      <c r="L326" s="3" t="str">
        <f ca="1">IFERROR(__xludf.DUMMYFUNCTION("""COMPUTED_VALUE"""),"Cost per period")</f>
        <v>Cost per period</v>
      </c>
      <c r="M326" s="3"/>
      <c r="N326" s="3"/>
      <c r="O326" s="3" t="str">
        <f ca="1">IFERROR(__xludf.DUMMYFUNCTION("""COMPUTED_VALUE"""),"970")</f>
        <v>970</v>
      </c>
      <c r="P326" s="3" t="str">
        <f ca="1">IFERROR(__xludf.DUMMYFUNCTION("""COMPUTED_VALUE"""),"250")</f>
        <v>250</v>
      </c>
      <c r="Q326" s="3" t="str">
        <f ca="1">IFERROR(__xludf.DUMMYFUNCTION("""COMPUTED_VALUE"""),"970x250")</f>
        <v>970x250</v>
      </c>
      <c r="R326" s="3"/>
      <c r="S326" s="3" t="str">
        <f ca="1">IFERROR(__xludf.DUMMYFUNCTION("""COMPUTED_VALUE"""),"100 (200 - HTML5)")</f>
        <v>100 (200 - HTML5)</v>
      </c>
      <c r="T326" s="3"/>
      <c r="U326" s="3" t="str">
        <f ca="1">IFERROR(__xludf.DUMMYFUNCTION("""COMPUTED_VALUE"""),"banner standard")</f>
        <v>banner standard</v>
      </c>
      <c r="V326" s="3"/>
      <c r="W326" s="4" t="str">
        <f ca="1">IFERROR(__xludf.DUMMYFUNCTION("""COMPUTED_VALUE"""),"https://reklama.cncenter.cz/Online/billboard-bottom")</f>
        <v>https://reklama.cncenter.cz/Online/billboard-bottom</v>
      </c>
      <c r="X326" s="3"/>
      <c r="Y326" s="3"/>
      <c r="Z326" s="3" t="str">
        <f ca="1">IFERROR(__xludf.DUMMYFUNCTION("""COMPUTED_VALUE"""),"podklady@cncenter.cz")</f>
        <v>podklady@cncenter.cz</v>
      </c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 t="str">
        <f ca="1">IFERROR(__xludf.DUMMYFUNCTION("""COMPUTED_VALUE"""),"desktop")</f>
        <v>desktop</v>
      </c>
      <c r="AO326" s="3"/>
      <c r="AP326" s="3"/>
      <c r="AQ326" s="3"/>
      <c r="AR326" s="3"/>
      <c r="AS326" s="3"/>
      <c r="AT326" s="3"/>
      <c r="AU326" s="3" t="str">
        <f ca="1">IFERROR(__xludf.DUMMYFUNCTION("""COMPUTED_VALUE"""),"billboard bottom")</f>
        <v>billboard bottom</v>
      </c>
    </row>
    <row r="327" spans="1:47" x14ac:dyDescent="0.3">
      <c r="A327" s="3">
        <f ca="1"/>
        <v>2346826</v>
      </c>
      <c r="B327" s="3" t="str">
        <f ca="1"/>
        <v>CZECH NEWS CENTER a. s.</v>
      </c>
      <c r="C327" s="3" t="str">
        <f ca="1">IFERROR(__xludf.DUMMYFUNCTION("""COMPUTED_VALUE"""),"CNC muži pack")</f>
        <v>CNC muži pack</v>
      </c>
      <c r="D327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27" s="3" t="str">
        <f ca="1">IFERROR(__xludf.DUMMYFUNCTION("""COMPUTED_VALUE"""),"celý web")</f>
        <v>celý web</v>
      </c>
      <c r="F327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27" s="3" t="str">
        <f ca="1">IFERROR(__xludf.DUMMYFUNCTION("""COMPUTED_VALUE"""),"branding cross-device low season")</f>
        <v>branding cross-device low season</v>
      </c>
      <c r="H327" s="3">
        <f ca="1">IFERROR(__xludf.DUMMYFUNCTION("""COMPUTED_VALUE"""),7)</f>
        <v>7</v>
      </c>
      <c r="I327" s="5">
        <f ca="1">IFERROR(__xludf.DUMMYFUNCTION("""COMPUTED_VALUE"""),1000)</f>
        <v>1000</v>
      </c>
      <c r="J327" s="5">
        <f ca="1">IFERROR(__xludf.DUMMYFUNCTION("""COMPUTED_VALUE"""),270)</f>
        <v>270</v>
      </c>
      <c r="K327" s="3"/>
      <c r="L327" s="3" t="str">
        <f ca="1">IFERROR(__xludf.DUMMYFUNCTION("""COMPUTED_VALUE"""),"Cost per period")</f>
        <v>Cost per period</v>
      </c>
      <c r="M327" s="3"/>
      <c r="N327" s="3"/>
      <c r="O327" s="3" t="str">
        <f ca="1">IFERROR(__xludf.DUMMYFUNCTION("""COMPUTED_VALUE"""),"2000")</f>
        <v>2000</v>
      </c>
      <c r="P327" s="3" t="str">
        <f ca="1">IFERROR(__xludf.DUMMYFUNCTION("""COMPUTED_VALUE"""),"1400")</f>
        <v>1400</v>
      </c>
      <c r="Q327" s="3" t="str">
        <f ca="1">IFERROR(__xludf.DUMMYFUNCTION("""COMPUTED_VALUE"""),"2000x1400 + 600x1080")</f>
        <v>2000x1400 + 600x1080</v>
      </c>
      <c r="R327" s="3"/>
      <c r="S327" s="3" t="str">
        <f ca="1">IFERROR(__xludf.DUMMYFUNCTION("""COMPUTED_VALUE"""),"500 (600 - HTLM5)")</f>
        <v>500 (600 - HTLM5)</v>
      </c>
      <c r="T327" s="3"/>
      <c r="U327" s="3" t="str">
        <f ca="1">IFERROR(__xludf.DUMMYFUNCTION("""COMPUTED_VALUE"""),"banner standard")</f>
        <v>banner standard</v>
      </c>
      <c r="V327" s="3"/>
      <c r="W327" s="4" t="str">
        <f ca="1">IFERROR(__xludf.DUMMYFUNCTION("""COMPUTED_VALUE"""),"https://reklama.cncenter.cz/Online/branding-cross-device")</f>
        <v>https://reklama.cncenter.cz/Online/branding-cross-device</v>
      </c>
      <c r="X327" s="3"/>
      <c r="Y327" s="3"/>
      <c r="Z327" s="3" t="str">
        <f ca="1">IFERROR(__xludf.DUMMYFUNCTION("""COMPUTED_VALUE"""),"podklady@cncenter.cz")</f>
        <v>podklady@cncenter.cz</v>
      </c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 t="str">
        <f ca="1">IFERROR(__xludf.DUMMYFUNCTION("""COMPUTED_VALUE"""),"cross-device")</f>
        <v>cross-device</v>
      </c>
      <c r="AO327" s="3"/>
      <c r="AP327" s="3"/>
      <c r="AQ327" s="3"/>
      <c r="AR327" s="3"/>
      <c r="AS327" s="3"/>
      <c r="AT327" s="3"/>
      <c r="AU327" s="3" t="str">
        <f ca="1">IFERROR(__xludf.DUMMYFUNCTION("""COMPUTED_VALUE"""),"branding cross-device")</f>
        <v>branding cross-device</v>
      </c>
    </row>
    <row r="328" spans="1:47" x14ac:dyDescent="0.3">
      <c r="A328" s="3">
        <f ca="1"/>
        <v>2346826</v>
      </c>
      <c r="B328" s="3" t="str">
        <f ca="1"/>
        <v>CZECH NEWS CENTER a. s.</v>
      </c>
      <c r="C328" s="3" t="str">
        <f ca="1">IFERROR(__xludf.DUMMYFUNCTION("""COMPUTED_VALUE"""),"CNC muži pack")</f>
        <v>CNC muži pack</v>
      </c>
      <c r="D328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28" s="3" t="str">
        <f ca="1">IFERROR(__xludf.DUMMYFUNCTION("""COMPUTED_VALUE"""),"celý web")</f>
        <v>celý web</v>
      </c>
      <c r="F328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28" s="3" t="str">
        <f ca="1">IFERROR(__xludf.DUMMYFUNCTION("""COMPUTED_VALUE"""),"branding low season")</f>
        <v>branding low season</v>
      </c>
      <c r="H328" s="3">
        <f ca="1">IFERROR(__xludf.DUMMYFUNCTION("""COMPUTED_VALUE"""),7)</f>
        <v>7</v>
      </c>
      <c r="I328" s="5">
        <f ca="1">IFERROR(__xludf.DUMMYFUNCTION("""COMPUTED_VALUE"""),1000)</f>
        <v>1000</v>
      </c>
      <c r="J328" s="5">
        <f ca="1">IFERROR(__xludf.DUMMYFUNCTION("""COMPUTED_VALUE"""),400)</f>
        <v>400</v>
      </c>
      <c r="K328" s="3"/>
      <c r="L328" s="3" t="str">
        <f ca="1">IFERROR(__xludf.DUMMYFUNCTION("""COMPUTED_VALUE"""),"Cost per period")</f>
        <v>Cost per period</v>
      </c>
      <c r="M328" s="3"/>
      <c r="N328" s="3"/>
      <c r="O328" s="3" t="str">
        <f ca="1">IFERROR(__xludf.DUMMYFUNCTION("""COMPUTED_VALUE"""),"2000")</f>
        <v>2000</v>
      </c>
      <c r="P328" s="3" t="str">
        <f ca="1">IFERROR(__xludf.DUMMYFUNCTION("""COMPUTED_VALUE"""),"1400")</f>
        <v>1400</v>
      </c>
      <c r="Q328" s="3" t="str">
        <f ca="1">IFERROR(__xludf.DUMMYFUNCTION("""COMPUTED_VALUE"""),"2000x1400")</f>
        <v>2000x1400</v>
      </c>
      <c r="R328" s="3"/>
      <c r="S328" s="3" t="str">
        <f ca="1">IFERROR(__xludf.DUMMYFUNCTION("""COMPUTED_VALUE"""),"500 + 200 (600+200 HTML5)")</f>
        <v>500 + 200 (600+200 HTML5)</v>
      </c>
      <c r="T328" s="3"/>
      <c r="U328" s="3" t="str">
        <f ca="1">IFERROR(__xludf.DUMMYFUNCTION("""COMPUTED_VALUE"""),"banner standard")</f>
        <v>banner standard</v>
      </c>
      <c r="V328" s="3"/>
      <c r="W328" s="4" t="str">
        <f ca="1">IFERROR(__xludf.DUMMYFUNCTION("""COMPUTED_VALUE"""),"https://reklama.cncenter.cz/Online/branding")</f>
        <v>https://reklama.cncenter.cz/Online/branding</v>
      </c>
      <c r="X328" s="3"/>
      <c r="Y328" s="3"/>
      <c r="Z328" s="3" t="str">
        <f ca="1">IFERROR(__xludf.DUMMYFUNCTION("""COMPUTED_VALUE"""),"podklady@cncenter.cz")</f>
        <v>podklady@cncenter.cz</v>
      </c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 t="str">
        <f ca="1">IFERROR(__xludf.DUMMYFUNCTION("""COMPUTED_VALUE"""),"desktop")</f>
        <v>desktop</v>
      </c>
      <c r="AO328" s="3"/>
      <c r="AP328" s="3"/>
      <c r="AQ328" s="3"/>
      <c r="AR328" s="3"/>
      <c r="AS328" s="3"/>
      <c r="AT328" s="3"/>
      <c r="AU328" s="3" t="str">
        <f ca="1">IFERROR(__xludf.DUMMYFUNCTION("""COMPUTED_VALUE"""),"branding")</f>
        <v>branding</v>
      </c>
    </row>
    <row r="329" spans="1:47" x14ac:dyDescent="0.3">
      <c r="A329" s="3">
        <f ca="1"/>
        <v>2346826</v>
      </c>
      <c r="B329" s="3" t="str">
        <f ca="1"/>
        <v>CZECH NEWS CENTER a. s.</v>
      </c>
      <c r="C329" s="3" t="str">
        <f ca="1">IFERROR(__xludf.DUMMYFUNCTION("""COMPUTED_VALUE"""),"CNC muži pack")</f>
        <v>CNC muži pack</v>
      </c>
      <c r="D329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29" s="3" t="str">
        <f ca="1">IFERROR(__xludf.DUMMYFUNCTION("""COMPUTED_VALUE"""),"celý web")</f>
        <v>celý web</v>
      </c>
      <c r="F329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29" s="3" t="str">
        <f ca="1">IFERROR(__xludf.DUMMYFUNCTION("""COMPUTED_VALUE"""),"cílený billboard bottom low season")</f>
        <v>cílený billboard bottom low season</v>
      </c>
      <c r="H329" s="3">
        <f ca="1">IFERROR(__xludf.DUMMYFUNCTION("""COMPUTED_VALUE"""),7)</f>
        <v>7</v>
      </c>
      <c r="I329" s="5">
        <f ca="1">IFERROR(__xludf.DUMMYFUNCTION("""COMPUTED_VALUE"""),1000)</f>
        <v>1000</v>
      </c>
      <c r="J329" s="5">
        <f ca="1">IFERROR(__xludf.DUMMYFUNCTION("""COMPUTED_VALUE"""),252)</f>
        <v>252</v>
      </c>
      <c r="K329" s="3"/>
      <c r="L329" s="3" t="str">
        <f ca="1">IFERROR(__xludf.DUMMYFUNCTION("""COMPUTED_VALUE"""),"Cost per period")</f>
        <v>Cost per period</v>
      </c>
      <c r="M329" s="3"/>
      <c r="N329" s="3"/>
      <c r="O329" s="3" t="str">
        <f ca="1">IFERROR(__xludf.DUMMYFUNCTION("""COMPUTED_VALUE"""),"970")</f>
        <v>970</v>
      </c>
      <c r="P329" s="3" t="str">
        <f ca="1">IFERROR(__xludf.DUMMYFUNCTION("""COMPUTED_VALUE"""),"250")</f>
        <v>250</v>
      </c>
      <c r="Q329" s="3" t="str">
        <f ca="1">IFERROR(__xludf.DUMMYFUNCTION("""COMPUTED_VALUE"""),"970x250")</f>
        <v>970x250</v>
      </c>
      <c r="R329" s="3"/>
      <c r="S329" s="3" t="str">
        <f ca="1">IFERROR(__xludf.DUMMYFUNCTION("""COMPUTED_VALUE"""),"100 (200 - HTML5)")</f>
        <v>100 (200 - HTML5)</v>
      </c>
      <c r="T329" s="3"/>
      <c r="U329" s="3" t="str">
        <f ca="1">IFERROR(__xludf.DUMMYFUNCTION("""COMPUTED_VALUE"""),"banner standard")</f>
        <v>banner standard</v>
      </c>
      <c r="V329" s="3"/>
      <c r="W329" s="4" t="str">
        <f ca="1">IFERROR(__xludf.DUMMYFUNCTION("""COMPUTED_VALUE"""),"https://reklama.cncenter.cz/Online/billboard-bottom")</f>
        <v>https://reklama.cncenter.cz/Online/billboard-bottom</v>
      </c>
      <c r="X329" s="3"/>
      <c r="Y329" s="3"/>
      <c r="Z329" s="3" t="str">
        <f ca="1">IFERROR(__xludf.DUMMYFUNCTION("""COMPUTED_VALUE"""),"podklady@cncenter.cz")</f>
        <v>podklady@cncenter.cz</v>
      </c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 t="str">
        <f ca="1">IFERROR(__xludf.DUMMYFUNCTION("""COMPUTED_VALUE"""),"desktop")</f>
        <v>desktop</v>
      </c>
      <c r="AO329" s="3"/>
      <c r="AP329" s="3"/>
      <c r="AQ329" s="3"/>
      <c r="AR329" s="3"/>
      <c r="AS329" s="3"/>
      <c r="AT329" s="3"/>
      <c r="AU329" s="3" t="str">
        <f ca="1">IFERROR(__xludf.DUMMYFUNCTION("""COMPUTED_VALUE"""),"cílený billboard bottom")</f>
        <v>cílený billboard bottom</v>
      </c>
    </row>
    <row r="330" spans="1:47" x14ac:dyDescent="0.3">
      <c r="A330" s="3">
        <f ca="1"/>
        <v>2346826</v>
      </c>
      <c r="B330" s="3" t="str">
        <f ca="1"/>
        <v>CZECH NEWS CENTER a. s.</v>
      </c>
      <c r="C330" s="3" t="str">
        <f ca="1">IFERROR(__xludf.DUMMYFUNCTION("""COMPUTED_VALUE"""),"CNC muži pack")</f>
        <v>CNC muži pack</v>
      </c>
      <c r="D330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0" s="3" t="str">
        <f ca="1">IFERROR(__xludf.DUMMYFUNCTION("""COMPUTED_VALUE"""),"celý web")</f>
        <v>celý web</v>
      </c>
      <c r="F330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0" s="3" t="str">
        <f ca="1">IFERROR(__xludf.DUMMYFUNCTION("""COMPUTED_VALUE"""),"cílený branding cross-device low season")</f>
        <v>cílený branding cross-device low season</v>
      </c>
      <c r="H330" s="3">
        <f ca="1">IFERROR(__xludf.DUMMYFUNCTION("""COMPUTED_VALUE"""),7)</f>
        <v>7</v>
      </c>
      <c r="I330" s="5">
        <f ca="1">IFERROR(__xludf.DUMMYFUNCTION("""COMPUTED_VALUE"""),1000)</f>
        <v>1000</v>
      </c>
      <c r="J330" s="5">
        <f ca="1">IFERROR(__xludf.DUMMYFUNCTION("""COMPUTED_VALUE"""),324)</f>
        <v>324</v>
      </c>
      <c r="K330" s="3"/>
      <c r="L330" s="3" t="str">
        <f ca="1">IFERROR(__xludf.DUMMYFUNCTION("""COMPUTED_VALUE"""),"Cost per period")</f>
        <v>Cost per period</v>
      </c>
      <c r="M330" s="3"/>
      <c r="N330" s="3"/>
      <c r="O330" s="3" t="str">
        <f ca="1">IFERROR(__xludf.DUMMYFUNCTION("""COMPUTED_VALUE"""),"2000")</f>
        <v>2000</v>
      </c>
      <c r="P330" s="3" t="str">
        <f ca="1">IFERROR(__xludf.DUMMYFUNCTION("""COMPUTED_VALUE"""),"1400")</f>
        <v>1400</v>
      </c>
      <c r="Q330" s="3" t="str">
        <f ca="1">IFERROR(__xludf.DUMMYFUNCTION("""COMPUTED_VALUE"""),"2000x1400 + 600x1080")</f>
        <v>2000x1400 + 600x1080</v>
      </c>
      <c r="R330" s="3"/>
      <c r="S330" s="3" t="str">
        <f ca="1">IFERROR(__xludf.DUMMYFUNCTION("""COMPUTED_VALUE"""),"500 (600 - HTLM5)")</f>
        <v>500 (600 - HTLM5)</v>
      </c>
      <c r="T330" s="3"/>
      <c r="U330" s="3" t="str">
        <f ca="1">IFERROR(__xludf.DUMMYFUNCTION("""COMPUTED_VALUE"""),"banner standard")</f>
        <v>banner standard</v>
      </c>
      <c r="V330" s="3"/>
      <c r="W330" s="4" t="str">
        <f ca="1">IFERROR(__xludf.DUMMYFUNCTION("""COMPUTED_VALUE"""),"https://reklama.cncenter.cz/Online/branding-cross-device")</f>
        <v>https://reklama.cncenter.cz/Online/branding-cross-device</v>
      </c>
      <c r="X330" s="3"/>
      <c r="Y330" s="3"/>
      <c r="Z330" s="3" t="str">
        <f ca="1">IFERROR(__xludf.DUMMYFUNCTION("""COMPUTED_VALUE"""),"podklady@cncenter.cz")</f>
        <v>podklady@cncenter.cz</v>
      </c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 t="str">
        <f ca="1">IFERROR(__xludf.DUMMYFUNCTION("""COMPUTED_VALUE"""),"cross-device")</f>
        <v>cross-device</v>
      </c>
      <c r="AO330" s="3"/>
      <c r="AP330" s="3"/>
      <c r="AQ330" s="3"/>
      <c r="AR330" s="3"/>
      <c r="AS330" s="3"/>
      <c r="AT330" s="3"/>
      <c r="AU330" s="3" t="str">
        <f ca="1">IFERROR(__xludf.DUMMYFUNCTION("""COMPUTED_VALUE"""),"cílený branding cross-device")</f>
        <v>cílený branding cross-device</v>
      </c>
    </row>
    <row r="331" spans="1:47" x14ac:dyDescent="0.3">
      <c r="A331" s="3">
        <f ca="1"/>
        <v>2346826</v>
      </c>
      <c r="B331" s="3" t="str">
        <f ca="1"/>
        <v>CZECH NEWS CENTER a. s.</v>
      </c>
      <c r="C331" s="3" t="str">
        <f ca="1">IFERROR(__xludf.DUMMYFUNCTION("""COMPUTED_VALUE"""),"CNC muži pack")</f>
        <v>CNC muži pack</v>
      </c>
      <c r="D331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1" s="3" t="str">
        <f ca="1">IFERROR(__xludf.DUMMYFUNCTION("""COMPUTED_VALUE"""),"celý web")</f>
        <v>celý web</v>
      </c>
      <c r="F331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1" s="3" t="str">
        <f ca="1">IFERROR(__xludf.DUMMYFUNCTION("""COMPUTED_VALUE"""),"cílený branding low season")</f>
        <v>cílený branding low season</v>
      </c>
      <c r="H331" s="3">
        <f ca="1">IFERROR(__xludf.DUMMYFUNCTION("""COMPUTED_VALUE"""),7)</f>
        <v>7</v>
      </c>
      <c r="I331" s="5">
        <f ca="1">IFERROR(__xludf.DUMMYFUNCTION("""COMPUTED_VALUE"""),1000)</f>
        <v>1000</v>
      </c>
      <c r="J331" s="5">
        <f ca="1">IFERROR(__xludf.DUMMYFUNCTION("""COMPUTED_VALUE"""),480)</f>
        <v>480</v>
      </c>
      <c r="K331" s="3"/>
      <c r="L331" s="3" t="str">
        <f ca="1">IFERROR(__xludf.DUMMYFUNCTION("""COMPUTED_VALUE"""),"Cost per period")</f>
        <v>Cost per period</v>
      </c>
      <c r="M331" s="3"/>
      <c r="N331" s="3"/>
      <c r="O331" s="3" t="str">
        <f ca="1">IFERROR(__xludf.DUMMYFUNCTION("""COMPUTED_VALUE"""),"2000")</f>
        <v>2000</v>
      </c>
      <c r="P331" s="3" t="str">
        <f ca="1">IFERROR(__xludf.DUMMYFUNCTION("""COMPUTED_VALUE"""),"1400")</f>
        <v>1400</v>
      </c>
      <c r="Q331" s="3" t="str">
        <f ca="1">IFERROR(__xludf.DUMMYFUNCTION("""COMPUTED_VALUE"""),"2000x1400")</f>
        <v>2000x1400</v>
      </c>
      <c r="R331" s="3"/>
      <c r="S331" s="3" t="str">
        <f ca="1">IFERROR(__xludf.DUMMYFUNCTION("""COMPUTED_VALUE"""),"500 + 200 (600+200 HTML5)")</f>
        <v>500 + 200 (600+200 HTML5)</v>
      </c>
      <c r="T331" s="3"/>
      <c r="U331" s="3" t="str">
        <f ca="1">IFERROR(__xludf.DUMMYFUNCTION("""COMPUTED_VALUE"""),"banner standard")</f>
        <v>banner standard</v>
      </c>
      <c r="V331" s="3"/>
      <c r="W331" s="4" t="str">
        <f ca="1">IFERROR(__xludf.DUMMYFUNCTION("""COMPUTED_VALUE"""),"https://reklama.cncenter.cz/Online/branding")</f>
        <v>https://reklama.cncenter.cz/Online/branding</v>
      </c>
      <c r="X331" s="3"/>
      <c r="Y331" s="3"/>
      <c r="Z331" s="3" t="str">
        <f ca="1">IFERROR(__xludf.DUMMYFUNCTION("""COMPUTED_VALUE"""),"podklady@cncenter.cz")</f>
        <v>podklady@cncenter.cz</v>
      </c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 t="str">
        <f ca="1">IFERROR(__xludf.DUMMYFUNCTION("""COMPUTED_VALUE"""),"desktop")</f>
        <v>desktop</v>
      </c>
      <c r="AO331" s="3"/>
      <c r="AP331" s="3"/>
      <c r="AQ331" s="3"/>
      <c r="AR331" s="3"/>
      <c r="AS331" s="3"/>
      <c r="AT331" s="3"/>
      <c r="AU331" s="3" t="str">
        <f ca="1">IFERROR(__xludf.DUMMYFUNCTION("""COMPUTED_VALUE"""),"cílený branding")</f>
        <v>cílený branding</v>
      </c>
    </row>
    <row r="332" spans="1:47" x14ac:dyDescent="0.3">
      <c r="A332" s="3">
        <f ca="1"/>
        <v>2346826</v>
      </c>
      <c r="B332" s="3" t="str">
        <f ca="1"/>
        <v>CZECH NEWS CENTER a. s.</v>
      </c>
      <c r="C332" s="3" t="str">
        <f ca="1">IFERROR(__xludf.DUMMYFUNCTION("""COMPUTED_VALUE"""),"CNC muži pack")</f>
        <v>CNC muži pack</v>
      </c>
      <c r="D332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2" s="3" t="str">
        <f ca="1">IFERROR(__xludf.DUMMYFUNCTION("""COMPUTED_VALUE"""),"celý web")</f>
        <v>celý web</v>
      </c>
      <c r="F332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2" s="3" t="str">
        <f ca="1">IFERROR(__xludf.DUMMYFUNCTION("""COMPUTED_VALUE"""),"cílený double skyscraper low season")</f>
        <v>cílený double skyscraper low season</v>
      </c>
      <c r="H332" s="3">
        <f ca="1">IFERROR(__xludf.DUMMYFUNCTION("""COMPUTED_VALUE"""),7)</f>
        <v>7</v>
      </c>
      <c r="I332" s="5">
        <f ca="1">IFERROR(__xludf.DUMMYFUNCTION("""COMPUTED_VALUE"""),1000)</f>
        <v>1000</v>
      </c>
      <c r="J332" s="5">
        <f ca="1">IFERROR(__xludf.DUMMYFUNCTION("""COMPUTED_VALUE"""),180)</f>
        <v>180</v>
      </c>
      <c r="K332" s="3"/>
      <c r="L332" s="3" t="str">
        <f ca="1">IFERROR(__xludf.DUMMYFUNCTION("""COMPUTED_VALUE"""),"Cost per period")</f>
        <v>Cost per period</v>
      </c>
      <c r="M332" s="3"/>
      <c r="N332" s="3"/>
      <c r="O332" s="3" t="str">
        <f ca="1">IFERROR(__xludf.DUMMYFUNCTION("""COMPUTED_VALUE"""),"300")</f>
        <v>300</v>
      </c>
      <c r="P332" s="3" t="str">
        <f ca="1">IFERROR(__xludf.DUMMYFUNCTION("""COMPUTED_VALUE"""),"600")</f>
        <v>600</v>
      </c>
      <c r="Q332" s="3" t="str">
        <f ca="1">IFERROR(__xludf.DUMMYFUNCTION("""COMPUTED_VALUE"""),"300x600")</f>
        <v>300x600</v>
      </c>
      <c r="R332" s="3"/>
      <c r="S332" s="3" t="str">
        <f ca="1">IFERROR(__xludf.DUMMYFUNCTION("""COMPUTED_VALUE"""),"100 (200 - HTML5)")</f>
        <v>100 (200 - HTML5)</v>
      </c>
      <c r="T332" s="3"/>
      <c r="U332" s="3" t="str">
        <f ca="1">IFERROR(__xludf.DUMMYFUNCTION("""COMPUTED_VALUE"""),"banner standard")</f>
        <v>banner standard</v>
      </c>
      <c r="V332" s="3"/>
      <c r="W332" s="4" t="str">
        <f ca="1">IFERROR(__xludf.DUMMYFUNCTION("""COMPUTED_VALUE"""),"https://reklama.cncenter.cz/Online/double-skyscraper")</f>
        <v>https://reklama.cncenter.cz/Online/double-skyscraper</v>
      </c>
      <c r="X332" s="3"/>
      <c r="Y332" s="3"/>
      <c r="Z332" s="3" t="str">
        <f ca="1">IFERROR(__xludf.DUMMYFUNCTION("""COMPUTED_VALUE"""),"podklady@cncenter.cz")</f>
        <v>podklady@cncenter.cz</v>
      </c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 t="str">
        <f ca="1">IFERROR(__xludf.DUMMYFUNCTION("""COMPUTED_VALUE"""),"desktop")</f>
        <v>desktop</v>
      </c>
      <c r="AO332" s="3"/>
      <c r="AP332" s="3"/>
      <c r="AQ332" s="3"/>
      <c r="AR332" s="3"/>
      <c r="AS332" s="3"/>
      <c r="AT332" s="3"/>
      <c r="AU332" s="3" t="str">
        <f ca="1">IFERROR(__xludf.DUMMYFUNCTION("""COMPUTED_VALUE"""),"cílený double skyscraper")</f>
        <v>cílený double skyscraper</v>
      </c>
    </row>
    <row r="333" spans="1:47" x14ac:dyDescent="0.3">
      <c r="A333" s="3">
        <f ca="1"/>
        <v>2346826</v>
      </c>
      <c r="B333" s="3" t="str">
        <f ca="1"/>
        <v>CZECH NEWS CENTER a. s.</v>
      </c>
      <c r="C333" s="3" t="str">
        <f ca="1">IFERROR(__xludf.DUMMYFUNCTION("""COMPUTED_VALUE"""),"CNC muži pack")</f>
        <v>CNC muži pack</v>
      </c>
      <c r="D333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3" s="3" t="str">
        <f ca="1">IFERROR(__xludf.DUMMYFUNCTION("""COMPUTED_VALUE"""),"celý web")</f>
        <v>celý web</v>
      </c>
      <c r="F333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3" s="3" t="str">
        <f ca="1">IFERROR(__xludf.DUMMYFUNCTION("""COMPUTED_VALUE"""),"cílený mini videospot - max. 30 sec. low season")</f>
        <v>cílený mini videospot - max. 30 sec. low season</v>
      </c>
      <c r="H333" s="3">
        <f ca="1">IFERROR(__xludf.DUMMYFUNCTION("""COMPUTED_VALUE"""),7)</f>
        <v>7</v>
      </c>
      <c r="I333" s="5">
        <f ca="1">IFERROR(__xludf.DUMMYFUNCTION("""COMPUTED_VALUE"""),1000)</f>
        <v>1000</v>
      </c>
      <c r="J333" s="5">
        <f ca="1">IFERROR(__xludf.DUMMYFUNCTION("""COMPUTED_VALUE"""),180)</f>
        <v>180</v>
      </c>
      <c r="K333" s="3"/>
      <c r="L333" s="3" t="str">
        <f ca="1">IFERROR(__xludf.DUMMYFUNCTION("""COMPUTED_VALUE"""),"Cost per period")</f>
        <v>Cost per period</v>
      </c>
      <c r="M333" s="3"/>
      <c r="N333" s="3"/>
      <c r="O333" s="3"/>
      <c r="P333" s="3"/>
      <c r="Q333" s="3" t="str">
        <f ca="1">IFERROR(__xludf.DUMMYFUNCTION("""COMPUTED_VALUE"""),"16:9 / umístění po domluvě dle možností")</f>
        <v>16:9 / umístění po domluvě dle možností</v>
      </c>
      <c r="R333" s="3" t="str">
        <f ca="1">IFERROR(__xludf.DUMMYFUNCTION("""COMPUTED_VALUE"""),"přeskočení po 7 sekundách")</f>
        <v>přeskočení po 7 sekundách</v>
      </c>
      <c r="S333" s="3" t="str">
        <f ca="1">IFERROR(__xludf.DUMMYFUNCTION("""COMPUTED_VALUE"""),"100")</f>
        <v>100</v>
      </c>
      <c r="T333" s="3"/>
      <c r="U333" s="3" t="str">
        <f ca="1">IFERROR(__xludf.DUMMYFUNCTION("""COMPUTED_VALUE"""),"videospot")</f>
        <v>videospot</v>
      </c>
      <c r="V333" s="3"/>
      <c r="W333" s="4" t="str">
        <f ca="1">IFERROR(__xludf.DUMMYFUNCTION("""COMPUTED_VALUE"""),"https://reklama.cncenter.cz/Online/Videospot")</f>
        <v>https://reklama.cncenter.cz/Online/Videospot</v>
      </c>
      <c r="X333" s="3"/>
      <c r="Y333" s="3"/>
      <c r="Z333" s="3" t="str">
        <f ca="1">IFERROR(__xludf.DUMMYFUNCTION("""COMPUTED_VALUE"""),"podklady@cncenter.cz")</f>
        <v>podklady@cncenter.cz</v>
      </c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 t="str">
        <f ca="1">IFERROR(__xludf.DUMMYFUNCTION("""COMPUTED_VALUE"""),"desktop")</f>
        <v>desktop</v>
      </c>
      <c r="AO333" s="3"/>
      <c r="AP333" s="3"/>
      <c r="AQ333" s="3"/>
      <c r="AR333" s="3"/>
      <c r="AS333" s="3"/>
      <c r="AT333" s="3"/>
      <c r="AU333" s="3" t="str">
        <f ca="1">IFERROR(__xludf.DUMMYFUNCTION("""COMPUTED_VALUE"""),"cílený mini videospot - max. 30 sec.")</f>
        <v>cílený mini videospot - max. 30 sec.</v>
      </c>
    </row>
    <row r="334" spans="1:47" x14ac:dyDescent="0.3">
      <c r="A334" s="3">
        <f ca="1"/>
        <v>2346826</v>
      </c>
      <c r="B334" s="3" t="str">
        <f ca="1"/>
        <v>CZECH NEWS CENTER a. s.</v>
      </c>
      <c r="C334" s="3" t="str">
        <f ca="1">IFERROR(__xludf.DUMMYFUNCTION("""COMPUTED_VALUE"""),"CNC muži pack")</f>
        <v>CNC muži pack</v>
      </c>
      <c r="D334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4" s="3" t="str">
        <f ca="1">IFERROR(__xludf.DUMMYFUNCTION("""COMPUTED_VALUE"""),"celý web")</f>
        <v>celý web</v>
      </c>
      <c r="F334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4" s="3" t="str">
        <f ca="1">IFERROR(__xludf.DUMMYFUNCTION("""COMPUTED_VALUE"""),"cílený mobilní interscroller low season")</f>
        <v>cílený mobilní interscroller low season</v>
      </c>
      <c r="H334" s="3">
        <f ca="1">IFERROR(__xludf.DUMMYFUNCTION("""COMPUTED_VALUE"""),7)</f>
        <v>7</v>
      </c>
      <c r="I334" s="5">
        <f ca="1">IFERROR(__xludf.DUMMYFUNCTION("""COMPUTED_VALUE"""),1000)</f>
        <v>1000</v>
      </c>
      <c r="J334" s="5">
        <f ca="1">IFERROR(__xludf.DUMMYFUNCTION("""COMPUTED_VALUE"""),240)</f>
        <v>240</v>
      </c>
      <c r="K334" s="3"/>
      <c r="L334" s="3" t="str">
        <f ca="1">IFERROR(__xludf.DUMMYFUNCTION("""COMPUTED_VALUE"""),"Cost per period")</f>
        <v>Cost per period</v>
      </c>
      <c r="M334" s="3"/>
      <c r="N334" s="3"/>
      <c r="O334" s="3" t="str">
        <f ca="1">IFERROR(__xludf.DUMMYFUNCTION("""COMPUTED_VALUE"""),"600")</f>
        <v>600</v>
      </c>
      <c r="P334" s="3" t="str">
        <f ca="1">IFERROR(__xludf.DUMMYFUNCTION("""COMPUTED_VALUE"""),"1080")</f>
        <v>1080</v>
      </c>
      <c r="Q334" s="3" t="str">
        <f ca="1">IFERROR(__xludf.DUMMYFUNCTION("""COMPUTED_VALUE"""),"600x1080")</f>
        <v>600x1080</v>
      </c>
      <c r="R334" s="3"/>
      <c r="S334" s="3" t="str">
        <f ca="1">IFERROR(__xludf.DUMMYFUNCTION("""COMPUTED_VALUE"""),"200")</f>
        <v>200</v>
      </c>
      <c r="T334" s="3"/>
      <c r="U334" s="3" t="str">
        <f ca="1">IFERROR(__xludf.DUMMYFUNCTION("""COMPUTED_VALUE"""),"banner standard")</f>
        <v>banner standard</v>
      </c>
      <c r="V334" s="3"/>
      <c r="W334" s="4" t="str">
        <f ca="1">IFERROR(__xludf.DUMMYFUNCTION("""COMPUTED_VALUE"""),"https://reklama.cncenter.cz/Online/mobilni-interscroller")</f>
        <v>https://reklama.cncenter.cz/Online/mobilni-interscroller</v>
      </c>
      <c r="X334" s="3"/>
      <c r="Y334" s="3"/>
      <c r="Z334" s="3" t="str">
        <f ca="1">IFERROR(__xludf.DUMMYFUNCTION("""COMPUTED_VALUE"""),"podklady@cncenter.cz")</f>
        <v>podklady@cncenter.cz</v>
      </c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 t="str">
        <f ca="1">IFERROR(__xludf.DUMMYFUNCTION("""COMPUTED_VALUE"""),"mobile")</f>
        <v>mobile</v>
      </c>
      <c r="AO334" s="3"/>
      <c r="AP334" s="3"/>
      <c r="AQ334" s="3"/>
      <c r="AR334" s="3"/>
      <c r="AS334" s="3"/>
      <c r="AT334" s="3"/>
      <c r="AU334" s="3" t="str">
        <f ca="1">IFERROR(__xludf.DUMMYFUNCTION("""COMPUTED_VALUE"""),"cílený mobilní interscroller")</f>
        <v>cílený mobilní interscroller</v>
      </c>
    </row>
    <row r="335" spans="1:47" x14ac:dyDescent="0.3">
      <c r="A335" s="3">
        <f ca="1"/>
        <v>2346826</v>
      </c>
      <c r="B335" s="3" t="str">
        <f ca="1"/>
        <v>CZECH NEWS CENTER a. s.</v>
      </c>
      <c r="C335" s="3" t="str">
        <f ca="1">IFERROR(__xludf.DUMMYFUNCTION("""COMPUTED_VALUE"""),"CNC muži pack")</f>
        <v>CNC muži pack</v>
      </c>
      <c r="D335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5" s="3" t="str">
        <f ca="1">IFERROR(__xludf.DUMMYFUNCTION("""COMPUTED_VALUE"""),"celý web")</f>
        <v>celý web</v>
      </c>
      <c r="F335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5" s="3" t="str">
        <f ca="1">IFERROR(__xludf.DUMMYFUNCTION("""COMPUTED_VALUE"""),"cílený mobilní slide-up low season")</f>
        <v>cílený mobilní slide-up low season</v>
      </c>
      <c r="H335" s="3">
        <f ca="1">IFERROR(__xludf.DUMMYFUNCTION("""COMPUTED_VALUE"""),7)</f>
        <v>7</v>
      </c>
      <c r="I335" s="5">
        <f ca="1">IFERROR(__xludf.DUMMYFUNCTION("""COMPUTED_VALUE"""),1000)</f>
        <v>1000</v>
      </c>
      <c r="J335" s="5">
        <f ca="1">IFERROR(__xludf.DUMMYFUNCTION("""COMPUTED_VALUE"""),480)</f>
        <v>480</v>
      </c>
      <c r="K335" s="3"/>
      <c r="L335" s="3" t="str">
        <f ca="1">IFERROR(__xludf.DUMMYFUNCTION("""COMPUTED_VALUE"""),"Cost per period")</f>
        <v>Cost per period</v>
      </c>
      <c r="M335" s="3"/>
      <c r="N335" s="3"/>
      <c r="O335" s="3" t="str">
        <f ca="1">IFERROR(__xludf.DUMMYFUNCTION("""COMPUTED_VALUE"""),"300")</f>
        <v>300</v>
      </c>
      <c r="P335" s="3" t="str">
        <f ca="1">IFERROR(__xludf.DUMMYFUNCTION("""COMPUTED_VALUE"""),"120")</f>
        <v>120</v>
      </c>
      <c r="Q335" s="3" t="str">
        <f ca="1">IFERROR(__xludf.DUMMYFUNCTION("""COMPUTED_VALUE"""),"300x120")</f>
        <v>300x120</v>
      </c>
      <c r="R335" s="3"/>
      <c r="S335" s="3" t="str">
        <f ca="1">IFERROR(__xludf.DUMMYFUNCTION("""COMPUTED_VALUE"""),"100")</f>
        <v>100</v>
      </c>
      <c r="T335" s="3"/>
      <c r="U335" s="3" t="str">
        <f ca="1">IFERROR(__xludf.DUMMYFUNCTION("""COMPUTED_VALUE"""),"banner standard")</f>
        <v>banner standard</v>
      </c>
      <c r="V335" s="3"/>
      <c r="W335" s="4" t="str">
        <f ca="1">IFERROR(__xludf.DUMMYFUNCTION("""COMPUTED_VALUE"""),"https://reklama.cncenter.cz/Online/mobilni-slide-up")</f>
        <v>https://reklama.cncenter.cz/Online/mobilni-slide-up</v>
      </c>
      <c r="X335" s="3"/>
      <c r="Y335" s="3"/>
      <c r="Z335" s="3" t="str">
        <f ca="1">IFERROR(__xludf.DUMMYFUNCTION("""COMPUTED_VALUE"""),"podklady@cncenter.cz")</f>
        <v>podklady@cncenter.cz</v>
      </c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 t="str">
        <f ca="1">IFERROR(__xludf.DUMMYFUNCTION("""COMPUTED_VALUE"""),"mobile")</f>
        <v>mobile</v>
      </c>
      <c r="AO335" s="3"/>
      <c r="AP335" s="3"/>
      <c r="AQ335" s="3"/>
      <c r="AR335" s="3"/>
      <c r="AS335" s="3"/>
      <c r="AT335" s="3"/>
      <c r="AU335" s="3" t="str">
        <f ca="1">IFERROR(__xludf.DUMMYFUNCTION("""COMPUTED_VALUE"""),"cílený mobilní slide-up")</f>
        <v>cílený mobilní slide-up</v>
      </c>
    </row>
    <row r="336" spans="1:47" x14ac:dyDescent="0.3">
      <c r="A336" s="3">
        <f ca="1"/>
        <v>2346826</v>
      </c>
      <c r="B336" s="3" t="str">
        <f ca="1"/>
        <v>CZECH NEWS CENTER a. s.</v>
      </c>
      <c r="C336" s="3" t="str">
        <f ca="1">IFERROR(__xludf.DUMMYFUNCTION("""COMPUTED_VALUE"""),"CNC muži pack")</f>
        <v>CNC muži pack</v>
      </c>
      <c r="D336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6" s="3" t="str">
        <f ca="1">IFERROR(__xludf.DUMMYFUNCTION("""COMPUTED_VALUE"""),"celý web")</f>
        <v>celý web</v>
      </c>
      <c r="F336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6" s="3" t="str">
        <f ca="1">IFERROR(__xludf.DUMMYFUNCTION("""COMPUTED_VALUE"""),"cílený mobilní viněta low season")</f>
        <v>cílený mobilní viněta low season</v>
      </c>
      <c r="H336" s="3">
        <f ca="1">IFERROR(__xludf.DUMMYFUNCTION("""COMPUTED_VALUE"""),7)</f>
        <v>7</v>
      </c>
      <c r="I336" s="5">
        <f ca="1">IFERROR(__xludf.DUMMYFUNCTION("""COMPUTED_VALUE"""),1000)</f>
        <v>1000</v>
      </c>
      <c r="J336" s="5">
        <f ca="1">IFERROR(__xludf.DUMMYFUNCTION("""COMPUTED_VALUE"""),672)</f>
        <v>672</v>
      </c>
      <c r="K336" s="3"/>
      <c r="L336" s="3" t="str">
        <f ca="1">IFERROR(__xludf.DUMMYFUNCTION("""COMPUTED_VALUE"""),"Cost per period")</f>
        <v>Cost per period</v>
      </c>
      <c r="M336" s="3"/>
      <c r="N336" s="3"/>
      <c r="O336" s="3" t="str">
        <f ca="1">IFERROR(__xludf.DUMMYFUNCTION("""COMPUTED_VALUE"""),"600")</f>
        <v>600</v>
      </c>
      <c r="P336" s="3" t="str">
        <f ca="1">IFERROR(__xludf.DUMMYFUNCTION("""COMPUTED_VALUE"""),"800")</f>
        <v>800</v>
      </c>
      <c r="Q336" s="3" t="str">
        <f ca="1">IFERROR(__xludf.DUMMYFUNCTION("""COMPUTED_VALUE"""),"300x250 nebo 600x800")</f>
        <v>300x250 nebo 600x800</v>
      </c>
      <c r="R336" s="3"/>
      <c r="S336" s="3" t="str">
        <f ca="1">IFERROR(__xludf.DUMMYFUNCTION("""COMPUTED_VALUE"""),"100")</f>
        <v>100</v>
      </c>
      <c r="T336" s="3"/>
      <c r="U336" s="3" t="str">
        <f ca="1">IFERROR(__xludf.DUMMYFUNCTION("""COMPUTED_VALUE"""),"banner standard")</f>
        <v>banner standard</v>
      </c>
      <c r="V336" s="3"/>
      <c r="W336" s="4" t="str">
        <f ca="1">IFERROR(__xludf.DUMMYFUNCTION("""COMPUTED_VALUE"""),"https://reklama.cncenter.cz/Online/mobilni-vineta")</f>
        <v>https://reklama.cncenter.cz/Online/mobilni-vineta</v>
      </c>
      <c r="X336" s="3"/>
      <c r="Y336" s="3"/>
      <c r="Z336" s="3" t="str">
        <f ca="1">IFERROR(__xludf.DUMMYFUNCTION("""COMPUTED_VALUE"""),"podklady@cncenter.cz")</f>
        <v>podklady@cncenter.cz</v>
      </c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 t="str">
        <f ca="1">IFERROR(__xludf.DUMMYFUNCTION("""COMPUTED_VALUE"""),"mobile")</f>
        <v>mobile</v>
      </c>
      <c r="AO336" s="3"/>
      <c r="AP336" s="3"/>
      <c r="AQ336" s="3"/>
      <c r="AR336" s="3"/>
      <c r="AS336" s="3"/>
      <c r="AT336" s="3"/>
      <c r="AU336" s="3" t="str">
        <f ca="1">IFERROR(__xludf.DUMMYFUNCTION("""COMPUTED_VALUE"""),"cílený mobilní viněta")</f>
        <v>cílený mobilní viněta</v>
      </c>
    </row>
    <row r="337" spans="1:47" x14ac:dyDescent="0.3">
      <c r="A337" s="3">
        <f ca="1"/>
        <v>2346826</v>
      </c>
      <c r="B337" s="3" t="str">
        <f ca="1"/>
        <v>CZECH NEWS CENTER a. s.</v>
      </c>
      <c r="C337" s="3" t="str">
        <f ca="1">IFERROR(__xludf.DUMMYFUNCTION("""COMPUTED_VALUE"""),"CNC muži pack")</f>
        <v>CNC muži pack</v>
      </c>
      <c r="D337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7" s="3" t="str">
        <f ca="1">IFERROR(__xludf.DUMMYFUNCTION("""COMPUTED_VALUE"""),"celý web")</f>
        <v>celý web</v>
      </c>
      <c r="F337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7" s="3" t="str">
        <f ca="1">IFERROR(__xludf.DUMMYFUNCTION("""COMPUTED_VALUE"""),"cílený nativní rectangle cross-device low season")</f>
        <v>cílený nativní rectangle cross-device low season</v>
      </c>
      <c r="H337" s="3">
        <f ca="1">IFERROR(__xludf.DUMMYFUNCTION("""COMPUTED_VALUE"""),7)</f>
        <v>7</v>
      </c>
      <c r="I337" s="5">
        <f ca="1">IFERROR(__xludf.DUMMYFUNCTION("""COMPUTED_VALUE"""),1000)</f>
        <v>1000</v>
      </c>
      <c r="J337" s="5">
        <f ca="1">IFERROR(__xludf.DUMMYFUNCTION("""COMPUTED_VALUE"""),180)</f>
        <v>180</v>
      </c>
      <c r="K337" s="3"/>
      <c r="L337" s="3" t="str">
        <f ca="1">IFERROR(__xludf.DUMMYFUNCTION("""COMPUTED_VALUE"""),"Cost per period")</f>
        <v>Cost per period</v>
      </c>
      <c r="M337" s="3"/>
      <c r="N337" s="3"/>
      <c r="O337" s="3" t="str">
        <f ca="1">IFERROR(__xludf.DUMMYFUNCTION("""COMPUTED_VALUE"""),"640")</f>
        <v>640</v>
      </c>
      <c r="P337" s="3" t="str">
        <f ca="1">IFERROR(__xludf.DUMMYFUNCTION("""COMPUTED_VALUE"""),"335, 640")</f>
        <v>335, 640</v>
      </c>
      <c r="Q337" s="3" t="str">
        <f ca="1">IFERROR(__xludf.DUMMYFUNCTION("""COMPUTED_VALUE"""),"640x640 a 640x335 + text + logo")</f>
        <v>640x640 a 640x335 + text + logo</v>
      </c>
      <c r="R337" s="3"/>
      <c r="S337" s="3" t="str">
        <f ca="1">IFERROR(__xludf.DUMMYFUNCTION("""COMPUTED_VALUE"""),"45")</f>
        <v>45</v>
      </c>
      <c r="T337" s="3"/>
      <c r="U337" s="3" t="str">
        <f ca="1">IFERROR(__xludf.DUMMYFUNCTION("""COMPUTED_VALUE"""),"nativní reklama")</f>
        <v>nativní reklama</v>
      </c>
      <c r="V337" s="3"/>
      <c r="W337" s="4" t="str">
        <f ca="1">IFERROR(__xludf.DUMMYFUNCTION("""COMPUTED_VALUE"""),"https://reklama.cncenter.cz/Online/nativni-rectangle-cross-device")</f>
        <v>https://reklama.cncenter.cz/Online/nativni-rectangle-cross-device</v>
      </c>
      <c r="X337" s="3"/>
      <c r="Y337" s="3"/>
      <c r="Z337" s="3" t="str">
        <f ca="1">IFERROR(__xludf.DUMMYFUNCTION("""COMPUTED_VALUE"""),"podklady@cncenter.cz")</f>
        <v>podklady@cncenter.cz</v>
      </c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 t="str">
        <f ca="1">IFERROR(__xludf.DUMMYFUNCTION("""COMPUTED_VALUE"""),"cross-device")</f>
        <v>cross-device</v>
      </c>
      <c r="AO337" s="3"/>
      <c r="AP337" s="3"/>
      <c r="AQ337" s="3"/>
      <c r="AR337" s="3"/>
      <c r="AS337" s="3"/>
      <c r="AT337" s="3"/>
      <c r="AU337" s="3" t="str">
        <f ca="1">IFERROR(__xludf.DUMMYFUNCTION("""COMPUTED_VALUE"""),"cílený nativní rectangle cross-device")</f>
        <v>cílený nativní rectangle cross-device</v>
      </c>
    </row>
    <row r="338" spans="1:47" x14ac:dyDescent="0.3">
      <c r="A338" s="3">
        <f ca="1"/>
        <v>2346826</v>
      </c>
      <c r="B338" s="3" t="str">
        <f ca="1"/>
        <v>CZECH NEWS CENTER a. s.</v>
      </c>
      <c r="C338" s="3" t="str">
        <f ca="1">IFERROR(__xludf.DUMMYFUNCTION("""COMPUTED_VALUE"""),"CNC muži pack")</f>
        <v>CNC muži pack</v>
      </c>
      <c r="D338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8" s="3" t="str">
        <f ca="1">IFERROR(__xludf.DUMMYFUNCTION("""COMPUTED_VALUE"""),"celý web")</f>
        <v>celý web</v>
      </c>
      <c r="F338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8" s="3" t="str">
        <f ca="1">IFERROR(__xludf.DUMMYFUNCTION("""COMPUTED_VALUE"""),"cílený outstream low season")</f>
        <v>cílený outstream low season</v>
      </c>
      <c r="H338" s="3">
        <f ca="1">IFERROR(__xludf.DUMMYFUNCTION("""COMPUTED_VALUE"""),7)</f>
        <v>7</v>
      </c>
      <c r="I338" s="5">
        <f ca="1">IFERROR(__xludf.DUMMYFUNCTION("""COMPUTED_VALUE"""),1000)</f>
        <v>1000</v>
      </c>
      <c r="J338" s="5">
        <f ca="1">IFERROR(__xludf.DUMMYFUNCTION("""COMPUTED_VALUE"""),276)</f>
        <v>276</v>
      </c>
      <c r="K338" s="3"/>
      <c r="L338" s="3" t="str">
        <f ca="1">IFERROR(__xludf.DUMMYFUNCTION("""COMPUTED_VALUE"""),"Cost per period")</f>
        <v>Cost per period</v>
      </c>
      <c r="M338" s="3"/>
      <c r="N338" s="3"/>
      <c r="O338" s="3" t="str">
        <f ca="1">IFERROR(__xludf.DUMMYFUNCTION("""COMPUTED_VALUE"""),"1280")</f>
        <v>1280</v>
      </c>
      <c r="P338" s="3" t="str">
        <f ca="1">IFERROR(__xludf.DUMMYFUNCTION("""COMPUTED_VALUE"""),"720")</f>
        <v>720</v>
      </c>
      <c r="Q338" s="3" t="str">
        <f ca="1">IFERROR(__xludf.DUMMYFUNCTION("""COMPUTED_VALUE"""),"16:9")</f>
        <v>16:9</v>
      </c>
      <c r="R338" s="3"/>
      <c r="S338" s="3" t="str">
        <f ca="1">IFERROR(__xludf.DUMMYFUNCTION("""COMPUTED_VALUE"""),"100")</f>
        <v>100</v>
      </c>
      <c r="T338" s="3"/>
      <c r="U338" s="3" t="str">
        <f ca="1">IFERROR(__xludf.DUMMYFUNCTION("""COMPUTED_VALUE"""),"videospot")</f>
        <v>videospot</v>
      </c>
      <c r="V338" s="3"/>
      <c r="W338" s="4" t="str">
        <f ca="1">IFERROR(__xludf.DUMMYFUNCTION("""COMPUTED_VALUE"""),"https://reklama.cncenter.cz/Online/Outstream")</f>
        <v>https://reklama.cncenter.cz/Online/Outstream</v>
      </c>
      <c r="X338" s="3"/>
      <c r="Y338" s="3"/>
      <c r="Z338" s="3" t="str">
        <f ca="1">IFERROR(__xludf.DUMMYFUNCTION("""COMPUTED_VALUE"""),"podklady@cncenter.cz")</f>
        <v>podklady@cncenter.cz</v>
      </c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 t="str">
        <f ca="1">IFERROR(__xludf.DUMMYFUNCTION("""COMPUTED_VALUE"""),"cross-device")</f>
        <v>cross-device</v>
      </c>
      <c r="AO338" s="3"/>
      <c r="AP338" s="3"/>
      <c r="AQ338" s="3"/>
      <c r="AR338" s="3"/>
      <c r="AS338" s="3"/>
      <c r="AT338" s="3"/>
      <c r="AU338" s="3" t="str">
        <f ca="1">IFERROR(__xludf.DUMMYFUNCTION("""COMPUTED_VALUE"""),"cílený outstream")</f>
        <v>cílený outstream</v>
      </c>
    </row>
    <row r="339" spans="1:47" x14ac:dyDescent="0.3">
      <c r="A339" s="3">
        <f ca="1"/>
        <v>2346826</v>
      </c>
      <c r="B339" s="3" t="str">
        <f ca="1"/>
        <v>CZECH NEWS CENTER a. s.</v>
      </c>
      <c r="C339" s="3" t="str">
        <f ca="1">IFERROR(__xludf.DUMMYFUNCTION("""COMPUTED_VALUE"""),"CNC muži pack")</f>
        <v>CNC muži pack</v>
      </c>
      <c r="D339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9" s="3" t="str">
        <f ca="1">IFERROR(__xludf.DUMMYFUNCTION("""COMPUTED_VALUE"""),"celý web")</f>
        <v>celý web</v>
      </c>
      <c r="F339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9" s="3" t="str">
        <f ca="1">IFERROR(__xludf.DUMMYFUNCTION("""COMPUTED_VALUE"""),"cílený Smarticle low season")</f>
        <v>cílený Smarticle low season</v>
      </c>
      <c r="H339" s="3">
        <f ca="1">IFERROR(__xludf.DUMMYFUNCTION("""COMPUTED_VALUE"""),7)</f>
        <v>7</v>
      </c>
      <c r="I339" s="5">
        <f ca="1">IFERROR(__xludf.DUMMYFUNCTION("""COMPUTED_VALUE"""),1000)</f>
        <v>1000</v>
      </c>
      <c r="J339" s="5">
        <f ca="1">IFERROR(__xludf.DUMMYFUNCTION("""COMPUTED_VALUE"""),240)</f>
        <v>240</v>
      </c>
      <c r="K339" s="3"/>
      <c r="L339" s="3" t="str">
        <f ca="1">IFERROR(__xludf.DUMMYFUNCTION("""COMPUTED_VALUE"""),"Cost per period")</f>
        <v>Cost per period</v>
      </c>
      <c r="M339" s="3"/>
      <c r="N339" s="3" t="str">
        <f ca="1">IFERROR(__xludf.DUMMYFUNCTION("""COMPUTED_VALUE"""),"A4")</f>
        <v>A4</v>
      </c>
      <c r="O339" s="3"/>
      <c r="P339" s="3"/>
      <c r="Q339" s="3" t="str">
        <f ca="1">IFERROR(__xludf.DUMMYFUNCTION("""COMPUTED_VALUE"""),"viz. tech.specifikace; HP + sekce")</f>
        <v>viz. tech.specifikace; HP + sekce</v>
      </c>
      <c r="R339" s="3" t="str">
        <f ca="1">IFERROR(__xludf.DUMMYFUNCTION("""COMPUTED_VALUE"""),"HP + sekce")</f>
        <v>HP + sekce</v>
      </c>
      <c r="S339" s="3" t="str">
        <f ca="1">IFERROR(__xludf.DUMMYFUNCTION("""COMPUTED_VALUE"""),"100")</f>
        <v>100</v>
      </c>
      <c r="T339" s="3"/>
      <c r="U339" s="3" t="str">
        <f ca="1">IFERROR(__xludf.DUMMYFUNCTION("""COMPUTED_VALUE"""),"pr článek")</f>
        <v>pr článek</v>
      </c>
      <c r="V339" s="3"/>
      <c r="W339" s="4" t="str">
        <f ca="1">IFERROR(__xludf.DUMMYFUNCTION("""COMPUTED_VALUE"""),"https://reklama.cncenter.cz/Online/Smarticle")</f>
        <v>https://reklama.cncenter.cz/Online/Smarticle</v>
      </c>
      <c r="X339" s="3"/>
      <c r="Y339" s="3"/>
      <c r="Z339" s="3" t="str">
        <f ca="1">IFERROR(__xludf.DUMMYFUNCTION("""COMPUTED_VALUE"""),"podklady@cncenter.cz")</f>
        <v>podklady@cncenter.cz</v>
      </c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 t="str">
        <f ca="1">IFERROR(__xludf.DUMMYFUNCTION("""COMPUTED_VALUE"""),"cross-device")</f>
        <v>cross-device</v>
      </c>
      <c r="AO339" s="3"/>
      <c r="AP339" s="3"/>
      <c r="AQ339" s="3"/>
      <c r="AR339" s="3"/>
      <c r="AS339" s="3"/>
      <c r="AT339" s="3"/>
      <c r="AU339" s="3" t="str">
        <f ca="1">IFERROR(__xludf.DUMMYFUNCTION("""COMPUTED_VALUE"""),"cílený Smarticle")</f>
        <v>cílený Smarticle</v>
      </c>
    </row>
    <row r="340" spans="1:47" x14ac:dyDescent="0.3">
      <c r="A340" s="3">
        <f ca="1"/>
        <v>2346826</v>
      </c>
      <c r="B340" s="3" t="str">
        <f ca="1"/>
        <v>CZECH NEWS CENTER a. s.</v>
      </c>
      <c r="C340" s="3" t="str">
        <f ca="1">IFERROR(__xludf.DUMMYFUNCTION("""COMPUTED_VALUE"""),"CNC muži pack")</f>
        <v>CNC muži pack</v>
      </c>
      <c r="D340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0" s="3" t="str">
        <f ca="1">IFERROR(__xludf.DUMMYFUNCTION("""COMPUTED_VALUE"""),"celý web")</f>
        <v>celý web</v>
      </c>
      <c r="F340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0" s="3" t="str">
        <f ca="1">IFERROR(__xludf.DUMMYFUNCTION("""COMPUTED_VALUE"""),"cílený videospot - max. 30 sec. / bumper low season")</f>
        <v>cílený videospot - max. 30 sec. / bumper low season</v>
      </c>
      <c r="H340" s="3">
        <f ca="1">IFERROR(__xludf.DUMMYFUNCTION("""COMPUTED_VALUE"""),7)</f>
        <v>7</v>
      </c>
      <c r="I340" s="5">
        <f ca="1">IFERROR(__xludf.DUMMYFUNCTION("""COMPUTED_VALUE"""),1000)</f>
        <v>1000</v>
      </c>
      <c r="J340" s="5">
        <f ca="1">IFERROR(__xludf.DUMMYFUNCTION("""COMPUTED_VALUE"""),816)</f>
        <v>816</v>
      </c>
      <c r="K340" s="3"/>
      <c r="L340" s="3" t="str">
        <f ca="1">IFERROR(__xludf.DUMMYFUNCTION("""COMPUTED_VALUE"""),"Cost per period")</f>
        <v>Cost per period</v>
      </c>
      <c r="M340" s="3"/>
      <c r="N340" s="3"/>
      <c r="O340" s="3" t="str">
        <f ca="1">IFERROR(__xludf.DUMMYFUNCTION("""COMPUTED_VALUE"""),"1280")</f>
        <v>1280</v>
      </c>
      <c r="P340" s="3" t="str">
        <f ca="1">IFERROR(__xludf.DUMMYFUNCTION("""COMPUTED_VALUE"""),"720")</f>
        <v>720</v>
      </c>
      <c r="Q340" s="3" t="str">
        <f ca="1">IFERROR(__xludf.DUMMYFUNCTION("""COMPUTED_VALUE"""),"16:9 / umístění po domluvě dle možností")</f>
        <v>16:9 / umístění po domluvě dle možností</v>
      </c>
      <c r="R340" s="3" t="str">
        <f ca="1">IFERROR(__xludf.DUMMYFUNCTION("""COMPUTED_VALUE"""),"přeskočení po 7 sekundách")</f>
        <v>přeskočení po 7 sekundách</v>
      </c>
      <c r="S340" s="3" t="str">
        <f ca="1">IFERROR(__xludf.DUMMYFUNCTION("""COMPUTED_VALUE"""),"100")</f>
        <v>100</v>
      </c>
      <c r="T340" s="3"/>
      <c r="U340" s="3" t="str">
        <f ca="1">IFERROR(__xludf.DUMMYFUNCTION("""COMPUTED_VALUE"""),"videospot")</f>
        <v>videospot</v>
      </c>
      <c r="V340" s="3"/>
      <c r="W340" s="4" t="str">
        <f ca="1">IFERROR(__xludf.DUMMYFUNCTION("""COMPUTED_VALUE"""),"https://reklama.cncenter.cz/Online/Bumper")</f>
        <v>https://reklama.cncenter.cz/Online/Bumper</v>
      </c>
      <c r="X340" s="3"/>
      <c r="Y340" s="3"/>
      <c r="Z340" s="3" t="str">
        <f ca="1">IFERROR(__xludf.DUMMYFUNCTION("""COMPUTED_VALUE"""),"podklady@cncenter.cz")</f>
        <v>podklady@cncenter.cz</v>
      </c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 t="str">
        <f ca="1">IFERROR(__xludf.DUMMYFUNCTION("""COMPUTED_VALUE"""),"cross-device")</f>
        <v>cross-device</v>
      </c>
      <c r="AO340" s="3"/>
      <c r="AP340" s="3"/>
      <c r="AQ340" s="3"/>
      <c r="AR340" s="3"/>
      <c r="AS340" s="3"/>
      <c r="AT340" s="3"/>
      <c r="AU340" s="3" t="str">
        <f ca="1">IFERROR(__xludf.DUMMYFUNCTION("""COMPUTED_VALUE"""),"cílený videospot - max. 30 sec. / bumper")</f>
        <v>cílený videospot - max. 30 sec. / bumper</v>
      </c>
    </row>
    <row r="341" spans="1:47" x14ac:dyDescent="0.3">
      <c r="A341" s="3">
        <f ca="1"/>
        <v>2346826</v>
      </c>
      <c r="B341" s="3" t="str">
        <f ca="1"/>
        <v>CZECH NEWS CENTER a. s.</v>
      </c>
      <c r="C341" s="3" t="str">
        <f ca="1">IFERROR(__xludf.DUMMYFUNCTION("""COMPUTED_VALUE"""),"CNC muži pack")</f>
        <v>CNC muži pack</v>
      </c>
      <c r="D341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1" s="3" t="str">
        <f ca="1">IFERROR(__xludf.DUMMYFUNCTION("""COMPUTED_VALUE"""),"celý web")</f>
        <v>celý web</v>
      </c>
      <c r="F341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1" s="3" t="str">
        <f ca="1">IFERROR(__xludf.DUMMYFUNCTION("""COMPUTED_VALUE"""),"double skyscraper low season")</f>
        <v>double skyscraper low season</v>
      </c>
      <c r="H341" s="3">
        <f ca="1">IFERROR(__xludf.DUMMYFUNCTION("""COMPUTED_VALUE"""),7)</f>
        <v>7</v>
      </c>
      <c r="I341" s="5">
        <f ca="1">IFERROR(__xludf.DUMMYFUNCTION("""COMPUTED_VALUE"""),1000)</f>
        <v>1000</v>
      </c>
      <c r="J341" s="5">
        <f ca="1">IFERROR(__xludf.DUMMYFUNCTION("""COMPUTED_VALUE"""),150)</f>
        <v>150</v>
      </c>
      <c r="K341" s="3"/>
      <c r="L341" s="3" t="str">
        <f ca="1">IFERROR(__xludf.DUMMYFUNCTION("""COMPUTED_VALUE"""),"Cost per period")</f>
        <v>Cost per period</v>
      </c>
      <c r="M341" s="3"/>
      <c r="N341" s="3"/>
      <c r="O341" s="3" t="str">
        <f ca="1">IFERROR(__xludf.DUMMYFUNCTION("""COMPUTED_VALUE"""),"300")</f>
        <v>300</v>
      </c>
      <c r="P341" s="3" t="str">
        <f ca="1">IFERROR(__xludf.DUMMYFUNCTION("""COMPUTED_VALUE"""),"600")</f>
        <v>600</v>
      </c>
      <c r="Q341" s="3" t="str">
        <f ca="1">IFERROR(__xludf.DUMMYFUNCTION("""COMPUTED_VALUE"""),"300x600")</f>
        <v>300x600</v>
      </c>
      <c r="R341" s="3"/>
      <c r="S341" s="3" t="str">
        <f ca="1">IFERROR(__xludf.DUMMYFUNCTION("""COMPUTED_VALUE"""),"100 (200 - HTML5)")</f>
        <v>100 (200 - HTML5)</v>
      </c>
      <c r="T341" s="3"/>
      <c r="U341" s="3" t="str">
        <f ca="1">IFERROR(__xludf.DUMMYFUNCTION("""COMPUTED_VALUE"""),"banner standard")</f>
        <v>banner standard</v>
      </c>
      <c r="V341" s="3"/>
      <c r="W341" s="4" t="str">
        <f ca="1">IFERROR(__xludf.DUMMYFUNCTION("""COMPUTED_VALUE"""),"https://reklama.cncenter.cz/Online/double-skyscraper")</f>
        <v>https://reklama.cncenter.cz/Online/double-skyscraper</v>
      </c>
      <c r="X341" s="3"/>
      <c r="Y341" s="3"/>
      <c r="Z341" s="3" t="str">
        <f ca="1">IFERROR(__xludf.DUMMYFUNCTION("""COMPUTED_VALUE"""),"podklady@cncenter.cz")</f>
        <v>podklady@cncenter.cz</v>
      </c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 t="str">
        <f ca="1">IFERROR(__xludf.DUMMYFUNCTION("""COMPUTED_VALUE"""),"desktop")</f>
        <v>desktop</v>
      </c>
      <c r="AO341" s="3"/>
      <c r="AP341" s="3"/>
      <c r="AQ341" s="3"/>
      <c r="AR341" s="3"/>
      <c r="AS341" s="3"/>
      <c r="AT341" s="3"/>
      <c r="AU341" s="3" t="str">
        <f ca="1">IFERROR(__xludf.DUMMYFUNCTION("""COMPUTED_VALUE"""),"double skyscraper")</f>
        <v>double skyscraper</v>
      </c>
    </row>
    <row r="342" spans="1:47" x14ac:dyDescent="0.3">
      <c r="A342" s="3">
        <f ca="1"/>
        <v>2346826</v>
      </c>
      <c r="B342" s="3" t="str">
        <f ca="1"/>
        <v>CZECH NEWS CENTER a. s.</v>
      </c>
      <c r="C342" s="3" t="str">
        <f ca="1">IFERROR(__xludf.DUMMYFUNCTION("""COMPUTED_VALUE"""),"CNC muži pack")</f>
        <v>CNC muži pack</v>
      </c>
      <c r="D342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2" s="3" t="str">
        <f ca="1">IFERROR(__xludf.DUMMYFUNCTION("""COMPUTED_VALUE"""),"celý web")</f>
        <v>celý web</v>
      </c>
      <c r="F342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2" s="3" t="str">
        <f ca="1">IFERROR(__xludf.DUMMYFUNCTION("""COMPUTED_VALUE"""),"mini videospot - max. 30 sec. low season")</f>
        <v>mini videospot - max. 30 sec. low season</v>
      </c>
      <c r="H342" s="3">
        <f ca="1">IFERROR(__xludf.DUMMYFUNCTION("""COMPUTED_VALUE"""),7)</f>
        <v>7</v>
      </c>
      <c r="I342" s="5">
        <f ca="1">IFERROR(__xludf.DUMMYFUNCTION("""COMPUTED_VALUE"""),1000)</f>
        <v>1000</v>
      </c>
      <c r="J342" s="5">
        <f ca="1">IFERROR(__xludf.DUMMYFUNCTION("""COMPUTED_VALUE"""),150)</f>
        <v>150</v>
      </c>
      <c r="K342" s="3"/>
      <c r="L342" s="3" t="str">
        <f ca="1">IFERROR(__xludf.DUMMYFUNCTION("""COMPUTED_VALUE"""),"Cost per period")</f>
        <v>Cost per period</v>
      </c>
      <c r="M342" s="3"/>
      <c r="N342" s="3"/>
      <c r="O342" s="3"/>
      <c r="P342" s="3"/>
      <c r="Q342" s="3" t="str">
        <f ca="1">IFERROR(__xludf.DUMMYFUNCTION("""COMPUTED_VALUE"""),"16:9 / umístění po domluvě dle možností")</f>
        <v>16:9 / umístění po domluvě dle možností</v>
      </c>
      <c r="R342" s="3" t="str">
        <f ca="1">IFERROR(__xludf.DUMMYFUNCTION("""COMPUTED_VALUE"""),"přeskočení po 7 sekundách")</f>
        <v>přeskočení po 7 sekundách</v>
      </c>
      <c r="S342" s="3" t="str">
        <f ca="1">IFERROR(__xludf.DUMMYFUNCTION("""COMPUTED_VALUE"""),"100")</f>
        <v>100</v>
      </c>
      <c r="T342" s="3"/>
      <c r="U342" s="3" t="str">
        <f ca="1">IFERROR(__xludf.DUMMYFUNCTION("""COMPUTED_VALUE"""),"videospot")</f>
        <v>videospot</v>
      </c>
      <c r="V342" s="3"/>
      <c r="W342" s="4" t="str">
        <f ca="1">IFERROR(__xludf.DUMMYFUNCTION("""COMPUTED_VALUE"""),"https://reklama.cncenter.cz/Online/Videospot")</f>
        <v>https://reklama.cncenter.cz/Online/Videospot</v>
      </c>
      <c r="X342" s="3"/>
      <c r="Y342" s="3"/>
      <c r="Z342" s="3" t="str">
        <f ca="1">IFERROR(__xludf.DUMMYFUNCTION("""COMPUTED_VALUE"""),"podklady@cncenter.cz")</f>
        <v>podklady@cncenter.cz</v>
      </c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 t="str">
        <f ca="1">IFERROR(__xludf.DUMMYFUNCTION("""COMPUTED_VALUE"""),"desktop")</f>
        <v>desktop</v>
      </c>
      <c r="AO342" s="3"/>
      <c r="AP342" s="3"/>
      <c r="AQ342" s="3"/>
      <c r="AR342" s="3"/>
      <c r="AS342" s="3"/>
      <c r="AT342" s="3"/>
      <c r="AU342" s="3" t="str">
        <f ca="1">IFERROR(__xludf.DUMMYFUNCTION("""COMPUTED_VALUE"""),"mini videospot - max. 30 sec.")</f>
        <v>mini videospot - max. 30 sec.</v>
      </c>
    </row>
    <row r="343" spans="1:47" x14ac:dyDescent="0.3">
      <c r="A343" s="3">
        <f ca="1"/>
        <v>2346826</v>
      </c>
      <c r="B343" s="3" t="str">
        <f ca="1"/>
        <v>CZECH NEWS CENTER a. s.</v>
      </c>
      <c r="C343" s="3" t="str">
        <f ca="1">IFERROR(__xludf.DUMMYFUNCTION("""COMPUTED_VALUE"""),"CNC muži pack")</f>
        <v>CNC muži pack</v>
      </c>
      <c r="D343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3" s="3" t="str">
        <f ca="1">IFERROR(__xludf.DUMMYFUNCTION("""COMPUTED_VALUE"""),"celý web")</f>
        <v>celý web</v>
      </c>
      <c r="F343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3" s="3" t="str">
        <f ca="1">IFERROR(__xludf.DUMMYFUNCTION("""COMPUTED_VALUE"""),"mobilní interscroller low season")</f>
        <v>mobilní interscroller low season</v>
      </c>
      <c r="H343" s="3">
        <f ca="1">IFERROR(__xludf.DUMMYFUNCTION("""COMPUTED_VALUE"""),7)</f>
        <v>7</v>
      </c>
      <c r="I343" s="5">
        <f ca="1">IFERROR(__xludf.DUMMYFUNCTION("""COMPUTED_VALUE"""),1000)</f>
        <v>1000</v>
      </c>
      <c r="J343" s="5">
        <f ca="1">IFERROR(__xludf.DUMMYFUNCTION("""COMPUTED_VALUE"""),200)</f>
        <v>200</v>
      </c>
      <c r="K343" s="3"/>
      <c r="L343" s="3" t="str">
        <f ca="1">IFERROR(__xludf.DUMMYFUNCTION("""COMPUTED_VALUE"""),"Cost per period")</f>
        <v>Cost per period</v>
      </c>
      <c r="M343" s="3"/>
      <c r="N343" s="3"/>
      <c r="O343" s="3" t="str">
        <f ca="1">IFERROR(__xludf.DUMMYFUNCTION("""COMPUTED_VALUE"""),"600")</f>
        <v>600</v>
      </c>
      <c r="P343" s="3" t="str">
        <f ca="1">IFERROR(__xludf.DUMMYFUNCTION("""COMPUTED_VALUE"""),"1080")</f>
        <v>1080</v>
      </c>
      <c r="Q343" s="3" t="str">
        <f ca="1">IFERROR(__xludf.DUMMYFUNCTION("""COMPUTED_VALUE"""),"600x1080")</f>
        <v>600x1080</v>
      </c>
      <c r="R343" s="3"/>
      <c r="S343" s="3" t="str">
        <f ca="1">IFERROR(__xludf.DUMMYFUNCTION("""COMPUTED_VALUE"""),"200")</f>
        <v>200</v>
      </c>
      <c r="T343" s="3"/>
      <c r="U343" s="3" t="str">
        <f ca="1">IFERROR(__xludf.DUMMYFUNCTION("""COMPUTED_VALUE"""),"banner standard")</f>
        <v>banner standard</v>
      </c>
      <c r="V343" s="3"/>
      <c r="W343" s="4" t="str">
        <f ca="1">IFERROR(__xludf.DUMMYFUNCTION("""COMPUTED_VALUE"""),"https://reklama.cncenter.cz/Online/mobilni-interscroller")</f>
        <v>https://reklama.cncenter.cz/Online/mobilni-interscroller</v>
      </c>
      <c r="X343" s="3"/>
      <c r="Y343" s="3"/>
      <c r="Z343" s="3" t="str">
        <f ca="1">IFERROR(__xludf.DUMMYFUNCTION("""COMPUTED_VALUE"""),"podklady@cncenter.cz")</f>
        <v>podklady@cncenter.cz</v>
      </c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 t="str">
        <f ca="1">IFERROR(__xludf.DUMMYFUNCTION("""COMPUTED_VALUE"""),"mobile")</f>
        <v>mobile</v>
      </c>
      <c r="AO343" s="3"/>
      <c r="AP343" s="3"/>
      <c r="AQ343" s="3"/>
      <c r="AR343" s="3"/>
      <c r="AS343" s="3"/>
      <c r="AT343" s="3"/>
      <c r="AU343" s="3" t="str">
        <f ca="1">IFERROR(__xludf.DUMMYFUNCTION("""COMPUTED_VALUE"""),"mobilní interscroller")</f>
        <v>mobilní interscroller</v>
      </c>
    </row>
    <row r="344" spans="1:47" x14ac:dyDescent="0.3">
      <c r="A344" s="3">
        <f ca="1"/>
        <v>2346826</v>
      </c>
      <c r="B344" s="3" t="str">
        <f ca="1"/>
        <v>CZECH NEWS CENTER a. s.</v>
      </c>
      <c r="C344" s="3" t="str">
        <f ca="1">IFERROR(__xludf.DUMMYFUNCTION("""COMPUTED_VALUE"""),"CNC muži pack")</f>
        <v>CNC muži pack</v>
      </c>
      <c r="D344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4" s="3" t="str">
        <f ca="1">IFERROR(__xludf.DUMMYFUNCTION("""COMPUTED_VALUE"""),"celý web")</f>
        <v>celý web</v>
      </c>
      <c r="F344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4" s="3" t="str">
        <f ca="1">IFERROR(__xludf.DUMMYFUNCTION("""COMPUTED_VALUE"""),"mobilní slide-up low season")</f>
        <v>mobilní slide-up low season</v>
      </c>
      <c r="H344" s="3">
        <f ca="1">IFERROR(__xludf.DUMMYFUNCTION("""COMPUTED_VALUE"""),7)</f>
        <v>7</v>
      </c>
      <c r="I344" s="5">
        <f ca="1">IFERROR(__xludf.DUMMYFUNCTION("""COMPUTED_VALUE"""),1000)</f>
        <v>1000</v>
      </c>
      <c r="J344" s="5">
        <f ca="1">IFERROR(__xludf.DUMMYFUNCTION("""COMPUTED_VALUE"""),400)</f>
        <v>400</v>
      </c>
      <c r="K344" s="3"/>
      <c r="L344" s="3" t="str">
        <f ca="1">IFERROR(__xludf.DUMMYFUNCTION("""COMPUTED_VALUE"""),"Cost per period")</f>
        <v>Cost per period</v>
      </c>
      <c r="M344" s="3"/>
      <c r="N344" s="3"/>
      <c r="O344" s="3" t="str">
        <f ca="1">IFERROR(__xludf.DUMMYFUNCTION("""COMPUTED_VALUE"""),"300")</f>
        <v>300</v>
      </c>
      <c r="P344" s="3" t="str">
        <f ca="1">IFERROR(__xludf.DUMMYFUNCTION("""COMPUTED_VALUE"""),"120")</f>
        <v>120</v>
      </c>
      <c r="Q344" s="3" t="str">
        <f ca="1">IFERROR(__xludf.DUMMYFUNCTION("""COMPUTED_VALUE"""),"300x120")</f>
        <v>300x120</v>
      </c>
      <c r="R344" s="3"/>
      <c r="S344" s="3" t="str">
        <f ca="1">IFERROR(__xludf.DUMMYFUNCTION("""COMPUTED_VALUE"""),"100")</f>
        <v>100</v>
      </c>
      <c r="T344" s="3"/>
      <c r="U344" s="3" t="str">
        <f ca="1">IFERROR(__xludf.DUMMYFUNCTION("""COMPUTED_VALUE"""),"banner standard")</f>
        <v>banner standard</v>
      </c>
      <c r="V344" s="3"/>
      <c r="W344" s="4" t="str">
        <f ca="1">IFERROR(__xludf.DUMMYFUNCTION("""COMPUTED_VALUE"""),"https://reklama.cncenter.cz/Online/mobilni-slide-up")</f>
        <v>https://reklama.cncenter.cz/Online/mobilni-slide-up</v>
      </c>
      <c r="X344" s="3"/>
      <c r="Y344" s="3"/>
      <c r="Z344" s="3" t="str">
        <f ca="1">IFERROR(__xludf.DUMMYFUNCTION("""COMPUTED_VALUE"""),"podklady@cncenter.cz")</f>
        <v>podklady@cncenter.cz</v>
      </c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 t="str">
        <f ca="1">IFERROR(__xludf.DUMMYFUNCTION("""COMPUTED_VALUE"""),"mobile")</f>
        <v>mobile</v>
      </c>
      <c r="AO344" s="3"/>
      <c r="AP344" s="3"/>
      <c r="AQ344" s="3"/>
      <c r="AR344" s="3"/>
      <c r="AS344" s="3"/>
      <c r="AT344" s="3"/>
      <c r="AU344" s="3" t="str">
        <f ca="1">IFERROR(__xludf.DUMMYFUNCTION("""COMPUTED_VALUE"""),"mobilní slide-up")</f>
        <v>mobilní slide-up</v>
      </c>
    </row>
    <row r="345" spans="1:47" x14ac:dyDescent="0.3">
      <c r="A345" s="3">
        <f ca="1"/>
        <v>2346826</v>
      </c>
      <c r="B345" s="3" t="str">
        <f ca="1"/>
        <v>CZECH NEWS CENTER a. s.</v>
      </c>
      <c r="C345" s="3" t="str">
        <f ca="1">IFERROR(__xludf.DUMMYFUNCTION("""COMPUTED_VALUE"""),"CNC muži pack")</f>
        <v>CNC muži pack</v>
      </c>
      <c r="D345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5" s="3" t="str">
        <f ca="1">IFERROR(__xludf.DUMMYFUNCTION("""COMPUTED_VALUE"""),"celý web")</f>
        <v>celý web</v>
      </c>
      <c r="F345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5" s="3" t="str">
        <f ca="1">IFERROR(__xludf.DUMMYFUNCTION("""COMPUTED_VALUE"""),"mobilní viněta low season")</f>
        <v>mobilní viněta low season</v>
      </c>
      <c r="H345" s="3">
        <f ca="1">IFERROR(__xludf.DUMMYFUNCTION("""COMPUTED_VALUE"""),7)</f>
        <v>7</v>
      </c>
      <c r="I345" s="5">
        <f ca="1">IFERROR(__xludf.DUMMYFUNCTION("""COMPUTED_VALUE"""),1000)</f>
        <v>1000</v>
      </c>
      <c r="J345" s="5">
        <f ca="1">IFERROR(__xludf.DUMMYFUNCTION("""COMPUTED_VALUE"""),560)</f>
        <v>560</v>
      </c>
      <c r="K345" s="3"/>
      <c r="L345" s="3" t="str">
        <f ca="1">IFERROR(__xludf.DUMMYFUNCTION("""COMPUTED_VALUE"""),"Cost per period")</f>
        <v>Cost per period</v>
      </c>
      <c r="M345" s="3"/>
      <c r="N345" s="3"/>
      <c r="O345" s="3" t="str">
        <f ca="1">IFERROR(__xludf.DUMMYFUNCTION("""COMPUTED_VALUE"""),"600")</f>
        <v>600</v>
      </c>
      <c r="P345" s="3" t="str">
        <f ca="1">IFERROR(__xludf.DUMMYFUNCTION("""COMPUTED_VALUE"""),"800")</f>
        <v>800</v>
      </c>
      <c r="Q345" s="3" t="str">
        <f ca="1">IFERROR(__xludf.DUMMYFUNCTION("""COMPUTED_VALUE"""),"300x250 nebo 600x800")</f>
        <v>300x250 nebo 600x800</v>
      </c>
      <c r="R345" s="3"/>
      <c r="S345" s="3" t="str">
        <f ca="1">IFERROR(__xludf.DUMMYFUNCTION("""COMPUTED_VALUE"""),"100")</f>
        <v>100</v>
      </c>
      <c r="T345" s="3"/>
      <c r="U345" s="3" t="str">
        <f ca="1">IFERROR(__xludf.DUMMYFUNCTION("""COMPUTED_VALUE"""),"banner standard")</f>
        <v>banner standard</v>
      </c>
      <c r="V345" s="3"/>
      <c r="W345" s="4" t="str">
        <f ca="1">IFERROR(__xludf.DUMMYFUNCTION("""COMPUTED_VALUE"""),"https://reklama.cncenter.cz/Online/mobilni-vineta")</f>
        <v>https://reklama.cncenter.cz/Online/mobilni-vineta</v>
      </c>
      <c r="X345" s="3"/>
      <c r="Y345" s="3"/>
      <c r="Z345" s="3" t="str">
        <f ca="1">IFERROR(__xludf.DUMMYFUNCTION("""COMPUTED_VALUE"""),"podklady@cncenter.cz")</f>
        <v>podklady@cncenter.cz</v>
      </c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 t="str">
        <f ca="1">IFERROR(__xludf.DUMMYFUNCTION("""COMPUTED_VALUE"""),"mobile")</f>
        <v>mobile</v>
      </c>
      <c r="AO345" s="3"/>
      <c r="AP345" s="3"/>
      <c r="AQ345" s="3"/>
      <c r="AR345" s="3"/>
      <c r="AS345" s="3"/>
      <c r="AT345" s="3"/>
      <c r="AU345" s="3" t="str">
        <f ca="1">IFERROR(__xludf.DUMMYFUNCTION("""COMPUTED_VALUE"""),"mobilní viněta")</f>
        <v>mobilní viněta</v>
      </c>
    </row>
    <row r="346" spans="1:47" x14ac:dyDescent="0.3">
      <c r="A346" s="3">
        <f ca="1"/>
        <v>2346826</v>
      </c>
      <c r="B346" s="3" t="str">
        <f ca="1"/>
        <v>CZECH NEWS CENTER a. s.</v>
      </c>
      <c r="C346" s="3" t="str">
        <f ca="1">IFERROR(__xludf.DUMMYFUNCTION("""COMPUTED_VALUE"""),"CNC muži pack")</f>
        <v>CNC muži pack</v>
      </c>
      <c r="D346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6" s="3" t="str">
        <f ca="1">IFERROR(__xludf.DUMMYFUNCTION("""COMPUTED_VALUE"""),"celý web")</f>
        <v>celý web</v>
      </c>
      <c r="F346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6" s="3" t="str">
        <f ca="1">IFERROR(__xludf.DUMMYFUNCTION("""COMPUTED_VALUE"""),"nativní rectangle cross-device low season")</f>
        <v>nativní rectangle cross-device low season</v>
      </c>
      <c r="H346" s="3">
        <f ca="1">IFERROR(__xludf.DUMMYFUNCTION("""COMPUTED_VALUE"""),7)</f>
        <v>7</v>
      </c>
      <c r="I346" s="5">
        <f ca="1">IFERROR(__xludf.DUMMYFUNCTION("""COMPUTED_VALUE"""),1000)</f>
        <v>1000</v>
      </c>
      <c r="J346" s="5">
        <f ca="1">IFERROR(__xludf.DUMMYFUNCTION("""COMPUTED_VALUE"""),150)</f>
        <v>150</v>
      </c>
      <c r="K346" s="3"/>
      <c r="L346" s="3" t="str">
        <f ca="1">IFERROR(__xludf.DUMMYFUNCTION("""COMPUTED_VALUE"""),"Cost per period")</f>
        <v>Cost per period</v>
      </c>
      <c r="M346" s="3"/>
      <c r="N346" s="3"/>
      <c r="O346" s="3" t="str">
        <f ca="1">IFERROR(__xludf.DUMMYFUNCTION("""COMPUTED_VALUE"""),"640")</f>
        <v>640</v>
      </c>
      <c r="P346" s="3" t="str">
        <f ca="1">IFERROR(__xludf.DUMMYFUNCTION("""COMPUTED_VALUE"""),"335, 640")</f>
        <v>335, 640</v>
      </c>
      <c r="Q346" s="3" t="str">
        <f ca="1">IFERROR(__xludf.DUMMYFUNCTION("""COMPUTED_VALUE"""),"640x640 a 640x335 + text + logo")</f>
        <v>640x640 a 640x335 + text + logo</v>
      </c>
      <c r="R346" s="3"/>
      <c r="S346" s="3" t="str">
        <f ca="1">IFERROR(__xludf.DUMMYFUNCTION("""COMPUTED_VALUE"""),"45")</f>
        <v>45</v>
      </c>
      <c r="T346" s="3"/>
      <c r="U346" s="3" t="str">
        <f ca="1">IFERROR(__xludf.DUMMYFUNCTION("""COMPUTED_VALUE"""),"nativní reklama")</f>
        <v>nativní reklama</v>
      </c>
      <c r="V346" s="3"/>
      <c r="W346" s="4" t="str">
        <f ca="1">IFERROR(__xludf.DUMMYFUNCTION("""COMPUTED_VALUE"""),"https://reklama.cncenter.cz/Online/nativni-rectangle-cross-device")</f>
        <v>https://reklama.cncenter.cz/Online/nativni-rectangle-cross-device</v>
      </c>
      <c r="X346" s="3"/>
      <c r="Y346" s="3"/>
      <c r="Z346" s="3" t="str">
        <f ca="1">IFERROR(__xludf.DUMMYFUNCTION("""COMPUTED_VALUE"""),"podklady@cncenter.cz")</f>
        <v>podklady@cncenter.cz</v>
      </c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 t="str">
        <f ca="1">IFERROR(__xludf.DUMMYFUNCTION("""COMPUTED_VALUE"""),"cross-device")</f>
        <v>cross-device</v>
      </c>
      <c r="AO346" s="3"/>
      <c r="AP346" s="3"/>
      <c r="AQ346" s="3"/>
      <c r="AR346" s="3"/>
      <c r="AS346" s="3"/>
      <c r="AT346" s="3"/>
      <c r="AU346" s="3" t="str">
        <f ca="1">IFERROR(__xludf.DUMMYFUNCTION("""COMPUTED_VALUE"""),"nativní rectangle cross-device")</f>
        <v>nativní rectangle cross-device</v>
      </c>
    </row>
    <row r="347" spans="1:47" x14ac:dyDescent="0.3">
      <c r="A347" s="3">
        <f ca="1"/>
        <v>2346826</v>
      </c>
      <c r="B347" s="3" t="str">
        <f ca="1"/>
        <v>CZECH NEWS CENTER a. s.</v>
      </c>
      <c r="C347" s="3" t="str">
        <f ca="1">IFERROR(__xludf.DUMMYFUNCTION("""COMPUTED_VALUE"""),"CNC muži pack")</f>
        <v>CNC muži pack</v>
      </c>
      <c r="D347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7" s="3" t="str">
        <f ca="1">IFERROR(__xludf.DUMMYFUNCTION("""COMPUTED_VALUE"""),"celý web")</f>
        <v>celý web</v>
      </c>
      <c r="F347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7" s="3" t="str">
        <f ca="1">IFERROR(__xludf.DUMMYFUNCTION("""COMPUTED_VALUE"""),"outstream low season")</f>
        <v>outstream low season</v>
      </c>
      <c r="H347" s="3">
        <f ca="1">IFERROR(__xludf.DUMMYFUNCTION("""COMPUTED_VALUE"""),7)</f>
        <v>7</v>
      </c>
      <c r="I347" s="5">
        <f ca="1">IFERROR(__xludf.DUMMYFUNCTION("""COMPUTED_VALUE"""),1000)</f>
        <v>1000</v>
      </c>
      <c r="J347" s="5">
        <f ca="1">IFERROR(__xludf.DUMMYFUNCTION("""COMPUTED_VALUE"""),230)</f>
        <v>230</v>
      </c>
      <c r="K347" s="3"/>
      <c r="L347" s="3" t="str">
        <f ca="1">IFERROR(__xludf.DUMMYFUNCTION("""COMPUTED_VALUE"""),"Cost per period")</f>
        <v>Cost per period</v>
      </c>
      <c r="M347" s="3"/>
      <c r="N347" s="3"/>
      <c r="O347" s="3" t="str">
        <f ca="1">IFERROR(__xludf.DUMMYFUNCTION("""COMPUTED_VALUE"""),"1280")</f>
        <v>1280</v>
      </c>
      <c r="P347" s="3" t="str">
        <f ca="1">IFERROR(__xludf.DUMMYFUNCTION("""COMPUTED_VALUE"""),"720")</f>
        <v>720</v>
      </c>
      <c r="Q347" s="3" t="str">
        <f ca="1">IFERROR(__xludf.DUMMYFUNCTION("""COMPUTED_VALUE"""),"16:9")</f>
        <v>16:9</v>
      </c>
      <c r="R347" s="3"/>
      <c r="S347" s="3" t="str">
        <f ca="1">IFERROR(__xludf.DUMMYFUNCTION("""COMPUTED_VALUE"""),"100")</f>
        <v>100</v>
      </c>
      <c r="T347" s="3"/>
      <c r="U347" s="3" t="str">
        <f ca="1">IFERROR(__xludf.DUMMYFUNCTION("""COMPUTED_VALUE"""),"videospot")</f>
        <v>videospot</v>
      </c>
      <c r="V347" s="3"/>
      <c r="W347" s="4" t="str">
        <f ca="1">IFERROR(__xludf.DUMMYFUNCTION("""COMPUTED_VALUE"""),"https://reklama.cncenter.cz/Online/Outstream")</f>
        <v>https://reklama.cncenter.cz/Online/Outstream</v>
      </c>
      <c r="X347" s="3"/>
      <c r="Y347" s="3"/>
      <c r="Z347" s="3" t="str">
        <f ca="1">IFERROR(__xludf.DUMMYFUNCTION("""COMPUTED_VALUE"""),"podklady@cncenter.cz")</f>
        <v>podklady@cncenter.cz</v>
      </c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 t="str">
        <f ca="1">IFERROR(__xludf.DUMMYFUNCTION("""COMPUTED_VALUE"""),"cross-device")</f>
        <v>cross-device</v>
      </c>
      <c r="AO347" s="3"/>
      <c r="AP347" s="3"/>
      <c r="AQ347" s="3"/>
      <c r="AR347" s="3"/>
      <c r="AS347" s="3"/>
      <c r="AT347" s="3"/>
      <c r="AU347" s="3" t="str">
        <f ca="1">IFERROR(__xludf.DUMMYFUNCTION("""COMPUTED_VALUE"""),"outstream")</f>
        <v>outstream</v>
      </c>
    </row>
    <row r="348" spans="1:47" x14ac:dyDescent="0.3">
      <c r="A348" s="3">
        <f ca="1"/>
        <v>2346826</v>
      </c>
      <c r="B348" s="3" t="str">
        <f ca="1"/>
        <v>CZECH NEWS CENTER a. s.</v>
      </c>
      <c r="C348" s="3" t="str">
        <f ca="1">IFERROR(__xludf.DUMMYFUNCTION("""COMPUTED_VALUE"""),"CNC muži pack")</f>
        <v>CNC muži pack</v>
      </c>
      <c r="D348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8" s="3" t="str">
        <f ca="1">IFERROR(__xludf.DUMMYFUNCTION("""COMPUTED_VALUE"""),"celý web")</f>
        <v>celý web</v>
      </c>
      <c r="F348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8" s="3" t="str">
        <f ca="1">IFERROR(__xludf.DUMMYFUNCTION("""COMPUTED_VALUE"""),"Smarticle low season")</f>
        <v>Smarticle low season</v>
      </c>
      <c r="H348" s="3">
        <f ca="1">IFERROR(__xludf.DUMMYFUNCTION("""COMPUTED_VALUE"""),7)</f>
        <v>7</v>
      </c>
      <c r="I348" s="5">
        <f ca="1">IFERROR(__xludf.DUMMYFUNCTION("""COMPUTED_VALUE"""),1000)</f>
        <v>1000</v>
      </c>
      <c r="J348" s="5">
        <f ca="1">IFERROR(__xludf.DUMMYFUNCTION("""COMPUTED_VALUE"""),200)</f>
        <v>200</v>
      </c>
      <c r="K348" s="3"/>
      <c r="L348" s="3" t="str">
        <f ca="1">IFERROR(__xludf.DUMMYFUNCTION("""COMPUTED_VALUE"""),"Cost per period")</f>
        <v>Cost per period</v>
      </c>
      <c r="M348" s="3"/>
      <c r="N348" s="3" t="str">
        <f ca="1">IFERROR(__xludf.DUMMYFUNCTION("""COMPUTED_VALUE"""),"A4")</f>
        <v>A4</v>
      </c>
      <c r="O348" s="3"/>
      <c r="P348" s="3"/>
      <c r="Q348" s="3" t="str">
        <f ca="1">IFERROR(__xludf.DUMMYFUNCTION("""COMPUTED_VALUE"""),"viz. tech.specifikace; HP + sekce")</f>
        <v>viz. tech.specifikace; HP + sekce</v>
      </c>
      <c r="R348" s="3" t="str">
        <f ca="1">IFERROR(__xludf.DUMMYFUNCTION("""COMPUTED_VALUE"""),"HP + sekce")</f>
        <v>HP + sekce</v>
      </c>
      <c r="S348" s="3" t="str">
        <f ca="1">IFERROR(__xludf.DUMMYFUNCTION("""COMPUTED_VALUE"""),"100")</f>
        <v>100</v>
      </c>
      <c r="T348" s="3"/>
      <c r="U348" s="3" t="str">
        <f ca="1">IFERROR(__xludf.DUMMYFUNCTION("""COMPUTED_VALUE"""),"pr článek")</f>
        <v>pr článek</v>
      </c>
      <c r="V348" s="3"/>
      <c r="W348" s="4" t="str">
        <f ca="1">IFERROR(__xludf.DUMMYFUNCTION("""COMPUTED_VALUE"""),"https://reklama.cncenter.cz/Online/Smarticle")</f>
        <v>https://reklama.cncenter.cz/Online/Smarticle</v>
      </c>
      <c r="X348" s="3"/>
      <c r="Y348" s="3"/>
      <c r="Z348" s="3" t="str">
        <f ca="1">IFERROR(__xludf.DUMMYFUNCTION("""COMPUTED_VALUE"""),"podklady@cncenter.cz")</f>
        <v>podklady@cncenter.cz</v>
      </c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 t="str">
        <f ca="1">IFERROR(__xludf.DUMMYFUNCTION("""COMPUTED_VALUE"""),"cross-device")</f>
        <v>cross-device</v>
      </c>
      <c r="AO348" s="3"/>
      <c r="AP348" s="3"/>
      <c r="AQ348" s="3"/>
      <c r="AR348" s="3"/>
      <c r="AS348" s="3"/>
      <c r="AT348" s="3"/>
      <c r="AU348" s="3" t="str">
        <f ca="1">IFERROR(__xludf.DUMMYFUNCTION("""COMPUTED_VALUE"""),"Smarticle")</f>
        <v>Smarticle</v>
      </c>
    </row>
    <row r="349" spans="1:47" x14ac:dyDescent="0.3">
      <c r="A349" s="3">
        <f ca="1"/>
        <v>2346826</v>
      </c>
      <c r="B349" s="3" t="str">
        <f ca="1"/>
        <v>CZECH NEWS CENTER a. s.</v>
      </c>
      <c r="C349" s="3" t="str">
        <f ca="1">IFERROR(__xludf.DUMMYFUNCTION("""COMPUTED_VALUE"""),"CNC muži pack")</f>
        <v>CNC muži pack</v>
      </c>
      <c r="D349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9" s="3" t="str">
        <f ca="1">IFERROR(__xludf.DUMMYFUNCTION("""COMPUTED_VALUE"""),"celý web")</f>
        <v>celý web</v>
      </c>
      <c r="F349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9" s="3" t="str">
        <f ca="1">IFERROR(__xludf.DUMMYFUNCTION("""COMPUTED_VALUE"""),"videospot - max. 30 sec. / bumper low season")</f>
        <v>videospot - max. 30 sec. / bumper low season</v>
      </c>
      <c r="H349" s="3">
        <f ca="1">IFERROR(__xludf.DUMMYFUNCTION("""COMPUTED_VALUE"""),7)</f>
        <v>7</v>
      </c>
      <c r="I349" s="5">
        <f ca="1">IFERROR(__xludf.DUMMYFUNCTION("""COMPUTED_VALUE"""),1000)</f>
        <v>1000</v>
      </c>
      <c r="J349" s="5">
        <f ca="1">IFERROR(__xludf.DUMMYFUNCTION("""COMPUTED_VALUE"""),680)</f>
        <v>680</v>
      </c>
      <c r="K349" s="3"/>
      <c r="L349" s="3" t="str">
        <f ca="1">IFERROR(__xludf.DUMMYFUNCTION("""COMPUTED_VALUE"""),"Cost per period")</f>
        <v>Cost per period</v>
      </c>
      <c r="M349" s="3"/>
      <c r="N349" s="3"/>
      <c r="O349" s="3" t="str">
        <f ca="1">IFERROR(__xludf.DUMMYFUNCTION("""COMPUTED_VALUE"""),"1280")</f>
        <v>1280</v>
      </c>
      <c r="P349" s="3" t="str">
        <f ca="1">IFERROR(__xludf.DUMMYFUNCTION("""COMPUTED_VALUE"""),"720")</f>
        <v>720</v>
      </c>
      <c r="Q349" s="3" t="str">
        <f ca="1">IFERROR(__xludf.DUMMYFUNCTION("""COMPUTED_VALUE"""),"16:9 / umístění po domluvě dle možností")</f>
        <v>16:9 / umístění po domluvě dle možností</v>
      </c>
      <c r="R349" s="3" t="str">
        <f ca="1">IFERROR(__xludf.DUMMYFUNCTION("""COMPUTED_VALUE"""),"přeskočení po 7 sekundách")</f>
        <v>přeskočení po 7 sekundách</v>
      </c>
      <c r="S349" s="3" t="str">
        <f ca="1">IFERROR(__xludf.DUMMYFUNCTION("""COMPUTED_VALUE"""),"100")</f>
        <v>100</v>
      </c>
      <c r="T349" s="3"/>
      <c r="U349" s="3" t="str">
        <f ca="1">IFERROR(__xludf.DUMMYFUNCTION("""COMPUTED_VALUE"""),"videospot")</f>
        <v>videospot</v>
      </c>
      <c r="V349" s="3"/>
      <c r="W349" s="4" t="str">
        <f ca="1">IFERROR(__xludf.DUMMYFUNCTION("""COMPUTED_VALUE"""),"https://reklama.cncenter.cz/Online/Bumper")</f>
        <v>https://reklama.cncenter.cz/Online/Bumper</v>
      </c>
      <c r="X349" s="3"/>
      <c r="Y349" s="3"/>
      <c r="Z349" s="3" t="str">
        <f ca="1">IFERROR(__xludf.DUMMYFUNCTION("""COMPUTED_VALUE"""),"podklady@cncenter.cz")</f>
        <v>podklady@cncenter.cz</v>
      </c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 t="str">
        <f ca="1">IFERROR(__xludf.DUMMYFUNCTION("""COMPUTED_VALUE"""),"cross-device")</f>
        <v>cross-device</v>
      </c>
      <c r="AO349" s="3"/>
      <c r="AP349" s="3"/>
      <c r="AQ349" s="3"/>
      <c r="AR349" s="3"/>
      <c r="AS349" s="3"/>
      <c r="AT349" s="3"/>
      <c r="AU349" s="3" t="str">
        <f ca="1">IFERROR(__xludf.DUMMYFUNCTION("""COMPUTED_VALUE"""),"videospot - max. 30 sec. / bumper")</f>
        <v>videospot - max. 30 sec. / bumper</v>
      </c>
    </row>
    <row r="350" spans="1:47" x14ac:dyDescent="0.3">
      <c r="A350" s="3">
        <f ca="1"/>
        <v>2346826</v>
      </c>
      <c r="B350" s="3" t="str">
        <f ca="1"/>
        <v>CZECH NEWS CENTER a. s.</v>
      </c>
      <c r="C350" s="3" t="str">
        <f ca="1">IFERROR(__xludf.DUMMYFUNCTION("""COMPUTED_VALUE"""),"CNC zpravodajský pack")</f>
        <v>CNC zpravodajský pack</v>
      </c>
      <c r="D350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0" s="3" t="str">
        <f ca="1">IFERROR(__xludf.DUMMYFUNCTION("""COMPUTED_VALUE"""),"celý web")</f>
        <v>celý web</v>
      </c>
      <c r="F350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0" s="3" t="str">
        <f ca="1">IFERROR(__xludf.DUMMYFUNCTION("""COMPUTED_VALUE"""),"billboard bottom low season")</f>
        <v>billboard bottom low season</v>
      </c>
      <c r="H350" s="3">
        <f ca="1">IFERROR(__xludf.DUMMYFUNCTION("""COMPUTED_VALUE"""),7)</f>
        <v>7</v>
      </c>
      <c r="I350" s="5">
        <f ca="1">IFERROR(__xludf.DUMMYFUNCTION("""COMPUTED_VALUE"""),1000)</f>
        <v>1000</v>
      </c>
      <c r="J350" s="5">
        <f ca="1">IFERROR(__xludf.DUMMYFUNCTION("""COMPUTED_VALUE"""),250)</f>
        <v>250</v>
      </c>
      <c r="K350" s="3"/>
      <c r="L350" s="3" t="str">
        <f ca="1">IFERROR(__xludf.DUMMYFUNCTION("""COMPUTED_VALUE"""),"Cost per period")</f>
        <v>Cost per period</v>
      </c>
      <c r="M350" s="3"/>
      <c r="N350" s="3"/>
      <c r="O350" s="3" t="str">
        <f ca="1">IFERROR(__xludf.DUMMYFUNCTION("""COMPUTED_VALUE"""),"970")</f>
        <v>970</v>
      </c>
      <c r="P350" s="3" t="str">
        <f ca="1">IFERROR(__xludf.DUMMYFUNCTION("""COMPUTED_VALUE"""),"250")</f>
        <v>250</v>
      </c>
      <c r="Q350" s="3" t="str">
        <f ca="1">IFERROR(__xludf.DUMMYFUNCTION("""COMPUTED_VALUE"""),"970x250")</f>
        <v>970x250</v>
      </c>
      <c r="R350" s="3"/>
      <c r="S350" s="3" t="str">
        <f ca="1">IFERROR(__xludf.DUMMYFUNCTION("""COMPUTED_VALUE"""),"100 (200 - HTML5)")</f>
        <v>100 (200 - HTML5)</v>
      </c>
      <c r="T350" s="3"/>
      <c r="U350" s="3" t="str">
        <f ca="1">IFERROR(__xludf.DUMMYFUNCTION("""COMPUTED_VALUE"""),"banner standard")</f>
        <v>banner standard</v>
      </c>
      <c r="V350" s="3"/>
      <c r="W350" s="4" t="str">
        <f ca="1">IFERROR(__xludf.DUMMYFUNCTION("""COMPUTED_VALUE"""),"https://reklama.cncenter.cz/Online/billboard-bottom")</f>
        <v>https://reklama.cncenter.cz/Online/billboard-bottom</v>
      </c>
      <c r="X350" s="3"/>
      <c r="Y350" s="3"/>
      <c r="Z350" s="3" t="str">
        <f ca="1">IFERROR(__xludf.DUMMYFUNCTION("""COMPUTED_VALUE"""),"podklady@cncenter.cz")</f>
        <v>podklady@cncenter.cz</v>
      </c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 t="str">
        <f ca="1">IFERROR(__xludf.DUMMYFUNCTION("""COMPUTED_VALUE"""),"desktop")</f>
        <v>desktop</v>
      </c>
      <c r="AO350" s="3"/>
      <c r="AP350" s="3"/>
      <c r="AQ350" s="3"/>
      <c r="AR350" s="3"/>
      <c r="AS350" s="3"/>
      <c r="AT350" s="3"/>
      <c r="AU350" s="3" t="str">
        <f ca="1">IFERROR(__xludf.DUMMYFUNCTION("""COMPUTED_VALUE"""),"billboard bottom")</f>
        <v>billboard bottom</v>
      </c>
    </row>
    <row r="351" spans="1:47" x14ac:dyDescent="0.3">
      <c r="A351" s="3">
        <f ca="1"/>
        <v>2346826</v>
      </c>
      <c r="B351" s="3" t="str">
        <f ca="1"/>
        <v>CZECH NEWS CENTER a. s.</v>
      </c>
      <c r="C351" s="3" t="str">
        <f ca="1">IFERROR(__xludf.DUMMYFUNCTION("""COMPUTED_VALUE"""),"CNC zpravodajský pack")</f>
        <v>CNC zpravodajský pack</v>
      </c>
      <c r="D351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1" s="3" t="str">
        <f ca="1">IFERROR(__xludf.DUMMYFUNCTION("""COMPUTED_VALUE"""),"celý web")</f>
        <v>celý web</v>
      </c>
      <c r="F351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1" s="3" t="str">
        <f ca="1">IFERROR(__xludf.DUMMYFUNCTION("""COMPUTED_VALUE"""),"branding cross-device low season")</f>
        <v>branding cross-device low season</v>
      </c>
      <c r="H351" s="3">
        <f ca="1">IFERROR(__xludf.DUMMYFUNCTION("""COMPUTED_VALUE"""),7)</f>
        <v>7</v>
      </c>
      <c r="I351" s="5">
        <f ca="1">IFERROR(__xludf.DUMMYFUNCTION("""COMPUTED_VALUE"""),1000)</f>
        <v>1000</v>
      </c>
      <c r="J351" s="5">
        <f ca="1">IFERROR(__xludf.DUMMYFUNCTION("""COMPUTED_VALUE"""),320)</f>
        <v>320</v>
      </c>
      <c r="K351" s="3"/>
      <c r="L351" s="3" t="str">
        <f ca="1">IFERROR(__xludf.DUMMYFUNCTION("""COMPUTED_VALUE"""),"Cost per period")</f>
        <v>Cost per period</v>
      </c>
      <c r="M351" s="3"/>
      <c r="N351" s="3"/>
      <c r="O351" s="3" t="str">
        <f ca="1">IFERROR(__xludf.DUMMYFUNCTION("""COMPUTED_VALUE"""),"2000")</f>
        <v>2000</v>
      </c>
      <c r="P351" s="3" t="str">
        <f ca="1">IFERROR(__xludf.DUMMYFUNCTION("""COMPUTED_VALUE"""),"1400")</f>
        <v>1400</v>
      </c>
      <c r="Q351" s="3" t="str">
        <f ca="1">IFERROR(__xludf.DUMMYFUNCTION("""COMPUTED_VALUE"""),"2000x1400 + 600x1080")</f>
        <v>2000x1400 + 600x1080</v>
      </c>
      <c r="R351" s="3"/>
      <c r="S351" s="3" t="str">
        <f ca="1">IFERROR(__xludf.DUMMYFUNCTION("""COMPUTED_VALUE"""),"500 (600 - HTLM5)")</f>
        <v>500 (600 - HTLM5)</v>
      </c>
      <c r="T351" s="3"/>
      <c r="U351" s="3" t="str">
        <f ca="1">IFERROR(__xludf.DUMMYFUNCTION("""COMPUTED_VALUE"""),"banner standard")</f>
        <v>banner standard</v>
      </c>
      <c r="V351" s="3"/>
      <c r="W351" s="4" t="str">
        <f ca="1">IFERROR(__xludf.DUMMYFUNCTION("""COMPUTED_VALUE"""),"https://reklama.cncenter.cz/Online/branding-cross-device")</f>
        <v>https://reklama.cncenter.cz/Online/branding-cross-device</v>
      </c>
      <c r="X351" s="3"/>
      <c r="Y351" s="3"/>
      <c r="Z351" s="3" t="str">
        <f ca="1">IFERROR(__xludf.DUMMYFUNCTION("""COMPUTED_VALUE"""),"podklady@cncenter.cz")</f>
        <v>podklady@cncenter.cz</v>
      </c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 t="str">
        <f ca="1">IFERROR(__xludf.DUMMYFUNCTION("""COMPUTED_VALUE"""),"cross-device")</f>
        <v>cross-device</v>
      </c>
      <c r="AO351" s="3"/>
      <c r="AP351" s="3"/>
      <c r="AQ351" s="3"/>
      <c r="AR351" s="3"/>
      <c r="AS351" s="3"/>
      <c r="AT351" s="3"/>
      <c r="AU351" s="3" t="str">
        <f ca="1">IFERROR(__xludf.DUMMYFUNCTION("""COMPUTED_VALUE"""),"branding cross-device")</f>
        <v>branding cross-device</v>
      </c>
    </row>
    <row r="352" spans="1:47" x14ac:dyDescent="0.3">
      <c r="A352" s="3">
        <f ca="1"/>
        <v>2346826</v>
      </c>
      <c r="B352" s="3" t="str">
        <f ca="1"/>
        <v>CZECH NEWS CENTER a. s.</v>
      </c>
      <c r="C352" s="3" t="str">
        <f ca="1">IFERROR(__xludf.DUMMYFUNCTION("""COMPUTED_VALUE"""),"CNC zpravodajský pack")</f>
        <v>CNC zpravodajský pack</v>
      </c>
      <c r="D352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2" s="3" t="str">
        <f ca="1">IFERROR(__xludf.DUMMYFUNCTION("""COMPUTED_VALUE"""),"celý web")</f>
        <v>celý web</v>
      </c>
      <c r="F352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2" s="3" t="str">
        <f ca="1">IFERROR(__xludf.DUMMYFUNCTION("""COMPUTED_VALUE"""),"branding low season")</f>
        <v>branding low season</v>
      </c>
      <c r="H352" s="3">
        <f ca="1">IFERROR(__xludf.DUMMYFUNCTION("""COMPUTED_VALUE"""),7)</f>
        <v>7</v>
      </c>
      <c r="I352" s="5">
        <f ca="1">IFERROR(__xludf.DUMMYFUNCTION("""COMPUTED_VALUE"""),1000)</f>
        <v>1000</v>
      </c>
      <c r="J352" s="5">
        <f ca="1">IFERROR(__xludf.DUMMYFUNCTION("""COMPUTED_VALUE"""),500)</f>
        <v>500</v>
      </c>
      <c r="K352" s="3"/>
      <c r="L352" s="3" t="str">
        <f ca="1">IFERROR(__xludf.DUMMYFUNCTION("""COMPUTED_VALUE"""),"Cost per period")</f>
        <v>Cost per period</v>
      </c>
      <c r="M352" s="3"/>
      <c r="N352" s="3"/>
      <c r="O352" s="3" t="str">
        <f ca="1">IFERROR(__xludf.DUMMYFUNCTION("""COMPUTED_VALUE"""),"2000")</f>
        <v>2000</v>
      </c>
      <c r="P352" s="3" t="str">
        <f ca="1">IFERROR(__xludf.DUMMYFUNCTION("""COMPUTED_VALUE"""),"1400")</f>
        <v>1400</v>
      </c>
      <c r="Q352" s="3" t="str">
        <f ca="1">IFERROR(__xludf.DUMMYFUNCTION("""COMPUTED_VALUE"""),"2000x1400")</f>
        <v>2000x1400</v>
      </c>
      <c r="R352" s="3"/>
      <c r="S352" s="3" t="str">
        <f ca="1">IFERROR(__xludf.DUMMYFUNCTION("""COMPUTED_VALUE"""),"500 + 200 (600+200 HTML5)")</f>
        <v>500 + 200 (600+200 HTML5)</v>
      </c>
      <c r="T352" s="3"/>
      <c r="U352" s="3" t="str">
        <f ca="1">IFERROR(__xludf.DUMMYFUNCTION("""COMPUTED_VALUE"""),"banner standard")</f>
        <v>banner standard</v>
      </c>
      <c r="V352" s="3"/>
      <c r="W352" s="4" t="str">
        <f ca="1">IFERROR(__xludf.DUMMYFUNCTION("""COMPUTED_VALUE"""),"https://reklama.cncenter.cz/Online/branding")</f>
        <v>https://reklama.cncenter.cz/Online/branding</v>
      </c>
      <c r="X352" s="3"/>
      <c r="Y352" s="3"/>
      <c r="Z352" s="3" t="str">
        <f ca="1">IFERROR(__xludf.DUMMYFUNCTION("""COMPUTED_VALUE"""),"podklady@cncenter.cz")</f>
        <v>podklady@cncenter.cz</v>
      </c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 t="str">
        <f ca="1">IFERROR(__xludf.DUMMYFUNCTION("""COMPUTED_VALUE"""),"desktop")</f>
        <v>desktop</v>
      </c>
      <c r="AO352" s="3"/>
      <c r="AP352" s="3"/>
      <c r="AQ352" s="3"/>
      <c r="AR352" s="3"/>
      <c r="AS352" s="3"/>
      <c r="AT352" s="3"/>
      <c r="AU352" s="3" t="str">
        <f ca="1">IFERROR(__xludf.DUMMYFUNCTION("""COMPUTED_VALUE"""),"branding")</f>
        <v>branding</v>
      </c>
    </row>
    <row r="353" spans="1:47" x14ac:dyDescent="0.3">
      <c r="A353" s="3">
        <f ca="1"/>
        <v>2346826</v>
      </c>
      <c r="B353" s="3" t="str">
        <f ca="1"/>
        <v>CZECH NEWS CENTER a. s.</v>
      </c>
      <c r="C353" s="3" t="str">
        <f ca="1">IFERROR(__xludf.DUMMYFUNCTION("""COMPUTED_VALUE"""),"CNC zpravodajský pack")</f>
        <v>CNC zpravodajský pack</v>
      </c>
      <c r="D353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3" s="3" t="str">
        <f ca="1">IFERROR(__xludf.DUMMYFUNCTION("""COMPUTED_VALUE"""),"celý web")</f>
        <v>celý web</v>
      </c>
      <c r="F353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3" s="3" t="str">
        <f ca="1">IFERROR(__xludf.DUMMYFUNCTION("""COMPUTED_VALUE"""),"cílený billboard bottom low season")</f>
        <v>cílený billboard bottom low season</v>
      </c>
      <c r="H353" s="3">
        <f ca="1">IFERROR(__xludf.DUMMYFUNCTION("""COMPUTED_VALUE"""),7)</f>
        <v>7</v>
      </c>
      <c r="I353" s="5">
        <f ca="1">IFERROR(__xludf.DUMMYFUNCTION("""COMPUTED_VALUE"""),1000)</f>
        <v>1000</v>
      </c>
      <c r="J353" s="5">
        <f ca="1">IFERROR(__xludf.DUMMYFUNCTION("""COMPUTED_VALUE"""),300)</f>
        <v>300</v>
      </c>
      <c r="K353" s="3"/>
      <c r="L353" s="3" t="str">
        <f ca="1">IFERROR(__xludf.DUMMYFUNCTION("""COMPUTED_VALUE"""),"Cost per period")</f>
        <v>Cost per period</v>
      </c>
      <c r="M353" s="3"/>
      <c r="N353" s="3"/>
      <c r="O353" s="3" t="str">
        <f ca="1">IFERROR(__xludf.DUMMYFUNCTION("""COMPUTED_VALUE"""),"970")</f>
        <v>970</v>
      </c>
      <c r="P353" s="3" t="str">
        <f ca="1">IFERROR(__xludf.DUMMYFUNCTION("""COMPUTED_VALUE"""),"250")</f>
        <v>250</v>
      </c>
      <c r="Q353" s="3" t="str">
        <f ca="1">IFERROR(__xludf.DUMMYFUNCTION("""COMPUTED_VALUE"""),"970x250")</f>
        <v>970x250</v>
      </c>
      <c r="R353" s="3"/>
      <c r="S353" s="3" t="str">
        <f ca="1">IFERROR(__xludf.DUMMYFUNCTION("""COMPUTED_VALUE"""),"100 (200 - HTML5)")</f>
        <v>100 (200 - HTML5)</v>
      </c>
      <c r="T353" s="3"/>
      <c r="U353" s="3" t="str">
        <f ca="1">IFERROR(__xludf.DUMMYFUNCTION("""COMPUTED_VALUE"""),"banner standard")</f>
        <v>banner standard</v>
      </c>
      <c r="V353" s="3"/>
      <c r="W353" s="4" t="str">
        <f ca="1">IFERROR(__xludf.DUMMYFUNCTION("""COMPUTED_VALUE"""),"https://reklama.cncenter.cz/Online/billboard-bottom")</f>
        <v>https://reklama.cncenter.cz/Online/billboard-bottom</v>
      </c>
      <c r="X353" s="3"/>
      <c r="Y353" s="3"/>
      <c r="Z353" s="3" t="str">
        <f ca="1">IFERROR(__xludf.DUMMYFUNCTION("""COMPUTED_VALUE"""),"podklady@cncenter.cz")</f>
        <v>podklady@cncenter.cz</v>
      </c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 t="str">
        <f ca="1">IFERROR(__xludf.DUMMYFUNCTION("""COMPUTED_VALUE"""),"desktop")</f>
        <v>desktop</v>
      </c>
      <c r="AO353" s="3"/>
      <c r="AP353" s="3"/>
      <c r="AQ353" s="3"/>
      <c r="AR353" s="3"/>
      <c r="AS353" s="3"/>
      <c r="AT353" s="3"/>
      <c r="AU353" s="3" t="str">
        <f ca="1">IFERROR(__xludf.DUMMYFUNCTION("""COMPUTED_VALUE"""),"cílený billboard bottom")</f>
        <v>cílený billboard bottom</v>
      </c>
    </row>
    <row r="354" spans="1:47" x14ac:dyDescent="0.3">
      <c r="A354" s="3">
        <f ca="1"/>
        <v>2346826</v>
      </c>
      <c r="B354" s="3" t="str">
        <f ca="1"/>
        <v>CZECH NEWS CENTER a. s.</v>
      </c>
      <c r="C354" s="3" t="str">
        <f ca="1">IFERROR(__xludf.DUMMYFUNCTION("""COMPUTED_VALUE"""),"CNC zpravodajský pack")</f>
        <v>CNC zpravodajský pack</v>
      </c>
      <c r="D354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4" s="3" t="str">
        <f ca="1">IFERROR(__xludf.DUMMYFUNCTION("""COMPUTED_VALUE"""),"celý web")</f>
        <v>celý web</v>
      </c>
      <c r="F354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4" s="3" t="str">
        <f ca="1">IFERROR(__xludf.DUMMYFUNCTION("""COMPUTED_VALUE"""),"cílený branding cross-device low season")</f>
        <v>cílený branding cross-device low season</v>
      </c>
      <c r="H354" s="3">
        <f ca="1">IFERROR(__xludf.DUMMYFUNCTION("""COMPUTED_VALUE"""),7)</f>
        <v>7</v>
      </c>
      <c r="I354" s="5">
        <f ca="1">IFERROR(__xludf.DUMMYFUNCTION("""COMPUTED_VALUE"""),1000)</f>
        <v>1000</v>
      </c>
      <c r="J354" s="5">
        <f ca="1">IFERROR(__xludf.DUMMYFUNCTION("""COMPUTED_VALUE"""),384)</f>
        <v>384</v>
      </c>
      <c r="K354" s="3"/>
      <c r="L354" s="3" t="str">
        <f ca="1">IFERROR(__xludf.DUMMYFUNCTION("""COMPUTED_VALUE"""),"Cost per period")</f>
        <v>Cost per period</v>
      </c>
      <c r="M354" s="3"/>
      <c r="N354" s="3"/>
      <c r="O354" s="3" t="str">
        <f ca="1">IFERROR(__xludf.DUMMYFUNCTION("""COMPUTED_VALUE"""),"2000")</f>
        <v>2000</v>
      </c>
      <c r="P354" s="3" t="str">
        <f ca="1">IFERROR(__xludf.DUMMYFUNCTION("""COMPUTED_VALUE"""),"1400")</f>
        <v>1400</v>
      </c>
      <c r="Q354" s="3" t="str">
        <f ca="1">IFERROR(__xludf.DUMMYFUNCTION("""COMPUTED_VALUE"""),"2000x1400 + 600x1080")</f>
        <v>2000x1400 + 600x1080</v>
      </c>
      <c r="R354" s="3"/>
      <c r="S354" s="3" t="str">
        <f ca="1">IFERROR(__xludf.DUMMYFUNCTION("""COMPUTED_VALUE"""),"500 (600 - HTLM5)")</f>
        <v>500 (600 - HTLM5)</v>
      </c>
      <c r="T354" s="3"/>
      <c r="U354" s="3" t="str">
        <f ca="1">IFERROR(__xludf.DUMMYFUNCTION("""COMPUTED_VALUE"""),"banner standard")</f>
        <v>banner standard</v>
      </c>
      <c r="V354" s="3"/>
      <c r="W354" s="4" t="str">
        <f ca="1">IFERROR(__xludf.DUMMYFUNCTION("""COMPUTED_VALUE"""),"https://reklama.cncenter.cz/Online/branding-cross-device")</f>
        <v>https://reklama.cncenter.cz/Online/branding-cross-device</v>
      </c>
      <c r="X354" s="3"/>
      <c r="Y354" s="3"/>
      <c r="Z354" s="3" t="str">
        <f ca="1">IFERROR(__xludf.DUMMYFUNCTION("""COMPUTED_VALUE"""),"podklady@cncenter.cz")</f>
        <v>podklady@cncenter.cz</v>
      </c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 t="str">
        <f ca="1">IFERROR(__xludf.DUMMYFUNCTION("""COMPUTED_VALUE"""),"cross-device")</f>
        <v>cross-device</v>
      </c>
      <c r="AO354" s="3"/>
      <c r="AP354" s="3"/>
      <c r="AQ354" s="3"/>
      <c r="AR354" s="3"/>
      <c r="AS354" s="3"/>
      <c r="AT354" s="3"/>
      <c r="AU354" s="3" t="str">
        <f ca="1">IFERROR(__xludf.DUMMYFUNCTION("""COMPUTED_VALUE"""),"cílený branding cross-device")</f>
        <v>cílený branding cross-device</v>
      </c>
    </row>
    <row r="355" spans="1:47" x14ac:dyDescent="0.3">
      <c r="A355" s="3">
        <f ca="1"/>
        <v>2346826</v>
      </c>
      <c r="B355" s="3" t="str">
        <f ca="1"/>
        <v>CZECH NEWS CENTER a. s.</v>
      </c>
      <c r="C355" s="3" t="str">
        <f ca="1">IFERROR(__xludf.DUMMYFUNCTION("""COMPUTED_VALUE"""),"CNC zpravodajský pack")</f>
        <v>CNC zpravodajský pack</v>
      </c>
      <c r="D355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5" s="3" t="str">
        <f ca="1">IFERROR(__xludf.DUMMYFUNCTION("""COMPUTED_VALUE"""),"celý web")</f>
        <v>celý web</v>
      </c>
      <c r="F355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5" s="3" t="str">
        <f ca="1">IFERROR(__xludf.DUMMYFUNCTION("""COMPUTED_VALUE"""),"cílený branding low season")</f>
        <v>cílený branding low season</v>
      </c>
      <c r="H355" s="3">
        <f ca="1">IFERROR(__xludf.DUMMYFUNCTION("""COMPUTED_VALUE"""),7)</f>
        <v>7</v>
      </c>
      <c r="I355" s="5">
        <f ca="1">IFERROR(__xludf.DUMMYFUNCTION("""COMPUTED_VALUE"""),1000)</f>
        <v>1000</v>
      </c>
      <c r="J355" s="5">
        <f ca="1">IFERROR(__xludf.DUMMYFUNCTION("""COMPUTED_VALUE"""),600)</f>
        <v>600</v>
      </c>
      <c r="K355" s="3"/>
      <c r="L355" s="3" t="str">
        <f ca="1">IFERROR(__xludf.DUMMYFUNCTION("""COMPUTED_VALUE"""),"Cost per period")</f>
        <v>Cost per period</v>
      </c>
      <c r="M355" s="3"/>
      <c r="N355" s="3"/>
      <c r="O355" s="3" t="str">
        <f ca="1">IFERROR(__xludf.DUMMYFUNCTION("""COMPUTED_VALUE"""),"2000")</f>
        <v>2000</v>
      </c>
      <c r="P355" s="3" t="str">
        <f ca="1">IFERROR(__xludf.DUMMYFUNCTION("""COMPUTED_VALUE"""),"1400")</f>
        <v>1400</v>
      </c>
      <c r="Q355" s="3" t="str">
        <f ca="1">IFERROR(__xludf.DUMMYFUNCTION("""COMPUTED_VALUE"""),"2000x1400")</f>
        <v>2000x1400</v>
      </c>
      <c r="R355" s="3"/>
      <c r="S355" s="3" t="str">
        <f ca="1">IFERROR(__xludf.DUMMYFUNCTION("""COMPUTED_VALUE"""),"500 + 200 (600+200 HTML5)")</f>
        <v>500 + 200 (600+200 HTML5)</v>
      </c>
      <c r="T355" s="3"/>
      <c r="U355" s="3" t="str">
        <f ca="1">IFERROR(__xludf.DUMMYFUNCTION("""COMPUTED_VALUE"""),"banner standard")</f>
        <v>banner standard</v>
      </c>
      <c r="V355" s="3"/>
      <c r="W355" s="4" t="str">
        <f ca="1">IFERROR(__xludf.DUMMYFUNCTION("""COMPUTED_VALUE"""),"https://reklama.cncenter.cz/Online/branding")</f>
        <v>https://reklama.cncenter.cz/Online/branding</v>
      </c>
      <c r="X355" s="3"/>
      <c r="Y355" s="3"/>
      <c r="Z355" s="3" t="str">
        <f ca="1">IFERROR(__xludf.DUMMYFUNCTION("""COMPUTED_VALUE"""),"podklady@cncenter.cz")</f>
        <v>podklady@cncenter.cz</v>
      </c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 t="str">
        <f ca="1">IFERROR(__xludf.DUMMYFUNCTION("""COMPUTED_VALUE"""),"desktop")</f>
        <v>desktop</v>
      </c>
      <c r="AO355" s="3"/>
      <c r="AP355" s="3"/>
      <c r="AQ355" s="3"/>
      <c r="AR355" s="3"/>
      <c r="AS355" s="3"/>
      <c r="AT355" s="3"/>
      <c r="AU355" s="3" t="str">
        <f ca="1">IFERROR(__xludf.DUMMYFUNCTION("""COMPUTED_VALUE"""),"cílený branding")</f>
        <v>cílený branding</v>
      </c>
    </row>
    <row r="356" spans="1:47" x14ac:dyDescent="0.3">
      <c r="A356" s="3">
        <f ca="1"/>
        <v>2346826</v>
      </c>
      <c r="B356" s="3" t="str">
        <f ca="1"/>
        <v>CZECH NEWS CENTER a. s.</v>
      </c>
      <c r="C356" s="3" t="str">
        <f ca="1">IFERROR(__xludf.DUMMYFUNCTION("""COMPUTED_VALUE"""),"CNC zpravodajský pack")</f>
        <v>CNC zpravodajský pack</v>
      </c>
      <c r="D356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6" s="3" t="str">
        <f ca="1">IFERROR(__xludf.DUMMYFUNCTION("""COMPUTED_VALUE"""),"celý web")</f>
        <v>celý web</v>
      </c>
      <c r="F356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6" s="3" t="str">
        <f ca="1">IFERROR(__xludf.DUMMYFUNCTION("""COMPUTED_VALUE"""),"cílený double skyscraper low season")</f>
        <v>cílený double skyscraper low season</v>
      </c>
      <c r="H356" s="3">
        <f ca="1">IFERROR(__xludf.DUMMYFUNCTION("""COMPUTED_VALUE"""),7)</f>
        <v>7</v>
      </c>
      <c r="I356" s="5">
        <f ca="1">IFERROR(__xludf.DUMMYFUNCTION("""COMPUTED_VALUE"""),1000)</f>
        <v>1000</v>
      </c>
      <c r="J356" s="5">
        <f ca="1">IFERROR(__xludf.DUMMYFUNCTION("""COMPUTED_VALUE"""),204)</f>
        <v>204</v>
      </c>
      <c r="K356" s="3"/>
      <c r="L356" s="3" t="str">
        <f ca="1">IFERROR(__xludf.DUMMYFUNCTION("""COMPUTED_VALUE"""),"Cost per period")</f>
        <v>Cost per period</v>
      </c>
      <c r="M356" s="3"/>
      <c r="N356" s="3"/>
      <c r="O356" s="3" t="str">
        <f ca="1">IFERROR(__xludf.DUMMYFUNCTION("""COMPUTED_VALUE"""),"300")</f>
        <v>300</v>
      </c>
      <c r="P356" s="3" t="str">
        <f ca="1">IFERROR(__xludf.DUMMYFUNCTION("""COMPUTED_VALUE"""),"600")</f>
        <v>600</v>
      </c>
      <c r="Q356" s="3" t="str">
        <f ca="1">IFERROR(__xludf.DUMMYFUNCTION("""COMPUTED_VALUE"""),"300x600")</f>
        <v>300x600</v>
      </c>
      <c r="R356" s="3"/>
      <c r="S356" s="3" t="str">
        <f ca="1">IFERROR(__xludf.DUMMYFUNCTION("""COMPUTED_VALUE"""),"100 (200 - HTML5)")</f>
        <v>100 (200 - HTML5)</v>
      </c>
      <c r="T356" s="3"/>
      <c r="U356" s="3" t="str">
        <f ca="1">IFERROR(__xludf.DUMMYFUNCTION("""COMPUTED_VALUE"""),"banner standard")</f>
        <v>banner standard</v>
      </c>
      <c r="V356" s="3"/>
      <c r="W356" s="4" t="str">
        <f ca="1">IFERROR(__xludf.DUMMYFUNCTION("""COMPUTED_VALUE"""),"https://reklama.cncenter.cz/Online/double-skyscraper")</f>
        <v>https://reklama.cncenter.cz/Online/double-skyscraper</v>
      </c>
      <c r="X356" s="3"/>
      <c r="Y356" s="3"/>
      <c r="Z356" s="3" t="str">
        <f ca="1">IFERROR(__xludf.DUMMYFUNCTION("""COMPUTED_VALUE"""),"podklady@cncenter.cz")</f>
        <v>podklady@cncenter.cz</v>
      </c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 t="str">
        <f ca="1">IFERROR(__xludf.DUMMYFUNCTION("""COMPUTED_VALUE"""),"desktop")</f>
        <v>desktop</v>
      </c>
      <c r="AO356" s="3"/>
      <c r="AP356" s="3"/>
      <c r="AQ356" s="3"/>
      <c r="AR356" s="3"/>
      <c r="AS356" s="3"/>
      <c r="AT356" s="3"/>
      <c r="AU356" s="3" t="str">
        <f ca="1">IFERROR(__xludf.DUMMYFUNCTION("""COMPUTED_VALUE"""),"cílený double skyscraper")</f>
        <v>cílený double skyscraper</v>
      </c>
    </row>
    <row r="357" spans="1:47" x14ac:dyDescent="0.3">
      <c r="A357" s="3">
        <f ca="1"/>
        <v>2346826</v>
      </c>
      <c r="B357" s="3" t="str">
        <f ca="1"/>
        <v>CZECH NEWS CENTER a. s.</v>
      </c>
      <c r="C357" s="3" t="str">
        <f ca="1">IFERROR(__xludf.DUMMYFUNCTION("""COMPUTED_VALUE"""),"CNC zpravodajský pack")</f>
        <v>CNC zpravodajský pack</v>
      </c>
      <c r="D357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7" s="3" t="str">
        <f ca="1">IFERROR(__xludf.DUMMYFUNCTION("""COMPUTED_VALUE"""),"celý web")</f>
        <v>celý web</v>
      </c>
      <c r="F357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7" s="3" t="str">
        <f ca="1">IFERROR(__xludf.DUMMYFUNCTION("""COMPUTED_VALUE"""),"cílený mini videospot - max. 30 sec. low season")</f>
        <v>cílený mini videospot - max. 30 sec. low season</v>
      </c>
      <c r="H357" s="3">
        <f ca="1">IFERROR(__xludf.DUMMYFUNCTION("""COMPUTED_VALUE"""),7)</f>
        <v>7</v>
      </c>
      <c r="I357" s="5">
        <f ca="1">IFERROR(__xludf.DUMMYFUNCTION("""COMPUTED_VALUE"""),1000)</f>
        <v>1000</v>
      </c>
      <c r="J357" s="5">
        <f ca="1">IFERROR(__xludf.DUMMYFUNCTION("""COMPUTED_VALUE"""),216)</f>
        <v>216</v>
      </c>
      <c r="K357" s="3"/>
      <c r="L357" s="3" t="str">
        <f ca="1">IFERROR(__xludf.DUMMYFUNCTION("""COMPUTED_VALUE"""),"Cost per period")</f>
        <v>Cost per period</v>
      </c>
      <c r="M357" s="3"/>
      <c r="N357" s="3"/>
      <c r="O357" s="3"/>
      <c r="P357" s="3"/>
      <c r="Q357" s="3" t="str">
        <f ca="1">IFERROR(__xludf.DUMMYFUNCTION("""COMPUTED_VALUE"""),"16:9 / umístění po domluvě dle možností")</f>
        <v>16:9 / umístění po domluvě dle možností</v>
      </c>
      <c r="R357" s="3" t="str">
        <f ca="1">IFERROR(__xludf.DUMMYFUNCTION("""COMPUTED_VALUE"""),"přeskočení po 7 sekundách")</f>
        <v>přeskočení po 7 sekundách</v>
      </c>
      <c r="S357" s="3" t="str">
        <f ca="1">IFERROR(__xludf.DUMMYFUNCTION("""COMPUTED_VALUE"""),"100")</f>
        <v>100</v>
      </c>
      <c r="T357" s="3"/>
      <c r="U357" s="3" t="str">
        <f ca="1">IFERROR(__xludf.DUMMYFUNCTION("""COMPUTED_VALUE"""),"videospot")</f>
        <v>videospot</v>
      </c>
      <c r="V357" s="3"/>
      <c r="W357" s="4" t="str">
        <f ca="1">IFERROR(__xludf.DUMMYFUNCTION("""COMPUTED_VALUE"""),"https://reklama.cncenter.cz/Online/Videospot")</f>
        <v>https://reklama.cncenter.cz/Online/Videospot</v>
      </c>
      <c r="X357" s="3"/>
      <c r="Y357" s="3"/>
      <c r="Z357" s="3" t="str">
        <f ca="1">IFERROR(__xludf.DUMMYFUNCTION("""COMPUTED_VALUE"""),"podklady@cncenter.cz")</f>
        <v>podklady@cncenter.cz</v>
      </c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 t="str">
        <f ca="1">IFERROR(__xludf.DUMMYFUNCTION("""COMPUTED_VALUE"""),"desktop")</f>
        <v>desktop</v>
      </c>
      <c r="AO357" s="3"/>
      <c r="AP357" s="3"/>
      <c r="AQ357" s="3"/>
      <c r="AR357" s="3"/>
      <c r="AS357" s="3"/>
      <c r="AT357" s="3"/>
      <c r="AU357" s="3" t="str">
        <f ca="1">IFERROR(__xludf.DUMMYFUNCTION("""COMPUTED_VALUE"""),"cílený mini videospot - max. 30 sec.")</f>
        <v>cílený mini videospot - max. 30 sec.</v>
      </c>
    </row>
    <row r="358" spans="1:47" x14ac:dyDescent="0.3">
      <c r="A358" s="3">
        <f ca="1"/>
        <v>2346826</v>
      </c>
      <c r="B358" s="3" t="str">
        <f ca="1"/>
        <v>CZECH NEWS CENTER a. s.</v>
      </c>
      <c r="C358" s="3" t="str">
        <f ca="1">IFERROR(__xludf.DUMMYFUNCTION("""COMPUTED_VALUE"""),"CNC zpravodajský pack")</f>
        <v>CNC zpravodajský pack</v>
      </c>
      <c r="D358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8" s="3" t="str">
        <f ca="1">IFERROR(__xludf.DUMMYFUNCTION("""COMPUTED_VALUE"""),"celý web")</f>
        <v>celý web</v>
      </c>
      <c r="F358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8" s="3" t="str">
        <f ca="1">IFERROR(__xludf.DUMMYFUNCTION("""COMPUTED_VALUE"""),"cílený mobilní interscroller low season")</f>
        <v>cílený mobilní interscroller low season</v>
      </c>
      <c r="H358" s="3">
        <f ca="1">IFERROR(__xludf.DUMMYFUNCTION("""COMPUTED_VALUE"""),7)</f>
        <v>7</v>
      </c>
      <c r="I358" s="5">
        <f ca="1">IFERROR(__xludf.DUMMYFUNCTION("""COMPUTED_VALUE"""),1000)</f>
        <v>1000</v>
      </c>
      <c r="J358" s="5">
        <f ca="1">IFERROR(__xludf.DUMMYFUNCTION("""COMPUTED_VALUE"""),240)</f>
        <v>240</v>
      </c>
      <c r="K358" s="3"/>
      <c r="L358" s="3" t="str">
        <f ca="1">IFERROR(__xludf.DUMMYFUNCTION("""COMPUTED_VALUE"""),"Cost per period")</f>
        <v>Cost per period</v>
      </c>
      <c r="M358" s="3"/>
      <c r="N358" s="3"/>
      <c r="O358" s="3" t="str">
        <f ca="1">IFERROR(__xludf.DUMMYFUNCTION("""COMPUTED_VALUE"""),"600")</f>
        <v>600</v>
      </c>
      <c r="P358" s="3" t="str">
        <f ca="1">IFERROR(__xludf.DUMMYFUNCTION("""COMPUTED_VALUE"""),"1080")</f>
        <v>1080</v>
      </c>
      <c r="Q358" s="3" t="str">
        <f ca="1">IFERROR(__xludf.DUMMYFUNCTION("""COMPUTED_VALUE"""),"600x1080")</f>
        <v>600x1080</v>
      </c>
      <c r="R358" s="3"/>
      <c r="S358" s="3" t="str">
        <f ca="1">IFERROR(__xludf.DUMMYFUNCTION("""COMPUTED_VALUE"""),"200")</f>
        <v>200</v>
      </c>
      <c r="T358" s="3"/>
      <c r="U358" s="3" t="str">
        <f ca="1">IFERROR(__xludf.DUMMYFUNCTION("""COMPUTED_VALUE"""),"banner standard")</f>
        <v>banner standard</v>
      </c>
      <c r="V358" s="3"/>
      <c r="W358" s="4" t="str">
        <f ca="1">IFERROR(__xludf.DUMMYFUNCTION("""COMPUTED_VALUE"""),"https://reklama.cncenter.cz/Online/mobilni-interscroller")</f>
        <v>https://reklama.cncenter.cz/Online/mobilni-interscroller</v>
      </c>
      <c r="X358" s="3"/>
      <c r="Y358" s="3"/>
      <c r="Z358" s="3" t="str">
        <f ca="1">IFERROR(__xludf.DUMMYFUNCTION("""COMPUTED_VALUE"""),"podklady@cncenter.cz")</f>
        <v>podklady@cncenter.cz</v>
      </c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 t="str">
        <f ca="1">IFERROR(__xludf.DUMMYFUNCTION("""COMPUTED_VALUE"""),"mobile")</f>
        <v>mobile</v>
      </c>
      <c r="AO358" s="3"/>
      <c r="AP358" s="3"/>
      <c r="AQ358" s="3"/>
      <c r="AR358" s="3"/>
      <c r="AS358" s="3"/>
      <c r="AT358" s="3"/>
      <c r="AU358" s="3" t="str">
        <f ca="1">IFERROR(__xludf.DUMMYFUNCTION("""COMPUTED_VALUE"""),"cílený mobilní interscroller")</f>
        <v>cílený mobilní interscroller</v>
      </c>
    </row>
    <row r="359" spans="1:47" x14ac:dyDescent="0.3">
      <c r="A359" s="3">
        <f ca="1"/>
        <v>2346826</v>
      </c>
      <c r="B359" s="3" t="str">
        <f ca="1"/>
        <v>CZECH NEWS CENTER a. s.</v>
      </c>
      <c r="C359" s="3" t="str">
        <f ca="1">IFERROR(__xludf.DUMMYFUNCTION("""COMPUTED_VALUE"""),"CNC zpravodajský pack")</f>
        <v>CNC zpravodajský pack</v>
      </c>
      <c r="D359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9" s="3" t="str">
        <f ca="1">IFERROR(__xludf.DUMMYFUNCTION("""COMPUTED_VALUE"""),"celý web")</f>
        <v>celý web</v>
      </c>
      <c r="F359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9" s="3" t="str">
        <f ca="1">IFERROR(__xludf.DUMMYFUNCTION("""COMPUTED_VALUE"""),"cílený mobilní slide-up low season")</f>
        <v>cílený mobilní slide-up low season</v>
      </c>
      <c r="H359" s="3">
        <f ca="1">IFERROR(__xludf.DUMMYFUNCTION("""COMPUTED_VALUE"""),7)</f>
        <v>7</v>
      </c>
      <c r="I359" s="5">
        <f ca="1">IFERROR(__xludf.DUMMYFUNCTION("""COMPUTED_VALUE"""),1000)</f>
        <v>1000</v>
      </c>
      <c r="J359" s="5">
        <f ca="1">IFERROR(__xludf.DUMMYFUNCTION("""COMPUTED_VALUE"""),504)</f>
        <v>504</v>
      </c>
      <c r="K359" s="3"/>
      <c r="L359" s="3" t="str">
        <f ca="1">IFERROR(__xludf.DUMMYFUNCTION("""COMPUTED_VALUE"""),"Cost per period")</f>
        <v>Cost per period</v>
      </c>
      <c r="M359" s="3"/>
      <c r="N359" s="3"/>
      <c r="O359" s="3" t="str">
        <f ca="1">IFERROR(__xludf.DUMMYFUNCTION("""COMPUTED_VALUE"""),"300")</f>
        <v>300</v>
      </c>
      <c r="P359" s="3" t="str">
        <f ca="1">IFERROR(__xludf.DUMMYFUNCTION("""COMPUTED_VALUE"""),"120")</f>
        <v>120</v>
      </c>
      <c r="Q359" s="3" t="str">
        <f ca="1">IFERROR(__xludf.DUMMYFUNCTION("""COMPUTED_VALUE"""),"300x120")</f>
        <v>300x120</v>
      </c>
      <c r="R359" s="3"/>
      <c r="S359" s="3" t="str">
        <f ca="1">IFERROR(__xludf.DUMMYFUNCTION("""COMPUTED_VALUE"""),"100")</f>
        <v>100</v>
      </c>
      <c r="T359" s="3"/>
      <c r="U359" s="3" t="str">
        <f ca="1">IFERROR(__xludf.DUMMYFUNCTION("""COMPUTED_VALUE"""),"banner standard")</f>
        <v>banner standard</v>
      </c>
      <c r="V359" s="3"/>
      <c r="W359" s="4" t="str">
        <f ca="1">IFERROR(__xludf.DUMMYFUNCTION("""COMPUTED_VALUE"""),"https://reklama.cncenter.cz/Online/mobilni-slide-up")</f>
        <v>https://reklama.cncenter.cz/Online/mobilni-slide-up</v>
      </c>
      <c r="X359" s="3"/>
      <c r="Y359" s="3"/>
      <c r="Z359" s="3" t="str">
        <f ca="1">IFERROR(__xludf.DUMMYFUNCTION("""COMPUTED_VALUE"""),"podklady@cncenter.cz")</f>
        <v>podklady@cncenter.cz</v>
      </c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 t="str">
        <f ca="1">IFERROR(__xludf.DUMMYFUNCTION("""COMPUTED_VALUE"""),"mobile")</f>
        <v>mobile</v>
      </c>
      <c r="AO359" s="3"/>
      <c r="AP359" s="3"/>
      <c r="AQ359" s="3"/>
      <c r="AR359" s="3"/>
      <c r="AS359" s="3"/>
      <c r="AT359" s="3"/>
      <c r="AU359" s="3" t="str">
        <f ca="1">IFERROR(__xludf.DUMMYFUNCTION("""COMPUTED_VALUE"""),"cílený mobilní slide-up")</f>
        <v>cílený mobilní slide-up</v>
      </c>
    </row>
    <row r="360" spans="1:47" x14ac:dyDescent="0.3">
      <c r="A360" s="3">
        <f ca="1"/>
        <v>2346826</v>
      </c>
      <c r="B360" s="3" t="str">
        <f ca="1"/>
        <v>CZECH NEWS CENTER a. s.</v>
      </c>
      <c r="C360" s="3" t="str">
        <f ca="1">IFERROR(__xludf.DUMMYFUNCTION("""COMPUTED_VALUE"""),"CNC zpravodajský pack")</f>
        <v>CNC zpravodajský pack</v>
      </c>
      <c r="D360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0" s="3" t="str">
        <f ca="1">IFERROR(__xludf.DUMMYFUNCTION("""COMPUTED_VALUE"""),"celý web")</f>
        <v>celý web</v>
      </c>
      <c r="F360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0" s="3" t="str">
        <f ca="1">IFERROR(__xludf.DUMMYFUNCTION("""COMPUTED_VALUE"""),"cílený mobilní viněta low season")</f>
        <v>cílený mobilní viněta low season</v>
      </c>
      <c r="H360" s="3">
        <f ca="1">IFERROR(__xludf.DUMMYFUNCTION("""COMPUTED_VALUE"""),7)</f>
        <v>7</v>
      </c>
      <c r="I360" s="5">
        <f ca="1">IFERROR(__xludf.DUMMYFUNCTION("""COMPUTED_VALUE"""),1000)</f>
        <v>1000</v>
      </c>
      <c r="J360" s="5">
        <f ca="1">IFERROR(__xludf.DUMMYFUNCTION("""COMPUTED_VALUE"""),768)</f>
        <v>768</v>
      </c>
      <c r="K360" s="3"/>
      <c r="L360" s="3" t="str">
        <f ca="1">IFERROR(__xludf.DUMMYFUNCTION("""COMPUTED_VALUE"""),"Cost per period")</f>
        <v>Cost per period</v>
      </c>
      <c r="M360" s="3"/>
      <c r="N360" s="3"/>
      <c r="O360" s="3" t="str">
        <f ca="1">IFERROR(__xludf.DUMMYFUNCTION("""COMPUTED_VALUE"""),"600")</f>
        <v>600</v>
      </c>
      <c r="P360" s="3" t="str">
        <f ca="1">IFERROR(__xludf.DUMMYFUNCTION("""COMPUTED_VALUE"""),"800")</f>
        <v>800</v>
      </c>
      <c r="Q360" s="3" t="str">
        <f ca="1">IFERROR(__xludf.DUMMYFUNCTION("""COMPUTED_VALUE"""),"300x250 nebo 600x800")</f>
        <v>300x250 nebo 600x800</v>
      </c>
      <c r="R360" s="3"/>
      <c r="S360" s="3" t="str">
        <f ca="1">IFERROR(__xludf.DUMMYFUNCTION("""COMPUTED_VALUE"""),"100")</f>
        <v>100</v>
      </c>
      <c r="T360" s="3"/>
      <c r="U360" s="3" t="str">
        <f ca="1">IFERROR(__xludf.DUMMYFUNCTION("""COMPUTED_VALUE"""),"banner standard")</f>
        <v>banner standard</v>
      </c>
      <c r="V360" s="3"/>
      <c r="W360" s="4" t="str">
        <f ca="1">IFERROR(__xludf.DUMMYFUNCTION("""COMPUTED_VALUE"""),"https://reklama.cncenter.cz/Online/mobilni-vineta")</f>
        <v>https://reklama.cncenter.cz/Online/mobilni-vineta</v>
      </c>
      <c r="X360" s="3"/>
      <c r="Y360" s="3"/>
      <c r="Z360" s="3" t="str">
        <f ca="1">IFERROR(__xludf.DUMMYFUNCTION("""COMPUTED_VALUE"""),"podklady@cncenter.cz")</f>
        <v>podklady@cncenter.cz</v>
      </c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 t="str">
        <f ca="1">IFERROR(__xludf.DUMMYFUNCTION("""COMPUTED_VALUE"""),"mobile")</f>
        <v>mobile</v>
      </c>
      <c r="AO360" s="3"/>
      <c r="AP360" s="3"/>
      <c r="AQ360" s="3"/>
      <c r="AR360" s="3"/>
      <c r="AS360" s="3"/>
      <c r="AT360" s="3"/>
      <c r="AU360" s="3" t="str">
        <f ca="1">IFERROR(__xludf.DUMMYFUNCTION("""COMPUTED_VALUE"""),"cílený mobilní viněta")</f>
        <v>cílený mobilní viněta</v>
      </c>
    </row>
    <row r="361" spans="1:47" x14ac:dyDescent="0.3">
      <c r="A361" s="3">
        <f ca="1"/>
        <v>2346826</v>
      </c>
      <c r="B361" s="3" t="str">
        <f ca="1"/>
        <v>CZECH NEWS CENTER a. s.</v>
      </c>
      <c r="C361" s="3" t="str">
        <f ca="1">IFERROR(__xludf.DUMMYFUNCTION("""COMPUTED_VALUE"""),"CNC zpravodajský pack")</f>
        <v>CNC zpravodajský pack</v>
      </c>
      <c r="D361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1" s="3" t="str">
        <f ca="1">IFERROR(__xludf.DUMMYFUNCTION("""COMPUTED_VALUE"""),"celý web")</f>
        <v>celý web</v>
      </c>
      <c r="F361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1" s="3" t="str">
        <f ca="1">IFERROR(__xludf.DUMMYFUNCTION("""COMPUTED_VALUE"""),"cílený nativní rectangle cross-device low season")</f>
        <v>cílený nativní rectangle cross-device low season</v>
      </c>
      <c r="H361" s="3">
        <f ca="1">IFERROR(__xludf.DUMMYFUNCTION("""COMPUTED_VALUE"""),7)</f>
        <v>7</v>
      </c>
      <c r="I361" s="5">
        <f ca="1">IFERROR(__xludf.DUMMYFUNCTION("""COMPUTED_VALUE"""),1000)</f>
        <v>1000</v>
      </c>
      <c r="J361" s="5">
        <f ca="1">IFERROR(__xludf.DUMMYFUNCTION("""COMPUTED_VALUE"""),204)</f>
        <v>204</v>
      </c>
      <c r="K361" s="3"/>
      <c r="L361" s="3" t="str">
        <f ca="1">IFERROR(__xludf.DUMMYFUNCTION("""COMPUTED_VALUE"""),"Cost per period")</f>
        <v>Cost per period</v>
      </c>
      <c r="M361" s="3"/>
      <c r="N361" s="3"/>
      <c r="O361" s="3" t="str">
        <f ca="1">IFERROR(__xludf.DUMMYFUNCTION("""COMPUTED_VALUE"""),"640")</f>
        <v>640</v>
      </c>
      <c r="P361" s="3" t="str">
        <f ca="1">IFERROR(__xludf.DUMMYFUNCTION("""COMPUTED_VALUE"""),"335, 640")</f>
        <v>335, 640</v>
      </c>
      <c r="Q361" s="3" t="str">
        <f ca="1">IFERROR(__xludf.DUMMYFUNCTION("""COMPUTED_VALUE"""),"640x640 a 640x335 + text + logo")</f>
        <v>640x640 a 640x335 + text + logo</v>
      </c>
      <c r="R361" s="3"/>
      <c r="S361" s="3" t="str">
        <f ca="1">IFERROR(__xludf.DUMMYFUNCTION("""COMPUTED_VALUE"""),"45")</f>
        <v>45</v>
      </c>
      <c r="T361" s="3"/>
      <c r="U361" s="3" t="str">
        <f ca="1">IFERROR(__xludf.DUMMYFUNCTION("""COMPUTED_VALUE"""),"nativní reklama")</f>
        <v>nativní reklama</v>
      </c>
      <c r="V361" s="3"/>
      <c r="W361" s="4" t="str">
        <f ca="1">IFERROR(__xludf.DUMMYFUNCTION("""COMPUTED_VALUE"""),"https://reklama.cncenter.cz/Online/nativni-rectangle-cross-device")</f>
        <v>https://reklama.cncenter.cz/Online/nativni-rectangle-cross-device</v>
      </c>
      <c r="X361" s="3"/>
      <c r="Y361" s="3"/>
      <c r="Z361" s="3" t="str">
        <f ca="1">IFERROR(__xludf.DUMMYFUNCTION("""COMPUTED_VALUE"""),"podklady@cncenter.cz")</f>
        <v>podklady@cncenter.cz</v>
      </c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 t="str">
        <f ca="1">IFERROR(__xludf.DUMMYFUNCTION("""COMPUTED_VALUE"""),"cross-device")</f>
        <v>cross-device</v>
      </c>
      <c r="AO361" s="3"/>
      <c r="AP361" s="3"/>
      <c r="AQ361" s="3"/>
      <c r="AR361" s="3"/>
      <c r="AS361" s="3"/>
      <c r="AT361" s="3"/>
      <c r="AU361" s="3" t="str">
        <f ca="1">IFERROR(__xludf.DUMMYFUNCTION("""COMPUTED_VALUE"""),"cílený nativní rectangle cross-device")</f>
        <v>cílený nativní rectangle cross-device</v>
      </c>
    </row>
    <row r="362" spans="1:47" x14ac:dyDescent="0.3">
      <c r="A362" s="3">
        <f ca="1"/>
        <v>2346826</v>
      </c>
      <c r="B362" s="3" t="str">
        <f ca="1"/>
        <v>CZECH NEWS CENTER a. s.</v>
      </c>
      <c r="C362" s="3" t="str">
        <f ca="1">IFERROR(__xludf.DUMMYFUNCTION("""COMPUTED_VALUE"""),"CNC zpravodajský pack")</f>
        <v>CNC zpravodajský pack</v>
      </c>
      <c r="D362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2" s="3" t="str">
        <f ca="1">IFERROR(__xludf.DUMMYFUNCTION("""COMPUTED_VALUE"""),"celý web")</f>
        <v>celý web</v>
      </c>
      <c r="F362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2" s="3" t="str">
        <f ca="1">IFERROR(__xludf.DUMMYFUNCTION("""COMPUTED_VALUE"""),"cílený outstream low season")</f>
        <v>cílený outstream low season</v>
      </c>
      <c r="H362" s="3">
        <f ca="1">IFERROR(__xludf.DUMMYFUNCTION("""COMPUTED_VALUE"""),7)</f>
        <v>7</v>
      </c>
      <c r="I362" s="5">
        <f ca="1">IFERROR(__xludf.DUMMYFUNCTION("""COMPUTED_VALUE"""),1000)</f>
        <v>1000</v>
      </c>
      <c r="J362" s="5">
        <f ca="1">IFERROR(__xludf.DUMMYFUNCTION("""COMPUTED_VALUE"""),276)</f>
        <v>276</v>
      </c>
      <c r="K362" s="3"/>
      <c r="L362" s="3" t="str">
        <f ca="1">IFERROR(__xludf.DUMMYFUNCTION("""COMPUTED_VALUE"""),"Cost per period")</f>
        <v>Cost per period</v>
      </c>
      <c r="M362" s="3"/>
      <c r="N362" s="3"/>
      <c r="O362" s="3" t="str">
        <f ca="1">IFERROR(__xludf.DUMMYFUNCTION("""COMPUTED_VALUE"""),"1280")</f>
        <v>1280</v>
      </c>
      <c r="P362" s="3" t="str">
        <f ca="1">IFERROR(__xludf.DUMMYFUNCTION("""COMPUTED_VALUE"""),"720")</f>
        <v>720</v>
      </c>
      <c r="Q362" s="3" t="str">
        <f ca="1">IFERROR(__xludf.DUMMYFUNCTION("""COMPUTED_VALUE"""),"16:9")</f>
        <v>16:9</v>
      </c>
      <c r="R362" s="3"/>
      <c r="S362" s="3" t="str">
        <f ca="1">IFERROR(__xludf.DUMMYFUNCTION("""COMPUTED_VALUE"""),"100")</f>
        <v>100</v>
      </c>
      <c r="T362" s="3"/>
      <c r="U362" s="3" t="str">
        <f ca="1">IFERROR(__xludf.DUMMYFUNCTION("""COMPUTED_VALUE"""),"videospot")</f>
        <v>videospot</v>
      </c>
      <c r="V362" s="3"/>
      <c r="W362" s="4" t="str">
        <f ca="1">IFERROR(__xludf.DUMMYFUNCTION("""COMPUTED_VALUE"""),"https://reklama.cncenter.cz/Online/Outstream")</f>
        <v>https://reklama.cncenter.cz/Online/Outstream</v>
      </c>
      <c r="X362" s="3"/>
      <c r="Y362" s="3"/>
      <c r="Z362" s="3" t="str">
        <f ca="1">IFERROR(__xludf.DUMMYFUNCTION("""COMPUTED_VALUE"""),"podklady@cncenter.cz")</f>
        <v>podklady@cncenter.cz</v>
      </c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 t="str">
        <f ca="1">IFERROR(__xludf.DUMMYFUNCTION("""COMPUTED_VALUE"""),"cross-device")</f>
        <v>cross-device</v>
      </c>
      <c r="AO362" s="3"/>
      <c r="AP362" s="3"/>
      <c r="AQ362" s="3"/>
      <c r="AR362" s="3"/>
      <c r="AS362" s="3"/>
      <c r="AT362" s="3"/>
      <c r="AU362" s="3" t="str">
        <f ca="1">IFERROR(__xludf.DUMMYFUNCTION("""COMPUTED_VALUE"""),"cílený outstream")</f>
        <v>cílený outstream</v>
      </c>
    </row>
    <row r="363" spans="1:47" x14ac:dyDescent="0.3">
      <c r="A363" s="3">
        <f ca="1"/>
        <v>2346826</v>
      </c>
      <c r="B363" s="3" t="str">
        <f ca="1"/>
        <v>CZECH NEWS CENTER a. s.</v>
      </c>
      <c r="C363" s="3" t="str">
        <f ca="1">IFERROR(__xludf.DUMMYFUNCTION("""COMPUTED_VALUE"""),"CNC zpravodajský pack")</f>
        <v>CNC zpravodajský pack</v>
      </c>
      <c r="D363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3" s="3" t="str">
        <f ca="1">IFERROR(__xludf.DUMMYFUNCTION("""COMPUTED_VALUE"""),"celý web")</f>
        <v>celý web</v>
      </c>
      <c r="F363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3" s="3" t="str">
        <f ca="1">IFERROR(__xludf.DUMMYFUNCTION("""COMPUTED_VALUE"""),"cílený Smarticle low season")</f>
        <v>cílený Smarticle low season</v>
      </c>
      <c r="H363" s="3">
        <f ca="1">IFERROR(__xludf.DUMMYFUNCTION("""COMPUTED_VALUE"""),7)</f>
        <v>7</v>
      </c>
      <c r="I363" s="5">
        <f ca="1">IFERROR(__xludf.DUMMYFUNCTION("""COMPUTED_VALUE"""),1000)</f>
        <v>1000</v>
      </c>
      <c r="J363" s="5">
        <f ca="1">IFERROR(__xludf.DUMMYFUNCTION("""COMPUTED_VALUE"""),240)</f>
        <v>240</v>
      </c>
      <c r="K363" s="3"/>
      <c r="L363" s="3" t="str">
        <f ca="1">IFERROR(__xludf.DUMMYFUNCTION("""COMPUTED_VALUE"""),"Cost per period")</f>
        <v>Cost per period</v>
      </c>
      <c r="M363" s="3"/>
      <c r="N363" s="3" t="str">
        <f ca="1">IFERROR(__xludf.DUMMYFUNCTION("""COMPUTED_VALUE"""),"A4")</f>
        <v>A4</v>
      </c>
      <c r="O363" s="3"/>
      <c r="P363" s="3"/>
      <c r="Q363" s="3" t="str">
        <f ca="1">IFERROR(__xludf.DUMMYFUNCTION("""COMPUTED_VALUE"""),"viz. tech.specifikace; HP + sekce")</f>
        <v>viz. tech.specifikace; HP + sekce</v>
      </c>
      <c r="R363" s="3" t="str">
        <f ca="1">IFERROR(__xludf.DUMMYFUNCTION("""COMPUTED_VALUE"""),"HP + sekce")</f>
        <v>HP + sekce</v>
      </c>
      <c r="S363" s="3" t="str">
        <f ca="1">IFERROR(__xludf.DUMMYFUNCTION("""COMPUTED_VALUE"""),"100")</f>
        <v>100</v>
      </c>
      <c r="T363" s="3"/>
      <c r="U363" s="3" t="str">
        <f ca="1">IFERROR(__xludf.DUMMYFUNCTION("""COMPUTED_VALUE"""),"pr článek")</f>
        <v>pr článek</v>
      </c>
      <c r="V363" s="3"/>
      <c r="W363" s="4" t="str">
        <f ca="1">IFERROR(__xludf.DUMMYFUNCTION("""COMPUTED_VALUE"""),"https://reklama.cncenter.cz/Online/Smarticle")</f>
        <v>https://reklama.cncenter.cz/Online/Smarticle</v>
      </c>
      <c r="X363" s="3"/>
      <c r="Y363" s="3"/>
      <c r="Z363" s="3" t="str">
        <f ca="1">IFERROR(__xludf.DUMMYFUNCTION("""COMPUTED_VALUE"""),"podklady@cncenter.cz")</f>
        <v>podklady@cncenter.cz</v>
      </c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 t="str">
        <f ca="1">IFERROR(__xludf.DUMMYFUNCTION("""COMPUTED_VALUE"""),"cross-device")</f>
        <v>cross-device</v>
      </c>
      <c r="AO363" s="3"/>
      <c r="AP363" s="3"/>
      <c r="AQ363" s="3"/>
      <c r="AR363" s="3"/>
      <c r="AS363" s="3"/>
      <c r="AT363" s="3"/>
      <c r="AU363" s="3" t="str">
        <f ca="1">IFERROR(__xludf.DUMMYFUNCTION("""COMPUTED_VALUE"""),"cílený Smarticle")</f>
        <v>cílený Smarticle</v>
      </c>
    </row>
    <row r="364" spans="1:47" x14ac:dyDescent="0.3">
      <c r="A364" s="3">
        <f ca="1"/>
        <v>2346826</v>
      </c>
      <c r="B364" s="3" t="str">
        <f ca="1"/>
        <v>CZECH NEWS CENTER a. s.</v>
      </c>
      <c r="C364" s="3" t="str">
        <f ca="1">IFERROR(__xludf.DUMMYFUNCTION("""COMPUTED_VALUE"""),"CNC zpravodajský pack")</f>
        <v>CNC zpravodajský pack</v>
      </c>
      <c r="D364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4" s="3" t="str">
        <f ca="1">IFERROR(__xludf.DUMMYFUNCTION("""COMPUTED_VALUE"""),"celý web")</f>
        <v>celý web</v>
      </c>
      <c r="F364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4" s="3" t="str">
        <f ca="1">IFERROR(__xludf.DUMMYFUNCTION("""COMPUTED_VALUE"""),"cílený videospot - max. 30 sec. / bumper low season")</f>
        <v>cílený videospot - max. 30 sec. / bumper low season</v>
      </c>
      <c r="H364" s="3">
        <f ca="1">IFERROR(__xludf.DUMMYFUNCTION("""COMPUTED_VALUE"""),7)</f>
        <v>7</v>
      </c>
      <c r="I364" s="5">
        <f ca="1">IFERROR(__xludf.DUMMYFUNCTION("""COMPUTED_VALUE"""),1000)</f>
        <v>1000</v>
      </c>
      <c r="J364" s="5">
        <f ca="1">IFERROR(__xludf.DUMMYFUNCTION("""COMPUTED_VALUE"""),1128)</f>
        <v>1128</v>
      </c>
      <c r="K364" s="3"/>
      <c r="L364" s="3" t="str">
        <f ca="1">IFERROR(__xludf.DUMMYFUNCTION("""COMPUTED_VALUE"""),"Cost per period")</f>
        <v>Cost per period</v>
      </c>
      <c r="M364" s="3"/>
      <c r="N364" s="3"/>
      <c r="O364" s="3" t="str">
        <f ca="1">IFERROR(__xludf.DUMMYFUNCTION("""COMPUTED_VALUE"""),"1280")</f>
        <v>1280</v>
      </c>
      <c r="P364" s="3" t="str">
        <f ca="1">IFERROR(__xludf.DUMMYFUNCTION("""COMPUTED_VALUE"""),"720")</f>
        <v>720</v>
      </c>
      <c r="Q364" s="3" t="str">
        <f ca="1">IFERROR(__xludf.DUMMYFUNCTION("""COMPUTED_VALUE"""),"16:9 / umístění po domluvě dle možností")</f>
        <v>16:9 / umístění po domluvě dle možností</v>
      </c>
      <c r="R364" s="3" t="str">
        <f ca="1">IFERROR(__xludf.DUMMYFUNCTION("""COMPUTED_VALUE"""),"přeskočení po 7 sekundách")</f>
        <v>přeskočení po 7 sekundách</v>
      </c>
      <c r="S364" s="3" t="str">
        <f ca="1">IFERROR(__xludf.DUMMYFUNCTION("""COMPUTED_VALUE"""),"100")</f>
        <v>100</v>
      </c>
      <c r="T364" s="3"/>
      <c r="U364" s="3" t="str">
        <f ca="1">IFERROR(__xludf.DUMMYFUNCTION("""COMPUTED_VALUE"""),"videospot")</f>
        <v>videospot</v>
      </c>
      <c r="V364" s="3"/>
      <c r="W364" s="4" t="str">
        <f ca="1">IFERROR(__xludf.DUMMYFUNCTION("""COMPUTED_VALUE"""),"https://reklama.cncenter.cz/Online/Bumper")</f>
        <v>https://reklama.cncenter.cz/Online/Bumper</v>
      </c>
      <c r="X364" s="3"/>
      <c r="Y364" s="3"/>
      <c r="Z364" s="3" t="str">
        <f ca="1">IFERROR(__xludf.DUMMYFUNCTION("""COMPUTED_VALUE"""),"podklady@cncenter.cz")</f>
        <v>podklady@cncenter.cz</v>
      </c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 t="str">
        <f ca="1">IFERROR(__xludf.DUMMYFUNCTION("""COMPUTED_VALUE"""),"cross-device")</f>
        <v>cross-device</v>
      </c>
      <c r="AO364" s="3"/>
      <c r="AP364" s="3"/>
      <c r="AQ364" s="3"/>
      <c r="AR364" s="3"/>
      <c r="AS364" s="3"/>
      <c r="AT364" s="3"/>
      <c r="AU364" s="3" t="str">
        <f ca="1">IFERROR(__xludf.DUMMYFUNCTION("""COMPUTED_VALUE"""),"cílený videospot - max. 30 sec. / bumper")</f>
        <v>cílený videospot - max. 30 sec. / bumper</v>
      </c>
    </row>
    <row r="365" spans="1:47" x14ac:dyDescent="0.3">
      <c r="A365" s="3">
        <f ca="1"/>
        <v>2346826</v>
      </c>
      <c r="B365" s="3" t="str">
        <f ca="1"/>
        <v>CZECH NEWS CENTER a. s.</v>
      </c>
      <c r="C365" s="3" t="str">
        <f ca="1">IFERROR(__xludf.DUMMYFUNCTION("""COMPUTED_VALUE"""),"CNC zpravodajský pack")</f>
        <v>CNC zpravodajský pack</v>
      </c>
      <c r="D365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5" s="3" t="str">
        <f ca="1">IFERROR(__xludf.DUMMYFUNCTION("""COMPUTED_VALUE"""),"celý web")</f>
        <v>celý web</v>
      </c>
      <c r="F365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5" s="3" t="str">
        <f ca="1">IFERROR(__xludf.DUMMYFUNCTION("""COMPUTED_VALUE"""),"double skyscraper low season")</f>
        <v>double skyscraper low season</v>
      </c>
      <c r="H365" s="3">
        <f ca="1">IFERROR(__xludf.DUMMYFUNCTION("""COMPUTED_VALUE"""),7)</f>
        <v>7</v>
      </c>
      <c r="I365" s="5">
        <f ca="1">IFERROR(__xludf.DUMMYFUNCTION("""COMPUTED_VALUE"""),1000)</f>
        <v>1000</v>
      </c>
      <c r="J365" s="5">
        <f ca="1">IFERROR(__xludf.DUMMYFUNCTION("""COMPUTED_VALUE"""),170)</f>
        <v>170</v>
      </c>
      <c r="K365" s="3"/>
      <c r="L365" s="3" t="str">
        <f ca="1">IFERROR(__xludf.DUMMYFUNCTION("""COMPUTED_VALUE"""),"Cost per period")</f>
        <v>Cost per period</v>
      </c>
      <c r="M365" s="3"/>
      <c r="N365" s="3"/>
      <c r="O365" s="3" t="str">
        <f ca="1">IFERROR(__xludf.DUMMYFUNCTION("""COMPUTED_VALUE"""),"300")</f>
        <v>300</v>
      </c>
      <c r="P365" s="3" t="str">
        <f ca="1">IFERROR(__xludf.DUMMYFUNCTION("""COMPUTED_VALUE"""),"600")</f>
        <v>600</v>
      </c>
      <c r="Q365" s="3" t="str">
        <f ca="1">IFERROR(__xludf.DUMMYFUNCTION("""COMPUTED_VALUE"""),"300x600")</f>
        <v>300x600</v>
      </c>
      <c r="R365" s="3"/>
      <c r="S365" s="3" t="str">
        <f ca="1">IFERROR(__xludf.DUMMYFUNCTION("""COMPUTED_VALUE"""),"100 (200 - HTML5)")</f>
        <v>100 (200 - HTML5)</v>
      </c>
      <c r="T365" s="3"/>
      <c r="U365" s="3" t="str">
        <f ca="1">IFERROR(__xludf.DUMMYFUNCTION("""COMPUTED_VALUE"""),"banner standard")</f>
        <v>banner standard</v>
      </c>
      <c r="V365" s="3"/>
      <c r="W365" s="4" t="str">
        <f ca="1">IFERROR(__xludf.DUMMYFUNCTION("""COMPUTED_VALUE"""),"https://reklama.cncenter.cz/Online/double-skyscraper")</f>
        <v>https://reklama.cncenter.cz/Online/double-skyscraper</v>
      </c>
      <c r="X365" s="3"/>
      <c r="Y365" s="3"/>
      <c r="Z365" s="3" t="str">
        <f ca="1">IFERROR(__xludf.DUMMYFUNCTION("""COMPUTED_VALUE"""),"podklady@cncenter.cz")</f>
        <v>podklady@cncenter.cz</v>
      </c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 t="str">
        <f ca="1">IFERROR(__xludf.DUMMYFUNCTION("""COMPUTED_VALUE"""),"desktop")</f>
        <v>desktop</v>
      </c>
      <c r="AO365" s="3"/>
      <c r="AP365" s="3"/>
      <c r="AQ365" s="3"/>
      <c r="AR365" s="3"/>
      <c r="AS365" s="3"/>
      <c r="AT365" s="3"/>
      <c r="AU365" s="3" t="str">
        <f ca="1">IFERROR(__xludf.DUMMYFUNCTION("""COMPUTED_VALUE"""),"double skyscraper")</f>
        <v>double skyscraper</v>
      </c>
    </row>
    <row r="366" spans="1:47" x14ac:dyDescent="0.3">
      <c r="A366" s="3">
        <f ca="1"/>
        <v>2346826</v>
      </c>
      <c r="B366" s="3" t="str">
        <f ca="1"/>
        <v>CZECH NEWS CENTER a. s.</v>
      </c>
      <c r="C366" s="3" t="str">
        <f ca="1">IFERROR(__xludf.DUMMYFUNCTION("""COMPUTED_VALUE"""),"CNC zpravodajský pack")</f>
        <v>CNC zpravodajský pack</v>
      </c>
      <c r="D366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6" s="3" t="str">
        <f ca="1">IFERROR(__xludf.DUMMYFUNCTION("""COMPUTED_VALUE"""),"celý web")</f>
        <v>celý web</v>
      </c>
      <c r="F366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6" s="3" t="str">
        <f ca="1">IFERROR(__xludf.DUMMYFUNCTION("""COMPUTED_VALUE"""),"mini videospot - max. 30 sec. low season")</f>
        <v>mini videospot - max. 30 sec. low season</v>
      </c>
      <c r="H366" s="3">
        <f ca="1">IFERROR(__xludf.DUMMYFUNCTION("""COMPUTED_VALUE"""),7)</f>
        <v>7</v>
      </c>
      <c r="I366" s="5">
        <f ca="1">IFERROR(__xludf.DUMMYFUNCTION("""COMPUTED_VALUE"""),1000)</f>
        <v>1000</v>
      </c>
      <c r="J366" s="5">
        <f ca="1">IFERROR(__xludf.DUMMYFUNCTION("""COMPUTED_VALUE"""),180)</f>
        <v>180</v>
      </c>
      <c r="K366" s="3"/>
      <c r="L366" s="3" t="str">
        <f ca="1">IFERROR(__xludf.DUMMYFUNCTION("""COMPUTED_VALUE"""),"Cost per period")</f>
        <v>Cost per period</v>
      </c>
      <c r="M366" s="3"/>
      <c r="N366" s="3"/>
      <c r="O366" s="3"/>
      <c r="P366" s="3"/>
      <c r="Q366" s="3" t="str">
        <f ca="1">IFERROR(__xludf.DUMMYFUNCTION("""COMPUTED_VALUE"""),"16:9 / umístění po domluvě dle možností")</f>
        <v>16:9 / umístění po domluvě dle možností</v>
      </c>
      <c r="R366" s="3" t="str">
        <f ca="1">IFERROR(__xludf.DUMMYFUNCTION("""COMPUTED_VALUE"""),"přeskočení po 7 sekundách")</f>
        <v>přeskočení po 7 sekundách</v>
      </c>
      <c r="S366" s="3" t="str">
        <f ca="1">IFERROR(__xludf.DUMMYFUNCTION("""COMPUTED_VALUE"""),"100")</f>
        <v>100</v>
      </c>
      <c r="T366" s="3"/>
      <c r="U366" s="3" t="str">
        <f ca="1">IFERROR(__xludf.DUMMYFUNCTION("""COMPUTED_VALUE"""),"videospot")</f>
        <v>videospot</v>
      </c>
      <c r="V366" s="3"/>
      <c r="W366" s="4" t="str">
        <f ca="1">IFERROR(__xludf.DUMMYFUNCTION("""COMPUTED_VALUE"""),"https://reklama.cncenter.cz/Online/Videospot")</f>
        <v>https://reklama.cncenter.cz/Online/Videospot</v>
      </c>
      <c r="X366" s="3"/>
      <c r="Y366" s="3"/>
      <c r="Z366" s="3" t="str">
        <f ca="1">IFERROR(__xludf.DUMMYFUNCTION("""COMPUTED_VALUE"""),"podklady@cncenter.cz")</f>
        <v>podklady@cncenter.cz</v>
      </c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 t="str">
        <f ca="1">IFERROR(__xludf.DUMMYFUNCTION("""COMPUTED_VALUE"""),"desktop")</f>
        <v>desktop</v>
      </c>
      <c r="AO366" s="3"/>
      <c r="AP366" s="3"/>
      <c r="AQ366" s="3"/>
      <c r="AR366" s="3"/>
      <c r="AS366" s="3"/>
      <c r="AT366" s="3"/>
      <c r="AU366" s="3" t="str">
        <f ca="1">IFERROR(__xludf.DUMMYFUNCTION("""COMPUTED_VALUE"""),"mini videospot - max. 30 sec.")</f>
        <v>mini videospot - max. 30 sec.</v>
      </c>
    </row>
    <row r="367" spans="1:47" x14ac:dyDescent="0.3">
      <c r="A367" s="3">
        <f ca="1"/>
        <v>2346826</v>
      </c>
      <c r="B367" s="3" t="str">
        <f ca="1"/>
        <v>CZECH NEWS CENTER a. s.</v>
      </c>
      <c r="C367" s="3" t="str">
        <f ca="1">IFERROR(__xludf.DUMMYFUNCTION("""COMPUTED_VALUE"""),"CNC zpravodajský pack")</f>
        <v>CNC zpravodajský pack</v>
      </c>
      <c r="D367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7" s="3" t="str">
        <f ca="1">IFERROR(__xludf.DUMMYFUNCTION("""COMPUTED_VALUE"""),"celý web")</f>
        <v>celý web</v>
      </c>
      <c r="F367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7" s="3" t="str">
        <f ca="1">IFERROR(__xludf.DUMMYFUNCTION("""COMPUTED_VALUE"""),"mobilní interscroller low season")</f>
        <v>mobilní interscroller low season</v>
      </c>
      <c r="H367" s="3">
        <f ca="1">IFERROR(__xludf.DUMMYFUNCTION("""COMPUTED_VALUE"""),7)</f>
        <v>7</v>
      </c>
      <c r="I367" s="5">
        <f ca="1">IFERROR(__xludf.DUMMYFUNCTION("""COMPUTED_VALUE"""),1000)</f>
        <v>1000</v>
      </c>
      <c r="J367" s="5">
        <f ca="1">IFERROR(__xludf.DUMMYFUNCTION("""COMPUTED_VALUE"""),200)</f>
        <v>200</v>
      </c>
      <c r="K367" s="3"/>
      <c r="L367" s="3" t="str">
        <f ca="1">IFERROR(__xludf.DUMMYFUNCTION("""COMPUTED_VALUE"""),"Cost per period")</f>
        <v>Cost per period</v>
      </c>
      <c r="M367" s="3"/>
      <c r="N367" s="3"/>
      <c r="O367" s="3" t="str">
        <f ca="1">IFERROR(__xludf.DUMMYFUNCTION("""COMPUTED_VALUE"""),"600")</f>
        <v>600</v>
      </c>
      <c r="P367" s="3" t="str">
        <f ca="1">IFERROR(__xludf.DUMMYFUNCTION("""COMPUTED_VALUE"""),"1080")</f>
        <v>1080</v>
      </c>
      <c r="Q367" s="3" t="str">
        <f ca="1">IFERROR(__xludf.DUMMYFUNCTION("""COMPUTED_VALUE"""),"600x1080")</f>
        <v>600x1080</v>
      </c>
      <c r="R367" s="3"/>
      <c r="S367" s="3" t="str">
        <f ca="1">IFERROR(__xludf.DUMMYFUNCTION("""COMPUTED_VALUE"""),"200")</f>
        <v>200</v>
      </c>
      <c r="T367" s="3"/>
      <c r="U367" s="3" t="str">
        <f ca="1">IFERROR(__xludf.DUMMYFUNCTION("""COMPUTED_VALUE"""),"banner standard")</f>
        <v>banner standard</v>
      </c>
      <c r="V367" s="3"/>
      <c r="W367" s="4" t="str">
        <f ca="1">IFERROR(__xludf.DUMMYFUNCTION("""COMPUTED_VALUE"""),"https://reklama.cncenter.cz/Online/mobilni-interscroller")</f>
        <v>https://reklama.cncenter.cz/Online/mobilni-interscroller</v>
      </c>
      <c r="X367" s="3"/>
      <c r="Y367" s="3"/>
      <c r="Z367" s="3" t="str">
        <f ca="1">IFERROR(__xludf.DUMMYFUNCTION("""COMPUTED_VALUE"""),"podklady@cncenter.cz")</f>
        <v>podklady@cncenter.cz</v>
      </c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 t="str">
        <f ca="1">IFERROR(__xludf.DUMMYFUNCTION("""COMPUTED_VALUE"""),"mobile")</f>
        <v>mobile</v>
      </c>
      <c r="AO367" s="3"/>
      <c r="AP367" s="3"/>
      <c r="AQ367" s="3"/>
      <c r="AR367" s="3"/>
      <c r="AS367" s="3"/>
      <c r="AT367" s="3"/>
      <c r="AU367" s="3" t="str">
        <f ca="1">IFERROR(__xludf.DUMMYFUNCTION("""COMPUTED_VALUE"""),"mobilní interscroller")</f>
        <v>mobilní interscroller</v>
      </c>
    </row>
    <row r="368" spans="1:47" x14ac:dyDescent="0.3">
      <c r="A368" s="3">
        <f ca="1"/>
        <v>2346826</v>
      </c>
      <c r="B368" s="3" t="str">
        <f ca="1"/>
        <v>CZECH NEWS CENTER a. s.</v>
      </c>
      <c r="C368" s="3" t="str">
        <f ca="1">IFERROR(__xludf.DUMMYFUNCTION("""COMPUTED_VALUE"""),"CNC zpravodajský pack")</f>
        <v>CNC zpravodajský pack</v>
      </c>
      <c r="D368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8" s="3" t="str">
        <f ca="1">IFERROR(__xludf.DUMMYFUNCTION("""COMPUTED_VALUE"""),"celý web")</f>
        <v>celý web</v>
      </c>
      <c r="F368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8" s="3" t="str">
        <f ca="1">IFERROR(__xludf.DUMMYFUNCTION("""COMPUTED_VALUE"""),"mobilní slide-up low season")</f>
        <v>mobilní slide-up low season</v>
      </c>
      <c r="H368" s="3">
        <f ca="1">IFERROR(__xludf.DUMMYFUNCTION("""COMPUTED_VALUE"""),7)</f>
        <v>7</v>
      </c>
      <c r="I368" s="5">
        <f ca="1">IFERROR(__xludf.DUMMYFUNCTION("""COMPUTED_VALUE"""),1000)</f>
        <v>1000</v>
      </c>
      <c r="J368" s="5">
        <f ca="1">IFERROR(__xludf.DUMMYFUNCTION("""COMPUTED_VALUE"""),420)</f>
        <v>420</v>
      </c>
      <c r="K368" s="3"/>
      <c r="L368" s="3" t="str">
        <f ca="1">IFERROR(__xludf.DUMMYFUNCTION("""COMPUTED_VALUE"""),"Cost per period")</f>
        <v>Cost per period</v>
      </c>
      <c r="M368" s="3"/>
      <c r="N368" s="3"/>
      <c r="O368" s="3" t="str">
        <f ca="1">IFERROR(__xludf.DUMMYFUNCTION("""COMPUTED_VALUE"""),"300")</f>
        <v>300</v>
      </c>
      <c r="P368" s="3" t="str">
        <f ca="1">IFERROR(__xludf.DUMMYFUNCTION("""COMPUTED_VALUE"""),"120")</f>
        <v>120</v>
      </c>
      <c r="Q368" s="3" t="str">
        <f ca="1">IFERROR(__xludf.DUMMYFUNCTION("""COMPUTED_VALUE"""),"300x120")</f>
        <v>300x120</v>
      </c>
      <c r="R368" s="3"/>
      <c r="S368" s="3" t="str">
        <f ca="1">IFERROR(__xludf.DUMMYFUNCTION("""COMPUTED_VALUE"""),"100")</f>
        <v>100</v>
      </c>
      <c r="T368" s="3"/>
      <c r="U368" s="3" t="str">
        <f ca="1">IFERROR(__xludf.DUMMYFUNCTION("""COMPUTED_VALUE"""),"banner standard")</f>
        <v>banner standard</v>
      </c>
      <c r="V368" s="3"/>
      <c r="W368" s="4" t="str">
        <f ca="1">IFERROR(__xludf.DUMMYFUNCTION("""COMPUTED_VALUE"""),"https://reklama.cncenter.cz/Online/mobilni-slide-up")</f>
        <v>https://reklama.cncenter.cz/Online/mobilni-slide-up</v>
      </c>
      <c r="X368" s="3"/>
      <c r="Y368" s="3"/>
      <c r="Z368" s="3" t="str">
        <f ca="1">IFERROR(__xludf.DUMMYFUNCTION("""COMPUTED_VALUE"""),"podklady@cncenter.cz")</f>
        <v>podklady@cncenter.cz</v>
      </c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 t="str">
        <f ca="1">IFERROR(__xludf.DUMMYFUNCTION("""COMPUTED_VALUE"""),"mobile")</f>
        <v>mobile</v>
      </c>
      <c r="AO368" s="3"/>
      <c r="AP368" s="3"/>
      <c r="AQ368" s="3"/>
      <c r="AR368" s="3"/>
      <c r="AS368" s="3"/>
      <c r="AT368" s="3"/>
      <c r="AU368" s="3" t="str">
        <f ca="1">IFERROR(__xludf.DUMMYFUNCTION("""COMPUTED_VALUE"""),"mobilní slide-up")</f>
        <v>mobilní slide-up</v>
      </c>
    </row>
    <row r="369" spans="1:47" x14ac:dyDescent="0.3">
      <c r="A369" s="3">
        <f ca="1"/>
        <v>2346826</v>
      </c>
      <c r="B369" s="3" t="str">
        <f ca="1"/>
        <v>CZECH NEWS CENTER a. s.</v>
      </c>
      <c r="C369" s="3" t="str">
        <f ca="1">IFERROR(__xludf.DUMMYFUNCTION("""COMPUTED_VALUE"""),"CNC zpravodajský pack")</f>
        <v>CNC zpravodajský pack</v>
      </c>
      <c r="D369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9" s="3" t="str">
        <f ca="1">IFERROR(__xludf.DUMMYFUNCTION("""COMPUTED_VALUE"""),"celý web")</f>
        <v>celý web</v>
      </c>
      <c r="F369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9" s="3" t="str">
        <f ca="1">IFERROR(__xludf.DUMMYFUNCTION("""COMPUTED_VALUE"""),"mobilní viněta low season")</f>
        <v>mobilní viněta low season</v>
      </c>
      <c r="H369" s="3">
        <f ca="1">IFERROR(__xludf.DUMMYFUNCTION("""COMPUTED_VALUE"""),7)</f>
        <v>7</v>
      </c>
      <c r="I369" s="5">
        <f ca="1">IFERROR(__xludf.DUMMYFUNCTION("""COMPUTED_VALUE"""),1000)</f>
        <v>1000</v>
      </c>
      <c r="J369" s="5">
        <f ca="1">IFERROR(__xludf.DUMMYFUNCTION("""COMPUTED_VALUE"""),640)</f>
        <v>640</v>
      </c>
      <c r="K369" s="3"/>
      <c r="L369" s="3" t="str">
        <f ca="1">IFERROR(__xludf.DUMMYFUNCTION("""COMPUTED_VALUE"""),"Cost per period")</f>
        <v>Cost per period</v>
      </c>
      <c r="M369" s="3"/>
      <c r="N369" s="3"/>
      <c r="O369" s="3" t="str">
        <f ca="1">IFERROR(__xludf.DUMMYFUNCTION("""COMPUTED_VALUE"""),"600")</f>
        <v>600</v>
      </c>
      <c r="P369" s="3" t="str">
        <f ca="1">IFERROR(__xludf.DUMMYFUNCTION("""COMPUTED_VALUE"""),"800")</f>
        <v>800</v>
      </c>
      <c r="Q369" s="3" t="str">
        <f ca="1">IFERROR(__xludf.DUMMYFUNCTION("""COMPUTED_VALUE"""),"300x250 nebo 600x800")</f>
        <v>300x250 nebo 600x800</v>
      </c>
      <c r="R369" s="3"/>
      <c r="S369" s="3" t="str">
        <f ca="1">IFERROR(__xludf.DUMMYFUNCTION("""COMPUTED_VALUE"""),"100")</f>
        <v>100</v>
      </c>
      <c r="T369" s="3"/>
      <c r="U369" s="3" t="str">
        <f ca="1">IFERROR(__xludf.DUMMYFUNCTION("""COMPUTED_VALUE"""),"banner standard")</f>
        <v>banner standard</v>
      </c>
      <c r="V369" s="3"/>
      <c r="W369" s="4" t="str">
        <f ca="1">IFERROR(__xludf.DUMMYFUNCTION("""COMPUTED_VALUE"""),"https://reklama.cncenter.cz/Online/mobilni-vineta")</f>
        <v>https://reklama.cncenter.cz/Online/mobilni-vineta</v>
      </c>
      <c r="X369" s="3"/>
      <c r="Y369" s="3"/>
      <c r="Z369" s="3" t="str">
        <f ca="1">IFERROR(__xludf.DUMMYFUNCTION("""COMPUTED_VALUE"""),"podklady@cncenter.cz")</f>
        <v>podklady@cncenter.cz</v>
      </c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 t="str">
        <f ca="1">IFERROR(__xludf.DUMMYFUNCTION("""COMPUTED_VALUE"""),"mobile")</f>
        <v>mobile</v>
      </c>
      <c r="AO369" s="3"/>
      <c r="AP369" s="3"/>
      <c r="AQ369" s="3"/>
      <c r="AR369" s="3"/>
      <c r="AS369" s="3"/>
      <c r="AT369" s="3"/>
      <c r="AU369" s="3" t="str">
        <f ca="1">IFERROR(__xludf.DUMMYFUNCTION("""COMPUTED_VALUE"""),"mobilní viněta")</f>
        <v>mobilní viněta</v>
      </c>
    </row>
    <row r="370" spans="1:47" x14ac:dyDescent="0.3">
      <c r="A370" s="3">
        <f ca="1"/>
        <v>2346826</v>
      </c>
      <c r="B370" s="3" t="str">
        <f ca="1"/>
        <v>CZECH NEWS CENTER a. s.</v>
      </c>
      <c r="C370" s="3" t="str">
        <f ca="1">IFERROR(__xludf.DUMMYFUNCTION("""COMPUTED_VALUE"""),"CNC zpravodajský pack")</f>
        <v>CNC zpravodajský pack</v>
      </c>
      <c r="D370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70" s="3" t="str">
        <f ca="1">IFERROR(__xludf.DUMMYFUNCTION("""COMPUTED_VALUE"""),"celý web")</f>
        <v>celý web</v>
      </c>
      <c r="F370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70" s="3" t="str">
        <f ca="1">IFERROR(__xludf.DUMMYFUNCTION("""COMPUTED_VALUE"""),"nativní rectangle cross-device low season")</f>
        <v>nativní rectangle cross-device low season</v>
      </c>
      <c r="H370" s="3">
        <f ca="1">IFERROR(__xludf.DUMMYFUNCTION("""COMPUTED_VALUE"""),7)</f>
        <v>7</v>
      </c>
      <c r="I370" s="5">
        <f ca="1">IFERROR(__xludf.DUMMYFUNCTION("""COMPUTED_VALUE"""),1000)</f>
        <v>1000</v>
      </c>
      <c r="J370" s="5">
        <f ca="1">IFERROR(__xludf.DUMMYFUNCTION("""COMPUTED_VALUE"""),170)</f>
        <v>170</v>
      </c>
      <c r="K370" s="3"/>
      <c r="L370" s="3" t="str">
        <f ca="1">IFERROR(__xludf.DUMMYFUNCTION("""COMPUTED_VALUE"""),"Cost per period")</f>
        <v>Cost per period</v>
      </c>
      <c r="M370" s="3"/>
      <c r="N370" s="3"/>
      <c r="O370" s="3" t="str">
        <f ca="1">IFERROR(__xludf.DUMMYFUNCTION("""COMPUTED_VALUE"""),"640")</f>
        <v>640</v>
      </c>
      <c r="P370" s="3" t="str">
        <f ca="1">IFERROR(__xludf.DUMMYFUNCTION("""COMPUTED_VALUE"""),"335, 640")</f>
        <v>335, 640</v>
      </c>
      <c r="Q370" s="3" t="str">
        <f ca="1">IFERROR(__xludf.DUMMYFUNCTION("""COMPUTED_VALUE"""),"640x640 a 640x335 + text + logo")</f>
        <v>640x640 a 640x335 + text + logo</v>
      </c>
      <c r="R370" s="3"/>
      <c r="S370" s="3" t="str">
        <f ca="1">IFERROR(__xludf.DUMMYFUNCTION("""COMPUTED_VALUE"""),"45")</f>
        <v>45</v>
      </c>
      <c r="T370" s="3"/>
      <c r="U370" s="3" t="str">
        <f ca="1">IFERROR(__xludf.DUMMYFUNCTION("""COMPUTED_VALUE"""),"nativní reklama")</f>
        <v>nativní reklama</v>
      </c>
      <c r="V370" s="3"/>
      <c r="W370" s="4" t="str">
        <f ca="1">IFERROR(__xludf.DUMMYFUNCTION("""COMPUTED_VALUE"""),"https://reklama.cncenter.cz/Online/nativni-rectangle-cross-device")</f>
        <v>https://reklama.cncenter.cz/Online/nativni-rectangle-cross-device</v>
      </c>
      <c r="X370" s="3"/>
      <c r="Y370" s="3"/>
      <c r="Z370" s="3" t="str">
        <f ca="1">IFERROR(__xludf.DUMMYFUNCTION("""COMPUTED_VALUE"""),"podklady@cncenter.cz")</f>
        <v>podklady@cncenter.cz</v>
      </c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 t="str">
        <f ca="1">IFERROR(__xludf.DUMMYFUNCTION("""COMPUTED_VALUE"""),"cross-device")</f>
        <v>cross-device</v>
      </c>
      <c r="AO370" s="3"/>
      <c r="AP370" s="3"/>
      <c r="AQ370" s="3"/>
      <c r="AR370" s="3"/>
      <c r="AS370" s="3"/>
      <c r="AT370" s="3"/>
      <c r="AU370" s="3" t="str">
        <f ca="1">IFERROR(__xludf.DUMMYFUNCTION("""COMPUTED_VALUE"""),"nativní rectangle cross-device")</f>
        <v>nativní rectangle cross-device</v>
      </c>
    </row>
    <row r="371" spans="1:47" x14ac:dyDescent="0.3">
      <c r="A371" s="3">
        <f ca="1"/>
        <v>2346826</v>
      </c>
      <c r="B371" s="3" t="str">
        <f ca="1"/>
        <v>CZECH NEWS CENTER a. s.</v>
      </c>
      <c r="C371" s="3" t="str">
        <f ca="1">IFERROR(__xludf.DUMMYFUNCTION("""COMPUTED_VALUE"""),"CNC zpravodajský pack")</f>
        <v>CNC zpravodajský pack</v>
      </c>
      <c r="D371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71" s="3" t="str">
        <f ca="1">IFERROR(__xludf.DUMMYFUNCTION("""COMPUTED_VALUE"""),"celý web")</f>
        <v>celý web</v>
      </c>
      <c r="F371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71" s="3" t="str">
        <f ca="1">IFERROR(__xludf.DUMMYFUNCTION("""COMPUTED_VALUE"""),"outstream low season")</f>
        <v>outstream low season</v>
      </c>
      <c r="H371" s="3">
        <f ca="1">IFERROR(__xludf.DUMMYFUNCTION("""COMPUTED_VALUE"""),7)</f>
        <v>7</v>
      </c>
      <c r="I371" s="5">
        <f ca="1">IFERROR(__xludf.DUMMYFUNCTION("""COMPUTED_VALUE"""),1000)</f>
        <v>1000</v>
      </c>
      <c r="J371" s="5">
        <f ca="1">IFERROR(__xludf.DUMMYFUNCTION("""COMPUTED_VALUE"""),230)</f>
        <v>230</v>
      </c>
      <c r="K371" s="3"/>
      <c r="L371" s="3" t="str">
        <f ca="1">IFERROR(__xludf.DUMMYFUNCTION("""COMPUTED_VALUE"""),"Cost per period")</f>
        <v>Cost per period</v>
      </c>
      <c r="M371" s="3"/>
      <c r="N371" s="3"/>
      <c r="O371" s="3" t="str">
        <f ca="1">IFERROR(__xludf.DUMMYFUNCTION("""COMPUTED_VALUE"""),"1280")</f>
        <v>1280</v>
      </c>
      <c r="P371" s="3" t="str">
        <f ca="1">IFERROR(__xludf.DUMMYFUNCTION("""COMPUTED_VALUE"""),"720")</f>
        <v>720</v>
      </c>
      <c r="Q371" s="3" t="str">
        <f ca="1">IFERROR(__xludf.DUMMYFUNCTION("""COMPUTED_VALUE"""),"16:9")</f>
        <v>16:9</v>
      </c>
      <c r="R371" s="3"/>
      <c r="S371" s="3" t="str">
        <f ca="1">IFERROR(__xludf.DUMMYFUNCTION("""COMPUTED_VALUE"""),"100")</f>
        <v>100</v>
      </c>
      <c r="T371" s="3"/>
      <c r="U371" s="3" t="str">
        <f ca="1">IFERROR(__xludf.DUMMYFUNCTION("""COMPUTED_VALUE"""),"videospot")</f>
        <v>videospot</v>
      </c>
      <c r="V371" s="3"/>
      <c r="W371" s="4" t="str">
        <f ca="1">IFERROR(__xludf.DUMMYFUNCTION("""COMPUTED_VALUE"""),"https://reklama.cncenter.cz/Online/Outstream")</f>
        <v>https://reklama.cncenter.cz/Online/Outstream</v>
      </c>
      <c r="X371" s="3"/>
      <c r="Y371" s="3"/>
      <c r="Z371" s="3" t="str">
        <f ca="1">IFERROR(__xludf.DUMMYFUNCTION("""COMPUTED_VALUE"""),"podklady@cncenter.cz")</f>
        <v>podklady@cncenter.cz</v>
      </c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 t="str">
        <f ca="1">IFERROR(__xludf.DUMMYFUNCTION("""COMPUTED_VALUE"""),"cross-device")</f>
        <v>cross-device</v>
      </c>
      <c r="AO371" s="3"/>
      <c r="AP371" s="3"/>
      <c r="AQ371" s="3"/>
      <c r="AR371" s="3"/>
      <c r="AS371" s="3"/>
      <c r="AT371" s="3"/>
      <c r="AU371" s="3" t="str">
        <f ca="1">IFERROR(__xludf.DUMMYFUNCTION("""COMPUTED_VALUE"""),"outstream")</f>
        <v>outstream</v>
      </c>
    </row>
    <row r="372" spans="1:47" x14ac:dyDescent="0.3">
      <c r="A372" s="3">
        <f ca="1"/>
        <v>2346826</v>
      </c>
      <c r="B372" s="3" t="str">
        <f ca="1"/>
        <v>CZECH NEWS CENTER a. s.</v>
      </c>
      <c r="C372" s="3" t="str">
        <f ca="1">IFERROR(__xludf.DUMMYFUNCTION("""COMPUTED_VALUE"""),"CNC zpravodajský pack")</f>
        <v>CNC zpravodajský pack</v>
      </c>
      <c r="D372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72" s="3" t="str">
        <f ca="1">IFERROR(__xludf.DUMMYFUNCTION("""COMPUTED_VALUE"""),"celý web")</f>
        <v>celý web</v>
      </c>
      <c r="F372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72" s="3" t="str">
        <f ca="1">IFERROR(__xludf.DUMMYFUNCTION("""COMPUTED_VALUE"""),"Smarticle low season")</f>
        <v>Smarticle low season</v>
      </c>
      <c r="H372" s="3">
        <f ca="1">IFERROR(__xludf.DUMMYFUNCTION("""COMPUTED_VALUE"""),7)</f>
        <v>7</v>
      </c>
      <c r="I372" s="5">
        <f ca="1">IFERROR(__xludf.DUMMYFUNCTION("""COMPUTED_VALUE"""),1000)</f>
        <v>1000</v>
      </c>
      <c r="J372" s="5">
        <f ca="1">IFERROR(__xludf.DUMMYFUNCTION("""COMPUTED_VALUE"""),200)</f>
        <v>200</v>
      </c>
      <c r="K372" s="3"/>
      <c r="L372" s="3" t="str">
        <f ca="1">IFERROR(__xludf.DUMMYFUNCTION("""COMPUTED_VALUE"""),"Cost per period")</f>
        <v>Cost per period</v>
      </c>
      <c r="M372" s="3"/>
      <c r="N372" s="3" t="str">
        <f ca="1">IFERROR(__xludf.DUMMYFUNCTION("""COMPUTED_VALUE"""),"A4")</f>
        <v>A4</v>
      </c>
      <c r="O372" s="3"/>
      <c r="P372" s="3"/>
      <c r="Q372" s="3" t="str">
        <f ca="1">IFERROR(__xludf.DUMMYFUNCTION("""COMPUTED_VALUE"""),"viz. tech.specifikace; HP + sekce")</f>
        <v>viz. tech.specifikace; HP + sekce</v>
      </c>
      <c r="R372" s="3" t="str">
        <f ca="1">IFERROR(__xludf.DUMMYFUNCTION("""COMPUTED_VALUE"""),"HP + sekce")</f>
        <v>HP + sekce</v>
      </c>
      <c r="S372" s="3" t="str">
        <f ca="1">IFERROR(__xludf.DUMMYFUNCTION("""COMPUTED_VALUE"""),"100")</f>
        <v>100</v>
      </c>
      <c r="T372" s="3"/>
      <c r="U372" s="3" t="str">
        <f ca="1">IFERROR(__xludf.DUMMYFUNCTION("""COMPUTED_VALUE"""),"pr článek")</f>
        <v>pr článek</v>
      </c>
      <c r="V372" s="3"/>
      <c r="W372" s="4" t="str">
        <f ca="1">IFERROR(__xludf.DUMMYFUNCTION("""COMPUTED_VALUE"""),"https://reklama.cncenter.cz/Online/Smarticle")</f>
        <v>https://reklama.cncenter.cz/Online/Smarticle</v>
      </c>
      <c r="X372" s="3"/>
      <c r="Y372" s="3"/>
      <c r="Z372" s="3" t="str">
        <f ca="1">IFERROR(__xludf.DUMMYFUNCTION("""COMPUTED_VALUE"""),"podklady@cncenter.cz")</f>
        <v>podklady@cncenter.cz</v>
      </c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 t="str">
        <f ca="1">IFERROR(__xludf.DUMMYFUNCTION("""COMPUTED_VALUE"""),"cross-device")</f>
        <v>cross-device</v>
      </c>
      <c r="AO372" s="3"/>
      <c r="AP372" s="3"/>
      <c r="AQ372" s="3"/>
      <c r="AR372" s="3"/>
      <c r="AS372" s="3"/>
      <c r="AT372" s="3"/>
      <c r="AU372" s="3" t="str">
        <f ca="1">IFERROR(__xludf.DUMMYFUNCTION("""COMPUTED_VALUE"""),"Smarticle")</f>
        <v>Smarticle</v>
      </c>
    </row>
    <row r="373" spans="1:47" x14ac:dyDescent="0.3">
      <c r="A373" s="3">
        <f ca="1"/>
        <v>2346826</v>
      </c>
      <c r="B373" s="3" t="str">
        <f ca="1"/>
        <v>CZECH NEWS CENTER a. s.</v>
      </c>
      <c r="C373" s="3" t="str">
        <f ca="1">IFERROR(__xludf.DUMMYFUNCTION("""COMPUTED_VALUE"""),"CNC zpravodajský pack")</f>
        <v>CNC zpravodajský pack</v>
      </c>
      <c r="D373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73" s="3" t="str">
        <f ca="1">IFERROR(__xludf.DUMMYFUNCTION("""COMPUTED_VALUE"""),"celý web")</f>
        <v>celý web</v>
      </c>
      <c r="F373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73" s="3" t="str">
        <f ca="1">IFERROR(__xludf.DUMMYFUNCTION("""COMPUTED_VALUE"""),"videospot - max. 30 sec. / bumper low season")</f>
        <v>videospot - max. 30 sec. / bumper low season</v>
      </c>
      <c r="H373" s="3">
        <f ca="1">IFERROR(__xludf.DUMMYFUNCTION("""COMPUTED_VALUE"""),7)</f>
        <v>7</v>
      </c>
      <c r="I373" s="5">
        <f ca="1">IFERROR(__xludf.DUMMYFUNCTION("""COMPUTED_VALUE"""),1000)</f>
        <v>1000</v>
      </c>
      <c r="J373" s="5">
        <f ca="1">IFERROR(__xludf.DUMMYFUNCTION("""COMPUTED_VALUE"""),940)</f>
        <v>940</v>
      </c>
      <c r="K373" s="3"/>
      <c r="L373" s="3" t="str">
        <f ca="1">IFERROR(__xludf.DUMMYFUNCTION("""COMPUTED_VALUE"""),"Cost per period")</f>
        <v>Cost per period</v>
      </c>
      <c r="M373" s="3"/>
      <c r="N373" s="3"/>
      <c r="O373" s="3" t="str">
        <f ca="1">IFERROR(__xludf.DUMMYFUNCTION("""COMPUTED_VALUE"""),"1280")</f>
        <v>1280</v>
      </c>
      <c r="P373" s="3" t="str">
        <f ca="1">IFERROR(__xludf.DUMMYFUNCTION("""COMPUTED_VALUE"""),"720")</f>
        <v>720</v>
      </c>
      <c r="Q373" s="3" t="str">
        <f ca="1">IFERROR(__xludf.DUMMYFUNCTION("""COMPUTED_VALUE"""),"16:9 / umístění po domluvě dle možností")</f>
        <v>16:9 / umístění po domluvě dle možností</v>
      </c>
      <c r="R373" s="3" t="str">
        <f ca="1">IFERROR(__xludf.DUMMYFUNCTION("""COMPUTED_VALUE"""),"přeskočení po 7 sekundách")</f>
        <v>přeskočení po 7 sekundách</v>
      </c>
      <c r="S373" s="3" t="str">
        <f ca="1">IFERROR(__xludf.DUMMYFUNCTION("""COMPUTED_VALUE"""),"100")</f>
        <v>100</v>
      </c>
      <c r="T373" s="3"/>
      <c r="U373" s="3" t="str">
        <f ca="1">IFERROR(__xludf.DUMMYFUNCTION("""COMPUTED_VALUE"""),"videospot")</f>
        <v>videospot</v>
      </c>
      <c r="V373" s="3"/>
      <c r="W373" s="4" t="str">
        <f ca="1">IFERROR(__xludf.DUMMYFUNCTION("""COMPUTED_VALUE"""),"https://reklama.cncenter.cz/Online/Bumper")</f>
        <v>https://reklama.cncenter.cz/Online/Bumper</v>
      </c>
      <c r="X373" s="3"/>
      <c r="Y373" s="3"/>
      <c r="Z373" s="3" t="str">
        <f ca="1">IFERROR(__xludf.DUMMYFUNCTION("""COMPUTED_VALUE"""),"podklady@cncenter.cz")</f>
        <v>podklady@cncenter.cz</v>
      </c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 t="str">
        <f ca="1">IFERROR(__xludf.DUMMYFUNCTION("""COMPUTED_VALUE"""),"cross-device")</f>
        <v>cross-device</v>
      </c>
      <c r="AO373" s="3"/>
      <c r="AP373" s="3"/>
      <c r="AQ373" s="3"/>
      <c r="AR373" s="3"/>
      <c r="AS373" s="3"/>
      <c r="AT373" s="3"/>
      <c r="AU373" s="3" t="str">
        <f ca="1">IFERROR(__xludf.DUMMYFUNCTION("""COMPUTED_VALUE"""),"videospot - max. 30 sec. / bumper")</f>
        <v>videospot - max. 30 sec. / bumper</v>
      </c>
    </row>
    <row r="374" spans="1:47" x14ac:dyDescent="0.3">
      <c r="A374" s="3">
        <f ca="1"/>
        <v>2346826</v>
      </c>
      <c r="B374" s="3" t="str">
        <f ca="1"/>
        <v>CZECH NEWS CENTER a. s.</v>
      </c>
      <c r="C374" s="3" t="str">
        <f ca="1">IFERROR(__xludf.DUMMYFUNCTION("""COMPUTED_VALUE"""),"CNC ženy pack")</f>
        <v>CNC ženy pack</v>
      </c>
      <c r="D374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74" s="3" t="str">
        <f ca="1">IFERROR(__xludf.DUMMYFUNCTION("""COMPUTED_VALUE"""),"celý web")</f>
        <v>celý web</v>
      </c>
      <c r="F374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74" s="3" t="str">
        <f ca="1">IFERROR(__xludf.DUMMYFUNCTION("""COMPUTED_VALUE"""),"billboard bottom low season")</f>
        <v>billboard bottom low season</v>
      </c>
      <c r="H374" s="3">
        <f ca="1">IFERROR(__xludf.DUMMYFUNCTION("""COMPUTED_VALUE"""),7)</f>
        <v>7</v>
      </c>
      <c r="I374" s="5">
        <f ca="1">IFERROR(__xludf.DUMMYFUNCTION("""COMPUTED_VALUE"""),1000)</f>
        <v>1000</v>
      </c>
      <c r="J374" s="5">
        <f ca="1">IFERROR(__xludf.DUMMYFUNCTION("""COMPUTED_VALUE"""),210)</f>
        <v>210</v>
      </c>
      <c r="K374" s="3"/>
      <c r="L374" s="3" t="str">
        <f ca="1">IFERROR(__xludf.DUMMYFUNCTION("""COMPUTED_VALUE"""),"Cost per period")</f>
        <v>Cost per period</v>
      </c>
      <c r="M374" s="3"/>
      <c r="N374" s="3"/>
      <c r="O374" s="3" t="str">
        <f ca="1">IFERROR(__xludf.DUMMYFUNCTION("""COMPUTED_VALUE"""),"970")</f>
        <v>970</v>
      </c>
      <c r="P374" s="3" t="str">
        <f ca="1">IFERROR(__xludf.DUMMYFUNCTION("""COMPUTED_VALUE"""),"250")</f>
        <v>250</v>
      </c>
      <c r="Q374" s="3" t="str">
        <f ca="1">IFERROR(__xludf.DUMMYFUNCTION("""COMPUTED_VALUE"""),"970x250")</f>
        <v>970x250</v>
      </c>
      <c r="R374" s="3"/>
      <c r="S374" s="3" t="str">
        <f ca="1">IFERROR(__xludf.DUMMYFUNCTION("""COMPUTED_VALUE"""),"100 (200 - HTML5)")</f>
        <v>100 (200 - HTML5)</v>
      </c>
      <c r="T374" s="3"/>
      <c r="U374" s="3" t="str">
        <f ca="1">IFERROR(__xludf.DUMMYFUNCTION("""COMPUTED_VALUE"""),"banner standard")</f>
        <v>banner standard</v>
      </c>
      <c r="V374" s="3"/>
      <c r="W374" s="4" t="str">
        <f ca="1">IFERROR(__xludf.DUMMYFUNCTION("""COMPUTED_VALUE"""),"https://reklama.cncenter.cz/Online/billboard-bottom")</f>
        <v>https://reklama.cncenter.cz/Online/billboard-bottom</v>
      </c>
      <c r="X374" s="3"/>
      <c r="Y374" s="3"/>
      <c r="Z374" s="3" t="str">
        <f ca="1">IFERROR(__xludf.DUMMYFUNCTION("""COMPUTED_VALUE"""),"podklady@cncenter.cz")</f>
        <v>podklady@cncenter.cz</v>
      </c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 t="str">
        <f ca="1">IFERROR(__xludf.DUMMYFUNCTION("""COMPUTED_VALUE"""),"desktop")</f>
        <v>desktop</v>
      </c>
      <c r="AO374" s="3"/>
      <c r="AP374" s="3"/>
      <c r="AQ374" s="3"/>
      <c r="AR374" s="3"/>
      <c r="AS374" s="3"/>
      <c r="AT374" s="3"/>
      <c r="AU374" s="3" t="str">
        <f ca="1">IFERROR(__xludf.DUMMYFUNCTION("""COMPUTED_VALUE"""),"billboard bottom")</f>
        <v>billboard bottom</v>
      </c>
    </row>
    <row r="375" spans="1:47" x14ac:dyDescent="0.3">
      <c r="A375" s="3">
        <f ca="1"/>
        <v>2346826</v>
      </c>
      <c r="B375" s="3" t="str">
        <f ca="1"/>
        <v>CZECH NEWS CENTER a. s.</v>
      </c>
      <c r="C375" s="3" t="str">
        <f ca="1">IFERROR(__xludf.DUMMYFUNCTION("""COMPUTED_VALUE"""),"CNC ženy pack")</f>
        <v>CNC ženy pack</v>
      </c>
      <c r="D375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75" s="3" t="str">
        <f ca="1">IFERROR(__xludf.DUMMYFUNCTION("""COMPUTED_VALUE"""),"celý web")</f>
        <v>celý web</v>
      </c>
      <c r="F375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75" s="3" t="str">
        <f ca="1">IFERROR(__xludf.DUMMYFUNCTION("""COMPUTED_VALUE"""),"branding cross-device low season")</f>
        <v>branding cross-device low season</v>
      </c>
      <c r="H375" s="3">
        <f ca="1">IFERROR(__xludf.DUMMYFUNCTION("""COMPUTED_VALUE"""),7)</f>
        <v>7</v>
      </c>
      <c r="I375" s="5">
        <f ca="1">IFERROR(__xludf.DUMMYFUNCTION("""COMPUTED_VALUE"""),1000)</f>
        <v>1000</v>
      </c>
      <c r="J375" s="5">
        <f ca="1">IFERROR(__xludf.DUMMYFUNCTION("""COMPUTED_VALUE"""),270)</f>
        <v>270</v>
      </c>
      <c r="K375" s="3"/>
      <c r="L375" s="3" t="str">
        <f ca="1">IFERROR(__xludf.DUMMYFUNCTION("""COMPUTED_VALUE"""),"Cost per period")</f>
        <v>Cost per period</v>
      </c>
      <c r="M375" s="3"/>
      <c r="N375" s="3"/>
      <c r="O375" s="3" t="str">
        <f ca="1">IFERROR(__xludf.DUMMYFUNCTION("""COMPUTED_VALUE"""),"2000")</f>
        <v>2000</v>
      </c>
      <c r="P375" s="3" t="str">
        <f ca="1">IFERROR(__xludf.DUMMYFUNCTION("""COMPUTED_VALUE"""),"1400")</f>
        <v>1400</v>
      </c>
      <c r="Q375" s="3" t="str">
        <f ca="1">IFERROR(__xludf.DUMMYFUNCTION("""COMPUTED_VALUE"""),"2000x1400 + 600x1080")</f>
        <v>2000x1400 + 600x1080</v>
      </c>
      <c r="R375" s="3"/>
      <c r="S375" s="3" t="str">
        <f ca="1">IFERROR(__xludf.DUMMYFUNCTION("""COMPUTED_VALUE"""),"500 (600 - HTLM5)")</f>
        <v>500 (600 - HTLM5)</v>
      </c>
      <c r="T375" s="3"/>
      <c r="U375" s="3" t="str">
        <f ca="1">IFERROR(__xludf.DUMMYFUNCTION("""COMPUTED_VALUE"""),"banner standard")</f>
        <v>banner standard</v>
      </c>
      <c r="V375" s="3"/>
      <c r="W375" s="4" t="str">
        <f ca="1">IFERROR(__xludf.DUMMYFUNCTION("""COMPUTED_VALUE"""),"https://reklama.cncenter.cz/Online/branding-cross-device")</f>
        <v>https://reklama.cncenter.cz/Online/branding-cross-device</v>
      </c>
      <c r="X375" s="3"/>
      <c r="Y375" s="3"/>
      <c r="Z375" s="3" t="str">
        <f ca="1">IFERROR(__xludf.DUMMYFUNCTION("""COMPUTED_VALUE"""),"podklady@cncenter.cz")</f>
        <v>podklady@cncenter.cz</v>
      </c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 t="str">
        <f ca="1">IFERROR(__xludf.DUMMYFUNCTION("""COMPUTED_VALUE"""),"cross-device")</f>
        <v>cross-device</v>
      </c>
      <c r="AO375" s="3"/>
      <c r="AP375" s="3"/>
      <c r="AQ375" s="3"/>
      <c r="AR375" s="3"/>
      <c r="AS375" s="3"/>
      <c r="AT375" s="3"/>
      <c r="AU375" s="3" t="str">
        <f ca="1">IFERROR(__xludf.DUMMYFUNCTION("""COMPUTED_VALUE"""),"branding cross-device")</f>
        <v>branding cross-device</v>
      </c>
    </row>
    <row r="376" spans="1:47" x14ac:dyDescent="0.3">
      <c r="A376" s="3">
        <f ca="1"/>
        <v>2346826</v>
      </c>
      <c r="B376" s="3" t="str">
        <f ca="1"/>
        <v>CZECH NEWS CENTER a. s.</v>
      </c>
      <c r="C376" s="3" t="str">
        <f ca="1">IFERROR(__xludf.DUMMYFUNCTION("""COMPUTED_VALUE"""),"CNC ženy pack")</f>
        <v>CNC ženy pack</v>
      </c>
      <c r="D376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76" s="3" t="str">
        <f ca="1">IFERROR(__xludf.DUMMYFUNCTION("""COMPUTED_VALUE"""),"celý web")</f>
        <v>celý web</v>
      </c>
      <c r="F376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76" s="3" t="str">
        <f ca="1">IFERROR(__xludf.DUMMYFUNCTION("""COMPUTED_VALUE"""),"branding low season")</f>
        <v>branding low season</v>
      </c>
      <c r="H376" s="3">
        <f ca="1">IFERROR(__xludf.DUMMYFUNCTION("""COMPUTED_VALUE"""),7)</f>
        <v>7</v>
      </c>
      <c r="I376" s="5">
        <f ca="1">IFERROR(__xludf.DUMMYFUNCTION("""COMPUTED_VALUE"""),1000)</f>
        <v>1000</v>
      </c>
      <c r="J376" s="5">
        <f ca="1">IFERROR(__xludf.DUMMYFUNCTION("""COMPUTED_VALUE"""),400)</f>
        <v>400</v>
      </c>
      <c r="K376" s="3"/>
      <c r="L376" s="3" t="str">
        <f ca="1">IFERROR(__xludf.DUMMYFUNCTION("""COMPUTED_VALUE"""),"Cost per period")</f>
        <v>Cost per period</v>
      </c>
      <c r="M376" s="3"/>
      <c r="N376" s="3"/>
      <c r="O376" s="3" t="str">
        <f ca="1">IFERROR(__xludf.DUMMYFUNCTION("""COMPUTED_VALUE"""),"2000")</f>
        <v>2000</v>
      </c>
      <c r="P376" s="3" t="str">
        <f ca="1">IFERROR(__xludf.DUMMYFUNCTION("""COMPUTED_VALUE"""),"1400")</f>
        <v>1400</v>
      </c>
      <c r="Q376" s="3" t="str">
        <f ca="1">IFERROR(__xludf.DUMMYFUNCTION("""COMPUTED_VALUE"""),"2000x1400")</f>
        <v>2000x1400</v>
      </c>
      <c r="R376" s="3"/>
      <c r="S376" s="3" t="str">
        <f ca="1">IFERROR(__xludf.DUMMYFUNCTION("""COMPUTED_VALUE"""),"500 + 200 (600+200 HTML5)")</f>
        <v>500 + 200 (600+200 HTML5)</v>
      </c>
      <c r="T376" s="3"/>
      <c r="U376" s="3" t="str">
        <f ca="1">IFERROR(__xludf.DUMMYFUNCTION("""COMPUTED_VALUE"""),"banner standard")</f>
        <v>banner standard</v>
      </c>
      <c r="V376" s="3"/>
      <c r="W376" s="4" t="str">
        <f ca="1">IFERROR(__xludf.DUMMYFUNCTION("""COMPUTED_VALUE"""),"https://reklama.cncenter.cz/Online/branding")</f>
        <v>https://reklama.cncenter.cz/Online/branding</v>
      </c>
      <c r="X376" s="3"/>
      <c r="Y376" s="3"/>
      <c r="Z376" s="3" t="str">
        <f ca="1">IFERROR(__xludf.DUMMYFUNCTION("""COMPUTED_VALUE"""),"podklady@cncenter.cz")</f>
        <v>podklady@cncenter.cz</v>
      </c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 t="str">
        <f ca="1">IFERROR(__xludf.DUMMYFUNCTION("""COMPUTED_VALUE"""),"desktop")</f>
        <v>desktop</v>
      </c>
      <c r="AO376" s="3"/>
      <c r="AP376" s="3"/>
      <c r="AQ376" s="3"/>
      <c r="AR376" s="3"/>
      <c r="AS376" s="3"/>
      <c r="AT376" s="3"/>
      <c r="AU376" s="3" t="str">
        <f ca="1">IFERROR(__xludf.DUMMYFUNCTION("""COMPUTED_VALUE"""),"branding")</f>
        <v>branding</v>
      </c>
    </row>
    <row r="377" spans="1:47" x14ac:dyDescent="0.3">
      <c r="A377" s="3">
        <f ca="1"/>
        <v>2346826</v>
      </c>
      <c r="B377" s="3" t="str">
        <f ca="1"/>
        <v>CZECH NEWS CENTER a. s.</v>
      </c>
      <c r="C377" s="3" t="str">
        <f ca="1">IFERROR(__xludf.DUMMYFUNCTION("""COMPUTED_VALUE"""),"CNC ženy pack")</f>
        <v>CNC ženy pack</v>
      </c>
      <c r="D377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77" s="3" t="str">
        <f ca="1">IFERROR(__xludf.DUMMYFUNCTION("""COMPUTED_VALUE"""),"celý web")</f>
        <v>celý web</v>
      </c>
      <c r="F377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77" s="3" t="str">
        <f ca="1">IFERROR(__xludf.DUMMYFUNCTION("""COMPUTED_VALUE"""),"cílený billboard bottom low season")</f>
        <v>cílený billboard bottom low season</v>
      </c>
      <c r="H377" s="3">
        <f ca="1">IFERROR(__xludf.DUMMYFUNCTION("""COMPUTED_VALUE"""),7)</f>
        <v>7</v>
      </c>
      <c r="I377" s="5">
        <f ca="1">IFERROR(__xludf.DUMMYFUNCTION("""COMPUTED_VALUE"""),1000)</f>
        <v>1000</v>
      </c>
      <c r="J377" s="5">
        <f ca="1">IFERROR(__xludf.DUMMYFUNCTION("""COMPUTED_VALUE"""),252)</f>
        <v>252</v>
      </c>
      <c r="K377" s="3"/>
      <c r="L377" s="3" t="str">
        <f ca="1">IFERROR(__xludf.DUMMYFUNCTION("""COMPUTED_VALUE"""),"Cost per period")</f>
        <v>Cost per period</v>
      </c>
      <c r="M377" s="3"/>
      <c r="N377" s="3"/>
      <c r="O377" s="3" t="str">
        <f ca="1">IFERROR(__xludf.DUMMYFUNCTION("""COMPUTED_VALUE"""),"970")</f>
        <v>970</v>
      </c>
      <c r="P377" s="3" t="str">
        <f ca="1">IFERROR(__xludf.DUMMYFUNCTION("""COMPUTED_VALUE"""),"250")</f>
        <v>250</v>
      </c>
      <c r="Q377" s="3" t="str">
        <f ca="1">IFERROR(__xludf.DUMMYFUNCTION("""COMPUTED_VALUE"""),"970x250")</f>
        <v>970x250</v>
      </c>
      <c r="R377" s="3"/>
      <c r="S377" s="3" t="str">
        <f ca="1">IFERROR(__xludf.DUMMYFUNCTION("""COMPUTED_VALUE"""),"100 (200 - HTML5)")</f>
        <v>100 (200 - HTML5)</v>
      </c>
      <c r="T377" s="3"/>
      <c r="U377" s="3" t="str">
        <f ca="1">IFERROR(__xludf.DUMMYFUNCTION("""COMPUTED_VALUE"""),"banner standard")</f>
        <v>banner standard</v>
      </c>
      <c r="V377" s="3"/>
      <c r="W377" s="4" t="str">
        <f ca="1">IFERROR(__xludf.DUMMYFUNCTION("""COMPUTED_VALUE"""),"https://reklama.cncenter.cz/Online/billboard-bottom")</f>
        <v>https://reklama.cncenter.cz/Online/billboard-bottom</v>
      </c>
      <c r="X377" s="3"/>
      <c r="Y377" s="3"/>
      <c r="Z377" s="3" t="str">
        <f ca="1">IFERROR(__xludf.DUMMYFUNCTION("""COMPUTED_VALUE"""),"podklady@cncenter.cz")</f>
        <v>podklady@cncenter.cz</v>
      </c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 t="str">
        <f ca="1">IFERROR(__xludf.DUMMYFUNCTION("""COMPUTED_VALUE"""),"desktop")</f>
        <v>desktop</v>
      </c>
      <c r="AO377" s="3"/>
      <c r="AP377" s="3"/>
      <c r="AQ377" s="3"/>
      <c r="AR377" s="3"/>
      <c r="AS377" s="3"/>
      <c r="AT377" s="3"/>
      <c r="AU377" s="3" t="str">
        <f ca="1">IFERROR(__xludf.DUMMYFUNCTION("""COMPUTED_VALUE"""),"cílený billboard bottom")</f>
        <v>cílený billboard bottom</v>
      </c>
    </row>
    <row r="378" spans="1:47" x14ac:dyDescent="0.3">
      <c r="A378" s="3">
        <f ca="1"/>
        <v>2346826</v>
      </c>
      <c r="B378" s="3" t="str">
        <f ca="1"/>
        <v>CZECH NEWS CENTER a. s.</v>
      </c>
      <c r="C378" s="3" t="str">
        <f ca="1">IFERROR(__xludf.DUMMYFUNCTION("""COMPUTED_VALUE"""),"CNC ženy pack")</f>
        <v>CNC ženy pack</v>
      </c>
      <c r="D378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78" s="3" t="str">
        <f ca="1">IFERROR(__xludf.DUMMYFUNCTION("""COMPUTED_VALUE"""),"celý web")</f>
        <v>celý web</v>
      </c>
      <c r="F378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78" s="3" t="str">
        <f ca="1">IFERROR(__xludf.DUMMYFUNCTION("""COMPUTED_VALUE"""),"cílený branding cross-device low season")</f>
        <v>cílený branding cross-device low season</v>
      </c>
      <c r="H378" s="3">
        <f ca="1">IFERROR(__xludf.DUMMYFUNCTION("""COMPUTED_VALUE"""),7)</f>
        <v>7</v>
      </c>
      <c r="I378" s="5">
        <f ca="1">IFERROR(__xludf.DUMMYFUNCTION("""COMPUTED_VALUE"""),1000)</f>
        <v>1000</v>
      </c>
      <c r="J378" s="5">
        <f ca="1">IFERROR(__xludf.DUMMYFUNCTION("""COMPUTED_VALUE"""),324)</f>
        <v>324</v>
      </c>
      <c r="K378" s="3"/>
      <c r="L378" s="3" t="str">
        <f ca="1">IFERROR(__xludf.DUMMYFUNCTION("""COMPUTED_VALUE"""),"Cost per period")</f>
        <v>Cost per period</v>
      </c>
      <c r="M378" s="3"/>
      <c r="N378" s="3"/>
      <c r="O378" s="3" t="str">
        <f ca="1">IFERROR(__xludf.DUMMYFUNCTION("""COMPUTED_VALUE"""),"2000")</f>
        <v>2000</v>
      </c>
      <c r="P378" s="3" t="str">
        <f ca="1">IFERROR(__xludf.DUMMYFUNCTION("""COMPUTED_VALUE"""),"1400")</f>
        <v>1400</v>
      </c>
      <c r="Q378" s="3" t="str">
        <f ca="1">IFERROR(__xludf.DUMMYFUNCTION("""COMPUTED_VALUE"""),"2000x1400 + 600x1080")</f>
        <v>2000x1400 + 600x1080</v>
      </c>
      <c r="R378" s="3"/>
      <c r="S378" s="3" t="str">
        <f ca="1">IFERROR(__xludf.DUMMYFUNCTION("""COMPUTED_VALUE"""),"500 (600 - HTLM5)")</f>
        <v>500 (600 - HTLM5)</v>
      </c>
      <c r="T378" s="3"/>
      <c r="U378" s="3" t="str">
        <f ca="1">IFERROR(__xludf.DUMMYFUNCTION("""COMPUTED_VALUE"""),"banner standard")</f>
        <v>banner standard</v>
      </c>
      <c r="V378" s="3"/>
      <c r="W378" s="4" t="str">
        <f ca="1">IFERROR(__xludf.DUMMYFUNCTION("""COMPUTED_VALUE"""),"https://reklama.cncenter.cz/Online/branding-cross-device")</f>
        <v>https://reklama.cncenter.cz/Online/branding-cross-device</v>
      </c>
      <c r="X378" s="3"/>
      <c r="Y378" s="3"/>
      <c r="Z378" s="3" t="str">
        <f ca="1">IFERROR(__xludf.DUMMYFUNCTION("""COMPUTED_VALUE"""),"podklady@cncenter.cz")</f>
        <v>podklady@cncenter.cz</v>
      </c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 t="str">
        <f ca="1">IFERROR(__xludf.DUMMYFUNCTION("""COMPUTED_VALUE"""),"cross-device")</f>
        <v>cross-device</v>
      </c>
      <c r="AO378" s="3"/>
      <c r="AP378" s="3"/>
      <c r="AQ378" s="3"/>
      <c r="AR378" s="3"/>
      <c r="AS378" s="3"/>
      <c r="AT378" s="3"/>
      <c r="AU378" s="3" t="str">
        <f ca="1">IFERROR(__xludf.DUMMYFUNCTION("""COMPUTED_VALUE"""),"cílený branding cross-device")</f>
        <v>cílený branding cross-device</v>
      </c>
    </row>
    <row r="379" spans="1:47" x14ac:dyDescent="0.3">
      <c r="A379" s="3">
        <f ca="1"/>
        <v>2346826</v>
      </c>
      <c r="B379" s="3" t="str">
        <f ca="1"/>
        <v>CZECH NEWS CENTER a. s.</v>
      </c>
      <c r="C379" s="3" t="str">
        <f ca="1">IFERROR(__xludf.DUMMYFUNCTION("""COMPUTED_VALUE"""),"CNC ženy pack")</f>
        <v>CNC ženy pack</v>
      </c>
      <c r="D379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79" s="3" t="str">
        <f ca="1">IFERROR(__xludf.DUMMYFUNCTION("""COMPUTED_VALUE"""),"celý web")</f>
        <v>celý web</v>
      </c>
      <c r="F379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79" s="3" t="str">
        <f ca="1">IFERROR(__xludf.DUMMYFUNCTION("""COMPUTED_VALUE"""),"cílený branding low season")</f>
        <v>cílený branding low season</v>
      </c>
      <c r="H379" s="3">
        <f ca="1">IFERROR(__xludf.DUMMYFUNCTION("""COMPUTED_VALUE"""),7)</f>
        <v>7</v>
      </c>
      <c r="I379" s="5">
        <f ca="1">IFERROR(__xludf.DUMMYFUNCTION("""COMPUTED_VALUE"""),1000)</f>
        <v>1000</v>
      </c>
      <c r="J379" s="5">
        <f ca="1">IFERROR(__xludf.DUMMYFUNCTION("""COMPUTED_VALUE"""),480)</f>
        <v>480</v>
      </c>
      <c r="K379" s="3"/>
      <c r="L379" s="3" t="str">
        <f ca="1">IFERROR(__xludf.DUMMYFUNCTION("""COMPUTED_VALUE"""),"Cost per period")</f>
        <v>Cost per period</v>
      </c>
      <c r="M379" s="3"/>
      <c r="N379" s="3"/>
      <c r="O379" s="3" t="str">
        <f ca="1">IFERROR(__xludf.DUMMYFUNCTION("""COMPUTED_VALUE"""),"2000")</f>
        <v>2000</v>
      </c>
      <c r="P379" s="3" t="str">
        <f ca="1">IFERROR(__xludf.DUMMYFUNCTION("""COMPUTED_VALUE"""),"1400")</f>
        <v>1400</v>
      </c>
      <c r="Q379" s="3" t="str">
        <f ca="1">IFERROR(__xludf.DUMMYFUNCTION("""COMPUTED_VALUE"""),"2000x1400")</f>
        <v>2000x1400</v>
      </c>
      <c r="R379" s="3"/>
      <c r="S379" s="3" t="str">
        <f ca="1">IFERROR(__xludf.DUMMYFUNCTION("""COMPUTED_VALUE"""),"500 + 200 (600+200 HTML5)")</f>
        <v>500 + 200 (600+200 HTML5)</v>
      </c>
      <c r="T379" s="3"/>
      <c r="U379" s="3" t="str">
        <f ca="1">IFERROR(__xludf.DUMMYFUNCTION("""COMPUTED_VALUE"""),"banner standard")</f>
        <v>banner standard</v>
      </c>
      <c r="V379" s="3"/>
      <c r="W379" s="4" t="str">
        <f ca="1">IFERROR(__xludf.DUMMYFUNCTION("""COMPUTED_VALUE"""),"https://reklama.cncenter.cz/Online/branding")</f>
        <v>https://reklama.cncenter.cz/Online/branding</v>
      </c>
      <c r="X379" s="3"/>
      <c r="Y379" s="3"/>
      <c r="Z379" s="3" t="str">
        <f ca="1">IFERROR(__xludf.DUMMYFUNCTION("""COMPUTED_VALUE"""),"podklady@cncenter.cz")</f>
        <v>podklady@cncenter.cz</v>
      </c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 t="str">
        <f ca="1">IFERROR(__xludf.DUMMYFUNCTION("""COMPUTED_VALUE"""),"desktop")</f>
        <v>desktop</v>
      </c>
      <c r="AO379" s="3"/>
      <c r="AP379" s="3"/>
      <c r="AQ379" s="3"/>
      <c r="AR379" s="3"/>
      <c r="AS379" s="3"/>
      <c r="AT379" s="3"/>
      <c r="AU379" s="3" t="str">
        <f ca="1">IFERROR(__xludf.DUMMYFUNCTION("""COMPUTED_VALUE"""),"cílený branding")</f>
        <v>cílený branding</v>
      </c>
    </row>
    <row r="380" spans="1:47" x14ac:dyDescent="0.3">
      <c r="A380" s="3">
        <f ca="1"/>
        <v>2346826</v>
      </c>
      <c r="B380" s="3" t="str">
        <f ca="1"/>
        <v>CZECH NEWS CENTER a. s.</v>
      </c>
      <c r="C380" s="3" t="str">
        <f ca="1">IFERROR(__xludf.DUMMYFUNCTION("""COMPUTED_VALUE"""),"CNC ženy pack")</f>
        <v>CNC ženy pack</v>
      </c>
      <c r="D380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0" s="3" t="str">
        <f ca="1">IFERROR(__xludf.DUMMYFUNCTION("""COMPUTED_VALUE"""),"celý web")</f>
        <v>celý web</v>
      </c>
      <c r="F380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0" s="3" t="str">
        <f ca="1">IFERROR(__xludf.DUMMYFUNCTION("""COMPUTED_VALUE"""),"cílený double skyscraper low season")</f>
        <v>cílený double skyscraper low season</v>
      </c>
      <c r="H380" s="3">
        <f ca="1">IFERROR(__xludf.DUMMYFUNCTION("""COMPUTED_VALUE"""),7)</f>
        <v>7</v>
      </c>
      <c r="I380" s="5">
        <f ca="1">IFERROR(__xludf.DUMMYFUNCTION("""COMPUTED_VALUE"""),1000)</f>
        <v>1000</v>
      </c>
      <c r="J380" s="5">
        <f ca="1">IFERROR(__xludf.DUMMYFUNCTION("""COMPUTED_VALUE"""),180)</f>
        <v>180</v>
      </c>
      <c r="K380" s="3"/>
      <c r="L380" s="3" t="str">
        <f ca="1">IFERROR(__xludf.DUMMYFUNCTION("""COMPUTED_VALUE"""),"Cost per period")</f>
        <v>Cost per period</v>
      </c>
      <c r="M380" s="3"/>
      <c r="N380" s="3"/>
      <c r="O380" s="3" t="str">
        <f ca="1">IFERROR(__xludf.DUMMYFUNCTION("""COMPUTED_VALUE"""),"300")</f>
        <v>300</v>
      </c>
      <c r="P380" s="3" t="str">
        <f ca="1">IFERROR(__xludf.DUMMYFUNCTION("""COMPUTED_VALUE"""),"600")</f>
        <v>600</v>
      </c>
      <c r="Q380" s="3" t="str">
        <f ca="1">IFERROR(__xludf.DUMMYFUNCTION("""COMPUTED_VALUE"""),"300x600")</f>
        <v>300x600</v>
      </c>
      <c r="R380" s="3"/>
      <c r="S380" s="3" t="str">
        <f ca="1">IFERROR(__xludf.DUMMYFUNCTION("""COMPUTED_VALUE"""),"100 (200 - HTML5)")</f>
        <v>100 (200 - HTML5)</v>
      </c>
      <c r="T380" s="3"/>
      <c r="U380" s="3" t="str">
        <f ca="1">IFERROR(__xludf.DUMMYFUNCTION("""COMPUTED_VALUE"""),"banner standard")</f>
        <v>banner standard</v>
      </c>
      <c r="V380" s="3"/>
      <c r="W380" s="4" t="str">
        <f ca="1">IFERROR(__xludf.DUMMYFUNCTION("""COMPUTED_VALUE"""),"https://reklama.cncenter.cz/Online/double-skyscraper")</f>
        <v>https://reklama.cncenter.cz/Online/double-skyscraper</v>
      </c>
      <c r="X380" s="3"/>
      <c r="Y380" s="3"/>
      <c r="Z380" s="3" t="str">
        <f ca="1">IFERROR(__xludf.DUMMYFUNCTION("""COMPUTED_VALUE"""),"podklady@cncenter.cz")</f>
        <v>podklady@cncenter.cz</v>
      </c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 t="str">
        <f ca="1">IFERROR(__xludf.DUMMYFUNCTION("""COMPUTED_VALUE"""),"desktop")</f>
        <v>desktop</v>
      </c>
      <c r="AO380" s="3"/>
      <c r="AP380" s="3"/>
      <c r="AQ380" s="3"/>
      <c r="AR380" s="3"/>
      <c r="AS380" s="3"/>
      <c r="AT380" s="3"/>
      <c r="AU380" s="3" t="str">
        <f ca="1">IFERROR(__xludf.DUMMYFUNCTION("""COMPUTED_VALUE"""),"cílený double skyscraper")</f>
        <v>cílený double skyscraper</v>
      </c>
    </row>
    <row r="381" spans="1:47" x14ac:dyDescent="0.3">
      <c r="A381" s="3">
        <f ca="1"/>
        <v>2346826</v>
      </c>
      <c r="B381" s="3" t="str">
        <f ca="1"/>
        <v>CZECH NEWS CENTER a. s.</v>
      </c>
      <c r="C381" s="3" t="str">
        <f ca="1">IFERROR(__xludf.DUMMYFUNCTION("""COMPUTED_VALUE"""),"CNC ženy pack")</f>
        <v>CNC ženy pack</v>
      </c>
      <c r="D381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1" s="3" t="str">
        <f ca="1">IFERROR(__xludf.DUMMYFUNCTION("""COMPUTED_VALUE"""),"celý web")</f>
        <v>celý web</v>
      </c>
      <c r="F381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1" s="3" t="str">
        <f ca="1">IFERROR(__xludf.DUMMYFUNCTION("""COMPUTED_VALUE"""),"cílený mini videospot - max. 30 sec. low season")</f>
        <v>cílený mini videospot - max. 30 sec. low season</v>
      </c>
      <c r="H381" s="3">
        <f ca="1">IFERROR(__xludf.DUMMYFUNCTION("""COMPUTED_VALUE"""),7)</f>
        <v>7</v>
      </c>
      <c r="I381" s="5">
        <f ca="1">IFERROR(__xludf.DUMMYFUNCTION("""COMPUTED_VALUE"""),1000)</f>
        <v>1000</v>
      </c>
      <c r="J381" s="5">
        <f ca="1">IFERROR(__xludf.DUMMYFUNCTION("""COMPUTED_VALUE"""),180)</f>
        <v>180</v>
      </c>
      <c r="K381" s="3"/>
      <c r="L381" s="3" t="str">
        <f ca="1">IFERROR(__xludf.DUMMYFUNCTION("""COMPUTED_VALUE"""),"Cost per period")</f>
        <v>Cost per period</v>
      </c>
      <c r="M381" s="3"/>
      <c r="N381" s="3"/>
      <c r="O381" s="3"/>
      <c r="P381" s="3"/>
      <c r="Q381" s="3" t="str">
        <f ca="1">IFERROR(__xludf.DUMMYFUNCTION("""COMPUTED_VALUE"""),"16:9 / umístění po domluvě dle možností")</f>
        <v>16:9 / umístění po domluvě dle možností</v>
      </c>
      <c r="R381" s="3" t="str">
        <f ca="1">IFERROR(__xludf.DUMMYFUNCTION("""COMPUTED_VALUE"""),"přeskočení po 7 sekundách")</f>
        <v>přeskočení po 7 sekundách</v>
      </c>
      <c r="S381" s="3" t="str">
        <f ca="1">IFERROR(__xludf.DUMMYFUNCTION("""COMPUTED_VALUE"""),"100")</f>
        <v>100</v>
      </c>
      <c r="T381" s="3"/>
      <c r="U381" s="3" t="str">
        <f ca="1">IFERROR(__xludf.DUMMYFUNCTION("""COMPUTED_VALUE"""),"videospot")</f>
        <v>videospot</v>
      </c>
      <c r="V381" s="3"/>
      <c r="W381" s="4" t="str">
        <f ca="1">IFERROR(__xludf.DUMMYFUNCTION("""COMPUTED_VALUE"""),"https://reklama.cncenter.cz/Online/Videospot")</f>
        <v>https://reklama.cncenter.cz/Online/Videospot</v>
      </c>
      <c r="X381" s="3"/>
      <c r="Y381" s="3"/>
      <c r="Z381" s="3" t="str">
        <f ca="1">IFERROR(__xludf.DUMMYFUNCTION("""COMPUTED_VALUE"""),"podklady@cncenter.cz")</f>
        <v>podklady@cncenter.cz</v>
      </c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 t="str">
        <f ca="1">IFERROR(__xludf.DUMMYFUNCTION("""COMPUTED_VALUE"""),"desktop")</f>
        <v>desktop</v>
      </c>
      <c r="AO381" s="3"/>
      <c r="AP381" s="3"/>
      <c r="AQ381" s="3"/>
      <c r="AR381" s="3"/>
      <c r="AS381" s="3"/>
      <c r="AT381" s="3"/>
      <c r="AU381" s="3" t="str">
        <f ca="1">IFERROR(__xludf.DUMMYFUNCTION("""COMPUTED_VALUE"""),"cílený mini videospot - max. 30 sec.")</f>
        <v>cílený mini videospot - max. 30 sec.</v>
      </c>
    </row>
    <row r="382" spans="1:47" x14ac:dyDescent="0.3">
      <c r="A382" s="3">
        <f ca="1"/>
        <v>2346826</v>
      </c>
      <c r="B382" s="3" t="str">
        <f ca="1"/>
        <v>CZECH NEWS CENTER a. s.</v>
      </c>
      <c r="C382" s="3" t="str">
        <f ca="1">IFERROR(__xludf.DUMMYFUNCTION("""COMPUTED_VALUE"""),"CNC ženy pack")</f>
        <v>CNC ženy pack</v>
      </c>
      <c r="D382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2" s="3" t="str">
        <f ca="1">IFERROR(__xludf.DUMMYFUNCTION("""COMPUTED_VALUE"""),"celý web")</f>
        <v>celý web</v>
      </c>
      <c r="F382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2" s="3" t="str">
        <f ca="1">IFERROR(__xludf.DUMMYFUNCTION("""COMPUTED_VALUE"""),"cílený mobilní interscroller low season")</f>
        <v>cílený mobilní interscroller low season</v>
      </c>
      <c r="H382" s="3">
        <f ca="1">IFERROR(__xludf.DUMMYFUNCTION("""COMPUTED_VALUE"""),7)</f>
        <v>7</v>
      </c>
      <c r="I382" s="5">
        <f ca="1">IFERROR(__xludf.DUMMYFUNCTION("""COMPUTED_VALUE"""),1000)</f>
        <v>1000</v>
      </c>
      <c r="J382" s="5">
        <f ca="1">IFERROR(__xludf.DUMMYFUNCTION("""COMPUTED_VALUE"""),240)</f>
        <v>240</v>
      </c>
      <c r="K382" s="3"/>
      <c r="L382" s="3" t="str">
        <f ca="1">IFERROR(__xludf.DUMMYFUNCTION("""COMPUTED_VALUE"""),"Cost per period")</f>
        <v>Cost per period</v>
      </c>
      <c r="M382" s="3"/>
      <c r="N382" s="3"/>
      <c r="O382" s="3" t="str">
        <f ca="1">IFERROR(__xludf.DUMMYFUNCTION("""COMPUTED_VALUE"""),"600")</f>
        <v>600</v>
      </c>
      <c r="P382" s="3" t="str">
        <f ca="1">IFERROR(__xludf.DUMMYFUNCTION("""COMPUTED_VALUE"""),"1080")</f>
        <v>1080</v>
      </c>
      <c r="Q382" s="3" t="str">
        <f ca="1">IFERROR(__xludf.DUMMYFUNCTION("""COMPUTED_VALUE"""),"600x1080")</f>
        <v>600x1080</v>
      </c>
      <c r="R382" s="3"/>
      <c r="S382" s="3" t="str">
        <f ca="1">IFERROR(__xludf.DUMMYFUNCTION("""COMPUTED_VALUE"""),"200")</f>
        <v>200</v>
      </c>
      <c r="T382" s="3"/>
      <c r="U382" s="3" t="str">
        <f ca="1">IFERROR(__xludf.DUMMYFUNCTION("""COMPUTED_VALUE"""),"banner standard")</f>
        <v>banner standard</v>
      </c>
      <c r="V382" s="3"/>
      <c r="W382" s="4" t="str">
        <f ca="1">IFERROR(__xludf.DUMMYFUNCTION("""COMPUTED_VALUE"""),"https://reklama.cncenter.cz/Online/mobilni-interscroller")</f>
        <v>https://reklama.cncenter.cz/Online/mobilni-interscroller</v>
      </c>
      <c r="X382" s="3"/>
      <c r="Y382" s="3"/>
      <c r="Z382" s="3" t="str">
        <f ca="1">IFERROR(__xludf.DUMMYFUNCTION("""COMPUTED_VALUE"""),"podklady@cncenter.cz")</f>
        <v>podklady@cncenter.cz</v>
      </c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 t="str">
        <f ca="1">IFERROR(__xludf.DUMMYFUNCTION("""COMPUTED_VALUE"""),"mobile")</f>
        <v>mobile</v>
      </c>
      <c r="AO382" s="3"/>
      <c r="AP382" s="3"/>
      <c r="AQ382" s="3"/>
      <c r="AR382" s="3"/>
      <c r="AS382" s="3"/>
      <c r="AT382" s="3"/>
      <c r="AU382" s="3" t="str">
        <f ca="1">IFERROR(__xludf.DUMMYFUNCTION("""COMPUTED_VALUE"""),"cílený mobilní interscroller")</f>
        <v>cílený mobilní interscroller</v>
      </c>
    </row>
    <row r="383" spans="1:47" x14ac:dyDescent="0.3">
      <c r="A383" s="3">
        <f ca="1"/>
        <v>2346826</v>
      </c>
      <c r="B383" s="3" t="str">
        <f ca="1"/>
        <v>CZECH NEWS CENTER a. s.</v>
      </c>
      <c r="C383" s="3" t="str">
        <f ca="1">IFERROR(__xludf.DUMMYFUNCTION("""COMPUTED_VALUE"""),"CNC ženy pack")</f>
        <v>CNC ženy pack</v>
      </c>
      <c r="D383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3" s="3" t="str">
        <f ca="1">IFERROR(__xludf.DUMMYFUNCTION("""COMPUTED_VALUE"""),"celý web")</f>
        <v>celý web</v>
      </c>
      <c r="F383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3" s="3" t="str">
        <f ca="1">IFERROR(__xludf.DUMMYFUNCTION("""COMPUTED_VALUE"""),"cílený mobilní slide-up low season")</f>
        <v>cílený mobilní slide-up low season</v>
      </c>
      <c r="H383" s="3">
        <f ca="1">IFERROR(__xludf.DUMMYFUNCTION("""COMPUTED_VALUE"""),7)</f>
        <v>7</v>
      </c>
      <c r="I383" s="5">
        <f ca="1">IFERROR(__xludf.DUMMYFUNCTION("""COMPUTED_VALUE"""),1000)</f>
        <v>1000</v>
      </c>
      <c r="J383" s="5">
        <f ca="1">IFERROR(__xludf.DUMMYFUNCTION("""COMPUTED_VALUE"""),480)</f>
        <v>480</v>
      </c>
      <c r="K383" s="3"/>
      <c r="L383" s="3" t="str">
        <f ca="1">IFERROR(__xludf.DUMMYFUNCTION("""COMPUTED_VALUE"""),"Cost per period")</f>
        <v>Cost per period</v>
      </c>
      <c r="M383" s="3"/>
      <c r="N383" s="3"/>
      <c r="O383" s="3" t="str">
        <f ca="1">IFERROR(__xludf.DUMMYFUNCTION("""COMPUTED_VALUE"""),"300")</f>
        <v>300</v>
      </c>
      <c r="P383" s="3" t="str">
        <f ca="1">IFERROR(__xludf.DUMMYFUNCTION("""COMPUTED_VALUE"""),"120")</f>
        <v>120</v>
      </c>
      <c r="Q383" s="3" t="str">
        <f ca="1">IFERROR(__xludf.DUMMYFUNCTION("""COMPUTED_VALUE"""),"300x120")</f>
        <v>300x120</v>
      </c>
      <c r="R383" s="3"/>
      <c r="S383" s="3" t="str">
        <f ca="1">IFERROR(__xludf.DUMMYFUNCTION("""COMPUTED_VALUE"""),"100")</f>
        <v>100</v>
      </c>
      <c r="T383" s="3"/>
      <c r="U383" s="3" t="str">
        <f ca="1">IFERROR(__xludf.DUMMYFUNCTION("""COMPUTED_VALUE"""),"banner standard")</f>
        <v>banner standard</v>
      </c>
      <c r="V383" s="3"/>
      <c r="W383" s="4" t="str">
        <f ca="1">IFERROR(__xludf.DUMMYFUNCTION("""COMPUTED_VALUE"""),"https://reklama.cncenter.cz/Online/mobilni-slide-up")</f>
        <v>https://reklama.cncenter.cz/Online/mobilni-slide-up</v>
      </c>
      <c r="X383" s="3"/>
      <c r="Y383" s="3"/>
      <c r="Z383" s="3" t="str">
        <f ca="1">IFERROR(__xludf.DUMMYFUNCTION("""COMPUTED_VALUE"""),"podklady@cncenter.cz")</f>
        <v>podklady@cncenter.cz</v>
      </c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 t="str">
        <f ca="1">IFERROR(__xludf.DUMMYFUNCTION("""COMPUTED_VALUE"""),"mobile")</f>
        <v>mobile</v>
      </c>
      <c r="AO383" s="3"/>
      <c r="AP383" s="3"/>
      <c r="AQ383" s="3"/>
      <c r="AR383" s="3"/>
      <c r="AS383" s="3"/>
      <c r="AT383" s="3"/>
      <c r="AU383" s="3" t="str">
        <f ca="1">IFERROR(__xludf.DUMMYFUNCTION("""COMPUTED_VALUE"""),"cílený mobilní slide-up")</f>
        <v>cílený mobilní slide-up</v>
      </c>
    </row>
    <row r="384" spans="1:47" x14ac:dyDescent="0.3">
      <c r="A384" s="3">
        <f ca="1"/>
        <v>2346826</v>
      </c>
      <c r="B384" s="3" t="str">
        <f ca="1"/>
        <v>CZECH NEWS CENTER a. s.</v>
      </c>
      <c r="C384" s="3" t="str">
        <f ca="1">IFERROR(__xludf.DUMMYFUNCTION("""COMPUTED_VALUE"""),"CNC ženy pack")</f>
        <v>CNC ženy pack</v>
      </c>
      <c r="D384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4" s="3" t="str">
        <f ca="1">IFERROR(__xludf.DUMMYFUNCTION("""COMPUTED_VALUE"""),"celý web")</f>
        <v>celý web</v>
      </c>
      <c r="F384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4" s="3" t="str">
        <f ca="1">IFERROR(__xludf.DUMMYFUNCTION("""COMPUTED_VALUE"""),"cílený mobilní viněta low season")</f>
        <v>cílený mobilní viněta low season</v>
      </c>
      <c r="H384" s="3">
        <f ca="1">IFERROR(__xludf.DUMMYFUNCTION("""COMPUTED_VALUE"""),7)</f>
        <v>7</v>
      </c>
      <c r="I384" s="5">
        <f ca="1">IFERROR(__xludf.DUMMYFUNCTION("""COMPUTED_VALUE"""),1000)</f>
        <v>1000</v>
      </c>
      <c r="J384" s="5">
        <f ca="1">IFERROR(__xludf.DUMMYFUNCTION("""COMPUTED_VALUE"""),672)</f>
        <v>672</v>
      </c>
      <c r="K384" s="3"/>
      <c r="L384" s="3" t="str">
        <f ca="1">IFERROR(__xludf.DUMMYFUNCTION("""COMPUTED_VALUE"""),"Cost per period")</f>
        <v>Cost per period</v>
      </c>
      <c r="M384" s="3"/>
      <c r="N384" s="3"/>
      <c r="O384" s="3" t="str">
        <f ca="1">IFERROR(__xludf.DUMMYFUNCTION("""COMPUTED_VALUE"""),"600")</f>
        <v>600</v>
      </c>
      <c r="P384" s="3" t="str">
        <f ca="1">IFERROR(__xludf.DUMMYFUNCTION("""COMPUTED_VALUE"""),"800")</f>
        <v>800</v>
      </c>
      <c r="Q384" s="3" t="str">
        <f ca="1">IFERROR(__xludf.DUMMYFUNCTION("""COMPUTED_VALUE"""),"300x250 nebo 600x800")</f>
        <v>300x250 nebo 600x800</v>
      </c>
      <c r="R384" s="3"/>
      <c r="S384" s="3" t="str">
        <f ca="1">IFERROR(__xludf.DUMMYFUNCTION("""COMPUTED_VALUE"""),"100")</f>
        <v>100</v>
      </c>
      <c r="T384" s="3"/>
      <c r="U384" s="3" t="str">
        <f ca="1">IFERROR(__xludf.DUMMYFUNCTION("""COMPUTED_VALUE"""),"banner standard")</f>
        <v>banner standard</v>
      </c>
      <c r="V384" s="3"/>
      <c r="W384" s="4" t="str">
        <f ca="1">IFERROR(__xludf.DUMMYFUNCTION("""COMPUTED_VALUE"""),"https://reklama.cncenter.cz/Online/mobilni-vineta")</f>
        <v>https://reklama.cncenter.cz/Online/mobilni-vineta</v>
      </c>
      <c r="X384" s="3"/>
      <c r="Y384" s="3"/>
      <c r="Z384" s="3" t="str">
        <f ca="1">IFERROR(__xludf.DUMMYFUNCTION("""COMPUTED_VALUE"""),"podklady@cncenter.cz")</f>
        <v>podklady@cncenter.cz</v>
      </c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 t="str">
        <f ca="1">IFERROR(__xludf.DUMMYFUNCTION("""COMPUTED_VALUE"""),"mobile")</f>
        <v>mobile</v>
      </c>
      <c r="AO384" s="3"/>
      <c r="AP384" s="3"/>
      <c r="AQ384" s="3"/>
      <c r="AR384" s="3"/>
      <c r="AS384" s="3"/>
      <c r="AT384" s="3"/>
      <c r="AU384" s="3" t="str">
        <f ca="1">IFERROR(__xludf.DUMMYFUNCTION("""COMPUTED_VALUE"""),"cílený mobilní viněta")</f>
        <v>cílený mobilní viněta</v>
      </c>
    </row>
    <row r="385" spans="1:47" x14ac:dyDescent="0.3">
      <c r="A385" s="3">
        <f ca="1"/>
        <v>2346826</v>
      </c>
      <c r="B385" s="3" t="str">
        <f ca="1"/>
        <v>CZECH NEWS CENTER a. s.</v>
      </c>
      <c r="C385" s="3" t="str">
        <f ca="1">IFERROR(__xludf.DUMMYFUNCTION("""COMPUTED_VALUE"""),"CNC ženy pack")</f>
        <v>CNC ženy pack</v>
      </c>
      <c r="D385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5" s="3" t="str">
        <f ca="1">IFERROR(__xludf.DUMMYFUNCTION("""COMPUTED_VALUE"""),"celý web")</f>
        <v>celý web</v>
      </c>
      <c r="F385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5" s="3" t="str">
        <f ca="1">IFERROR(__xludf.DUMMYFUNCTION("""COMPUTED_VALUE"""),"cílený nativní rectangle cross-device low season")</f>
        <v>cílený nativní rectangle cross-device low season</v>
      </c>
      <c r="H385" s="3">
        <f ca="1">IFERROR(__xludf.DUMMYFUNCTION("""COMPUTED_VALUE"""),7)</f>
        <v>7</v>
      </c>
      <c r="I385" s="5">
        <f ca="1">IFERROR(__xludf.DUMMYFUNCTION("""COMPUTED_VALUE"""),1000)</f>
        <v>1000</v>
      </c>
      <c r="J385" s="5">
        <f ca="1">IFERROR(__xludf.DUMMYFUNCTION("""COMPUTED_VALUE"""),180)</f>
        <v>180</v>
      </c>
      <c r="K385" s="3"/>
      <c r="L385" s="3" t="str">
        <f ca="1">IFERROR(__xludf.DUMMYFUNCTION("""COMPUTED_VALUE"""),"Cost per period")</f>
        <v>Cost per period</v>
      </c>
      <c r="M385" s="3"/>
      <c r="N385" s="3"/>
      <c r="O385" s="3" t="str">
        <f ca="1">IFERROR(__xludf.DUMMYFUNCTION("""COMPUTED_VALUE"""),"640")</f>
        <v>640</v>
      </c>
      <c r="P385" s="3" t="str">
        <f ca="1">IFERROR(__xludf.DUMMYFUNCTION("""COMPUTED_VALUE"""),"335, 640")</f>
        <v>335, 640</v>
      </c>
      <c r="Q385" s="3" t="str">
        <f ca="1">IFERROR(__xludf.DUMMYFUNCTION("""COMPUTED_VALUE"""),"640x640 a 640x335 + text + logo")</f>
        <v>640x640 a 640x335 + text + logo</v>
      </c>
      <c r="R385" s="3"/>
      <c r="S385" s="3" t="str">
        <f ca="1">IFERROR(__xludf.DUMMYFUNCTION("""COMPUTED_VALUE"""),"45")</f>
        <v>45</v>
      </c>
      <c r="T385" s="3"/>
      <c r="U385" s="3" t="str">
        <f ca="1">IFERROR(__xludf.DUMMYFUNCTION("""COMPUTED_VALUE"""),"nativní reklama")</f>
        <v>nativní reklama</v>
      </c>
      <c r="V385" s="3"/>
      <c r="W385" s="4" t="str">
        <f ca="1">IFERROR(__xludf.DUMMYFUNCTION("""COMPUTED_VALUE"""),"https://reklama.cncenter.cz/Online/nativni-rectangle-cross-device")</f>
        <v>https://reklama.cncenter.cz/Online/nativni-rectangle-cross-device</v>
      </c>
      <c r="X385" s="3"/>
      <c r="Y385" s="3"/>
      <c r="Z385" s="3" t="str">
        <f ca="1">IFERROR(__xludf.DUMMYFUNCTION("""COMPUTED_VALUE"""),"podklady@cncenter.cz")</f>
        <v>podklady@cncenter.cz</v>
      </c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 t="str">
        <f ca="1">IFERROR(__xludf.DUMMYFUNCTION("""COMPUTED_VALUE"""),"cross-device")</f>
        <v>cross-device</v>
      </c>
      <c r="AO385" s="3"/>
      <c r="AP385" s="3"/>
      <c r="AQ385" s="3"/>
      <c r="AR385" s="3"/>
      <c r="AS385" s="3"/>
      <c r="AT385" s="3"/>
      <c r="AU385" s="3" t="str">
        <f ca="1">IFERROR(__xludf.DUMMYFUNCTION("""COMPUTED_VALUE"""),"cílený nativní rectangle cross-device")</f>
        <v>cílený nativní rectangle cross-device</v>
      </c>
    </row>
    <row r="386" spans="1:47" x14ac:dyDescent="0.3">
      <c r="A386" s="3">
        <f ca="1"/>
        <v>2346826</v>
      </c>
      <c r="B386" s="3" t="str">
        <f ca="1"/>
        <v>CZECH NEWS CENTER a. s.</v>
      </c>
      <c r="C386" s="3" t="str">
        <f ca="1">IFERROR(__xludf.DUMMYFUNCTION("""COMPUTED_VALUE"""),"CNC ženy pack")</f>
        <v>CNC ženy pack</v>
      </c>
      <c r="D386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6" s="3" t="str">
        <f ca="1">IFERROR(__xludf.DUMMYFUNCTION("""COMPUTED_VALUE"""),"celý web")</f>
        <v>celý web</v>
      </c>
      <c r="F386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6" s="3" t="str">
        <f ca="1">IFERROR(__xludf.DUMMYFUNCTION("""COMPUTED_VALUE"""),"cílený outstream low season")</f>
        <v>cílený outstream low season</v>
      </c>
      <c r="H386" s="3">
        <f ca="1">IFERROR(__xludf.DUMMYFUNCTION("""COMPUTED_VALUE"""),7)</f>
        <v>7</v>
      </c>
      <c r="I386" s="5">
        <f ca="1">IFERROR(__xludf.DUMMYFUNCTION("""COMPUTED_VALUE"""),1000)</f>
        <v>1000</v>
      </c>
      <c r="J386" s="5">
        <f ca="1">IFERROR(__xludf.DUMMYFUNCTION("""COMPUTED_VALUE"""),276)</f>
        <v>276</v>
      </c>
      <c r="K386" s="3"/>
      <c r="L386" s="3" t="str">
        <f ca="1">IFERROR(__xludf.DUMMYFUNCTION("""COMPUTED_VALUE"""),"Cost per period")</f>
        <v>Cost per period</v>
      </c>
      <c r="M386" s="3"/>
      <c r="N386" s="3"/>
      <c r="O386" s="3" t="str">
        <f ca="1">IFERROR(__xludf.DUMMYFUNCTION("""COMPUTED_VALUE"""),"1280")</f>
        <v>1280</v>
      </c>
      <c r="P386" s="3" t="str">
        <f ca="1">IFERROR(__xludf.DUMMYFUNCTION("""COMPUTED_VALUE"""),"720")</f>
        <v>720</v>
      </c>
      <c r="Q386" s="3" t="str">
        <f ca="1">IFERROR(__xludf.DUMMYFUNCTION("""COMPUTED_VALUE"""),"16:9")</f>
        <v>16:9</v>
      </c>
      <c r="R386" s="3"/>
      <c r="S386" s="3" t="str">
        <f ca="1">IFERROR(__xludf.DUMMYFUNCTION("""COMPUTED_VALUE"""),"100")</f>
        <v>100</v>
      </c>
      <c r="T386" s="3"/>
      <c r="U386" s="3" t="str">
        <f ca="1">IFERROR(__xludf.DUMMYFUNCTION("""COMPUTED_VALUE"""),"videospot")</f>
        <v>videospot</v>
      </c>
      <c r="V386" s="3"/>
      <c r="W386" s="4" t="str">
        <f ca="1">IFERROR(__xludf.DUMMYFUNCTION("""COMPUTED_VALUE"""),"https://reklama.cncenter.cz/Online/Outstream")</f>
        <v>https://reklama.cncenter.cz/Online/Outstream</v>
      </c>
      <c r="X386" s="3"/>
      <c r="Y386" s="3"/>
      <c r="Z386" s="3" t="str">
        <f ca="1">IFERROR(__xludf.DUMMYFUNCTION("""COMPUTED_VALUE"""),"podklady@cncenter.cz")</f>
        <v>podklady@cncenter.cz</v>
      </c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 t="str">
        <f ca="1">IFERROR(__xludf.DUMMYFUNCTION("""COMPUTED_VALUE"""),"cross-device")</f>
        <v>cross-device</v>
      </c>
      <c r="AO386" s="3"/>
      <c r="AP386" s="3"/>
      <c r="AQ386" s="3"/>
      <c r="AR386" s="3"/>
      <c r="AS386" s="3"/>
      <c r="AT386" s="3"/>
      <c r="AU386" s="3" t="str">
        <f ca="1">IFERROR(__xludf.DUMMYFUNCTION("""COMPUTED_VALUE"""),"cílený outstream")</f>
        <v>cílený outstream</v>
      </c>
    </row>
    <row r="387" spans="1:47" x14ac:dyDescent="0.3">
      <c r="A387" s="3">
        <f ca="1"/>
        <v>2346826</v>
      </c>
      <c r="B387" s="3" t="str">
        <f ca="1"/>
        <v>CZECH NEWS CENTER a. s.</v>
      </c>
      <c r="C387" s="3" t="str">
        <f ca="1">IFERROR(__xludf.DUMMYFUNCTION("""COMPUTED_VALUE"""),"CNC ženy pack")</f>
        <v>CNC ženy pack</v>
      </c>
      <c r="D387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7" s="3" t="str">
        <f ca="1">IFERROR(__xludf.DUMMYFUNCTION("""COMPUTED_VALUE"""),"celý web")</f>
        <v>celý web</v>
      </c>
      <c r="F387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7" s="3" t="str">
        <f ca="1">IFERROR(__xludf.DUMMYFUNCTION("""COMPUTED_VALUE"""),"cílený Smarticle low season")</f>
        <v>cílený Smarticle low season</v>
      </c>
      <c r="H387" s="3">
        <f ca="1">IFERROR(__xludf.DUMMYFUNCTION("""COMPUTED_VALUE"""),7)</f>
        <v>7</v>
      </c>
      <c r="I387" s="5">
        <f ca="1">IFERROR(__xludf.DUMMYFUNCTION("""COMPUTED_VALUE"""),1000)</f>
        <v>1000</v>
      </c>
      <c r="J387" s="5">
        <f ca="1">IFERROR(__xludf.DUMMYFUNCTION("""COMPUTED_VALUE"""),240)</f>
        <v>240</v>
      </c>
      <c r="K387" s="3"/>
      <c r="L387" s="3" t="str">
        <f ca="1">IFERROR(__xludf.DUMMYFUNCTION("""COMPUTED_VALUE"""),"Cost per period")</f>
        <v>Cost per period</v>
      </c>
      <c r="M387" s="3"/>
      <c r="N387" s="3" t="str">
        <f ca="1">IFERROR(__xludf.DUMMYFUNCTION("""COMPUTED_VALUE"""),"A4")</f>
        <v>A4</v>
      </c>
      <c r="O387" s="3"/>
      <c r="P387" s="3"/>
      <c r="Q387" s="3" t="str">
        <f ca="1">IFERROR(__xludf.DUMMYFUNCTION("""COMPUTED_VALUE"""),"viz. tech.specifikace; HP + sekce")</f>
        <v>viz. tech.specifikace; HP + sekce</v>
      </c>
      <c r="R387" s="3" t="str">
        <f ca="1">IFERROR(__xludf.DUMMYFUNCTION("""COMPUTED_VALUE"""),"HP + sekce")</f>
        <v>HP + sekce</v>
      </c>
      <c r="S387" s="3" t="str">
        <f ca="1">IFERROR(__xludf.DUMMYFUNCTION("""COMPUTED_VALUE"""),"100")</f>
        <v>100</v>
      </c>
      <c r="T387" s="3"/>
      <c r="U387" s="3" t="str">
        <f ca="1">IFERROR(__xludf.DUMMYFUNCTION("""COMPUTED_VALUE"""),"pr článek")</f>
        <v>pr článek</v>
      </c>
      <c r="V387" s="3"/>
      <c r="W387" s="4" t="str">
        <f ca="1">IFERROR(__xludf.DUMMYFUNCTION("""COMPUTED_VALUE"""),"https://reklama.cncenter.cz/Online/Smarticle")</f>
        <v>https://reklama.cncenter.cz/Online/Smarticle</v>
      </c>
      <c r="X387" s="3"/>
      <c r="Y387" s="3"/>
      <c r="Z387" s="3" t="str">
        <f ca="1">IFERROR(__xludf.DUMMYFUNCTION("""COMPUTED_VALUE"""),"podklady@cncenter.cz")</f>
        <v>podklady@cncenter.cz</v>
      </c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 t="str">
        <f ca="1">IFERROR(__xludf.DUMMYFUNCTION("""COMPUTED_VALUE"""),"cross-device")</f>
        <v>cross-device</v>
      </c>
      <c r="AO387" s="3"/>
      <c r="AP387" s="3"/>
      <c r="AQ387" s="3"/>
      <c r="AR387" s="3"/>
      <c r="AS387" s="3"/>
      <c r="AT387" s="3"/>
      <c r="AU387" s="3" t="str">
        <f ca="1">IFERROR(__xludf.DUMMYFUNCTION("""COMPUTED_VALUE"""),"cílený Smarticle")</f>
        <v>cílený Smarticle</v>
      </c>
    </row>
    <row r="388" spans="1:47" x14ac:dyDescent="0.3">
      <c r="A388" s="3">
        <f ca="1"/>
        <v>2346826</v>
      </c>
      <c r="B388" s="3" t="str">
        <f ca="1"/>
        <v>CZECH NEWS CENTER a. s.</v>
      </c>
      <c r="C388" s="3" t="str">
        <f ca="1">IFERROR(__xludf.DUMMYFUNCTION("""COMPUTED_VALUE"""),"CNC ženy pack")</f>
        <v>CNC ženy pack</v>
      </c>
      <c r="D388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8" s="3" t="str">
        <f ca="1">IFERROR(__xludf.DUMMYFUNCTION("""COMPUTED_VALUE"""),"celý web")</f>
        <v>celý web</v>
      </c>
      <c r="F388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8" s="3" t="str">
        <f ca="1">IFERROR(__xludf.DUMMYFUNCTION("""COMPUTED_VALUE"""),"cílený videospot - max. 30 sec. / bumper low season")</f>
        <v>cílený videospot - max. 30 sec. / bumper low season</v>
      </c>
      <c r="H388" s="3">
        <f ca="1">IFERROR(__xludf.DUMMYFUNCTION("""COMPUTED_VALUE"""),7)</f>
        <v>7</v>
      </c>
      <c r="I388" s="5">
        <f ca="1">IFERROR(__xludf.DUMMYFUNCTION("""COMPUTED_VALUE"""),1000)</f>
        <v>1000</v>
      </c>
      <c r="J388" s="5">
        <f ca="1">IFERROR(__xludf.DUMMYFUNCTION("""COMPUTED_VALUE"""),816)</f>
        <v>816</v>
      </c>
      <c r="K388" s="3"/>
      <c r="L388" s="3" t="str">
        <f ca="1">IFERROR(__xludf.DUMMYFUNCTION("""COMPUTED_VALUE"""),"Cost per period")</f>
        <v>Cost per period</v>
      </c>
      <c r="M388" s="3"/>
      <c r="N388" s="3"/>
      <c r="O388" s="3" t="str">
        <f ca="1">IFERROR(__xludf.DUMMYFUNCTION("""COMPUTED_VALUE"""),"1280")</f>
        <v>1280</v>
      </c>
      <c r="P388" s="3" t="str">
        <f ca="1">IFERROR(__xludf.DUMMYFUNCTION("""COMPUTED_VALUE"""),"720")</f>
        <v>720</v>
      </c>
      <c r="Q388" s="3" t="str">
        <f ca="1">IFERROR(__xludf.DUMMYFUNCTION("""COMPUTED_VALUE"""),"16:9 / umístění po domluvě dle možností")</f>
        <v>16:9 / umístění po domluvě dle možností</v>
      </c>
      <c r="R388" s="3" t="str">
        <f ca="1">IFERROR(__xludf.DUMMYFUNCTION("""COMPUTED_VALUE"""),"přeskočení po 7 sekundách")</f>
        <v>přeskočení po 7 sekundách</v>
      </c>
      <c r="S388" s="3" t="str">
        <f ca="1">IFERROR(__xludf.DUMMYFUNCTION("""COMPUTED_VALUE"""),"100")</f>
        <v>100</v>
      </c>
      <c r="T388" s="3"/>
      <c r="U388" s="3" t="str">
        <f ca="1">IFERROR(__xludf.DUMMYFUNCTION("""COMPUTED_VALUE"""),"videospot")</f>
        <v>videospot</v>
      </c>
      <c r="V388" s="3"/>
      <c r="W388" s="4" t="str">
        <f ca="1">IFERROR(__xludf.DUMMYFUNCTION("""COMPUTED_VALUE"""),"https://reklama.cncenter.cz/Online/Bumper")</f>
        <v>https://reklama.cncenter.cz/Online/Bumper</v>
      </c>
      <c r="X388" s="3"/>
      <c r="Y388" s="3"/>
      <c r="Z388" s="3" t="str">
        <f ca="1">IFERROR(__xludf.DUMMYFUNCTION("""COMPUTED_VALUE"""),"podklady@cncenter.cz")</f>
        <v>podklady@cncenter.cz</v>
      </c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 t="str">
        <f ca="1">IFERROR(__xludf.DUMMYFUNCTION("""COMPUTED_VALUE"""),"cross-device")</f>
        <v>cross-device</v>
      </c>
      <c r="AO388" s="3"/>
      <c r="AP388" s="3"/>
      <c r="AQ388" s="3"/>
      <c r="AR388" s="3"/>
      <c r="AS388" s="3"/>
      <c r="AT388" s="3"/>
      <c r="AU388" s="3" t="str">
        <f ca="1">IFERROR(__xludf.DUMMYFUNCTION("""COMPUTED_VALUE"""),"cílený videospot - max. 30 sec. / bumper")</f>
        <v>cílený videospot - max. 30 sec. / bumper</v>
      </c>
    </row>
    <row r="389" spans="1:47" x14ac:dyDescent="0.3">
      <c r="A389" s="3">
        <f ca="1"/>
        <v>2346826</v>
      </c>
      <c r="B389" s="3" t="str">
        <f ca="1"/>
        <v>CZECH NEWS CENTER a. s.</v>
      </c>
      <c r="C389" s="3" t="str">
        <f ca="1">IFERROR(__xludf.DUMMYFUNCTION("""COMPUTED_VALUE"""),"CNC ženy pack")</f>
        <v>CNC ženy pack</v>
      </c>
      <c r="D389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9" s="3" t="str">
        <f ca="1">IFERROR(__xludf.DUMMYFUNCTION("""COMPUTED_VALUE"""),"celý web")</f>
        <v>celý web</v>
      </c>
      <c r="F389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9" s="3" t="str">
        <f ca="1">IFERROR(__xludf.DUMMYFUNCTION("""COMPUTED_VALUE"""),"double skyscraper low season")</f>
        <v>double skyscraper low season</v>
      </c>
      <c r="H389" s="3">
        <f ca="1">IFERROR(__xludf.DUMMYFUNCTION("""COMPUTED_VALUE"""),7)</f>
        <v>7</v>
      </c>
      <c r="I389" s="5">
        <f ca="1">IFERROR(__xludf.DUMMYFUNCTION("""COMPUTED_VALUE"""),1000)</f>
        <v>1000</v>
      </c>
      <c r="J389" s="5">
        <f ca="1">IFERROR(__xludf.DUMMYFUNCTION("""COMPUTED_VALUE"""),150)</f>
        <v>150</v>
      </c>
      <c r="K389" s="3"/>
      <c r="L389" s="3" t="str">
        <f ca="1">IFERROR(__xludf.DUMMYFUNCTION("""COMPUTED_VALUE"""),"Cost per period")</f>
        <v>Cost per period</v>
      </c>
      <c r="M389" s="3"/>
      <c r="N389" s="3"/>
      <c r="O389" s="3" t="str">
        <f ca="1">IFERROR(__xludf.DUMMYFUNCTION("""COMPUTED_VALUE"""),"300")</f>
        <v>300</v>
      </c>
      <c r="P389" s="3" t="str">
        <f ca="1">IFERROR(__xludf.DUMMYFUNCTION("""COMPUTED_VALUE"""),"600")</f>
        <v>600</v>
      </c>
      <c r="Q389" s="3" t="str">
        <f ca="1">IFERROR(__xludf.DUMMYFUNCTION("""COMPUTED_VALUE"""),"300x600")</f>
        <v>300x600</v>
      </c>
      <c r="R389" s="3"/>
      <c r="S389" s="3" t="str">
        <f ca="1">IFERROR(__xludf.DUMMYFUNCTION("""COMPUTED_VALUE"""),"100 (200 - HTML5)")</f>
        <v>100 (200 - HTML5)</v>
      </c>
      <c r="T389" s="3"/>
      <c r="U389" s="3" t="str">
        <f ca="1">IFERROR(__xludf.DUMMYFUNCTION("""COMPUTED_VALUE"""),"banner standard")</f>
        <v>banner standard</v>
      </c>
      <c r="V389" s="3"/>
      <c r="W389" s="4" t="str">
        <f ca="1">IFERROR(__xludf.DUMMYFUNCTION("""COMPUTED_VALUE"""),"https://reklama.cncenter.cz/Online/double-skyscraper")</f>
        <v>https://reklama.cncenter.cz/Online/double-skyscraper</v>
      </c>
      <c r="X389" s="3"/>
      <c r="Y389" s="3"/>
      <c r="Z389" s="3" t="str">
        <f ca="1">IFERROR(__xludf.DUMMYFUNCTION("""COMPUTED_VALUE"""),"podklady@cncenter.cz")</f>
        <v>podklady@cncenter.cz</v>
      </c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 t="str">
        <f ca="1">IFERROR(__xludf.DUMMYFUNCTION("""COMPUTED_VALUE"""),"desktop")</f>
        <v>desktop</v>
      </c>
      <c r="AO389" s="3"/>
      <c r="AP389" s="3"/>
      <c r="AQ389" s="3"/>
      <c r="AR389" s="3"/>
      <c r="AS389" s="3"/>
      <c r="AT389" s="3"/>
      <c r="AU389" s="3" t="str">
        <f ca="1">IFERROR(__xludf.DUMMYFUNCTION("""COMPUTED_VALUE"""),"double skyscraper")</f>
        <v>double skyscraper</v>
      </c>
    </row>
    <row r="390" spans="1:47" x14ac:dyDescent="0.3">
      <c r="A390" s="3">
        <f ca="1"/>
        <v>2346826</v>
      </c>
      <c r="B390" s="3" t="str">
        <f ca="1"/>
        <v>CZECH NEWS CENTER a. s.</v>
      </c>
      <c r="C390" s="3" t="str">
        <f ca="1">IFERROR(__xludf.DUMMYFUNCTION("""COMPUTED_VALUE"""),"CNC ženy pack")</f>
        <v>CNC ženy pack</v>
      </c>
      <c r="D390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0" s="3" t="str">
        <f ca="1">IFERROR(__xludf.DUMMYFUNCTION("""COMPUTED_VALUE"""),"celý web")</f>
        <v>celý web</v>
      </c>
      <c r="F390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0" s="3" t="str">
        <f ca="1">IFERROR(__xludf.DUMMYFUNCTION("""COMPUTED_VALUE"""),"mini videospot - max. 30 sec. low season")</f>
        <v>mini videospot - max. 30 sec. low season</v>
      </c>
      <c r="H390" s="3">
        <f ca="1">IFERROR(__xludf.DUMMYFUNCTION("""COMPUTED_VALUE"""),7)</f>
        <v>7</v>
      </c>
      <c r="I390" s="5">
        <f ca="1">IFERROR(__xludf.DUMMYFUNCTION("""COMPUTED_VALUE"""),1000)</f>
        <v>1000</v>
      </c>
      <c r="J390" s="5">
        <f ca="1">IFERROR(__xludf.DUMMYFUNCTION("""COMPUTED_VALUE"""),150)</f>
        <v>150</v>
      </c>
      <c r="K390" s="3"/>
      <c r="L390" s="3" t="str">
        <f ca="1">IFERROR(__xludf.DUMMYFUNCTION("""COMPUTED_VALUE"""),"Cost per period")</f>
        <v>Cost per period</v>
      </c>
      <c r="M390" s="3"/>
      <c r="N390" s="3"/>
      <c r="O390" s="3"/>
      <c r="P390" s="3"/>
      <c r="Q390" s="3" t="str">
        <f ca="1">IFERROR(__xludf.DUMMYFUNCTION("""COMPUTED_VALUE"""),"16:9 / umístění po domluvě dle možností")</f>
        <v>16:9 / umístění po domluvě dle možností</v>
      </c>
      <c r="R390" s="3" t="str">
        <f ca="1">IFERROR(__xludf.DUMMYFUNCTION("""COMPUTED_VALUE"""),"přeskočení po 7 sekundách")</f>
        <v>přeskočení po 7 sekundách</v>
      </c>
      <c r="S390" s="3" t="str">
        <f ca="1">IFERROR(__xludf.DUMMYFUNCTION("""COMPUTED_VALUE"""),"100")</f>
        <v>100</v>
      </c>
      <c r="T390" s="3"/>
      <c r="U390" s="3" t="str">
        <f ca="1">IFERROR(__xludf.DUMMYFUNCTION("""COMPUTED_VALUE"""),"videospot")</f>
        <v>videospot</v>
      </c>
      <c r="V390" s="3"/>
      <c r="W390" s="4" t="str">
        <f ca="1">IFERROR(__xludf.DUMMYFUNCTION("""COMPUTED_VALUE"""),"https://reklama.cncenter.cz/Online/Videospot")</f>
        <v>https://reklama.cncenter.cz/Online/Videospot</v>
      </c>
      <c r="X390" s="3"/>
      <c r="Y390" s="3"/>
      <c r="Z390" s="3" t="str">
        <f ca="1">IFERROR(__xludf.DUMMYFUNCTION("""COMPUTED_VALUE"""),"podklady@cncenter.cz")</f>
        <v>podklady@cncenter.cz</v>
      </c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 t="str">
        <f ca="1">IFERROR(__xludf.DUMMYFUNCTION("""COMPUTED_VALUE"""),"desktop")</f>
        <v>desktop</v>
      </c>
      <c r="AO390" s="3"/>
      <c r="AP390" s="3"/>
      <c r="AQ390" s="3"/>
      <c r="AR390" s="3"/>
      <c r="AS390" s="3"/>
      <c r="AT390" s="3"/>
      <c r="AU390" s="3" t="str">
        <f ca="1">IFERROR(__xludf.DUMMYFUNCTION("""COMPUTED_VALUE"""),"mini videospot - max. 30 sec.")</f>
        <v>mini videospot - max. 30 sec.</v>
      </c>
    </row>
    <row r="391" spans="1:47" x14ac:dyDescent="0.3">
      <c r="A391" s="3">
        <f ca="1"/>
        <v>2346826</v>
      </c>
      <c r="B391" s="3" t="str">
        <f ca="1"/>
        <v>CZECH NEWS CENTER a. s.</v>
      </c>
      <c r="C391" s="3" t="str">
        <f ca="1">IFERROR(__xludf.DUMMYFUNCTION("""COMPUTED_VALUE"""),"CNC ženy pack")</f>
        <v>CNC ženy pack</v>
      </c>
      <c r="D391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1" s="3" t="str">
        <f ca="1">IFERROR(__xludf.DUMMYFUNCTION("""COMPUTED_VALUE"""),"celý web")</f>
        <v>celý web</v>
      </c>
      <c r="F391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1" s="3" t="str">
        <f ca="1">IFERROR(__xludf.DUMMYFUNCTION("""COMPUTED_VALUE"""),"mobilní interscroller low season")</f>
        <v>mobilní interscroller low season</v>
      </c>
      <c r="H391" s="3">
        <f ca="1">IFERROR(__xludf.DUMMYFUNCTION("""COMPUTED_VALUE"""),7)</f>
        <v>7</v>
      </c>
      <c r="I391" s="5">
        <f ca="1">IFERROR(__xludf.DUMMYFUNCTION("""COMPUTED_VALUE"""),1000)</f>
        <v>1000</v>
      </c>
      <c r="J391" s="5">
        <f ca="1">IFERROR(__xludf.DUMMYFUNCTION("""COMPUTED_VALUE"""),200)</f>
        <v>200</v>
      </c>
      <c r="K391" s="3"/>
      <c r="L391" s="3" t="str">
        <f ca="1">IFERROR(__xludf.DUMMYFUNCTION("""COMPUTED_VALUE"""),"Cost per period")</f>
        <v>Cost per period</v>
      </c>
      <c r="M391" s="3"/>
      <c r="N391" s="3"/>
      <c r="O391" s="3" t="str">
        <f ca="1">IFERROR(__xludf.DUMMYFUNCTION("""COMPUTED_VALUE"""),"600")</f>
        <v>600</v>
      </c>
      <c r="P391" s="3" t="str">
        <f ca="1">IFERROR(__xludf.DUMMYFUNCTION("""COMPUTED_VALUE"""),"1080")</f>
        <v>1080</v>
      </c>
      <c r="Q391" s="3" t="str">
        <f ca="1">IFERROR(__xludf.DUMMYFUNCTION("""COMPUTED_VALUE"""),"600x1080")</f>
        <v>600x1080</v>
      </c>
      <c r="R391" s="3"/>
      <c r="S391" s="3" t="str">
        <f ca="1">IFERROR(__xludf.DUMMYFUNCTION("""COMPUTED_VALUE"""),"200")</f>
        <v>200</v>
      </c>
      <c r="T391" s="3"/>
      <c r="U391" s="3" t="str">
        <f ca="1">IFERROR(__xludf.DUMMYFUNCTION("""COMPUTED_VALUE"""),"banner standard")</f>
        <v>banner standard</v>
      </c>
      <c r="V391" s="3"/>
      <c r="W391" s="4" t="str">
        <f ca="1">IFERROR(__xludf.DUMMYFUNCTION("""COMPUTED_VALUE"""),"https://reklama.cncenter.cz/Online/mobilni-interscroller")</f>
        <v>https://reklama.cncenter.cz/Online/mobilni-interscroller</v>
      </c>
      <c r="X391" s="3"/>
      <c r="Y391" s="3"/>
      <c r="Z391" s="3" t="str">
        <f ca="1">IFERROR(__xludf.DUMMYFUNCTION("""COMPUTED_VALUE"""),"podklady@cncenter.cz")</f>
        <v>podklady@cncenter.cz</v>
      </c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 t="str">
        <f ca="1">IFERROR(__xludf.DUMMYFUNCTION("""COMPUTED_VALUE"""),"mobile")</f>
        <v>mobile</v>
      </c>
      <c r="AO391" s="3"/>
      <c r="AP391" s="3"/>
      <c r="AQ391" s="3"/>
      <c r="AR391" s="3"/>
      <c r="AS391" s="3"/>
      <c r="AT391" s="3"/>
      <c r="AU391" s="3" t="str">
        <f ca="1">IFERROR(__xludf.DUMMYFUNCTION("""COMPUTED_VALUE"""),"mobilní interscroller")</f>
        <v>mobilní interscroller</v>
      </c>
    </row>
    <row r="392" spans="1:47" x14ac:dyDescent="0.3">
      <c r="A392" s="3">
        <f ca="1"/>
        <v>2346826</v>
      </c>
      <c r="B392" s="3" t="str">
        <f ca="1"/>
        <v>CZECH NEWS CENTER a. s.</v>
      </c>
      <c r="C392" s="3" t="str">
        <f ca="1">IFERROR(__xludf.DUMMYFUNCTION("""COMPUTED_VALUE"""),"CNC ženy pack")</f>
        <v>CNC ženy pack</v>
      </c>
      <c r="D392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2" s="3" t="str">
        <f ca="1">IFERROR(__xludf.DUMMYFUNCTION("""COMPUTED_VALUE"""),"celý web")</f>
        <v>celý web</v>
      </c>
      <c r="F392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2" s="3" t="str">
        <f ca="1">IFERROR(__xludf.DUMMYFUNCTION("""COMPUTED_VALUE"""),"mobilní slide-up low season")</f>
        <v>mobilní slide-up low season</v>
      </c>
      <c r="H392" s="3">
        <f ca="1">IFERROR(__xludf.DUMMYFUNCTION("""COMPUTED_VALUE"""),7)</f>
        <v>7</v>
      </c>
      <c r="I392" s="5">
        <f ca="1">IFERROR(__xludf.DUMMYFUNCTION("""COMPUTED_VALUE"""),1000)</f>
        <v>1000</v>
      </c>
      <c r="J392" s="5">
        <f ca="1">IFERROR(__xludf.DUMMYFUNCTION("""COMPUTED_VALUE"""),400)</f>
        <v>400</v>
      </c>
      <c r="K392" s="3"/>
      <c r="L392" s="3" t="str">
        <f ca="1">IFERROR(__xludf.DUMMYFUNCTION("""COMPUTED_VALUE"""),"Cost per period")</f>
        <v>Cost per period</v>
      </c>
      <c r="M392" s="3"/>
      <c r="N392" s="3"/>
      <c r="O392" s="3" t="str">
        <f ca="1">IFERROR(__xludf.DUMMYFUNCTION("""COMPUTED_VALUE"""),"300")</f>
        <v>300</v>
      </c>
      <c r="P392" s="3" t="str">
        <f ca="1">IFERROR(__xludf.DUMMYFUNCTION("""COMPUTED_VALUE"""),"120")</f>
        <v>120</v>
      </c>
      <c r="Q392" s="3" t="str">
        <f ca="1">IFERROR(__xludf.DUMMYFUNCTION("""COMPUTED_VALUE"""),"300x120")</f>
        <v>300x120</v>
      </c>
      <c r="R392" s="3"/>
      <c r="S392" s="3" t="str">
        <f ca="1">IFERROR(__xludf.DUMMYFUNCTION("""COMPUTED_VALUE"""),"100")</f>
        <v>100</v>
      </c>
      <c r="T392" s="3"/>
      <c r="U392" s="3" t="str">
        <f ca="1">IFERROR(__xludf.DUMMYFUNCTION("""COMPUTED_VALUE"""),"banner standard")</f>
        <v>banner standard</v>
      </c>
      <c r="V392" s="3"/>
      <c r="W392" s="4" t="str">
        <f ca="1">IFERROR(__xludf.DUMMYFUNCTION("""COMPUTED_VALUE"""),"https://reklama.cncenter.cz/Online/mobilni-slide-up")</f>
        <v>https://reklama.cncenter.cz/Online/mobilni-slide-up</v>
      </c>
      <c r="X392" s="3"/>
      <c r="Y392" s="3"/>
      <c r="Z392" s="3" t="str">
        <f ca="1">IFERROR(__xludf.DUMMYFUNCTION("""COMPUTED_VALUE"""),"podklady@cncenter.cz")</f>
        <v>podklady@cncenter.cz</v>
      </c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 t="str">
        <f ca="1">IFERROR(__xludf.DUMMYFUNCTION("""COMPUTED_VALUE"""),"mobile")</f>
        <v>mobile</v>
      </c>
      <c r="AO392" s="3"/>
      <c r="AP392" s="3"/>
      <c r="AQ392" s="3"/>
      <c r="AR392" s="3"/>
      <c r="AS392" s="3"/>
      <c r="AT392" s="3"/>
      <c r="AU392" s="3" t="str">
        <f ca="1">IFERROR(__xludf.DUMMYFUNCTION("""COMPUTED_VALUE"""),"mobilní slide-up")</f>
        <v>mobilní slide-up</v>
      </c>
    </row>
    <row r="393" spans="1:47" x14ac:dyDescent="0.3">
      <c r="A393" s="3">
        <f ca="1"/>
        <v>2346826</v>
      </c>
      <c r="B393" s="3" t="str">
        <f ca="1"/>
        <v>CZECH NEWS CENTER a. s.</v>
      </c>
      <c r="C393" s="3" t="str">
        <f ca="1">IFERROR(__xludf.DUMMYFUNCTION("""COMPUTED_VALUE"""),"CNC ženy pack")</f>
        <v>CNC ženy pack</v>
      </c>
      <c r="D393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3" s="3" t="str">
        <f ca="1">IFERROR(__xludf.DUMMYFUNCTION("""COMPUTED_VALUE"""),"celý web")</f>
        <v>celý web</v>
      </c>
      <c r="F393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3" s="3" t="str">
        <f ca="1">IFERROR(__xludf.DUMMYFUNCTION("""COMPUTED_VALUE"""),"mobilní viněta low season")</f>
        <v>mobilní viněta low season</v>
      </c>
      <c r="H393" s="3">
        <f ca="1">IFERROR(__xludf.DUMMYFUNCTION("""COMPUTED_VALUE"""),7)</f>
        <v>7</v>
      </c>
      <c r="I393" s="5">
        <f ca="1">IFERROR(__xludf.DUMMYFUNCTION("""COMPUTED_VALUE"""),1000)</f>
        <v>1000</v>
      </c>
      <c r="J393" s="5">
        <f ca="1">IFERROR(__xludf.DUMMYFUNCTION("""COMPUTED_VALUE"""),560)</f>
        <v>560</v>
      </c>
      <c r="K393" s="3"/>
      <c r="L393" s="3" t="str">
        <f ca="1">IFERROR(__xludf.DUMMYFUNCTION("""COMPUTED_VALUE"""),"Cost per period")</f>
        <v>Cost per period</v>
      </c>
      <c r="M393" s="3"/>
      <c r="N393" s="3"/>
      <c r="O393" s="3" t="str">
        <f ca="1">IFERROR(__xludf.DUMMYFUNCTION("""COMPUTED_VALUE"""),"600")</f>
        <v>600</v>
      </c>
      <c r="P393" s="3" t="str">
        <f ca="1">IFERROR(__xludf.DUMMYFUNCTION("""COMPUTED_VALUE"""),"800")</f>
        <v>800</v>
      </c>
      <c r="Q393" s="3" t="str">
        <f ca="1">IFERROR(__xludf.DUMMYFUNCTION("""COMPUTED_VALUE"""),"300x250 nebo 600x800")</f>
        <v>300x250 nebo 600x800</v>
      </c>
      <c r="R393" s="3"/>
      <c r="S393" s="3" t="str">
        <f ca="1">IFERROR(__xludf.DUMMYFUNCTION("""COMPUTED_VALUE"""),"100")</f>
        <v>100</v>
      </c>
      <c r="T393" s="3"/>
      <c r="U393" s="3" t="str">
        <f ca="1">IFERROR(__xludf.DUMMYFUNCTION("""COMPUTED_VALUE"""),"banner standard")</f>
        <v>banner standard</v>
      </c>
      <c r="V393" s="3"/>
      <c r="W393" s="4" t="str">
        <f ca="1">IFERROR(__xludf.DUMMYFUNCTION("""COMPUTED_VALUE"""),"https://reklama.cncenter.cz/Online/mobilni-vineta")</f>
        <v>https://reklama.cncenter.cz/Online/mobilni-vineta</v>
      </c>
      <c r="X393" s="3"/>
      <c r="Y393" s="3"/>
      <c r="Z393" s="3" t="str">
        <f ca="1">IFERROR(__xludf.DUMMYFUNCTION("""COMPUTED_VALUE"""),"podklady@cncenter.cz")</f>
        <v>podklady@cncenter.cz</v>
      </c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 t="str">
        <f ca="1">IFERROR(__xludf.DUMMYFUNCTION("""COMPUTED_VALUE"""),"mobile")</f>
        <v>mobile</v>
      </c>
      <c r="AO393" s="3"/>
      <c r="AP393" s="3"/>
      <c r="AQ393" s="3"/>
      <c r="AR393" s="3"/>
      <c r="AS393" s="3"/>
      <c r="AT393" s="3"/>
      <c r="AU393" s="3" t="str">
        <f ca="1">IFERROR(__xludf.DUMMYFUNCTION("""COMPUTED_VALUE"""),"mobilní viněta")</f>
        <v>mobilní viněta</v>
      </c>
    </row>
    <row r="394" spans="1:47" x14ac:dyDescent="0.3">
      <c r="A394" s="3">
        <f ca="1"/>
        <v>2346826</v>
      </c>
      <c r="B394" s="3" t="str">
        <f ca="1"/>
        <v>CZECH NEWS CENTER a. s.</v>
      </c>
      <c r="C394" s="3" t="str">
        <f ca="1">IFERROR(__xludf.DUMMYFUNCTION("""COMPUTED_VALUE"""),"CNC ženy pack")</f>
        <v>CNC ženy pack</v>
      </c>
      <c r="D394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4" s="3" t="str">
        <f ca="1">IFERROR(__xludf.DUMMYFUNCTION("""COMPUTED_VALUE"""),"celý web")</f>
        <v>celý web</v>
      </c>
      <c r="F394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4" s="3" t="str">
        <f ca="1">IFERROR(__xludf.DUMMYFUNCTION("""COMPUTED_VALUE"""),"nativní rectangle cross-device low season")</f>
        <v>nativní rectangle cross-device low season</v>
      </c>
      <c r="H394" s="3">
        <f ca="1">IFERROR(__xludf.DUMMYFUNCTION("""COMPUTED_VALUE"""),7)</f>
        <v>7</v>
      </c>
      <c r="I394" s="5">
        <f ca="1">IFERROR(__xludf.DUMMYFUNCTION("""COMPUTED_VALUE"""),1000)</f>
        <v>1000</v>
      </c>
      <c r="J394" s="5">
        <f ca="1">IFERROR(__xludf.DUMMYFUNCTION("""COMPUTED_VALUE"""),150)</f>
        <v>150</v>
      </c>
      <c r="K394" s="3"/>
      <c r="L394" s="3" t="str">
        <f ca="1">IFERROR(__xludf.DUMMYFUNCTION("""COMPUTED_VALUE"""),"Cost per period")</f>
        <v>Cost per period</v>
      </c>
      <c r="M394" s="3"/>
      <c r="N394" s="3"/>
      <c r="O394" s="3" t="str">
        <f ca="1">IFERROR(__xludf.DUMMYFUNCTION("""COMPUTED_VALUE"""),"640")</f>
        <v>640</v>
      </c>
      <c r="P394" s="3" t="str">
        <f ca="1">IFERROR(__xludf.DUMMYFUNCTION("""COMPUTED_VALUE"""),"335, 640")</f>
        <v>335, 640</v>
      </c>
      <c r="Q394" s="3" t="str">
        <f ca="1">IFERROR(__xludf.DUMMYFUNCTION("""COMPUTED_VALUE"""),"640x640 a 640x335 + text + logo")</f>
        <v>640x640 a 640x335 + text + logo</v>
      </c>
      <c r="R394" s="3"/>
      <c r="S394" s="3" t="str">
        <f ca="1">IFERROR(__xludf.DUMMYFUNCTION("""COMPUTED_VALUE"""),"45")</f>
        <v>45</v>
      </c>
      <c r="T394" s="3"/>
      <c r="U394" s="3" t="str">
        <f ca="1">IFERROR(__xludf.DUMMYFUNCTION("""COMPUTED_VALUE"""),"nativní reklama")</f>
        <v>nativní reklama</v>
      </c>
      <c r="V394" s="3"/>
      <c r="W394" s="4" t="str">
        <f ca="1">IFERROR(__xludf.DUMMYFUNCTION("""COMPUTED_VALUE"""),"https://reklama.cncenter.cz/Online/nativni-rectangle-cross-device")</f>
        <v>https://reklama.cncenter.cz/Online/nativni-rectangle-cross-device</v>
      </c>
      <c r="X394" s="3"/>
      <c r="Y394" s="3"/>
      <c r="Z394" s="3" t="str">
        <f ca="1">IFERROR(__xludf.DUMMYFUNCTION("""COMPUTED_VALUE"""),"podklady@cncenter.cz")</f>
        <v>podklady@cncenter.cz</v>
      </c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 t="str">
        <f ca="1">IFERROR(__xludf.DUMMYFUNCTION("""COMPUTED_VALUE"""),"cross-device")</f>
        <v>cross-device</v>
      </c>
      <c r="AO394" s="3"/>
      <c r="AP394" s="3"/>
      <c r="AQ394" s="3"/>
      <c r="AR394" s="3"/>
      <c r="AS394" s="3"/>
      <c r="AT394" s="3"/>
      <c r="AU394" s="3" t="str">
        <f ca="1">IFERROR(__xludf.DUMMYFUNCTION("""COMPUTED_VALUE"""),"nativní rectangle cross-device")</f>
        <v>nativní rectangle cross-device</v>
      </c>
    </row>
    <row r="395" spans="1:47" x14ac:dyDescent="0.3">
      <c r="A395" s="3">
        <f ca="1"/>
        <v>2346826</v>
      </c>
      <c r="B395" s="3" t="str">
        <f ca="1"/>
        <v>CZECH NEWS CENTER a. s.</v>
      </c>
      <c r="C395" s="3" t="str">
        <f ca="1">IFERROR(__xludf.DUMMYFUNCTION("""COMPUTED_VALUE"""),"CNC ženy pack")</f>
        <v>CNC ženy pack</v>
      </c>
      <c r="D395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5" s="3" t="str">
        <f ca="1">IFERROR(__xludf.DUMMYFUNCTION("""COMPUTED_VALUE"""),"celý web")</f>
        <v>celý web</v>
      </c>
      <c r="F395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5" s="3" t="str">
        <f ca="1">IFERROR(__xludf.DUMMYFUNCTION("""COMPUTED_VALUE"""),"outstream low season")</f>
        <v>outstream low season</v>
      </c>
      <c r="H395" s="3">
        <f ca="1">IFERROR(__xludf.DUMMYFUNCTION("""COMPUTED_VALUE"""),7)</f>
        <v>7</v>
      </c>
      <c r="I395" s="5">
        <f ca="1">IFERROR(__xludf.DUMMYFUNCTION("""COMPUTED_VALUE"""),1000)</f>
        <v>1000</v>
      </c>
      <c r="J395" s="5">
        <f ca="1">IFERROR(__xludf.DUMMYFUNCTION("""COMPUTED_VALUE"""),230)</f>
        <v>230</v>
      </c>
      <c r="K395" s="3"/>
      <c r="L395" s="3" t="str">
        <f ca="1">IFERROR(__xludf.DUMMYFUNCTION("""COMPUTED_VALUE"""),"Cost per period")</f>
        <v>Cost per period</v>
      </c>
      <c r="M395" s="3"/>
      <c r="N395" s="3"/>
      <c r="O395" s="3" t="str">
        <f ca="1">IFERROR(__xludf.DUMMYFUNCTION("""COMPUTED_VALUE"""),"1280")</f>
        <v>1280</v>
      </c>
      <c r="P395" s="3" t="str">
        <f ca="1">IFERROR(__xludf.DUMMYFUNCTION("""COMPUTED_VALUE"""),"720")</f>
        <v>720</v>
      </c>
      <c r="Q395" s="3" t="str">
        <f ca="1">IFERROR(__xludf.DUMMYFUNCTION("""COMPUTED_VALUE"""),"16:9")</f>
        <v>16:9</v>
      </c>
      <c r="R395" s="3"/>
      <c r="S395" s="3" t="str">
        <f ca="1">IFERROR(__xludf.DUMMYFUNCTION("""COMPUTED_VALUE"""),"100")</f>
        <v>100</v>
      </c>
      <c r="T395" s="3"/>
      <c r="U395" s="3" t="str">
        <f ca="1">IFERROR(__xludf.DUMMYFUNCTION("""COMPUTED_VALUE"""),"videospot")</f>
        <v>videospot</v>
      </c>
      <c r="V395" s="3"/>
      <c r="W395" s="4" t="str">
        <f ca="1">IFERROR(__xludf.DUMMYFUNCTION("""COMPUTED_VALUE"""),"https://reklama.cncenter.cz/Online/Outstream")</f>
        <v>https://reklama.cncenter.cz/Online/Outstream</v>
      </c>
      <c r="X395" s="3"/>
      <c r="Y395" s="3"/>
      <c r="Z395" s="3" t="str">
        <f ca="1">IFERROR(__xludf.DUMMYFUNCTION("""COMPUTED_VALUE"""),"podklady@cncenter.cz")</f>
        <v>podklady@cncenter.cz</v>
      </c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 t="str">
        <f ca="1">IFERROR(__xludf.DUMMYFUNCTION("""COMPUTED_VALUE"""),"cross-device")</f>
        <v>cross-device</v>
      </c>
      <c r="AO395" s="3"/>
      <c r="AP395" s="3"/>
      <c r="AQ395" s="3"/>
      <c r="AR395" s="3"/>
      <c r="AS395" s="3"/>
      <c r="AT395" s="3"/>
      <c r="AU395" s="3" t="str">
        <f ca="1">IFERROR(__xludf.DUMMYFUNCTION("""COMPUTED_VALUE"""),"outstream")</f>
        <v>outstream</v>
      </c>
    </row>
    <row r="396" spans="1:47" x14ac:dyDescent="0.3">
      <c r="A396" s="3">
        <f ca="1"/>
        <v>2346826</v>
      </c>
      <c r="B396" s="3" t="str">
        <f ca="1"/>
        <v>CZECH NEWS CENTER a. s.</v>
      </c>
      <c r="C396" s="3" t="str">
        <f ca="1">IFERROR(__xludf.DUMMYFUNCTION("""COMPUTED_VALUE"""),"CNC ženy pack")</f>
        <v>CNC ženy pack</v>
      </c>
      <c r="D396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6" s="3" t="str">
        <f ca="1">IFERROR(__xludf.DUMMYFUNCTION("""COMPUTED_VALUE"""),"celý web")</f>
        <v>celý web</v>
      </c>
      <c r="F396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6" s="3" t="str">
        <f ca="1">IFERROR(__xludf.DUMMYFUNCTION("""COMPUTED_VALUE"""),"Smarticle low season")</f>
        <v>Smarticle low season</v>
      </c>
      <c r="H396" s="3">
        <f ca="1">IFERROR(__xludf.DUMMYFUNCTION("""COMPUTED_VALUE"""),7)</f>
        <v>7</v>
      </c>
      <c r="I396" s="5">
        <f ca="1">IFERROR(__xludf.DUMMYFUNCTION("""COMPUTED_VALUE"""),1000)</f>
        <v>1000</v>
      </c>
      <c r="J396" s="5">
        <f ca="1">IFERROR(__xludf.DUMMYFUNCTION("""COMPUTED_VALUE"""),200)</f>
        <v>200</v>
      </c>
      <c r="K396" s="3"/>
      <c r="L396" s="3" t="str">
        <f ca="1">IFERROR(__xludf.DUMMYFUNCTION("""COMPUTED_VALUE"""),"Cost per period")</f>
        <v>Cost per period</v>
      </c>
      <c r="M396" s="3"/>
      <c r="N396" s="3" t="str">
        <f ca="1">IFERROR(__xludf.DUMMYFUNCTION("""COMPUTED_VALUE"""),"A4")</f>
        <v>A4</v>
      </c>
      <c r="O396" s="3"/>
      <c r="P396" s="3"/>
      <c r="Q396" s="3" t="str">
        <f ca="1">IFERROR(__xludf.DUMMYFUNCTION("""COMPUTED_VALUE"""),"viz. tech.specifikace; HP + sekce")</f>
        <v>viz. tech.specifikace; HP + sekce</v>
      </c>
      <c r="R396" s="3" t="str">
        <f ca="1">IFERROR(__xludf.DUMMYFUNCTION("""COMPUTED_VALUE"""),"HP + sekce")</f>
        <v>HP + sekce</v>
      </c>
      <c r="S396" s="3" t="str">
        <f ca="1">IFERROR(__xludf.DUMMYFUNCTION("""COMPUTED_VALUE"""),"100")</f>
        <v>100</v>
      </c>
      <c r="T396" s="3"/>
      <c r="U396" s="3" t="str">
        <f ca="1">IFERROR(__xludf.DUMMYFUNCTION("""COMPUTED_VALUE"""),"pr článek")</f>
        <v>pr článek</v>
      </c>
      <c r="V396" s="3"/>
      <c r="W396" s="4" t="str">
        <f ca="1">IFERROR(__xludf.DUMMYFUNCTION("""COMPUTED_VALUE"""),"https://reklama.cncenter.cz/Online/Smarticle")</f>
        <v>https://reklama.cncenter.cz/Online/Smarticle</v>
      </c>
      <c r="X396" s="3"/>
      <c r="Y396" s="3"/>
      <c r="Z396" s="3" t="str">
        <f ca="1">IFERROR(__xludf.DUMMYFUNCTION("""COMPUTED_VALUE"""),"podklady@cncenter.cz")</f>
        <v>podklady@cncenter.cz</v>
      </c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 t="str">
        <f ca="1">IFERROR(__xludf.DUMMYFUNCTION("""COMPUTED_VALUE"""),"cross-device")</f>
        <v>cross-device</v>
      </c>
      <c r="AO396" s="3"/>
      <c r="AP396" s="3"/>
      <c r="AQ396" s="3"/>
      <c r="AR396" s="3"/>
      <c r="AS396" s="3"/>
      <c r="AT396" s="3"/>
      <c r="AU396" s="3" t="str">
        <f ca="1">IFERROR(__xludf.DUMMYFUNCTION("""COMPUTED_VALUE"""),"Smarticle")</f>
        <v>Smarticle</v>
      </c>
    </row>
    <row r="397" spans="1:47" x14ac:dyDescent="0.3">
      <c r="A397" s="3">
        <f ca="1"/>
        <v>2346826</v>
      </c>
      <c r="B397" s="3" t="str">
        <f ca="1"/>
        <v>CZECH NEWS CENTER a. s.</v>
      </c>
      <c r="C397" s="3" t="str">
        <f ca="1">IFERROR(__xludf.DUMMYFUNCTION("""COMPUTED_VALUE"""),"CNC ženy pack")</f>
        <v>CNC ženy pack</v>
      </c>
      <c r="D397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7" s="3" t="str">
        <f ca="1">IFERROR(__xludf.DUMMYFUNCTION("""COMPUTED_VALUE"""),"celý web")</f>
        <v>celý web</v>
      </c>
      <c r="F397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7" s="3" t="str">
        <f ca="1">IFERROR(__xludf.DUMMYFUNCTION("""COMPUTED_VALUE"""),"videospot - max. 30 sec. / bumper low season")</f>
        <v>videospot - max. 30 sec. / bumper low season</v>
      </c>
      <c r="H397" s="3">
        <f ca="1">IFERROR(__xludf.DUMMYFUNCTION("""COMPUTED_VALUE"""),7)</f>
        <v>7</v>
      </c>
      <c r="I397" s="5">
        <f ca="1">IFERROR(__xludf.DUMMYFUNCTION("""COMPUTED_VALUE"""),1000)</f>
        <v>1000</v>
      </c>
      <c r="J397" s="5">
        <f ca="1">IFERROR(__xludf.DUMMYFUNCTION("""COMPUTED_VALUE"""),680)</f>
        <v>680</v>
      </c>
      <c r="K397" s="3"/>
      <c r="L397" s="3" t="str">
        <f ca="1">IFERROR(__xludf.DUMMYFUNCTION("""COMPUTED_VALUE"""),"Cost per period")</f>
        <v>Cost per period</v>
      </c>
      <c r="M397" s="3"/>
      <c r="N397" s="3"/>
      <c r="O397" s="3" t="str">
        <f ca="1">IFERROR(__xludf.DUMMYFUNCTION("""COMPUTED_VALUE"""),"1280")</f>
        <v>1280</v>
      </c>
      <c r="P397" s="3" t="str">
        <f ca="1">IFERROR(__xludf.DUMMYFUNCTION("""COMPUTED_VALUE"""),"720")</f>
        <v>720</v>
      </c>
      <c r="Q397" s="3" t="str">
        <f ca="1">IFERROR(__xludf.DUMMYFUNCTION("""COMPUTED_VALUE"""),"16:9 / umístění po domluvě dle možností")</f>
        <v>16:9 / umístění po domluvě dle možností</v>
      </c>
      <c r="R397" s="3" t="str">
        <f ca="1">IFERROR(__xludf.DUMMYFUNCTION("""COMPUTED_VALUE"""),"přeskočení po 7 sekundách")</f>
        <v>přeskočení po 7 sekundách</v>
      </c>
      <c r="S397" s="3" t="str">
        <f ca="1">IFERROR(__xludf.DUMMYFUNCTION("""COMPUTED_VALUE"""),"100")</f>
        <v>100</v>
      </c>
      <c r="T397" s="3"/>
      <c r="U397" s="3" t="str">
        <f ca="1">IFERROR(__xludf.DUMMYFUNCTION("""COMPUTED_VALUE"""),"videospot")</f>
        <v>videospot</v>
      </c>
      <c r="V397" s="3"/>
      <c r="W397" s="4" t="str">
        <f ca="1">IFERROR(__xludf.DUMMYFUNCTION("""COMPUTED_VALUE"""),"https://reklama.cncenter.cz/Online/Bumper")</f>
        <v>https://reklama.cncenter.cz/Online/Bumper</v>
      </c>
      <c r="X397" s="3"/>
      <c r="Y397" s="3"/>
      <c r="Z397" s="3" t="str">
        <f ca="1">IFERROR(__xludf.DUMMYFUNCTION("""COMPUTED_VALUE"""),"podklady@cncenter.cz")</f>
        <v>podklady@cncenter.cz</v>
      </c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 t="str">
        <f ca="1">IFERROR(__xludf.DUMMYFUNCTION("""COMPUTED_VALUE"""),"cross-device")</f>
        <v>cross-device</v>
      </c>
      <c r="AO397" s="3"/>
      <c r="AP397" s="3"/>
      <c r="AQ397" s="3"/>
      <c r="AR397" s="3"/>
      <c r="AS397" s="3"/>
      <c r="AT397" s="3"/>
      <c r="AU397" s="3" t="str">
        <f ca="1">IFERROR(__xludf.DUMMYFUNCTION("""COMPUTED_VALUE"""),"videospot - max. 30 sec. / bumper")</f>
        <v>videospot - max. 30 sec. / bumper</v>
      </c>
    </row>
    <row r="398" spans="1:47" x14ac:dyDescent="0.3">
      <c r="A398" s="3">
        <f ca="1"/>
        <v>2346826</v>
      </c>
      <c r="B398" s="3" t="str">
        <f ca="1"/>
        <v>CZECH NEWS CENTER a. s.</v>
      </c>
      <c r="C398" s="3" t="str">
        <f ca="1">IFERROR(__xludf.DUMMYFUNCTION("""COMPUTED_VALUE"""),"DIGIarena")</f>
        <v>DIGIarena</v>
      </c>
      <c r="D398" s="4" t="str">
        <f ca="1">IFERROR(__xludf.DUMMYFUNCTION("""COMPUTED_VALUE"""),"https://digiarena.zive.cz")</f>
        <v>https://digiarena.zive.cz</v>
      </c>
      <c r="E398" s="3" t="str">
        <f ca="1">IFERROR(__xludf.DUMMYFUNCTION("""COMPUTED_VALUE"""),"celý web")</f>
        <v>celý web</v>
      </c>
      <c r="F398" s="4" t="str">
        <f ca="1">IFERROR(__xludf.DUMMYFUNCTION("""COMPUTED_VALUE"""),"https://digiarena.zive.cz")</f>
        <v>https://digiarena.zive.cz</v>
      </c>
      <c r="G398" s="3" t="str">
        <f ca="1">IFERROR(__xludf.DUMMYFUNCTION("""COMPUTED_VALUE"""),"Advertorial low season")</f>
        <v>Advertorial low season</v>
      </c>
      <c r="H398" s="3">
        <f ca="1">IFERROR(__xludf.DUMMYFUNCTION("""COMPUTED_VALUE"""),1)</f>
        <v>1</v>
      </c>
      <c r="I398" s="5">
        <f ca="1">IFERROR(__xludf.DUMMYFUNCTION("""COMPUTED_VALUE"""),1)</f>
        <v>1</v>
      </c>
      <c r="J398" s="5">
        <f ca="1">IFERROR(__xludf.DUMMYFUNCTION("""COMPUTED_VALUE"""),90000)</f>
        <v>90000</v>
      </c>
      <c r="K398" s="3"/>
      <c r="L398" s="3" t="str">
        <f ca="1">IFERROR(__xludf.DUMMYFUNCTION("""COMPUTED_VALUE"""),"Cost per instance")</f>
        <v>Cost per instance</v>
      </c>
      <c r="M398" s="3"/>
      <c r="N398" s="3"/>
      <c r="O398" s="3"/>
      <c r="P398" s="3"/>
      <c r="Q398" s="3"/>
      <c r="R398" s="3"/>
      <c r="S398" s="3" t="str">
        <f ca="1">IFERROR(__xludf.DUMMYFUNCTION("""COMPUTED_VALUE"""),"100")</f>
        <v>100</v>
      </c>
      <c r="T398" s="3"/>
      <c r="U398" s="3" t="str">
        <f ca="1">IFERROR(__xludf.DUMMYFUNCTION("""COMPUTED_VALUE"""),"pr článek")</f>
        <v>pr článek</v>
      </c>
      <c r="V398" s="3"/>
      <c r="W398" s="3"/>
      <c r="X398" s="3"/>
      <c r="Y398" s="3"/>
      <c r="Z398" s="3" t="str">
        <f ca="1">IFERROR(__xludf.DUMMYFUNCTION("""COMPUTED_VALUE"""),"podklady@cncenter.cz")</f>
        <v>podklady@cncenter.cz</v>
      </c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 t="str">
        <f ca="1">IFERROR(__xludf.DUMMYFUNCTION("""COMPUTED_VALUE"""),"cross-device")</f>
        <v>cross-device</v>
      </c>
      <c r="AO398" s="3"/>
      <c r="AP398" s="3"/>
      <c r="AQ398" s="3"/>
      <c r="AR398" s="3"/>
      <c r="AS398" s="3"/>
      <c r="AT398" s="3"/>
      <c r="AU398" s="3" t="str">
        <f ca="1">IFERROR(__xludf.DUMMYFUNCTION("""COMPUTED_VALUE"""),"Advertorial")</f>
        <v>Advertorial</v>
      </c>
    </row>
    <row r="399" spans="1:47" x14ac:dyDescent="0.3">
      <c r="A399" s="3">
        <f ca="1"/>
        <v>2346826</v>
      </c>
      <c r="B399" s="3" t="str">
        <f ca="1"/>
        <v>CZECH NEWS CENTER a. s.</v>
      </c>
      <c r="C399" s="3" t="str">
        <f ca="1">IFERROR(__xludf.DUMMYFUNCTION("""COMPUTED_VALUE"""),"Digiarena")</f>
        <v>Digiarena</v>
      </c>
      <c r="D399" s="4" t="str">
        <f ca="1">IFERROR(__xludf.DUMMYFUNCTION("""COMPUTED_VALUE"""),"https://digiarena.zive.cz")</f>
        <v>https://digiarena.zive.cz</v>
      </c>
      <c r="E399" s="3" t="str">
        <f ca="1">IFERROR(__xludf.DUMMYFUNCTION("""COMPUTED_VALUE"""),"celý web")</f>
        <v>celý web</v>
      </c>
      <c r="F399" s="4" t="str">
        <f ca="1">IFERROR(__xludf.DUMMYFUNCTION("""COMPUTED_VALUE"""),"https://digiarena.zive.cz")</f>
        <v>https://digiarena.zive.cz</v>
      </c>
      <c r="G399" s="3" t="str">
        <f ca="1">IFERROR(__xludf.DUMMYFUNCTION("""COMPUTED_VALUE"""),"billboard bottom low season")</f>
        <v>billboard bottom low season</v>
      </c>
      <c r="H399" s="3">
        <f ca="1">IFERROR(__xludf.DUMMYFUNCTION("""COMPUTED_VALUE"""),7)</f>
        <v>7</v>
      </c>
      <c r="I399" s="5">
        <f ca="1">IFERROR(__xludf.DUMMYFUNCTION("""COMPUTED_VALUE"""),1000)</f>
        <v>1000</v>
      </c>
      <c r="J399" s="5">
        <f ca="1">IFERROR(__xludf.DUMMYFUNCTION("""COMPUTED_VALUE"""),240)</f>
        <v>240</v>
      </c>
      <c r="K399" s="3"/>
      <c r="L399" s="3" t="str">
        <f ca="1">IFERROR(__xludf.DUMMYFUNCTION("""COMPUTED_VALUE"""),"Cost per period")</f>
        <v>Cost per period</v>
      </c>
      <c r="M399" s="3"/>
      <c r="N399" s="3"/>
      <c r="O399" s="3" t="str">
        <f ca="1">IFERROR(__xludf.DUMMYFUNCTION("""COMPUTED_VALUE"""),"970")</f>
        <v>970</v>
      </c>
      <c r="P399" s="3" t="str">
        <f ca="1">IFERROR(__xludf.DUMMYFUNCTION("""COMPUTED_VALUE"""),"250")</f>
        <v>250</v>
      </c>
      <c r="Q399" s="3" t="str">
        <f ca="1">IFERROR(__xludf.DUMMYFUNCTION("""COMPUTED_VALUE"""),"970x250")</f>
        <v>970x250</v>
      </c>
      <c r="R399" s="3"/>
      <c r="S399" s="3" t="str">
        <f ca="1">IFERROR(__xludf.DUMMYFUNCTION("""COMPUTED_VALUE"""),"100 (200 - HTML5)")</f>
        <v>100 (200 - HTML5)</v>
      </c>
      <c r="T399" s="3"/>
      <c r="U399" s="3" t="str">
        <f ca="1">IFERROR(__xludf.DUMMYFUNCTION("""COMPUTED_VALUE"""),"banner standard")</f>
        <v>banner standard</v>
      </c>
      <c r="V399" s="3"/>
      <c r="W399" s="4" t="str">
        <f ca="1">IFERROR(__xludf.DUMMYFUNCTION("""COMPUTED_VALUE"""),"https://reklama.cncenter.cz/Online/billboard-bottom")</f>
        <v>https://reklama.cncenter.cz/Online/billboard-bottom</v>
      </c>
      <c r="X399" s="3"/>
      <c r="Y399" s="3"/>
      <c r="Z399" s="3" t="str">
        <f ca="1">IFERROR(__xludf.DUMMYFUNCTION("""COMPUTED_VALUE"""),"podklady@cncenter.cz")</f>
        <v>podklady@cncenter.cz</v>
      </c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 t="str">
        <f ca="1">IFERROR(__xludf.DUMMYFUNCTION("""COMPUTED_VALUE"""),"desktop")</f>
        <v>desktop</v>
      </c>
      <c r="AO399" s="3"/>
      <c r="AP399" s="3"/>
      <c r="AQ399" s="3"/>
      <c r="AR399" s="3"/>
      <c r="AS399" s="3"/>
      <c r="AT399" s="3"/>
      <c r="AU399" s="3" t="str">
        <f ca="1">IFERROR(__xludf.DUMMYFUNCTION("""COMPUTED_VALUE"""),"billboard bottom")</f>
        <v>billboard bottom</v>
      </c>
    </row>
    <row r="400" spans="1:47" x14ac:dyDescent="0.3">
      <c r="A400" s="3">
        <f ca="1"/>
        <v>2346826</v>
      </c>
      <c r="B400" s="3" t="str">
        <f ca="1"/>
        <v>CZECH NEWS CENTER a. s.</v>
      </c>
      <c r="C400" s="3" t="str">
        <f ca="1">IFERROR(__xludf.DUMMYFUNCTION("""COMPUTED_VALUE"""),"Digiarena")</f>
        <v>Digiarena</v>
      </c>
      <c r="D400" s="4" t="str">
        <f ca="1">IFERROR(__xludf.DUMMYFUNCTION("""COMPUTED_VALUE"""),"https://digiarena.zive.cz")</f>
        <v>https://digiarena.zive.cz</v>
      </c>
      <c r="E400" s="3" t="str">
        <f ca="1">IFERROR(__xludf.DUMMYFUNCTION("""COMPUTED_VALUE"""),"celý web")</f>
        <v>celý web</v>
      </c>
      <c r="F400" s="4" t="str">
        <f ca="1">IFERROR(__xludf.DUMMYFUNCTION("""COMPUTED_VALUE"""),"https://digiarena.zive.cz")</f>
        <v>https://digiarena.zive.cz</v>
      </c>
      <c r="G400" s="3" t="str">
        <f ca="1">IFERROR(__xludf.DUMMYFUNCTION("""COMPUTED_VALUE"""),"branding cross-device low season")</f>
        <v>branding cross-device low season</v>
      </c>
      <c r="H400" s="3">
        <f ca="1">IFERROR(__xludf.DUMMYFUNCTION("""COMPUTED_VALUE"""),7)</f>
        <v>7</v>
      </c>
      <c r="I400" s="5">
        <f ca="1">IFERROR(__xludf.DUMMYFUNCTION("""COMPUTED_VALUE"""),1000)</f>
        <v>1000</v>
      </c>
      <c r="J400" s="5">
        <f ca="1">IFERROR(__xludf.DUMMYFUNCTION("""COMPUTED_VALUE"""),300)</f>
        <v>300</v>
      </c>
      <c r="K400" s="3"/>
      <c r="L400" s="3" t="str">
        <f ca="1">IFERROR(__xludf.DUMMYFUNCTION("""COMPUTED_VALUE"""),"Cost per period")</f>
        <v>Cost per period</v>
      </c>
      <c r="M400" s="3"/>
      <c r="N400" s="3"/>
      <c r="O400" s="3" t="str">
        <f ca="1">IFERROR(__xludf.DUMMYFUNCTION("""COMPUTED_VALUE"""),"2000")</f>
        <v>2000</v>
      </c>
      <c r="P400" s="3" t="str">
        <f ca="1">IFERROR(__xludf.DUMMYFUNCTION("""COMPUTED_VALUE"""),"1400")</f>
        <v>1400</v>
      </c>
      <c r="Q400" s="3" t="str">
        <f ca="1">IFERROR(__xludf.DUMMYFUNCTION("""COMPUTED_VALUE"""),"2000x1400 + 600x1080")</f>
        <v>2000x1400 + 600x1080</v>
      </c>
      <c r="R400" s="3"/>
      <c r="S400" s="3" t="str">
        <f ca="1">IFERROR(__xludf.DUMMYFUNCTION("""COMPUTED_VALUE"""),"500 (600 - HTLM5)")</f>
        <v>500 (600 - HTLM5)</v>
      </c>
      <c r="T400" s="3"/>
      <c r="U400" s="3" t="str">
        <f ca="1">IFERROR(__xludf.DUMMYFUNCTION("""COMPUTED_VALUE"""),"banner standard")</f>
        <v>banner standard</v>
      </c>
      <c r="V400" s="3"/>
      <c r="W400" s="4" t="str">
        <f ca="1">IFERROR(__xludf.DUMMYFUNCTION("""COMPUTED_VALUE"""),"https://reklama.cncenter.cz/Online/branding-cross-device")</f>
        <v>https://reklama.cncenter.cz/Online/branding-cross-device</v>
      </c>
      <c r="X400" s="3"/>
      <c r="Y400" s="3"/>
      <c r="Z400" s="3" t="str">
        <f ca="1">IFERROR(__xludf.DUMMYFUNCTION("""COMPUTED_VALUE"""),"podklady@cncenter.cz")</f>
        <v>podklady@cncenter.cz</v>
      </c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 t="str">
        <f ca="1">IFERROR(__xludf.DUMMYFUNCTION("""COMPUTED_VALUE"""),"cross-device")</f>
        <v>cross-device</v>
      </c>
      <c r="AO400" s="3"/>
      <c r="AP400" s="3"/>
      <c r="AQ400" s="3"/>
      <c r="AR400" s="3"/>
      <c r="AS400" s="3"/>
      <c r="AT400" s="3"/>
      <c r="AU400" s="3" t="str">
        <f ca="1">IFERROR(__xludf.DUMMYFUNCTION("""COMPUTED_VALUE"""),"branding cross-device")</f>
        <v>branding cross-device</v>
      </c>
    </row>
    <row r="401" spans="1:47" x14ac:dyDescent="0.3">
      <c r="A401" s="3">
        <f ca="1"/>
        <v>2346826</v>
      </c>
      <c r="B401" s="3" t="str">
        <f ca="1"/>
        <v>CZECH NEWS CENTER a. s.</v>
      </c>
      <c r="C401" s="3" t="str">
        <f ca="1">IFERROR(__xludf.DUMMYFUNCTION("""COMPUTED_VALUE"""),"Digiarena")</f>
        <v>Digiarena</v>
      </c>
      <c r="D401" s="4" t="str">
        <f ca="1">IFERROR(__xludf.DUMMYFUNCTION("""COMPUTED_VALUE"""),"https://digiarena.zive.cz")</f>
        <v>https://digiarena.zive.cz</v>
      </c>
      <c r="E401" s="3" t="str">
        <f ca="1">IFERROR(__xludf.DUMMYFUNCTION("""COMPUTED_VALUE"""),"celý web")</f>
        <v>celý web</v>
      </c>
      <c r="F401" s="4" t="str">
        <f ca="1">IFERROR(__xludf.DUMMYFUNCTION("""COMPUTED_VALUE"""),"https://digiarena.zive.cz")</f>
        <v>https://digiarena.zive.cz</v>
      </c>
      <c r="G401" s="3" t="str">
        <f ca="1">IFERROR(__xludf.DUMMYFUNCTION("""COMPUTED_VALUE"""),"branding low season")</f>
        <v>branding low season</v>
      </c>
      <c r="H401" s="3">
        <f ca="1">IFERROR(__xludf.DUMMYFUNCTION("""COMPUTED_VALUE"""),7)</f>
        <v>7</v>
      </c>
      <c r="I401" s="5">
        <f ca="1">IFERROR(__xludf.DUMMYFUNCTION("""COMPUTED_VALUE"""),1000)</f>
        <v>1000</v>
      </c>
      <c r="J401" s="5">
        <f ca="1">IFERROR(__xludf.DUMMYFUNCTION("""COMPUTED_VALUE"""),490)</f>
        <v>490</v>
      </c>
      <c r="K401" s="3"/>
      <c r="L401" s="3" t="str">
        <f ca="1">IFERROR(__xludf.DUMMYFUNCTION("""COMPUTED_VALUE"""),"Cost per period")</f>
        <v>Cost per period</v>
      </c>
      <c r="M401" s="3"/>
      <c r="N401" s="3"/>
      <c r="O401" s="3" t="str">
        <f ca="1">IFERROR(__xludf.DUMMYFUNCTION("""COMPUTED_VALUE"""),"2000")</f>
        <v>2000</v>
      </c>
      <c r="P401" s="3" t="str">
        <f ca="1">IFERROR(__xludf.DUMMYFUNCTION("""COMPUTED_VALUE"""),"1400")</f>
        <v>1400</v>
      </c>
      <c r="Q401" s="3" t="str">
        <f ca="1">IFERROR(__xludf.DUMMYFUNCTION("""COMPUTED_VALUE"""),"2000x1400")</f>
        <v>2000x1400</v>
      </c>
      <c r="R401" s="3"/>
      <c r="S401" s="3" t="str">
        <f ca="1">IFERROR(__xludf.DUMMYFUNCTION("""COMPUTED_VALUE"""),"500 + 200 (600+200 HTML5)")</f>
        <v>500 + 200 (600+200 HTML5)</v>
      </c>
      <c r="T401" s="3"/>
      <c r="U401" s="3" t="str">
        <f ca="1">IFERROR(__xludf.DUMMYFUNCTION("""COMPUTED_VALUE"""),"banner standard")</f>
        <v>banner standard</v>
      </c>
      <c r="V401" s="3"/>
      <c r="W401" s="4" t="str">
        <f ca="1">IFERROR(__xludf.DUMMYFUNCTION("""COMPUTED_VALUE"""),"https://reklama.cncenter.cz/Online/branding")</f>
        <v>https://reklama.cncenter.cz/Online/branding</v>
      </c>
      <c r="X401" s="3"/>
      <c r="Y401" s="3"/>
      <c r="Z401" s="3" t="str">
        <f ca="1">IFERROR(__xludf.DUMMYFUNCTION("""COMPUTED_VALUE"""),"podklady@cncenter.cz")</f>
        <v>podklady@cncenter.cz</v>
      </c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 t="str">
        <f ca="1">IFERROR(__xludf.DUMMYFUNCTION("""COMPUTED_VALUE"""),"desktop")</f>
        <v>desktop</v>
      </c>
      <c r="AO401" s="3"/>
      <c r="AP401" s="3"/>
      <c r="AQ401" s="3"/>
      <c r="AR401" s="3"/>
      <c r="AS401" s="3"/>
      <c r="AT401" s="3"/>
      <c r="AU401" s="3" t="str">
        <f ca="1">IFERROR(__xludf.DUMMYFUNCTION("""COMPUTED_VALUE"""),"branding")</f>
        <v>branding</v>
      </c>
    </row>
    <row r="402" spans="1:47" x14ac:dyDescent="0.3">
      <c r="A402" s="3">
        <f ca="1"/>
        <v>2346826</v>
      </c>
      <c r="B402" s="3" t="str">
        <f ca="1"/>
        <v>CZECH NEWS CENTER a. s.</v>
      </c>
      <c r="C402" s="3" t="str">
        <f ca="1">IFERROR(__xludf.DUMMYFUNCTION("""COMPUTED_VALUE"""),"Digiarena")</f>
        <v>Digiarena</v>
      </c>
      <c r="D402" s="4" t="str">
        <f ca="1">IFERROR(__xludf.DUMMYFUNCTION("""COMPUTED_VALUE"""),"https://digiarena.zive.cz")</f>
        <v>https://digiarena.zive.cz</v>
      </c>
      <c r="E402" s="3" t="str">
        <f ca="1">IFERROR(__xludf.DUMMYFUNCTION("""COMPUTED_VALUE"""),"celý web")</f>
        <v>celý web</v>
      </c>
      <c r="F402" s="4" t="str">
        <f ca="1">IFERROR(__xludf.DUMMYFUNCTION("""COMPUTED_VALUE"""),"https://digiarena.zive.cz")</f>
        <v>https://digiarena.zive.cz</v>
      </c>
      <c r="G402" s="3" t="str">
        <f ca="1">IFERROR(__xludf.DUMMYFUNCTION("""COMPUTED_VALUE"""),"cílený billboard bottom low season")</f>
        <v>cílený billboard bottom low season</v>
      </c>
      <c r="H402" s="3">
        <f ca="1">IFERROR(__xludf.DUMMYFUNCTION("""COMPUTED_VALUE"""),7)</f>
        <v>7</v>
      </c>
      <c r="I402" s="5">
        <f ca="1">IFERROR(__xludf.DUMMYFUNCTION("""COMPUTED_VALUE"""),1000)</f>
        <v>1000</v>
      </c>
      <c r="J402" s="5">
        <f ca="1">IFERROR(__xludf.DUMMYFUNCTION("""COMPUTED_VALUE"""),288)</f>
        <v>288</v>
      </c>
      <c r="K402" s="3"/>
      <c r="L402" s="3" t="str">
        <f ca="1">IFERROR(__xludf.DUMMYFUNCTION("""COMPUTED_VALUE"""),"Cost per period")</f>
        <v>Cost per period</v>
      </c>
      <c r="M402" s="3"/>
      <c r="N402" s="3"/>
      <c r="O402" s="3" t="str">
        <f ca="1">IFERROR(__xludf.DUMMYFUNCTION("""COMPUTED_VALUE"""),"970")</f>
        <v>970</v>
      </c>
      <c r="P402" s="3" t="str">
        <f ca="1">IFERROR(__xludf.DUMMYFUNCTION("""COMPUTED_VALUE"""),"250")</f>
        <v>250</v>
      </c>
      <c r="Q402" s="3" t="str">
        <f ca="1">IFERROR(__xludf.DUMMYFUNCTION("""COMPUTED_VALUE"""),"970x250")</f>
        <v>970x250</v>
      </c>
      <c r="R402" s="3"/>
      <c r="S402" s="3" t="str">
        <f ca="1">IFERROR(__xludf.DUMMYFUNCTION("""COMPUTED_VALUE"""),"100 (200 - HTML5)")</f>
        <v>100 (200 - HTML5)</v>
      </c>
      <c r="T402" s="3"/>
      <c r="U402" s="3" t="str">
        <f ca="1">IFERROR(__xludf.DUMMYFUNCTION("""COMPUTED_VALUE"""),"banner standard")</f>
        <v>banner standard</v>
      </c>
      <c r="V402" s="3"/>
      <c r="W402" s="4" t="str">
        <f ca="1">IFERROR(__xludf.DUMMYFUNCTION("""COMPUTED_VALUE"""),"https://reklama.cncenter.cz/Online/billboard-bottom")</f>
        <v>https://reklama.cncenter.cz/Online/billboard-bottom</v>
      </c>
      <c r="X402" s="3"/>
      <c r="Y402" s="3"/>
      <c r="Z402" s="3" t="str">
        <f ca="1">IFERROR(__xludf.DUMMYFUNCTION("""COMPUTED_VALUE"""),"podklady@cncenter.cz")</f>
        <v>podklady@cncenter.cz</v>
      </c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 t="str">
        <f ca="1">IFERROR(__xludf.DUMMYFUNCTION("""COMPUTED_VALUE"""),"desktop")</f>
        <v>desktop</v>
      </c>
      <c r="AO402" s="3"/>
      <c r="AP402" s="3"/>
      <c r="AQ402" s="3"/>
      <c r="AR402" s="3"/>
      <c r="AS402" s="3"/>
      <c r="AT402" s="3"/>
      <c r="AU402" s="3" t="str">
        <f ca="1">IFERROR(__xludf.DUMMYFUNCTION("""COMPUTED_VALUE"""),"cílený billboard bottom")</f>
        <v>cílený billboard bottom</v>
      </c>
    </row>
    <row r="403" spans="1:47" x14ac:dyDescent="0.3">
      <c r="A403" s="3">
        <f ca="1"/>
        <v>2346826</v>
      </c>
      <c r="B403" s="3" t="str">
        <f ca="1"/>
        <v>CZECH NEWS CENTER a. s.</v>
      </c>
      <c r="C403" s="3" t="str">
        <f ca="1">IFERROR(__xludf.DUMMYFUNCTION("""COMPUTED_VALUE"""),"Digiarena")</f>
        <v>Digiarena</v>
      </c>
      <c r="D403" s="4" t="str">
        <f ca="1">IFERROR(__xludf.DUMMYFUNCTION("""COMPUTED_VALUE"""),"https://digiarena.zive.cz")</f>
        <v>https://digiarena.zive.cz</v>
      </c>
      <c r="E403" s="3" t="str">
        <f ca="1">IFERROR(__xludf.DUMMYFUNCTION("""COMPUTED_VALUE"""),"celý web")</f>
        <v>celý web</v>
      </c>
      <c r="F403" s="4" t="str">
        <f ca="1">IFERROR(__xludf.DUMMYFUNCTION("""COMPUTED_VALUE"""),"https://digiarena.zive.cz")</f>
        <v>https://digiarena.zive.cz</v>
      </c>
      <c r="G403" s="3" t="str">
        <f ca="1">IFERROR(__xludf.DUMMYFUNCTION("""COMPUTED_VALUE"""),"cílený branding cross-device low season")</f>
        <v>cílený branding cross-device low season</v>
      </c>
      <c r="H403" s="3">
        <f ca="1">IFERROR(__xludf.DUMMYFUNCTION("""COMPUTED_VALUE"""),7)</f>
        <v>7</v>
      </c>
      <c r="I403" s="5">
        <f ca="1">IFERROR(__xludf.DUMMYFUNCTION("""COMPUTED_VALUE"""),1000)</f>
        <v>1000</v>
      </c>
      <c r="J403" s="5">
        <f ca="1">IFERROR(__xludf.DUMMYFUNCTION("""COMPUTED_VALUE"""),360)</f>
        <v>360</v>
      </c>
      <c r="K403" s="3"/>
      <c r="L403" s="3" t="str">
        <f ca="1">IFERROR(__xludf.DUMMYFUNCTION("""COMPUTED_VALUE"""),"Cost per period")</f>
        <v>Cost per period</v>
      </c>
      <c r="M403" s="3"/>
      <c r="N403" s="3"/>
      <c r="O403" s="3" t="str">
        <f ca="1">IFERROR(__xludf.DUMMYFUNCTION("""COMPUTED_VALUE"""),"2000")</f>
        <v>2000</v>
      </c>
      <c r="P403" s="3" t="str">
        <f ca="1">IFERROR(__xludf.DUMMYFUNCTION("""COMPUTED_VALUE"""),"1400")</f>
        <v>1400</v>
      </c>
      <c r="Q403" s="3" t="str">
        <f ca="1">IFERROR(__xludf.DUMMYFUNCTION("""COMPUTED_VALUE"""),"2000x1400 + 600x1080")</f>
        <v>2000x1400 + 600x1080</v>
      </c>
      <c r="R403" s="3"/>
      <c r="S403" s="3" t="str">
        <f ca="1">IFERROR(__xludf.DUMMYFUNCTION("""COMPUTED_VALUE"""),"500 (600 - HTLM5)")</f>
        <v>500 (600 - HTLM5)</v>
      </c>
      <c r="T403" s="3"/>
      <c r="U403" s="3" t="str">
        <f ca="1">IFERROR(__xludf.DUMMYFUNCTION("""COMPUTED_VALUE"""),"banner standard")</f>
        <v>banner standard</v>
      </c>
      <c r="V403" s="3"/>
      <c r="W403" s="4" t="str">
        <f ca="1">IFERROR(__xludf.DUMMYFUNCTION("""COMPUTED_VALUE"""),"https://reklama.cncenter.cz/Online/branding-cross-device")</f>
        <v>https://reklama.cncenter.cz/Online/branding-cross-device</v>
      </c>
      <c r="X403" s="3"/>
      <c r="Y403" s="3"/>
      <c r="Z403" s="3" t="str">
        <f ca="1">IFERROR(__xludf.DUMMYFUNCTION("""COMPUTED_VALUE"""),"podklady@cncenter.cz")</f>
        <v>podklady@cncenter.cz</v>
      </c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 t="str">
        <f ca="1">IFERROR(__xludf.DUMMYFUNCTION("""COMPUTED_VALUE"""),"cross-device")</f>
        <v>cross-device</v>
      </c>
      <c r="AO403" s="3"/>
      <c r="AP403" s="3"/>
      <c r="AQ403" s="3"/>
      <c r="AR403" s="3"/>
      <c r="AS403" s="3"/>
      <c r="AT403" s="3"/>
      <c r="AU403" s="3" t="str">
        <f ca="1">IFERROR(__xludf.DUMMYFUNCTION("""COMPUTED_VALUE"""),"cílený branding cross-device")</f>
        <v>cílený branding cross-device</v>
      </c>
    </row>
    <row r="404" spans="1:47" x14ac:dyDescent="0.3">
      <c r="A404" s="3">
        <f ca="1"/>
        <v>2346826</v>
      </c>
      <c r="B404" s="3" t="str">
        <f ca="1"/>
        <v>CZECH NEWS CENTER a. s.</v>
      </c>
      <c r="C404" s="3" t="str">
        <f ca="1">IFERROR(__xludf.DUMMYFUNCTION("""COMPUTED_VALUE"""),"Digiarena")</f>
        <v>Digiarena</v>
      </c>
      <c r="D404" s="4" t="str">
        <f ca="1">IFERROR(__xludf.DUMMYFUNCTION("""COMPUTED_VALUE"""),"https://digiarena.zive.cz")</f>
        <v>https://digiarena.zive.cz</v>
      </c>
      <c r="E404" s="3" t="str">
        <f ca="1">IFERROR(__xludf.DUMMYFUNCTION("""COMPUTED_VALUE"""),"celý web")</f>
        <v>celý web</v>
      </c>
      <c r="F404" s="4" t="str">
        <f ca="1">IFERROR(__xludf.DUMMYFUNCTION("""COMPUTED_VALUE"""),"https://digiarena.zive.cz")</f>
        <v>https://digiarena.zive.cz</v>
      </c>
      <c r="G404" s="3" t="str">
        <f ca="1">IFERROR(__xludf.DUMMYFUNCTION("""COMPUTED_VALUE"""),"cílený branding low season")</f>
        <v>cílený branding low season</v>
      </c>
      <c r="H404" s="3">
        <f ca="1">IFERROR(__xludf.DUMMYFUNCTION("""COMPUTED_VALUE"""),7)</f>
        <v>7</v>
      </c>
      <c r="I404" s="5">
        <f ca="1">IFERROR(__xludf.DUMMYFUNCTION("""COMPUTED_VALUE"""),1000)</f>
        <v>1000</v>
      </c>
      <c r="J404" s="5">
        <f ca="1">IFERROR(__xludf.DUMMYFUNCTION("""COMPUTED_VALUE"""),588)</f>
        <v>588</v>
      </c>
      <c r="K404" s="3"/>
      <c r="L404" s="3" t="str">
        <f ca="1">IFERROR(__xludf.DUMMYFUNCTION("""COMPUTED_VALUE"""),"Cost per period")</f>
        <v>Cost per period</v>
      </c>
      <c r="M404" s="3"/>
      <c r="N404" s="3"/>
      <c r="O404" s="3" t="str">
        <f ca="1">IFERROR(__xludf.DUMMYFUNCTION("""COMPUTED_VALUE"""),"2000")</f>
        <v>2000</v>
      </c>
      <c r="P404" s="3" t="str">
        <f ca="1">IFERROR(__xludf.DUMMYFUNCTION("""COMPUTED_VALUE"""),"1400")</f>
        <v>1400</v>
      </c>
      <c r="Q404" s="3" t="str">
        <f ca="1">IFERROR(__xludf.DUMMYFUNCTION("""COMPUTED_VALUE"""),"2000x1400")</f>
        <v>2000x1400</v>
      </c>
      <c r="R404" s="3"/>
      <c r="S404" s="3" t="str">
        <f ca="1">IFERROR(__xludf.DUMMYFUNCTION("""COMPUTED_VALUE"""),"500 + 200 (600+200 HTML5)")</f>
        <v>500 + 200 (600+200 HTML5)</v>
      </c>
      <c r="T404" s="3"/>
      <c r="U404" s="3" t="str">
        <f ca="1">IFERROR(__xludf.DUMMYFUNCTION("""COMPUTED_VALUE"""),"banner standard")</f>
        <v>banner standard</v>
      </c>
      <c r="V404" s="3"/>
      <c r="W404" s="4" t="str">
        <f ca="1">IFERROR(__xludf.DUMMYFUNCTION("""COMPUTED_VALUE"""),"https://reklama.cncenter.cz/Online/branding")</f>
        <v>https://reklama.cncenter.cz/Online/branding</v>
      </c>
      <c r="X404" s="3"/>
      <c r="Y404" s="3"/>
      <c r="Z404" s="3" t="str">
        <f ca="1">IFERROR(__xludf.DUMMYFUNCTION("""COMPUTED_VALUE"""),"podklady@cncenter.cz")</f>
        <v>podklady@cncenter.cz</v>
      </c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 t="str">
        <f ca="1">IFERROR(__xludf.DUMMYFUNCTION("""COMPUTED_VALUE"""),"desktop")</f>
        <v>desktop</v>
      </c>
      <c r="AO404" s="3"/>
      <c r="AP404" s="3"/>
      <c r="AQ404" s="3"/>
      <c r="AR404" s="3"/>
      <c r="AS404" s="3"/>
      <c r="AT404" s="3"/>
      <c r="AU404" s="3" t="str">
        <f ca="1">IFERROR(__xludf.DUMMYFUNCTION("""COMPUTED_VALUE"""),"cílený branding")</f>
        <v>cílený branding</v>
      </c>
    </row>
    <row r="405" spans="1:47" x14ac:dyDescent="0.3">
      <c r="A405" s="3">
        <f ca="1"/>
        <v>2346826</v>
      </c>
      <c r="B405" s="3" t="str">
        <f ca="1"/>
        <v>CZECH NEWS CENTER a. s.</v>
      </c>
      <c r="C405" s="3" t="str">
        <f ca="1">IFERROR(__xludf.DUMMYFUNCTION("""COMPUTED_VALUE"""),"Digiarena")</f>
        <v>Digiarena</v>
      </c>
      <c r="D405" s="4" t="str">
        <f ca="1">IFERROR(__xludf.DUMMYFUNCTION("""COMPUTED_VALUE"""),"https://digiarena.zive.cz")</f>
        <v>https://digiarena.zive.cz</v>
      </c>
      <c r="E405" s="3" t="str">
        <f ca="1">IFERROR(__xludf.DUMMYFUNCTION("""COMPUTED_VALUE"""),"celý web")</f>
        <v>celý web</v>
      </c>
      <c r="F405" s="4" t="str">
        <f ca="1">IFERROR(__xludf.DUMMYFUNCTION("""COMPUTED_VALUE"""),"https://digiarena.zive.cz")</f>
        <v>https://digiarena.zive.cz</v>
      </c>
      <c r="G405" s="3" t="str">
        <f ca="1">IFERROR(__xludf.DUMMYFUNCTION("""COMPUTED_VALUE"""),"cílený double skyscraper low season")</f>
        <v>cílený double skyscraper low season</v>
      </c>
      <c r="H405" s="3">
        <f ca="1">IFERROR(__xludf.DUMMYFUNCTION("""COMPUTED_VALUE"""),7)</f>
        <v>7</v>
      </c>
      <c r="I405" s="5">
        <f ca="1">IFERROR(__xludf.DUMMYFUNCTION("""COMPUTED_VALUE"""),1000)</f>
        <v>1000</v>
      </c>
      <c r="J405" s="5">
        <f ca="1">IFERROR(__xludf.DUMMYFUNCTION("""COMPUTED_VALUE"""),228)</f>
        <v>228</v>
      </c>
      <c r="K405" s="3"/>
      <c r="L405" s="3" t="str">
        <f ca="1">IFERROR(__xludf.DUMMYFUNCTION("""COMPUTED_VALUE"""),"Cost per period")</f>
        <v>Cost per period</v>
      </c>
      <c r="M405" s="3"/>
      <c r="N405" s="3"/>
      <c r="O405" s="3" t="str">
        <f ca="1">IFERROR(__xludf.DUMMYFUNCTION("""COMPUTED_VALUE"""),"300")</f>
        <v>300</v>
      </c>
      <c r="P405" s="3" t="str">
        <f ca="1">IFERROR(__xludf.DUMMYFUNCTION("""COMPUTED_VALUE"""),"600")</f>
        <v>600</v>
      </c>
      <c r="Q405" s="3" t="str">
        <f ca="1">IFERROR(__xludf.DUMMYFUNCTION("""COMPUTED_VALUE"""),"300x600")</f>
        <v>300x600</v>
      </c>
      <c r="R405" s="3"/>
      <c r="S405" s="3" t="str">
        <f ca="1">IFERROR(__xludf.DUMMYFUNCTION("""COMPUTED_VALUE"""),"100 (200 - HTML5)")</f>
        <v>100 (200 - HTML5)</v>
      </c>
      <c r="T405" s="3"/>
      <c r="U405" s="3" t="str">
        <f ca="1">IFERROR(__xludf.DUMMYFUNCTION("""COMPUTED_VALUE"""),"banner standard")</f>
        <v>banner standard</v>
      </c>
      <c r="V405" s="3"/>
      <c r="W405" s="4" t="str">
        <f ca="1">IFERROR(__xludf.DUMMYFUNCTION("""COMPUTED_VALUE"""),"https://reklama.cncenter.cz/Online/double-skyscraper")</f>
        <v>https://reklama.cncenter.cz/Online/double-skyscraper</v>
      </c>
      <c r="X405" s="3"/>
      <c r="Y405" s="3"/>
      <c r="Z405" s="3" t="str">
        <f ca="1">IFERROR(__xludf.DUMMYFUNCTION("""COMPUTED_VALUE"""),"podklady@cncenter.cz")</f>
        <v>podklady@cncenter.cz</v>
      </c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 t="str">
        <f ca="1">IFERROR(__xludf.DUMMYFUNCTION("""COMPUTED_VALUE"""),"desktop")</f>
        <v>desktop</v>
      </c>
      <c r="AO405" s="3"/>
      <c r="AP405" s="3"/>
      <c r="AQ405" s="3"/>
      <c r="AR405" s="3"/>
      <c r="AS405" s="3"/>
      <c r="AT405" s="3"/>
      <c r="AU405" s="3" t="str">
        <f ca="1">IFERROR(__xludf.DUMMYFUNCTION("""COMPUTED_VALUE"""),"cílený double skyscraper")</f>
        <v>cílený double skyscraper</v>
      </c>
    </row>
    <row r="406" spans="1:47" x14ac:dyDescent="0.3">
      <c r="A406" s="3">
        <f ca="1"/>
        <v>2346826</v>
      </c>
      <c r="B406" s="3" t="str">
        <f ca="1"/>
        <v>CZECH NEWS CENTER a. s.</v>
      </c>
      <c r="C406" s="3" t="str">
        <f ca="1">IFERROR(__xludf.DUMMYFUNCTION("""COMPUTED_VALUE"""),"Digiarena")</f>
        <v>Digiarena</v>
      </c>
      <c r="D406" s="4" t="str">
        <f ca="1">IFERROR(__xludf.DUMMYFUNCTION("""COMPUTED_VALUE"""),"https://digiarena.zive.cz")</f>
        <v>https://digiarena.zive.cz</v>
      </c>
      <c r="E406" s="3" t="str">
        <f ca="1">IFERROR(__xludf.DUMMYFUNCTION("""COMPUTED_VALUE"""),"celý web")</f>
        <v>celý web</v>
      </c>
      <c r="F406" s="4" t="str">
        <f ca="1">IFERROR(__xludf.DUMMYFUNCTION("""COMPUTED_VALUE"""),"https://digiarena.zive.cz")</f>
        <v>https://digiarena.zive.cz</v>
      </c>
      <c r="G406" s="3" t="str">
        <f ca="1">IFERROR(__xludf.DUMMYFUNCTION("""COMPUTED_VALUE"""),"cílený mobilní interscroller low season")</f>
        <v>cílený mobilní interscroller low season</v>
      </c>
      <c r="H406" s="3">
        <f ca="1">IFERROR(__xludf.DUMMYFUNCTION("""COMPUTED_VALUE"""),7)</f>
        <v>7</v>
      </c>
      <c r="I406" s="5">
        <f ca="1">IFERROR(__xludf.DUMMYFUNCTION("""COMPUTED_VALUE"""),1000)</f>
        <v>1000</v>
      </c>
      <c r="J406" s="5">
        <f ca="1">IFERROR(__xludf.DUMMYFUNCTION("""COMPUTED_VALUE"""),300)</f>
        <v>300</v>
      </c>
      <c r="K406" s="3"/>
      <c r="L406" s="3" t="str">
        <f ca="1">IFERROR(__xludf.DUMMYFUNCTION("""COMPUTED_VALUE"""),"Cost per period")</f>
        <v>Cost per period</v>
      </c>
      <c r="M406" s="3"/>
      <c r="N406" s="3"/>
      <c r="O406" s="3" t="str">
        <f ca="1">IFERROR(__xludf.DUMMYFUNCTION("""COMPUTED_VALUE"""),"600")</f>
        <v>600</v>
      </c>
      <c r="P406" s="3" t="str">
        <f ca="1">IFERROR(__xludf.DUMMYFUNCTION("""COMPUTED_VALUE"""),"1080")</f>
        <v>1080</v>
      </c>
      <c r="Q406" s="3" t="str">
        <f ca="1">IFERROR(__xludf.DUMMYFUNCTION("""COMPUTED_VALUE"""),"600x1080")</f>
        <v>600x1080</v>
      </c>
      <c r="R406" s="3"/>
      <c r="S406" s="3" t="str">
        <f ca="1">IFERROR(__xludf.DUMMYFUNCTION("""COMPUTED_VALUE"""),"200")</f>
        <v>200</v>
      </c>
      <c r="T406" s="3"/>
      <c r="U406" s="3" t="str">
        <f ca="1">IFERROR(__xludf.DUMMYFUNCTION("""COMPUTED_VALUE"""),"banner standard")</f>
        <v>banner standard</v>
      </c>
      <c r="V406" s="3"/>
      <c r="W406" s="4" t="str">
        <f ca="1">IFERROR(__xludf.DUMMYFUNCTION("""COMPUTED_VALUE"""),"https://reklama.cncenter.cz/Online/mobilni-interscroller")</f>
        <v>https://reklama.cncenter.cz/Online/mobilni-interscroller</v>
      </c>
      <c r="X406" s="3"/>
      <c r="Y406" s="3"/>
      <c r="Z406" s="3" t="str">
        <f ca="1">IFERROR(__xludf.DUMMYFUNCTION("""COMPUTED_VALUE"""),"podklady@cncenter.cz")</f>
        <v>podklady@cncenter.cz</v>
      </c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 t="str">
        <f ca="1">IFERROR(__xludf.DUMMYFUNCTION("""COMPUTED_VALUE"""),"mobile")</f>
        <v>mobile</v>
      </c>
      <c r="AO406" s="3"/>
      <c r="AP406" s="3"/>
      <c r="AQ406" s="3"/>
      <c r="AR406" s="3"/>
      <c r="AS406" s="3"/>
      <c r="AT406" s="3"/>
      <c r="AU406" s="3" t="str">
        <f ca="1">IFERROR(__xludf.DUMMYFUNCTION("""COMPUTED_VALUE"""),"cílený mobilní interscroller")</f>
        <v>cílený mobilní interscroller</v>
      </c>
    </row>
    <row r="407" spans="1:47" x14ac:dyDescent="0.3">
      <c r="A407" s="3">
        <f ca="1"/>
        <v>2346826</v>
      </c>
      <c r="B407" s="3" t="str">
        <f ca="1"/>
        <v>CZECH NEWS CENTER a. s.</v>
      </c>
      <c r="C407" s="3" t="str">
        <f ca="1">IFERROR(__xludf.DUMMYFUNCTION("""COMPUTED_VALUE"""),"Digiarena")</f>
        <v>Digiarena</v>
      </c>
      <c r="D407" s="4" t="str">
        <f ca="1">IFERROR(__xludf.DUMMYFUNCTION("""COMPUTED_VALUE"""),"https://digiarena.zive.cz")</f>
        <v>https://digiarena.zive.cz</v>
      </c>
      <c r="E407" s="3" t="str">
        <f ca="1">IFERROR(__xludf.DUMMYFUNCTION("""COMPUTED_VALUE"""),"celý web")</f>
        <v>celý web</v>
      </c>
      <c r="F407" s="4" t="str">
        <f ca="1">IFERROR(__xludf.DUMMYFUNCTION("""COMPUTED_VALUE"""),"https://digiarena.zive.cz")</f>
        <v>https://digiarena.zive.cz</v>
      </c>
      <c r="G407" s="3" t="str">
        <f ca="1">IFERROR(__xludf.DUMMYFUNCTION("""COMPUTED_VALUE"""),"cílený mobilní slide-up low season")</f>
        <v>cílený mobilní slide-up low season</v>
      </c>
      <c r="H407" s="3">
        <f ca="1">IFERROR(__xludf.DUMMYFUNCTION("""COMPUTED_VALUE"""),7)</f>
        <v>7</v>
      </c>
      <c r="I407" s="5">
        <f ca="1">IFERROR(__xludf.DUMMYFUNCTION("""COMPUTED_VALUE"""),1000)</f>
        <v>1000</v>
      </c>
      <c r="J407" s="5">
        <f ca="1">IFERROR(__xludf.DUMMYFUNCTION("""COMPUTED_VALUE"""),612)</f>
        <v>612</v>
      </c>
      <c r="K407" s="3"/>
      <c r="L407" s="3" t="str">
        <f ca="1">IFERROR(__xludf.DUMMYFUNCTION("""COMPUTED_VALUE"""),"Cost per period")</f>
        <v>Cost per period</v>
      </c>
      <c r="M407" s="3"/>
      <c r="N407" s="3"/>
      <c r="O407" s="3" t="str">
        <f ca="1">IFERROR(__xludf.DUMMYFUNCTION("""COMPUTED_VALUE"""),"300")</f>
        <v>300</v>
      </c>
      <c r="P407" s="3" t="str">
        <f ca="1">IFERROR(__xludf.DUMMYFUNCTION("""COMPUTED_VALUE"""),"120")</f>
        <v>120</v>
      </c>
      <c r="Q407" s="3" t="str">
        <f ca="1">IFERROR(__xludf.DUMMYFUNCTION("""COMPUTED_VALUE"""),"300x120")</f>
        <v>300x120</v>
      </c>
      <c r="R407" s="3"/>
      <c r="S407" s="3" t="str">
        <f ca="1">IFERROR(__xludf.DUMMYFUNCTION("""COMPUTED_VALUE"""),"100")</f>
        <v>100</v>
      </c>
      <c r="T407" s="3"/>
      <c r="U407" s="3" t="str">
        <f ca="1">IFERROR(__xludf.DUMMYFUNCTION("""COMPUTED_VALUE"""),"banner standard")</f>
        <v>banner standard</v>
      </c>
      <c r="V407" s="3"/>
      <c r="W407" s="4" t="str">
        <f ca="1">IFERROR(__xludf.DUMMYFUNCTION("""COMPUTED_VALUE"""),"https://reklama.cncenter.cz/Online/mobilni-slide-up")</f>
        <v>https://reklama.cncenter.cz/Online/mobilni-slide-up</v>
      </c>
      <c r="X407" s="3"/>
      <c r="Y407" s="3"/>
      <c r="Z407" s="3" t="str">
        <f ca="1">IFERROR(__xludf.DUMMYFUNCTION("""COMPUTED_VALUE"""),"podklady@cncenter.cz")</f>
        <v>podklady@cncenter.cz</v>
      </c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 t="str">
        <f ca="1">IFERROR(__xludf.DUMMYFUNCTION("""COMPUTED_VALUE"""),"mobile")</f>
        <v>mobile</v>
      </c>
      <c r="AO407" s="3"/>
      <c r="AP407" s="3"/>
      <c r="AQ407" s="3"/>
      <c r="AR407" s="3"/>
      <c r="AS407" s="3"/>
      <c r="AT407" s="3"/>
      <c r="AU407" s="3" t="str">
        <f ca="1">IFERROR(__xludf.DUMMYFUNCTION("""COMPUTED_VALUE"""),"cílený mobilní slide-up")</f>
        <v>cílený mobilní slide-up</v>
      </c>
    </row>
    <row r="408" spans="1:47" x14ac:dyDescent="0.3">
      <c r="A408" s="3">
        <f ca="1"/>
        <v>2346826</v>
      </c>
      <c r="B408" s="3" t="str">
        <f ca="1"/>
        <v>CZECH NEWS CENTER a. s.</v>
      </c>
      <c r="C408" s="3" t="str">
        <f ca="1">IFERROR(__xludf.DUMMYFUNCTION("""COMPUTED_VALUE"""),"Digiarena")</f>
        <v>Digiarena</v>
      </c>
      <c r="D408" s="4" t="str">
        <f ca="1">IFERROR(__xludf.DUMMYFUNCTION("""COMPUTED_VALUE"""),"https://digiarena.zive.cz")</f>
        <v>https://digiarena.zive.cz</v>
      </c>
      <c r="E408" s="3" t="str">
        <f ca="1">IFERROR(__xludf.DUMMYFUNCTION("""COMPUTED_VALUE"""),"celý web")</f>
        <v>celý web</v>
      </c>
      <c r="F408" s="4" t="str">
        <f ca="1">IFERROR(__xludf.DUMMYFUNCTION("""COMPUTED_VALUE"""),"https://digiarena.zive.cz")</f>
        <v>https://digiarena.zive.cz</v>
      </c>
      <c r="G408" s="3" t="str">
        <f ca="1">IFERROR(__xludf.DUMMYFUNCTION("""COMPUTED_VALUE"""),"cílený mobilní viněta low season")</f>
        <v>cílený mobilní viněta low season</v>
      </c>
      <c r="H408" s="3">
        <f ca="1">IFERROR(__xludf.DUMMYFUNCTION("""COMPUTED_VALUE"""),7)</f>
        <v>7</v>
      </c>
      <c r="I408" s="5">
        <f ca="1">IFERROR(__xludf.DUMMYFUNCTION("""COMPUTED_VALUE"""),1000)</f>
        <v>1000</v>
      </c>
      <c r="J408" s="5">
        <f ca="1">IFERROR(__xludf.DUMMYFUNCTION("""COMPUTED_VALUE"""),1056)</f>
        <v>1056</v>
      </c>
      <c r="K408" s="3"/>
      <c r="L408" s="3" t="str">
        <f ca="1">IFERROR(__xludf.DUMMYFUNCTION("""COMPUTED_VALUE"""),"Cost per period")</f>
        <v>Cost per period</v>
      </c>
      <c r="M408" s="3"/>
      <c r="N408" s="3"/>
      <c r="O408" s="3" t="str">
        <f ca="1">IFERROR(__xludf.DUMMYFUNCTION("""COMPUTED_VALUE"""),"600")</f>
        <v>600</v>
      </c>
      <c r="P408" s="3" t="str">
        <f ca="1">IFERROR(__xludf.DUMMYFUNCTION("""COMPUTED_VALUE"""),"800")</f>
        <v>800</v>
      </c>
      <c r="Q408" s="3" t="str">
        <f ca="1">IFERROR(__xludf.DUMMYFUNCTION("""COMPUTED_VALUE"""),"300x250 nebo 600x800")</f>
        <v>300x250 nebo 600x800</v>
      </c>
      <c r="R408" s="3"/>
      <c r="S408" s="3" t="str">
        <f ca="1">IFERROR(__xludf.DUMMYFUNCTION("""COMPUTED_VALUE"""),"100")</f>
        <v>100</v>
      </c>
      <c r="T408" s="3"/>
      <c r="U408" s="3" t="str">
        <f ca="1">IFERROR(__xludf.DUMMYFUNCTION("""COMPUTED_VALUE"""),"banner standard")</f>
        <v>banner standard</v>
      </c>
      <c r="V408" s="3"/>
      <c r="W408" s="4" t="str">
        <f ca="1">IFERROR(__xludf.DUMMYFUNCTION("""COMPUTED_VALUE"""),"https://reklama.cncenter.cz/Online/mobilni-vineta")</f>
        <v>https://reklama.cncenter.cz/Online/mobilni-vineta</v>
      </c>
      <c r="X408" s="3"/>
      <c r="Y408" s="3"/>
      <c r="Z408" s="3" t="str">
        <f ca="1">IFERROR(__xludf.DUMMYFUNCTION("""COMPUTED_VALUE"""),"podklady@cncenter.cz")</f>
        <v>podklady@cncenter.cz</v>
      </c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 t="str">
        <f ca="1">IFERROR(__xludf.DUMMYFUNCTION("""COMPUTED_VALUE"""),"mobile")</f>
        <v>mobile</v>
      </c>
      <c r="AO408" s="3"/>
      <c r="AP408" s="3"/>
      <c r="AQ408" s="3"/>
      <c r="AR408" s="3"/>
      <c r="AS408" s="3"/>
      <c r="AT408" s="3"/>
      <c r="AU408" s="3" t="str">
        <f ca="1">IFERROR(__xludf.DUMMYFUNCTION("""COMPUTED_VALUE"""),"cílený mobilní viněta")</f>
        <v>cílený mobilní viněta</v>
      </c>
    </row>
    <row r="409" spans="1:47" x14ac:dyDescent="0.3">
      <c r="A409" s="3">
        <f ca="1"/>
        <v>2346826</v>
      </c>
      <c r="B409" s="3" t="str">
        <f ca="1"/>
        <v>CZECH NEWS CENTER a. s.</v>
      </c>
      <c r="C409" s="3" t="str">
        <f ca="1">IFERROR(__xludf.DUMMYFUNCTION("""COMPUTED_VALUE"""),"Digiarena")</f>
        <v>Digiarena</v>
      </c>
      <c r="D409" s="4" t="str">
        <f ca="1">IFERROR(__xludf.DUMMYFUNCTION("""COMPUTED_VALUE"""),"https://digiarena.zive.cz")</f>
        <v>https://digiarena.zive.cz</v>
      </c>
      <c r="E409" s="3" t="str">
        <f ca="1">IFERROR(__xludf.DUMMYFUNCTION("""COMPUTED_VALUE"""),"celý web")</f>
        <v>celý web</v>
      </c>
      <c r="F409" s="4" t="str">
        <f ca="1">IFERROR(__xludf.DUMMYFUNCTION("""COMPUTED_VALUE"""),"https://digiarena.zive.cz")</f>
        <v>https://digiarena.zive.cz</v>
      </c>
      <c r="G409" s="3" t="str">
        <f ca="1">IFERROR(__xludf.DUMMYFUNCTION("""COMPUTED_VALUE"""),"cílený nativní rectangle cross-device low season")</f>
        <v>cílený nativní rectangle cross-device low season</v>
      </c>
      <c r="H409" s="3">
        <f ca="1">IFERROR(__xludf.DUMMYFUNCTION("""COMPUTED_VALUE"""),7)</f>
        <v>7</v>
      </c>
      <c r="I409" s="5">
        <f ca="1">IFERROR(__xludf.DUMMYFUNCTION("""COMPUTED_VALUE"""),1000)</f>
        <v>1000</v>
      </c>
      <c r="J409" s="5">
        <f ca="1">IFERROR(__xludf.DUMMYFUNCTION("""COMPUTED_VALUE"""),240)</f>
        <v>240</v>
      </c>
      <c r="K409" s="3"/>
      <c r="L409" s="3" t="str">
        <f ca="1">IFERROR(__xludf.DUMMYFUNCTION("""COMPUTED_VALUE"""),"Cost per period")</f>
        <v>Cost per period</v>
      </c>
      <c r="M409" s="3"/>
      <c r="N409" s="3"/>
      <c r="O409" s="3" t="str">
        <f ca="1">IFERROR(__xludf.DUMMYFUNCTION("""COMPUTED_VALUE"""),"640")</f>
        <v>640</v>
      </c>
      <c r="P409" s="3" t="str">
        <f ca="1">IFERROR(__xludf.DUMMYFUNCTION("""COMPUTED_VALUE"""),"335, 640")</f>
        <v>335, 640</v>
      </c>
      <c r="Q409" s="3" t="str">
        <f ca="1">IFERROR(__xludf.DUMMYFUNCTION("""COMPUTED_VALUE"""),"640x640 a 640x335 + text + logo")</f>
        <v>640x640 a 640x335 + text + logo</v>
      </c>
      <c r="R409" s="3"/>
      <c r="S409" s="3" t="str">
        <f ca="1">IFERROR(__xludf.DUMMYFUNCTION("""COMPUTED_VALUE"""),"45")</f>
        <v>45</v>
      </c>
      <c r="T409" s="3"/>
      <c r="U409" s="3" t="str">
        <f ca="1">IFERROR(__xludf.DUMMYFUNCTION("""COMPUTED_VALUE"""),"nativní reklama")</f>
        <v>nativní reklama</v>
      </c>
      <c r="V409" s="3"/>
      <c r="W409" s="4" t="str">
        <f ca="1">IFERROR(__xludf.DUMMYFUNCTION("""COMPUTED_VALUE"""),"https://reklama.cncenter.cz/Online/nativni-rectangle-cross-device")</f>
        <v>https://reklama.cncenter.cz/Online/nativni-rectangle-cross-device</v>
      </c>
      <c r="X409" s="3"/>
      <c r="Y409" s="3"/>
      <c r="Z409" s="3" t="str">
        <f ca="1">IFERROR(__xludf.DUMMYFUNCTION("""COMPUTED_VALUE"""),"podklady@cncenter.cz")</f>
        <v>podklady@cncenter.cz</v>
      </c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 t="str">
        <f ca="1">IFERROR(__xludf.DUMMYFUNCTION("""COMPUTED_VALUE"""),"cross-device")</f>
        <v>cross-device</v>
      </c>
      <c r="AO409" s="3"/>
      <c r="AP409" s="3"/>
      <c r="AQ409" s="3"/>
      <c r="AR409" s="3"/>
      <c r="AS409" s="3"/>
      <c r="AT409" s="3"/>
      <c r="AU409" s="3" t="str">
        <f ca="1">IFERROR(__xludf.DUMMYFUNCTION("""COMPUTED_VALUE"""),"cílený nativní rectangle cross-device")</f>
        <v>cílený nativní rectangle cross-device</v>
      </c>
    </row>
    <row r="410" spans="1:47" x14ac:dyDescent="0.3">
      <c r="A410" s="3">
        <f ca="1"/>
        <v>2346826</v>
      </c>
      <c r="B410" s="3" t="str">
        <f ca="1"/>
        <v>CZECH NEWS CENTER a. s.</v>
      </c>
      <c r="C410" s="3" t="str">
        <f ca="1">IFERROR(__xludf.DUMMYFUNCTION("""COMPUTED_VALUE"""),"Digiarena")</f>
        <v>Digiarena</v>
      </c>
      <c r="D410" s="4" t="str">
        <f ca="1">IFERROR(__xludf.DUMMYFUNCTION("""COMPUTED_VALUE"""),"https://digiarena.zive.cz")</f>
        <v>https://digiarena.zive.cz</v>
      </c>
      <c r="E410" s="3" t="str">
        <f ca="1">IFERROR(__xludf.DUMMYFUNCTION("""COMPUTED_VALUE"""),"celý web")</f>
        <v>celý web</v>
      </c>
      <c r="F410" s="4" t="str">
        <f ca="1">IFERROR(__xludf.DUMMYFUNCTION("""COMPUTED_VALUE"""),"https://digiarena.zive.cz")</f>
        <v>https://digiarena.zive.cz</v>
      </c>
      <c r="G410" s="3" t="str">
        <f ca="1">IFERROR(__xludf.DUMMYFUNCTION("""COMPUTED_VALUE"""),"cílený outstream low season")</f>
        <v>cílený outstream low season</v>
      </c>
      <c r="H410" s="3">
        <f ca="1">IFERROR(__xludf.DUMMYFUNCTION("""COMPUTED_VALUE"""),7)</f>
        <v>7</v>
      </c>
      <c r="I410" s="5">
        <f ca="1">IFERROR(__xludf.DUMMYFUNCTION("""COMPUTED_VALUE"""),1000)</f>
        <v>1000</v>
      </c>
      <c r="J410" s="5">
        <f ca="1">IFERROR(__xludf.DUMMYFUNCTION("""COMPUTED_VALUE"""),300)</f>
        <v>300</v>
      </c>
      <c r="K410" s="3"/>
      <c r="L410" s="3" t="str">
        <f ca="1">IFERROR(__xludf.DUMMYFUNCTION("""COMPUTED_VALUE"""),"Cost per period")</f>
        <v>Cost per period</v>
      </c>
      <c r="M410" s="3"/>
      <c r="N410" s="3"/>
      <c r="O410" s="3" t="str">
        <f ca="1">IFERROR(__xludf.DUMMYFUNCTION("""COMPUTED_VALUE"""),"1280")</f>
        <v>1280</v>
      </c>
      <c r="P410" s="3" t="str">
        <f ca="1">IFERROR(__xludf.DUMMYFUNCTION("""COMPUTED_VALUE"""),"720")</f>
        <v>720</v>
      </c>
      <c r="Q410" s="3" t="str">
        <f ca="1">IFERROR(__xludf.DUMMYFUNCTION("""COMPUTED_VALUE"""),"16:9")</f>
        <v>16:9</v>
      </c>
      <c r="R410" s="3"/>
      <c r="S410" s="3" t="str">
        <f ca="1">IFERROR(__xludf.DUMMYFUNCTION("""COMPUTED_VALUE"""),"100")</f>
        <v>100</v>
      </c>
      <c r="T410" s="3"/>
      <c r="U410" s="3" t="str">
        <f ca="1">IFERROR(__xludf.DUMMYFUNCTION("""COMPUTED_VALUE"""),"videospot")</f>
        <v>videospot</v>
      </c>
      <c r="V410" s="3"/>
      <c r="W410" s="4" t="str">
        <f ca="1">IFERROR(__xludf.DUMMYFUNCTION("""COMPUTED_VALUE"""),"https://reklama.cncenter.cz/Online/Outstream")</f>
        <v>https://reklama.cncenter.cz/Online/Outstream</v>
      </c>
      <c r="X410" s="3"/>
      <c r="Y410" s="3"/>
      <c r="Z410" s="3" t="str">
        <f ca="1">IFERROR(__xludf.DUMMYFUNCTION("""COMPUTED_VALUE"""),"podklady@cncenter.cz")</f>
        <v>podklady@cncenter.cz</v>
      </c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 t="str">
        <f ca="1">IFERROR(__xludf.DUMMYFUNCTION("""COMPUTED_VALUE"""),"cross-device")</f>
        <v>cross-device</v>
      </c>
      <c r="AO410" s="3"/>
      <c r="AP410" s="3"/>
      <c r="AQ410" s="3"/>
      <c r="AR410" s="3"/>
      <c r="AS410" s="3"/>
      <c r="AT410" s="3"/>
      <c r="AU410" s="3" t="str">
        <f ca="1">IFERROR(__xludf.DUMMYFUNCTION("""COMPUTED_VALUE"""),"cílený outstream")</f>
        <v>cílený outstream</v>
      </c>
    </row>
    <row r="411" spans="1:47" x14ac:dyDescent="0.3">
      <c r="A411" s="3">
        <f ca="1"/>
        <v>2346826</v>
      </c>
      <c r="B411" s="3" t="str">
        <f ca="1"/>
        <v>CZECH NEWS CENTER a. s.</v>
      </c>
      <c r="C411" s="3" t="str">
        <f ca="1">IFERROR(__xludf.DUMMYFUNCTION("""COMPUTED_VALUE"""),"DIGIarena")</f>
        <v>DIGIarena</v>
      </c>
      <c r="D411" s="4" t="str">
        <f ca="1">IFERROR(__xludf.DUMMYFUNCTION("""COMPUTED_VALUE"""),"https://digiarena.zive.cz")</f>
        <v>https://digiarena.zive.cz</v>
      </c>
      <c r="E411" s="3" t="str">
        <f ca="1">IFERROR(__xludf.DUMMYFUNCTION("""COMPUTED_VALUE"""),"celý web")</f>
        <v>celý web</v>
      </c>
      <c r="F411" s="4" t="str">
        <f ca="1">IFERROR(__xludf.DUMMYFUNCTION("""COMPUTED_VALUE"""),"https://digiarena.zive.cz")</f>
        <v>https://digiarena.zive.cz</v>
      </c>
      <c r="G411" s="3" t="str">
        <f ca="1">IFERROR(__xludf.DUMMYFUNCTION("""COMPUTED_VALUE"""),"dokoupení proma o 2 týdny - 10 000 PV *** low season")</f>
        <v>dokoupení proma o 2 týdny - 10 000 PV *** low season</v>
      </c>
      <c r="H411" s="3">
        <f ca="1">IFERROR(__xludf.DUMMYFUNCTION("""COMPUTED_VALUE"""),1)</f>
        <v>1</v>
      </c>
      <c r="I411" s="5">
        <f ca="1">IFERROR(__xludf.DUMMYFUNCTION("""COMPUTED_VALUE"""),1)</f>
        <v>1</v>
      </c>
      <c r="J411" s="5">
        <f ca="1">IFERROR(__xludf.DUMMYFUNCTION("""COMPUTED_VALUE"""),60000)</f>
        <v>60000</v>
      </c>
      <c r="K411" s="3"/>
      <c r="L411" s="3" t="str">
        <f ca="1">IFERROR(__xludf.DUMMYFUNCTION("""COMPUTED_VALUE"""),"Cost per instance")</f>
        <v>Cost per instance</v>
      </c>
      <c r="M411" s="3"/>
      <c r="N411" s="3"/>
      <c r="O411" s="3"/>
      <c r="P411" s="3"/>
      <c r="Q411" s="3"/>
      <c r="R411" s="3"/>
      <c r="S411" s="3" t="str">
        <f ca="1">IFERROR(__xludf.DUMMYFUNCTION("""COMPUTED_VALUE"""),"100")</f>
        <v>100</v>
      </c>
      <c r="T411" s="3"/>
      <c r="U411" s="3" t="str">
        <f ca="1">IFERROR(__xludf.DUMMYFUNCTION("""COMPUTED_VALUE"""),"microsite")</f>
        <v>microsite</v>
      </c>
      <c r="V411" s="3"/>
      <c r="W411" s="3"/>
      <c r="X411" s="3"/>
      <c r="Y411" s="3"/>
      <c r="Z411" s="3" t="str">
        <f ca="1">IFERROR(__xludf.DUMMYFUNCTION("""COMPUTED_VALUE"""),"podklady@cncenter.cz")</f>
        <v>podklady@cncenter.cz</v>
      </c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 t="str">
        <f ca="1">IFERROR(__xludf.DUMMYFUNCTION("""COMPUTED_VALUE"""),"cross-device")</f>
        <v>cross-device</v>
      </c>
      <c r="AO411" s="3"/>
      <c r="AP411" s="3"/>
      <c r="AQ411" s="3"/>
      <c r="AR411" s="3"/>
      <c r="AS411" s="3"/>
      <c r="AT411" s="3"/>
      <c r="AU411" s="3" t="str">
        <f ca="1">IFERROR(__xludf.DUMMYFUNCTION("""COMPUTED_VALUE"""),"dokoupení proma o 2 týdny - 10 000 PV ***")</f>
        <v>dokoupení proma o 2 týdny - 10 000 PV ***</v>
      </c>
    </row>
    <row r="412" spans="1:47" x14ac:dyDescent="0.3">
      <c r="A412" s="3">
        <f ca="1"/>
        <v>2346826</v>
      </c>
      <c r="B412" s="3" t="str">
        <f ca="1"/>
        <v>CZECH NEWS CENTER a. s.</v>
      </c>
      <c r="C412" s="3" t="str">
        <f ca="1">IFERROR(__xludf.DUMMYFUNCTION("""COMPUTED_VALUE"""),"Digiarena")</f>
        <v>Digiarena</v>
      </c>
      <c r="D412" s="4" t="str">
        <f ca="1">IFERROR(__xludf.DUMMYFUNCTION("""COMPUTED_VALUE"""),"https://digiarena.zive.cz")</f>
        <v>https://digiarena.zive.cz</v>
      </c>
      <c r="E412" s="3" t="str">
        <f ca="1">IFERROR(__xludf.DUMMYFUNCTION("""COMPUTED_VALUE"""),"celý web")</f>
        <v>celý web</v>
      </c>
      <c r="F412" s="4" t="str">
        <f ca="1">IFERROR(__xludf.DUMMYFUNCTION("""COMPUTED_VALUE"""),"https://digiarena.zive.cz")</f>
        <v>https://digiarena.zive.cz</v>
      </c>
      <c r="G412" s="3" t="str">
        <f ca="1">IFERROR(__xludf.DUMMYFUNCTION("""COMPUTED_VALUE"""),"double skyscraper low season")</f>
        <v>double skyscraper low season</v>
      </c>
      <c r="H412" s="3">
        <f ca="1">IFERROR(__xludf.DUMMYFUNCTION("""COMPUTED_VALUE"""),7)</f>
        <v>7</v>
      </c>
      <c r="I412" s="5">
        <f ca="1">IFERROR(__xludf.DUMMYFUNCTION("""COMPUTED_VALUE"""),1000)</f>
        <v>1000</v>
      </c>
      <c r="J412" s="5">
        <f ca="1">IFERROR(__xludf.DUMMYFUNCTION("""COMPUTED_VALUE"""),190)</f>
        <v>190</v>
      </c>
      <c r="K412" s="3"/>
      <c r="L412" s="3" t="str">
        <f ca="1">IFERROR(__xludf.DUMMYFUNCTION("""COMPUTED_VALUE"""),"Cost per period")</f>
        <v>Cost per period</v>
      </c>
      <c r="M412" s="3"/>
      <c r="N412" s="3"/>
      <c r="O412" s="3" t="str">
        <f ca="1">IFERROR(__xludf.DUMMYFUNCTION("""COMPUTED_VALUE"""),"300")</f>
        <v>300</v>
      </c>
      <c r="P412" s="3" t="str">
        <f ca="1">IFERROR(__xludf.DUMMYFUNCTION("""COMPUTED_VALUE"""),"600")</f>
        <v>600</v>
      </c>
      <c r="Q412" s="3" t="str">
        <f ca="1">IFERROR(__xludf.DUMMYFUNCTION("""COMPUTED_VALUE"""),"300x600")</f>
        <v>300x600</v>
      </c>
      <c r="R412" s="3"/>
      <c r="S412" s="3" t="str">
        <f ca="1">IFERROR(__xludf.DUMMYFUNCTION("""COMPUTED_VALUE"""),"100 (200 - HTML5)")</f>
        <v>100 (200 - HTML5)</v>
      </c>
      <c r="T412" s="3"/>
      <c r="U412" s="3" t="str">
        <f ca="1">IFERROR(__xludf.DUMMYFUNCTION("""COMPUTED_VALUE"""),"banner standard")</f>
        <v>banner standard</v>
      </c>
      <c r="V412" s="3"/>
      <c r="W412" s="4" t="str">
        <f ca="1">IFERROR(__xludf.DUMMYFUNCTION("""COMPUTED_VALUE"""),"https://reklama.cncenter.cz/Online/double-skyscraper")</f>
        <v>https://reklama.cncenter.cz/Online/double-skyscraper</v>
      </c>
      <c r="X412" s="3"/>
      <c r="Y412" s="3"/>
      <c r="Z412" s="3" t="str">
        <f ca="1">IFERROR(__xludf.DUMMYFUNCTION("""COMPUTED_VALUE"""),"podklady@cncenter.cz")</f>
        <v>podklady@cncenter.cz</v>
      </c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 t="str">
        <f ca="1">IFERROR(__xludf.DUMMYFUNCTION("""COMPUTED_VALUE"""),"desktop")</f>
        <v>desktop</v>
      </c>
      <c r="AO412" s="3"/>
      <c r="AP412" s="3"/>
      <c r="AQ412" s="3"/>
      <c r="AR412" s="3"/>
      <c r="AS412" s="3"/>
      <c r="AT412" s="3"/>
      <c r="AU412" s="3" t="str">
        <f ca="1">IFERROR(__xludf.DUMMYFUNCTION("""COMPUTED_VALUE"""),"double skyscraper")</f>
        <v>double skyscraper</v>
      </c>
    </row>
    <row r="413" spans="1:47" x14ac:dyDescent="0.3">
      <c r="A413" s="3">
        <f ca="1"/>
        <v>2346826</v>
      </c>
      <c r="B413" s="3" t="str">
        <f ca="1"/>
        <v>CZECH NEWS CENTER a. s.</v>
      </c>
      <c r="C413" s="3" t="str">
        <f ca="1">IFERROR(__xludf.DUMMYFUNCTION("""COMPUTED_VALUE"""),"Digiarena")</f>
        <v>Digiarena</v>
      </c>
      <c r="D413" s="4" t="str">
        <f ca="1">IFERROR(__xludf.DUMMYFUNCTION("""COMPUTED_VALUE"""),"https://digiarena.zive.cz")</f>
        <v>https://digiarena.zive.cz</v>
      </c>
      <c r="E413" s="3" t="str">
        <f ca="1">IFERROR(__xludf.DUMMYFUNCTION("""COMPUTED_VALUE"""),"celý web")</f>
        <v>celý web</v>
      </c>
      <c r="F413" s="4" t="str">
        <f ca="1">IFERROR(__xludf.DUMMYFUNCTION("""COMPUTED_VALUE"""),"https://digiarena.zive.cz")</f>
        <v>https://digiarena.zive.cz</v>
      </c>
      <c r="G413" s="3" t="str">
        <f ca="1">IFERROR(__xludf.DUMMYFUNCTION("""COMPUTED_VALUE"""),"mobilní interscroller low season")</f>
        <v>mobilní interscroller low season</v>
      </c>
      <c r="H413" s="3">
        <f ca="1">IFERROR(__xludf.DUMMYFUNCTION("""COMPUTED_VALUE"""),7)</f>
        <v>7</v>
      </c>
      <c r="I413" s="5">
        <f ca="1">IFERROR(__xludf.DUMMYFUNCTION("""COMPUTED_VALUE"""),1000)</f>
        <v>1000</v>
      </c>
      <c r="J413" s="5">
        <f ca="1">IFERROR(__xludf.DUMMYFUNCTION("""COMPUTED_VALUE"""),250)</f>
        <v>250</v>
      </c>
      <c r="K413" s="3"/>
      <c r="L413" s="3" t="str">
        <f ca="1">IFERROR(__xludf.DUMMYFUNCTION("""COMPUTED_VALUE"""),"Cost per period")</f>
        <v>Cost per period</v>
      </c>
      <c r="M413" s="3"/>
      <c r="N413" s="3"/>
      <c r="O413" s="3" t="str">
        <f ca="1">IFERROR(__xludf.DUMMYFUNCTION("""COMPUTED_VALUE"""),"600")</f>
        <v>600</v>
      </c>
      <c r="P413" s="3" t="str">
        <f ca="1">IFERROR(__xludf.DUMMYFUNCTION("""COMPUTED_VALUE"""),"1080")</f>
        <v>1080</v>
      </c>
      <c r="Q413" s="3" t="str">
        <f ca="1">IFERROR(__xludf.DUMMYFUNCTION("""COMPUTED_VALUE"""),"600x1080")</f>
        <v>600x1080</v>
      </c>
      <c r="R413" s="3"/>
      <c r="S413" s="3" t="str">
        <f ca="1">IFERROR(__xludf.DUMMYFUNCTION("""COMPUTED_VALUE"""),"200")</f>
        <v>200</v>
      </c>
      <c r="T413" s="3"/>
      <c r="U413" s="3" t="str">
        <f ca="1">IFERROR(__xludf.DUMMYFUNCTION("""COMPUTED_VALUE"""),"banner standard")</f>
        <v>banner standard</v>
      </c>
      <c r="V413" s="3"/>
      <c r="W413" s="4" t="str">
        <f ca="1">IFERROR(__xludf.DUMMYFUNCTION("""COMPUTED_VALUE"""),"https://reklama.cncenter.cz/Online/mobilni-interscroller")</f>
        <v>https://reklama.cncenter.cz/Online/mobilni-interscroller</v>
      </c>
      <c r="X413" s="3"/>
      <c r="Y413" s="3"/>
      <c r="Z413" s="3" t="str">
        <f ca="1">IFERROR(__xludf.DUMMYFUNCTION("""COMPUTED_VALUE"""),"podklady@cncenter.cz")</f>
        <v>podklady@cncenter.cz</v>
      </c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 t="str">
        <f ca="1">IFERROR(__xludf.DUMMYFUNCTION("""COMPUTED_VALUE"""),"mobile")</f>
        <v>mobile</v>
      </c>
      <c r="AO413" s="3"/>
      <c r="AP413" s="3"/>
      <c r="AQ413" s="3"/>
      <c r="AR413" s="3"/>
      <c r="AS413" s="3"/>
      <c r="AT413" s="3"/>
      <c r="AU413" s="3" t="str">
        <f ca="1">IFERROR(__xludf.DUMMYFUNCTION("""COMPUTED_VALUE"""),"mobilní interscroller")</f>
        <v>mobilní interscroller</v>
      </c>
    </row>
    <row r="414" spans="1:47" x14ac:dyDescent="0.3">
      <c r="A414" s="3">
        <f ca="1"/>
        <v>2346826</v>
      </c>
      <c r="B414" s="3" t="str">
        <f ca="1"/>
        <v>CZECH NEWS CENTER a. s.</v>
      </c>
      <c r="C414" s="3" t="str">
        <f ca="1">IFERROR(__xludf.DUMMYFUNCTION("""COMPUTED_VALUE"""),"Digiarena")</f>
        <v>Digiarena</v>
      </c>
      <c r="D414" s="4" t="str">
        <f ca="1">IFERROR(__xludf.DUMMYFUNCTION("""COMPUTED_VALUE"""),"https://digiarena.zive.cz")</f>
        <v>https://digiarena.zive.cz</v>
      </c>
      <c r="E414" s="3" t="str">
        <f ca="1">IFERROR(__xludf.DUMMYFUNCTION("""COMPUTED_VALUE"""),"celý web")</f>
        <v>celý web</v>
      </c>
      <c r="F414" s="4" t="str">
        <f ca="1">IFERROR(__xludf.DUMMYFUNCTION("""COMPUTED_VALUE"""),"https://digiarena.zive.cz")</f>
        <v>https://digiarena.zive.cz</v>
      </c>
      <c r="G414" s="3" t="str">
        <f ca="1">IFERROR(__xludf.DUMMYFUNCTION("""COMPUTED_VALUE"""),"mobilní slide-up low season")</f>
        <v>mobilní slide-up low season</v>
      </c>
      <c r="H414" s="3">
        <f ca="1">IFERROR(__xludf.DUMMYFUNCTION("""COMPUTED_VALUE"""),7)</f>
        <v>7</v>
      </c>
      <c r="I414" s="5">
        <f ca="1">IFERROR(__xludf.DUMMYFUNCTION("""COMPUTED_VALUE"""),1000)</f>
        <v>1000</v>
      </c>
      <c r="J414" s="5">
        <f ca="1">IFERROR(__xludf.DUMMYFUNCTION("""COMPUTED_VALUE"""),510)</f>
        <v>510</v>
      </c>
      <c r="K414" s="3"/>
      <c r="L414" s="3" t="str">
        <f ca="1">IFERROR(__xludf.DUMMYFUNCTION("""COMPUTED_VALUE"""),"Cost per period")</f>
        <v>Cost per period</v>
      </c>
      <c r="M414" s="3"/>
      <c r="N414" s="3"/>
      <c r="O414" s="3" t="str">
        <f ca="1">IFERROR(__xludf.DUMMYFUNCTION("""COMPUTED_VALUE"""),"300")</f>
        <v>300</v>
      </c>
      <c r="P414" s="3" t="str">
        <f ca="1">IFERROR(__xludf.DUMMYFUNCTION("""COMPUTED_VALUE"""),"120")</f>
        <v>120</v>
      </c>
      <c r="Q414" s="3" t="str">
        <f ca="1">IFERROR(__xludf.DUMMYFUNCTION("""COMPUTED_VALUE"""),"300x120")</f>
        <v>300x120</v>
      </c>
      <c r="R414" s="3"/>
      <c r="S414" s="3" t="str">
        <f ca="1">IFERROR(__xludf.DUMMYFUNCTION("""COMPUTED_VALUE"""),"100")</f>
        <v>100</v>
      </c>
      <c r="T414" s="3"/>
      <c r="U414" s="3" t="str">
        <f ca="1">IFERROR(__xludf.DUMMYFUNCTION("""COMPUTED_VALUE"""),"banner standard")</f>
        <v>banner standard</v>
      </c>
      <c r="V414" s="3"/>
      <c r="W414" s="4" t="str">
        <f ca="1">IFERROR(__xludf.DUMMYFUNCTION("""COMPUTED_VALUE"""),"https://reklama.cncenter.cz/Online/mobilni-slide-up")</f>
        <v>https://reklama.cncenter.cz/Online/mobilni-slide-up</v>
      </c>
      <c r="X414" s="3"/>
      <c r="Y414" s="3"/>
      <c r="Z414" s="3" t="str">
        <f ca="1">IFERROR(__xludf.DUMMYFUNCTION("""COMPUTED_VALUE"""),"podklady@cncenter.cz")</f>
        <v>podklady@cncenter.cz</v>
      </c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 t="str">
        <f ca="1">IFERROR(__xludf.DUMMYFUNCTION("""COMPUTED_VALUE"""),"mobile")</f>
        <v>mobile</v>
      </c>
      <c r="AO414" s="3"/>
      <c r="AP414" s="3"/>
      <c r="AQ414" s="3"/>
      <c r="AR414" s="3"/>
      <c r="AS414" s="3"/>
      <c r="AT414" s="3"/>
      <c r="AU414" s="3" t="str">
        <f ca="1">IFERROR(__xludf.DUMMYFUNCTION("""COMPUTED_VALUE"""),"mobilní slide-up")</f>
        <v>mobilní slide-up</v>
      </c>
    </row>
    <row r="415" spans="1:47" x14ac:dyDescent="0.3">
      <c r="A415" s="3">
        <f ca="1"/>
        <v>2346826</v>
      </c>
      <c r="B415" s="3" t="str">
        <f ca="1"/>
        <v>CZECH NEWS CENTER a. s.</v>
      </c>
      <c r="C415" s="3" t="str">
        <f ca="1">IFERROR(__xludf.DUMMYFUNCTION("""COMPUTED_VALUE"""),"Digiarena")</f>
        <v>Digiarena</v>
      </c>
      <c r="D415" s="4" t="str">
        <f ca="1">IFERROR(__xludf.DUMMYFUNCTION("""COMPUTED_VALUE"""),"https://digiarena.zive.cz")</f>
        <v>https://digiarena.zive.cz</v>
      </c>
      <c r="E415" s="3" t="str">
        <f ca="1">IFERROR(__xludf.DUMMYFUNCTION("""COMPUTED_VALUE"""),"celý web")</f>
        <v>celý web</v>
      </c>
      <c r="F415" s="4" t="str">
        <f ca="1">IFERROR(__xludf.DUMMYFUNCTION("""COMPUTED_VALUE"""),"https://digiarena.zive.cz")</f>
        <v>https://digiarena.zive.cz</v>
      </c>
      <c r="G415" s="3" t="str">
        <f ca="1">IFERROR(__xludf.DUMMYFUNCTION("""COMPUTED_VALUE"""),"mobilní viněta low season")</f>
        <v>mobilní viněta low season</v>
      </c>
      <c r="H415" s="3">
        <f ca="1">IFERROR(__xludf.DUMMYFUNCTION("""COMPUTED_VALUE"""),7)</f>
        <v>7</v>
      </c>
      <c r="I415" s="5">
        <f ca="1">IFERROR(__xludf.DUMMYFUNCTION("""COMPUTED_VALUE"""),1000)</f>
        <v>1000</v>
      </c>
      <c r="J415" s="5">
        <f ca="1">IFERROR(__xludf.DUMMYFUNCTION("""COMPUTED_VALUE"""),880)</f>
        <v>880</v>
      </c>
      <c r="K415" s="3"/>
      <c r="L415" s="3" t="str">
        <f ca="1">IFERROR(__xludf.DUMMYFUNCTION("""COMPUTED_VALUE"""),"Cost per period")</f>
        <v>Cost per period</v>
      </c>
      <c r="M415" s="3"/>
      <c r="N415" s="3"/>
      <c r="O415" s="3" t="str">
        <f ca="1">IFERROR(__xludf.DUMMYFUNCTION("""COMPUTED_VALUE"""),"600")</f>
        <v>600</v>
      </c>
      <c r="P415" s="3" t="str">
        <f ca="1">IFERROR(__xludf.DUMMYFUNCTION("""COMPUTED_VALUE"""),"800")</f>
        <v>800</v>
      </c>
      <c r="Q415" s="3" t="str">
        <f ca="1">IFERROR(__xludf.DUMMYFUNCTION("""COMPUTED_VALUE"""),"300x250 nebo 600x800")</f>
        <v>300x250 nebo 600x800</v>
      </c>
      <c r="R415" s="3"/>
      <c r="S415" s="3" t="str">
        <f ca="1">IFERROR(__xludf.DUMMYFUNCTION("""COMPUTED_VALUE"""),"100")</f>
        <v>100</v>
      </c>
      <c r="T415" s="3"/>
      <c r="U415" s="3" t="str">
        <f ca="1">IFERROR(__xludf.DUMMYFUNCTION("""COMPUTED_VALUE"""),"banner standard")</f>
        <v>banner standard</v>
      </c>
      <c r="V415" s="3"/>
      <c r="W415" s="4" t="str">
        <f ca="1">IFERROR(__xludf.DUMMYFUNCTION("""COMPUTED_VALUE"""),"https://reklama.cncenter.cz/Online/mobilni-vineta")</f>
        <v>https://reklama.cncenter.cz/Online/mobilni-vineta</v>
      </c>
      <c r="X415" s="3"/>
      <c r="Y415" s="3"/>
      <c r="Z415" s="3" t="str">
        <f ca="1">IFERROR(__xludf.DUMMYFUNCTION("""COMPUTED_VALUE"""),"podklady@cncenter.cz")</f>
        <v>podklady@cncenter.cz</v>
      </c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 t="str">
        <f ca="1">IFERROR(__xludf.DUMMYFUNCTION("""COMPUTED_VALUE"""),"mobile")</f>
        <v>mobile</v>
      </c>
      <c r="AO415" s="3"/>
      <c r="AP415" s="3"/>
      <c r="AQ415" s="3"/>
      <c r="AR415" s="3"/>
      <c r="AS415" s="3"/>
      <c r="AT415" s="3"/>
      <c r="AU415" s="3" t="str">
        <f ca="1">IFERROR(__xludf.DUMMYFUNCTION("""COMPUTED_VALUE"""),"mobilní viněta")</f>
        <v>mobilní viněta</v>
      </c>
    </row>
    <row r="416" spans="1:47" x14ac:dyDescent="0.3">
      <c r="A416" s="3">
        <f ca="1"/>
        <v>2346826</v>
      </c>
      <c r="B416" s="3" t="str">
        <f ca="1"/>
        <v>CZECH NEWS CENTER a. s.</v>
      </c>
      <c r="C416" s="3" t="str">
        <f ca="1">IFERROR(__xludf.DUMMYFUNCTION("""COMPUTED_VALUE"""),"DIGIarena")</f>
        <v>DIGIarena</v>
      </c>
      <c r="D416" s="4" t="str">
        <f ca="1">IFERROR(__xludf.DUMMYFUNCTION("""COMPUTED_VALUE"""),"https://digiarena.zive.cz")</f>
        <v>https://digiarena.zive.cz</v>
      </c>
      <c r="E416" s="3" t="str">
        <f ca="1">IFERROR(__xludf.DUMMYFUNCTION("""COMPUTED_VALUE"""),"celý web")</f>
        <v>celý web</v>
      </c>
      <c r="F416" s="4" t="str">
        <f ca="1">IFERROR(__xludf.DUMMYFUNCTION("""COMPUTED_VALUE"""),"https://digiarena.zive.cz")</f>
        <v>https://digiarena.zive.cz</v>
      </c>
      <c r="G416" s="3" t="str">
        <f ca="1">IFERROR(__xludf.DUMMYFUNCTION("""COMPUTED_VALUE"""),"Native Standard low season")</f>
        <v>Native Standard low season</v>
      </c>
      <c r="H416" s="3">
        <f ca="1">IFERROR(__xludf.DUMMYFUNCTION("""COMPUTED_VALUE"""),1)</f>
        <v>1</v>
      </c>
      <c r="I416" s="5">
        <f ca="1">IFERROR(__xludf.DUMMYFUNCTION("""COMPUTED_VALUE"""),1)</f>
        <v>1</v>
      </c>
      <c r="J416" s="5">
        <f ca="1">IFERROR(__xludf.DUMMYFUNCTION("""COMPUTED_VALUE"""),330000)</f>
        <v>330000</v>
      </c>
      <c r="K416" s="3"/>
      <c r="L416" s="3" t="str">
        <f ca="1">IFERROR(__xludf.DUMMYFUNCTION("""COMPUTED_VALUE"""),"Cost per instance")</f>
        <v>Cost per instance</v>
      </c>
      <c r="M416" s="3"/>
      <c r="N416" s="3"/>
      <c r="O416" s="3"/>
      <c r="P416" s="3"/>
      <c r="Q416" s="3"/>
      <c r="R416" s="3"/>
      <c r="S416" s="3" t="str">
        <f ca="1">IFERROR(__xludf.DUMMYFUNCTION("""COMPUTED_VALUE"""),"100")</f>
        <v>100</v>
      </c>
      <c r="T416" s="3"/>
      <c r="U416" s="3" t="str">
        <f ca="1">IFERROR(__xludf.DUMMYFUNCTION("""COMPUTED_VALUE"""),"microsite")</f>
        <v>microsite</v>
      </c>
      <c r="V416" s="3"/>
      <c r="W416" s="3"/>
      <c r="X416" s="3"/>
      <c r="Y416" s="3"/>
      <c r="Z416" s="3" t="str">
        <f ca="1">IFERROR(__xludf.DUMMYFUNCTION("""COMPUTED_VALUE"""),"podklady@cncenter.cz")</f>
        <v>podklady@cncenter.cz</v>
      </c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 t="str">
        <f ca="1">IFERROR(__xludf.DUMMYFUNCTION("""COMPUTED_VALUE"""),"cross-device")</f>
        <v>cross-device</v>
      </c>
      <c r="AO416" s="3"/>
      <c r="AP416" s="3"/>
      <c r="AQ416" s="3"/>
      <c r="AR416" s="3"/>
      <c r="AS416" s="3"/>
      <c r="AT416" s="3"/>
      <c r="AU416" s="3" t="str">
        <f ca="1">IFERROR(__xludf.DUMMYFUNCTION("""COMPUTED_VALUE"""),"Native Standard")</f>
        <v>Native Standard</v>
      </c>
    </row>
    <row r="417" spans="1:47" x14ac:dyDescent="0.3">
      <c r="A417" s="3">
        <f ca="1"/>
        <v>2346826</v>
      </c>
      <c r="B417" s="3" t="str">
        <f ca="1"/>
        <v>CZECH NEWS CENTER a. s.</v>
      </c>
      <c r="C417" s="3" t="str">
        <f ca="1">IFERROR(__xludf.DUMMYFUNCTION("""COMPUTED_VALUE"""),"Digiarena")</f>
        <v>Digiarena</v>
      </c>
      <c r="D417" s="4" t="str">
        <f ca="1">IFERROR(__xludf.DUMMYFUNCTION("""COMPUTED_VALUE"""),"https://digiarena.zive.cz")</f>
        <v>https://digiarena.zive.cz</v>
      </c>
      <c r="E417" s="3" t="str">
        <f ca="1">IFERROR(__xludf.DUMMYFUNCTION("""COMPUTED_VALUE"""),"celý web")</f>
        <v>celý web</v>
      </c>
      <c r="F417" s="4" t="str">
        <f ca="1">IFERROR(__xludf.DUMMYFUNCTION("""COMPUTED_VALUE"""),"https://digiarena.zive.cz")</f>
        <v>https://digiarena.zive.cz</v>
      </c>
      <c r="G417" s="3" t="str">
        <f ca="1">IFERROR(__xludf.DUMMYFUNCTION("""COMPUTED_VALUE"""),"nativní rectangle cross-device low season")</f>
        <v>nativní rectangle cross-device low season</v>
      </c>
      <c r="H417" s="3">
        <f ca="1">IFERROR(__xludf.DUMMYFUNCTION("""COMPUTED_VALUE"""),7)</f>
        <v>7</v>
      </c>
      <c r="I417" s="5">
        <f ca="1">IFERROR(__xludf.DUMMYFUNCTION("""COMPUTED_VALUE"""),1000)</f>
        <v>1000</v>
      </c>
      <c r="J417" s="5">
        <f ca="1">IFERROR(__xludf.DUMMYFUNCTION("""COMPUTED_VALUE"""),200)</f>
        <v>200</v>
      </c>
      <c r="K417" s="3"/>
      <c r="L417" s="3" t="str">
        <f ca="1">IFERROR(__xludf.DUMMYFUNCTION("""COMPUTED_VALUE"""),"Cost per period")</f>
        <v>Cost per period</v>
      </c>
      <c r="M417" s="3"/>
      <c r="N417" s="3"/>
      <c r="O417" s="3" t="str">
        <f ca="1">IFERROR(__xludf.DUMMYFUNCTION("""COMPUTED_VALUE"""),"640")</f>
        <v>640</v>
      </c>
      <c r="P417" s="3" t="str">
        <f ca="1">IFERROR(__xludf.DUMMYFUNCTION("""COMPUTED_VALUE"""),"335, 640")</f>
        <v>335, 640</v>
      </c>
      <c r="Q417" s="3" t="str">
        <f ca="1">IFERROR(__xludf.DUMMYFUNCTION("""COMPUTED_VALUE"""),"640x640 a 640x335 + text + logo")</f>
        <v>640x640 a 640x335 + text + logo</v>
      </c>
      <c r="R417" s="3"/>
      <c r="S417" s="3" t="str">
        <f ca="1">IFERROR(__xludf.DUMMYFUNCTION("""COMPUTED_VALUE"""),"45")</f>
        <v>45</v>
      </c>
      <c r="T417" s="3"/>
      <c r="U417" s="3" t="str">
        <f ca="1">IFERROR(__xludf.DUMMYFUNCTION("""COMPUTED_VALUE"""),"nativní reklama")</f>
        <v>nativní reklama</v>
      </c>
      <c r="V417" s="3"/>
      <c r="W417" s="4" t="str">
        <f ca="1">IFERROR(__xludf.DUMMYFUNCTION("""COMPUTED_VALUE"""),"https://reklama.cncenter.cz/Online/nativni-rectangle-cross-device")</f>
        <v>https://reklama.cncenter.cz/Online/nativni-rectangle-cross-device</v>
      </c>
      <c r="X417" s="3"/>
      <c r="Y417" s="3"/>
      <c r="Z417" s="3" t="str">
        <f ca="1">IFERROR(__xludf.DUMMYFUNCTION("""COMPUTED_VALUE"""),"podklady@cncenter.cz")</f>
        <v>podklady@cncenter.cz</v>
      </c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 t="str">
        <f ca="1">IFERROR(__xludf.DUMMYFUNCTION("""COMPUTED_VALUE"""),"cross-device")</f>
        <v>cross-device</v>
      </c>
      <c r="AO417" s="3"/>
      <c r="AP417" s="3"/>
      <c r="AQ417" s="3"/>
      <c r="AR417" s="3"/>
      <c r="AS417" s="3"/>
      <c r="AT417" s="3"/>
      <c r="AU417" s="3" t="str">
        <f ca="1">IFERROR(__xludf.DUMMYFUNCTION("""COMPUTED_VALUE"""),"nativní rectangle cross-device")</f>
        <v>nativní rectangle cross-device</v>
      </c>
    </row>
    <row r="418" spans="1:47" x14ac:dyDescent="0.3">
      <c r="A418" s="3">
        <f ca="1"/>
        <v>2346826</v>
      </c>
      <c r="B418" s="3" t="str">
        <f ca="1"/>
        <v>CZECH NEWS CENTER a. s.</v>
      </c>
      <c r="C418" s="3" t="str">
        <f ca="1">IFERROR(__xludf.DUMMYFUNCTION("""COMPUTED_VALUE"""),"Digiarena")</f>
        <v>Digiarena</v>
      </c>
      <c r="D418" s="4" t="str">
        <f ca="1">IFERROR(__xludf.DUMMYFUNCTION("""COMPUTED_VALUE"""),"https://digiarena.zive.cz")</f>
        <v>https://digiarena.zive.cz</v>
      </c>
      <c r="E418" s="3" t="str">
        <f ca="1">IFERROR(__xludf.DUMMYFUNCTION("""COMPUTED_VALUE"""),"celý web")</f>
        <v>celý web</v>
      </c>
      <c r="F418" s="4" t="str">
        <f ca="1">IFERROR(__xludf.DUMMYFUNCTION("""COMPUTED_VALUE"""),"https://digiarena.zive.cz")</f>
        <v>https://digiarena.zive.cz</v>
      </c>
      <c r="G418" s="3" t="str">
        <f ca="1">IFERROR(__xludf.DUMMYFUNCTION("""COMPUTED_VALUE"""),"outstream low season")</f>
        <v>outstream low season</v>
      </c>
      <c r="H418" s="3">
        <f ca="1">IFERROR(__xludf.DUMMYFUNCTION("""COMPUTED_VALUE"""),7)</f>
        <v>7</v>
      </c>
      <c r="I418" s="5">
        <f ca="1">IFERROR(__xludf.DUMMYFUNCTION("""COMPUTED_VALUE"""),1000)</f>
        <v>1000</v>
      </c>
      <c r="J418" s="5">
        <f ca="1">IFERROR(__xludf.DUMMYFUNCTION("""COMPUTED_VALUE"""),250)</f>
        <v>250</v>
      </c>
      <c r="K418" s="3"/>
      <c r="L418" s="3" t="str">
        <f ca="1">IFERROR(__xludf.DUMMYFUNCTION("""COMPUTED_VALUE"""),"Cost per period")</f>
        <v>Cost per period</v>
      </c>
      <c r="M418" s="3"/>
      <c r="N418" s="3"/>
      <c r="O418" s="3" t="str">
        <f ca="1">IFERROR(__xludf.DUMMYFUNCTION("""COMPUTED_VALUE"""),"1280")</f>
        <v>1280</v>
      </c>
      <c r="P418" s="3" t="str">
        <f ca="1">IFERROR(__xludf.DUMMYFUNCTION("""COMPUTED_VALUE"""),"720")</f>
        <v>720</v>
      </c>
      <c r="Q418" s="3" t="str">
        <f ca="1">IFERROR(__xludf.DUMMYFUNCTION("""COMPUTED_VALUE"""),"16:9")</f>
        <v>16:9</v>
      </c>
      <c r="R418" s="3"/>
      <c r="S418" s="3" t="str">
        <f ca="1">IFERROR(__xludf.DUMMYFUNCTION("""COMPUTED_VALUE"""),"100")</f>
        <v>100</v>
      </c>
      <c r="T418" s="3"/>
      <c r="U418" s="3" t="str">
        <f ca="1">IFERROR(__xludf.DUMMYFUNCTION("""COMPUTED_VALUE"""),"videospot")</f>
        <v>videospot</v>
      </c>
      <c r="V418" s="3"/>
      <c r="W418" s="4" t="str">
        <f ca="1">IFERROR(__xludf.DUMMYFUNCTION("""COMPUTED_VALUE"""),"https://reklama.cncenter.cz/Online/Outstream")</f>
        <v>https://reklama.cncenter.cz/Online/Outstream</v>
      </c>
      <c r="X418" s="3"/>
      <c r="Y418" s="3"/>
      <c r="Z418" s="3" t="str">
        <f ca="1">IFERROR(__xludf.DUMMYFUNCTION("""COMPUTED_VALUE"""),"podklady@cncenter.cz")</f>
        <v>podklady@cncenter.cz</v>
      </c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 t="str">
        <f ca="1">IFERROR(__xludf.DUMMYFUNCTION("""COMPUTED_VALUE"""),"cross-device")</f>
        <v>cross-device</v>
      </c>
      <c r="AO418" s="3"/>
      <c r="AP418" s="3"/>
      <c r="AQ418" s="3"/>
      <c r="AR418" s="3"/>
      <c r="AS418" s="3"/>
      <c r="AT418" s="3"/>
      <c r="AU418" s="3" t="str">
        <f ca="1">IFERROR(__xludf.DUMMYFUNCTION("""COMPUTED_VALUE"""),"outstream")</f>
        <v>outstream</v>
      </c>
    </row>
    <row r="419" spans="1:47" x14ac:dyDescent="0.3">
      <c r="A419" s="3">
        <f ca="1"/>
        <v>2346826</v>
      </c>
      <c r="B419" s="3" t="str">
        <f ca="1"/>
        <v>CZECH NEWS CENTER a. s.</v>
      </c>
      <c r="C419" s="3" t="str">
        <f ca="1">IFERROR(__xludf.DUMMYFUNCTION("""COMPUTED_VALUE"""),"DIGIarena")</f>
        <v>DIGIarena</v>
      </c>
      <c r="D419" s="4" t="str">
        <f ca="1">IFERROR(__xludf.DUMMYFUNCTION("""COMPUTED_VALUE"""),"https://digiarena.zive.cz")</f>
        <v>https://digiarena.zive.cz</v>
      </c>
      <c r="E419" s="3" t="str">
        <f ca="1">IFERROR(__xludf.DUMMYFUNCTION("""COMPUTED_VALUE"""),"celý web")</f>
        <v>celý web</v>
      </c>
      <c r="F419" s="4" t="str">
        <f ca="1">IFERROR(__xludf.DUMMYFUNCTION("""COMPUTED_VALUE"""),"https://digiarena.zive.cz")</f>
        <v>https://digiarena.zive.cz</v>
      </c>
      <c r="G419" s="3" t="str">
        <f ca="1">IFERROR(__xludf.DUMMYFUNCTION("""COMPUTED_VALUE"""),"PR článek low season")</f>
        <v>PR článek low season</v>
      </c>
      <c r="H419" s="3">
        <f ca="1">IFERROR(__xludf.DUMMYFUNCTION("""COMPUTED_VALUE"""),1)</f>
        <v>1</v>
      </c>
      <c r="I419" s="5">
        <f ca="1">IFERROR(__xludf.DUMMYFUNCTION("""COMPUTED_VALUE"""),1)</f>
        <v>1</v>
      </c>
      <c r="J419" s="5">
        <f ca="1">IFERROR(__xludf.DUMMYFUNCTION("""COMPUTED_VALUE"""),20000)</f>
        <v>20000</v>
      </c>
      <c r="K419" s="3"/>
      <c r="L419" s="3" t="str">
        <f ca="1">IFERROR(__xludf.DUMMYFUNCTION("""COMPUTED_VALUE"""),"Cost per instance")</f>
        <v>Cost per instance</v>
      </c>
      <c r="M419" s="3"/>
      <c r="N419" s="3"/>
      <c r="O419" s="3"/>
      <c r="P419" s="3"/>
      <c r="Q419" s="3"/>
      <c r="R419" s="3"/>
      <c r="S419" s="3" t="str">
        <f ca="1">IFERROR(__xludf.DUMMYFUNCTION("""COMPUTED_VALUE"""),"100")</f>
        <v>100</v>
      </c>
      <c r="T419" s="3"/>
      <c r="U419" s="3" t="str">
        <f ca="1">IFERROR(__xludf.DUMMYFUNCTION("""COMPUTED_VALUE"""),"pr článek")</f>
        <v>pr článek</v>
      </c>
      <c r="V419" s="3"/>
      <c r="W419" s="4" t="str">
        <f ca="1">IFERROR(__xludf.DUMMYFUNCTION("""COMPUTED_VALUE"""),"https://reklama.cncenter.cz/?ads=PR%2520%25C4%258Dl%25C3%25A1nky")</f>
        <v>https://reklama.cncenter.cz/?ads=PR%2520%25C4%258Dl%25C3%25A1nky</v>
      </c>
      <c r="X419" s="3"/>
      <c r="Y419" s="3"/>
      <c r="Z419" s="3" t="str">
        <f ca="1">IFERROR(__xludf.DUMMYFUNCTION("""COMPUTED_VALUE"""),"podklady@cncenter.cz")</f>
        <v>podklady@cncenter.cz</v>
      </c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 t="str">
        <f ca="1">IFERROR(__xludf.DUMMYFUNCTION("""COMPUTED_VALUE"""),"cross-device")</f>
        <v>cross-device</v>
      </c>
      <c r="AO419" s="3"/>
      <c r="AP419" s="3"/>
      <c r="AQ419" s="3"/>
      <c r="AR419" s="3"/>
      <c r="AS419" s="3"/>
      <c r="AT419" s="3"/>
      <c r="AU419" s="3" t="str">
        <f ca="1">IFERROR(__xludf.DUMMYFUNCTION("""COMPUTED_VALUE"""),"PR článek")</f>
        <v>PR článek</v>
      </c>
    </row>
    <row r="420" spans="1:47" x14ac:dyDescent="0.3">
      <c r="A420" s="3">
        <f ca="1"/>
        <v>2346826</v>
      </c>
      <c r="B420" s="3" t="str">
        <f ca="1"/>
        <v>CZECH NEWS CENTER a. s.</v>
      </c>
      <c r="C420" s="3" t="str">
        <f ca="1">IFERROR(__xludf.DUMMYFUNCTION("""COMPUTED_VALUE"""),"DIGIarena")</f>
        <v>DIGIarena</v>
      </c>
      <c r="D420" s="4" t="str">
        <f ca="1">IFERROR(__xludf.DUMMYFUNCTION("""COMPUTED_VALUE"""),"https://digiarena.zive.cz")</f>
        <v>https://digiarena.zive.cz</v>
      </c>
      <c r="E420" s="3" t="str">
        <f ca="1">IFERROR(__xludf.DUMMYFUNCTION("""COMPUTED_VALUE"""),"celý web")</f>
        <v>celý web</v>
      </c>
      <c r="F420" s="4" t="str">
        <f ca="1">IFERROR(__xludf.DUMMYFUNCTION("""COMPUTED_VALUE"""),"https://digiarena.zive.cz")</f>
        <v>https://digiarena.zive.cz</v>
      </c>
      <c r="G420" s="3" t="str">
        <f ca="1">IFERROR(__xludf.DUMMYFUNCTION("""COMPUTED_VALUE"""),"Prodloužení existující microsite, bez úprav low season")</f>
        <v>Prodloužení existující microsite, bez úprav low season</v>
      </c>
      <c r="H420" s="3">
        <f ca="1">IFERROR(__xludf.DUMMYFUNCTION("""COMPUTED_VALUE"""),1)</f>
        <v>1</v>
      </c>
      <c r="I420" s="5">
        <f ca="1">IFERROR(__xludf.DUMMYFUNCTION("""COMPUTED_VALUE"""),1)</f>
        <v>1</v>
      </c>
      <c r="J420" s="5">
        <f ca="1">IFERROR(__xludf.DUMMYFUNCTION("""COMPUTED_VALUE"""),15000)</f>
        <v>15000</v>
      </c>
      <c r="K420" s="3"/>
      <c r="L420" s="3" t="str">
        <f ca="1">IFERROR(__xludf.DUMMYFUNCTION("""COMPUTED_VALUE"""),"Cost per instance")</f>
        <v>Cost per instance</v>
      </c>
      <c r="M420" s="3"/>
      <c r="N420" s="3"/>
      <c r="O420" s="3"/>
      <c r="P420" s="3"/>
      <c r="Q420" s="3"/>
      <c r="R420" s="3"/>
      <c r="S420" s="3" t="str">
        <f ca="1">IFERROR(__xludf.DUMMYFUNCTION("""COMPUTED_VALUE"""),"100")</f>
        <v>100</v>
      </c>
      <c r="T420" s="3"/>
      <c r="U420" s="3" t="str">
        <f ca="1">IFERROR(__xludf.DUMMYFUNCTION("""COMPUTED_VALUE"""),"microsite")</f>
        <v>microsite</v>
      </c>
      <c r="V420" s="3"/>
      <c r="W420" s="3"/>
      <c r="X420" s="3"/>
      <c r="Y420" s="3"/>
      <c r="Z420" s="3" t="str">
        <f ca="1">IFERROR(__xludf.DUMMYFUNCTION("""COMPUTED_VALUE"""),"podklady@cncenter.cz")</f>
        <v>podklady@cncenter.cz</v>
      </c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 t="str">
        <f ca="1">IFERROR(__xludf.DUMMYFUNCTION("""COMPUTED_VALUE"""),"cross-device")</f>
        <v>cross-device</v>
      </c>
      <c r="AO420" s="3"/>
      <c r="AP420" s="3"/>
      <c r="AQ420" s="3"/>
      <c r="AR420" s="3"/>
      <c r="AS420" s="3"/>
      <c r="AT420" s="3"/>
      <c r="AU420" s="3" t="str">
        <f ca="1">IFERROR(__xludf.DUMMYFUNCTION("""COMPUTED_VALUE"""),"Prodloužení existující microsite, bez úprav")</f>
        <v>Prodloužení existující microsite, bez úprav</v>
      </c>
    </row>
    <row r="421" spans="1:47" x14ac:dyDescent="0.3">
      <c r="A421" s="3">
        <f ca="1"/>
        <v>2346826</v>
      </c>
      <c r="B421" s="3" t="str">
        <f ca="1"/>
        <v>CZECH NEWS CENTER a. s.</v>
      </c>
      <c r="C421" s="3" t="str">
        <f ca="1">IFERROR(__xludf.DUMMYFUNCTION("""COMPUTED_VALUE"""),"DIGIarena")</f>
        <v>DIGIarena</v>
      </c>
      <c r="D421" s="4" t="str">
        <f ca="1">IFERROR(__xludf.DUMMYFUNCTION("""COMPUTED_VALUE"""),"https://digiarena.zive.cz")</f>
        <v>https://digiarena.zive.cz</v>
      </c>
      <c r="E421" s="3" t="str">
        <f ca="1">IFERROR(__xludf.DUMMYFUNCTION("""COMPUTED_VALUE"""),"celý web")</f>
        <v>celý web</v>
      </c>
      <c r="F421" s="4" t="str">
        <f ca="1">IFERROR(__xludf.DUMMYFUNCTION("""COMPUTED_VALUE"""),"https://digiarena.zive.cz")</f>
        <v>https://digiarena.zive.cz</v>
      </c>
      <c r="G421" s="3" t="str">
        <f ca="1">IFERROR(__xludf.DUMMYFUNCTION("""COMPUTED_VALUE"""),"Prodloužení existující microsite, bez úprav low season")</f>
        <v>Prodloužení existující microsite, bez úprav low season</v>
      </c>
      <c r="H421" s="3">
        <f ca="1">IFERROR(__xludf.DUMMYFUNCTION("""COMPUTED_VALUE"""),1)</f>
        <v>1</v>
      </c>
      <c r="I421" s="5">
        <f ca="1">IFERROR(__xludf.DUMMYFUNCTION("""COMPUTED_VALUE"""),1)</f>
        <v>1</v>
      </c>
      <c r="J421" s="5">
        <f ca="1">IFERROR(__xludf.DUMMYFUNCTION("""COMPUTED_VALUE"""),15000)</f>
        <v>15000</v>
      </c>
      <c r="K421" s="3"/>
      <c r="L421" s="3" t="str">
        <f ca="1">IFERROR(__xludf.DUMMYFUNCTION("""COMPUTED_VALUE"""),"Cost per instance")</f>
        <v>Cost per instance</v>
      </c>
      <c r="M421" s="3"/>
      <c r="N421" s="3"/>
      <c r="O421" s="3"/>
      <c r="P421" s="3"/>
      <c r="Q421" s="3"/>
      <c r="R421" s="3"/>
      <c r="S421" s="3" t="str">
        <f ca="1">IFERROR(__xludf.DUMMYFUNCTION("""COMPUTED_VALUE"""),"100")</f>
        <v>100</v>
      </c>
      <c r="T421" s="3"/>
      <c r="U421" s="3" t="str">
        <f ca="1">IFERROR(__xludf.DUMMYFUNCTION("""COMPUTED_VALUE"""),"microsite")</f>
        <v>microsite</v>
      </c>
      <c r="V421" s="3"/>
      <c r="W421" s="3"/>
      <c r="X421" s="3"/>
      <c r="Y421" s="3"/>
      <c r="Z421" s="3" t="str">
        <f ca="1">IFERROR(__xludf.DUMMYFUNCTION("""COMPUTED_VALUE"""),"podklady@cncenter.cz")</f>
        <v>podklady@cncenter.cz</v>
      </c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 t="str">
        <f ca="1">IFERROR(__xludf.DUMMYFUNCTION("""COMPUTED_VALUE"""),"cross-device")</f>
        <v>cross-device</v>
      </c>
      <c r="AO421" s="3"/>
      <c r="AP421" s="3"/>
      <c r="AQ421" s="3"/>
      <c r="AR421" s="3"/>
      <c r="AS421" s="3"/>
      <c r="AT421" s="3"/>
      <c r="AU421" s="3" t="str">
        <f ca="1">IFERROR(__xludf.DUMMYFUNCTION("""COMPUTED_VALUE"""),"Prodloužení existující microsite, bez úprav")</f>
        <v>Prodloužení existující microsite, bez úprav</v>
      </c>
    </row>
    <row r="422" spans="1:47" x14ac:dyDescent="0.3">
      <c r="A422" s="3">
        <f ca="1"/>
        <v>2346826</v>
      </c>
      <c r="B422" s="3" t="str">
        <f ca="1"/>
        <v>CZECH NEWS CENTER a. s.</v>
      </c>
      <c r="C422" s="3" t="str">
        <f ca="1">IFERROR(__xludf.DUMMYFUNCTION("""COMPUTED_VALUE"""),"DIGIarena")</f>
        <v>DIGIarena</v>
      </c>
      <c r="D422" s="4" t="str">
        <f ca="1">IFERROR(__xludf.DUMMYFUNCTION("""COMPUTED_VALUE"""),"https://digiarena.zive.cz")</f>
        <v>https://digiarena.zive.cz</v>
      </c>
      <c r="E422" s="3" t="str">
        <f ca="1">IFERROR(__xludf.DUMMYFUNCTION("""COMPUTED_VALUE"""),"celý web")</f>
        <v>celý web</v>
      </c>
      <c r="F422" s="4" t="str">
        <f ca="1">IFERROR(__xludf.DUMMYFUNCTION("""COMPUTED_VALUE"""),"https://digiarena.zive.cz")</f>
        <v>https://digiarena.zive.cz</v>
      </c>
      <c r="G422" s="3" t="str">
        <f ca="1">IFERROR(__xludf.DUMMYFUNCTION("""COMPUTED_VALUE"""),"Prodloužení existující microsite, bez úprav low season")</f>
        <v>Prodloužení existující microsite, bez úprav low season</v>
      </c>
      <c r="H422" s="3">
        <f ca="1">IFERROR(__xludf.DUMMYFUNCTION("""COMPUTED_VALUE"""),1)</f>
        <v>1</v>
      </c>
      <c r="I422" s="5">
        <f ca="1">IFERROR(__xludf.DUMMYFUNCTION("""COMPUTED_VALUE"""),1)</f>
        <v>1</v>
      </c>
      <c r="J422" s="5">
        <f ca="1">IFERROR(__xludf.DUMMYFUNCTION("""COMPUTED_VALUE"""),15000)</f>
        <v>15000</v>
      </c>
      <c r="K422" s="3"/>
      <c r="L422" s="3" t="str">
        <f ca="1">IFERROR(__xludf.DUMMYFUNCTION("""COMPUTED_VALUE"""),"Cost per instance")</f>
        <v>Cost per instance</v>
      </c>
      <c r="M422" s="3"/>
      <c r="N422" s="3"/>
      <c r="O422" s="3"/>
      <c r="P422" s="3"/>
      <c r="Q422" s="3"/>
      <c r="R422" s="3"/>
      <c r="S422" s="3" t="str">
        <f ca="1">IFERROR(__xludf.DUMMYFUNCTION("""COMPUTED_VALUE"""),"100")</f>
        <v>100</v>
      </c>
      <c r="T422" s="3"/>
      <c r="U422" s="3" t="str">
        <f ca="1">IFERROR(__xludf.DUMMYFUNCTION("""COMPUTED_VALUE"""),"microsite")</f>
        <v>microsite</v>
      </c>
      <c r="V422" s="3"/>
      <c r="W422" s="3"/>
      <c r="X422" s="3"/>
      <c r="Y422" s="3"/>
      <c r="Z422" s="3" t="str">
        <f ca="1">IFERROR(__xludf.DUMMYFUNCTION("""COMPUTED_VALUE"""),"podklady@cncenter.cz")</f>
        <v>podklady@cncenter.cz</v>
      </c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 t="str">
        <f ca="1">IFERROR(__xludf.DUMMYFUNCTION("""COMPUTED_VALUE"""),"cross-device")</f>
        <v>cross-device</v>
      </c>
      <c r="AO422" s="3"/>
      <c r="AP422" s="3"/>
      <c r="AQ422" s="3"/>
      <c r="AR422" s="3"/>
      <c r="AS422" s="3"/>
      <c r="AT422" s="3"/>
      <c r="AU422" s="3" t="str">
        <f ca="1">IFERROR(__xludf.DUMMYFUNCTION("""COMPUTED_VALUE"""),"Prodloužení existující microsite, bez úprav")</f>
        <v>Prodloužení existující microsite, bez úprav</v>
      </c>
    </row>
    <row r="423" spans="1:47" x14ac:dyDescent="0.3">
      <c r="A423" s="3">
        <f ca="1"/>
        <v>2346826</v>
      </c>
      <c r="B423" s="3" t="str">
        <f ca="1"/>
        <v>CZECH NEWS CENTER a. s.</v>
      </c>
      <c r="C423" s="3" t="str">
        <f ca="1">IFERROR(__xludf.DUMMYFUNCTION("""COMPUTED_VALUE"""),"Doupě")</f>
        <v>Doupě</v>
      </c>
      <c r="D423" s="4" t="str">
        <f ca="1">IFERROR(__xludf.DUMMYFUNCTION("""COMPUTED_VALUE"""),"https://doupe.zive.cz")</f>
        <v>https://doupe.zive.cz</v>
      </c>
      <c r="E423" s="3" t="str">
        <f ca="1">IFERROR(__xludf.DUMMYFUNCTION("""COMPUTED_VALUE"""),"celý web")</f>
        <v>celý web</v>
      </c>
      <c r="F423" s="4" t="str">
        <f ca="1">IFERROR(__xludf.DUMMYFUNCTION("""COMPUTED_VALUE"""),"https://doupe.zive.cz")</f>
        <v>https://doupe.zive.cz</v>
      </c>
      <c r="G423" s="3" t="str">
        <f ca="1">IFERROR(__xludf.DUMMYFUNCTION("""COMPUTED_VALUE"""),"Advertorial low season")</f>
        <v>Advertorial low season</v>
      </c>
      <c r="H423" s="3">
        <f ca="1">IFERROR(__xludf.DUMMYFUNCTION("""COMPUTED_VALUE"""),1)</f>
        <v>1</v>
      </c>
      <c r="I423" s="5">
        <f ca="1">IFERROR(__xludf.DUMMYFUNCTION("""COMPUTED_VALUE"""),1)</f>
        <v>1</v>
      </c>
      <c r="J423" s="5">
        <f ca="1">IFERROR(__xludf.DUMMYFUNCTION("""COMPUTED_VALUE"""),90000)</f>
        <v>90000</v>
      </c>
      <c r="K423" s="3"/>
      <c r="L423" s="3" t="str">
        <f ca="1">IFERROR(__xludf.DUMMYFUNCTION("""COMPUTED_VALUE"""),"Cost per instance")</f>
        <v>Cost per instance</v>
      </c>
      <c r="M423" s="3"/>
      <c r="N423" s="3"/>
      <c r="O423" s="3"/>
      <c r="P423" s="3"/>
      <c r="Q423" s="3"/>
      <c r="R423" s="3"/>
      <c r="S423" s="3" t="str">
        <f ca="1">IFERROR(__xludf.DUMMYFUNCTION("""COMPUTED_VALUE"""),"100")</f>
        <v>100</v>
      </c>
      <c r="T423" s="3"/>
      <c r="U423" s="3" t="str">
        <f ca="1">IFERROR(__xludf.DUMMYFUNCTION("""COMPUTED_VALUE"""),"pr článek")</f>
        <v>pr článek</v>
      </c>
      <c r="V423" s="3"/>
      <c r="W423" s="3"/>
      <c r="X423" s="3"/>
      <c r="Y423" s="3"/>
      <c r="Z423" s="3" t="str">
        <f ca="1">IFERROR(__xludf.DUMMYFUNCTION("""COMPUTED_VALUE"""),"podklady@cncenter.cz")</f>
        <v>podklady@cncenter.cz</v>
      </c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 t="str">
        <f ca="1">IFERROR(__xludf.DUMMYFUNCTION("""COMPUTED_VALUE"""),"cross-device")</f>
        <v>cross-device</v>
      </c>
      <c r="AO423" s="3"/>
      <c r="AP423" s="3"/>
      <c r="AQ423" s="3"/>
      <c r="AR423" s="3"/>
      <c r="AS423" s="3"/>
      <c r="AT423" s="3"/>
      <c r="AU423" s="3" t="str">
        <f ca="1">IFERROR(__xludf.DUMMYFUNCTION("""COMPUTED_VALUE"""),"Advertorial")</f>
        <v>Advertorial</v>
      </c>
    </row>
    <row r="424" spans="1:47" x14ac:dyDescent="0.3">
      <c r="A424" s="3">
        <f ca="1"/>
        <v>2346826</v>
      </c>
      <c r="B424" s="3" t="str">
        <f ca="1"/>
        <v>CZECH NEWS CENTER a. s.</v>
      </c>
      <c r="C424" s="3" t="str">
        <f ca="1">IFERROR(__xludf.DUMMYFUNCTION("""COMPUTED_VALUE"""),"Doupě")</f>
        <v>Doupě</v>
      </c>
      <c r="D424" s="4" t="str">
        <f ca="1">IFERROR(__xludf.DUMMYFUNCTION("""COMPUTED_VALUE"""),"https://doupe.zive.cz")</f>
        <v>https://doupe.zive.cz</v>
      </c>
      <c r="E424" s="3" t="str">
        <f ca="1">IFERROR(__xludf.DUMMYFUNCTION("""COMPUTED_VALUE"""),"celý web")</f>
        <v>celý web</v>
      </c>
      <c r="F424" s="4" t="str">
        <f ca="1">IFERROR(__xludf.DUMMYFUNCTION("""COMPUTED_VALUE"""),"https://doupe.zive.cz")</f>
        <v>https://doupe.zive.cz</v>
      </c>
      <c r="G424" s="3" t="str">
        <f ca="1">IFERROR(__xludf.DUMMYFUNCTION("""COMPUTED_VALUE"""),"billboard bottom low season")</f>
        <v>billboard bottom low season</v>
      </c>
      <c r="H424" s="3">
        <f ca="1">IFERROR(__xludf.DUMMYFUNCTION("""COMPUTED_VALUE"""),7)</f>
        <v>7</v>
      </c>
      <c r="I424" s="5">
        <f ca="1">IFERROR(__xludf.DUMMYFUNCTION("""COMPUTED_VALUE"""),1000)</f>
        <v>1000</v>
      </c>
      <c r="J424" s="5">
        <f ca="1">IFERROR(__xludf.DUMMYFUNCTION("""COMPUTED_VALUE"""),240)</f>
        <v>240</v>
      </c>
      <c r="K424" s="3"/>
      <c r="L424" s="3" t="str">
        <f ca="1">IFERROR(__xludf.DUMMYFUNCTION("""COMPUTED_VALUE"""),"Cost per period")</f>
        <v>Cost per period</v>
      </c>
      <c r="M424" s="3"/>
      <c r="N424" s="3"/>
      <c r="O424" s="3" t="str">
        <f ca="1">IFERROR(__xludf.DUMMYFUNCTION("""COMPUTED_VALUE"""),"970")</f>
        <v>970</v>
      </c>
      <c r="P424" s="3" t="str">
        <f ca="1">IFERROR(__xludf.DUMMYFUNCTION("""COMPUTED_VALUE"""),"250")</f>
        <v>250</v>
      </c>
      <c r="Q424" s="3" t="str">
        <f ca="1">IFERROR(__xludf.DUMMYFUNCTION("""COMPUTED_VALUE"""),"970x250")</f>
        <v>970x250</v>
      </c>
      <c r="R424" s="3"/>
      <c r="S424" s="3" t="str">
        <f ca="1">IFERROR(__xludf.DUMMYFUNCTION("""COMPUTED_VALUE"""),"100 (200 - HTML5)")</f>
        <v>100 (200 - HTML5)</v>
      </c>
      <c r="T424" s="3"/>
      <c r="U424" s="3" t="str">
        <f ca="1">IFERROR(__xludf.DUMMYFUNCTION("""COMPUTED_VALUE"""),"banner standard")</f>
        <v>banner standard</v>
      </c>
      <c r="V424" s="3"/>
      <c r="W424" s="4" t="str">
        <f ca="1">IFERROR(__xludf.DUMMYFUNCTION("""COMPUTED_VALUE"""),"https://reklama.cncenter.cz/Online/billboard-bottom")</f>
        <v>https://reklama.cncenter.cz/Online/billboard-bottom</v>
      </c>
      <c r="X424" s="3"/>
      <c r="Y424" s="3"/>
      <c r="Z424" s="3" t="str">
        <f ca="1">IFERROR(__xludf.DUMMYFUNCTION("""COMPUTED_VALUE"""),"podklady@cncenter.cz")</f>
        <v>podklady@cncenter.cz</v>
      </c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 t="str">
        <f ca="1">IFERROR(__xludf.DUMMYFUNCTION("""COMPUTED_VALUE"""),"desktop")</f>
        <v>desktop</v>
      </c>
      <c r="AO424" s="3"/>
      <c r="AP424" s="3"/>
      <c r="AQ424" s="3"/>
      <c r="AR424" s="3"/>
      <c r="AS424" s="3"/>
      <c r="AT424" s="3"/>
      <c r="AU424" s="3" t="str">
        <f ca="1">IFERROR(__xludf.DUMMYFUNCTION("""COMPUTED_VALUE"""),"billboard bottom")</f>
        <v>billboard bottom</v>
      </c>
    </row>
    <row r="425" spans="1:47" x14ac:dyDescent="0.3">
      <c r="A425" s="3">
        <f ca="1"/>
        <v>2346826</v>
      </c>
      <c r="B425" s="3" t="str">
        <f ca="1"/>
        <v>CZECH NEWS CENTER a. s.</v>
      </c>
      <c r="C425" s="3" t="str">
        <f ca="1">IFERROR(__xludf.DUMMYFUNCTION("""COMPUTED_VALUE"""),"Doupě")</f>
        <v>Doupě</v>
      </c>
      <c r="D425" s="4" t="str">
        <f ca="1">IFERROR(__xludf.DUMMYFUNCTION("""COMPUTED_VALUE"""),"https://doupe.zive.cz")</f>
        <v>https://doupe.zive.cz</v>
      </c>
      <c r="E425" s="3" t="str">
        <f ca="1">IFERROR(__xludf.DUMMYFUNCTION("""COMPUTED_VALUE"""),"celý web")</f>
        <v>celý web</v>
      </c>
      <c r="F425" s="4" t="str">
        <f ca="1">IFERROR(__xludf.DUMMYFUNCTION("""COMPUTED_VALUE"""),"https://doupe.zive.cz")</f>
        <v>https://doupe.zive.cz</v>
      </c>
      <c r="G425" s="3" t="str">
        <f ca="1">IFERROR(__xludf.DUMMYFUNCTION("""COMPUTED_VALUE"""),"branding cross-device low season")</f>
        <v>branding cross-device low season</v>
      </c>
      <c r="H425" s="3">
        <f ca="1">IFERROR(__xludf.DUMMYFUNCTION("""COMPUTED_VALUE"""),7)</f>
        <v>7</v>
      </c>
      <c r="I425" s="5">
        <f ca="1">IFERROR(__xludf.DUMMYFUNCTION("""COMPUTED_VALUE"""),1000)</f>
        <v>1000</v>
      </c>
      <c r="J425" s="5">
        <f ca="1">IFERROR(__xludf.DUMMYFUNCTION("""COMPUTED_VALUE"""),300)</f>
        <v>300</v>
      </c>
      <c r="K425" s="3"/>
      <c r="L425" s="3" t="str">
        <f ca="1">IFERROR(__xludf.DUMMYFUNCTION("""COMPUTED_VALUE"""),"Cost per period")</f>
        <v>Cost per period</v>
      </c>
      <c r="M425" s="3"/>
      <c r="N425" s="3"/>
      <c r="O425" s="3" t="str">
        <f ca="1">IFERROR(__xludf.DUMMYFUNCTION("""COMPUTED_VALUE"""),"2000")</f>
        <v>2000</v>
      </c>
      <c r="P425" s="3" t="str">
        <f ca="1">IFERROR(__xludf.DUMMYFUNCTION("""COMPUTED_VALUE"""),"1400")</f>
        <v>1400</v>
      </c>
      <c r="Q425" s="3" t="str">
        <f ca="1">IFERROR(__xludf.DUMMYFUNCTION("""COMPUTED_VALUE"""),"2000x1400 + 600x1080")</f>
        <v>2000x1400 + 600x1080</v>
      </c>
      <c r="R425" s="3"/>
      <c r="S425" s="3" t="str">
        <f ca="1">IFERROR(__xludf.DUMMYFUNCTION("""COMPUTED_VALUE"""),"500 (600 - HTLM5)")</f>
        <v>500 (600 - HTLM5)</v>
      </c>
      <c r="T425" s="3"/>
      <c r="U425" s="3" t="str">
        <f ca="1">IFERROR(__xludf.DUMMYFUNCTION("""COMPUTED_VALUE"""),"banner standard")</f>
        <v>banner standard</v>
      </c>
      <c r="V425" s="3"/>
      <c r="W425" s="4" t="str">
        <f ca="1">IFERROR(__xludf.DUMMYFUNCTION("""COMPUTED_VALUE"""),"https://reklama.cncenter.cz/Online/branding-cross-device")</f>
        <v>https://reklama.cncenter.cz/Online/branding-cross-device</v>
      </c>
      <c r="X425" s="3"/>
      <c r="Y425" s="3"/>
      <c r="Z425" s="3" t="str">
        <f ca="1">IFERROR(__xludf.DUMMYFUNCTION("""COMPUTED_VALUE"""),"podklady@cncenter.cz")</f>
        <v>podklady@cncenter.cz</v>
      </c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 t="str">
        <f ca="1">IFERROR(__xludf.DUMMYFUNCTION("""COMPUTED_VALUE"""),"cross-device")</f>
        <v>cross-device</v>
      </c>
      <c r="AO425" s="3"/>
      <c r="AP425" s="3"/>
      <c r="AQ425" s="3"/>
      <c r="AR425" s="3"/>
      <c r="AS425" s="3"/>
      <c r="AT425" s="3"/>
      <c r="AU425" s="3" t="str">
        <f ca="1">IFERROR(__xludf.DUMMYFUNCTION("""COMPUTED_VALUE"""),"branding cross-device")</f>
        <v>branding cross-device</v>
      </c>
    </row>
    <row r="426" spans="1:47" x14ac:dyDescent="0.3">
      <c r="A426" s="3">
        <f ca="1"/>
        <v>2346826</v>
      </c>
      <c r="B426" s="3" t="str">
        <f ca="1"/>
        <v>CZECH NEWS CENTER a. s.</v>
      </c>
      <c r="C426" s="3" t="str">
        <f ca="1">IFERROR(__xludf.DUMMYFUNCTION("""COMPUTED_VALUE"""),"Doupě")</f>
        <v>Doupě</v>
      </c>
      <c r="D426" s="4" t="str">
        <f ca="1">IFERROR(__xludf.DUMMYFUNCTION("""COMPUTED_VALUE"""),"https://doupe.zive.cz")</f>
        <v>https://doupe.zive.cz</v>
      </c>
      <c r="E426" s="3" t="str">
        <f ca="1">IFERROR(__xludf.DUMMYFUNCTION("""COMPUTED_VALUE"""),"celý web")</f>
        <v>celý web</v>
      </c>
      <c r="F426" s="4" t="str">
        <f ca="1">IFERROR(__xludf.DUMMYFUNCTION("""COMPUTED_VALUE"""),"https://doupe.zive.cz")</f>
        <v>https://doupe.zive.cz</v>
      </c>
      <c r="G426" s="3" t="str">
        <f ca="1">IFERROR(__xludf.DUMMYFUNCTION("""COMPUTED_VALUE"""),"branding low season")</f>
        <v>branding low season</v>
      </c>
      <c r="H426" s="3">
        <f ca="1">IFERROR(__xludf.DUMMYFUNCTION("""COMPUTED_VALUE"""),7)</f>
        <v>7</v>
      </c>
      <c r="I426" s="5">
        <f ca="1">IFERROR(__xludf.DUMMYFUNCTION("""COMPUTED_VALUE"""),1000)</f>
        <v>1000</v>
      </c>
      <c r="J426" s="5">
        <f ca="1">IFERROR(__xludf.DUMMYFUNCTION("""COMPUTED_VALUE"""),490)</f>
        <v>490</v>
      </c>
      <c r="K426" s="3"/>
      <c r="L426" s="3" t="str">
        <f ca="1">IFERROR(__xludf.DUMMYFUNCTION("""COMPUTED_VALUE"""),"Cost per period")</f>
        <v>Cost per period</v>
      </c>
      <c r="M426" s="3"/>
      <c r="N426" s="3"/>
      <c r="O426" s="3" t="str">
        <f ca="1">IFERROR(__xludf.DUMMYFUNCTION("""COMPUTED_VALUE"""),"2000")</f>
        <v>2000</v>
      </c>
      <c r="P426" s="3" t="str">
        <f ca="1">IFERROR(__xludf.DUMMYFUNCTION("""COMPUTED_VALUE"""),"1400")</f>
        <v>1400</v>
      </c>
      <c r="Q426" s="3" t="str">
        <f ca="1">IFERROR(__xludf.DUMMYFUNCTION("""COMPUTED_VALUE"""),"2000x1400")</f>
        <v>2000x1400</v>
      </c>
      <c r="R426" s="3"/>
      <c r="S426" s="3" t="str">
        <f ca="1">IFERROR(__xludf.DUMMYFUNCTION("""COMPUTED_VALUE"""),"500 + 200 (600+200 HTML5)")</f>
        <v>500 + 200 (600+200 HTML5)</v>
      </c>
      <c r="T426" s="3"/>
      <c r="U426" s="3" t="str">
        <f ca="1">IFERROR(__xludf.DUMMYFUNCTION("""COMPUTED_VALUE"""),"banner standard")</f>
        <v>banner standard</v>
      </c>
      <c r="V426" s="3"/>
      <c r="W426" s="4" t="str">
        <f ca="1">IFERROR(__xludf.DUMMYFUNCTION("""COMPUTED_VALUE"""),"https://reklama.cncenter.cz/Online/branding")</f>
        <v>https://reklama.cncenter.cz/Online/branding</v>
      </c>
      <c r="X426" s="3"/>
      <c r="Y426" s="3"/>
      <c r="Z426" s="3" t="str">
        <f ca="1">IFERROR(__xludf.DUMMYFUNCTION("""COMPUTED_VALUE"""),"podklady@cncenter.cz")</f>
        <v>podklady@cncenter.cz</v>
      </c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 t="str">
        <f ca="1">IFERROR(__xludf.DUMMYFUNCTION("""COMPUTED_VALUE"""),"desktop")</f>
        <v>desktop</v>
      </c>
      <c r="AO426" s="3"/>
      <c r="AP426" s="3"/>
      <c r="AQ426" s="3"/>
      <c r="AR426" s="3"/>
      <c r="AS426" s="3"/>
      <c r="AT426" s="3"/>
      <c r="AU426" s="3" t="str">
        <f ca="1">IFERROR(__xludf.DUMMYFUNCTION("""COMPUTED_VALUE"""),"branding")</f>
        <v>branding</v>
      </c>
    </row>
    <row r="427" spans="1:47" x14ac:dyDescent="0.3">
      <c r="A427" s="3">
        <f ca="1"/>
        <v>2346826</v>
      </c>
      <c r="B427" s="3" t="str">
        <f ca="1"/>
        <v>CZECH NEWS CENTER a. s.</v>
      </c>
      <c r="C427" s="3" t="str">
        <f ca="1">IFERROR(__xludf.DUMMYFUNCTION("""COMPUTED_VALUE"""),"Doupě")</f>
        <v>Doupě</v>
      </c>
      <c r="D427" s="4" t="str">
        <f ca="1">IFERROR(__xludf.DUMMYFUNCTION("""COMPUTED_VALUE"""),"https://doupe.zive.cz")</f>
        <v>https://doupe.zive.cz</v>
      </c>
      <c r="E427" s="3" t="str">
        <f ca="1">IFERROR(__xludf.DUMMYFUNCTION("""COMPUTED_VALUE"""),"celý web")</f>
        <v>celý web</v>
      </c>
      <c r="F427" s="4" t="str">
        <f ca="1">IFERROR(__xludf.DUMMYFUNCTION("""COMPUTED_VALUE"""),"https://doupe.zive.cz")</f>
        <v>https://doupe.zive.cz</v>
      </c>
      <c r="G427" s="3" t="str">
        <f ca="1">IFERROR(__xludf.DUMMYFUNCTION("""COMPUTED_VALUE"""),"cílený billboard bottom low season")</f>
        <v>cílený billboard bottom low season</v>
      </c>
      <c r="H427" s="3">
        <f ca="1">IFERROR(__xludf.DUMMYFUNCTION("""COMPUTED_VALUE"""),7)</f>
        <v>7</v>
      </c>
      <c r="I427" s="5">
        <f ca="1">IFERROR(__xludf.DUMMYFUNCTION("""COMPUTED_VALUE"""),1000)</f>
        <v>1000</v>
      </c>
      <c r="J427" s="5">
        <f ca="1">IFERROR(__xludf.DUMMYFUNCTION("""COMPUTED_VALUE"""),288)</f>
        <v>288</v>
      </c>
      <c r="K427" s="3"/>
      <c r="L427" s="3" t="str">
        <f ca="1">IFERROR(__xludf.DUMMYFUNCTION("""COMPUTED_VALUE"""),"Cost per period")</f>
        <v>Cost per period</v>
      </c>
      <c r="M427" s="3"/>
      <c r="N427" s="3"/>
      <c r="O427" s="3" t="str">
        <f ca="1">IFERROR(__xludf.DUMMYFUNCTION("""COMPUTED_VALUE"""),"970")</f>
        <v>970</v>
      </c>
      <c r="P427" s="3" t="str">
        <f ca="1">IFERROR(__xludf.DUMMYFUNCTION("""COMPUTED_VALUE"""),"250")</f>
        <v>250</v>
      </c>
      <c r="Q427" s="3" t="str">
        <f ca="1">IFERROR(__xludf.DUMMYFUNCTION("""COMPUTED_VALUE"""),"970x250")</f>
        <v>970x250</v>
      </c>
      <c r="R427" s="3"/>
      <c r="S427" s="3" t="str">
        <f ca="1">IFERROR(__xludf.DUMMYFUNCTION("""COMPUTED_VALUE"""),"100 (200 - HTML5)")</f>
        <v>100 (200 - HTML5)</v>
      </c>
      <c r="T427" s="3"/>
      <c r="U427" s="3" t="str">
        <f ca="1">IFERROR(__xludf.DUMMYFUNCTION("""COMPUTED_VALUE"""),"banner standard")</f>
        <v>banner standard</v>
      </c>
      <c r="V427" s="3"/>
      <c r="W427" s="4" t="str">
        <f ca="1">IFERROR(__xludf.DUMMYFUNCTION("""COMPUTED_VALUE"""),"https://reklama.cncenter.cz/Online/billboard-bottom")</f>
        <v>https://reklama.cncenter.cz/Online/billboard-bottom</v>
      </c>
      <c r="X427" s="3"/>
      <c r="Y427" s="3"/>
      <c r="Z427" s="3" t="str">
        <f ca="1">IFERROR(__xludf.DUMMYFUNCTION("""COMPUTED_VALUE"""),"podklady@cncenter.cz")</f>
        <v>podklady@cncenter.cz</v>
      </c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 t="str">
        <f ca="1">IFERROR(__xludf.DUMMYFUNCTION("""COMPUTED_VALUE"""),"desktop")</f>
        <v>desktop</v>
      </c>
      <c r="AO427" s="3"/>
      <c r="AP427" s="3"/>
      <c r="AQ427" s="3"/>
      <c r="AR427" s="3"/>
      <c r="AS427" s="3"/>
      <c r="AT427" s="3"/>
      <c r="AU427" s="3" t="str">
        <f ca="1">IFERROR(__xludf.DUMMYFUNCTION("""COMPUTED_VALUE"""),"cílený billboard bottom")</f>
        <v>cílený billboard bottom</v>
      </c>
    </row>
    <row r="428" spans="1:47" x14ac:dyDescent="0.3">
      <c r="A428" s="3">
        <f ca="1"/>
        <v>2346826</v>
      </c>
      <c r="B428" s="3" t="str">
        <f ca="1"/>
        <v>CZECH NEWS CENTER a. s.</v>
      </c>
      <c r="C428" s="3" t="str">
        <f ca="1">IFERROR(__xludf.DUMMYFUNCTION("""COMPUTED_VALUE"""),"Doupě")</f>
        <v>Doupě</v>
      </c>
      <c r="D428" s="4" t="str">
        <f ca="1">IFERROR(__xludf.DUMMYFUNCTION("""COMPUTED_VALUE"""),"https://doupe.zive.cz")</f>
        <v>https://doupe.zive.cz</v>
      </c>
      <c r="E428" s="3" t="str">
        <f ca="1">IFERROR(__xludf.DUMMYFUNCTION("""COMPUTED_VALUE"""),"celý web")</f>
        <v>celý web</v>
      </c>
      <c r="F428" s="4" t="str">
        <f ca="1">IFERROR(__xludf.DUMMYFUNCTION("""COMPUTED_VALUE"""),"https://doupe.zive.cz")</f>
        <v>https://doupe.zive.cz</v>
      </c>
      <c r="G428" s="3" t="str">
        <f ca="1">IFERROR(__xludf.DUMMYFUNCTION("""COMPUTED_VALUE"""),"cílený branding cross-device low season")</f>
        <v>cílený branding cross-device low season</v>
      </c>
      <c r="H428" s="3">
        <f ca="1">IFERROR(__xludf.DUMMYFUNCTION("""COMPUTED_VALUE"""),7)</f>
        <v>7</v>
      </c>
      <c r="I428" s="5">
        <f ca="1">IFERROR(__xludf.DUMMYFUNCTION("""COMPUTED_VALUE"""),1000)</f>
        <v>1000</v>
      </c>
      <c r="J428" s="5">
        <f ca="1">IFERROR(__xludf.DUMMYFUNCTION("""COMPUTED_VALUE"""),360)</f>
        <v>360</v>
      </c>
      <c r="K428" s="3"/>
      <c r="L428" s="3" t="str">
        <f ca="1">IFERROR(__xludf.DUMMYFUNCTION("""COMPUTED_VALUE"""),"Cost per period")</f>
        <v>Cost per period</v>
      </c>
      <c r="M428" s="3"/>
      <c r="N428" s="3"/>
      <c r="O428" s="3" t="str">
        <f ca="1">IFERROR(__xludf.DUMMYFUNCTION("""COMPUTED_VALUE"""),"2000")</f>
        <v>2000</v>
      </c>
      <c r="P428" s="3" t="str">
        <f ca="1">IFERROR(__xludf.DUMMYFUNCTION("""COMPUTED_VALUE"""),"1400")</f>
        <v>1400</v>
      </c>
      <c r="Q428" s="3" t="str">
        <f ca="1">IFERROR(__xludf.DUMMYFUNCTION("""COMPUTED_VALUE"""),"2000x1400 + 600x1080")</f>
        <v>2000x1400 + 600x1080</v>
      </c>
      <c r="R428" s="3"/>
      <c r="S428" s="3" t="str">
        <f ca="1">IFERROR(__xludf.DUMMYFUNCTION("""COMPUTED_VALUE"""),"500 (600 - HTLM5)")</f>
        <v>500 (600 - HTLM5)</v>
      </c>
      <c r="T428" s="3"/>
      <c r="U428" s="3" t="str">
        <f ca="1">IFERROR(__xludf.DUMMYFUNCTION("""COMPUTED_VALUE"""),"banner standard")</f>
        <v>banner standard</v>
      </c>
      <c r="V428" s="3"/>
      <c r="W428" s="4" t="str">
        <f ca="1">IFERROR(__xludf.DUMMYFUNCTION("""COMPUTED_VALUE"""),"https://reklama.cncenter.cz/Online/branding-cross-device")</f>
        <v>https://reklama.cncenter.cz/Online/branding-cross-device</v>
      </c>
      <c r="X428" s="3"/>
      <c r="Y428" s="3"/>
      <c r="Z428" s="3" t="str">
        <f ca="1">IFERROR(__xludf.DUMMYFUNCTION("""COMPUTED_VALUE"""),"podklady@cncenter.cz")</f>
        <v>podklady@cncenter.cz</v>
      </c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 t="str">
        <f ca="1">IFERROR(__xludf.DUMMYFUNCTION("""COMPUTED_VALUE"""),"cross-device")</f>
        <v>cross-device</v>
      </c>
      <c r="AO428" s="3"/>
      <c r="AP428" s="3"/>
      <c r="AQ428" s="3"/>
      <c r="AR428" s="3"/>
      <c r="AS428" s="3"/>
      <c r="AT428" s="3"/>
      <c r="AU428" s="3" t="str">
        <f ca="1">IFERROR(__xludf.DUMMYFUNCTION("""COMPUTED_VALUE"""),"cílený branding cross-device")</f>
        <v>cílený branding cross-device</v>
      </c>
    </row>
    <row r="429" spans="1:47" x14ac:dyDescent="0.3">
      <c r="A429" s="3">
        <f ca="1"/>
        <v>2346826</v>
      </c>
      <c r="B429" s="3" t="str">
        <f ca="1"/>
        <v>CZECH NEWS CENTER a. s.</v>
      </c>
      <c r="C429" s="3" t="str">
        <f ca="1">IFERROR(__xludf.DUMMYFUNCTION("""COMPUTED_VALUE"""),"Doupě")</f>
        <v>Doupě</v>
      </c>
      <c r="D429" s="4" t="str">
        <f ca="1">IFERROR(__xludf.DUMMYFUNCTION("""COMPUTED_VALUE"""),"https://doupe.zive.cz")</f>
        <v>https://doupe.zive.cz</v>
      </c>
      <c r="E429" s="3" t="str">
        <f ca="1">IFERROR(__xludf.DUMMYFUNCTION("""COMPUTED_VALUE"""),"celý web")</f>
        <v>celý web</v>
      </c>
      <c r="F429" s="4" t="str">
        <f ca="1">IFERROR(__xludf.DUMMYFUNCTION("""COMPUTED_VALUE"""),"https://doupe.zive.cz")</f>
        <v>https://doupe.zive.cz</v>
      </c>
      <c r="G429" s="3" t="str">
        <f ca="1">IFERROR(__xludf.DUMMYFUNCTION("""COMPUTED_VALUE"""),"cílený branding low season")</f>
        <v>cílený branding low season</v>
      </c>
      <c r="H429" s="3">
        <f ca="1">IFERROR(__xludf.DUMMYFUNCTION("""COMPUTED_VALUE"""),7)</f>
        <v>7</v>
      </c>
      <c r="I429" s="5">
        <f ca="1">IFERROR(__xludf.DUMMYFUNCTION("""COMPUTED_VALUE"""),1000)</f>
        <v>1000</v>
      </c>
      <c r="J429" s="5">
        <f ca="1">IFERROR(__xludf.DUMMYFUNCTION("""COMPUTED_VALUE"""),588)</f>
        <v>588</v>
      </c>
      <c r="K429" s="3"/>
      <c r="L429" s="3" t="str">
        <f ca="1">IFERROR(__xludf.DUMMYFUNCTION("""COMPUTED_VALUE"""),"Cost per period")</f>
        <v>Cost per period</v>
      </c>
      <c r="M429" s="3"/>
      <c r="N429" s="3"/>
      <c r="O429" s="3" t="str">
        <f ca="1">IFERROR(__xludf.DUMMYFUNCTION("""COMPUTED_VALUE"""),"2000")</f>
        <v>2000</v>
      </c>
      <c r="P429" s="3" t="str">
        <f ca="1">IFERROR(__xludf.DUMMYFUNCTION("""COMPUTED_VALUE"""),"1400")</f>
        <v>1400</v>
      </c>
      <c r="Q429" s="3" t="str">
        <f ca="1">IFERROR(__xludf.DUMMYFUNCTION("""COMPUTED_VALUE"""),"2000x1400")</f>
        <v>2000x1400</v>
      </c>
      <c r="R429" s="3"/>
      <c r="S429" s="3" t="str">
        <f ca="1">IFERROR(__xludf.DUMMYFUNCTION("""COMPUTED_VALUE"""),"500 + 200 (600+200 HTML5)")</f>
        <v>500 + 200 (600+200 HTML5)</v>
      </c>
      <c r="T429" s="3"/>
      <c r="U429" s="3" t="str">
        <f ca="1">IFERROR(__xludf.DUMMYFUNCTION("""COMPUTED_VALUE"""),"banner standard")</f>
        <v>banner standard</v>
      </c>
      <c r="V429" s="3"/>
      <c r="W429" s="4" t="str">
        <f ca="1">IFERROR(__xludf.DUMMYFUNCTION("""COMPUTED_VALUE"""),"https://reklama.cncenter.cz/Online/branding")</f>
        <v>https://reklama.cncenter.cz/Online/branding</v>
      </c>
      <c r="X429" s="3"/>
      <c r="Y429" s="3"/>
      <c r="Z429" s="3" t="str">
        <f ca="1">IFERROR(__xludf.DUMMYFUNCTION("""COMPUTED_VALUE"""),"podklady@cncenter.cz")</f>
        <v>podklady@cncenter.cz</v>
      </c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 t="str">
        <f ca="1">IFERROR(__xludf.DUMMYFUNCTION("""COMPUTED_VALUE"""),"desktop")</f>
        <v>desktop</v>
      </c>
      <c r="AO429" s="3"/>
      <c r="AP429" s="3"/>
      <c r="AQ429" s="3"/>
      <c r="AR429" s="3"/>
      <c r="AS429" s="3"/>
      <c r="AT429" s="3"/>
      <c r="AU429" s="3" t="str">
        <f ca="1">IFERROR(__xludf.DUMMYFUNCTION("""COMPUTED_VALUE"""),"cílený branding")</f>
        <v>cílený branding</v>
      </c>
    </row>
    <row r="430" spans="1:47" x14ac:dyDescent="0.3">
      <c r="A430" s="3">
        <f ca="1"/>
        <v>2346826</v>
      </c>
      <c r="B430" s="3" t="str">
        <f ca="1"/>
        <v>CZECH NEWS CENTER a. s.</v>
      </c>
      <c r="C430" s="3" t="str">
        <f ca="1">IFERROR(__xludf.DUMMYFUNCTION("""COMPUTED_VALUE"""),"Doupě")</f>
        <v>Doupě</v>
      </c>
      <c r="D430" s="4" t="str">
        <f ca="1">IFERROR(__xludf.DUMMYFUNCTION("""COMPUTED_VALUE"""),"https://doupe.zive.cz")</f>
        <v>https://doupe.zive.cz</v>
      </c>
      <c r="E430" s="3" t="str">
        <f ca="1">IFERROR(__xludf.DUMMYFUNCTION("""COMPUTED_VALUE"""),"celý web")</f>
        <v>celý web</v>
      </c>
      <c r="F430" s="4" t="str">
        <f ca="1">IFERROR(__xludf.DUMMYFUNCTION("""COMPUTED_VALUE"""),"https://doupe.zive.cz")</f>
        <v>https://doupe.zive.cz</v>
      </c>
      <c r="G430" s="3" t="str">
        <f ca="1">IFERROR(__xludf.DUMMYFUNCTION("""COMPUTED_VALUE"""),"cílený double skyscraper low season")</f>
        <v>cílený double skyscraper low season</v>
      </c>
      <c r="H430" s="3">
        <f ca="1">IFERROR(__xludf.DUMMYFUNCTION("""COMPUTED_VALUE"""),7)</f>
        <v>7</v>
      </c>
      <c r="I430" s="5">
        <f ca="1">IFERROR(__xludf.DUMMYFUNCTION("""COMPUTED_VALUE"""),1000)</f>
        <v>1000</v>
      </c>
      <c r="J430" s="5">
        <f ca="1">IFERROR(__xludf.DUMMYFUNCTION("""COMPUTED_VALUE"""),228)</f>
        <v>228</v>
      </c>
      <c r="K430" s="3"/>
      <c r="L430" s="3" t="str">
        <f ca="1">IFERROR(__xludf.DUMMYFUNCTION("""COMPUTED_VALUE"""),"Cost per period")</f>
        <v>Cost per period</v>
      </c>
      <c r="M430" s="3"/>
      <c r="N430" s="3"/>
      <c r="O430" s="3" t="str">
        <f ca="1">IFERROR(__xludf.DUMMYFUNCTION("""COMPUTED_VALUE"""),"300")</f>
        <v>300</v>
      </c>
      <c r="P430" s="3" t="str">
        <f ca="1">IFERROR(__xludf.DUMMYFUNCTION("""COMPUTED_VALUE"""),"600")</f>
        <v>600</v>
      </c>
      <c r="Q430" s="3" t="str">
        <f ca="1">IFERROR(__xludf.DUMMYFUNCTION("""COMPUTED_VALUE"""),"300x600")</f>
        <v>300x600</v>
      </c>
      <c r="R430" s="3"/>
      <c r="S430" s="3" t="str">
        <f ca="1">IFERROR(__xludf.DUMMYFUNCTION("""COMPUTED_VALUE"""),"100 (200 - HTML5)")</f>
        <v>100 (200 - HTML5)</v>
      </c>
      <c r="T430" s="3"/>
      <c r="U430" s="3" t="str">
        <f ca="1">IFERROR(__xludf.DUMMYFUNCTION("""COMPUTED_VALUE"""),"banner standard")</f>
        <v>banner standard</v>
      </c>
      <c r="V430" s="3"/>
      <c r="W430" s="4" t="str">
        <f ca="1">IFERROR(__xludf.DUMMYFUNCTION("""COMPUTED_VALUE"""),"https://reklama.cncenter.cz/Online/double-skyscraper")</f>
        <v>https://reklama.cncenter.cz/Online/double-skyscraper</v>
      </c>
      <c r="X430" s="3"/>
      <c r="Y430" s="3"/>
      <c r="Z430" s="3" t="str">
        <f ca="1">IFERROR(__xludf.DUMMYFUNCTION("""COMPUTED_VALUE"""),"podklady@cncenter.cz")</f>
        <v>podklady@cncenter.cz</v>
      </c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 t="str">
        <f ca="1">IFERROR(__xludf.DUMMYFUNCTION("""COMPUTED_VALUE"""),"desktop")</f>
        <v>desktop</v>
      </c>
      <c r="AO430" s="3"/>
      <c r="AP430" s="3"/>
      <c r="AQ430" s="3"/>
      <c r="AR430" s="3"/>
      <c r="AS430" s="3"/>
      <c r="AT430" s="3"/>
      <c r="AU430" s="3" t="str">
        <f ca="1">IFERROR(__xludf.DUMMYFUNCTION("""COMPUTED_VALUE"""),"cílený double skyscraper")</f>
        <v>cílený double skyscraper</v>
      </c>
    </row>
    <row r="431" spans="1:47" x14ac:dyDescent="0.3">
      <c r="A431" s="3">
        <f ca="1"/>
        <v>2346826</v>
      </c>
      <c r="B431" s="3" t="str">
        <f ca="1"/>
        <v>CZECH NEWS CENTER a. s.</v>
      </c>
      <c r="C431" s="3" t="str">
        <f ca="1">IFERROR(__xludf.DUMMYFUNCTION("""COMPUTED_VALUE"""),"Doupě")</f>
        <v>Doupě</v>
      </c>
      <c r="D431" s="4" t="str">
        <f ca="1">IFERROR(__xludf.DUMMYFUNCTION("""COMPUTED_VALUE"""),"https://doupe.zive.cz")</f>
        <v>https://doupe.zive.cz</v>
      </c>
      <c r="E431" s="3" t="str">
        <f ca="1">IFERROR(__xludf.DUMMYFUNCTION("""COMPUTED_VALUE"""),"celý web")</f>
        <v>celý web</v>
      </c>
      <c r="F431" s="4" t="str">
        <f ca="1">IFERROR(__xludf.DUMMYFUNCTION("""COMPUTED_VALUE"""),"https://doupe.zive.cz")</f>
        <v>https://doupe.zive.cz</v>
      </c>
      <c r="G431" s="3" t="str">
        <f ca="1">IFERROR(__xludf.DUMMYFUNCTION("""COMPUTED_VALUE"""),"cílený mobilní interscroller low season")</f>
        <v>cílený mobilní interscroller low season</v>
      </c>
      <c r="H431" s="3">
        <f ca="1">IFERROR(__xludf.DUMMYFUNCTION("""COMPUTED_VALUE"""),7)</f>
        <v>7</v>
      </c>
      <c r="I431" s="5">
        <f ca="1">IFERROR(__xludf.DUMMYFUNCTION("""COMPUTED_VALUE"""),1000)</f>
        <v>1000</v>
      </c>
      <c r="J431" s="5">
        <f ca="1">IFERROR(__xludf.DUMMYFUNCTION("""COMPUTED_VALUE"""),300)</f>
        <v>300</v>
      </c>
      <c r="K431" s="3"/>
      <c r="L431" s="3" t="str">
        <f ca="1">IFERROR(__xludf.DUMMYFUNCTION("""COMPUTED_VALUE"""),"Cost per period")</f>
        <v>Cost per period</v>
      </c>
      <c r="M431" s="3"/>
      <c r="N431" s="3"/>
      <c r="O431" s="3" t="str">
        <f ca="1">IFERROR(__xludf.DUMMYFUNCTION("""COMPUTED_VALUE"""),"600")</f>
        <v>600</v>
      </c>
      <c r="P431" s="3" t="str">
        <f ca="1">IFERROR(__xludf.DUMMYFUNCTION("""COMPUTED_VALUE"""),"1080")</f>
        <v>1080</v>
      </c>
      <c r="Q431" s="3" t="str">
        <f ca="1">IFERROR(__xludf.DUMMYFUNCTION("""COMPUTED_VALUE"""),"600x1080")</f>
        <v>600x1080</v>
      </c>
      <c r="R431" s="3"/>
      <c r="S431" s="3" t="str">
        <f ca="1">IFERROR(__xludf.DUMMYFUNCTION("""COMPUTED_VALUE"""),"200")</f>
        <v>200</v>
      </c>
      <c r="T431" s="3"/>
      <c r="U431" s="3" t="str">
        <f ca="1">IFERROR(__xludf.DUMMYFUNCTION("""COMPUTED_VALUE"""),"banner standard")</f>
        <v>banner standard</v>
      </c>
      <c r="V431" s="3"/>
      <c r="W431" s="4" t="str">
        <f ca="1">IFERROR(__xludf.DUMMYFUNCTION("""COMPUTED_VALUE"""),"https://reklama.cncenter.cz/Online/mobilni-interscroller")</f>
        <v>https://reklama.cncenter.cz/Online/mobilni-interscroller</v>
      </c>
      <c r="X431" s="3"/>
      <c r="Y431" s="3"/>
      <c r="Z431" s="3" t="str">
        <f ca="1">IFERROR(__xludf.DUMMYFUNCTION("""COMPUTED_VALUE"""),"podklady@cncenter.cz")</f>
        <v>podklady@cncenter.cz</v>
      </c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 t="str">
        <f ca="1">IFERROR(__xludf.DUMMYFUNCTION("""COMPUTED_VALUE"""),"mobile")</f>
        <v>mobile</v>
      </c>
      <c r="AO431" s="3"/>
      <c r="AP431" s="3"/>
      <c r="AQ431" s="3"/>
      <c r="AR431" s="3"/>
      <c r="AS431" s="3"/>
      <c r="AT431" s="3"/>
      <c r="AU431" s="3" t="str">
        <f ca="1">IFERROR(__xludf.DUMMYFUNCTION("""COMPUTED_VALUE"""),"cílený mobilní interscroller")</f>
        <v>cílený mobilní interscroller</v>
      </c>
    </row>
    <row r="432" spans="1:47" x14ac:dyDescent="0.3">
      <c r="A432" s="3">
        <f ca="1"/>
        <v>2346826</v>
      </c>
      <c r="B432" s="3" t="str">
        <f ca="1"/>
        <v>CZECH NEWS CENTER a. s.</v>
      </c>
      <c r="C432" s="3" t="str">
        <f ca="1">IFERROR(__xludf.DUMMYFUNCTION("""COMPUTED_VALUE"""),"Doupě")</f>
        <v>Doupě</v>
      </c>
      <c r="D432" s="4" t="str">
        <f ca="1">IFERROR(__xludf.DUMMYFUNCTION("""COMPUTED_VALUE"""),"https://doupe.zive.cz")</f>
        <v>https://doupe.zive.cz</v>
      </c>
      <c r="E432" s="3" t="str">
        <f ca="1">IFERROR(__xludf.DUMMYFUNCTION("""COMPUTED_VALUE"""),"celý web")</f>
        <v>celý web</v>
      </c>
      <c r="F432" s="4" t="str">
        <f ca="1">IFERROR(__xludf.DUMMYFUNCTION("""COMPUTED_VALUE"""),"https://doupe.zive.cz")</f>
        <v>https://doupe.zive.cz</v>
      </c>
      <c r="G432" s="3" t="str">
        <f ca="1">IFERROR(__xludf.DUMMYFUNCTION("""COMPUTED_VALUE"""),"cílený mobilní slide-up low season")</f>
        <v>cílený mobilní slide-up low season</v>
      </c>
      <c r="H432" s="3">
        <f ca="1">IFERROR(__xludf.DUMMYFUNCTION("""COMPUTED_VALUE"""),7)</f>
        <v>7</v>
      </c>
      <c r="I432" s="5">
        <f ca="1">IFERROR(__xludf.DUMMYFUNCTION("""COMPUTED_VALUE"""),1000)</f>
        <v>1000</v>
      </c>
      <c r="J432" s="5">
        <f ca="1">IFERROR(__xludf.DUMMYFUNCTION("""COMPUTED_VALUE"""),612)</f>
        <v>612</v>
      </c>
      <c r="K432" s="3"/>
      <c r="L432" s="3" t="str">
        <f ca="1">IFERROR(__xludf.DUMMYFUNCTION("""COMPUTED_VALUE"""),"Cost per period")</f>
        <v>Cost per period</v>
      </c>
      <c r="M432" s="3"/>
      <c r="N432" s="3"/>
      <c r="O432" s="3" t="str">
        <f ca="1">IFERROR(__xludf.DUMMYFUNCTION("""COMPUTED_VALUE"""),"300")</f>
        <v>300</v>
      </c>
      <c r="P432" s="3" t="str">
        <f ca="1">IFERROR(__xludf.DUMMYFUNCTION("""COMPUTED_VALUE"""),"120")</f>
        <v>120</v>
      </c>
      <c r="Q432" s="3" t="str">
        <f ca="1">IFERROR(__xludf.DUMMYFUNCTION("""COMPUTED_VALUE"""),"300x120")</f>
        <v>300x120</v>
      </c>
      <c r="R432" s="3"/>
      <c r="S432" s="3" t="str">
        <f ca="1">IFERROR(__xludf.DUMMYFUNCTION("""COMPUTED_VALUE"""),"100")</f>
        <v>100</v>
      </c>
      <c r="T432" s="3"/>
      <c r="U432" s="3" t="str">
        <f ca="1">IFERROR(__xludf.DUMMYFUNCTION("""COMPUTED_VALUE"""),"banner standard")</f>
        <v>banner standard</v>
      </c>
      <c r="V432" s="3"/>
      <c r="W432" s="4" t="str">
        <f ca="1">IFERROR(__xludf.DUMMYFUNCTION("""COMPUTED_VALUE"""),"https://reklama.cncenter.cz/Online/mobilni-slide-up")</f>
        <v>https://reklama.cncenter.cz/Online/mobilni-slide-up</v>
      </c>
      <c r="X432" s="3"/>
      <c r="Y432" s="3"/>
      <c r="Z432" s="3" t="str">
        <f ca="1">IFERROR(__xludf.DUMMYFUNCTION("""COMPUTED_VALUE"""),"podklady@cncenter.cz")</f>
        <v>podklady@cncenter.cz</v>
      </c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 t="str">
        <f ca="1">IFERROR(__xludf.DUMMYFUNCTION("""COMPUTED_VALUE"""),"mobile")</f>
        <v>mobile</v>
      </c>
      <c r="AO432" s="3"/>
      <c r="AP432" s="3"/>
      <c r="AQ432" s="3"/>
      <c r="AR432" s="3"/>
      <c r="AS432" s="3"/>
      <c r="AT432" s="3"/>
      <c r="AU432" s="3" t="str">
        <f ca="1">IFERROR(__xludf.DUMMYFUNCTION("""COMPUTED_VALUE"""),"cílený mobilní slide-up")</f>
        <v>cílený mobilní slide-up</v>
      </c>
    </row>
    <row r="433" spans="1:47" x14ac:dyDescent="0.3">
      <c r="A433" s="3">
        <f ca="1"/>
        <v>2346826</v>
      </c>
      <c r="B433" s="3" t="str">
        <f ca="1"/>
        <v>CZECH NEWS CENTER a. s.</v>
      </c>
      <c r="C433" s="3" t="str">
        <f ca="1">IFERROR(__xludf.DUMMYFUNCTION("""COMPUTED_VALUE"""),"Doupě")</f>
        <v>Doupě</v>
      </c>
      <c r="D433" s="4" t="str">
        <f ca="1">IFERROR(__xludf.DUMMYFUNCTION("""COMPUTED_VALUE"""),"https://doupe.zive.cz")</f>
        <v>https://doupe.zive.cz</v>
      </c>
      <c r="E433" s="3" t="str">
        <f ca="1">IFERROR(__xludf.DUMMYFUNCTION("""COMPUTED_VALUE"""),"celý web")</f>
        <v>celý web</v>
      </c>
      <c r="F433" s="4" t="str">
        <f ca="1">IFERROR(__xludf.DUMMYFUNCTION("""COMPUTED_VALUE"""),"https://doupe.zive.cz")</f>
        <v>https://doupe.zive.cz</v>
      </c>
      <c r="G433" s="3" t="str">
        <f ca="1">IFERROR(__xludf.DUMMYFUNCTION("""COMPUTED_VALUE"""),"cílený mobilní viněta low season")</f>
        <v>cílený mobilní viněta low season</v>
      </c>
      <c r="H433" s="3">
        <f ca="1">IFERROR(__xludf.DUMMYFUNCTION("""COMPUTED_VALUE"""),7)</f>
        <v>7</v>
      </c>
      <c r="I433" s="5">
        <f ca="1">IFERROR(__xludf.DUMMYFUNCTION("""COMPUTED_VALUE"""),1000)</f>
        <v>1000</v>
      </c>
      <c r="J433" s="5">
        <f ca="1">IFERROR(__xludf.DUMMYFUNCTION("""COMPUTED_VALUE"""),1056)</f>
        <v>1056</v>
      </c>
      <c r="K433" s="3"/>
      <c r="L433" s="3" t="str">
        <f ca="1">IFERROR(__xludf.DUMMYFUNCTION("""COMPUTED_VALUE"""),"Cost per period")</f>
        <v>Cost per period</v>
      </c>
      <c r="M433" s="3"/>
      <c r="N433" s="3"/>
      <c r="O433" s="3" t="str">
        <f ca="1">IFERROR(__xludf.DUMMYFUNCTION("""COMPUTED_VALUE"""),"600")</f>
        <v>600</v>
      </c>
      <c r="P433" s="3" t="str">
        <f ca="1">IFERROR(__xludf.DUMMYFUNCTION("""COMPUTED_VALUE"""),"800")</f>
        <v>800</v>
      </c>
      <c r="Q433" s="3" t="str">
        <f ca="1">IFERROR(__xludf.DUMMYFUNCTION("""COMPUTED_VALUE"""),"300x250 nebo 600x800")</f>
        <v>300x250 nebo 600x800</v>
      </c>
      <c r="R433" s="3"/>
      <c r="S433" s="3" t="str">
        <f ca="1">IFERROR(__xludf.DUMMYFUNCTION("""COMPUTED_VALUE"""),"100")</f>
        <v>100</v>
      </c>
      <c r="T433" s="3"/>
      <c r="U433" s="3" t="str">
        <f ca="1">IFERROR(__xludf.DUMMYFUNCTION("""COMPUTED_VALUE"""),"banner standard")</f>
        <v>banner standard</v>
      </c>
      <c r="V433" s="3"/>
      <c r="W433" s="4" t="str">
        <f ca="1">IFERROR(__xludf.DUMMYFUNCTION("""COMPUTED_VALUE"""),"https://reklama.cncenter.cz/Online/mobilni-vineta")</f>
        <v>https://reklama.cncenter.cz/Online/mobilni-vineta</v>
      </c>
      <c r="X433" s="3"/>
      <c r="Y433" s="3"/>
      <c r="Z433" s="3" t="str">
        <f ca="1">IFERROR(__xludf.DUMMYFUNCTION("""COMPUTED_VALUE"""),"podklady@cncenter.cz")</f>
        <v>podklady@cncenter.cz</v>
      </c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 t="str">
        <f ca="1">IFERROR(__xludf.DUMMYFUNCTION("""COMPUTED_VALUE"""),"mobile")</f>
        <v>mobile</v>
      </c>
      <c r="AO433" s="3"/>
      <c r="AP433" s="3"/>
      <c r="AQ433" s="3"/>
      <c r="AR433" s="3"/>
      <c r="AS433" s="3"/>
      <c r="AT433" s="3"/>
      <c r="AU433" s="3" t="str">
        <f ca="1">IFERROR(__xludf.DUMMYFUNCTION("""COMPUTED_VALUE"""),"cílený mobilní viněta")</f>
        <v>cílený mobilní viněta</v>
      </c>
    </row>
    <row r="434" spans="1:47" x14ac:dyDescent="0.3">
      <c r="A434" s="3">
        <f ca="1"/>
        <v>2346826</v>
      </c>
      <c r="B434" s="3" t="str">
        <f ca="1"/>
        <v>CZECH NEWS CENTER a. s.</v>
      </c>
      <c r="C434" s="3" t="str">
        <f ca="1">IFERROR(__xludf.DUMMYFUNCTION("""COMPUTED_VALUE"""),"Doupě")</f>
        <v>Doupě</v>
      </c>
      <c r="D434" s="4" t="str">
        <f ca="1">IFERROR(__xludf.DUMMYFUNCTION("""COMPUTED_VALUE"""),"https://doupe.zive.cz")</f>
        <v>https://doupe.zive.cz</v>
      </c>
      <c r="E434" s="3" t="str">
        <f ca="1">IFERROR(__xludf.DUMMYFUNCTION("""COMPUTED_VALUE"""),"celý web")</f>
        <v>celý web</v>
      </c>
      <c r="F434" s="4" t="str">
        <f ca="1">IFERROR(__xludf.DUMMYFUNCTION("""COMPUTED_VALUE"""),"https://doupe.zive.cz")</f>
        <v>https://doupe.zive.cz</v>
      </c>
      <c r="G434" s="3" t="str">
        <f ca="1">IFERROR(__xludf.DUMMYFUNCTION("""COMPUTED_VALUE"""),"cílený nativní rectangle cross-device low season")</f>
        <v>cílený nativní rectangle cross-device low season</v>
      </c>
      <c r="H434" s="3">
        <f ca="1">IFERROR(__xludf.DUMMYFUNCTION("""COMPUTED_VALUE"""),7)</f>
        <v>7</v>
      </c>
      <c r="I434" s="5">
        <f ca="1">IFERROR(__xludf.DUMMYFUNCTION("""COMPUTED_VALUE"""),1000)</f>
        <v>1000</v>
      </c>
      <c r="J434" s="5">
        <f ca="1">IFERROR(__xludf.DUMMYFUNCTION("""COMPUTED_VALUE"""),240)</f>
        <v>240</v>
      </c>
      <c r="K434" s="3"/>
      <c r="L434" s="3" t="str">
        <f ca="1">IFERROR(__xludf.DUMMYFUNCTION("""COMPUTED_VALUE"""),"Cost per period")</f>
        <v>Cost per period</v>
      </c>
      <c r="M434" s="3"/>
      <c r="N434" s="3"/>
      <c r="O434" s="3" t="str">
        <f ca="1">IFERROR(__xludf.DUMMYFUNCTION("""COMPUTED_VALUE"""),"640")</f>
        <v>640</v>
      </c>
      <c r="P434" s="3" t="str">
        <f ca="1">IFERROR(__xludf.DUMMYFUNCTION("""COMPUTED_VALUE"""),"335, 640")</f>
        <v>335, 640</v>
      </c>
      <c r="Q434" s="3" t="str">
        <f ca="1">IFERROR(__xludf.DUMMYFUNCTION("""COMPUTED_VALUE"""),"640x640 a 640x335 + text + logo")</f>
        <v>640x640 a 640x335 + text + logo</v>
      </c>
      <c r="R434" s="3"/>
      <c r="S434" s="3" t="str">
        <f ca="1">IFERROR(__xludf.DUMMYFUNCTION("""COMPUTED_VALUE"""),"45")</f>
        <v>45</v>
      </c>
      <c r="T434" s="3"/>
      <c r="U434" s="3" t="str">
        <f ca="1">IFERROR(__xludf.DUMMYFUNCTION("""COMPUTED_VALUE"""),"nativní reklama")</f>
        <v>nativní reklama</v>
      </c>
      <c r="V434" s="3"/>
      <c r="W434" s="4" t="str">
        <f ca="1">IFERROR(__xludf.DUMMYFUNCTION("""COMPUTED_VALUE"""),"https://reklama.cncenter.cz/Online/nativni-rectangle-cross-device")</f>
        <v>https://reklama.cncenter.cz/Online/nativni-rectangle-cross-device</v>
      </c>
      <c r="X434" s="3"/>
      <c r="Y434" s="3"/>
      <c r="Z434" s="3" t="str">
        <f ca="1">IFERROR(__xludf.DUMMYFUNCTION("""COMPUTED_VALUE"""),"podklady@cncenter.cz")</f>
        <v>podklady@cncenter.cz</v>
      </c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 t="str">
        <f ca="1">IFERROR(__xludf.DUMMYFUNCTION("""COMPUTED_VALUE"""),"cross-device")</f>
        <v>cross-device</v>
      </c>
      <c r="AO434" s="3"/>
      <c r="AP434" s="3"/>
      <c r="AQ434" s="3"/>
      <c r="AR434" s="3"/>
      <c r="AS434" s="3"/>
      <c r="AT434" s="3"/>
      <c r="AU434" s="3" t="str">
        <f ca="1">IFERROR(__xludf.DUMMYFUNCTION("""COMPUTED_VALUE"""),"cílený nativní rectangle cross-device")</f>
        <v>cílený nativní rectangle cross-device</v>
      </c>
    </row>
    <row r="435" spans="1:47" x14ac:dyDescent="0.3">
      <c r="A435" s="3">
        <f ca="1"/>
        <v>2346826</v>
      </c>
      <c r="B435" s="3" t="str">
        <f ca="1"/>
        <v>CZECH NEWS CENTER a. s.</v>
      </c>
      <c r="C435" s="3" t="str">
        <f ca="1">IFERROR(__xludf.DUMMYFUNCTION("""COMPUTED_VALUE"""),"Doupě")</f>
        <v>Doupě</v>
      </c>
      <c r="D435" s="4" t="str">
        <f ca="1">IFERROR(__xludf.DUMMYFUNCTION("""COMPUTED_VALUE"""),"https://doupe.zive.cz")</f>
        <v>https://doupe.zive.cz</v>
      </c>
      <c r="E435" s="3" t="str">
        <f ca="1">IFERROR(__xludf.DUMMYFUNCTION("""COMPUTED_VALUE"""),"celý web")</f>
        <v>celý web</v>
      </c>
      <c r="F435" s="4" t="str">
        <f ca="1">IFERROR(__xludf.DUMMYFUNCTION("""COMPUTED_VALUE"""),"https://doupe.zive.cz")</f>
        <v>https://doupe.zive.cz</v>
      </c>
      <c r="G435" s="3" t="str">
        <f ca="1">IFERROR(__xludf.DUMMYFUNCTION("""COMPUTED_VALUE"""),"cílený outstream low season")</f>
        <v>cílený outstream low season</v>
      </c>
      <c r="H435" s="3">
        <f ca="1">IFERROR(__xludf.DUMMYFUNCTION("""COMPUTED_VALUE"""),7)</f>
        <v>7</v>
      </c>
      <c r="I435" s="5">
        <f ca="1">IFERROR(__xludf.DUMMYFUNCTION("""COMPUTED_VALUE"""),1000)</f>
        <v>1000</v>
      </c>
      <c r="J435" s="5">
        <f ca="1">IFERROR(__xludf.DUMMYFUNCTION("""COMPUTED_VALUE"""),300)</f>
        <v>300</v>
      </c>
      <c r="K435" s="3"/>
      <c r="L435" s="3" t="str">
        <f ca="1">IFERROR(__xludf.DUMMYFUNCTION("""COMPUTED_VALUE"""),"Cost per period")</f>
        <v>Cost per period</v>
      </c>
      <c r="M435" s="3"/>
      <c r="N435" s="3"/>
      <c r="O435" s="3" t="str">
        <f ca="1">IFERROR(__xludf.DUMMYFUNCTION("""COMPUTED_VALUE"""),"1280")</f>
        <v>1280</v>
      </c>
      <c r="P435" s="3" t="str">
        <f ca="1">IFERROR(__xludf.DUMMYFUNCTION("""COMPUTED_VALUE"""),"720")</f>
        <v>720</v>
      </c>
      <c r="Q435" s="3" t="str">
        <f ca="1">IFERROR(__xludf.DUMMYFUNCTION("""COMPUTED_VALUE"""),"16:9")</f>
        <v>16:9</v>
      </c>
      <c r="R435" s="3"/>
      <c r="S435" s="3" t="str">
        <f ca="1">IFERROR(__xludf.DUMMYFUNCTION("""COMPUTED_VALUE"""),"100")</f>
        <v>100</v>
      </c>
      <c r="T435" s="3"/>
      <c r="U435" s="3" t="str">
        <f ca="1">IFERROR(__xludf.DUMMYFUNCTION("""COMPUTED_VALUE"""),"videospot")</f>
        <v>videospot</v>
      </c>
      <c r="V435" s="3"/>
      <c r="W435" s="4" t="str">
        <f ca="1">IFERROR(__xludf.DUMMYFUNCTION("""COMPUTED_VALUE"""),"https://reklama.cncenter.cz/Online/Outstream")</f>
        <v>https://reklama.cncenter.cz/Online/Outstream</v>
      </c>
      <c r="X435" s="3"/>
      <c r="Y435" s="3"/>
      <c r="Z435" s="3" t="str">
        <f ca="1">IFERROR(__xludf.DUMMYFUNCTION("""COMPUTED_VALUE"""),"podklady@cncenter.cz")</f>
        <v>podklady@cncenter.cz</v>
      </c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 t="str">
        <f ca="1">IFERROR(__xludf.DUMMYFUNCTION("""COMPUTED_VALUE"""),"cross-device")</f>
        <v>cross-device</v>
      </c>
      <c r="AO435" s="3"/>
      <c r="AP435" s="3"/>
      <c r="AQ435" s="3"/>
      <c r="AR435" s="3"/>
      <c r="AS435" s="3"/>
      <c r="AT435" s="3"/>
      <c r="AU435" s="3" t="str">
        <f ca="1">IFERROR(__xludf.DUMMYFUNCTION("""COMPUTED_VALUE"""),"cílený outstream")</f>
        <v>cílený outstream</v>
      </c>
    </row>
    <row r="436" spans="1:47" x14ac:dyDescent="0.3">
      <c r="A436" s="3">
        <f ca="1"/>
        <v>2346826</v>
      </c>
      <c r="B436" s="3" t="str">
        <f ca="1"/>
        <v>CZECH NEWS CENTER a. s.</v>
      </c>
      <c r="C436" s="3" t="str">
        <f ca="1">IFERROR(__xludf.DUMMYFUNCTION("""COMPUTED_VALUE"""),"Doupě")</f>
        <v>Doupě</v>
      </c>
      <c r="D436" s="4" t="str">
        <f ca="1">IFERROR(__xludf.DUMMYFUNCTION("""COMPUTED_VALUE"""),"https://doupe.zive.cz")</f>
        <v>https://doupe.zive.cz</v>
      </c>
      <c r="E436" s="3" t="str">
        <f ca="1">IFERROR(__xludf.DUMMYFUNCTION("""COMPUTED_VALUE"""),"celý web")</f>
        <v>celý web</v>
      </c>
      <c r="F436" s="4" t="str">
        <f ca="1">IFERROR(__xludf.DUMMYFUNCTION("""COMPUTED_VALUE"""),"https://doupe.zive.cz")</f>
        <v>https://doupe.zive.cz</v>
      </c>
      <c r="G436" s="3" t="str">
        <f ca="1">IFERROR(__xludf.DUMMYFUNCTION("""COMPUTED_VALUE"""),"dokoupení proma o 2 týdny - 10 000 PV *** low season")</f>
        <v>dokoupení proma o 2 týdny - 10 000 PV *** low season</v>
      </c>
      <c r="H436" s="3">
        <f ca="1">IFERROR(__xludf.DUMMYFUNCTION("""COMPUTED_VALUE"""),1)</f>
        <v>1</v>
      </c>
      <c r="I436" s="5">
        <f ca="1">IFERROR(__xludf.DUMMYFUNCTION("""COMPUTED_VALUE"""),1)</f>
        <v>1</v>
      </c>
      <c r="J436" s="5">
        <f ca="1">IFERROR(__xludf.DUMMYFUNCTION("""COMPUTED_VALUE"""),60000)</f>
        <v>60000</v>
      </c>
      <c r="K436" s="3"/>
      <c r="L436" s="3" t="str">
        <f ca="1">IFERROR(__xludf.DUMMYFUNCTION("""COMPUTED_VALUE"""),"Cost per instance")</f>
        <v>Cost per instance</v>
      </c>
      <c r="M436" s="3"/>
      <c r="N436" s="3"/>
      <c r="O436" s="3"/>
      <c r="P436" s="3"/>
      <c r="Q436" s="3"/>
      <c r="R436" s="3"/>
      <c r="S436" s="3" t="str">
        <f ca="1">IFERROR(__xludf.DUMMYFUNCTION("""COMPUTED_VALUE"""),"100")</f>
        <v>100</v>
      </c>
      <c r="T436" s="3"/>
      <c r="U436" s="3" t="str">
        <f ca="1">IFERROR(__xludf.DUMMYFUNCTION("""COMPUTED_VALUE"""),"microsite")</f>
        <v>microsite</v>
      </c>
      <c r="V436" s="3"/>
      <c r="W436" s="3"/>
      <c r="X436" s="3"/>
      <c r="Y436" s="3"/>
      <c r="Z436" s="3" t="str">
        <f ca="1">IFERROR(__xludf.DUMMYFUNCTION("""COMPUTED_VALUE"""),"podklady@cncenter.cz")</f>
        <v>podklady@cncenter.cz</v>
      </c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 t="str">
        <f ca="1">IFERROR(__xludf.DUMMYFUNCTION("""COMPUTED_VALUE"""),"cross-device")</f>
        <v>cross-device</v>
      </c>
      <c r="AO436" s="3"/>
      <c r="AP436" s="3"/>
      <c r="AQ436" s="3"/>
      <c r="AR436" s="3"/>
      <c r="AS436" s="3"/>
      <c r="AT436" s="3"/>
      <c r="AU436" s="3" t="str">
        <f ca="1">IFERROR(__xludf.DUMMYFUNCTION("""COMPUTED_VALUE"""),"dokoupení proma o 2 týdny - 10 000 PV ***")</f>
        <v>dokoupení proma o 2 týdny - 10 000 PV ***</v>
      </c>
    </row>
    <row r="437" spans="1:47" x14ac:dyDescent="0.3">
      <c r="A437" s="3">
        <f ca="1"/>
        <v>2346826</v>
      </c>
      <c r="B437" s="3" t="str">
        <f ca="1"/>
        <v>CZECH NEWS CENTER a. s.</v>
      </c>
      <c r="C437" s="3" t="str">
        <f ca="1">IFERROR(__xludf.DUMMYFUNCTION("""COMPUTED_VALUE"""),"Doupě")</f>
        <v>Doupě</v>
      </c>
      <c r="D437" s="4" t="str">
        <f ca="1">IFERROR(__xludf.DUMMYFUNCTION("""COMPUTED_VALUE"""),"https://doupe.zive.cz")</f>
        <v>https://doupe.zive.cz</v>
      </c>
      <c r="E437" s="3" t="str">
        <f ca="1">IFERROR(__xludf.DUMMYFUNCTION("""COMPUTED_VALUE"""),"celý web")</f>
        <v>celý web</v>
      </c>
      <c r="F437" s="4" t="str">
        <f ca="1">IFERROR(__xludf.DUMMYFUNCTION("""COMPUTED_VALUE"""),"https://doupe.zive.cz")</f>
        <v>https://doupe.zive.cz</v>
      </c>
      <c r="G437" s="3" t="str">
        <f ca="1">IFERROR(__xludf.DUMMYFUNCTION("""COMPUTED_VALUE"""),"double skyscraper low season")</f>
        <v>double skyscraper low season</v>
      </c>
      <c r="H437" s="3">
        <f ca="1">IFERROR(__xludf.DUMMYFUNCTION("""COMPUTED_VALUE"""),7)</f>
        <v>7</v>
      </c>
      <c r="I437" s="5">
        <f ca="1">IFERROR(__xludf.DUMMYFUNCTION("""COMPUTED_VALUE"""),1000)</f>
        <v>1000</v>
      </c>
      <c r="J437" s="5">
        <f ca="1">IFERROR(__xludf.DUMMYFUNCTION("""COMPUTED_VALUE"""),190)</f>
        <v>190</v>
      </c>
      <c r="K437" s="3"/>
      <c r="L437" s="3" t="str">
        <f ca="1">IFERROR(__xludf.DUMMYFUNCTION("""COMPUTED_VALUE"""),"Cost per period")</f>
        <v>Cost per period</v>
      </c>
      <c r="M437" s="3"/>
      <c r="N437" s="3"/>
      <c r="O437" s="3" t="str">
        <f ca="1">IFERROR(__xludf.DUMMYFUNCTION("""COMPUTED_VALUE"""),"300")</f>
        <v>300</v>
      </c>
      <c r="P437" s="3" t="str">
        <f ca="1">IFERROR(__xludf.DUMMYFUNCTION("""COMPUTED_VALUE"""),"600")</f>
        <v>600</v>
      </c>
      <c r="Q437" s="3" t="str">
        <f ca="1">IFERROR(__xludf.DUMMYFUNCTION("""COMPUTED_VALUE"""),"300x600")</f>
        <v>300x600</v>
      </c>
      <c r="R437" s="3"/>
      <c r="S437" s="3" t="str">
        <f ca="1">IFERROR(__xludf.DUMMYFUNCTION("""COMPUTED_VALUE"""),"100 (200 - HTML5)")</f>
        <v>100 (200 - HTML5)</v>
      </c>
      <c r="T437" s="3"/>
      <c r="U437" s="3" t="str">
        <f ca="1">IFERROR(__xludf.DUMMYFUNCTION("""COMPUTED_VALUE"""),"banner standard")</f>
        <v>banner standard</v>
      </c>
      <c r="V437" s="3"/>
      <c r="W437" s="4" t="str">
        <f ca="1">IFERROR(__xludf.DUMMYFUNCTION("""COMPUTED_VALUE"""),"https://reklama.cncenter.cz/Online/double-skyscraper")</f>
        <v>https://reklama.cncenter.cz/Online/double-skyscraper</v>
      </c>
      <c r="X437" s="3"/>
      <c r="Y437" s="3"/>
      <c r="Z437" s="3" t="str">
        <f ca="1">IFERROR(__xludf.DUMMYFUNCTION("""COMPUTED_VALUE"""),"podklady@cncenter.cz")</f>
        <v>podklady@cncenter.cz</v>
      </c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 t="str">
        <f ca="1">IFERROR(__xludf.DUMMYFUNCTION("""COMPUTED_VALUE"""),"desktop")</f>
        <v>desktop</v>
      </c>
      <c r="AO437" s="3"/>
      <c r="AP437" s="3"/>
      <c r="AQ437" s="3"/>
      <c r="AR437" s="3"/>
      <c r="AS437" s="3"/>
      <c r="AT437" s="3"/>
      <c r="AU437" s="3" t="str">
        <f ca="1">IFERROR(__xludf.DUMMYFUNCTION("""COMPUTED_VALUE"""),"double skyscraper")</f>
        <v>double skyscraper</v>
      </c>
    </row>
    <row r="438" spans="1:47" x14ac:dyDescent="0.3">
      <c r="A438" s="3">
        <f ca="1"/>
        <v>2346826</v>
      </c>
      <c r="B438" s="3" t="str">
        <f ca="1"/>
        <v>CZECH NEWS CENTER a. s.</v>
      </c>
      <c r="C438" s="3" t="str">
        <f ca="1">IFERROR(__xludf.DUMMYFUNCTION("""COMPUTED_VALUE"""),"Doupě")</f>
        <v>Doupě</v>
      </c>
      <c r="D438" s="4" t="str">
        <f ca="1">IFERROR(__xludf.DUMMYFUNCTION("""COMPUTED_VALUE"""),"https://doupe.zive.cz")</f>
        <v>https://doupe.zive.cz</v>
      </c>
      <c r="E438" s="3" t="str">
        <f ca="1">IFERROR(__xludf.DUMMYFUNCTION("""COMPUTED_VALUE"""),"celý web")</f>
        <v>celý web</v>
      </c>
      <c r="F438" s="4" t="str">
        <f ca="1">IFERROR(__xludf.DUMMYFUNCTION("""COMPUTED_VALUE"""),"https://doupe.zive.cz")</f>
        <v>https://doupe.zive.cz</v>
      </c>
      <c r="G438" s="3" t="str">
        <f ca="1">IFERROR(__xludf.DUMMYFUNCTION("""COMPUTED_VALUE"""),"mobilní interscroller low season")</f>
        <v>mobilní interscroller low season</v>
      </c>
      <c r="H438" s="3">
        <f ca="1">IFERROR(__xludf.DUMMYFUNCTION("""COMPUTED_VALUE"""),7)</f>
        <v>7</v>
      </c>
      <c r="I438" s="5">
        <f ca="1">IFERROR(__xludf.DUMMYFUNCTION("""COMPUTED_VALUE"""),1000)</f>
        <v>1000</v>
      </c>
      <c r="J438" s="5">
        <f ca="1">IFERROR(__xludf.DUMMYFUNCTION("""COMPUTED_VALUE"""),250)</f>
        <v>250</v>
      </c>
      <c r="K438" s="3"/>
      <c r="L438" s="3" t="str">
        <f ca="1">IFERROR(__xludf.DUMMYFUNCTION("""COMPUTED_VALUE"""),"Cost per period")</f>
        <v>Cost per period</v>
      </c>
      <c r="M438" s="3"/>
      <c r="N438" s="3"/>
      <c r="O438" s="3" t="str">
        <f ca="1">IFERROR(__xludf.DUMMYFUNCTION("""COMPUTED_VALUE"""),"600")</f>
        <v>600</v>
      </c>
      <c r="P438" s="3" t="str">
        <f ca="1">IFERROR(__xludf.DUMMYFUNCTION("""COMPUTED_VALUE"""),"1080")</f>
        <v>1080</v>
      </c>
      <c r="Q438" s="3" t="str">
        <f ca="1">IFERROR(__xludf.DUMMYFUNCTION("""COMPUTED_VALUE"""),"600x1080")</f>
        <v>600x1080</v>
      </c>
      <c r="R438" s="3"/>
      <c r="S438" s="3" t="str">
        <f ca="1">IFERROR(__xludf.DUMMYFUNCTION("""COMPUTED_VALUE"""),"200")</f>
        <v>200</v>
      </c>
      <c r="T438" s="3"/>
      <c r="U438" s="3" t="str">
        <f ca="1">IFERROR(__xludf.DUMMYFUNCTION("""COMPUTED_VALUE"""),"banner standard")</f>
        <v>banner standard</v>
      </c>
      <c r="V438" s="3"/>
      <c r="W438" s="4" t="str">
        <f ca="1">IFERROR(__xludf.DUMMYFUNCTION("""COMPUTED_VALUE"""),"https://reklama.cncenter.cz/Online/mobilni-interscroller")</f>
        <v>https://reklama.cncenter.cz/Online/mobilni-interscroller</v>
      </c>
      <c r="X438" s="3"/>
      <c r="Y438" s="3"/>
      <c r="Z438" s="3" t="str">
        <f ca="1">IFERROR(__xludf.DUMMYFUNCTION("""COMPUTED_VALUE"""),"podklady@cncenter.cz")</f>
        <v>podklady@cncenter.cz</v>
      </c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 t="str">
        <f ca="1">IFERROR(__xludf.DUMMYFUNCTION("""COMPUTED_VALUE"""),"mobile")</f>
        <v>mobile</v>
      </c>
      <c r="AO438" s="3"/>
      <c r="AP438" s="3"/>
      <c r="AQ438" s="3"/>
      <c r="AR438" s="3"/>
      <c r="AS438" s="3"/>
      <c r="AT438" s="3"/>
      <c r="AU438" s="3" t="str">
        <f ca="1">IFERROR(__xludf.DUMMYFUNCTION("""COMPUTED_VALUE"""),"mobilní interscroller")</f>
        <v>mobilní interscroller</v>
      </c>
    </row>
    <row r="439" spans="1:47" x14ac:dyDescent="0.3">
      <c r="A439" s="3">
        <f ca="1"/>
        <v>2346826</v>
      </c>
      <c r="B439" s="3" t="str">
        <f ca="1"/>
        <v>CZECH NEWS CENTER a. s.</v>
      </c>
      <c r="C439" s="3" t="str">
        <f ca="1">IFERROR(__xludf.DUMMYFUNCTION("""COMPUTED_VALUE"""),"Doupě")</f>
        <v>Doupě</v>
      </c>
      <c r="D439" s="4" t="str">
        <f ca="1">IFERROR(__xludf.DUMMYFUNCTION("""COMPUTED_VALUE"""),"https://doupe.zive.cz")</f>
        <v>https://doupe.zive.cz</v>
      </c>
      <c r="E439" s="3" t="str">
        <f ca="1">IFERROR(__xludf.DUMMYFUNCTION("""COMPUTED_VALUE"""),"celý web")</f>
        <v>celý web</v>
      </c>
      <c r="F439" s="4" t="str">
        <f ca="1">IFERROR(__xludf.DUMMYFUNCTION("""COMPUTED_VALUE"""),"https://doupe.zive.cz")</f>
        <v>https://doupe.zive.cz</v>
      </c>
      <c r="G439" s="3" t="str">
        <f ca="1">IFERROR(__xludf.DUMMYFUNCTION("""COMPUTED_VALUE"""),"mobilní slide-up low season")</f>
        <v>mobilní slide-up low season</v>
      </c>
      <c r="H439" s="3">
        <f ca="1">IFERROR(__xludf.DUMMYFUNCTION("""COMPUTED_VALUE"""),7)</f>
        <v>7</v>
      </c>
      <c r="I439" s="5">
        <f ca="1">IFERROR(__xludf.DUMMYFUNCTION("""COMPUTED_VALUE"""),1000)</f>
        <v>1000</v>
      </c>
      <c r="J439" s="5">
        <f ca="1">IFERROR(__xludf.DUMMYFUNCTION("""COMPUTED_VALUE"""),510)</f>
        <v>510</v>
      </c>
      <c r="K439" s="3"/>
      <c r="L439" s="3" t="str">
        <f ca="1">IFERROR(__xludf.DUMMYFUNCTION("""COMPUTED_VALUE"""),"Cost per period")</f>
        <v>Cost per period</v>
      </c>
      <c r="M439" s="3"/>
      <c r="N439" s="3"/>
      <c r="O439" s="3" t="str">
        <f ca="1">IFERROR(__xludf.DUMMYFUNCTION("""COMPUTED_VALUE"""),"300")</f>
        <v>300</v>
      </c>
      <c r="P439" s="3" t="str">
        <f ca="1">IFERROR(__xludf.DUMMYFUNCTION("""COMPUTED_VALUE"""),"120")</f>
        <v>120</v>
      </c>
      <c r="Q439" s="3" t="str">
        <f ca="1">IFERROR(__xludf.DUMMYFUNCTION("""COMPUTED_VALUE"""),"300x120")</f>
        <v>300x120</v>
      </c>
      <c r="R439" s="3"/>
      <c r="S439" s="3" t="str">
        <f ca="1">IFERROR(__xludf.DUMMYFUNCTION("""COMPUTED_VALUE"""),"100")</f>
        <v>100</v>
      </c>
      <c r="T439" s="3"/>
      <c r="U439" s="3" t="str">
        <f ca="1">IFERROR(__xludf.DUMMYFUNCTION("""COMPUTED_VALUE"""),"banner standard")</f>
        <v>banner standard</v>
      </c>
      <c r="V439" s="3"/>
      <c r="W439" s="4" t="str">
        <f ca="1">IFERROR(__xludf.DUMMYFUNCTION("""COMPUTED_VALUE"""),"https://reklama.cncenter.cz/Online/mobilni-slide-up")</f>
        <v>https://reklama.cncenter.cz/Online/mobilni-slide-up</v>
      </c>
      <c r="X439" s="3"/>
      <c r="Y439" s="3"/>
      <c r="Z439" s="3" t="str">
        <f ca="1">IFERROR(__xludf.DUMMYFUNCTION("""COMPUTED_VALUE"""),"podklady@cncenter.cz")</f>
        <v>podklady@cncenter.cz</v>
      </c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 t="str">
        <f ca="1">IFERROR(__xludf.DUMMYFUNCTION("""COMPUTED_VALUE"""),"mobile")</f>
        <v>mobile</v>
      </c>
      <c r="AO439" s="3"/>
      <c r="AP439" s="3"/>
      <c r="AQ439" s="3"/>
      <c r="AR439" s="3"/>
      <c r="AS439" s="3"/>
      <c r="AT439" s="3"/>
      <c r="AU439" s="3" t="str">
        <f ca="1">IFERROR(__xludf.DUMMYFUNCTION("""COMPUTED_VALUE"""),"mobilní slide-up")</f>
        <v>mobilní slide-up</v>
      </c>
    </row>
    <row r="440" spans="1:47" x14ac:dyDescent="0.3">
      <c r="A440" s="3">
        <f ca="1"/>
        <v>2346826</v>
      </c>
      <c r="B440" s="3" t="str">
        <f ca="1"/>
        <v>CZECH NEWS CENTER a. s.</v>
      </c>
      <c r="C440" s="3" t="str">
        <f ca="1">IFERROR(__xludf.DUMMYFUNCTION("""COMPUTED_VALUE"""),"Doupě")</f>
        <v>Doupě</v>
      </c>
      <c r="D440" s="4" t="str">
        <f ca="1">IFERROR(__xludf.DUMMYFUNCTION("""COMPUTED_VALUE"""),"https://doupe.zive.cz")</f>
        <v>https://doupe.zive.cz</v>
      </c>
      <c r="E440" s="3" t="str">
        <f ca="1">IFERROR(__xludf.DUMMYFUNCTION("""COMPUTED_VALUE"""),"celý web")</f>
        <v>celý web</v>
      </c>
      <c r="F440" s="4" t="str">
        <f ca="1">IFERROR(__xludf.DUMMYFUNCTION("""COMPUTED_VALUE"""),"https://doupe.zive.cz")</f>
        <v>https://doupe.zive.cz</v>
      </c>
      <c r="G440" s="3" t="str">
        <f ca="1">IFERROR(__xludf.DUMMYFUNCTION("""COMPUTED_VALUE"""),"mobilní viněta low season")</f>
        <v>mobilní viněta low season</v>
      </c>
      <c r="H440" s="3">
        <f ca="1">IFERROR(__xludf.DUMMYFUNCTION("""COMPUTED_VALUE"""),7)</f>
        <v>7</v>
      </c>
      <c r="I440" s="5">
        <f ca="1">IFERROR(__xludf.DUMMYFUNCTION("""COMPUTED_VALUE"""),1000)</f>
        <v>1000</v>
      </c>
      <c r="J440" s="5">
        <f ca="1">IFERROR(__xludf.DUMMYFUNCTION("""COMPUTED_VALUE"""),880)</f>
        <v>880</v>
      </c>
      <c r="K440" s="3"/>
      <c r="L440" s="3" t="str">
        <f ca="1">IFERROR(__xludf.DUMMYFUNCTION("""COMPUTED_VALUE"""),"Cost per period")</f>
        <v>Cost per period</v>
      </c>
      <c r="M440" s="3"/>
      <c r="N440" s="3"/>
      <c r="O440" s="3" t="str">
        <f ca="1">IFERROR(__xludf.DUMMYFUNCTION("""COMPUTED_VALUE"""),"600")</f>
        <v>600</v>
      </c>
      <c r="P440" s="3" t="str">
        <f ca="1">IFERROR(__xludf.DUMMYFUNCTION("""COMPUTED_VALUE"""),"800")</f>
        <v>800</v>
      </c>
      <c r="Q440" s="3" t="str">
        <f ca="1">IFERROR(__xludf.DUMMYFUNCTION("""COMPUTED_VALUE"""),"300x250 nebo 600x800")</f>
        <v>300x250 nebo 600x800</v>
      </c>
      <c r="R440" s="3"/>
      <c r="S440" s="3" t="str">
        <f ca="1">IFERROR(__xludf.DUMMYFUNCTION("""COMPUTED_VALUE"""),"100")</f>
        <v>100</v>
      </c>
      <c r="T440" s="3"/>
      <c r="U440" s="3" t="str">
        <f ca="1">IFERROR(__xludf.DUMMYFUNCTION("""COMPUTED_VALUE"""),"banner standard")</f>
        <v>banner standard</v>
      </c>
      <c r="V440" s="3"/>
      <c r="W440" s="4" t="str">
        <f ca="1">IFERROR(__xludf.DUMMYFUNCTION("""COMPUTED_VALUE"""),"https://reklama.cncenter.cz/Online/mobilni-vineta")</f>
        <v>https://reklama.cncenter.cz/Online/mobilni-vineta</v>
      </c>
      <c r="X440" s="3"/>
      <c r="Y440" s="3"/>
      <c r="Z440" s="3" t="str">
        <f ca="1">IFERROR(__xludf.DUMMYFUNCTION("""COMPUTED_VALUE"""),"podklady@cncenter.cz")</f>
        <v>podklady@cncenter.cz</v>
      </c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 t="str">
        <f ca="1">IFERROR(__xludf.DUMMYFUNCTION("""COMPUTED_VALUE"""),"mobile")</f>
        <v>mobile</v>
      </c>
      <c r="AO440" s="3"/>
      <c r="AP440" s="3"/>
      <c r="AQ440" s="3"/>
      <c r="AR440" s="3"/>
      <c r="AS440" s="3"/>
      <c r="AT440" s="3"/>
      <c r="AU440" s="3" t="str">
        <f ca="1">IFERROR(__xludf.DUMMYFUNCTION("""COMPUTED_VALUE"""),"mobilní viněta")</f>
        <v>mobilní viněta</v>
      </c>
    </row>
    <row r="441" spans="1:47" x14ac:dyDescent="0.3">
      <c r="A441" s="3">
        <f ca="1"/>
        <v>2346826</v>
      </c>
      <c r="B441" s="3" t="str">
        <f ca="1"/>
        <v>CZECH NEWS CENTER a. s.</v>
      </c>
      <c r="C441" s="3" t="str">
        <f ca="1">IFERROR(__xludf.DUMMYFUNCTION("""COMPUTED_VALUE"""),"Doupě")</f>
        <v>Doupě</v>
      </c>
      <c r="D441" s="4" t="str">
        <f ca="1">IFERROR(__xludf.DUMMYFUNCTION("""COMPUTED_VALUE"""),"https://doupe.zive.cz")</f>
        <v>https://doupe.zive.cz</v>
      </c>
      <c r="E441" s="3" t="str">
        <f ca="1">IFERROR(__xludf.DUMMYFUNCTION("""COMPUTED_VALUE"""),"celý web")</f>
        <v>celý web</v>
      </c>
      <c r="F441" s="4" t="str">
        <f ca="1">IFERROR(__xludf.DUMMYFUNCTION("""COMPUTED_VALUE"""),"https://doupe.zive.cz")</f>
        <v>https://doupe.zive.cz</v>
      </c>
      <c r="G441" s="3" t="str">
        <f ca="1">IFERROR(__xludf.DUMMYFUNCTION("""COMPUTED_VALUE"""),"Native Standard low season")</f>
        <v>Native Standard low season</v>
      </c>
      <c r="H441" s="3">
        <f ca="1">IFERROR(__xludf.DUMMYFUNCTION("""COMPUTED_VALUE"""),1)</f>
        <v>1</v>
      </c>
      <c r="I441" s="5">
        <f ca="1">IFERROR(__xludf.DUMMYFUNCTION("""COMPUTED_VALUE"""),1)</f>
        <v>1</v>
      </c>
      <c r="J441" s="5">
        <f ca="1">IFERROR(__xludf.DUMMYFUNCTION("""COMPUTED_VALUE"""),330000)</f>
        <v>330000</v>
      </c>
      <c r="K441" s="3"/>
      <c r="L441" s="3" t="str">
        <f ca="1">IFERROR(__xludf.DUMMYFUNCTION("""COMPUTED_VALUE"""),"Cost per instance")</f>
        <v>Cost per instance</v>
      </c>
      <c r="M441" s="3"/>
      <c r="N441" s="3"/>
      <c r="O441" s="3"/>
      <c r="P441" s="3"/>
      <c r="Q441" s="3"/>
      <c r="R441" s="3"/>
      <c r="S441" s="3" t="str">
        <f ca="1">IFERROR(__xludf.DUMMYFUNCTION("""COMPUTED_VALUE"""),"100")</f>
        <v>100</v>
      </c>
      <c r="T441" s="3"/>
      <c r="U441" s="3" t="str">
        <f ca="1">IFERROR(__xludf.DUMMYFUNCTION("""COMPUTED_VALUE"""),"microsite")</f>
        <v>microsite</v>
      </c>
      <c r="V441" s="3"/>
      <c r="W441" s="3"/>
      <c r="X441" s="3"/>
      <c r="Y441" s="3"/>
      <c r="Z441" s="3" t="str">
        <f ca="1">IFERROR(__xludf.DUMMYFUNCTION("""COMPUTED_VALUE"""),"podklady@cncenter.cz")</f>
        <v>podklady@cncenter.cz</v>
      </c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 t="str">
        <f ca="1">IFERROR(__xludf.DUMMYFUNCTION("""COMPUTED_VALUE"""),"cross-device")</f>
        <v>cross-device</v>
      </c>
      <c r="AO441" s="3"/>
      <c r="AP441" s="3"/>
      <c r="AQ441" s="3"/>
      <c r="AR441" s="3"/>
      <c r="AS441" s="3"/>
      <c r="AT441" s="3"/>
      <c r="AU441" s="3" t="str">
        <f ca="1">IFERROR(__xludf.DUMMYFUNCTION("""COMPUTED_VALUE"""),"Native Standard")</f>
        <v>Native Standard</v>
      </c>
    </row>
    <row r="442" spans="1:47" x14ac:dyDescent="0.3">
      <c r="A442" s="3">
        <f ca="1"/>
        <v>2346826</v>
      </c>
      <c r="B442" s="3" t="str">
        <f ca="1"/>
        <v>CZECH NEWS CENTER a. s.</v>
      </c>
      <c r="C442" s="3" t="str">
        <f ca="1">IFERROR(__xludf.DUMMYFUNCTION("""COMPUTED_VALUE"""),"Doupě")</f>
        <v>Doupě</v>
      </c>
      <c r="D442" s="4" t="str">
        <f ca="1">IFERROR(__xludf.DUMMYFUNCTION("""COMPUTED_VALUE"""),"https://doupe.zive.cz")</f>
        <v>https://doupe.zive.cz</v>
      </c>
      <c r="E442" s="3" t="str">
        <f ca="1">IFERROR(__xludf.DUMMYFUNCTION("""COMPUTED_VALUE"""),"celý web")</f>
        <v>celý web</v>
      </c>
      <c r="F442" s="4" t="str">
        <f ca="1">IFERROR(__xludf.DUMMYFUNCTION("""COMPUTED_VALUE"""),"https://doupe.zive.cz")</f>
        <v>https://doupe.zive.cz</v>
      </c>
      <c r="G442" s="3" t="str">
        <f ca="1">IFERROR(__xludf.DUMMYFUNCTION("""COMPUTED_VALUE"""),"nativní rectangle cross-device low season")</f>
        <v>nativní rectangle cross-device low season</v>
      </c>
      <c r="H442" s="3">
        <f ca="1">IFERROR(__xludf.DUMMYFUNCTION("""COMPUTED_VALUE"""),7)</f>
        <v>7</v>
      </c>
      <c r="I442" s="5">
        <f ca="1">IFERROR(__xludf.DUMMYFUNCTION("""COMPUTED_VALUE"""),1000)</f>
        <v>1000</v>
      </c>
      <c r="J442" s="5">
        <f ca="1">IFERROR(__xludf.DUMMYFUNCTION("""COMPUTED_VALUE"""),200)</f>
        <v>200</v>
      </c>
      <c r="K442" s="3"/>
      <c r="L442" s="3" t="str">
        <f ca="1">IFERROR(__xludf.DUMMYFUNCTION("""COMPUTED_VALUE"""),"Cost per period")</f>
        <v>Cost per period</v>
      </c>
      <c r="M442" s="3"/>
      <c r="N442" s="3"/>
      <c r="O442" s="3" t="str">
        <f ca="1">IFERROR(__xludf.DUMMYFUNCTION("""COMPUTED_VALUE"""),"640")</f>
        <v>640</v>
      </c>
      <c r="P442" s="3" t="str">
        <f ca="1">IFERROR(__xludf.DUMMYFUNCTION("""COMPUTED_VALUE"""),"335, 640")</f>
        <v>335, 640</v>
      </c>
      <c r="Q442" s="3" t="str">
        <f ca="1">IFERROR(__xludf.DUMMYFUNCTION("""COMPUTED_VALUE"""),"640x640 a 640x335 + text + logo")</f>
        <v>640x640 a 640x335 + text + logo</v>
      </c>
      <c r="R442" s="3"/>
      <c r="S442" s="3" t="str">
        <f ca="1">IFERROR(__xludf.DUMMYFUNCTION("""COMPUTED_VALUE"""),"45")</f>
        <v>45</v>
      </c>
      <c r="T442" s="3"/>
      <c r="U442" s="3" t="str">
        <f ca="1">IFERROR(__xludf.DUMMYFUNCTION("""COMPUTED_VALUE"""),"nativní reklama")</f>
        <v>nativní reklama</v>
      </c>
      <c r="V442" s="3"/>
      <c r="W442" s="4" t="str">
        <f ca="1">IFERROR(__xludf.DUMMYFUNCTION("""COMPUTED_VALUE"""),"https://reklama.cncenter.cz/Online/nativni-rectangle-cross-device")</f>
        <v>https://reklama.cncenter.cz/Online/nativni-rectangle-cross-device</v>
      </c>
      <c r="X442" s="3"/>
      <c r="Y442" s="3"/>
      <c r="Z442" s="3" t="str">
        <f ca="1">IFERROR(__xludf.DUMMYFUNCTION("""COMPUTED_VALUE"""),"podklady@cncenter.cz")</f>
        <v>podklady@cncenter.cz</v>
      </c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 t="str">
        <f ca="1">IFERROR(__xludf.DUMMYFUNCTION("""COMPUTED_VALUE"""),"cross-device")</f>
        <v>cross-device</v>
      </c>
      <c r="AO442" s="3"/>
      <c r="AP442" s="3"/>
      <c r="AQ442" s="3"/>
      <c r="AR442" s="3"/>
      <c r="AS442" s="3"/>
      <c r="AT442" s="3"/>
      <c r="AU442" s="3" t="str">
        <f ca="1">IFERROR(__xludf.DUMMYFUNCTION("""COMPUTED_VALUE"""),"nativní rectangle cross-device")</f>
        <v>nativní rectangle cross-device</v>
      </c>
    </row>
    <row r="443" spans="1:47" x14ac:dyDescent="0.3">
      <c r="A443" s="3">
        <f ca="1"/>
        <v>2346826</v>
      </c>
      <c r="B443" s="3" t="str">
        <f ca="1"/>
        <v>CZECH NEWS CENTER a. s.</v>
      </c>
      <c r="C443" s="3" t="str">
        <f ca="1">IFERROR(__xludf.DUMMYFUNCTION("""COMPUTED_VALUE"""),"Doupě")</f>
        <v>Doupě</v>
      </c>
      <c r="D443" s="4" t="str">
        <f ca="1">IFERROR(__xludf.DUMMYFUNCTION("""COMPUTED_VALUE"""),"https://doupe.zive.cz")</f>
        <v>https://doupe.zive.cz</v>
      </c>
      <c r="E443" s="3" t="str">
        <f ca="1">IFERROR(__xludf.DUMMYFUNCTION("""COMPUTED_VALUE"""),"celý web")</f>
        <v>celý web</v>
      </c>
      <c r="F443" s="4" t="str">
        <f ca="1">IFERROR(__xludf.DUMMYFUNCTION("""COMPUTED_VALUE"""),"https://doupe.zive.cz")</f>
        <v>https://doupe.zive.cz</v>
      </c>
      <c r="G443" s="3" t="str">
        <f ca="1">IFERROR(__xludf.DUMMYFUNCTION("""COMPUTED_VALUE"""),"outstream low season")</f>
        <v>outstream low season</v>
      </c>
      <c r="H443" s="3">
        <f ca="1">IFERROR(__xludf.DUMMYFUNCTION("""COMPUTED_VALUE"""),7)</f>
        <v>7</v>
      </c>
      <c r="I443" s="5">
        <f ca="1">IFERROR(__xludf.DUMMYFUNCTION("""COMPUTED_VALUE"""),1000)</f>
        <v>1000</v>
      </c>
      <c r="J443" s="5">
        <f ca="1">IFERROR(__xludf.DUMMYFUNCTION("""COMPUTED_VALUE"""),250)</f>
        <v>250</v>
      </c>
      <c r="K443" s="3"/>
      <c r="L443" s="3" t="str">
        <f ca="1">IFERROR(__xludf.DUMMYFUNCTION("""COMPUTED_VALUE"""),"Cost per period")</f>
        <v>Cost per period</v>
      </c>
      <c r="M443" s="3"/>
      <c r="N443" s="3"/>
      <c r="O443" s="3" t="str">
        <f ca="1">IFERROR(__xludf.DUMMYFUNCTION("""COMPUTED_VALUE"""),"1280")</f>
        <v>1280</v>
      </c>
      <c r="P443" s="3" t="str">
        <f ca="1">IFERROR(__xludf.DUMMYFUNCTION("""COMPUTED_VALUE"""),"720")</f>
        <v>720</v>
      </c>
      <c r="Q443" s="3" t="str">
        <f ca="1">IFERROR(__xludf.DUMMYFUNCTION("""COMPUTED_VALUE"""),"16:9")</f>
        <v>16:9</v>
      </c>
      <c r="R443" s="3"/>
      <c r="S443" s="3" t="str">
        <f ca="1">IFERROR(__xludf.DUMMYFUNCTION("""COMPUTED_VALUE"""),"100")</f>
        <v>100</v>
      </c>
      <c r="T443" s="3"/>
      <c r="U443" s="3" t="str">
        <f ca="1">IFERROR(__xludf.DUMMYFUNCTION("""COMPUTED_VALUE"""),"videospot")</f>
        <v>videospot</v>
      </c>
      <c r="V443" s="3"/>
      <c r="W443" s="4" t="str">
        <f ca="1">IFERROR(__xludf.DUMMYFUNCTION("""COMPUTED_VALUE"""),"https://reklama.cncenter.cz/Online/Outstream")</f>
        <v>https://reklama.cncenter.cz/Online/Outstream</v>
      </c>
      <c r="X443" s="3"/>
      <c r="Y443" s="3"/>
      <c r="Z443" s="3" t="str">
        <f ca="1">IFERROR(__xludf.DUMMYFUNCTION("""COMPUTED_VALUE"""),"podklady@cncenter.cz")</f>
        <v>podklady@cncenter.cz</v>
      </c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 t="str">
        <f ca="1">IFERROR(__xludf.DUMMYFUNCTION("""COMPUTED_VALUE"""),"cross-device")</f>
        <v>cross-device</v>
      </c>
      <c r="AO443" s="3"/>
      <c r="AP443" s="3"/>
      <c r="AQ443" s="3"/>
      <c r="AR443" s="3"/>
      <c r="AS443" s="3"/>
      <c r="AT443" s="3"/>
      <c r="AU443" s="3" t="str">
        <f ca="1">IFERROR(__xludf.DUMMYFUNCTION("""COMPUTED_VALUE"""),"outstream")</f>
        <v>outstream</v>
      </c>
    </row>
    <row r="444" spans="1:47" x14ac:dyDescent="0.3">
      <c r="A444" s="3">
        <f ca="1"/>
        <v>2346826</v>
      </c>
      <c r="B444" s="3" t="str">
        <f ca="1"/>
        <v>CZECH NEWS CENTER a. s.</v>
      </c>
      <c r="C444" s="3" t="str">
        <f ca="1">IFERROR(__xludf.DUMMYFUNCTION("""COMPUTED_VALUE"""),"Doupě")</f>
        <v>Doupě</v>
      </c>
      <c r="D444" s="4" t="str">
        <f ca="1">IFERROR(__xludf.DUMMYFUNCTION("""COMPUTED_VALUE"""),"https://doupe.zive.cz")</f>
        <v>https://doupe.zive.cz</v>
      </c>
      <c r="E444" s="3" t="str">
        <f ca="1">IFERROR(__xludf.DUMMYFUNCTION("""COMPUTED_VALUE"""),"celý web")</f>
        <v>celý web</v>
      </c>
      <c r="F444" s="4" t="str">
        <f ca="1">IFERROR(__xludf.DUMMYFUNCTION("""COMPUTED_VALUE"""),"https://doupe.zive.cz")</f>
        <v>https://doupe.zive.cz</v>
      </c>
      <c r="G444" s="3" t="str">
        <f ca="1">IFERROR(__xludf.DUMMYFUNCTION("""COMPUTED_VALUE"""),"PR článek low season")</f>
        <v>PR článek low season</v>
      </c>
      <c r="H444" s="3">
        <f ca="1">IFERROR(__xludf.DUMMYFUNCTION("""COMPUTED_VALUE"""),1)</f>
        <v>1</v>
      </c>
      <c r="I444" s="5">
        <f ca="1">IFERROR(__xludf.DUMMYFUNCTION("""COMPUTED_VALUE"""),1)</f>
        <v>1</v>
      </c>
      <c r="J444" s="5">
        <f ca="1">IFERROR(__xludf.DUMMYFUNCTION("""COMPUTED_VALUE"""),20000)</f>
        <v>20000</v>
      </c>
      <c r="K444" s="3"/>
      <c r="L444" s="3" t="str">
        <f ca="1">IFERROR(__xludf.DUMMYFUNCTION("""COMPUTED_VALUE"""),"Cost per instance")</f>
        <v>Cost per instance</v>
      </c>
      <c r="M444" s="3"/>
      <c r="N444" s="3"/>
      <c r="O444" s="3"/>
      <c r="P444" s="3"/>
      <c r="Q444" s="3"/>
      <c r="R444" s="3"/>
      <c r="S444" s="3" t="str">
        <f ca="1">IFERROR(__xludf.DUMMYFUNCTION("""COMPUTED_VALUE"""),"100")</f>
        <v>100</v>
      </c>
      <c r="T444" s="3"/>
      <c r="U444" s="3" t="str">
        <f ca="1">IFERROR(__xludf.DUMMYFUNCTION("""COMPUTED_VALUE"""),"pr článek")</f>
        <v>pr článek</v>
      </c>
      <c r="V444" s="3"/>
      <c r="W444" s="4" t="str">
        <f ca="1">IFERROR(__xludf.DUMMYFUNCTION("""COMPUTED_VALUE"""),"https://reklama.cncenter.cz/?ads=PR%2520%25C4%258Dl%25C3%25A1nky")</f>
        <v>https://reklama.cncenter.cz/?ads=PR%2520%25C4%258Dl%25C3%25A1nky</v>
      </c>
      <c r="X444" s="3"/>
      <c r="Y444" s="3"/>
      <c r="Z444" s="3" t="str">
        <f ca="1">IFERROR(__xludf.DUMMYFUNCTION("""COMPUTED_VALUE"""),"podklady@cncenter.cz")</f>
        <v>podklady@cncenter.cz</v>
      </c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 t="str">
        <f ca="1">IFERROR(__xludf.DUMMYFUNCTION("""COMPUTED_VALUE"""),"cross-device")</f>
        <v>cross-device</v>
      </c>
      <c r="AO444" s="3"/>
      <c r="AP444" s="3"/>
      <c r="AQ444" s="3"/>
      <c r="AR444" s="3"/>
      <c r="AS444" s="3"/>
      <c r="AT444" s="3"/>
      <c r="AU444" s="3" t="str">
        <f ca="1">IFERROR(__xludf.DUMMYFUNCTION("""COMPUTED_VALUE"""),"PR článek")</f>
        <v>PR článek</v>
      </c>
    </row>
    <row r="445" spans="1:47" x14ac:dyDescent="0.3">
      <c r="A445" s="3">
        <f ca="1"/>
        <v>2346826</v>
      </c>
      <c r="B445" s="3" t="str">
        <f ca="1"/>
        <v>CZECH NEWS CENTER a. s.</v>
      </c>
      <c r="C445" s="3" t="str">
        <f ca="1">IFERROR(__xludf.DUMMYFUNCTION("""COMPUTED_VALUE"""),"Doupě")</f>
        <v>Doupě</v>
      </c>
      <c r="D445" s="4" t="str">
        <f ca="1">IFERROR(__xludf.DUMMYFUNCTION("""COMPUTED_VALUE"""),"https://doupe.zive.cz")</f>
        <v>https://doupe.zive.cz</v>
      </c>
      <c r="E445" s="3" t="str">
        <f ca="1">IFERROR(__xludf.DUMMYFUNCTION("""COMPUTED_VALUE"""),"celý web")</f>
        <v>celý web</v>
      </c>
      <c r="F445" s="4" t="str">
        <f ca="1">IFERROR(__xludf.DUMMYFUNCTION("""COMPUTED_VALUE"""),"https://doupe.zive.cz")</f>
        <v>https://doupe.zive.cz</v>
      </c>
      <c r="G445" s="3" t="str">
        <f ca="1">IFERROR(__xludf.DUMMYFUNCTION("""COMPUTED_VALUE"""),"Prodloužení existující microsite, bez úprav low season")</f>
        <v>Prodloužení existující microsite, bez úprav low season</v>
      </c>
      <c r="H445" s="3">
        <f ca="1">IFERROR(__xludf.DUMMYFUNCTION("""COMPUTED_VALUE"""),1)</f>
        <v>1</v>
      </c>
      <c r="I445" s="5">
        <f ca="1">IFERROR(__xludf.DUMMYFUNCTION("""COMPUTED_VALUE"""),1)</f>
        <v>1</v>
      </c>
      <c r="J445" s="5">
        <f ca="1">IFERROR(__xludf.DUMMYFUNCTION("""COMPUTED_VALUE"""),15000)</f>
        <v>15000</v>
      </c>
      <c r="K445" s="3"/>
      <c r="L445" s="3" t="str">
        <f ca="1">IFERROR(__xludf.DUMMYFUNCTION("""COMPUTED_VALUE"""),"Cost per instance")</f>
        <v>Cost per instance</v>
      </c>
      <c r="M445" s="3"/>
      <c r="N445" s="3"/>
      <c r="O445" s="3"/>
      <c r="P445" s="3"/>
      <c r="Q445" s="3"/>
      <c r="R445" s="3"/>
      <c r="S445" s="3" t="str">
        <f ca="1">IFERROR(__xludf.DUMMYFUNCTION("""COMPUTED_VALUE"""),"100")</f>
        <v>100</v>
      </c>
      <c r="T445" s="3"/>
      <c r="U445" s="3" t="str">
        <f ca="1">IFERROR(__xludf.DUMMYFUNCTION("""COMPUTED_VALUE"""),"microsite")</f>
        <v>microsite</v>
      </c>
      <c r="V445" s="3"/>
      <c r="W445" s="3"/>
      <c r="X445" s="3"/>
      <c r="Y445" s="3"/>
      <c r="Z445" s="3" t="str">
        <f ca="1">IFERROR(__xludf.DUMMYFUNCTION("""COMPUTED_VALUE"""),"podklady@cncenter.cz")</f>
        <v>podklady@cncenter.cz</v>
      </c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 t="str">
        <f ca="1">IFERROR(__xludf.DUMMYFUNCTION("""COMPUTED_VALUE"""),"cross-device")</f>
        <v>cross-device</v>
      </c>
      <c r="AO445" s="3"/>
      <c r="AP445" s="3"/>
      <c r="AQ445" s="3"/>
      <c r="AR445" s="3"/>
      <c r="AS445" s="3"/>
      <c r="AT445" s="3"/>
      <c r="AU445" s="3" t="str">
        <f ca="1">IFERROR(__xludf.DUMMYFUNCTION("""COMPUTED_VALUE"""),"Prodloužení existující microsite, bez úprav")</f>
        <v>Prodloužení existující microsite, bez úprav</v>
      </c>
    </row>
    <row r="446" spans="1:47" x14ac:dyDescent="0.3">
      <c r="A446" s="3">
        <f ca="1"/>
        <v>2346826</v>
      </c>
      <c r="B446" s="3" t="str">
        <f ca="1"/>
        <v>CZECH NEWS CENTER a. s.</v>
      </c>
      <c r="C446" s="3" t="str">
        <f ca="1">IFERROR(__xludf.DUMMYFUNCTION("""COMPUTED_VALUE"""),"Doupě")</f>
        <v>Doupě</v>
      </c>
      <c r="D446" s="4" t="str">
        <f ca="1">IFERROR(__xludf.DUMMYFUNCTION("""COMPUTED_VALUE"""),"https://doupe.zive.cz")</f>
        <v>https://doupe.zive.cz</v>
      </c>
      <c r="E446" s="3" t="str">
        <f ca="1">IFERROR(__xludf.DUMMYFUNCTION("""COMPUTED_VALUE"""),"celý web")</f>
        <v>celý web</v>
      </c>
      <c r="F446" s="4" t="str">
        <f ca="1">IFERROR(__xludf.DUMMYFUNCTION("""COMPUTED_VALUE"""),"https://doupe.zive.cz")</f>
        <v>https://doupe.zive.cz</v>
      </c>
      <c r="G446" s="3" t="str">
        <f ca="1">IFERROR(__xludf.DUMMYFUNCTION("""COMPUTED_VALUE"""),"Prodloužení existující microsite, bez úprav low season")</f>
        <v>Prodloužení existující microsite, bez úprav low season</v>
      </c>
      <c r="H446" s="3">
        <f ca="1">IFERROR(__xludf.DUMMYFUNCTION("""COMPUTED_VALUE"""),1)</f>
        <v>1</v>
      </c>
      <c r="I446" s="5">
        <f ca="1">IFERROR(__xludf.DUMMYFUNCTION("""COMPUTED_VALUE"""),1)</f>
        <v>1</v>
      </c>
      <c r="J446" s="5">
        <f ca="1">IFERROR(__xludf.DUMMYFUNCTION("""COMPUTED_VALUE"""),15000)</f>
        <v>15000</v>
      </c>
      <c r="K446" s="3"/>
      <c r="L446" s="3" t="str">
        <f ca="1">IFERROR(__xludf.DUMMYFUNCTION("""COMPUTED_VALUE"""),"Cost per instance")</f>
        <v>Cost per instance</v>
      </c>
      <c r="M446" s="3"/>
      <c r="N446" s="3"/>
      <c r="O446" s="3"/>
      <c r="P446" s="3"/>
      <c r="Q446" s="3"/>
      <c r="R446" s="3"/>
      <c r="S446" s="3" t="str">
        <f ca="1">IFERROR(__xludf.DUMMYFUNCTION("""COMPUTED_VALUE"""),"100")</f>
        <v>100</v>
      </c>
      <c r="T446" s="3"/>
      <c r="U446" s="3" t="str">
        <f ca="1">IFERROR(__xludf.DUMMYFUNCTION("""COMPUTED_VALUE"""),"microsite")</f>
        <v>microsite</v>
      </c>
      <c r="V446" s="3"/>
      <c r="W446" s="3"/>
      <c r="X446" s="3"/>
      <c r="Y446" s="3"/>
      <c r="Z446" s="3" t="str">
        <f ca="1">IFERROR(__xludf.DUMMYFUNCTION("""COMPUTED_VALUE"""),"podklady@cncenter.cz")</f>
        <v>podklady@cncenter.cz</v>
      </c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 t="str">
        <f ca="1">IFERROR(__xludf.DUMMYFUNCTION("""COMPUTED_VALUE"""),"cross-device")</f>
        <v>cross-device</v>
      </c>
      <c r="AO446" s="3"/>
      <c r="AP446" s="3"/>
      <c r="AQ446" s="3"/>
      <c r="AR446" s="3"/>
      <c r="AS446" s="3"/>
      <c r="AT446" s="3"/>
      <c r="AU446" s="3" t="str">
        <f ca="1">IFERROR(__xludf.DUMMYFUNCTION("""COMPUTED_VALUE"""),"Prodloužení existující microsite, bez úprav")</f>
        <v>Prodloužení existující microsite, bez úprav</v>
      </c>
    </row>
    <row r="447" spans="1:47" x14ac:dyDescent="0.3">
      <c r="A447" s="3">
        <f ca="1"/>
        <v>2346826</v>
      </c>
      <c r="B447" s="3" t="str">
        <f ca="1"/>
        <v>CZECH NEWS CENTER a. s.</v>
      </c>
      <c r="C447" s="3" t="str">
        <f ca="1">IFERROR(__xludf.DUMMYFUNCTION("""COMPUTED_VALUE"""),"Doupě")</f>
        <v>Doupě</v>
      </c>
      <c r="D447" s="4" t="str">
        <f ca="1">IFERROR(__xludf.DUMMYFUNCTION("""COMPUTED_VALUE"""),"https://doupe.zive.cz")</f>
        <v>https://doupe.zive.cz</v>
      </c>
      <c r="E447" s="3" t="str">
        <f ca="1">IFERROR(__xludf.DUMMYFUNCTION("""COMPUTED_VALUE"""),"celý web")</f>
        <v>celý web</v>
      </c>
      <c r="F447" s="4" t="str">
        <f ca="1">IFERROR(__xludf.DUMMYFUNCTION("""COMPUTED_VALUE"""),"https://doupe.zive.cz")</f>
        <v>https://doupe.zive.cz</v>
      </c>
      <c r="G447" s="3" t="str">
        <f ca="1">IFERROR(__xludf.DUMMYFUNCTION("""COMPUTED_VALUE"""),"Prodloužení existující microsite, bez úprav low season")</f>
        <v>Prodloužení existující microsite, bez úprav low season</v>
      </c>
      <c r="H447" s="3">
        <f ca="1">IFERROR(__xludf.DUMMYFUNCTION("""COMPUTED_VALUE"""),1)</f>
        <v>1</v>
      </c>
      <c r="I447" s="5">
        <f ca="1">IFERROR(__xludf.DUMMYFUNCTION("""COMPUTED_VALUE"""),1)</f>
        <v>1</v>
      </c>
      <c r="J447" s="5">
        <f ca="1">IFERROR(__xludf.DUMMYFUNCTION("""COMPUTED_VALUE"""),15000)</f>
        <v>15000</v>
      </c>
      <c r="K447" s="3"/>
      <c r="L447" s="3" t="str">
        <f ca="1">IFERROR(__xludf.DUMMYFUNCTION("""COMPUTED_VALUE"""),"Cost per instance")</f>
        <v>Cost per instance</v>
      </c>
      <c r="M447" s="3"/>
      <c r="N447" s="3"/>
      <c r="O447" s="3"/>
      <c r="P447" s="3"/>
      <c r="Q447" s="3"/>
      <c r="R447" s="3"/>
      <c r="S447" s="3" t="str">
        <f ca="1">IFERROR(__xludf.DUMMYFUNCTION("""COMPUTED_VALUE"""),"100")</f>
        <v>100</v>
      </c>
      <c r="T447" s="3"/>
      <c r="U447" s="3" t="str">
        <f ca="1">IFERROR(__xludf.DUMMYFUNCTION("""COMPUTED_VALUE"""),"microsite")</f>
        <v>microsite</v>
      </c>
      <c r="V447" s="3"/>
      <c r="W447" s="3"/>
      <c r="X447" s="3"/>
      <c r="Y447" s="3"/>
      <c r="Z447" s="3" t="str">
        <f ca="1">IFERROR(__xludf.DUMMYFUNCTION("""COMPUTED_VALUE"""),"podklady@cncenter.cz")</f>
        <v>podklady@cncenter.cz</v>
      </c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 t="str">
        <f ca="1">IFERROR(__xludf.DUMMYFUNCTION("""COMPUTED_VALUE"""),"cross-device")</f>
        <v>cross-device</v>
      </c>
      <c r="AO447" s="3"/>
      <c r="AP447" s="3"/>
      <c r="AQ447" s="3"/>
      <c r="AR447" s="3"/>
      <c r="AS447" s="3"/>
      <c r="AT447" s="3"/>
      <c r="AU447" s="3" t="str">
        <f ca="1">IFERROR(__xludf.DUMMYFUNCTION("""COMPUTED_VALUE"""),"Prodloužení existující microsite, bez úprav")</f>
        <v>Prodloužení existující microsite, bez úprav</v>
      </c>
    </row>
    <row r="448" spans="1:47" x14ac:dyDescent="0.3">
      <c r="A448" s="3">
        <f ca="1"/>
        <v>2346826</v>
      </c>
      <c r="B448" s="3" t="str">
        <f ca="1"/>
        <v>CZECH NEWS CENTER a. s.</v>
      </c>
      <c r="C448" s="3" t="str">
        <f ca="1">IFERROR(__xludf.DUMMYFUNCTION("""COMPUTED_VALUE"""),"Dáma")</f>
        <v>Dáma</v>
      </c>
      <c r="D448" s="4" t="str">
        <f ca="1">IFERROR(__xludf.DUMMYFUNCTION("""COMPUTED_VALUE"""),"https://dama.cz")</f>
        <v>https://dama.cz</v>
      </c>
      <c r="E448" s="3" t="str">
        <f ca="1">IFERROR(__xludf.DUMMYFUNCTION("""COMPUTED_VALUE"""),"celý web")</f>
        <v>celý web</v>
      </c>
      <c r="F448" s="4" t="str">
        <f ca="1">IFERROR(__xludf.DUMMYFUNCTION("""COMPUTED_VALUE"""),"https://dama.cz")</f>
        <v>https://dama.cz</v>
      </c>
      <c r="G448" s="3" t="str">
        <f ca="1">IFERROR(__xludf.DUMMYFUNCTION("""COMPUTED_VALUE"""),"Advertorial low season")</f>
        <v>Advertorial low season</v>
      </c>
      <c r="H448" s="3">
        <f ca="1">IFERROR(__xludf.DUMMYFUNCTION("""COMPUTED_VALUE"""),1)</f>
        <v>1</v>
      </c>
      <c r="I448" s="5">
        <f ca="1">IFERROR(__xludf.DUMMYFUNCTION("""COMPUTED_VALUE"""),1)</f>
        <v>1</v>
      </c>
      <c r="J448" s="5">
        <f ca="1">IFERROR(__xludf.DUMMYFUNCTION("""COMPUTED_VALUE"""),90000)</f>
        <v>90000</v>
      </c>
      <c r="K448" s="3"/>
      <c r="L448" s="3" t="str">
        <f ca="1">IFERROR(__xludf.DUMMYFUNCTION("""COMPUTED_VALUE"""),"Cost per instance")</f>
        <v>Cost per instance</v>
      </c>
      <c r="M448" s="3"/>
      <c r="N448" s="3"/>
      <c r="O448" s="3"/>
      <c r="P448" s="3"/>
      <c r="Q448" s="3"/>
      <c r="R448" s="3"/>
      <c r="S448" s="3" t="str">
        <f ca="1">IFERROR(__xludf.DUMMYFUNCTION("""COMPUTED_VALUE"""),"100")</f>
        <v>100</v>
      </c>
      <c r="T448" s="3"/>
      <c r="U448" s="3" t="str">
        <f ca="1">IFERROR(__xludf.DUMMYFUNCTION("""COMPUTED_VALUE"""),"pr článek")</f>
        <v>pr článek</v>
      </c>
      <c r="V448" s="3"/>
      <c r="W448" s="3"/>
      <c r="X448" s="3"/>
      <c r="Y448" s="3"/>
      <c r="Z448" s="3" t="str">
        <f ca="1">IFERROR(__xludf.DUMMYFUNCTION("""COMPUTED_VALUE"""),"podklady@cncenter.cz")</f>
        <v>podklady@cncenter.cz</v>
      </c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 t="str">
        <f ca="1">IFERROR(__xludf.DUMMYFUNCTION("""COMPUTED_VALUE"""),"cross-device")</f>
        <v>cross-device</v>
      </c>
      <c r="AO448" s="3"/>
      <c r="AP448" s="3"/>
      <c r="AQ448" s="3"/>
      <c r="AR448" s="3"/>
      <c r="AS448" s="3"/>
      <c r="AT448" s="3"/>
      <c r="AU448" s="3" t="str">
        <f ca="1">IFERROR(__xludf.DUMMYFUNCTION("""COMPUTED_VALUE"""),"Advertorial")</f>
        <v>Advertorial</v>
      </c>
    </row>
    <row r="449" spans="1:47" x14ac:dyDescent="0.3">
      <c r="A449" s="3">
        <f ca="1"/>
        <v>2346826</v>
      </c>
      <c r="B449" s="3" t="str">
        <f ca="1"/>
        <v>CZECH NEWS CENTER a. s.</v>
      </c>
      <c r="C449" s="3" t="str">
        <f ca="1">IFERROR(__xludf.DUMMYFUNCTION("""COMPUTED_VALUE"""),"Dáma")</f>
        <v>Dáma</v>
      </c>
      <c r="D449" s="4" t="str">
        <f ca="1">IFERROR(__xludf.DUMMYFUNCTION("""COMPUTED_VALUE"""),"https://dama.cz")</f>
        <v>https://dama.cz</v>
      </c>
      <c r="E449" s="3" t="str">
        <f ca="1">IFERROR(__xludf.DUMMYFUNCTION("""COMPUTED_VALUE"""),"celý web")</f>
        <v>celý web</v>
      </c>
      <c r="F449" s="4" t="str">
        <f ca="1">IFERROR(__xludf.DUMMYFUNCTION("""COMPUTED_VALUE"""),"https://dama.cz")</f>
        <v>https://dama.cz</v>
      </c>
      <c r="G449" s="3" t="str">
        <f ca="1">IFERROR(__xludf.DUMMYFUNCTION("""COMPUTED_VALUE"""),"billboard bottom low season")</f>
        <v>billboard bottom low season</v>
      </c>
      <c r="H449" s="3">
        <f ca="1">IFERROR(__xludf.DUMMYFUNCTION("""COMPUTED_VALUE"""),7)</f>
        <v>7</v>
      </c>
      <c r="I449" s="5">
        <f ca="1">IFERROR(__xludf.DUMMYFUNCTION("""COMPUTED_VALUE"""),1000)</f>
        <v>1000</v>
      </c>
      <c r="J449" s="5">
        <f ca="1">IFERROR(__xludf.DUMMYFUNCTION("""COMPUTED_VALUE"""),240)</f>
        <v>240</v>
      </c>
      <c r="K449" s="3"/>
      <c r="L449" s="3" t="str">
        <f ca="1">IFERROR(__xludf.DUMMYFUNCTION("""COMPUTED_VALUE"""),"Cost per period")</f>
        <v>Cost per period</v>
      </c>
      <c r="M449" s="3"/>
      <c r="N449" s="3"/>
      <c r="O449" s="3" t="str">
        <f ca="1">IFERROR(__xludf.DUMMYFUNCTION("""COMPUTED_VALUE"""),"970")</f>
        <v>970</v>
      </c>
      <c r="P449" s="3" t="str">
        <f ca="1">IFERROR(__xludf.DUMMYFUNCTION("""COMPUTED_VALUE"""),"250")</f>
        <v>250</v>
      </c>
      <c r="Q449" s="3" t="str">
        <f ca="1">IFERROR(__xludf.DUMMYFUNCTION("""COMPUTED_VALUE"""),"970x250")</f>
        <v>970x250</v>
      </c>
      <c r="R449" s="3"/>
      <c r="S449" s="3" t="str">
        <f ca="1">IFERROR(__xludf.DUMMYFUNCTION("""COMPUTED_VALUE"""),"100 (200 - HTML5)")</f>
        <v>100 (200 - HTML5)</v>
      </c>
      <c r="T449" s="3"/>
      <c r="U449" s="3" t="str">
        <f ca="1">IFERROR(__xludf.DUMMYFUNCTION("""COMPUTED_VALUE"""),"banner standard")</f>
        <v>banner standard</v>
      </c>
      <c r="V449" s="3"/>
      <c r="W449" s="4" t="str">
        <f ca="1">IFERROR(__xludf.DUMMYFUNCTION("""COMPUTED_VALUE"""),"https://reklama.cncenter.cz/Online/billboard-bottom")</f>
        <v>https://reklama.cncenter.cz/Online/billboard-bottom</v>
      </c>
      <c r="X449" s="3"/>
      <c r="Y449" s="3"/>
      <c r="Z449" s="3" t="str">
        <f ca="1">IFERROR(__xludf.DUMMYFUNCTION("""COMPUTED_VALUE"""),"podklady@cncenter.cz")</f>
        <v>podklady@cncenter.cz</v>
      </c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 t="str">
        <f ca="1">IFERROR(__xludf.DUMMYFUNCTION("""COMPUTED_VALUE"""),"desktop")</f>
        <v>desktop</v>
      </c>
      <c r="AO449" s="3"/>
      <c r="AP449" s="3"/>
      <c r="AQ449" s="3"/>
      <c r="AR449" s="3"/>
      <c r="AS449" s="3"/>
      <c r="AT449" s="3"/>
      <c r="AU449" s="3" t="str">
        <f ca="1">IFERROR(__xludf.DUMMYFUNCTION("""COMPUTED_VALUE"""),"billboard bottom")</f>
        <v>billboard bottom</v>
      </c>
    </row>
    <row r="450" spans="1:47" x14ac:dyDescent="0.3">
      <c r="A450" s="3">
        <f ca="1"/>
        <v>2346826</v>
      </c>
      <c r="B450" s="3" t="str">
        <f ca="1"/>
        <v>CZECH NEWS CENTER a. s.</v>
      </c>
      <c r="C450" s="3" t="str">
        <f ca="1">IFERROR(__xludf.DUMMYFUNCTION("""COMPUTED_VALUE"""),"Dáma")</f>
        <v>Dáma</v>
      </c>
      <c r="D450" s="4" t="str">
        <f ca="1">IFERROR(__xludf.DUMMYFUNCTION("""COMPUTED_VALUE"""),"https://dama.cz")</f>
        <v>https://dama.cz</v>
      </c>
      <c r="E450" s="3" t="str">
        <f ca="1">IFERROR(__xludf.DUMMYFUNCTION("""COMPUTED_VALUE"""),"celý web")</f>
        <v>celý web</v>
      </c>
      <c r="F450" s="4" t="str">
        <f ca="1">IFERROR(__xludf.DUMMYFUNCTION("""COMPUTED_VALUE"""),"https://dama.cz")</f>
        <v>https://dama.cz</v>
      </c>
      <c r="G450" s="3" t="str">
        <f ca="1">IFERROR(__xludf.DUMMYFUNCTION("""COMPUTED_VALUE"""),"branding cross-device low season")</f>
        <v>branding cross-device low season</v>
      </c>
      <c r="H450" s="3">
        <f ca="1">IFERROR(__xludf.DUMMYFUNCTION("""COMPUTED_VALUE"""),7)</f>
        <v>7</v>
      </c>
      <c r="I450" s="5">
        <f ca="1">IFERROR(__xludf.DUMMYFUNCTION("""COMPUTED_VALUE"""),1000)</f>
        <v>1000</v>
      </c>
      <c r="J450" s="5">
        <f ca="1">IFERROR(__xludf.DUMMYFUNCTION("""COMPUTED_VALUE"""),300)</f>
        <v>300</v>
      </c>
      <c r="K450" s="3"/>
      <c r="L450" s="3" t="str">
        <f ca="1">IFERROR(__xludf.DUMMYFUNCTION("""COMPUTED_VALUE"""),"Cost per period")</f>
        <v>Cost per period</v>
      </c>
      <c r="M450" s="3"/>
      <c r="N450" s="3"/>
      <c r="O450" s="3" t="str">
        <f ca="1">IFERROR(__xludf.DUMMYFUNCTION("""COMPUTED_VALUE"""),"2000")</f>
        <v>2000</v>
      </c>
      <c r="P450" s="3" t="str">
        <f ca="1">IFERROR(__xludf.DUMMYFUNCTION("""COMPUTED_VALUE"""),"1400")</f>
        <v>1400</v>
      </c>
      <c r="Q450" s="3" t="str">
        <f ca="1">IFERROR(__xludf.DUMMYFUNCTION("""COMPUTED_VALUE"""),"2000x1400 + 600x1080")</f>
        <v>2000x1400 + 600x1080</v>
      </c>
      <c r="R450" s="3"/>
      <c r="S450" s="3" t="str">
        <f ca="1">IFERROR(__xludf.DUMMYFUNCTION("""COMPUTED_VALUE"""),"500 (600 - HTLM5)")</f>
        <v>500 (600 - HTLM5)</v>
      </c>
      <c r="T450" s="3"/>
      <c r="U450" s="3" t="str">
        <f ca="1">IFERROR(__xludf.DUMMYFUNCTION("""COMPUTED_VALUE"""),"banner standard")</f>
        <v>banner standard</v>
      </c>
      <c r="V450" s="3"/>
      <c r="W450" s="4" t="str">
        <f ca="1">IFERROR(__xludf.DUMMYFUNCTION("""COMPUTED_VALUE"""),"https://reklama.cncenter.cz/Online/branding-cross-device")</f>
        <v>https://reklama.cncenter.cz/Online/branding-cross-device</v>
      </c>
      <c r="X450" s="3"/>
      <c r="Y450" s="3"/>
      <c r="Z450" s="3" t="str">
        <f ca="1">IFERROR(__xludf.DUMMYFUNCTION("""COMPUTED_VALUE"""),"podklady@cncenter.cz")</f>
        <v>podklady@cncenter.cz</v>
      </c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 t="str">
        <f ca="1">IFERROR(__xludf.DUMMYFUNCTION("""COMPUTED_VALUE"""),"cross-device")</f>
        <v>cross-device</v>
      </c>
      <c r="AO450" s="3"/>
      <c r="AP450" s="3"/>
      <c r="AQ450" s="3"/>
      <c r="AR450" s="3"/>
      <c r="AS450" s="3"/>
      <c r="AT450" s="3"/>
      <c r="AU450" s="3" t="str">
        <f ca="1">IFERROR(__xludf.DUMMYFUNCTION("""COMPUTED_VALUE"""),"branding cross-device")</f>
        <v>branding cross-device</v>
      </c>
    </row>
    <row r="451" spans="1:47" x14ac:dyDescent="0.3">
      <c r="A451" s="3">
        <f ca="1"/>
        <v>2346826</v>
      </c>
      <c r="B451" s="3" t="str">
        <f ca="1"/>
        <v>CZECH NEWS CENTER a. s.</v>
      </c>
      <c r="C451" s="3" t="str">
        <f ca="1">IFERROR(__xludf.DUMMYFUNCTION("""COMPUTED_VALUE"""),"Dáma")</f>
        <v>Dáma</v>
      </c>
      <c r="D451" s="4" t="str">
        <f ca="1">IFERROR(__xludf.DUMMYFUNCTION("""COMPUTED_VALUE"""),"https://dama.cz")</f>
        <v>https://dama.cz</v>
      </c>
      <c r="E451" s="3" t="str">
        <f ca="1">IFERROR(__xludf.DUMMYFUNCTION("""COMPUTED_VALUE"""),"celý web")</f>
        <v>celý web</v>
      </c>
      <c r="F451" s="4" t="str">
        <f ca="1">IFERROR(__xludf.DUMMYFUNCTION("""COMPUTED_VALUE"""),"https://dama.cz")</f>
        <v>https://dama.cz</v>
      </c>
      <c r="G451" s="3" t="str">
        <f ca="1">IFERROR(__xludf.DUMMYFUNCTION("""COMPUTED_VALUE"""),"branding low season")</f>
        <v>branding low season</v>
      </c>
      <c r="H451" s="3">
        <f ca="1">IFERROR(__xludf.DUMMYFUNCTION("""COMPUTED_VALUE"""),7)</f>
        <v>7</v>
      </c>
      <c r="I451" s="5">
        <f ca="1">IFERROR(__xludf.DUMMYFUNCTION("""COMPUTED_VALUE"""),1000)</f>
        <v>1000</v>
      </c>
      <c r="J451" s="5">
        <f ca="1">IFERROR(__xludf.DUMMYFUNCTION("""COMPUTED_VALUE"""),490)</f>
        <v>490</v>
      </c>
      <c r="K451" s="3"/>
      <c r="L451" s="3" t="str">
        <f ca="1">IFERROR(__xludf.DUMMYFUNCTION("""COMPUTED_VALUE"""),"Cost per period")</f>
        <v>Cost per period</v>
      </c>
      <c r="M451" s="3"/>
      <c r="N451" s="3"/>
      <c r="O451" s="3" t="str">
        <f ca="1">IFERROR(__xludf.DUMMYFUNCTION("""COMPUTED_VALUE"""),"2000")</f>
        <v>2000</v>
      </c>
      <c r="P451" s="3" t="str">
        <f ca="1">IFERROR(__xludf.DUMMYFUNCTION("""COMPUTED_VALUE"""),"1400")</f>
        <v>1400</v>
      </c>
      <c r="Q451" s="3" t="str">
        <f ca="1">IFERROR(__xludf.DUMMYFUNCTION("""COMPUTED_VALUE"""),"2000x1400")</f>
        <v>2000x1400</v>
      </c>
      <c r="R451" s="3"/>
      <c r="S451" s="3" t="str">
        <f ca="1">IFERROR(__xludf.DUMMYFUNCTION("""COMPUTED_VALUE"""),"500 + 200 (600+200 HTML5)")</f>
        <v>500 + 200 (600+200 HTML5)</v>
      </c>
      <c r="T451" s="3"/>
      <c r="U451" s="3" t="str">
        <f ca="1">IFERROR(__xludf.DUMMYFUNCTION("""COMPUTED_VALUE"""),"banner standard")</f>
        <v>banner standard</v>
      </c>
      <c r="V451" s="3"/>
      <c r="W451" s="4" t="str">
        <f ca="1">IFERROR(__xludf.DUMMYFUNCTION("""COMPUTED_VALUE"""),"https://reklama.cncenter.cz/Online/branding")</f>
        <v>https://reklama.cncenter.cz/Online/branding</v>
      </c>
      <c r="X451" s="3"/>
      <c r="Y451" s="3"/>
      <c r="Z451" s="3" t="str">
        <f ca="1">IFERROR(__xludf.DUMMYFUNCTION("""COMPUTED_VALUE"""),"podklady@cncenter.cz")</f>
        <v>podklady@cncenter.cz</v>
      </c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 t="str">
        <f ca="1">IFERROR(__xludf.DUMMYFUNCTION("""COMPUTED_VALUE"""),"desktop")</f>
        <v>desktop</v>
      </c>
      <c r="AO451" s="3"/>
      <c r="AP451" s="3"/>
      <c r="AQ451" s="3"/>
      <c r="AR451" s="3"/>
      <c r="AS451" s="3"/>
      <c r="AT451" s="3"/>
      <c r="AU451" s="3" t="str">
        <f ca="1">IFERROR(__xludf.DUMMYFUNCTION("""COMPUTED_VALUE"""),"branding")</f>
        <v>branding</v>
      </c>
    </row>
    <row r="452" spans="1:47" x14ac:dyDescent="0.3">
      <c r="A452" s="3">
        <f ca="1"/>
        <v>2346826</v>
      </c>
      <c r="B452" s="3" t="str">
        <f ca="1"/>
        <v>CZECH NEWS CENTER a. s.</v>
      </c>
      <c r="C452" s="3" t="str">
        <f ca="1">IFERROR(__xludf.DUMMYFUNCTION("""COMPUTED_VALUE"""),"Dáma")</f>
        <v>Dáma</v>
      </c>
      <c r="D452" s="4" t="str">
        <f ca="1">IFERROR(__xludf.DUMMYFUNCTION("""COMPUTED_VALUE"""),"https://dama.cz")</f>
        <v>https://dama.cz</v>
      </c>
      <c r="E452" s="3" t="str">
        <f ca="1">IFERROR(__xludf.DUMMYFUNCTION("""COMPUTED_VALUE"""),"celý web")</f>
        <v>celý web</v>
      </c>
      <c r="F452" s="4" t="str">
        <f ca="1">IFERROR(__xludf.DUMMYFUNCTION("""COMPUTED_VALUE"""),"https://dama.cz")</f>
        <v>https://dama.cz</v>
      </c>
      <c r="G452" s="3" t="str">
        <f ca="1">IFERROR(__xludf.DUMMYFUNCTION("""COMPUTED_VALUE"""),"cílený billboard bottom low season")</f>
        <v>cílený billboard bottom low season</v>
      </c>
      <c r="H452" s="3">
        <f ca="1">IFERROR(__xludf.DUMMYFUNCTION("""COMPUTED_VALUE"""),7)</f>
        <v>7</v>
      </c>
      <c r="I452" s="5">
        <f ca="1">IFERROR(__xludf.DUMMYFUNCTION("""COMPUTED_VALUE"""),1000)</f>
        <v>1000</v>
      </c>
      <c r="J452" s="5">
        <f ca="1">IFERROR(__xludf.DUMMYFUNCTION("""COMPUTED_VALUE"""),288)</f>
        <v>288</v>
      </c>
      <c r="K452" s="3"/>
      <c r="L452" s="3" t="str">
        <f ca="1">IFERROR(__xludf.DUMMYFUNCTION("""COMPUTED_VALUE"""),"Cost per period")</f>
        <v>Cost per period</v>
      </c>
      <c r="M452" s="3"/>
      <c r="N452" s="3"/>
      <c r="O452" s="3" t="str">
        <f ca="1">IFERROR(__xludf.DUMMYFUNCTION("""COMPUTED_VALUE"""),"970")</f>
        <v>970</v>
      </c>
      <c r="P452" s="3" t="str">
        <f ca="1">IFERROR(__xludf.DUMMYFUNCTION("""COMPUTED_VALUE"""),"250")</f>
        <v>250</v>
      </c>
      <c r="Q452" s="3" t="str">
        <f ca="1">IFERROR(__xludf.DUMMYFUNCTION("""COMPUTED_VALUE"""),"970x250")</f>
        <v>970x250</v>
      </c>
      <c r="R452" s="3"/>
      <c r="S452" s="3" t="str">
        <f ca="1">IFERROR(__xludf.DUMMYFUNCTION("""COMPUTED_VALUE"""),"100 (200 - HTML5)")</f>
        <v>100 (200 - HTML5)</v>
      </c>
      <c r="T452" s="3"/>
      <c r="U452" s="3" t="str">
        <f ca="1">IFERROR(__xludf.DUMMYFUNCTION("""COMPUTED_VALUE"""),"banner standard")</f>
        <v>banner standard</v>
      </c>
      <c r="V452" s="3"/>
      <c r="W452" s="4" t="str">
        <f ca="1">IFERROR(__xludf.DUMMYFUNCTION("""COMPUTED_VALUE"""),"https://reklama.cncenter.cz/Online/billboard-bottom")</f>
        <v>https://reklama.cncenter.cz/Online/billboard-bottom</v>
      </c>
      <c r="X452" s="3"/>
      <c r="Y452" s="3"/>
      <c r="Z452" s="3" t="str">
        <f ca="1">IFERROR(__xludf.DUMMYFUNCTION("""COMPUTED_VALUE"""),"podklady@cncenter.cz")</f>
        <v>podklady@cncenter.cz</v>
      </c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 t="str">
        <f ca="1">IFERROR(__xludf.DUMMYFUNCTION("""COMPUTED_VALUE"""),"desktop")</f>
        <v>desktop</v>
      </c>
      <c r="AO452" s="3"/>
      <c r="AP452" s="3"/>
      <c r="AQ452" s="3"/>
      <c r="AR452" s="3"/>
      <c r="AS452" s="3"/>
      <c r="AT452" s="3"/>
      <c r="AU452" s="3" t="str">
        <f ca="1">IFERROR(__xludf.DUMMYFUNCTION("""COMPUTED_VALUE"""),"cílený billboard bottom")</f>
        <v>cílený billboard bottom</v>
      </c>
    </row>
    <row r="453" spans="1:47" x14ac:dyDescent="0.3">
      <c r="A453" s="3">
        <f ca="1"/>
        <v>2346826</v>
      </c>
      <c r="B453" s="3" t="str">
        <f ca="1"/>
        <v>CZECH NEWS CENTER a. s.</v>
      </c>
      <c r="C453" s="3" t="str">
        <f ca="1">IFERROR(__xludf.DUMMYFUNCTION("""COMPUTED_VALUE"""),"Dáma")</f>
        <v>Dáma</v>
      </c>
      <c r="D453" s="4" t="str">
        <f ca="1">IFERROR(__xludf.DUMMYFUNCTION("""COMPUTED_VALUE"""),"https://dama.cz")</f>
        <v>https://dama.cz</v>
      </c>
      <c r="E453" s="3" t="str">
        <f ca="1">IFERROR(__xludf.DUMMYFUNCTION("""COMPUTED_VALUE"""),"celý web")</f>
        <v>celý web</v>
      </c>
      <c r="F453" s="4" t="str">
        <f ca="1">IFERROR(__xludf.DUMMYFUNCTION("""COMPUTED_VALUE"""),"https://dama.cz")</f>
        <v>https://dama.cz</v>
      </c>
      <c r="G453" s="3" t="str">
        <f ca="1">IFERROR(__xludf.DUMMYFUNCTION("""COMPUTED_VALUE"""),"cílený branding cross-device low season")</f>
        <v>cílený branding cross-device low season</v>
      </c>
      <c r="H453" s="3">
        <f ca="1">IFERROR(__xludf.DUMMYFUNCTION("""COMPUTED_VALUE"""),7)</f>
        <v>7</v>
      </c>
      <c r="I453" s="5">
        <f ca="1">IFERROR(__xludf.DUMMYFUNCTION("""COMPUTED_VALUE"""),1000)</f>
        <v>1000</v>
      </c>
      <c r="J453" s="5">
        <f ca="1">IFERROR(__xludf.DUMMYFUNCTION("""COMPUTED_VALUE"""),360)</f>
        <v>360</v>
      </c>
      <c r="K453" s="3"/>
      <c r="L453" s="3" t="str">
        <f ca="1">IFERROR(__xludf.DUMMYFUNCTION("""COMPUTED_VALUE"""),"Cost per period")</f>
        <v>Cost per period</v>
      </c>
      <c r="M453" s="3"/>
      <c r="N453" s="3"/>
      <c r="O453" s="3" t="str">
        <f ca="1">IFERROR(__xludf.DUMMYFUNCTION("""COMPUTED_VALUE"""),"2000")</f>
        <v>2000</v>
      </c>
      <c r="P453" s="3" t="str">
        <f ca="1">IFERROR(__xludf.DUMMYFUNCTION("""COMPUTED_VALUE"""),"1400")</f>
        <v>1400</v>
      </c>
      <c r="Q453" s="3" t="str">
        <f ca="1">IFERROR(__xludf.DUMMYFUNCTION("""COMPUTED_VALUE"""),"2000x1400 + 600x1080")</f>
        <v>2000x1400 + 600x1080</v>
      </c>
      <c r="R453" s="3"/>
      <c r="S453" s="3" t="str">
        <f ca="1">IFERROR(__xludf.DUMMYFUNCTION("""COMPUTED_VALUE"""),"500 (600 - HTLM5)")</f>
        <v>500 (600 - HTLM5)</v>
      </c>
      <c r="T453" s="3"/>
      <c r="U453" s="3" t="str">
        <f ca="1">IFERROR(__xludf.DUMMYFUNCTION("""COMPUTED_VALUE"""),"banner standard")</f>
        <v>banner standard</v>
      </c>
      <c r="V453" s="3"/>
      <c r="W453" s="4" t="str">
        <f ca="1">IFERROR(__xludf.DUMMYFUNCTION("""COMPUTED_VALUE"""),"https://reklama.cncenter.cz/Online/branding-cross-device")</f>
        <v>https://reklama.cncenter.cz/Online/branding-cross-device</v>
      </c>
      <c r="X453" s="3"/>
      <c r="Y453" s="3"/>
      <c r="Z453" s="3" t="str">
        <f ca="1">IFERROR(__xludf.DUMMYFUNCTION("""COMPUTED_VALUE"""),"podklady@cncenter.cz")</f>
        <v>podklady@cncenter.cz</v>
      </c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 t="str">
        <f ca="1">IFERROR(__xludf.DUMMYFUNCTION("""COMPUTED_VALUE"""),"cross-device")</f>
        <v>cross-device</v>
      </c>
      <c r="AO453" s="3"/>
      <c r="AP453" s="3"/>
      <c r="AQ453" s="3"/>
      <c r="AR453" s="3"/>
      <c r="AS453" s="3"/>
      <c r="AT453" s="3"/>
      <c r="AU453" s="3" t="str">
        <f ca="1">IFERROR(__xludf.DUMMYFUNCTION("""COMPUTED_VALUE"""),"cílený branding cross-device")</f>
        <v>cílený branding cross-device</v>
      </c>
    </row>
    <row r="454" spans="1:47" x14ac:dyDescent="0.3">
      <c r="A454" s="3">
        <f ca="1"/>
        <v>2346826</v>
      </c>
      <c r="B454" s="3" t="str">
        <f ca="1"/>
        <v>CZECH NEWS CENTER a. s.</v>
      </c>
      <c r="C454" s="3" t="str">
        <f ca="1">IFERROR(__xludf.DUMMYFUNCTION("""COMPUTED_VALUE"""),"Dáma")</f>
        <v>Dáma</v>
      </c>
      <c r="D454" s="4" t="str">
        <f ca="1">IFERROR(__xludf.DUMMYFUNCTION("""COMPUTED_VALUE"""),"https://dama.cz")</f>
        <v>https://dama.cz</v>
      </c>
      <c r="E454" s="3" t="str">
        <f ca="1">IFERROR(__xludf.DUMMYFUNCTION("""COMPUTED_VALUE"""),"celý web")</f>
        <v>celý web</v>
      </c>
      <c r="F454" s="4" t="str">
        <f ca="1">IFERROR(__xludf.DUMMYFUNCTION("""COMPUTED_VALUE"""),"https://dama.cz")</f>
        <v>https://dama.cz</v>
      </c>
      <c r="G454" s="3" t="str">
        <f ca="1">IFERROR(__xludf.DUMMYFUNCTION("""COMPUTED_VALUE"""),"cílený branding low season")</f>
        <v>cílený branding low season</v>
      </c>
      <c r="H454" s="3">
        <f ca="1">IFERROR(__xludf.DUMMYFUNCTION("""COMPUTED_VALUE"""),7)</f>
        <v>7</v>
      </c>
      <c r="I454" s="5">
        <f ca="1">IFERROR(__xludf.DUMMYFUNCTION("""COMPUTED_VALUE"""),1000)</f>
        <v>1000</v>
      </c>
      <c r="J454" s="5">
        <f ca="1">IFERROR(__xludf.DUMMYFUNCTION("""COMPUTED_VALUE"""),588)</f>
        <v>588</v>
      </c>
      <c r="K454" s="3"/>
      <c r="L454" s="3" t="str">
        <f ca="1">IFERROR(__xludf.DUMMYFUNCTION("""COMPUTED_VALUE"""),"Cost per period")</f>
        <v>Cost per period</v>
      </c>
      <c r="M454" s="3"/>
      <c r="N454" s="3"/>
      <c r="O454" s="3" t="str">
        <f ca="1">IFERROR(__xludf.DUMMYFUNCTION("""COMPUTED_VALUE"""),"2000")</f>
        <v>2000</v>
      </c>
      <c r="P454" s="3" t="str">
        <f ca="1">IFERROR(__xludf.DUMMYFUNCTION("""COMPUTED_VALUE"""),"1400")</f>
        <v>1400</v>
      </c>
      <c r="Q454" s="3" t="str">
        <f ca="1">IFERROR(__xludf.DUMMYFUNCTION("""COMPUTED_VALUE"""),"2000x1400")</f>
        <v>2000x1400</v>
      </c>
      <c r="R454" s="3"/>
      <c r="S454" s="3" t="str">
        <f ca="1">IFERROR(__xludf.DUMMYFUNCTION("""COMPUTED_VALUE"""),"500 + 200 (600+200 HTML5)")</f>
        <v>500 + 200 (600+200 HTML5)</v>
      </c>
      <c r="T454" s="3"/>
      <c r="U454" s="3" t="str">
        <f ca="1">IFERROR(__xludf.DUMMYFUNCTION("""COMPUTED_VALUE"""),"banner standard")</f>
        <v>banner standard</v>
      </c>
      <c r="V454" s="3"/>
      <c r="W454" s="4" t="str">
        <f ca="1">IFERROR(__xludf.DUMMYFUNCTION("""COMPUTED_VALUE"""),"https://reklama.cncenter.cz/Online/branding")</f>
        <v>https://reklama.cncenter.cz/Online/branding</v>
      </c>
      <c r="X454" s="3"/>
      <c r="Y454" s="3"/>
      <c r="Z454" s="3" t="str">
        <f ca="1">IFERROR(__xludf.DUMMYFUNCTION("""COMPUTED_VALUE"""),"podklady@cncenter.cz")</f>
        <v>podklady@cncenter.cz</v>
      </c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 t="str">
        <f ca="1">IFERROR(__xludf.DUMMYFUNCTION("""COMPUTED_VALUE"""),"desktop")</f>
        <v>desktop</v>
      </c>
      <c r="AO454" s="3"/>
      <c r="AP454" s="3"/>
      <c r="AQ454" s="3"/>
      <c r="AR454" s="3"/>
      <c r="AS454" s="3"/>
      <c r="AT454" s="3"/>
      <c r="AU454" s="3" t="str">
        <f ca="1">IFERROR(__xludf.DUMMYFUNCTION("""COMPUTED_VALUE"""),"cílený branding")</f>
        <v>cílený branding</v>
      </c>
    </row>
    <row r="455" spans="1:47" x14ac:dyDescent="0.3">
      <c r="A455" s="3">
        <f ca="1"/>
        <v>2346826</v>
      </c>
      <c r="B455" s="3" t="str">
        <f ca="1"/>
        <v>CZECH NEWS CENTER a. s.</v>
      </c>
      <c r="C455" s="3" t="str">
        <f ca="1">IFERROR(__xludf.DUMMYFUNCTION("""COMPUTED_VALUE"""),"Dáma")</f>
        <v>Dáma</v>
      </c>
      <c r="D455" s="4" t="str">
        <f ca="1">IFERROR(__xludf.DUMMYFUNCTION("""COMPUTED_VALUE"""),"https://dama.cz")</f>
        <v>https://dama.cz</v>
      </c>
      <c r="E455" s="3" t="str">
        <f ca="1">IFERROR(__xludf.DUMMYFUNCTION("""COMPUTED_VALUE"""),"celý web")</f>
        <v>celý web</v>
      </c>
      <c r="F455" s="4" t="str">
        <f ca="1">IFERROR(__xludf.DUMMYFUNCTION("""COMPUTED_VALUE"""),"https://dama.cz")</f>
        <v>https://dama.cz</v>
      </c>
      <c r="G455" s="3" t="str">
        <f ca="1">IFERROR(__xludf.DUMMYFUNCTION("""COMPUTED_VALUE"""),"cílený double skyscraper low season")</f>
        <v>cílený double skyscraper low season</v>
      </c>
      <c r="H455" s="3">
        <f ca="1">IFERROR(__xludf.DUMMYFUNCTION("""COMPUTED_VALUE"""),7)</f>
        <v>7</v>
      </c>
      <c r="I455" s="5">
        <f ca="1">IFERROR(__xludf.DUMMYFUNCTION("""COMPUTED_VALUE"""),1000)</f>
        <v>1000</v>
      </c>
      <c r="J455" s="5">
        <f ca="1">IFERROR(__xludf.DUMMYFUNCTION("""COMPUTED_VALUE"""),228)</f>
        <v>228</v>
      </c>
      <c r="K455" s="3"/>
      <c r="L455" s="3" t="str">
        <f ca="1">IFERROR(__xludf.DUMMYFUNCTION("""COMPUTED_VALUE"""),"Cost per period")</f>
        <v>Cost per period</v>
      </c>
      <c r="M455" s="3"/>
      <c r="N455" s="3"/>
      <c r="O455" s="3" t="str">
        <f ca="1">IFERROR(__xludf.DUMMYFUNCTION("""COMPUTED_VALUE"""),"300")</f>
        <v>300</v>
      </c>
      <c r="P455" s="3" t="str">
        <f ca="1">IFERROR(__xludf.DUMMYFUNCTION("""COMPUTED_VALUE"""),"600")</f>
        <v>600</v>
      </c>
      <c r="Q455" s="3" t="str">
        <f ca="1">IFERROR(__xludf.DUMMYFUNCTION("""COMPUTED_VALUE"""),"300x600")</f>
        <v>300x600</v>
      </c>
      <c r="R455" s="3"/>
      <c r="S455" s="3" t="str">
        <f ca="1">IFERROR(__xludf.DUMMYFUNCTION("""COMPUTED_VALUE"""),"100 (200 - HTML5)")</f>
        <v>100 (200 - HTML5)</v>
      </c>
      <c r="T455" s="3"/>
      <c r="U455" s="3" t="str">
        <f ca="1">IFERROR(__xludf.DUMMYFUNCTION("""COMPUTED_VALUE"""),"banner standard")</f>
        <v>banner standard</v>
      </c>
      <c r="V455" s="3"/>
      <c r="W455" s="4" t="str">
        <f ca="1">IFERROR(__xludf.DUMMYFUNCTION("""COMPUTED_VALUE"""),"https://reklama.cncenter.cz/Online/double-skyscraper")</f>
        <v>https://reklama.cncenter.cz/Online/double-skyscraper</v>
      </c>
      <c r="X455" s="3"/>
      <c r="Y455" s="3"/>
      <c r="Z455" s="3" t="str">
        <f ca="1">IFERROR(__xludf.DUMMYFUNCTION("""COMPUTED_VALUE"""),"podklady@cncenter.cz")</f>
        <v>podklady@cncenter.cz</v>
      </c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 t="str">
        <f ca="1">IFERROR(__xludf.DUMMYFUNCTION("""COMPUTED_VALUE"""),"desktop")</f>
        <v>desktop</v>
      </c>
      <c r="AO455" s="3"/>
      <c r="AP455" s="3"/>
      <c r="AQ455" s="3"/>
      <c r="AR455" s="3"/>
      <c r="AS455" s="3"/>
      <c r="AT455" s="3"/>
      <c r="AU455" s="3" t="str">
        <f ca="1">IFERROR(__xludf.DUMMYFUNCTION("""COMPUTED_VALUE"""),"cílený double skyscraper")</f>
        <v>cílený double skyscraper</v>
      </c>
    </row>
    <row r="456" spans="1:47" x14ac:dyDescent="0.3">
      <c r="A456" s="3">
        <f ca="1"/>
        <v>2346826</v>
      </c>
      <c r="B456" s="3" t="str">
        <f ca="1"/>
        <v>CZECH NEWS CENTER a. s.</v>
      </c>
      <c r="C456" s="3" t="str">
        <f ca="1">IFERROR(__xludf.DUMMYFUNCTION("""COMPUTED_VALUE"""),"Dáma")</f>
        <v>Dáma</v>
      </c>
      <c r="D456" s="4" t="str">
        <f ca="1">IFERROR(__xludf.DUMMYFUNCTION("""COMPUTED_VALUE"""),"https://dama.cz")</f>
        <v>https://dama.cz</v>
      </c>
      <c r="E456" s="3" t="str">
        <f ca="1">IFERROR(__xludf.DUMMYFUNCTION("""COMPUTED_VALUE"""),"celý web")</f>
        <v>celý web</v>
      </c>
      <c r="F456" s="4" t="str">
        <f ca="1">IFERROR(__xludf.DUMMYFUNCTION("""COMPUTED_VALUE"""),"https://dama.cz")</f>
        <v>https://dama.cz</v>
      </c>
      <c r="G456" s="3" t="str">
        <f ca="1">IFERROR(__xludf.DUMMYFUNCTION("""COMPUTED_VALUE"""),"cílený mini videospot - max. 30 sec. low season")</f>
        <v>cílený mini videospot - max. 30 sec. low season</v>
      </c>
      <c r="H456" s="3">
        <f ca="1">IFERROR(__xludf.DUMMYFUNCTION("""COMPUTED_VALUE"""),7)</f>
        <v>7</v>
      </c>
      <c r="I456" s="5">
        <f ca="1">IFERROR(__xludf.DUMMYFUNCTION("""COMPUTED_VALUE"""),1000)</f>
        <v>1000</v>
      </c>
      <c r="J456" s="5">
        <f ca="1">IFERROR(__xludf.DUMMYFUNCTION("""COMPUTED_VALUE"""),168)</f>
        <v>168</v>
      </c>
      <c r="K456" s="3"/>
      <c r="L456" s="3" t="str">
        <f ca="1">IFERROR(__xludf.DUMMYFUNCTION("""COMPUTED_VALUE"""),"Cost per period")</f>
        <v>Cost per period</v>
      </c>
      <c r="M456" s="3"/>
      <c r="N456" s="3"/>
      <c r="O456" s="3"/>
      <c r="P456" s="3"/>
      <c r="Q456" s="3" t="str">
        <f ca="1">IFERROR(__xludf.DUMMYFUNCTION("""COMPUTED_VALUE"""),"16:9 / umístění po domluvě dle možností")</f>
        <v>16:9 / umístění po domluvě dle možností</v>
      </c>
      <c r="R456" s="3" t="str">
        <f ca="1">IFERROR(__xludf.DUMMYFUNCTION("""COMPUTED_VALUE"""),"přeskočení po 7 sekundách")</f>
        <v>přeskočení po 7 sekundách</v>
      </c>
      <c r="S456" s="3" t="str">
        <f ca="1">IFERROR(__xludf.DUMMYFUNCTION("""COMPUTED_VALUE"""),"100")</f>
        <v>100</v>
      </c>
      <c r="T456" s="3"/>
      <c r="U456" s="3" t="str">
        <f ca="1">IFERROR(__xludf.DUMMYFUNCTION("""COMPUTED_VALUE"""),"videospot")</f>
        <v>videospot</v>
      </c>
      <c r="V456" s="3"/>
      <c r="W456" s="4" t="str">
        <f ca="1">IFERROR(__xludf.DUMMYFUNCTION("""COMPUTED_VALUE"""),"https://reklama.cncenter.cz/Online/Videospot")</f>
        <v>https://reklama.cncenter.cz/Online/Videospot</v>
      </c>
      <c r="X456" s="3"/>
      <c r="Y456" s="3"/>
      <c r="Z456" s="3" t="str">
        <f ca="1">IFERROR(__xludf.DUMMYFUNCTION("""COMPUTED_VALUE"""),"podklady@cncenter.cz")</f>
        <v>podklady@cncenter.cz</v>
      </c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 t="str">
        <f ca="1">IFERROR(__xludf.DUMMYFUNCTION("""COMPUTED_VALUE"""),"desktop")</f>
        <v>desktop</v>
      </c>
      <c r="AO456" s="3"/>
      <c r="AP456" s="3"/>
      <c r="AQ456" s="3"/>
      <c r="AR456" s="3"/>
      <c r="AS456" s="3"/>
      <c r="AT456" s="3"/>
      <c r="AU456" s="3" t="str">
        <f ca="1">IFERROR(__xludf.DUMMYFUNCTION("""COMPUTED_VALUE"""),"cílený mini videospot - max. 30 sec.")</f>
        <v>cílený mini videospot - max. 30 sec.</v>
      </c>
    </row>
    <row r="457" spans="1:47" x14ac:dyDescent="0.3">
      <c r="A457" s="3">
        <f ca="1"/>
        <v>2346826</v>
      </c>
      <c r="B457" s="3" t="str">
        <f ca="1"/>
        <v>CZECH NEWS CENTER a. s.</v>
      </c>
      <c r="C457" s="3" t="str">
        <f ca="1">IFERROR(__xludf.DUMMYFUNCTION("""COMPUTED_VALUE"""),"Dáma")</f>
        <v>Dáma</v>
      </c>
      <c r="D457" s="4" t="str">
        <f ca="1">IFERROR(__xludf.DUMMYFUNCTION("""COMPUTED_VALUE"""),"https://dama.cz")</f>
        <v>https://dama.cz</v>
      </c>
      <c r="E457" s="3" t="str">
        <f ca="1">IFERROR(__xludf.DUMMYFUNCTION("""COMPUTED_VALUE"""),"celý web")</f>
        <v>celý web</v>
      </c>
      <c r="F457" s="4" t="str">
        <f ca="1">IFERROR(__xludf.DUMMYFUNCTION("""COMPUTED_VALUE"""),"https://dama.cz")</f>
        <v>https://dama.cz</v>
      </c>
      <c r="G457" s="3" t="str">
        <f ca="1">IFERROR(__xludf.DUMMYFUNCTION("""COMPUTED_VALUE"""),"cílený mobilní interscroller low season")</f>
        <v>cílený mobilní interscroller low season</v>
      </c>
      <c r="H457" s="3">
        <f ca="1">IFERROR(__xludf.DUMMYFUNCTION("""COMPUTED_VALUE"""),7)</f>
        <v>7</v>
      </c>
      <c r="I457" s="5">
        <f ca="1">IFERROR(__xludf.DUMMYFUNCTION("""COMPUTED_VALUE"""),1000)</f>
        <v>1000</v>
      </c>
      <c r="J457" s="5">
        <f ca="1">IFERROR(__xludf.DUMMYFUNCTION("""COMPUTED_VALUE"""),300)</f>
        <v>300</v>
      </c>
      <c r="K457" s="3"/>
      <c r="L457" s="3" t="str">
        <f ca="1">IFERROR(__xludf.DUMMYFUNCTION("""COMPUTED_VALUE"""),"Cost per period")</f>
        <v>Cost per period</v>
      </c>
      <c r="M457" s="3"/>
      <c r="N457" s="3"/>
      <c r="O457" s="3" t="str">
        <f ca="1">IFERROR(__xludf.DUMMYFUNCTION("""COMPUTED_VALUE"""),"600")</f>
        <v>600</v>
      </c>
      <c r="P457" s="3" t="str">
        <f ca="1">IFERROR(__xludf.DUMMYFUNCTION("""COMPUTED_VALUE"""),"1080")</f>
        <v>1080</v>
      </c>
      <c r="Q457" s="3" t="str">
        <f ca="1">IFERROR(__xludf.DUMMYFUNCTION("""COMPUTED_VALUE"""),"600x1080")</f>
        <v>600x1080</v>
      </c>
      <c r="R457" s="3"/>
      <c r="S457" s="3" t="str">
        <f ca="1">IFERROR(__xludf.DUMMYFUNCTION("""COMPUTED_VALUE"""),"200")</f>
        <v>200</v>
      </c>
      <c r="T457" s="3"/>
      <c r="U457" s="3" t="str">
        <f ca="1">IFERROR(__xludf.DUMMYFUNCTION("""COMPUTED_VALUE"""),"banner standard")</f>
        <v>banner standard</v>
      </c>
      <c r="V457" s="3"/>
      <c r="W457" s="4" t="str">
        <f ca="1">IFERROR(__xludf.DUMMYFUNCTION("""COMPUTED_VALUE"""),"https://reklama.cncenter.cz/Online/mobilni-interscroller")</f>
        <v>https://reklama.cncenter.cz/Online/mobilni-interscroller</v>
      </c>
      <c r="X457" s="3"/>
      <c r="Y457" s="3"/>
      <c r="Z457" s="3" t="str">
        <f ca="1">IFERROR(__xludf.DUMMYFUNCTION("""COMPUTED_VALUE"""),"podklady@cncenter.cz")</f>
        <v>podklady@cncenter.cz</v>
      </c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 t="str">
        <f ca="1">IFERROR(__xludf.DUMMYFUNCTION("""COMPUTED_VALUE"""),"mobile")</f>
        <v>mobile</v>
      </c>
      <c r="AO457" s="3"/>
      <c r="AP457" s="3"/>
      <c r="AQ457" s="3"/>
      <c r="AR457" s="3"/>
      <c r="AS457" s="3"/>
      <c r="AT457" s="3"/>
      <c r="AU457" s="3" t="str">
        <f ca="1">IFERROR(__xludf.DUMMYFUNCTION("""COMPUTED_VALUE"""),"cílený mobilní interscroller")</f>
        <v>cílený mobilní interscroller</v>
      </c>
    </row>
    <row r="458" spans="1:47" x14ac:dyDescent="0.3">
      <c r="A458" s="3">
        <f ca="1"/>
        <v>2346826</v>
      </c>
      <c r="B458" s="3" t="str">
        <f ca="1"/>
        <v>CZECH NEWS CENTER a. s.</v>
      </c>
      <c r="C458" s="3" t="str">
        <f ca="1">IFERROR(__xludf.DUMMYFUNCTION("""COMPUTED_VALUE"""),"Dáma")</f>
        <v>Dáma</v>
      </c>
      <c r="D458" s="4" t="str">
        <f ca="1">IFERROR(__xludf.DUMMYFUNCTION("""COMPUTED_VALUE"""),"https://dama.cz")</f>
        <v>https://dama.cz</v>
      </c>
      <c r="E458" s="3" t="str">
        <f ca="1">IFERROR(__xludf.DUMMYFUNCTION("""COMPUTED_VALUE"""),"celý web")</f>
        <v>celý web</v>
      </c>
      <c r="F458" s="4" t="str">
        <f ca="1">IFERROR(__xludf.DUMMYFUNCTION("""COMPUTED_VALUE"""),"https://dama.cz")</f>
        <v>https://dama.cz</v>
      </c>
      <c r="G458" s="3" t="str">
        <f ca="1">IFERROR(__xludf.DUMMYFUNCTION("""COMPUTED_VALUE"""),"cílený mobilní slide-up low season")</f>
        <v>cílený mobilní slide-up low season</v>
      </c>
      <c r="H458" s="3">
        <f ca="1">IFERROR(__xludf.DUMMYFUNCTION("""COMPUTED_VALUE"""),7)</f>
        <v>7</v>
      </c>
      <c r="I458" s="5">
        <f ca="1">IFERROR(__xludf.DUMMYFUNCTION("""COMPUTED_VALUE"""),1000)</f>
        <v>1000</v>
      </c>
      <c r="J458" s="5">
        <f ca="1">IFERROR(__xludf.DUMMYFUNCTION("""COMPUTED_VALUE"""),612)</f>
        <v>612</v>
      </c>
      <c r="K458" s="3"/>
      <c r="L458" s="3" t="str">
        <f ca="1">IFERROR(__xludf.DUMMYFUNCTION("""COMPUTED_VALUE"""),"Cost per period")</f>
        <v>Cost per period</v>
      </c>
      <c r="M458" s="3"/>
      <c r="N458" s="3"/>
      <c r="O458" s="3" t="str">
        <f ca="1">IFERROR(__xludf.DUMMYFUNCTION("""COMPUTED_VALUE"""),"300")</f>
        <v>300</v>
      </c>
      <c r="P458" s="3" t="str">
        <f ca="1">IFERROR(__xludf.DUMMYFUNCTION("""COMPUTED_VALUE"""),"120")</f>
        <v>120</v>
      </c>
      <c r="Q458" s="3" t="str">
        <f ca="1">IFERROR(__xludf.DUMMYFUNCTION("""COMPUTED_VALUE"""),"300x120")</f>
        <v>300x120</v>
      </c>
      <c r="R458" s="3"/>
      <c r="S458" s="3" t="str">
        <f ca="1">IFERROR(__xludf.DUMMYFUNCTION("""COMPUTED_VALUE"""),"100")</f>
        <v>100</v>
      </c>
      <c r="T458" s="3"/>
      <c r="U458" s="3" t="str">
        <f ca="1">IFERROR(__xludf.DUMMYFUNCTION("""COMPUTED_VALUE"""),"banner standard")</f>
        <v>banner standard</v>
      </c>
      <c r="V458" s="3"/>
      <c r="W458" s="4" t="str">
        <f ca="1">IFERROR(__xludf.DUMMYFUNCTION("""COMPUTED_VALUE"""),"https://reklama.cncenter.cz/Online/mobilni-slide-up")</f>
        <v>https://reklama.cncenter.cz/Online/mobilni-slide-up</v>
      </c>
      <c r="X458" s="3"/>
      <c r="Y458" s="3"/>
      <c r="Z458" s="3" t="str">
        <f ca="1">IFERROR(__xludf.DUMMYFUNCTION("""COMPUTED_VALUE"""),"podklady@cncenter.cz")</f>
        <v>podklady@cncenter.cz</v>
      </c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 t="str">
        <f ca="1">IFERROR(__xludf.DUMMYFUNCTION("""COMPUTED_VALUE"""),"mobile")</f>
        <v>mobile</v>
      </c>
      <c r="AO458" s="3"/>
      <c r="AP458" s="3"/>
      <c r="AQ458" s="3"/>
      <c r="AR458" s="3"/>
      <c r="AS458" s="3"/>
      <c r="AT458" s="3"/>
      <c r="AU458" s="3" t="str">
        <f ca="1">IFERROR(__xludf.DUMMYFUNCTION("""COMPUTED_VALUE"""),"cílený mobilní slide-up")</f>
        <v>cílený mobilní slide-up</v>
      </c>
    </row>
    <row r="459" spans="1:47" x14ac:dyDescent="0.3">
      <c r="A459" s="3">
        <f ca="1"/>
        <v>2346826</v>
      </c>
      <c r="B459" s="3" t="str">
        <f ca="1"/>
        <v>CZECH NEWS CENTER a. s.</v>
      </c>
      <c r="C459" s="3" t="str">
        <f ca="1">IFERROR(__xludf.DUMMYFUNCTION("""COMPUTED_VALUE"""),"Dáma")</f>
        <v>Dáma</v>
      </c>
      <c r="D459" s="4" t="str">
        <f ca="1">IFERROR(__xludf.DUMMYFUNCTION("""COMPUTED_VALUE"""),"https://dama.cz")</f>
        <v>https://dama.cz</v>
      </c>
      <c r="E459" s="3" t="str">
        <f ca="1">IFERROR(__xludf.DUMMYFUNCTION("""COMPUTED_VALUE"""),"celý web")</f>
        <v>celý web</v>
      </c>
      <c r="F459" s="4" t="str">
        <f ca="1">IFERROR(__xludf.DUMMYFUNCTION("""COMPUTED_VALUE"""),"https://dama.cz")</f>
        <v>https://dama.cz</v>
      </c>
      <c r="G459" s="3" t="str">
        <f ca="1">IFERROR(__xludf.DUMMYFUNCTION("""COMPUTED_VALUE"""),"cílený mobilní viněta low season")</f>
        <v>cílený mobilní viněta low season</v>
      </c>
      <c r="H459" s="3">
        <f ca="1">IFERROR(__xludf.DUMMYFUNCTION("""COMPUTED_VALUE"""),7)</f>
        <v>7</v>
      </c>
      <c r="I459" s="5">
        <f ca="1">IFERROR(__xludf.DUMMYFUNCTION("""COMPUTED_VALUE"""),1000)</f>
        <v>1000</v>
      </c>
      <c r="J459" s="5">
        <f ca="1">IFERROR(__xludf.DUMMYFUNCTION("""COMPUTED_VALUE"""),1056)</f>
        <v>1056</v>
      </c>
      <c r="K459" s="3"/>
      <c r="L459" s="3" t="str">
        <f ca="1">IFERROR(__xludf.DUMMYFUNCTION("""COMPUTED_VALUE"""),"Cost per period")</f>
        <v>Cost per period</v>
      </c>
      <c r="M459" s="3"/>
      <c r="N459" s="3"/>
      <c r="O459" s="3" t="str">
        <f ca="1">IFERROR(__xludf.DUMMYFUNCTION("""COMPUTED_VALUE"""),"600")</f>
        <v>600</v>
      </c>
      <c r="P459" s="3" t="str">
        <f ca="1">IFERROR(__xludf.DUMMYFUNCTION("""COMPUTED_VALUE"""),"800")</f>
        <v>800</v>
      </c>
      <c r="Q459" s="3" t="str">
        <f ca="1">IFERROR(__xludf.DUMMYFUNCTION("""COMPUTED_VALUE"""),"300x250 nebo 600x800")</f>
        <v>300x250 nebo 600x800</v>
      </c>
      <c r="R459" s="3"/>
      <c r="S459" s="3" t="str">
        <f ca="1">IFERROR(__xludf.DUMMYFUNCTION("""COMPUTED_VALUE"""),"100")</f>
        <v>100</v>
      </c>
      <c r="T459" s="3"/>
      <c r="U459" s="3" t="str">
        <f ca="1">IFERROR(__xludf.DUMMYFUNCTION("""COMPUTED_VALUE"""),"banner standard")</f>
        <v>banner standard</v>
      </c>
      <c r="V459" s="3"/>
      <c r="W459" s="4" t="str">
        <f ca="1">IFERROR(__xludf.DUMMYFUNCTION("""COMPUTED_VALUE"""),"https://reklama.cncenter.cz/Online/mobilni-vineta")</f>
        <v>https://reklama.cncenter.cz/Online/mobilni-vineta</v>
      </c>
      <c r="X459" s="3"/>
      <c r="Y459" s="3"/>
      <c r="Z459" s="3" t="str">
        <f ca="1">IFERROR(__xludf.DUMMYFUNCTION("""COMPUTED_VALUE"""),"podklady@cncenter.cz")</f>
        <v>podklady@cncenter.cz</v>
      </c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 t="str">
        <f ca="1">IFERROR(__xludf.DUMMYFUNCTION("""COMPUTED_VALUE"""),"mobile")</f>
        <v>mobile</v>
      </c>
      <c r="AO459" s="3"/>
      <c r="AP459" s="3"/>
      <c r="AQ459" s="3"/>
      <c r="AR459" s="3"/>
      <c r="AS459" s="3"/>
      <c r="AT459" s="3"/>
      <c r="AU459" s="3" t="str">
        <f ca="1">IFERROR(__xludf.DUMMYFUNCTION("""COMPUTED_VALUE"""),"cílený mobilní viněta")</f>
        <v>cílený mobilní viněta</v>
      </c>
    </row>
    <row r="460" spans="1:47" x14ac:dyDescent="0.3">
      <c r="A460" s="3">
        <f ca="1"/>
        <v>2346826</v>
      </c>
      <c r="B460" s="3" t="str">
        <f ca="1"/>
        <v>CZECH NEWS CENTER a. s.</v>
      </c>
      <c r="C460" s="3" t="str">
        <f ca="1">IFERROR(__xludf.DUMMYFUNCTION("""COMPUTED_VALUE"""),"Dáma")</f>
        <v>Dáma</v>
      </c>
      <c r="D460" s="4" t="str">
        <f ca="1">IFERROR(__xludf.DUMMYFUNCTION("""COMPUTED_VALUE"""),"https://dama.cz")</f>
        <v>https://dama.cz</v>
      </c>
      <c r="E460" s="3" t="str">
        <f ca="1">IFERROR(__xludf.DUMMYFUNCTION("""COMPUTED_VALUE"""),"celý web")</f>
        <v>celý web</v>
      </c>
      <c r="F460" s="4" t="str">
        <f ca="1">IFERROR(__xludf.DUMMYFUNCTION("""COMPUTED_VALUE"""),"https://dama.cz")</f>
        <v>https://dama.cz</v>
      </c>
      <c r="G460" s="3" t="str">
        <f ca="1">IFERROR(__xludf.DUMMYFUNCTION("""COMPUTED_VALUE"""),"cílený nativní pr premium low season")</f>
        <v>cílený nativní pr premium low season</v>
      </c>
      <c r="H460" s="3">
        <f ca="1">IFERROR(__xludf.DUMMYFUNCTION("""COMPUTED_VALUE"""),7)</f>
        <v>7</v>
      </c>
      <c r="I460" s="5">
        <f ca="1">IFERROR(__xludf.DUMMYFUNCTION("""COMPUTED_VALUE"""),1000)</f>
        <v>1000</v>
      </c>
      <c r="J460" s="5">
        <f ca="1">IFERROR(__xludf.DUMMYFUNCTION("""COMPUTED_VALUE"""),120)</f>
        <v>120</v>
      </c>
      <c r="K460" s="3"/>
      <c r="L460" s="3" t="str">
        <f ca="1">IFERROR(__xludf.DUMMYFUNCTION("""COMPUTED_VALUE"""),"Cost per period")</f>
        <v>Cost per period</v>
      </c>
      <c r="M460" s="3"/>
      <c r="N460" s="3"/>
      <c r="O460" s="3" t="str">
        <f ca="1">IFERROR(__xludf.DUMMYFUNCTION("""COMPUTED_VALUE"""),"640")</f>
        <v>640</v>
      </c>
      <c r="P460" s="3" t="str">
        <f ca="1">IFERROR(__xludf.DUMMYFUNCTION("""COMPUTED_VALUE"""),"335, 640")</f>
        <v>335, 640</v>
      </c>
      <c r="Q460" s="3" t="str">
        <f ca="1">IFERROR(__xludf.DUMMYFUNCTION("""COMPUTED_VALUE"""),"640x640 a 640x335 + text + logo")</f>
        <v>640x640 a 640x335 + text + logo</v>
      </c>
      <c r="R460" s="3" t="str">
        <f ca="1">IFERROR(__xludf.DUMMYFUNCTION("""COMPUTED_VALUE"""),"detailní specifikace na URL odkaze")</f>
        <v>detailní specifikace na URL odkaze</v>
      </c>
      <c r="S460" s="3" t="str">
        <f ca="1">IFERROR(__xludf.DUMMYFUNCTION("""COMPUTED_VALUE"""),"100")</f>
        <v>100</v>
      </c>
      <c r="T460" s="3"/>
      <c r="U460" s="3" t="str">
        <f ca="1">IFERROR(__xludf.DUMMYFUNCTION("""COMPUTED_VALUE"""),"nativní reklama")</f>
        <v>nativní reklama</v>
      </c>
      <c r="V460" s="3"/>
      <c r="W460" s="4" t="str">
        <f ca="1">IFERROR(__xludf.DUMMYFUNCTION("""COMPUTED_VALUE"""),"https://reklama.cncenter.cz/Online/nativni-PR-premium")</f>
        <v>https://reklama.cncenter.cz/Online/nativni-PR-premium</v>
      </c>
      <c r="X460" s="3"/>
      <c r="Y460" s="3"/>
      <c r="Z460" s="3" t="str">
        <f ca="1">IFERROR(__xludf.DUMMYFUNCTION("""COMPUTED_VALUE"""),"podklady@cncenter.cz")</f>
        <v>podklady@cncenter.cz</v>
      </c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 t="str">
        <f ca="1">IFERROR(__xludf.DUMMYFUNCTION("""COMPUTED_VALUE"""),"cross-device")</f>
        <v>cross-device</v>
      </c>
      <c r="AO460" s="3"/>
      <c r="AP460" s="3"/>
      <c r="AQ460" s="3"/>
      <c r="AR460" s="3"/>
      <c r="AS460" s="3"/>
      <c r="AT460" s="3"/>
      <c r="AU460" s="3" t="str">
        <f ca="1">IFERROR(__xludf.DUMMYFUNCTION("""COMPUTED_VALUE"""),"cílený nativní pr premium")</f>
        <v>cílený nativní pr premium</v>
      </c>
    </row>
    <row r="461" spans="1:47" x14ac:dyDescent="0.3">
      <c r="A461" s="3">
        <f ca="1"/>
        <v>2346826</v>
      </c>
      <c r="B461" s="3" t="str">
        <f ca="1"/>
        <v>CZECH NEWS CENTER a. s.</v>
      </c>
      <c r="C461" s="3" t="str">
        <f ca="1">IFERROR(__xludf.DUMMYFUNCTION("""COMPUTED_VALUE"""),"Dáma")</f>
        <v>Dáma</v>
      </c>
      <c r="D461" s="4" t="str">
        <f ca="1">IFERROR(__xludf.DUMMYFUNCTION("""COMPUTED_VALUE"""),"https://dama.cz")</f>
        <v>https://dama.cz</v>
      </c>
      <c r="E461" s="3" t="str">
        <f ca="1">IFERROR(__xludf.DUMMYFUNCTION("""COMPUTED_VALUE"""),"celý web")</f>
        <v>celý web</v>
      </c>
      <c r="F461" s="4" t="str">
        <f ca="1">IFERROR(__xludf.DUMMYFUNCTION("""COMPUTED_VALUE"""),"https://dama.cz")</f>
        <v>https://dama.cz</v>
      </c>
      <c r="G461" s="3" t="str">
        <f ca="1">IFERROR(__xludf.DUMMYFUNCTION("""COMPUTED_VALUE"""),"cílený nativní rectangle cross-device low season")</f>
        <v>cílený nativní rectangle cross-device low season</v>
      </c>
      <c r="H461" s="3">
        <f ca="1">IFERROR(__xludf.DUMMYFUNCTION("""COMPUTED_VALUE"""),7)</f>
        <v>7</v>
      </c>
      <c r="I461" s="5">
        <f ca="1">IFERROR(__xludf.DUMMYFUNCTION("""COMPUTED_VALUE"""),1000)</f>
        <v>1000</v>
      </c>
      <c r="J461" s="5">
        <f ca="1">IFERROR(__xludf.DUMMYFUNCTION("""COMPUTED_VALUE"""),240)</f>
        <v>240</v>
      </c>
      <c r="K461" s="3"/>
      <c r="L461" s="3" t="str">
        <f ca="1">IFERROR(__xludf.DUMMYFUNCTION("""COMPUTED_VALUE"""),"Cost per period")</f>
        <v>Cost per period</v>
      </c>
      <c r="M461" s="3"/>
      <c r="N461" s="3"/>
      <c r="O461" s="3" t="str">
        <f ca="1">IFERROR(__xludf.DUMMYFUNCTION("""COMPUTED_VALUE"""),"640")</f>
        <v>640</v>
      </c>
      <c r="P461" s="3" t="str">
        <f ca="1">IFERROR(__xludf.DUMMYFUNCTION("""COMPUTED_VALUE"""),"335, 640")</f>
        <v>335, 640</v>
      </c>
      <c r="Q461" s="3" t="str">
        <f ca="1">IFERROR(__xludf.DUMMYFUNCTION("""COMPUTED_VALUE"""),"640x640 a 640x335 + text + logo")</f>
        <v>640x640 a 640x335 + text + logo</v>
      </c>
      <c r="R461" s="3"/>
      <c r="S461" s="3" t="str">
        <f ca="1">IFERROR(__xludf.DUMMYFUNCTION("""COMPUTED_VALUE"""),"45")</f>
        <v>45</v>
      </c>
      <c r="T461" s="3"/>
      <c r="U461" s="3" t="str">
        <f ca="1">IFERROR(__xludf.DUMMYFUNCTION("""COMPUTED_VALUE"""),"nativní reklama")</f>
        <v>nativní reklama</v>
      </c>
      <c r="V461" s="3"/>
      <c r="W461" s="4" t="str">
        <f ca="1">IFERROR(__xludf.DUMMYFUNCTION("""COMPUTED_VALUE"""),"https://reklama.cncenter.cz/Online/nativni-rectangle-cross-device")</f>
        <v>https://reklama.cncenter.cz/Online/nativni-rectangle-cross-device</v>
      </c>
      <c r="X461" s="3"/>
      <c r="Y461" s="3"/>
      <c r="Z461" s="3" t="str">
        <f ca="1">IFERROR(__xludf.DUMMYFUNCTION("""COMPUTED_VALUE"""),"podklady@cncenter.cz")</f>
        <v>podklady@cncenter.cz</v>
      </c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 t="str">
        <f ca="1">IFERROR(__xludf.DUMMYFUNCTION("""COMPUTED_VALUE"""),"cross-device")</f>
        <v>cross-device</v>
      </c>
      <c r="AO461" s="3"/>
      <c r="AP461" s="3"/>
      <c r="AQ461" s="3"/>
      <c r="AR461" s="3"/>
      <c r="AS461" s="3"/>
      <c r="AT461" s="3"/>
      <c r="AU461" s="3" t="str">
        <f ca="1">IFERROR(__xludf.DUMMYFUNCTION("""COMPUTED_VALUE"""),"cílený nativní rectangle cross-device")</f>
        <v>cílený nativní rectangle cross-device</v>
      </c>
    </row>
    <row r="462" spans="1:47" x14ac:dyDescent="0.3">
      <c r="A462" s="3">
        <f ca="1"/>
        <v>2346826</v>
      </c>
      <c r="B462" s="3" t="str">
        <f ca="1"/>
        <v>CZECH NEWS CENTER a. s.</v>
      </c>
      <c r="C462" s="3" t="str">
        <f ca="1">IFERROR(__xludf.DUMMYFUNCTION("""COMPUTED_VALUE"""),"Dáma")</f>
        <v>Dáma</v>
      </c>
      <c r="D462" s="4" t="str">
        <f ca="1">IFERROR(__xludf.DUMMYFUNCTION("""COMPUTED_VALUE"""),"https://dama.cz")</f>
        <v>https://dama.cz</v>
      </c>
      <c r="E462" s="3" t="str">
        <f ca="1">IFERROR(__xludf.DUMMYFUNCTION("""COMPUTED_VALUE"""),"celý web")</f>
        <v>celý web</v>
      </c>
      <c r="F462" s="4" t="str">
        <f ca="1">IFERROR(__xludf.DUMMYFUNCTION("""COMPUTED_VALUE"""),"https://dama.cz")</f>
        <v>https://dama.cz</v>
      </c>
      <c r="G462" s="3" t="str">
        <f ca="1">IFERROR(__xludf.DUMMYFUNCTION("""COMPUTED_VALUE"""),"cílený outstream low season")</f>
        <v>cílený outstream low season</v>
      </c>
      <c r="H462" s="3">
        <f ca="1">IFERROR(__xludf.DUMMYFUNCTION("""COMPUTED_VALUE"""),7)</f>
        <v>7</v>
      </c>
      <c r="I462" s="5">
        <f ca="1">IFERROR(__xludf.DUMMYFUNCTION("""COMPUTED_VALUE"""),1000)</f>
        <v>1000</v>
      </c>
      <c r="J462" s="5">
        <f ca="1">IFERROR(__xludf.DUMMYFUNCTION("""COMPUTED_VALUE"""),300)</f>
        <v>300</v>
      </c>
      <c r="K462" s="3"/>
      <c r="L462" s="3" t="str">
        <f ca="1">IFERROR(__xludf.DUMMYFUNCTION("""COMPUTED_VALUE"""),"Cost per period")</f>
        <v>Cost per period</v>
      </c>
      <c r="M462" s="3"/>
      <c r="N462" s="3"/>
      <c r="O462" s="3" t="str">
        <f ca="1">IFERROR(__xludf.DUMMYFUNCTION("""COMPUTED_VALUE"""),"1280")</f>
        <v>1280</v>
      </c>
      <c r="P462" s="3" t="str">
        <f ca="1">IFERROR(__xludf.DUMMYFUNCTION("""COMPUTED_VALUE"""),"720")</f>
        <v>720</v>
      </c>
      <c r="Q462" s="3" t="str">
        <f ca="1">IFERROR(__xludf.DUMMYFUNCTION("""COMPUTED_VALUE"""),"16:9")</f>
        <v>16:9</v>
      </c>
      <c r="R462" s="3"/>
      <c r="S462" s="3" t="str">
        <f ca="1">IFERROR(__xludf.DUMMYFUNCTION("""COMPUTED_VALUE"""),"100")</f>
        <v>100</v>
      </c>
      <c r="T462" s="3"/>
      <c r="U462" s="3" t="str">
        <f ca="1">IFERROR(__xludf.DUMMYFUNCTION("""COMPUTED_VALUE"""),"videospot")</f>
        <v>videospot</v>
      </c>
      <c r="V462" s="3"/>
      <c r="W462" s="4" t="str">
        <f ca="1">IFERROR(__xludf.DUMMYFUNCTION("""COMPUTED_VALUE"""),"https://reklama.cncenter.cz/Online/Outstream")</f>
        <v>https://reklama.cncenter.cz/Online/Outstream</v>
      </c>
      <c r="X462" s="3"/>
      <c r="Y462" s="3"/>
      <c r="Z462" s="3" t="str">
        <f ca="1">IFERROR(__xludf.DUMMYFUNCTION("""COMPUTED_VALUE"""),"podklady@cncenter.cz")</f>
        <v>podklady@cncenter.cz</v>
      </c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 t="str">
        <f ca="1">IFERROR(__xludf.DUMMYFUNCTION("""COMPUTED_VALUE"""),"cross-device")</f>
        <v>cross-device</v>
      </c>
      <c r="AO462" s="3"/>
      <c r="AP462" s="3"/>
      <c r="AQ462" s="3"/>
      <c r="AR462" s="3"/>
      <c r="AS462" s="3"/>
      <c r="AT462" s="3"/>
      <c r="AU462" s="3" t="str">
        <f ca="1">IFERROR(__xludf.DUMMYFUNCTION("""COMPUTED_VALUE"""),"cílený outstream")</f>
        <v>cílený outstream</v>
      </c>
    </row>
    <row r="463" spans="1:47" x14ac:dyDescent="0.3">
      <c r="A463" s="3">
        <f ca="1"/>
        <v>2346826</v>
      </c>
      <c r="B463" s="3" t="str">
        <f ca="1"/>
        <v>CZECH NEWS CENTER a. s.</v>
      </c>
      <c r="C463" s="3" t="str">
        <f ca="1">IFERROR(__xludf.DUMMYFUNCTION("""COMPUTED_VALUE"""),"Dáma")</f>
        <v>Dáma</v>
      </c>
      <c r="D463" s="4" t="str">
        <f ca="1">IFERROR(__xludf.DUMMYFUNCTION("""COMPUTED_VALUE"""),"https://dama.cz")</f>
        <v>https://dama.cz</v>
      </c>
      <c r="E463" s="3" t="str">
        <f ca="1">IFERROR(__xludf.DUMMYFUNCTION("""COMPUTED_VALUE"""),"celý web")</f>
        <v>celý web</v>
      </c>
      <c r="F463" s="4" t="str">
        <f ca="1">IFERROR(__xludf.DUMMYFUNCTION("""COMPUTED_VALUE"""),"https://dama.cz")</f>
        <v>https://dama.cz</v>
      </c>
      <c r="G463" s="3" t="str">
        <f ca="1">IFERROR(__xludf.DUMMYFUNCTION("""COMPUTED_VALUE"""),"cílený videospot - max. 30 sec. / bumper low season")</f>
        <v>cílený videospot - max. 30 sec. / bumper low season</v>
      </c>
      <c r="H463" s="3">
        <f ca="1">IFERROR(__xludf.DUMMYFUNCTION("""COMPUTED_VALUE"""),7)</f>
        <v>7</v>
      </c>
      <c r="I463" s="5">
        <f ca="1">IFERROR(__xludf.DUMMYFUNCTION("""COMPUTED_VALUE"""),1000)</f>
        <v>1000</v>
      </c>
      <c r="J463" s="5">
        <f ca="1">IFERROR(__xludf.DUMMYFUNCTION("""COMPUTED_VALUE"""),888)</f>
        <v>888</v>
      </c>
      <c r="K463" s="3"/>
      <c r="L463" s="3" t="str">
        <f ca="1">IFERROR(__xludf.DUMMYFUNCTION("""COMPUTED_VALUE"""),"Cost per period")</f>
        <v>Cost per period</v>
      </c>
      <c r="M463" s="3"/>
      <c r="N463" s="3"/>
      <c r="O463" s="3" t="str">
        <f ca="1">IFERROR(__xludf.DUMMYFUNCTION("""COMPUTED_VALUE"""),"1280")</f>
        <v>1280</v>
      </c>
      <c r="P463" s="3" t="str">
        <f ca="1">IFERROR(__xludf.DUMMYFUNCTION("""COMPUTED_VALUE"""),"720")</f>
        <v>720</v>
      </c>
      <c r="Q463" s="3" t="str">
        <f ca="1">IFERROR(__xludf.DUMMYFUNCTION("""COMPUTED_VALUE"""),"16:9 / umístění po domluvě dle možností")</f>
        <v>16:9 / umístění po domluvě dle možností</v>
      </c>
      <c r="R463" s="3" t="str">
        <f ca="1">IFERROR(__xludf.DUMMYFUNCTION("""COMPUTED_VALUE"""),"přeskočení po 7 sekundách")</f>
        <v>přeskočení po 7 sekundách</v>
      </c>
      <c r="S463" s="3" t="str">
        <f ca="1">IFERROR(__xludf.DUMMYFUNCTION("""COMPUTED_VALUE"""),"100")</f>
        <v>100</v>
      </c>
      <c r="T463" s="3"/>
      <c r="U463" s="3" t="str">
        <f ca="1">IFERROR(__xludf.DUMMYFUNCTION("""COMPUTED_VALUE"""),"videospot")</f>
        <v>videospot</v>
      </c>
      <c r="V463" s="3"/>
      <c r="W463" s="4" t="str">
        <f ca="1">IFERROR(__xludf.DUMMYFUNCTION("""COMPUTED_VALUE"""),"https://reklama.cncenter.cz/Online/Bumper")</f>
        <v>https://reklama.cncenter.cz/Online/Bumper</v>
      </c>
      <c r="X463" s="3"/>
      <c r="Y463" s="3"/>
      <c r="Z463" s="3" t="str">
        <f ca="1">IFERROR(__xludf.DUMMYFUNCTION("""COMPUTED_VALUE"""),"podklady@cncenter.cz")</f>
        <v>podklady@cncenter.cz</v>
      </c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 t="str">
        <f ca="1">IFERROR(__xludf.DUMMYFUNCTION("""COMPUTED_VALUE"""),"cross-device")</f>
        <v>cross-device</v>
      </c>
      <c r="AO463" s="3"/>
      <c r="AP463" s="3"/>
      <c r="AQ463" s="3"/>
      <c r="AR463" s="3"/>
      <c r="AS463" s="3"/>
      <c r="AT463" s="3"/>
      <c r="AU463" s="3" t="str">
        <f ca="1">IFERROR(__xludf.DUMMYFUNCTION("""COMPUTED_VALUE"""),"cílený videospot - max. 30 sec. / bumper")</f>
        <v>cílený videospot - max. 30 sec. / bumper</v>
      </c>
    </row>
    <row r="464" spans="1:47" x14ac:dyDescent="0.3">
      <c r="A464" s="3">
        <f ca="1"/>
        <v>2346826</v>
      </c>
      <c r="B464" s="3" t="str">
        <f ca="1"/>
        <v>CZECH NEWS CENTER a. s.</v>
      </c>
      <c r="C464" s="3" t="str">
        <f ca="1">IFERROR(__xludf.DUMMYFUNCTION("""COMPUTED_VALUE"""),"Dáma")</f>
        <v>Dáma</v>
      </c>
      <c r="D464" s="4" t="str">
        <f ca="1">IFERROR(__xludf.DUMMYFUNCTION("""COMPUTED_VALUE"""),"https://dama.cz")</f>
        <v>https://dama.cz</v>
      </c>
      <c r="E464" s="3" t="str">
        <f ca="1">IFERROR(__xludf.DUMMYFUNCTION("""COMPUTED_VALUE"""),"celý web")</f>
        <v>celý web</v>
      </c>
      <c r="F464" s="4" t="str">
        <f ca="1">IFERROR(__xludf.DUMMYFUNCTION("""COMPUTED_VALUE"""),"https://dama.cz")</f>
        <v>https://dama.cz</v>
      </c>
      <c r="G464" s="3" t="str">
        <f ca="1">IFERROR(__xludf.DUMMYFUNCTION("""COMPUTED_VALUE"""),"dokoupení proma o 2 týdny - 10 000 PV *** low season")</f>
        <v>dokoupení proma o 2 týdny - 10 000 PV *** low season</v>
      </c>
      <c r="H464" s="3">
        <f ca="1">IFERROR(__xludf.DUMMYFUNCTION("""COMPUTED_VALUE"""),1)</f>
        <v>1</v>
      </c>
      <c r="I464" s="5">
        <f ca="1">IFERROR(__xludf.DUMMYFUNCTION("""COMPUTED_VALUE"""),1)</f>
        <v>1</v>
      </c>
      <c r="J464" s="5">
        <f ca="1">IFERROR(__xludf.DUMMYFUNCTION("""COMPUTED_VALUE"""),60000)</f>
        <v>60000</v>
      </c>
      <c r="K464" s="3"/>
      <c r="L464" s="3" t="str">
        <f ca="1">IFERROR(__xludf.DUMMYFUNCTION("""COMPUTED_VALUE"""),"Cost per instance")</f>
        <v>Cost per instance</v>
      </c>
      <c r="M464" s="3"/>
      <c r="N464" s="3"/>
      <c r="O464" s="3"/>
      <c r="P464" s="3"/>
      <c r="Q464" s="3"/>
      <c r="R464" s="3"/>
      <c r="S464" s="3" t="str">
        <f ca="1">IFERROR(__xludf.DUMMYFUNCTION("""COMPUTED_VALUE"""),"100")</f>
        <v>100</v>
      </c>
      <c r="T464" s="3"/>
      <c r="U464" s="3" t="str">
        <f ca="1">IFERROR(__xludf.DUMMYFUNCTION("""COMPUTED_VALUE"""),"microsite")</f>
        <v>microsite</v>
      </c>
      <c r="V464" s="3"/>
      <c r="W464" s="3"/>
      <c r="X464" s="3"/>
      <c r="Y464" s="3"/>
      <c r="Z464" s="3" t="str">
        <f ca="1">IFERROR(__xludf.DUMMYFUNCTION("""COMPUTED_VALUE"""),"podklady@cncenter.cz")</f>
        <v>podklady@cncenter.cz</v>
      </c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 t="str">
        <f ca="1">IFERROR(__xludf.DUMMYFUNCTION("""COMPUTED_VALUE"""),"cross-device")</f>
        <v>cross-device</v>
      </c>
      <c r="AO464" s="3"/>
      <c r="AP464" s="3"/>
      <c r="AQ464" s="3"/>
      <c r="AR464" s="3"/>
      <c r="AS464" s="3"/>
      <c r="AT464" s="3"/>
      <c r="AU464" s="3" t="str">
        <f ca="1">IFERROR(__xludf.DUMMYFUNCTION("""COMPUTED_VALUE"""),"dokoupení proma o 2 týdny - 10 000 PV ***")</f>
        <v>dokoupení proma o 2 týdny - 10 000 PV ***</v>
      </c>
    </row>
    <row r="465" spans="1:47" x14ac:dyDescent="0.3">
      <c r="A465" s="3">
        <f ca="1"/>
        <v>2346826</v>
      </c>
      <c r="B465" s="3" t="str">
        <f ca="1"/>
        <v>CZECH NEWS CENTER a. s.</v>
      </c>
      <c r="C465" s="3" t="str">
        <f ca="1">IFERROR(__xludf.DUMMYFUNCTION("""COMPUTED_VALUE"""),"Dáma")</f>
        <v>Dáma</v>
      </c>
      <c r="D465" s="4" t="str">
        <f ca="1">IFERROR(__xludf.DUMMYFUNCTION("""COMPUTED_VALUE"""),"https://dama.cz")</f>
        <v>https://dama.cz</v>
      </c>
      <c r="E465" s="3" t="str">
        <f ca="1">IFERROR(__xludf.DUMMYFUNCTION("""COMPUTED_VALUE"""),"celý web")</f>
        <v>celý web</v>
      </c>
      <c r="F465" s="4" t="str">
        <f ca="1">IFERROR(__xludf.DUMMYFUNCTION("""COMPUTED_VALUE"""),"https://dama.cz")</f>
        <v>https://dama.cz</v>
      </c>
      <c r="G465" s="3" t="str">
        <f ca="1">IFERROR(__xludf.DUMMYFUNCTION("""COMPUTED_VALUE"""),"double skyscraper low season")</f>
        <v>double skyscraper low season</v>
      </c>
      <c r="H465" s="3">
        <f ca="1">IFERROR(__xludf.DUMMYFUNCTION("""COMPUTED_VALUE"""),7)</f>
        <v>7</v>
      </c>
      <c r="I465" s="5">
        <f ca="1">IFERROR(__xludf.DUMMYFUNCTION("""COMPUTED_VALUE"""),1000)</f>
        <v>1000</v>
      </c>
      <c r="J465" s="5">
        <f ca="1">IFERROR(__xludf.DUMMYFUNCTION("""COMPUTED_VALUE"""),190)</f>
        <v>190</v>
      </c>
      <c r="K465" s="3"/>
      <c r="L465" s="3" t="str">
        <f ca="1">IFERROR(__xludf.DUMMYFUNCTION("""COMPUTED_VALUE"""),"Cost per period")</f>
        <v>Cost per period</v>
      </c>
      <c r="M465" s="3"/>
      <c r="N465" s="3"/>
      <c r="O465" s="3" t="str">
        <f ca="1">IFERROR(__xludf.DUMMYFUNCTION("""COMPUTED_VALUE"""),"300")</f>
        <v>300</v>
      </c>
      <c r="P465" s="3" t="str">
        <f ca="1">IFERROR(__xludf.DUMMYFUNCTION("""COMPUTED_VALUE"""),"600")</f>
        <v>600</v>
      </c>
      <c r="Q465" s="3" t="str">
        <f ca="1">IFERROR(__xludf.DUMMYFUNCTION("""COMPUTED_VALUE"""),"300x600")</f>
        <v>300x600</v>
      </c>
      <c r="R465" s="3"/>
      <c r="S465" s="3" t="str">
        <f ca="1">IFERROR(__xludf.DUMMYFUNCTION("""COMPUTED_VALUE"""),"100 (200 - HTML5)")</f>
        <v>100 (200 - HTML5)</v>
      </c>
      <c r="T465" s="3"/>
      <c r="U465" s="3" t="str">
        <f ca="1">IFERROR(__xludf.DUMMYFUNCTION("""COMPUTED_VALUE"""),"banner standard")</f>
        <v>banner standard</v>
      </c>
      <c r="V465" s="3"/>
      <c r="W465" s="4" t="str">
        <f ca="1">IFERROR(__xludf.DUMMYFUNCTION("""COMPUTED_VALUE"""),"https://reklama.cncenter.cz/Online/double-skyscraper")</f>
        <v>https://reklama.cncenter.cz/Online/double-skyscraper</v>
      </c>
      <c r="X465" s="3"/>
      <c r="Y465" s="3"/>
      <c r="Z465" s="3" t="str">
        <f ca="1">IFERROR(__xludf.DUMMYFUNCTION("""COMPUTED_VALUE"""),"podklady@cncenter.cz")</f>
        <v>podklady@cncenter.cz</v>
      </c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 t="str">
        <f ca="1">IFERROR(__xludf.DUMMYFUNCTION("""COMPUTED_VALUE"""),"desktop")</f>
        <v>desktop</v>
      </c>
      <c r="AO465" s="3"/>
      <c r="AP465" s="3"/>
      <c r="AQ465" s="3"/>
      <c r="AR465" s="3"/>
      <c r="AS465" s="3"/>
      <c r="AT465" s="3"/>
      <c r="AU465" s="3" t="str">
        <f ca="1">IFERROR(__xludf.DUMMYFUNCTION("""COMPUTED_VALUE"""),"double skyscraper")</f>
        <v>double skyscraper</v>
      </c>
    </row>
    <row r="466" spans="1:47" x14ac:dyDescent="0.3">
      <c r="A466" s="3">
        <f ca="1"/>
        <v>2346826</v>
      </c>
      <c r="B466" s="3" t="str">
        <f ca="1"/>
        <v>CZECH NEWS CENTER a. s.</v>
      </c>
      <c r="C466" s="3" t="str">
        <f ca="1">IFERROR(__xludf.DUMMYFUNCTION("""COMPUTED_VALUE"""),"Dáma")</f>
        <v>Dáma</v>
      </c>
      <c r="D466" s="4" t="str">
        <f ca="1">IFERROR(__xludf.DUMMYFUNCTION("""COMPUTED_VALUE"""),"https://dama.cz")</f>
        <v>https://dama.cz</v>
      </c>
      <c r="E466" s="3" t="str">
        <f ca="1">IFERROR(__xludf.DUMMYFUNCTION("""COMPUTED_VALUE"""),"celý web")</f>
        <v>celý web</v>
      </c>
      <c r="F466" s="4" t="str">
        <f ca="1">IFERROR(__xludf.DUMMYFUNCTION("""COMPUTED_VALUE"""),"https://dama.cz")</f>
        <v>https://dama.cz</v>
      </c>
      <c r="G466" s="3" t="str">
        <f ca="1">IFERROR(__xludf.DUMMYFUNCTION("""COMPUTED_VALUE"""),"mini videospot - max. 30 sec. low season")</f>
        <v>mini videospot - max. 30 sec. low season</v>
      </c>
      <c r="H466" s="3">
        <f ca="1">IFERROR(__xludf.DUMMYFUNCTION("""COMPUTED_VALUE"""),7)</f>
        <v>7</v>
      </c>
      <c r="I466" s="5">
        <f ca="1">IFERROR(__xludf.DUMMYFUNCTION("""COMPUTED_VALUE"""),1000)</f>
        <v>1000</v>
      </c>
      <c r="J466" s="5">
        <f ca="1">IFERROR(__xludf.DUMMYFUNCTION("""COMPUTED_VALUE"""),140)</f>
        <v>140</v>
      </c>
      <c r="K466" s="3"/>
      <c r="L466" s="3" t="str">
        <f ca="1">IFERROR(__xludf.DUMMYFUNCTION("""COMPUTED_VALUE"""),"Cost per period")</f>
        <v>Cost per period</v>
      </c>
      <c r="M466" s="3"/>
      <c r="N466" s="3"/>
      <c r="O466" s="3"/>
      <c r="P466" s="3"/>
      <c r="Q466" s="3" t="str">
        <f ca="1">IFERROR(__xludf.DUMMYFUNCTION("""COMPUTED_VALUE"""),"16:9 / umístění po domluvě dle možností")</f>
        <v>16:9 / umístění po domluvě dle možností</v>
      </c>
      <c r="R466" s="3" t="str">
        <f ca="1">IFERROR(__xludf.DUMMYFUNCTION("""COMPUTED_VALUE"""),"přeskočení po 7 sekundách")</f>
        <v>přeskočení po 7 sekundách</v>
      </c>
      <c r="S466" s="3" t="str">
        <f ca="1">IFERROR(__xludf.DUMMYFUNCTION("""COMPUTED_VALUE"""),"100")</f>
        <v>100</v>
      </c>
      <c r="T466" s="3"/>
      <c r="U466" s="3" t="str">
        <f ca="1">IFERROR(__xludf.DUMMYFUNCTION("""COMPUTED_VALUE"""),"videospot")</f>
        <v>videospot</v>
      </c>
      <c r="V466" s="3"/>
      <c r="W466" s="4" t="str">
        <f ca="1">IFERROR(__xludf.DUMMYFUNCTION("""COMPUTED_VALUE"""),"https://reklama.cncenter.cz/Online/Videospot")</f>
        <v>https://reklama.cncenter.cz/Online/Videospot</v>
      </c>
      <c r="X466" s="3"/>
      <c r="Y466" s="3"/>
      <c r="Z466" s="3" t="str">
        <f ca="1">IFERROR(__xludf.DUMMYFUNCTION("""COMPUTED_VALUE"""),"podklady@cncenter.cz")</f>
        <v>podklady@cncenter.cz</v>
      </c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 t="str">
        <f ca="1">IFERROR(__xludf.DUMMYFUNCTION("""COMPUTED_VALUE"""),"desktop")</f>
        <v>desktop</v>
      </c>
      <c r="AO466" s="3"/>
      <c r="AP466" s="3"/>
      <c r="AQ466" s="3"/>
      <c r="AR466" s="3"/>
      <c r="AS466" s="3"/>
      <c r="AT466" s="3"/>
      <c r="AU466" s="3" t="str">
        <f ca="1">IFERROR(__xludf.DUMMYFUNCTION("""COMPUTED_VALUE"""),"mini videospot - max. 30 sec.")</f>
        <v>mini videospot - max. 30 sec.</v>
      </c>
    </row>
    <row r="467" spans="1:47" x14ac:dyDescent="0.3">
      <c r="A467" s="3">
        <f ca="1"/>
        <v>2346826</v>
      </c>
      <c r="B467" s="3" t="str">
        <f ca="1"/>
        <v>CZECH NEWS CENTER a. s.</v>
      </c>
      <c r="C467" s="3" t="str">
        <f ca="1">IFERROR(__xludf.DUMMYFUNCTION("""COMPUTED_VALUE"""),"Dáma")</f>
        <v>Dáma</v>
      </c>
      <c r="D467" s="4" t="str">
        <f ca="1">IFERROR(__xludf.DUMMYFUNCTION("""COMPUTED_VALUE"""),"https://dama.cz")</f>
        <v>https://dama.cz</v>
      </c>
      <c r="E467" s="3" t="str">
        <f ca="1">IFERROR(__xludf.DUMMYFUNCTION("""COMPUTED_VALUE"""),"celý web")</f>
        <v>celý web</v>
      </c>
      <c r="F467" s="4" t="str">
        <f ca="1">IFERROR(__xludf.DUMMYFUNCTION("""COMPUTED_VALUE"""),"https://dama.cz")</f>
        <v>https://dama.cz</v>
      </c>
      <c r="G467" s="3" t="str">
        <f ca="1">IFERROR(__xludf.DUMMYFUNCTION("""COMPUTED_VALUE"""),"mobilní interscroller low season")</f>
        <v>mobilní interscroller low season</v>
      </c>
      <c r="H467" s="3">
        <f ca="1">IFERROR(__xludf.DUMMYFUNCTION("""COMPUTED_VALUE"""),7)</f>
        <v>7</v>
      </c>
      <c r="I467" s="5">
        <f ca="1">IFERROR(__xludf.DUMMYFUNCTION("""COMPUTED_VALUE"""),1000)</f>
        <v>1000</v>
      </c>
      <c r="J467" s="5">
        <f ca="1">IFERROR(__xludf.DUMMYFUNCTION("""COMPUTED_VALUE"""),250)</f>
        <v>250</v>
      </c>
      <c r="K467" s="3"/>
      <c r="L467" s="3" t="str">
        <f ca="1">IFERROR(__xludf.DUMMYFUNCTION("""COMPUTED_VALUE"""),"Cost per period")</f>
        <v>Cost per period</v>
      </c>
      <c r="M467" s="3"/>
      <c r="N467" s="3"/>
      <c r="O467" s="3" t="str">
        <f ca="1">IFERROR(__xludf.DUMMYFUNCTION("""COMPUTED_VALUE"""),"600")</f>
        <v>600</v>
      </c>
      <c r="P467" s="3" t="str">
        <f ca="1">IFERROR(__xludf.DUMMYFUNCTION("""COMPUTED_VALUE"""),"1080")</f>
        <v>1080</v>
      </c>
      <c r="Q467" s="3" t="str">
        <f ca="1">IFERROR(__xludf.DUMMYFUNCTION("""COMPUTED_VALUE"""),"600x1080")</f>
        <v>600x1080</v>
      </c>
      <c r="R467" s="3"/>
      <c r="S467" s="3" t="str">
        <f ca="1">IFERROR(__xludf.DUMMYFUNCTION("""COMPUTED_VALUE"""),"200")</f>
        <v>200</v>
      </c>
      <c r="T467" s="3"/>
      <c r="U467" s="3" t="str">
        <f ca="1">IFERROR(__xludf.DUMMYFUNCTION("""COMPUTED_VALUE"""),"banner standard")</f>
        <v>banner standard</v>
      </c>
      <c r="V467" s="3"/>
      <c r="W467" s="4" t="str">
        <f ca="1">IFERROR(__xludf.DUMMYFUNCTION("""COMPUTED_VALUE"""),"https://reklama.cncenter.cz/Online/mobilni-interscroller")</f>
        <v>https://reklama.cncenter.cz/Online/mobilni-interscroller</v>
      </c>
      <c r="X467" s="3"/>
      <c r="Y467" s="3"/>
      <c r="Z467" s="3" t="str">
        <f ca="1">IFERROR(__xludf.DUMMYFUNCTION("""COMPUTED_VALUE"""),"podklady@cncenter.cz")</f>
        <v>podklady@cncenter.cz</v>
      </c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 t="str">
        <f ca="1">IFERROR(__xludf.DUMMYFUNCTION("""COMPUTED_VALUE"""),"mobile")</f>
        <v>mobile</v>
      </c>
      <c r="AO467" s="3"/>
      <c r="AP467" s="3"/>
      <c r="AQ467" s="3"/>
      <c r="AR467" s="3"/>
      <c r="AS467" s="3"/>
      <c r="AT467" s="3"/>
      <c r="AU467" s="3" t="str">
        <f ca="1">IFERROR(__xludf.DUMMYFUNCTION("""COMPUTED_VALUE"""),"mobilní interscroller")</f>
        <v>mobilní interscroller</v>
      </c>
    </row>
    <row r="468" spans="1:47" x14ac:dyDescent="0.3">
      <c r="A468" s="3">
        <f ca="1"/>
        <v>2346826</v>
      </c>
      <c r="B468" s="3" t="str">
        <f ca="1"/>
        <v>CZECH NEWS CENTER a. s.</v>
      </c>
      <c r="C468" s="3" t="str">
        <f ca="1">IFERROR(__xludf.DUMMYFUNCTION("""COMPUTED_VALUE"""),"Dáma")</f>
        <v>Dáma</v>
      </c>
      <c r="D468" s="4" t="str">
        <f ca="1">IFERROR(__xludf.DUMMYFUNCTION("""COMPUTED_VALUE"""),"https://dama.cz")</f>
        <v>https://dama.cz</v>
      </c>
      <c r="E468" s="3" t="str">
        <f ca="1">IFERROR(__xludf.DUMMYFUNCTION("""COMPUTED_VALUE"""),"celý web")</f>
        <v>celý web</v>
      </c>
      <c r="F468" s="4" t="str">
        <f ca="1">IFERROR(__xludf.DUMMYFUNCTION("""COMPUTED_VALUE"""),"https://dama.cz")</f>
        <v>https://dama.cz</v>
      </c>
      <c r="G468" s="3" t="str">
        <f ca="1">IFERROR(__xludf.DUMMYFUNCTION("""COMPUTED_VALUE"""),"mobilní slide-up low season")</f>
        <v>mobilní slide-up low season</v>
      </c>
      <c r="H468" s="3">
        <f ca="1">IFERROR(__xludf.DUMMYFUNCTION("""COMPUTED_VALUE"""),7)</f>
        <v>7</v>
      </c>
      <c r="I468" s="5">
        <f ca="1">IFERROR(__xludf.DUMMYFUNCTION("""COMPUTED_VALUE"""),1000)</f>
        <v>1000</v>
      </c>
      <c r="J468" s="5">
        <f ca="1">IFERROR(__xludf.DUMMYFUNCTION("""COMPUTED_VALUE"""),510)</f>
        <v>510</v>
      </c>
      <c r="K468" s="3"/>
      <c r="L468" s="3" t="str">
        <f ca="1">IFERROR(__xludf.DUMMYFUNCTION("""COMPUTED_VALUE"""),"Cost per period")</f>
        <v>Cost per period</v>
      </c>
      <c r="M468" s="3"/>
      <c r="N468" s="3"/>
      <c r="O468" s="3" t="str">
        <f ca="1">IFERROR(__xludf.DUMMYFUNCTION("""COMPUTED_VALUE"""),"300")</f>
        <v>300</v>
      </c>
      <c r="P468" s="3" t="str">
        <f ca="1">IFERROR(__xludf.DUMMYFUNCTION("""COMPUTED_VALUE"""),"120")</f>
        <v>120</v>
      </c>
      <c r="Q468" s="3" t="str">
        <f ca="1">IFERROR(__xludf.DUMMYFUNCTION("""COMPUTED_VALUE"""),"300x120")</f>
        <v>300x120</v>
      </c>
      <c r="R468" s="3"/>
      <c r="S468" s="3" t="str">
        <f ca="1">IFERROR(__xludf.DUMMYFUNCTION("""COMPUTED_VALUE"""),"100")</f>
        <v>100</v>
      </c>
      <c r="T468" s="3"/>
      <c r="U468" s="3" t="str">
        <f ca="1">IFERROR(__xludf.DUMMYFUNCTION("""COMPUTED_VALUE"""),"banner standard")</f>
        <v>banner standard</v>
      </c>
      <c r="V468" s="3"/>
      <c r="W468" s="4" t="str">
        <f ca="1">IFERROR(__xludf.DUMMYFUNCTION("""COMPUTED_VALUE"""),"https://reklama.cncenter.cz/Online/mobilni-slide-up")</f>
        <v>https://reklama.cncenter.cz/Online/mobilni-slide-up</v>
      </c>
      <c r="X468" s="3"/>
      <c r="Y468" s="3"/>
      <c r="Z468" s="3" t="str">
        <f ca="1">IFERROR(__xludf.DUMMYFUNCTION("""COMPUTED_VALUE"""),"podklady@cncenter.cz")</f>
        <v>podklady@cncenter.cz</v>
      </c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 t="str">
        <f ca="1">IFERROR(__xludf.DUMMYFUNCTION("""COMPUTED_VALUE"""),"mobile")</f>
        <v>mobile</v>
      </c>
      <c r="AO468" s="3"/>
      <c r="AP468" s="3"/>
      <c r="AQ468" s="3"/>
      <c r="AR468" s="3"/>
      <c r="AS468" s="3"/>
      <c r="AT468" s="3"/>
      <c r="AU468" s="3" t="str">
        <f ca="1">IFERROR(__xludf.DUMMYFUNCTION("""COMPUTED_VALUE"""),"mobilní slide-up")</f>
        <v>mobilní slide-up</v>
      </c>
    </row>
    <row r="469" spans="1:47" x14ac:dyDescent="0.3">
      <c r="A469" s="3">
        <f ca="1"/>
        <v>2346826</v>
      </c>
      <c r="B469" s="3" t="str">
        <f ca="1"/>
        <v>CZECH NEWS CENTER a. s.</v>
      </c>
      <c r="C469" s="3" t="str">
        <f ca="1">IFERROR(__xludf.DUMMYFUNCTION("""COMPUTED_VALUE"""),"Dáma")</f>
        <v>Dáma</v>
      </c>
      <c r="D469" s="4" t="str">
        <f ca="1">IFERROR(__xludf.DUMMYFUNCTION("""COMPUTED_VALUE"""),"https://dama.cz")</f>
        <v>https://dama.cz</v>
      </c>
      <c r="E469" s="3" t="str">
        <f ca="1">IFERROR(__xludf.DUMMYFUNCTION("""COMPUTED_VALUE"""),"celý web")</f>
        <v>celý web</v>
      </c>
      <c r="F469" s="4" t="str">
        <f ca="1">IFERROR(__xludf.DUMMYFUNCTION("""COMPUTED_VALUE"""),"https://dama.cz")</f>
        <v>https://dama.cz</v>
      </c>
      <c r="G469" s="3" t="str">
        <f ca="1">IFERROR(__xludf.DUMMYFUNCTION("""COMPUTED_VALUE"""),"mobilní viněta low season")</f>
        <v>mobilní viněta low season</v>
      </c>
      <c r="H469" s="3">
        <f ca="1">IFERROR(__xludf.DUMMYFUNCTION("""COMPUTED_VALUE"""),7)</f>
        <v>7</v>
      </c>
      <c r="I469" s="5">
        <f ca="1">IFERROR(__xludf.DUMMYFUNCTION("""COMPUTED_VALUE"""),1000)</f>
        <v>1000</v>
      </c>
      <c r="J469" s="5">
        <f ca="1">IFERROR(__xludf.DUMMYFUNCTION("""COMPUTED_VALUE"""),880)</f>
        <v>880</v>
      </c>
      <c r="K469" s="3"/>
      <c r="L469" s="3" t="str">
        <f ca="1">IFERROR(__xludf.DUMMYFUNCTION("""COMPUTED_VALUE"""),"Cost per period")</f>
        <v>Cost per period</v>
      </c>
      <c r="M469" s="3"/>
      <c r="N469" s="3"/>
      <c r="O469" s="3" t="str">
        <f ca="1">IFERROR(__xludf.DUMMYFUNCTION("""COMPUTED_VALUE"""),"600")</f>
        <v>600</v>
      </c>
      <c r="P469" s="3" t="str">
        <f ca="1">IFERROR(__xludf.DUMMYFUNCTION("""COMPUTED_VALUE"""),"800")</f>
        <v>800</v>
      </c>
      <c r="Q469" s="3" t="str">
        <f ca="1">IFERROR(__xludf.DUMMYFUNCTION("""COMPUTED_VALUE"""),"300x250 nebo 600x800")</f>
        <v>300x250 nebo 600x800</v>
      </c>
      <c r="R469" s="3"/>
      <c r="S469" s="3" t="str">
        <f ca="1">IFERROR(__xludf.DUMMYFUNCTION("""COMPUTED_VALUE"""),"100")</f>
        <v>100</v>
      </c>
      <c r="T469" s="3"/>
      <c r="U469" s="3" t="str">
        <f ca="1">IFERROR(__xludf.DUMMYFUNCTION("""COMPUTED_VALUE"""),"banner standard")</f>
        <v>banner standard</v>
      </c>
      <c r="V469" s="3"/>
      <c r="W469" s="4" t="str">
        <f ca="1">IFERROR(__xludf.DUMMYFUNCTION("""COMPUTED_VALUE"""),"https://reklama.cncenter.cz/Online/mobilni-vineta")</f>
        <v>https://reklama.cncenter.cz/Online/mobilni-vineta</v>
      </c>
      <c r="X469" s="3"/>
      <c r="Y469" s="3"/>
      <c r="Z469" s="3" t="str">
        <f ca="1">IFERROR(__xludf.DUMMYFUNCTION("""COMPUTED_VALUE"""),"podklady@cncenter.cz")</f>
        <v>podklady@cncenter.cz</v>
      </c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 t="str">
        <f ca="1">IFERROR(__xludf.DUMMYFUNCTION("""COMPUTED_VALUE"""),"mobile")</f>
        <v>mobile</v>
      </c>
      <c r="AO469" s="3"/>
      <c r="AP469" s="3"/>
      <c r="AQ469" s="3"/>
      <c r="AR469" s="3"/>
      <c r="AS469" s="3"/>
      <c r="AT469" s="3"/>
      <c r="AU469" s="3" t="str">
        <f ca="1">IFERROR(__xludf.DUMMYFUNCTION("""COMPUTED_VALUE"""),"mobilní viněta")</f>
        <v>mobilní viněta</v>
      </c>
    </row>
    <row r="470" spans="1:47" x14ac:dyDescent="0.3">
      <c r="A470" s="3">
        <f ca="1"/>
        <v>2346826</v>
      </c>
      <c r="B470" s="3" t="str">
        <f ca="1"/>
        <v>CZECH NEWS CENTER a. s.</v>
      </c>
      <c r="C470" s="3" t="str">
        <f ca="1">IFERROR(__xludf.DUMMYFUNCTION("""COMPUTED_VALUE"""),"Dáma")</f>
        <v>Dáma</v>
      </c>
      <c r="D470" s="4" t="str">
        <f ca="1">IFERROR(__xludf.DUMMYFUNCTION("""COMPUTED_VALUE"""),"https://dama.cz")</f>
        <v>https://dama.cz</v>
      </c>
      <c r="E470" s="3" t="str">
        <f ca="1">IFERROR(__xludf.DUMMYFUNCTION("""COMPUTED_VALUE"""),"celý web")</f>
        <v>celý web</v>
      </c>
      <c r="F470" s="4" t="str">
        <f ca="1">IFERROR(__xludf.DUMMYFUNCTION("""COMPUTED_VALUE"""),"https://dama.cz")</f>
        <v>https://dama.cz</v>
      </c>
      <c r="G470" s="3" t="str">
        <f ca="1">IFERROR(__xludf.DUMMYFUNCTION("""COMPUTED_VALUE"""),"Native Standard low season")</f>
        <v>Native Standard low season</v>
      </c>
      <c r="H470" s="3">
        <f ca="1">IFERROR(__xludf.DUMMYFUNCTION("""COMPUTED_VALUE"""),1)</f>
        <v>1</v>
      </c>
      <c r="I470" s="5">
        <f ca="1">IFERROR(__xludf.DUMMYFUNCTION("""COMPUTED_VALUE"""),1)</f>
        <v>1</v>
      </c>
      <c r="J470" s="5">
        <f ca="1">IFERROR(__xludf.DUMMYFUNCTION("""COMPUTED_VALUE"""),330000)</f>
        <v>330000</v>
      </c>
      <c r="K470" s="3"/>
      <c r="L470" s="3" t="str">
        <f ca="1">IFERROR(__xludf.DUMMYFUNCTION("""COMPUTED_VALUE"""),"Cost per instance")</f>
        <v>Cost per instance</v>
      </c>
      <c r="M470" s="3"/>
      <c r="N470" s="3"/>
      <c r="O470" s="3"/>
      <c r="P470" s="3"/>
      <c r="Q470" s="3"/>
      <c r="R470" s="3"/>
      <c r="S470" s="3" t="str">
        <f ca="1">IFERROR(__xludf.DUMMYFUNCTION("""COMPUTED_VALUE"""),"100")</f>
        <v>100</v>
      </c>
      <c r="T470" s="3"/>
      <c r="U470" s="3" t="str">
        <f ca="1">IFERROR(__xludf.DUMMYFUNCTION("""COMPUTED_VALUE"""),"microsite")</f>
        <v>microsite</v>
      </c>
      <c r="V470" s="3"/>
      <c r="W470" s="3"/>
      <c r="X470" s="3"/>
      <c r="Y470" s="3"/>
      <c r="Z470" s="3" t="str">
        <f ca="1">IFERROR(__xludf.DUMMYFUNCTION("""COMPUTED_VALUE"""),"podklady@cncenter.cz")</f>
        <v>podklady@cncenter.cz</v>
      </c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 t="str">
        <f ca="1">IFERROR(__xludf.DUMMYFUNCTION("""COMPUTED_VALUE"""),"cross-device")</f>
        <v>cross-device</v>
      </c>
      <c r="AO470" s="3"/>
      <c r="AP470" s="3"/>
      <c r="AQ470" s="3"/>
      <c r="AR470" s="3"/>
      <c r="AS470" s="3"/>
      <c r="AT470" s="3"/>
      <c r="AU470" s="3" t="str">
        <f ca="1">IFERROR(__xludf.DUMMYFUNCTION("""COMPUTED_VALUE"""),"Native Standard")</f>
        <v>Native Standard</v>
      </c>
    </row>
    <row r="471" spans="1:47" x14ac:dyDescent="0.3">
      <c r="A471" s="3">
        <f ca="1"/>
        <v>2346826</v>
      </c>
      <c r="B471" s="3" t="str">
        <f ca="1"/>
        <v>CZECH NEWS CENTER a. s.</v>
      </c>
      <c r="C471" s="3" t="str">
        <f ca="1">IFERROR(__xludf.DUMMYFUNCTION("""COMPUTED_VALUE"""),"Dáma")</f>
        <v>Dáma</v>
      </c>
      <c r="D471" s="4" t="str">
        <f ca="1">IFERROR(__xludf.DUMMYFUNCTION("""COMPUTED_VALUE"""),"https://dama.cz")</f>
        <v>https://dama.cz</v>
      </c>
      <c r="E471" s="3" t="str">
        <f ca="1">IFERROR(__xludf.DUMMYFUNCTION("""COMPUTED_VALUE"""),"celý web")</f>
        <v>celý web</v>
      </c>
      <c r="F471" s="4" t="str">
        <f ca="1">IFERROR(__xludf.DUMMYFUNCTION("""COMPUTED_VALUE"""),"https://dama.cz")</f>
        <v>https://dama.cz</v>
      </c>
      <c r="G471" s="3" t="str">
        <f ca="1">IFERROR(__xludf.DUMMYFUNCTION("""COMPUTED_VALUE"""),"nativní pr premium low season")</f>
        <v>nativní pr premium low season</v>
      </c>
      <c r="H471" s="3">
        <f ca="1">IFERROR(__xludf.DUMMYFUNCTION("""COMPUTED_VALUE"""),7)</f>
        <v>7</v>
      </c>
      <c r="I471" s="5">
        <f ca="1">IFERROR(__xludf.DUMMYFUNCTION("""COMPUTED_VALUE"""),1000)</f>
        <v>1000</v>
      </c>
      <c r="J471" s="5">
        <f ca="1">IFERROR(__xludf.DUMMYFUNCTION("""COMPUTED_VALUE"""),100)</f>
        <v>100</v>
      </c>
      <c r="K471" s="3"/>
      <c r="L471" s="3" t="str">
        <f ca="1">IFERROR(__xludf.DUMMYFUNCTION("""COMPUTED_VALUE"""),"Cost per period")</f>
        <v>Cost per period</v>
      </c>
      <c r="M471" s="3"/>
      <c r="N471" s="3"/>
      <c r="O471" s="3" t="str">
        <f ca="1">IFERROR(__xludf.DUMMYFUNCTION("""COMPUTED_VALUE"""),"640")</f>
        <v>640</v>
      </c>
      <c r="P471" s="3" t="str">
        <f ca="1">IFERROR(__xludf.DUMMYFUNCTION("""COMPUTED_VALUE"""),"335, 640")</f>
        <v>335, 640</v>
      </c>
      <c r="Q471" s="3" t="str">
        <f ca="1">IFERROR(__xludf.DUMMYFUNCTION("""COMPUTED_VALUE"""),"640x640 a 640x335 + text + logo")</f>
        <v>640x640 a 640x335 + text + logo</v>
      </c>
      <c r="R471" s="3" t="str">
        <f ca="1">IFERROR(__xludf.DUMMYFUNCTION("""COMPUTED_VALUE"""),"detailní specifikace na URL odkaze")</f>
        <v>detailní specifikace na URL odkaze</v>
      </c>
      <c r="S471" s="3" t="str">
        <f ca="1">IFERROR(__xludf.DUMMYFUNCTION("""COMPUTED_VALUE"""),"100")</f>
        <v>100</v>
      </c>
      <c r="T471" s="3"/>
      <c r="U471" s="3" t="str">
        <f ca="1">IFERROR(__xludf.DUMMYFUNCTION("""COMPUTED_VALUE"""),"nativní reklama")</f>
        <v>nativní reklama</v>
      </c>
      <c r="V471" s="3"/>
      <c r="W471" s="4" t="str">
        <f ca="1">IFERROR(__xludf.DUMMYFUNCTION("""COMPUTED_VALUE"""),"https://reklama.cncenter.cz/Online/nativni-PR-premium")</f>
        <v>https://reklama.cncenter.cz/Online/nativni-PR-premium</v>
      </c>
      <c r="X471" s="3"/>
      <c r="Y471" s="3"/>
      <c r="Z471" s="3" t="str">
        <f ca="1">IFERROR(__xludf.DUMMYFUNCTION("""COMPUTED_VALUE"""),"podklady@cncenter.cz")</f>
        <v>podklady@cncenter.cz</v>
      </c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 t="str">
        <f ca="1">IFERROR(__xludf.DUMMYFUNCTION("""COMPUTED_VALUE"""),"cross-device")</f>
        <v>cross-device</v>
      </c>
      <c r="AO471" s="3"/>
      <c r="AP471" s="3"/>
      <c r="AQ471" s="3"/>
      <c r="AR471" s="3"/>
      <c r="AS471" s="3"/>
      <c r="AT471" s="3"/>
      <c r="AU471" s="3" t="str">
        <f ca="1">IFERROR(__xludf.DUMMYFUNCTION("""COMPUTED_VALUE"""),"nativní pr premium")</f>
        <v>nativní pr premium</v>
      </c>
    </row>
    <row r="472" spans="1:47" x14ac:dyDescent="0.3">
      <c r="A472" s="3">
        <f ca="1"/>
        <v>2346826</v>
      </c>
      <c r="B472" s="3" t="str">
        <f ca="1"/>
        <v>CZECH NEWS CENTER a. s.</v>
      </c>
      <c r="C472" s="3" t="str">
        <f ca="1">IFERROR(__xludf.DUMMYFUNCTION("""COMPUTED_VALUE"""),"Dáma")</f>
        <v>Dáma</v>
      </c>
      <c r="D472" s="4" t="str">
        <f ca="1">IFERROR(__xludf.DUMMYFUNCTION("""COMPUTED_VALUE"""),"https://dama.cz")</f>
        <v>https://dama.cz</v>
      </c>
      <c r="E472" s="3" t="str">
        <f ca="1">IFERROR(__xludf.DUMMYFUNCTION("""COMPUTED_VALUE"""),"celý web")</f>
        <v>celý web</v>
      </c>
      <c r="F472" s="4" t="str">
        <f ca="1">IFERROR(__xludf.DUMMYFUNCTION("""COMPUTED_VALUE"""),"https://dama.cz")</f>
        <v>https://dama.cz</v>
      </c>
      <c r="G472" s="3" t="str">
        <f ca="1">IFERROR(__xludf.DUMMYFUNCTION("""COMPUTED_VALUE"""),"nativní rectangle cross-device low season")</f>
        <v>nativní rectangle cross-device low season</v>
      </c>
      <c r="H472" s="3">
        <f ca="1">IFERROR(__xludf.DUMMYFUNCTION("""COMPUTED_VALUE"""),7)</f>
        <v>7</v>
      </c>
      <c r="I472" s="5">
        <f ca="1">IFERROR(__xludf.DUMMYFUNCTION("""COMPUTED_VALUE"""),1000)</f>
        <v>1000</v>
      </c>
      <c r="J472" s="5">
        <f ca="1">IFERROR(__xludf.DUMMYFUNCTION("""COMPUTED_VALUE"""),200)</f>
        <v>200</v>
      </c>
      <c r="K472" s="3"/>
      <c r="L472" s="3" t="str">
        <f ca="1">IFERROR(__xludf.DUMMYFUNCTION("""COMPUTED_VALUE"""),"Cost per period")</f>
        <v>Cost per period</v>
      </c>
      <c r="M472" s="3"/>
      <c r="N472" s="3"/>
      <c r="O472" s="3" t="str">
        <f ca="1">IFERROR(__xludf.DUMMYFUNCTION("""COMPUTED_VALUE"""),"640")</f>
        <v>640</v>
      </c>
      <c r="P472" s="3" t="str">
        <f ca="1">IFERROR(__xludf.DUMMYFUNCTION("""COMPUTED_VALUE"""),"335, 640")</f>
        <v>335, 640</v>
      </c>
      <c r="Q472" s="3" t="str">
        <f ca="1">IFERROR(__xludf.DUMMYFUNCTION("""COMPUTED_VALUE"""),"640x640 a 640x335 + text + logo")</f>
        <v>640x640 a 640x335 + text + logo</v>
      </c>
      <c r="R472" s="3"/>
      <c r="S472" s="3" t="str">
        <f ca="1">IFERROR(__xludf.DUMMYFUNCTION("""COMPUTED_VALUE"""),"45")</f>
        <v>45</v>
      </c>
      <c r="T472" s="3"/>
      <c r="U472" s="3" t="str">
        <f ca="1">IFERROR(__xludf.DUMMYFUNCTION("""COMPUTED_VALUE"""),"nativní reklama")</f>
        <v>nativní reklama</v>
      </c>
      <c r="V472" s="3"/>
      <c r="W472" s="4" t="str">
        <f ca="1">IFERROR(__xludf.DUMMYFUNCTION("""COMPUTED_VALUE"""),"https://reklama.cncenter.cz/Online/nativni-rectangle-cross-device")</f>
        <v>https://reklama.cncenter.cz/Online/nativni-rectangle-cross-device</v>
      </c>
      <c r="X472" s="3"/>
      <c r="Y472" s="3"/>
      <c r="Z472" s="3" t="str">
        <f ca="1">IFERROR(__xludf.DUMMYFUNCTION("""COMPUTED_VALUE"""),"podklady@cncenter.cz")</f>
        <v>podklady@cncenter.cz</v>
      </c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 t="str">
        <f ca="1">IFERROR(__xludf.DUMMYFUNCTION("""COMPUTED_VALUE"""),"cross-device")</f>
        <v>cross-device</v>
      </c>
      <c r="AO472" s="3"/>
      <c r="AP472" s="3"/>
      <c r="AQ472" s="3"/>
      <c r="AR472" s="3"/>
      <c r="AS472" s="3"/>
      <c r="AT472" s="3"/>
      <c r="AU472" s="3" t="str">
        <f ca="1">IFERROR(__xludf.DUMMYFUNCTION("""COMPUTED_VALUE"""),"nativní rectangle cross-device")</f>
        <v>nativní rectangle cross-device</v>
      </c>
    </row>
    <row r="473" spans="1:47" x14ac:dyDescent="0.3">
      <c r="A473" s="3">
        <f ca="1"/>
        <v>2346826</v>
      </c>
      <c r="B473" s="3" t="str">
        <f ca="1"/>
        <v>CZECH NEWS CENTER a. s.</v>
      </c>
      <c r="C473" s="3" t="str">
        <f ca="1">IFERROR(__xludf.DUMMYFUNCTION("""COMPUTED_VALUE"""),"Dáma")</f>
        <v>Dáma</v>
      </c>
      <c r="D473" s="4" t="str">
        <f ca="1">IFERROR(__xludf.DUMMYFUNCTION("""COMPUTED_VALUE"""),"https://dama.cz")</f>
        <v>https://dama.cz</v>
      </c>
      <c r="E473" s="3" t="str">
        <f ca="1">IFERROR(__xludf.DUMMYFUNCTION("""COMPUTED_VALUE"""),"celý web")</f>
        <v>celý web</v>
      </c>
      <c r="F473" s="4" t="str">
        <f ca="1">IFERROR(__xludf.DUMMYFUNCTION("""COMPUTED_VALUE"""),"https://dama.cz")</f>
        <v>https://dama.cz</v>
      </c>
      <c r="G473" s="3" t="str">
        <f ca="1">IFERROR(__xludf.DUMMYFUNCTION("""COMPUTED_VALUE"""),"outstream low season")</f>
        <v>outstream low season</v>
      </c>
      <c r="H473" s="3">
        <f ca="1">IFERROR(__xludf.DUMMYFUNCTION("""COMPUTED_VALUE"""),7)</f>
        <v>7</v>
      </c>
      <c r="I473" s="5">
        <f ca="1">IFERROR(__xludf.DUMMYFUNCTION("""COMPUTED_VALUE"""),1000)</f>
        <v>1000</v>
      </c>
      <c r="J473" s="5">
        <f ca="1">IFERROR(__xludf.DUMMYFUNCTION("""COMPUTED_VALUE"""),250)</f>
        <v>250</v>
      </c>
      <c r="K473" s="3"/>
      <c r="L473" s="3" t="str">
        <f ca="1">IFERROR(__xludf.DUMMYFUNCTION("""COMPUTED_VALUE"""),"Cost per period")</f>
        <v>Cost per period</v>
      </c>
      <c r="M473" s="3"/>
      <c r="N473" s="3"/>
      <c r="O473" s="3" t="str">
        <f ca="1">IFERROR(__xludf.DUMMYFUNCTION("""COMPUTED_VALUE"""),"1280")</f>
        <v>1280</v>
      </c>
      <c r="P473" s="3" t="str">
        <f ca="1">IFERROR(__xludf.DUMMYFUNCTION("""COMPUTED_VALUE"""),"720")</f>
        <v>720</v>
      </c>
      <c r="Q473" s="3" t="str">
        <f ca="1">IFERROR(__xludf.DUMMYFUNCTION("""COMPUTED_VALUE"""),"16:9")</f>
        <v>16:9</v>
      </c>
      <c r="R473" s="3"/>
      <c r="S473" s="3" t="str">
        <f ca="1">IFERROR(__xludf.DUMMYFUNCTION("""COMPUTED_VALUE"""),"100")</f>
        <v>100</v>
      </c>
      <c r="T473" s="3"/>
      <c r="U473" s="3" t="str">
        <f ca="1">IFERROR(__xludf.DUMMYFUNCTION("""COMPUTED_VALUE"""),"videospot")</f>
        <v>videospot</v>
      </c>
      <c r="V473" s="3"/>
      <c r="W473" s="4" t="str">
        <f ca="1">IFERROR(__xludf.DUMMYFUNCTION("""COMPUTED_VALUE"""),"https://reklama.cncenter.cz/Online/Outstream")</f>
        <v>https://reklama.cncenter.cz/Online/Outstream</v>
      </c>
      <c r="X473" s="3"/>
      <c r="Y473" s="3"/>
      <c r="Z473" s="3" t="str">
        <f ca="1">IFERROR(__xludf.DUMMYFUNCTION("""COMPUTED_VALUE"""),"podklady@cncenter.cz")</f>
        <v>podklady@cncenter.cz</v>
      </c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 t="str">
        <f ca="1">IFERROR(__xludf.DUMMYFUNCTION("""COMPUTED_VALUE"""),"cross-device")</f>
        <v>cross-device</v>
      </c>
      <c r="AO473" s="3"/>
      <c r="AP473" s="3"/>
      <c r="AQ473" s="3"/>
      <c r="AR473" s="3"/>
      <c r="AS473" s="3"/>
      <c r="AT473" s="3"/>
      <c r="AU473" s="3" t="str">
        <f ca="1">IFERROR(__xludf.DUMMYFUNCTION("""COMPUTED_VALUE"""),"outstream")</f>
        <v>outstream</v>
      </c>
    </row>
    <row r="474" spans="1:47" x14ac:dyDescent="0.3">
      <c r="A474" s="3">
        <f ca="1"/>
        <v>2346826</v>
      </c>
      <c r="B474" s="3" t="str">
        <f ca="1"/>
        <v>CZECH NEWS CENTER a. s.</v>
      </c>
      <c r="C474" s="3" t="str">
        <f ca="1">IFERROR(__xludf.DUMMYFUNCTION("""COMPUTED_VALUE"""),"Dáma")</f>
        <v>Dáma</v>
      </c>
      <c r="D474" s="4" t="str">
        <f ca="1">IFERROR(__xludf.DUMMYFUNCTION("""COMPUTED_VALUE"""),"https://dama.cz")</f>
        <v>https://dama.cz</v>
      </c>
      <c r="E474" s="3" t="str">
        <f ca="1">IFERROR(__xludf.DUMMYFUNCTION("""COMPUTED_VALUE"""),"celý web")</f>
        <v>celý web</v>
      </c>
      <c r="F474" s="4" t="str">
        <f ca="1">IFERROR(__xludf.DUMMYFUNCTION("""COMPUTED_VALUE"""),"https://dama.cz")</f>
        <v>https://dama.cz</v>
      </c>
      <c r="G474" s="3" t="str">
        <f ca="1">IFERROR(__xludf.DUMMYFUNCTION("""COMPUTED_VALUE"""),"PR článek low season")</f>
        <v>PR článek low season</v>
      </c>
      <c r="H474" s="3">
        <f ca="1">IFERROR(__xludf.DUMMYFUNCTION("""COMPUTED_VALUE"""),1)</f>
        <v>1</v>
      </c>
      <c r="I474" s="5">
        <f ca="1">IFERROR(__xludf.DUMMYFUNCTION("""COMPUTED_VALUE"""),1)</f>
        <v>1</v>
      </c>
      <c r="J474" s="5">
        <f ca="1">IFERROR(__xludf.DUMMYFUNCTION("""COMPUTED_VALUE"""),20000)</f>
        <v>20000</v>
      </c>
      <c r="K474" s="3"/>
      <c r="L474" s="3" t="str">
        <f ca="1">IFERROR(__xludf.DUMMYFUNCTION("""COMPUTED_VALUE"""),"Cost per instance")</f>
        <v>Cost per instance</v>
      </c>
      <c r="M474" s="3"/>
      <c r="N474" s="3"/>
      <c r="O474" s="3"/>
      <c r="P474" s="3"/>
      <c r="Q474" s="3"/>
      <c r="R474" s="3"/>
      <c r="S474" s="3" t="str">
        <f ca="1">IFERROR(__xludf.DUMMYFUNCTION("""COMPUTED_VALUE"""),"100")</f>
        <v>100</v>
      </c>
      <c r="T474" s="3"/>
      <c r="U474" s="3" t="str">
        <f ca="1">IFERROR(__xludf.DUMMYFUNCTION("""COMPUTED_VALUE"""),"pr článek")</f>
        <v>pr článek</v>
      </c>
      <c r="V474" s="3"/>
      <c r="W474" s="4" t="str">
        <f ca="1">IFERROR(__xludf.DUMMYFUNCTION("""COMPUTED_VALUE"""),"https://reklama.cncenter.cz/?ads=PR%2520%25C4%258Dl%25C3%25A1nky")</f>
        <v>https://reklama.cncenter.cz/?ads=PR%2520%25C4%258Dl%25C3%25A1nky</v>
      </c>
      <c r="X474" s="3"/>
      <c r="Y474" s="3"/>
      <c r="Z474" s="3" t="str">
        <f ca="1">IFERROR(__xludf.DUMMYFUNCTION("""COMPUTED_VALUE"""),"podklady@cncenter.cz")</f>
        <v>podklady@cncenter.cz</v>
      </c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 t="str">
        <f ca="1">IFERROR(__xludf.DUMMYFUNCTION("""COMPUTED_VALUE"""),"cross-device")</f>
        <v>cross-device</v>
      </c>
      <c r="AO474" s="3"/>
      <c r="AP474" s="3"/>
      <c r="AQ474" s="3"/>
      <c r="AR474" s="3"/>
      <c r="AS474" s="3"/>
      <c r="AT474" s="3"/>
      <c r="AU474" s="3" t="str">
        <f ca="1">IFERROR(__xludf.DUMMYFUNCTION("""COMPUTED_VALUE"""),"PR článek")</f>
        <v>PR článek</v>
      </c>
    </row>
    <row r="475" spans="1:47" x14ac:dyDescent="0.3">
      <c r="A475" s="3">
        <f ca="1"/>
        <v>2346826</v>
      </c>
      <c r="B475" s="3" t="str">
        <f ca="1"/>
        <v>CZECH NEWS CENTER a. s.</v>
      </c>
      <c r="C475" s="3" t="str">
        <f ca="1">IFERROR(__xludf.DUMMYFUNCTION("""COMPUTED_VALUE"""),"Dáma")</f>
        <v>Dáma</v>
      </c>
      <c r="D475" s="4" t="str">
        <f ca="1">IFERROR(__xludf.DUMMYFUNCTION("""COMPUTED_VALUE"""),"https://dama.cz")</f>
        <v>https://dama.cz</v>
      </c>
      <c r="E475" s="3" t="str">
        <f ca="1">IFERROR(__xludf.DUMMYFUNCTION("""COMPUTED_VALUE"""),"celý web")</f>
        <v>celý web</v>
      </c>
      <c r="F475" s="4" t="str">
        <f ca="1">IFERROR(__xludf.DUMMYFUNCTION("""COMPUTED_VALUE"""),"https://dama.cz")</f>
        <v>https://dama.cz</v>
      </c>
      <c r="G475" s="3" t="str">
        <f ca="1">IFERROR(__xludf.DUMMYFUNCTION("""COMPUTED_VALUE"""),"Prodloužení existující microsite, bez úprav low season")</f>
        <v>Prodloužení existující microsite, bez úprav low season</v>
      </c>
      <c r="H475" s="3">
        <f ca="1">IFERROR(__xludf.DUMMYFUNCTION("""COMPUTED_VALUE"""),1)</f>
        <v>1</v>
      </c>
      <c r="I475" s="5">
        <f ca="1">IFERROR(__xludf.DUMMYFUNCTION("""COMPUTED_VALUE"""),1)</f>
        <v>1</v>
      </c>
      <c r="J475" s="5">
        <f ca="1">IFERROR(__xludf.DUMMYFUNCTION("""COMPUTED_VALUE"""),15000)</f>
        <v>15000</v>
      </c>
      <c r="K475" s="3"/>
      <c r="L475" s="3" t="str">
        <f ca="1">IFERROR(__xludf.DUMMYFUNCTION("""COMPUTED_VALUE"""),"Cost per instance")</f>
        <v>Cost per instance</v>
      </c>
      <c r="M475" s="3"/>
      <c r="N475" s="3"/>
      <c r="O475" s="3"/>
      <c r="P475" s="3"/>
      <c r="Q475" s="3"/>
      <c r="R475" s="3"/>
      <c r="S475" s="3" t="str">
        <f ca="1">IFERROR(__xludf.DUMMYFUNCTION("""COMPUTED_VALUE"""),"100")</f>
        <v>100</v>
      </c>
      <c r="T475" s="3"/>
      <c r="U475" s="3" t="str">
        <f ca="1">IFERROR(__xludf.DUMMYFUNCTION("""COMPUTED_VALUE"""),"microsite")</f>
        <v>microsite</v>
      </c>
      <c r="V475" s="3"/>
      <c r="W475" s="3"/>
      <c r="X475" s="3"/>
      <c r="Y475" s="3"/>
      <c r="Z475" s="3" t="str">
        <f ca="1">IFERROR(__xludf.DUMMYFUNCTION("""COMPUTED_VALUE"""),"podklady@cncenter.cz")</f>
        <v>podklady@cncenter.cz</v>
      </c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 t="str">
        <f ca="1">IFERROR(__xludf.DUMMYFUNCTION("""COMPUTED_VALUE"""),"cross-device")</f>
        <v>cross-device</v>
      </c>
      <c r="AO475" s="3"/>
      <c r="AP475" s="3"/>
      <c r="AQ475" s="3"/>
      <c r="AR475" s="3"/>
      <c r="AS475" s="3"/>
      <c r="AT475" s="3"/>
      <c r="AU475" s="3" t="str">
        <f ca="1">IFERROR(__xludf.DUMMYFUNCTION("""COMPUTED_VALUE"""),"Prodloužení existující microsite, bez úprav")</f>
        <v>Prodloužení existující microsite, bez úprav</v>
      </c>
    </row>
    <row r="476" spans="1:47" x14ac:dyDescent="0.3">
      <c r="A476" s="3">
        <f ca="1"/>
        <v>2346826</v>
      </c>
      <c r="B476" s="3" t="str">
        <f ca="1"/>
        <v>CZECH NEWS CENTER a. s.</v>
      </c>
      <c r="C476" s="3" t="str">
        <f ca="1">IFERROR(__xludf.DUMMYFUNCTION("""COMPUTED_VALUE"""),"Dáma")</f>
        <v>Dáma</v>
      </c>
      <c r="D476" s="4" t="str">
        <f ca="1">IFERROR(__xludf.DUMMYFUNCTION("""COMPUTED_VALUE"""),"https://dama.cz")</f>
        <v>https://dama.cz</v>
      </c>
      <c r="E476" s="3" t="str">
        <f ca="1">IFERROR(__xludf.DUMMYFUNCTION("""COMPUTED_VALUE"""),"celý web")</f>
        <v>celý web</v>
      </c>
      <c r="F476" s="4" t="str">
        <f ca="1">IFERROR(__xludf.DUMMYFUNCTION("""COMPUTED_VALUE"""),"https://dama.cz")</f>
        <v>https://dama.cz</v>
      </c>
      <c r="G476" s="3" t="str">
        <f ca="1">IFERROR(__xludf.DUMMYFUNCTION("""COMPUTED_VALUE"""),"Prodloužení existující microsite, bez úprav low season")</f>
        <v>Prodloužení existující microsite, bez úprav low season</v>
      </c>
      <c r="H476" s="3">
        <f ca="1">IFERROR(__xludf.DUMMYFUNCTION("""COMPUTED_VALUE"""),1)</f>
        <v>1</v>
      </c>
      <c r="I476" s="5">
        <f ca="1">IFERROR(__xludf.DUMMYFUNCTION("""COMPUTED_VALUE"""),1)</f>
        <v>1</v>
      </c>
      <c r="J476" s="5">
        <f ca="1">IFERROR(__xludf.DUMMYFUNCTION("""COMPUTED_VALUE"""),15000)</f>
        <v>15000</v>
      </c>
      <c r="K476" s="3"/>
      <c r="L476" s="3" t="str">
        <f ca="1">IFERROR(__xludf.DUMMYFUNCTION("""COMPUTED_VALUE"""),"Cost per instance")</f>
        <v>Cost per instance</v>
      </c>
      <c r="M476" s="3"/>
      <c r="N476" s="3"/>
      <c r="O476" s="3"/>
      <c r="P476" s="3"/>
      <c r="Q476" s="3"/>
      <c r="R476" s="3"/>
      <c r="S476" s="3" t="str">
        <f ca="1">IFERROR(__xludf.DUMMYFUNCTION("""COMPUTED_VALUE"""),"100")</f>
        <v>100</v>
      </c>
      <c r="T476" s="3"/>
      <c r="U476" s="3" t="str">
        <f ca="1">IFERROR(__xludf.DUMMYFUNCTION("""COMPUTED_VALUE"""),"microsite")</f>
        <v>microsite</v>
      </c>
      <c r="V476" s="3"/>
      <c r="W476" s="3"/>
      <c r="X476" s="3"/>
      <c r="Y476" s="3"/>
      <c r="Z476" s="3" t="str">
        <f ca="1">IFERROR(__xludf.DUMMYFUNCTION("""COMPUTED_VALUE"""),"podklady@cncenter.cz")</f>
        <v>podklady@cncenter.cz</v>
      </c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 t="str">
        <f ca="1">IFERROR(__xludf.DUMMYFUNCTION("""COMPUTED_VALUE"""),"cross-device")</f>
        <v>cross-device</v>
      </c>
      <c r="AO476" s="3"/>
      <c r="AP476" s="3"/>
      <c r="AQ476" s="3"/>
      <c r="AR476" s="3"/>
      <c r="AS476" s="3"/>
      <c r="AT476" s="3"/>
      <c r="AU476" s="3" t="str">
        <f ca="1">IFERROR(__xludf.DUMMYFUNCTION("""COMPUTED_VALUE"""),"Prodloužení existující microsite, bez úprav")</f>
        <v>Prodloužení existující microsite, bez úprav</v>
      </c>
    </row>
    <row r="477" spans="1:47" x14ac:dyDescent="0.3">
      <c r="A477" s="3">
        <f ca="1"/>
        <v>2346826</v>
      </c>
      <c r="B477" s="3" t="str">
        <f ca="1"/>
        <v>CZECH NEWS CENTER a. s.</v>
      </c>
      <c r="C477" s="3" t="str">
        <f ca="1">IFERROR(__xludf.DUMMYFUNCTION("""COMPUTED_VALUE"""),"Dáma")</f>
        <v>Dáma</v>
      </c>
      <c r="D477" s="4" t="str">
        <f ca="1">IFERROR(__xludf.DUMMYFUNCTION("""COMPUTED_VALUE"""),"https://dama.cz")</f>
        <v>https://dama.cz</v>
      </c>
      <c r="E477" s="3" t="str">
        <f ca="1">IFERROR(__xludf.DUMMYFUNCTION("""COMPUTED_VALUE"""),"celý web")</f>
        <v>celý web</v>
      </c>
      <c r="F477" s="4" t="str">
        <f ca="1">IFERROR(__xludf.DUMMYFUNCTION("""COMPUTED_VALUE"""),"https://dama.cz")</f>
        <v>https://dama.cz</v>
      </c>
      <c r="G477" s="3" t="str">
        <f ca="1">IFERROR(__xludf.DUMMYFUNCTION("""COMPUTED_VALUE"""),"Prodloužení existující microsite, bez úprav low season")</f>
        <v>Prodloužení existující microsite, bez úprav low season</v>
      </c>
      <c r="H477" s="3">
        <f ca="1">IFERROR(__xludf.DUMMYFUNCTION("""COMPUTED_VALUE"""),1)</f>
        <v>1</v>
      </c>
      <c r="I477" s="5">
        <f ca="1">IFERROR(__xludf.DUMMYFUNCTION("""COMPUTED_VALUE"""),1)</f>
        <v>1</v>
      </c>
      <c r="J477" s="5">
        <f ca="1">IFERROR(__xludf.DUMMYFUNCTION("""COMPUTED_VALUE"""),15000)</f>
        <v>15000</v>
      </c>
      <c r="K477" s="3"/>
      <c r="L477" s="3" t="str">
        <f ca="1">IFERROR(__xludf.DUMMYFUNCTION("""COMPUTED_VALUE"""),"Cost per instance")</f>
        <v>Cost per instance</v>
      </c>
      <c r="M477" s="3"/>
      <c r="N477" s="3"/>
      <c r="O477" s="3"/>
      <c r="P477" s="3"/>
      <c r="Q477" s="3"/>
      <c r="R477" s="3"/>
      <c r="S477" s="3" t="str">
        <f ca="1">IFERROR(__xludf.DUMMYFUNCTION("""COMPUTED_VALUE"""),"100")</f>
        <v>100</v>
      </c>
      <c r="T477" s="3"/>
      <c r="U477" s="3" t="str">
        <f ca="1">IFERROR(__xludf.DUMMYFUNCTION("""COMPUTED_VALUE"""),"microsite")</f>
        <v>microsite</v>
      </c>
      <c r="V477" s="3"/>
      <c r="W477" s="3"/>
      <c r="X477" s="3"/>
      <c r="Y477" s="3"/>
      <c r="Z477" s="3" t="str">
        <f ca="1">IFERROR(__xludf.DUMMYFUNCTION("""COMPUTED_VALUE"""),"podklady@cncenter.cz")</f>
        <v>podklady@cncenter.cz</v>
      </c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 t="str">
        <f ca="1">IFERROR(__xludf.DUMMYFUNCTION("""COMPUTED_VALUE"""),"cross-device")</f>
        <v>cross-device</v>
      </c>
      <c r="AO477" s="3"/>
      <c r="AP477" s="3"/>
      <c r="AQ477" s="3"/>
      <c r="AR477" s="3"/>
      <c r="AS477" s="3"/>
      <c r="AT477" s="3"/>
      <c r="AU477" s="3" t="str">
        <f ca="1">IFERROR(__xludf.DUMMYFUNCTION("""COMPUTED_VALUE"""),"Prodloužení existující microsite, bez úprav")</f>
        <v>Prodloužení existující microsite, bez úprav</v>
      </c>
    </row>
    <row r="478" spans="1:47" x14ac:dyDescent="0.3">
      <c r="A478" s="3">
        <f ca="1"/>
        <v>2346826</v>
      </c>
      <c r="B478" s="3" t="str">
        <f ca="1"/>
        <v>CZECH NEWS CENTER a. s.</v>
      </c>
      <c r="C478" s="3" t="str">
        <f ca="1">IFERROR(__xludf.DUMMYFUNCTION("""COMPUTED_VALUE"""),"Dáma")</f>
        <v>Dáma</v>
      </c>
      <c r="D478" s="4" t="str">
        <f ca="1">IFERROR(__xludf.DUMMYFUNCTION("""COMPUTED_VALUE"""),"https://dama.cz")</f>
        <v>https://dama.cz</v>
      </c>
      <c r="E478" s="3" t="str">
        <f ca="1">IFERROR(__xludf.DUMMYFUNCTION("""COMPUTED_VALUE"""),"celý web")</f>
        <v>celý web</v>
      </c>
      <c r="F478" s="4" t="str">
        <f ca="1">IFERROR(__xludf.DUMMYFUNCTION("""COMPUTED_VALUE"""),"https://dama.cz")</f>
        <v>https://dama.cz</v>
      </c>
      <c r="G478" s="3" t="str">
        <f ca="1">IFERROR(__xludf.DUMMYFUNCTION("""COMPUTED_VALUE"""),"videospot - max. 30 sec. / bumper low season")</f>
        <v>videospot - max. 30 sec. / bumper low season</v>
      </c>
      <c r="H478" s="3">
        <f ca="1">IFERROR(__xludf.DUMMYFUNCTION("""COMPUTED_VALUE"""),7)</f>
        <v>7</v>
      </c>
      <c r="I478" s="5">
        <f ca="1">IFERROR(__xludf.DUMMYFUNCTION("""COMPUTED_VALUE"""),1000)</f>
        <v>1000</v>
      </c>
      <c r="J478" s="5">
        <f ca="1">IFERROR(__xludf.DUMMYFUNCTION("""COMPUTED_VALUE"""),740)</f>
        <v>740</v>
      </c>
      <c r="K478" s="3"/>
      <c r="L478" s="3" t="str">
        <f ca="1">IFERROR(__xludf.DUMMYFUNCTION("""COMPUTED_VALUE"""),"Cost per period")</f>
        <v>Cost per period</v>
      </c>
      <c r="M478" s="3"/>
      <c r="N478" s="3"/>
      <c r="O478" s="3" t="str">
        <f ca="1">IFERROR(__xludf.DUMMYFUNCTION("""COMPUTED_VALUE"""),"1280")</f>
        <v>1280</v>
      </c>
      <c r="P478" s="3" t="str">
        <f ca="1">IFERROR(__xludf.DUMMYFUNCTION("""COMPUTED_VALUE"""),"720")</f>
        <v>720</v>
      </c>
      <c r="Q478" s="3" t="str">
        <f ca="1">IFERROR(__xludf.DUMMYFUNCTION("""COMPUTED_VALUE"""),"16:9 / umístění po domluvě dle možností")</f>
        <v>16:9 / umístění po domluvě dle možností</v>
      </c>
      <c r="R478" s="3" t="str">
        <f ca="1">IFERROR(__xludf.DUMMYFUNCTION("""COMPUTED_VALUE"""),"přeskočení po 7 sekundách")</f>
        <v>přeskočení po 7 sekundách</v>
      </c>
      <c r="S478" s="3" t="str">
        <f ca="1">IFERROR(__xludf.DUMMYFUNCTION("""COMPUTED_VALUE"""),"100")</f>
        <v>100</v>
      </c>
      <c r="T478" s="3"/>
      <c r="U478" s="3" t="str">
        <f ca="1">IFERROR(__xludf.DUMMYFUNCTION("""COMPUTED_VALUE"""),"videospot")</f>
        <v>videospot</v>
      </c>
      <c r="V478" s="3"/>
      <c r="W478" s="4" t="str">
        <f ca="1">IFERROR(__xludf.DUMMYFUNCTION("""COMPUTED_VALUE"""),"https://reklama.cncenter.cz/Online/Bumper")</f>
        <v>https://reklama.cncenter.cz/Online/Bumper</v>
      </c>
      <c r="X478" s="3"/>
      <c r="Y478" s="3"/>
      <c r="Z478" s="3" t="str">
        <f ca="1">IFERROR(__xludf.DUMMYFUNCTION("""COMPUTED_VALUE"""),"podklady@cncenter.cz")</f>
        <v>podklady@cncenter.cz</v>
      </c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 t="str">
        <f ca="1">IFERROR(__xludf.DUMMYFUNCTION("""COMPUTED_VALUE"""),"cross-device")</f>
        <v>cross-device</v>
      </c>
      <c r="AO478" s="3"/>
      <c r="AP478" s="3"/>
      <c r="AQ478" s="3"/>
      <c r="AR478" s="3"/>
      <c r="AS478" s="3"/>
      <c r="AT478" s="3"/>
      <c r="AU478" s="3" t="str">
        <f ca="1">IFERROR(__xludf.DUMMYFUNCTION("""COMPUTED_VALUE"""),"videospot - max. 30 sec. / bumper")</f>
        <v>videospot - max. 30 sec. / bumper</v>
      </c>
    </row>
    <row r="479" spans="1:47" x14ac:dyDescent="0.3">
      <c r="A479" s="3">
        <f ca="1"/>
        <v>2346826</v>
      </c>
      <c r="B479" s="3" t="str">
        <f ca="1"/>
        <v>CZECH NEWS CENTER a. s.</v>
      </c>
      <c r="C479" s="3" t="str">
        <f ca="1">IFERROR(__xludf.DUMMYFUNCTION("""COMPUTED_VALUE"""),"E15")</f>
        <v>E15</v>
      </c>
      <c r="D479" s="3" t="str">
        <f ca="1">IFERROR(__xludf.DUMMYFUNCTION("""COMPUTED_VALUE"""),"https://e15.cz, https://finexpert.cz, https://www.e15.cz/formen")</f>
        <v>https://e15.cz, https://finexpert.cz, https://www.e15.cz/formen</v>
      </c>
      <c r="E479" s="3" t="str">
        <f ca="1">IFERROR(__xludf.DUMMYFUNCTION("""COMPUTED_VALUE"""),"celý web")</f>
        <v>celý web</v>
      </c>
      <c r="F479" s="3" t="str">
        <f ca="1">IFERROR(__xludf.DUMMYFUNCTION("""COMPUTED_VALUE"""),"https://e15.cz, https://finexpert.cz, https://www.e15.cz/formen")</f>
        <v>https://e15.cz, https://finexpert.cz, https://www.e15.cz/formen</v>
      </c>
      <c r="G479" s="3" t="str">
        <f ca="1">IFERROR(__xludf.DUMMYFUNCTION("""COMPUTED_VALUE"""),"Advertorial low season")</f>
        <v>Advertorial low season</v>
      </c>
      <c r="H479" s="3">
        <f ca="1">IFERROR(__xludf.DUMMYFUNCTION("""COMPUTED_VALUE"""),1)</f>
        <v>1</v>
      </c>
      <c r="I479" s="5">
        <f ca="1">IFERROR(__xludf.DUMMYFUNCTION("""COMPUTED_VALUE"""),1)</f>
        <v>1</v>
      </c>
      <c r="J479" s="5">
        <f ca="1">IFERROR(__xludf.DUMMYFUNCTION("""COMPUTED_VALUE"""),90000)</f>
        <v>90000</v>
      </c>
      <c r="K479" s="3"/>
      <c r="L479" s="3" t="str">
        <f ca="1">IFERROR(__xludf.DUMMYFUNCTION("""COMPUTED_VALUE"""),"Cost per instance")</f>
        <v>Cost per instance</v>
      </c>
      <c r="M479" s="3"/>
      <c r="N479" s="3"/>
      <c r="O479" s="3"/>
      <c r="P479" s="3"/>
      <c r="Q479" s="3"/>
      <c r="R479" s="3"/>
      <c r="S479" s="3" t="str">
        <f ca="1">IFERROR(__xludf.DUMMYFUNCTION("""COMPUTED_VALUE"""),"100")</f>
        <v>100</v>
      </c>
      <c r="T479" s="3"/>
      <c r="U479" s="3" t="str">
        <f ca="1">IFERROR(__xludf.DUMMYFUNCTION("""COMPUTED_VALUE"""),"pr článek")</f>
        <v>pr článek</v>
      </c>
      <c r="V479" s="3"/>
      <c r="W479" s="3"/>
      <c r="X479" s="3"/>
      <c r="Y479" s="3"/>
      <c r="Z479" s="3" t="str">
        <f ca="1">IFERROR(__xludf.DUMMYFUNCTION("""COMPUTED_VALUE"""),"podklady@cncenter.cz")</f>
        <v>podklady@cncenter.cz</v>
      </c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 t="str">
        <f ca="1">IFERROR(__xludf.DUMMYFUNCTION("""COMPUTED_VALUE"""),"cross-device")</f>
        <v>cross-device</v>
      </c>
      <c r="AO479" s="3"/>
      <c r="AP479" s="3"/>
      <c r="AQ479" s="3"/>
      <c r="AR479" s="3"/>
      <c r="AS479" s="3"/>
      <c r="AT479" s="3"/>
      <c r="AU479" s="3" t="str">
        <f ca="1">IFERROR(__xludf.DUMMYFUNCTION("""COMPUTED_VALUE"""),"Advertorial")</f>
        <v>Advertorial</v>
      </c>
    </row>
    <row r="480" spans="1:47" x14ac:dyDescent="0.3">
      <c r="A480" s="3">
        <f ca="1"/>
        <v>2346826</v>
      </c>
      <c r="B480" s="3" t="str">
        <f ca="1"/>
        <v>CZECH NEWS CENTER a. s.</v>
      </c>
      <c r="C480" s="3" t="str">
        <f ca="1">IFERROR(__xludf.DUMMYFUNCTION("""COMPUTED_VALUE"""),"E15")</f>
        <v>E15</v>
      </c>
      <c r="D480" s="3" t="str">
        <f ca="1">IFERROR(__xludf.DUMMYFUNCTION("""COMPUTED_VALUE"""),"https://e15.cz, https://finexpert.cz, https://www.e15.cz/formen")</f>
        <v>https://e15.cz, https://finexpert.cz, https://www.e15.cz/formen</v>
      </c>
      <c r="E480" s="3" t="str">
        <f ca="1">IFERROR(__xludf.DUMMYFUNCTION("""COMPUTED_VALUE"""),"celý web")</f>
        <v>celý web</v>
      </c>
      <c r="F480" s="3" t="str">
        <f ca="1">IFERROR(__xludf.DUMMYFUNCTION("""COMPUTED_VALUE"""),"https://e15.cz, https://finexpert.cz, https://www.e15.cz/formen")</f>
        <v>https://e15.cz, https://finexpert.cz, https://www.e15.cz/formen</v>
      </c>
      <c r="G480" s="3" t="str">
        <f ca="1">IFERROR(__xludf.DUMMYFUNCTION("""COMPUTED_VALUE"""),"billboard bottom low season")</f>
        <v>billboard bottom low season</v>
      </c>
      <c r="H480" s="3">
        <f ca="1">IFERROR(__xludf.DUMMYFUNCTION("""COMPUTED_VALUE"""),7)</f>
        <v>7</v>
      </c>
      <c r="I480" s="5">
        <f ca="1">IFERROR(__xludf.DUMMYFUNCTION("""COMPUTED_VALUE"""),1000)</f>
        <v>1000</v>
      </c>
      <c r="J480" s="5">
        <f ca="1">IFERROR(__xludf.DUMMYFUNCTION("""COMPUTED_VALUE"""),340)</f>
        <v>340</v>
      </c>
      <c r="K480" s="3"/>
      <c r="L480" s="3" t="str">
        <f ca="1">IFERROR(__xludf.DUMMYFUNCTION("""COMPUTED_VALUE"""),"Cost per period")</f>
        <v>Cost per period</v>
      </c>
      <c r="M480" s="3"/>
      <c r="N480" s="3"/>
      <c r="O480" s="3" t="str">
        <f ca="1">IFERROR(__xludf.DUMMYFUNCTION("""COMPUTED_VALUE"""),"970")</f>
        <v>970</v>
      </c>
      <c r="P480" s="3" t="str">
        <f ca="1">IFERROR(__xludf.DUMMYFUNCTION("""COMPUTED_VALUE"""),"250")</f>
        <v>250</v>
      </c>
      <c r="Q480" s="3" t="str">
        <f ca="1">IFERROR(__xludf.DUMMYFUNCTION("""COMPUTED_VALUE"""),"970x250")</f>
        <v>970x250</v>
      </c>
      <c r="R480" s="3"/>
      <c r="S480" s="3" t="str">
        <f ca="1">IFERROR(__xludf.DUMMYFUNCTION("""COMPUTED_VALUE"""),"100 (200 - HTML5)")</f>
        <v>100 (200 - HTML5)</v>
      </c>
      <c r="T480" s="3"/>
      <c r="U480" s="3" t="str">
        <f ca="1">IFERROR(__xludf.DUMMYFUNCTION("""COMPUTED_VALUE"""),"banner standard")</f>
        <v>banner standard</v>
      </c>
      <c r="V480" s="3"/>
      <c r="W480" s="4" t="str">
        <f ca="1">IFERROR(__xludf.DUMMYFUNCTION("""COMPUTED_VALUE"""),"https://reklama.cncenter.cz/Online/billboard-bottom")</f>
        <v>https://reklama.cncenter.cz/Online/billboard-bottom</v>
      </c>
      <c r="X480" s="3"/>
      <c r="Y480" s="3"/>
      <c r="Z480" s="3" t="str">
        <f ca="1">IFERROR(__xludf.DUMMYFUNCTION("""COMPUTED_VALUE"""),"podklady@cncenter.cz")</f>
        <v>podklady@cncenter.cz</v>
      </c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 t="str">
        <f ca="1">IFERROR(__xludf.DUMMYFUNCTION("""COMPUTED_VALUE"""),"desktop")</f>
        <v>desktop</v>
      </c>
      <c r="AO480" s="3"/>
      <c r="AP480" s="3"/>
      <c r="AQ480" s="3"/>
      <c r="AR480" s="3"/>
      <c r="AS480" s="3"/>
      <c r="AT480" s="3"/>
      <c r="AU480" s="3" t="str">
        <f ca="1">IFERROR(__xludf.DUMMYFUNCTION("""COMPUTED_VALUE"""),"billboard bottom")</f>
        <v>billboard bottom</v>
      </c>
    </row>
    <row r="481" spans="1:47" x14ac:dyDescent="0.3">
      <c r="A481" s="3">
        <f ca="1"/>
        <v>2346826</v>
      </c>
      <c r="B481" s="3" t="str">
        <f ca="1"/>
        <v>CZECH NEWS CENTER a. s.</v>
      </c>
      <c r="C481" s="3" t="str">
        <f ca="1">IFERROR(__xludf.DUMMYFUNCTION("""COMPUTED_VALUE"""),"E15")</f>
        <v>E15</v>
      </c>
      <c r="D481" s="3" t="str">
        <f ca="1">IFERROR(__xludf.DUMMYFUNCTION("""COMPUTED_VALUE"""),"https://e15.cz, https://finexpert.cz, https://www.e15.cz/formen")</f>
        <v>https://e15.cz, https://finexpert.cz, https://www.e15.cz/formen</v>
      </c>
      <c r="E481" s="3" t="str">
        <f ca="1">IFERROR(__xludf.DUMMYFUNCTION("""COMPUTED_VALUE"""),"celý web")</f>
        <v>celý web</v>
      </c>
      <c r="F481" s="3" t="str">
        <f ca="1">IFERROR(__xludf.DUMMYFUNCTION("""COMPUTED_VALUE"""),"https://e15.cz, https://finexpert.cz, https://www.e15.cz/formen")</f>
        <v>https://e15.cz, https://finexpert.cz, https://www.e15.cz/formen</v>
      </c>
      <c r="G481" s="3" t="str">
        <f ca="1">IFERROR(__xludf.DUMMYFUNCTION("""COMPUTED_VALUE"""),"branding cross-device low season")</f>
        <v>branding cross-device low season</v>
      </c>
      <c r="H481" s="3">
        <f ca="1">IFERROR(__xludf.DUMMYFUNCTION("""COMPUTED_VALUE"""),7)</f>
        <v>7</v>
      </c>
      <c r="I481" s="5">
        <f ca="1">IFERROR(__xludf.DUMMYFUNCTION("""COMPUTED_VALUE"""),1000)</f>
        <v>1000</v>
      </c>
      <c r="J481" s="5">
        <f ca="1">IFERROR(__xludf.DUMMYFUNCTION("""COMPUTED_VALUE"""),400)</f>
        <v>400</v>
      </c>
      <c r="K481" s="3"/>
      <c r="L481" s="3" t="str">
        <f ca="1">IFERROR(__xludf.DUMMYFUNCTION("""COMPUTED_VALUE"""),"Cost per period")</f>
        <v>Cost per period</v>
      </c>
      <c r="M481" s="3"/>
      <c r="N481" s="3"/>
      <c r="O481" s="3" t="str">
        <f ca="1">IFERROR(__xludf.DUMMYFUNCTION("""COMPUTED_VALUE"""),"2000")</f>
        <v>2000</v>
      </c>
      <c r="P481" s="3" t="str">
        <f ca="1">IFERROR(__xludf.DUMMYFUNCTION("""COMPUTED_VALUE"""),"1400")</f>
        <v>1400</v>
      </c>
      <c r="Q481" s="3" t="str">
        <f ca="1">IFERROR(__xludf.DUMMYFUNCTION("""COMPUTED_VALUE"""),"2000x1400 + 600x1080")</f>
        <v>2000x1400 + 600x1080</v>
      </c>
      <c r="R481" s="3"/>
      <c r="S481" s="3" t="str">
        <f ca="1">IFERROR(__xludf.DUMMYFUNCTION("""COMPUTED_VALUE"""),"500 (600 - HTLM5)")</f>
        <v>500 (600 - HTLM5)</v>
      </c>
      <c r="T481" s="3"/>
      <c r="U481" s="3" t="str">
        <f ca="1">IFERROR(__xludf.DUMMYFUNCTION("""COMPUTED_VALUE"""),"banner standard")</f>
        <v>banner standard</v>
      </c>
      <c r="V481" s="3"/>
      <c r="W481" s="4" t="str">
        <f ca="1">IFERROR(__xludf.DUMMYFUNCTION("""COMPUTED_VALUE"""),"https://reklama.cncenter.cz/Online/branding-cross-device")</f>
        <v>https://reklama.cncenter.cz/Online/branding-cross-device</v>
      </c>
      <c r="X481" s="3"/>
      <c r="Y481" s="3"/>
      <c r="Z481" s="3" t="str">
        <f ca="1">IFERROR(__xludf.DUMMYFUNCTION("""COMPUTED_VALUE"""),"podklady@cncenter.cz")</f>
        <v>podklady@cncenter.cz</v>
      </c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 t="str">
        <f ca="1">IFERROR(__xludf.DUMMYFUNCTION("""COMPUTED_VALUE"""),"cross-device")</f>
        <v>cross-device</v>
      </c>
      <c r="AO481" s="3"/>
      <c r="AP481" s="3"/>
      <c r="AQ481" s="3"/>
      <c r="AR481" s="3"/>
      <c r="AS481" s="3"/>
      <c r="AT481" s="3"/>
      <c r="AU481" s="3" t="str">
        <f ca="1">IFERROR(__xludf.DUMMYFUNCTION("""COMPUTED_VALUE"""),"branding cross-device")</f>
        <v>branding cross-device</v>
      </c>
    </row>
    <row r="482" spans="1:47" x14ac:dyDescent="0.3">
      <c r="A482" s="3">
        <f ca="1"/>
        <v>2346826</v>
      </c>
      <c r="B482" s="3" t="str">
        <f ca="1"/>
        <v>CZECH NEWS CENTER a. s.</v>
      </c>
      <c r="C482" s="3" t="str">
        <f ca="1">IFERROR(__xludf.DUMMYFUNCTION("""COMPUTED_VALUE"""),"E15")</f>
        <v>E15</v>
      </c>
      <c r="D482" s="3" t="str">
        <f ca="1">IFERROR(__xludf.DUMMYFUNCTION("""COMPUTED_VALUE"""),"https://e15.cz, https://finexpert.cz, https://www.e15.cz/formen")</f>
        <v>https://e15.cz, https://finexpert.cz, https://www.e15.cz/formen</v>
      </c>
      <c r="E482" s="3" t="str">
        <f ca="1">IFERROR(__xludf.DUMMYFUNCTION("""COMPUTED_VALUE"""),"celý web")</f>
        <v>celý web</v>
      </c>
      <c r="F482" s="3" t="str">
        <f ca="1">IFERROR(__xludf.DUMMYFUNCTION("""COMPUTED_VALUE"""),"https://e15.cz, https://finexpert.cz, https://www.e15.cz/formen")</f>
        <v>https://e15.cz, https://finexpert.cz, https://www.e15.cz/formen</v>
      </c>
      <c r="G482" s="3" t="str">
        <f ca="1">IFERROR(__xludf.DUMMYFUNCTION("""COMPUTED_VALUE"""),"branding low season")</f>
        <v>branding low season</v>
      </c>
      <c r="H482" s="3">
        <f ca="1">IFERROR(__xludf.DUMMYFUNCTION("""COMPUTED_VALUE"""),7)</f>
        <v>7</v>
      </c>
      <c r="I482" s="5">
        <f ca="1">IFERROR(__xludf.DUMMYFUNCTION("""COMPUTED_VALUE"""),1000)</f>
        <v>1000</v>
      </c>
      <c r="J482" s="5">
        <f ca="1">IFERROR(__xludf.DUMMYFUNCTION("""COMPUTED_VALUE"""),600)</f>
        <v>600</v>
      </c>
      <c r="K482" s="3"/>
      <c r="L482" s="3" t="str">
        <f ca="1">IFERROR(__xludf.DUMMYFUNCTION("""COMPUTED_VALUE"""),"Cost per period")</f>
        <v>Cost per period</v>
      </c>
      <c r="M482" s="3"/>
      <c r="N482" s="3"/>
      <c r="O482" s="3" t="str">
        <f ca="1">IFERROR(__xludf.DUMMYFUNCTION("""COMPUTED_VALUE"""),"2000")</f>
        <v>2000</v>
      </c>
      <c r="P482" s="3" t="str">
        <f ca="1">IFERROR(__xludf.DUMMYFUNCTION("""COMPUTED_VALUE"""),"1400")</f>
        <v>1400</v>
      </c>
      <c r="Q482" s="3" t="str">
        <f ca="1">IFERROR(__xludf.DUMMYFUNCTION("""COMPUTED_VALUE"""),"2000x1400")</f>
        <v>2000x1400</v>
      </c>
      <c r="R482" s="3"/>
      <c r="S482" s="3" t="str">
        <f ca="1">IFERROR(__xludf.DUMMYFUNCTION("""COMPUTED_VALUE"""),"500 + 200 (600+200 HTML5)")</f>
        <v>500 + 200 (600+200 HTML5)</v>
      </c>
      <c r="T482" s="3"/>
      <c r="U482" s="3" t="str">
        <f ca="1">IFERROR(__xludf.DUMMYFUNCTION("""COMPUTED_VALUE"""),"banner standard")</f>
        <v>banner standard</v>
      </c>
      <c r="V482" s="3"/>
      <c r="W482" s="4" t="str">
        <f ca="1">IFERROR(__xludf.DUMMYFUNCTION("""COMPUTED_VALUE"""),"https://reklama.cncenter.cz/Online/branding")</f>
        <v>https://reklama.cncenter.cz/Online/branding</v>
      </c>
      <c r="X482" s="3"/>
      <c r="Y482" s="3"/>
      <c r="Z482" s="3" t="str">
        <f ca="1">IFERROR(__xludf.DUMMYFUNCTION("""COMPUTED_VALUE"""),"podklady@cncenter.cz")</f>
        <v>podklady@cncenter.cz</v>
      </c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 t="str">
        <f ca="1">IFERROR(__xludf.DUMMYFUNCTION("""COMPUTED_VALUE"""),"desktop")</f>
        <v>desktop</v>
      </c>
      <c r="AO482" s="3"/>
      <c r="AP482" s="3"/>
      <c r="AQ482" s="3"/>
      <c r="AR482" s="3"/>
      <c r="AS482" s="3"/>
      <c r="AT482" s="3"/>
      <c r="AU482" s="3" t="str">
        <f ca="1">IFERROR(__xludf.DUMMYFUNCTION("""COMPUTED_VALUE"""),"branding")</f>
        <v>branding</v>
      </c>
    </row>
    <row r="483" spans="1:47" x14ac:dyDescent="0.3">
      <c r="A483" s="3">
        <f ca="1"/>
        <v>2346826</v>
      </c>
      <c r="B483" s="3" t="str">
        <f ca="1"/>
        <v>CZECH NEWS CENTER a. s.</v>
      </c>
      <c r="C483" s="3" t="str">
        <f ca="1">IFERROR(__xludf.DUMMYFUNCTION("""COMPUTED_VALUE"""),"E15")</f>
        <v>E15</v>
      </c>
      <c r="D483" s="3" t="str">
        <f ca="1">IFERROR(__xludf.DUMMYFUNCTION("""COMPUTED_VALUE"""),"https://e15.cz, https://finexpert.cz, https://www.e15.cz/formen")</f>
        <v>https://e15.cz, https://finexpert.cz, https://www.e15.cz/formen</v>
      </c>
      <c r="E483" s="3" t="str">
        <f ca="1">IFERROR(__xludf.DUMMYFUNCTION("""COMPUTED_VALUE"""),"celý web")</f>
        <v>celý web</v>
      </c>
      <c r="F483" s="3" t="str">
        <f ca="1">IFERROR(__xludf.DUMMYFUNCTION("""COMPUTED_VALUE"""),"https://e15.cz, https://finexpert.cz, https://www.e15.cz/formen")</f>
        <v>https://e15.cz, https://finexpert.cz, https://www.e15.cz/formen</v>
      </c>
      <c r="G483" s="3" t="str">
        <f ca="1">IFERROR(__xludf.DUMMYFUNCTION("""COMPUTED_VALUE"""),"cílený billboard bottom low season")</f>
        <v>cílený billboard bottom low season</v>
      </c>
      <c r="H483" s="3">
        <f ca="1">IFERROR(__xludf.DUMMYFUNCTION("""COMPUTED_VALUE"""),7)</f>
        <v>7</v>
      </c>
      <c r="I483" s="5">
        <f ca="1">IFERROR(__xludf.DUMMYFUNCTION("""COMPUTED_VALUE"""),1000)</f>
        <v>1000</v>
      </c>
      <c r="J483" s="5">
        <f ca="1">IFERROR(__xludf.DUMMYFUNCTION("""COMPUTED_VALUE"""),408)</f>
        <v>408</v>
      </c>
      <c r="K483" s="3"/>
      <c r="L483" s="3" t="str">
        <f ca="1">IFERROR(__xludf.DUMMYFUNCTION("""COMPUTED_VALUE"""),"Cost per period")</f>
        <v>Cost per period</v>
      </c>
      <c r="M483" s="3"/>
      <c r="N483" s="3"/>
      <c r="O483" s="3" t="str">
        <f ca="1">IFERROR(__xludf.DUMMYFUNCTION("""COMPUTED_VALUE"""),"970")</f>
        <v>970</v>
      </c>
      <c r="P483" s="3" t="str">
        <f ca="1">IFERROR(__xludf.DUMMYFUNCTION("""COMPUTED_VALUE"""),"250")</f>
        <v>250</v>
      </c>
      <c r="Q483" s="3" t="str">
        <f ca="1">IFERROR(__xludf.DUMMYFUNCTION("""COMPUTED_VALUE"""),"970x250")</f>
        <v>970x250</v>
      </c>
      <c r="R483" s="3"/>
      <c r="S483" s="3" t="str">
        <f ca="1">IFERROR(__xludf.DUMMYFUNCTION("""COMPUTED_VALUE"""),"100 (200 - HTML5)")</f>
        <v>100 (200 - HTML5)</v>
      </c>
      <c r="T483" s="3"/>
      <c r="U483" s="3" t="str">
        <f ca="1">IFERROR(__xludf.DUMMYFUNCTION("""COMPUTED_VALUE"""),"banner standard")</f>
        <v>banner standard</v>
      </c>
      <c r="V483" s="3"/>
      <c r="W483" s="4" t="str">
        <f ca="1">IFERROR(__xludf.DUMMYFUNCTION("""COMPUTED_VALUE"""),"https://reklama.cncenter.cz/Online/billboard-bottom")</f>
        <v>https://reklama.cncenter.cz/Online/billboard-bottom</v>
      </c>
      <c r="X483" s="3"/>
      <c r="Y483" s="3"/>
      <c r="Z483" s="3" t="str">
        <f ca="1">IFERROR(__xludf.DUMMYFUNCTION("""COMPUTED_VALUE"""),"podklady@cncenter.cz")</f>
        <v>podklady@cncenter.cz</v>
      </c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 t="str">
        <f ca="1">IFERROR(__xludf.DUMMYFUNCTION("""COMPUTED_VALUE"""),"desktop")</f>
        <v>desktop</v>
      </c>
      <c r="AO483" s="3"/>
      <c r="AP483" s="3"/>
      <c r="AQ483" s="3"/>
      <c r="AR483" s="3"/>
      <c r="AS483" s="3"/>
      <c r="AT483" s="3"/>
      <c r="AU483" s="3" t="str">
        <f ca="1">IFERROR(__xludf.DUMMYFUNCTION("""COMPUTED_VALUE"""),"cílený billboard bottom")</f>
        <v>cílený billboard bottom</v>
      </c>
    </row>
    <row r="484" spans="1:47" x14ac:dyDescent="0.3">
      <c r="A484" s="3">
        <f ca="1"/>
        <v>2346826</v>
      </c>
      <c r="B484" s="3" t="str">
        <f ca="1"/>
        <v>CZECH NEWS CENTER a. s.</v>
      </c>
      <c r="C484" s="3" t="str">
        <f ca="1">IFERROR(__xludf.DUMMYFUNCTION("""COMPUTED_VALUE"""),"E15")</f>
        <v>E15</v>
      </c>
      <c r="D484" s="3" t="str">
        <f ca="1">IFERROR(__xludf.DUMMYFUNCTION("""COMPUTED_VALUE"""),"https://e15.cz, https://finexpert.cz, https://www.e15.cz/formen")</f>
        <v>https://e15.cz, https://finexpert.cz, https://www.e15.cz/formen</v>
      </c>
      <c r="E484" s="3" t="str">
        <f ca="1">IFERROR(__xludf.DUMMYFUNCTION("""COMPUTED_VALUE"""),"celý web")</f>
        <v>celý web</v>
      </c>
      <c r="F484" s="3" t="str">
        <f ca="1">IFERROR(__xludf.DUMMYFUNCTION("""COMPUTED_VALUE"""),"https://e15.cz, https://finexpert.cz, https://www.e15.cz/formen")</f>
        <v>https://e15.cz, https://finexpert.cz, https://www.e15.cz/formen</v>
      </c>
      <c r="G484" s="3" t="str">
        <f ca="1">IFERROR(__xludf.DUMMYFUNCTION("""COMPUTED_VALUE"""),"cílený branding cross-device low season")</f>
        <v>cílený branding cross-device low season</v>
      </c>
      <c r="H484" s="3">
        <f ca="1">IFERROR(__xludf.DUMMYFUNCTION("""COMPUTED_VALUE"""),7)</f>
        <v>7</v>
      </c>
      <c r="I484" s="5">
        <f ca="1">IFERROR(__xludf.DUMMYFUNCTION("""COMPUTED_VALUE"""),1000)</f>
        <v>1000</v>
      </c>
      <c r="J484" s="5">
        <f ca="1">IFERROR(__xludf.DUMMYFUNCTION("""COMPUTED_VALUE"""),480)</f>
        <v>480</v>
      </c>
      <c r="K484" s="3"/>
      <c r="L484" s="3" t="str">
        <f ca="1">IFERROR(__xludf.DUMMYFUNCTION("""COMPUTED_VALUE"""),"Cost per period")</f>
        <v>Cost per period</v>
      </c>
      <c r="M484" s="3"/>
      <c r="N484" s="3"/>
      <c r="O484" s="3" t="str">
        <f ca="1">IFERROR(__xludf.DUMMYFUNCTION("""COMPUTED_VALUE"""),"2000")</f>
        <v>2000</v>
      </c>
      <c r="P484" s="3" t="str">
        <f ca="1">IFERROR(__xludf.DUMMYFUNCTION("""COMPUTED_VALUE"""),"1400")</f>
        <v>1400</v>
      </c>
      <c r="Q484" s="3" t="str">
        <f ca="1">IFERROR(__xludf.DUMMYFUNCTION("""COMPUTED_VALUE"""),"2000x1400 + 600x1080")</f>
        <v>2000x1400 + 600x1080</v>
      </c>
      <c r="R484" s="3"/>
      <c r="S484" s="3" t="str">
        <f ca="1">IFERROR(__xludf.DUMMYFUNCTION("""COMPUTED_VALUE"""),"500 (600 - HTLM5)")</f>
        <v>500 (600 - HTLM5)</v>
      </c>
      <c r="T484" s="3"/>
      <c r="U484" s="3" t="str">
        <f ca="1">IFERROR(__xludf.DUMMYFUNCTION("""COMPUTED_VALUE"""),"banner standard")</f>
        <v>banner standard</v>
      </c>
      <c r="V484" s="3"/>
      <c r="W484" s="4" t="str">
        <f ca="1">IFERROR(__xludf.DUMMYFUNCTION("""COMPUTED_VALUE"""),"https://reklama.cncenter.cz/Online/branding-cross-device")</f>
        <v>https://reklama.cncenter.cz/Online/branding-cross-device</v>
      </c>
      <c r="X484" s="3"/>
      <c r="Y484" s="3"/>
      <c r="Z484" s="3" t="str">
        <f ca="1">IFERROR(__xludf.DUMMYFUNCTION("""COMPUTED_VALUE"""),"podklady@cncenter.cz")</f>
        <v>podklady@cncenter.cz</v>
      </c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 t="str">
        <f ca="1">IFERROR(__xludf.DUMMYFUNCTION("""COMPUTED_VALUE"""),"cross-device")</f>
        <v>cross-device</v>
      </c>
      <c r="AO484" s="3"/>
      <c r="AP484" s="3"/>
      <c r="AQ484" s="3"/>
      <c r="AR484" s="3"/>
      <c r="AS484" s="3"/>
      <c r="AT484" s="3"/>
      <c r="AU484" s="3" t="str">
        <f ca="1">IFERROR(__xludf.DUMMYFUNCTION("""COMPUTED_VALUE"""),"cílený branding cross-device")</f>
        <v>cílený branding cross-device</v>
      </c>
    </row>
    <row r="485" spans="1:47" x14ac:dyDescent="0.3">
      <c r="A485" s="3">
        <f ca="1"/>
        <v>2346826</v>
      </c>
      <c r="B485" s="3" t="str">
        <f ca="1"/>
        <v>CZECH NEWS CENTER a. s.</v>
      </c>
      <c r="C485" s="3" t="str">
        <f ca="1">IFERROR(__xludf.DUMMYFUNCTION("""COMPUTED_VALUE"""),"E15")</f>
        <v>E15</v>
      </c>
      <c r="D485" s="3" t="str">
        <f ca="1">IFERROR(__xludf.DUMMYFUNCTION("""COMPUTED_VALUE"""),"https://e15.cz, https://finexpert.cz, https://www.e15.cz/formen")</f>
        <v>https://e15.cz, https://finexpert.cz, https://www.e15.cz/formen</v>
      </c>
      <c r="E485" s="3" t="str">
        <f ca="1">IFERROR(__xludf.DUMMYFUNCTION("""COMPUTED_VALUE"""),"celý web")</f>
        <v>celý web</v>
      </c>
      <c r="F485" s="3" t="str">
        <f ca="1">IFERROR(__xludf.DUMMYFUNCTION("""COMPUTED_VALUE"""),"https://e15.cz, https://finexpert.cz, https://www.e15.cz/formen")</f>
        <v>https://e15.cz, https://finexpert.cz, https://www.e15.cz/formen</v>
      </c>
      <c r="G485" s="3" t="str">
        <f ca="1">IFERROR(__xludf.DUMMYFUNCTION("""COMPUTED_VALUE"""),"cílený branding low season")</f>
        <v>cílený branding low season</v>
      </c>
      <c r="H485" s="3">
        <f ca="1">IFERROR(__xludf.DUMMYFUNCTION("""COMPUTED_VALUE"""),7)</f>
        <v>7</v>
      </c>
      <c r="I485" s="5">
        <f ca="1">IFERROR(__xludf.DUMMYFUNCTION("""COMPUTED_VALUE"""),1000)</f>
        <v>1000</v>
      </c>
      <c r="J485" s="5">
        <f ca="1">IFERROR(__xludf.DUMMYFUNCTION("""COMPUTED_VALUE"""),720)</f>
        <v>720</v>
      </c>
      <c r="K485" s="3"/>
      <c r="L485" s="3" t="str">
        <f ca="1">IFERROR(__xludf.DUMMYFUNCTION("""COMPUTED_VALUE"""),"Cost per period")</f>
        <v>Cost per period</v>
      </c>
      <c r="M485" s="3"/>
      <c r="N485" s="3"/>
      <c r="O485" s="3" t="str">
        <f ca="1">IFERROR(__xludf.DUMMYFUNCTION("""COMPUTED_VALUE"""),"2000")</f>
        <v>2000</v>
      </c>
      <c r="P485" s="3" t="str">
        <f ca="1">IFERROR(__xludf.DUMMYFUNCTION("""COMPUTED_VALUE"""),"1400")</f>
        <v>1400</v>
      </c>
      <c r="Q485" s="3" t="str">
        <f ca="1">IFERROR(__xludf.DUMMYFUNCTION("""COMPUTED_VALUE"""),"2000x1400")</f>
        <v>2000x1400</v>
      </c>
      <c r="R485" s="3"/>
      <c r="S485" s="3" t="str">
        <f ca="1">IFERROR(__xludf.DUMMYFUNCTION("""COMPUTED_VALUE"""),"500 + 200 (600+200 HTML5)")</f>
        <v>500 + 200 (600+200 HTML5)</v>
      </c>
      <c r="T485" s="3"/>
      <c r="U485" s="3" t="str">
        <f ca="1">IFERROR(__xludf.DUMMYFUNCTION("""COMPUTED_VALUE"""),"banner standard")</f>
        <v>banner standard</v>
      </c>
      <c r="V485" s="3"/>
      <c r="W485" s="4" t="str">
        <f ca="1">IFERROR(__xludf.DUMMYFUNCTION("""COMPUTED_VALUE"""),"https://reklama.cncenter.cz/Online/branding")</f>
        <v>https://reklama.cncenter.cz/Online/branding</v>
      </c>
      <c r="X485" s="3"/>
      <c r="Y485" s="3"/>
      <c r="Z485" s="3" t="str">
        <f ca="1">IFERROR(__xludf.DUMMYFUNCTION("""COMPUTED_VALUE"""),"podklady@cncenter.cz")</f>
        <v>podklady@cncenter.cz</v>
      </c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 t="str">
        <f ca="1">IFERROR(__xludf.DUMMYFUNCTION("""COMPUTED_VALUE"""),"desktop")</f>
        <v>desktop</v>
      </c>
      <c r="AO485" s="3"/>
      <c r="AP485" s="3"/>
      <c r="AQ485" s="3"/>
      <c r="AR485" s="3"/>
      <c r="AS485" s="3"/>
      <c r="AT485" s="3"/>
      <c r="AU485" s="3" t="str">
        <f ca="1">IFERROR(__xludf.DUMMYFUNCTION("""COMPUTED_VALUE"""),"cílený branding")</f>
        <v>cílený branding</v>
      </c>
    </row>
    <row r="486" spans="1:47" x14ac:dyDescent="0.3">
      <c r="A486" s="3">
        <f ca="1"/>
        <v>2346826</v>
      </c>
      <c r="B486" s="3" t="str">
        <f ca="1"/>
        <v>CZECH NEWS CENTER a. s.</v>
      </c>
      <c r="C486" s="3" t="str">
        <f ca="1">IFERROR(__xludf.DUMMYFUNCTION("""COMPUTED_VALUE"""),"E15")</f>
        <v>E15</v>
      </c>
      <c r="D486" s="3" t="str">
        <f ca="1">IFERROR(__xludf.DUMMYFUNCTION("""COMPUTED_VALUE"""),"https://e15.cz, https://finexpert.cz, https://www.e15.cz/formen")</f>
        <v>https://e15.cz, https://finexpert.cz, https://www.e15.cz/formen</v>
      </c>
      <c r="E486" s="3" t="str">
        <f ca="1">IFERROR(__xludf.DUMMYFUNCTION("""COMPUTED_VALUE"""),"celý web")</f>
        <v>celý web</v>
      </c>
      <c r="F486" s="3" t="str">
        <f ca="1">IFERROR(__xludf.DUMMYFUNCTION("""COMPUTED_VALUE"""),"https://e15.cz, https://finexpert.cz, https://www.e15.cz/formen")</f>
        <v>https://e15.cz, https://finexpert.cz, https://www.e15.cz/formen</v>
      </c>
      <c r="G486" s="3" t="str">
        <f ca="1">IFERROR(__xludf.DUMMYFUNCTION("""COMPUTED_VALUE"""),"cílený double skyscraper low season")</f>
        <v>cílený double skyscraper low season</v>
      </c>
      <c r="H486" s="3">
        <f ca="1">IFERROR(__xludf.DUMMYFUNCTION("""COMPUTED_VALUE"""),7)</f>
        <v>7</v>
      </c>
      <c r="I486" s="5">
        <f ca="1">IFERROR(__xludf.DUMMYFUNCTION("""COMPUTED_VALUE"""),1000)</f>
        <v>1000</v>
      </c>
      <c r="J486" s="5">
        <f ca="1">IFERROR(__xludf.DUMMYFUNCTION("""COMPUTED_VALUE"""),300)</f>
        <v>300</v>
      </c>
      <c r="K486" s="3"/>
      <c r="L486" s="3" t="str">
        <f ca="1">IFERROR(__xludf.DUMMYFUNCTION("""COMPUTED_VALUE"""),"Cost per period")</f>
        <v>Cost per period</v>
      </c>
      <c r="M486" s="3"/>
      <c r="N486" s="3"/>
      <c r="O486" s="3" t="str">
        <f ca="1">IFERROR(__xludf.DUMMYFUNCTION("""COMPUTED_VALUE"""),"300")</f>
        <v>300</v>
      </c>
      <c r="P486" s="3" t="str">
        <f ca="1">IFERROR(__xludf.DUMMYFUNCTION("""COMPUTED_VALUE"""),"600")</f>
        <v>600</v>
      </c>
      <c r="Q486" s="3" t="str">
        <f ca="1">IFERROR(__xludf.DUMMYFUNCTION("""COMPUTED_VALUE"""),"300x600")</f>
        <v>300x600</v>
      </c>
      <c r="R486" s="3"/>
      <c r="S486" s="3" t="str">
        <f ca="1">IFERROR(__xludf.DUMMYFUNCTION("""COMPUTED_VALUE"""),"100 (200 - HTML5)")</f>
        <v>100 (200 - HTML5)</v>
      </c>
      <c r="T486" s="3"/>
      <c r="U486" s="3" t="str">
        <f ca="1">IFERROR(__xludf.DUMMYFUNCTION("""COMPUTED_VALUE"""),"banner standard")</f>
        <v>banner standard</v>
      </c>
      <c r="V486" s="3"/>
      <c r="W486" s="4" t="str">
        <f ca="1">IFERROR(__xludf.DUMMYFUNCTION("""COMPUTED_VALUE"""),"https://reklama.cncenter.cz/Online/double-skyscraper")</f>
        <v>https://reklama.cncenter.cz/Online/double-skyscraper</v>
      </c>
      <c r="X486" s="3"/>
      <c r="Y486" s="3"/>
      <c r="Z486" s="3" t="str">
        <f ca="1">IFERROR(__xludf.DUMMYFUNCTION("""COMPUTED_VALUE"""),"podklady@cncenter.cz")</f>
        <v>podklady@cncenter.cz</v>
      </c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 t="str">
        <f ca="1">IFERROR(__xludf.DUMMYFUNCTION("""COMPUTED_VALUE"""),"desktop")</f>
        <v>desktop</v>
      </c>
      <c r="AO486" s="3"/>
      <c r="AP486" s="3"/>
      <c r="AQ486" s="3"/>
      <c r="AR486" s="3"/>
      <c r="AS486" s="3"/>
      <c r="AT486" s="3"/>
      <c r="AU486" s="3" t="str">
        <f ca="1">IFERROR(__xludf.DUMMYFUNCTION("""COMPUTED_VALUE"""),"cílený double skyscraper")</f>
        <v>cílený double skyscraper</v>
      </c>
    </row>
    <row r="487" spans="1:47" x14ac:dyDescent="0.3">
      <c r="A487" s="3">
        <f ca="1"/>
        <v>2346826</v>
      </c>
      <c r="B487" s="3" t="str">
        <f ca="1"/>
        <v>CZECH NEWS CENTER a. s.</v>
      </c>
      <c r="C487" s="3" t="str">
        <f ca="1">IFERROR(__xludf.DUMMYFUNCTION("""COMPUTED_VALUE"""),"E15")</f>
        <v>E15</v>
      </c>
      <c r="D487" s="3" t="str">
        <f ca="1">IFERROR(__xludf.DUMMYFUNCTION("""COMPUTED_VALUE"""),"https://e15.cz, https://finexpert.cz, https://www.e15.cz/formen")</f>
        <v>https://e15.cz, https://finexpert.cz, https://www.e15.cz/formen</v>
      </c>
      <c r="E487" s="3" t="str">
        <f ca="1">IFERROR(__xludf.DUMMYFUNCTION("""COMPUTED_VALUE"""),"celý web")</f>
        <v>celý web</v>
      </c>
      <c r="F487" s="3" t="str">
        <f ca="1">IFERROR(__xludf.DUMMYFUNCTION("""COMPUTED_VALUE"""),"https://e15.cz, https://finexpert.cz, https://www.e15.cz/formen")</f>
        <v>https://e15.cz, https://finexpert.cz, https://www.e15.cz/formen</v>
      </c>
      <c r="G487" s="3" t="str">
        <f ca="1">IFERROR(__xludf.DUMMYFUNCTION("""COMPUTED_VALUE"""),"cílený mini videospot - max. 30 sec. low season")</f>
        <v>cílený mini videospot - max. 30 sec. low season</v>
      </c>
      <c r="H487" s="3">
        <f ca="1">IFERROR(__xludf.DUMMYFUNCTION("""COMPUTED_VALUE"""),7)</f>
        <v>7</v>
      </c>
      <c r="I487" s="5">
        <f ca="1">IFERROR(__xludf.DUMMYFUNCTION("""COMPUTED_VALUE"""),1000)</f>
        <v>1000</v>
      </c>
      <c r="J487" s="5">
        <f ca="1">IFERROR(__xludf.DUMMYFUNCTION("""COMPUTED_VALUE"""),288)</f>
        <v>288</v>
      </c>
      <c r="K487" s="3"/>
      <c r="L487" s="3" t="str">
        <f ca="1">IFERROR(__xludf.DUMMYFUNCTION("""COMPUTED_VALUE"""),"Cost per period")</f>
        <v>Cost per period</v>
      </c>
      <c r="M487" s="3"/>
      <c r="N487" s="3"/>
      <c r="O487" s="3"/>
      <c r="P487" s="3"/>
      <c r="Q487" s="3" t="str">
        <f ca="1">IFERROR(__xludf.DUMMYFUNCTION("""COMPUTED_VALUE"""),"16:9 / umístění po domluvě dle možností")</f>
        <v>16:9 / umístění po domluvě dle možností</v>
      </c>
      <c r="R487" s="3" t="str">
        <f ca="1">IFERROR(__xludf.DUMMYFUNCTION("""COMPUTED_VALUE"""),"přeskočení po 7 sekundách")</f>
        <v>přeskočení po 7 sekundách</v>
      </c>
      <c r="S487" s="3" t="str">
        <f ca="1">IFERROR(__xludf.DUMMYFUNCTION("""COMPUTED_VALUE"""),"100")</f>
        <v>100</v>
      </c>
      <c r="T487" s="3"/>
      <c r="U487" s="3" t="str">
        <f ca="1">IFERROR(__xludf.DUMMYFUNCTION("""COMPUTED_VALUE"""),"videospot")</f>
        <v>videospot</v>
      </c>
      <c r="V487" s="3"/>
      <c r="W487" s="4" t="str">
        <f ca="1">IFERROR(__xludf.DUMMYFUNCTION("""COMPUTED_VALUE"""),"https://reklama.cncenter.cz/Online/Videospot")</f>
        <v>https://reklama.cncenter.cz/Online/Videospot</v>
      </c>
      <c r="X487" s="3"/>
      <c r="Y487" s="3"/>
      <c r="Z487" s="3" t="str">
        <f ca="1">IFERROR(__xludf.DUMMYFUNCTION("""COMPUTED_VALUE"""),"podklady@cncenter.cz")</f>
        <v>podklady@cncenter.cz</v>
      </c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 t="str">
        <f ca="1">IFERROR(__xludf.DUMMYFUNCTION("""COMPUTED_VALUE"""),"desktop")</f>
        <v>desktop</v>
      </c>
      <c r="AO487" s="3"/>
      <c r="AP487" s="3"/>
      <c r="AQ487" s="3"/>
      <c r="AR487" s="3"/>
      <c r="AS487" s="3"/>
      <c r="AT487" s="3"/>
      <c r="AU487" s="3" t="str">
        <f ca="1">IFERROR(__xludf.DUMMYFUNCTION("""COMPUTED_VALUE"""),"cílený mini videospot - max. 30 sec.")</f>
        <v>cílený mini videospot - max. 30 sec.</v>
      </c>
    </row>
    <row r="488" spans="1:47" x14ac:dyDescent="0.3">
      <c r="A488" s="3">
        <f ca="1"/>
        <v>2346826</v>
      </c>
      <c r="B488" s="3" t="str">
        <f ca="1"/>
        <v>CZECH NEWS CENTER a. s.</v>
      </c>
      <c r="C488" s="3" t="str">
        <f ca="1">IFERROR(__xludf.DUMMYFUNCTION("""COMPUTED_VALUE"""),"E15")</f>
        <v>E15</v>
      </c>
      <c r="D488" s="3" t="str">
        <f ca="1">IFERROR(__xludf.DUMMYFUNCTION("""COMPUTED_VALUE"""),"https://e15.cz, https://finexpert.cz, https://www.e15.cz/formen")</f>
        <v>https://e15.cz, https://finexpert.cz, https://www.e15.cz/formen</v>
      </c>
      <c r="E488" s="3" t="str">
        <f ca="1">IFERROR(__xludf.DUMMYFUNCTION("""COMPUTED_VALUE"""),"celý web")</f>
        <v>celý web</v>
      </c>
      <c r="F488" s="3" t="str">
        <f ca="1">IFERROR(__xludf.DUMMYFUNCTION("""COMPUTED_VALUE"""),"https://e15.cz, https://finexpert.cz, https://www.e15.cz/formen")</f>
        <v>https://e15.cz, https://finexpert.cz, https://www.e15.cz/formen</v>
      </c>
      <c r="G488" s="3" t="str">
        <f ca="1">IFERROR(__xludf.DUMMYFUNCTION("""COMPUTED_VALUE"""),"cílený mobilní interscroller low season")</f>
        <v>cílený mobilní interscroller low season</v>
      </c>
      <c r="H488" s="3">
        <f ca="1">IFERROR(__xludf.DUMMYFUNCTION("""COMPUTED_VALUE"""),7)</f>
        <v>7</v>
      </c>
      <c r="I488" s="5">
        <f ca="1">IFERROR(__xludf.DUMMYFUNCTION("""COMPUTED_VALUE"""),1000)</f>
        <v>1000</v>
      </c>
      <c r="J488" s="5">
        <f ca="1">IFERROR(__xludf.DUMMYFUNCTION("""COMPUTED_VALUE"""),360)</f>
        <v>360</v>
      </c>
      <c r="K488" s="3"/>
      <c r="L488" s="3" t="str">
        <f ca="1">IFERROR(__xludf.DUMMYFUNCTION("""COMPUTED_VALUE"""),"Cost per period")</f>
        <v>Cost per period</v>
      </c>
      <c r="M488" s="3"/>
      <c r="N488" s="3"/>
      <c r="O488" s="3" t="str">
        <f ca="1">IFERROR(__xludf.DUMMYFUNCTION("""COMPUTED_VALUE"""),"600")</f>
        <v>600</v>
      </c>
      <c r="P488" s="3" t="str">
        <f ca="1">IFERROR(__xludf.DUMMYFUNCTION("""COMPUTED_VALUE"""),"1080")</f>
        <v>1080</v>
      </c>
      <c r="Q488" s="3" t="str">
        <f ca="1">IFERROR(__xludf.DUMMYFUNCTION("""COMPUTED_VALUE"""),"600x1080")</f>
        <v>600x1080</v>
      </c>
      <c r="R488" s="3"/>
      <c r="S488" s="3" t="str">
        <f ca="1">IFERROR(__xludf.DUMMYFUNCTION("""COMPUTED_VALUE"""),"200")</f>
        <v>200</v>
      </c>
      <c r="T488" s="3"/>
      <c r="U488" s="3" t="str">
        <f ca="1">IFERROR(__xludf.DUMMYFUNCTION("""COMPUTED_VALUE"""),"banner standard")</f>
        <v>banner standard</v>
      </c>
      <c r="V488" s="3"/>
      <c r="W488" s="4" t="str">
        <f ca="1">IFERROR(__xludf.DUMMYFUNCTION("""COMPUTED_VALUE"""),"https://reklama.cncenter.cz/Online/mobilni-interscroller")</f>
        <v>https://reklama.cncenter.cz/Online/mobilni-interscroller</v>
      </c>
      <c r="X488" s="3"/>
      <c r="Y488" s="3"/>
      <c r="Z488" s="3" t="str">
        <f ca="1">IFERROR(__xludf.DUMMYFUNCTION("""COMPUTED_VALUE"""),"podklady@cncenter.cz")</f>
        <v>podklady@cncenter.cz</v>
      </c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 t="str">
        <f ca="1">IFERROR(__xludf.DUMMYFUNCTION("""COMPUTED_VALUE"""),"mobile")</f>
        <v>mobile</v>
      </c>
      <c r="AO488" s="3"/>
      <c r="AP488" s="3"/>
      <c r="AQ488" s="3"/>
      <c r="AR488" s="3"/>
      <c r="AS488" s="3"/>
      <c r="AT488" s="3"/>
      <c r="AU488" s="3" t="str">
        <f ca="1">IFERROR(__xludf.DUMMYFUNCTION("""COMPUTED_VALUE"""),"cílený mobilní interscroller")</f>
        <v>cílený mobilní interscroller</v>
      </c>
    </row>
    <row r="489" spans="1:47" x14ac:dyDescent="0.3">
      <c r="A489" s="3">
        <f ca="1"/>
        <v>2346826</v>
      </c>
      <c r="B489" s="3" t="str">
        <f ca="1"/>
        <v>CZECH NEWS CENTER a. s.</v>
      </c>
      <c r="C489" s="3" t="str">
        <f ca="1">IFERROR(__xludf.DUMMYFUNCTION("""COMPUTED_VALUE"""),"E15")</f>
        <v>E15</v>
      </c>
      <c r="D489" s="3" t="str">
        <f ca="1">IFERROR(__xludf.DUMMYFUNCTION("""COMPUTED_VALUE"""),"https://e15.cz, https://finexpert.cz, https://www.e15.cz/formen")</f>
        <v>https://e15.cz, https://finexpert.cz, https://www.e15.cz/formen</v>
      </c>
      <c r="E489" s="3" t="str">
        <f ca="1">IFERROR(__xludf.DUMMYFUNCTION("""COMPUTED_VALUE"""),"celý web")</f>
        <v>celý web</v>
      </c>
      <c r="F489" s="3" t="str">
        <f ca="1">IFERROR(__xludf.DUMMYFUNCTION("""COMPUTED_VALUE"""),"https://e15.cz, https://finexpert.cz, https://www.e15.cz/formen")</f>
        <v>https://e15.cz, https://finexpert.cz, https://www.e15.cz/formen</v>
      </c>
      <c r="G489" s="3" t="str">
        <f ca="1">IFERROR(__xludf.DUMMYFUNCTION("""COMPUTED_VALUE"""),"cílený mobilní slide-up low season")</f>
        <v>cílený mobilní slide-up low season</v>
      </c>
      <c r="H489" s="3">
        <f ca="1">IFERROR(__xludf.DUMMYFUNCTION("""COMPUTED_VALUE"""),7)</f>
        <v>7</v>
      </c>
      <c r="I489" s="5">
        <f ca="1">IFERROR(__xludf.DUMMYFUNCTION("""COMPUTED_VALUE"""),1000)</f>
        <v>1000</v>
      </c>
      <c r="J489" s="5">
        <f ca="1">IFERROR(__xludf.DUMMYFUNCTION("""COMPUTED_VALUE"""),828)</f>
        <v>828</v>
      </c>
      <c r="K489" s="3"/>
      <c r="L489" s="3" t="str">
        <f ca="1">IFERROR(__xludf.DUMMYFUNCTION("""COMPUTED_VALUE"""),"Cost per period")</f>
        <v>Cost per period</v>
      </c>
      <c r="M489" s="3"/>
      <c r="N489" s="3"/>
      <c r="O489" s="3" t="str">
        <f ca="1">IFERROR(__xludf.DUMMYFUNCTION("""COMPUTED_VALUE"""),"300")</f>
        <v>300</v>
      </c>
      <c r="P489" s="3" t="str">
        <f ca="1">IFERROR(__xludf.DUMMYFUNCTION("""COMPUTED_VALUE"""),"120")</f>
        <v>120</v>
      </c>
      <c r="Q489" s="3" t="str">
        <f ca="1">IFERROR(__xludf.DUMMYFUNCTION("""COMPUTED_VALUE"""),"300x120")</f>
        <v>300x120</v>
      </c>
      <c r="R489" s="3"/>
      <c r="S489" s="3" t="str">
        <f ca="1">IFERROR(__xludf.DUMMYFUNCTION("""COMPUTED_VALUE"""),"100")</f>
        <v>100</v>
      </c>
      <c r="T489" s="3"/>
      <c r="U489" s="3" t="str">
        <f ca="1">IFERROR(__xludf.DUMMYFUNCTION("""COMPUTED_VALUE"""),"banner standard")</f>
        <v>banner standard</v>
      </c>
      <c r="V489" s="3"/>
      <c r="W489" s="4" t="str">
        <f ca="1">IFERROR(__xludf.DUMMYFUNCTION("""COMPUTED_VALUE"""),"https://reklama.cncenter.cz/Online/mobilni-slide-up")</f>
        <v>https://reklama.cncenter.cz/Online/mobilni-slide-up</v>
      </c>
      <c r="X489" s="3"/>
      <c r="Y489" s="3"/>
      <c r="Z489" s="3" t="str">
        <f ca="1">IFERROR(__xludf.DUMMYFUNCTION("""COMPUTED_VALUE"""),"podklady@cncenter.cz")</f>
        <v>podklady@cncenter.cz</v>
      </c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 t="str">
        <f ca="1">IFERROR(__xludf.DUMMYFUNCTION("""COMPUTED_VALUE"""),"mobile")</f>
        <v>mobile</v>
      </c>
      <c r="AO489" s="3"/>
      <c r="AP489" s="3"/>
      <c r="AQ489" s="3"/>
      <c r="AR489" s="3"/>
      <c r="AS489" s="3"/>
      <c r="AT489" s="3"/>
      <c r="AU489" s="3" t="str">
        <f ca="1">IFERROR(__xludf.DUMMYFUNCTION("""COMPUTED_VALUE"""),"cílený mobilní slide-up")</f>
        <v>cílený mobilní slide-up</v>
      </c>
    </row>
    <row r="490" spans="1:47" x14ac:dyDescent="0.3">
      <c r="A490" s="3">
        <f ca="1"/>
        <v>2346826</v>
      </c>
      <c r="B490" s="3" t="str">
        <f ca="1"/>
        <v>CZECH NEWS CENTER a. s.</v>
      </c>
      <c r="C490" s="3" t="str">
        <f ca="1">IFERROR(__xludf.DUMMYFUNCTION("""COMPUTED_VALUE"""),"E15")</f>
        <v>E15</v>
      </c>
      <c r="D490" s="3" t="str">
        <f ca="1">IFERROR(__xludf.DUMMYFUNCTION("""COMPUTED_VALUE"""),"https://e15.cz, https://finexpert.cz, https://www.e15.cz/formen")</f>
        <v>https://e15.cz, https://finexpert.cz, https://www.e15.cz/formen</v>
      </c>
      <c r="E490" s="3" t="str">
        <f ca="1">IFERROR(__xludf.DUMMYFUNCTION("""COMPUTED_VALUE"""),"celý web")</f>
        <v>celý web</v>
      </c>
      <c r="F490" s="3" t="str">
        <f ca="1">IFERROR(__xludf.DUMMYFUNCTION("""COMPUTED_VALUE"""),"https://e15.cz, https://finexpert.cz, https://www.e15.cz/formen")</f>
        <v>https://e15.cz, https://finexpert.cz, https://www.e15.cz/formen</v>
      </c>
      <c r="G490" s="3" t="str">
        <f ca="1">IFERROR(__xludf.DUMMYFUNCTION("""COMPUTED_VALUE"""),"cílený mobilní viněta low season")</f>
        <v>cílený mobilní viněta low season</v>
      </c>
      <c r="H490" s="3">
        <f ca="1">IFERROR(__xludf.DUMMYFUNCTION("""COMPUTED_VALUE"""),7)</f>
        <v>7</v>
      </c>
      <c r="I490" s="5">
        <f ca="1">IFERROR(__xludf.DUMMYFUNCTION("""COMPUTED_VALUE"""),1000)</f>
        <v>1000</v>
      </c>
      <c r="J490" s="5">
        <f ca="1">IFERROR(__xludf.DUMMYFUNCTION("""COMPUTED_VALUE"""),864)</f>
        <v>864</v>
      </c>
      <c r="K490" s="3"/>
      <c r="L490" s="3" t="str">
        <f ca="1">IFERROR(__xludf.DUMMYFUNCTION("""COMPUTED_VALUE"""),"Cost per period")</f>
        <v>Cost per period</v>
      </c>
      <c r="M490" s="3"/>
      <c r="N490" s="3"/>
      <c r="O490" s="3" t="str">
        <f ca="1">IFERROR(__xludf.DUMMYFUNCTION("""COMPUTED_VALUE"""),"600")</f>
        <v>600</v>
      </c>
      <c r="P490" s="3" t="str">
        <f ca="1">IFERROR(__xludf.DUMMYFUNCTION("""COMPUTED_VALUE"""),"800")</f>
        <v>800</v>
      </c>
      <c r="Q490" s="3" t="str">
        <f ca="1">IFERROR(__xludf.DUMMYFUNCTION("""COMPUTED_VALUE"""),"300x250 nebo 600x800")</f>
        <v>300x250 nebo 600x800</v>
      </c>
      <c r="R490" s="3"/>
      <c r="S490" s="3" t="str">
        <f ca="1">IFERROR(__xludf.DUMMYFUNCTION("""COMPUTED_VALUE"""),"100")</f>
        <v>100</v>
      </c>
      <c r="T490" s="3"/>
      <c r="U490" s="3" t="str">
        <f ca="1">IFERROR(__xludf.DUMMYFUNCTION("""COMPUTED_VALUE"""),"banner standard")</f>
        <v>banner standard</v>
      </c>
      <c r="V490" s="3"/>
      <c r="W490" s="4" t="str">
        <f ca="1">IFERROR(__xludf.DUMMYFUNCTION("""COMPUTED_VALUE"""),"https://reklama.cncenter.cz/Online/mobilni-vineta")</f>
        <v>https://reklama.cncenter.cz/Online/mobilni-vineta</v>
      </c>
      <c r="X490" s="3"/>
      <c r="Y490" s="3"/>
      <c r="Z490" s="3" t="str">
        <f ca="1">IFERROR(__xludf.DUMMYFUNCTION("""COMPUTED_VALUE"""),"podklady@cncenter.cz")</f>
        <v>podklady@cncenter.cz</v>
      </c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 t="str">
        <f ca="1">IFERROR(__xludf.DUMMYFUNCTION("""COMPUTED_VALUE"""),"mobile")</f>
        <v>mobile</v>
      </c>
      <c r="AO490" s="3"/>
      <c r="AP490" s="3"/>
      <c r="AQ490" s="3"/>
      <c r="AR490" s="3"/>
      <c r="AS490" s="3"/>
      <c r="AT490" s="3"/>
      <c r="AU490" s="3" t="str">
        <f ca="1">IFERROR(__xludf.DUMMYFUNCTION("""COMPUTED_VALUE"""),"cílený mobilní viněta")</f>
        <v>cílený mobilní viněta</v>
      </c>
    </row>
    <row r="491" spans="1:47" x14ac:dyDescent="0.3">
      <c r="A491" s="3">
        <f ca="1"/>
        <v>2346826</v>
      </c>
      <c r="B491" s="3" t="str">
        <f ca="1"/>
        <v>CZECH NEWS CENTER a. s.</v>
      </c>
      <c r="C491" s="3" t="str">
        <f ca="1">IFERROR(__xludf.DUMMYFUNCTION("""COMPUTED_VALUE"""),"E15")</f>
        <v>E15</v>
      </c>
      <c r="D491" s="3" t="str">
        <f ca="1">IFERROR(__xludf.DUMMYFUNCTION("""COMPUTED_VALUE"""),"https://e15.cz, https://finexpert.cz, https://www.e15.cz/formen")</f>
        <v>https://e15.cz, https://finexpert.cz, https://www.e15.cz/formen</v>
      </c>
      <c r="E491" s="3" t="str">
        <f ca="1">IFERROR(__xludf.DUMMYFUNCTION("""COMPUTED_VALUE"""),"celý web")</f>
        <v>celý web</v>
      </c>
      <c r="F491" s="3" t="str">
        <f ca="1">IFERROR(__xludf.DUMMYFUNCTION("""COMPUTED_VALUE"""),"https://e15.cz, https://finexpert.cz, https://www.e15.cz/formen")</f>
        <v>https://e15.cz, https://finexpert.cz, https://www.e15.cz/formen</v>
      </c>
      <c r="G491" s="3" t="str">
        <f ca="1">IFERROR(__xludf.DUMMYFUNCTION("""COMPUTED_VALUE"""),"cílený nativní rectangle cross-device low season")</f>
        <v>cílený nativní rectangle cross-device low season</v>
      </c>
      <c r="H491" s="3">
        <f ca="1">IFERROR(__xludf.DUMMYFUNCTION("""COMPUTED_VALUE"""),7)</f>
        <v>7</v>
      </c>
      <c r="I491" s="5">
        <f ca="1">IFERROR(__xludf.DUMMYFUNCTION("""COMPUTED_VALUE"""),1000)</f>
        <v>1000</v>
      </c>
      <c r="J491" s="5">
        <f ca="1">IFERROR(__xludf.DUMMYFUNCTION("""COMPUTED_VALUE"""),312)</f>
        <v>312</v>
      </c>
      <c r="K491" s="3"/>
      <c r="L491" s="3" t="str">
        <f ca="1">IFERROR(__xludf.DUMMYFUNCTION("""COMPUTED_VALUE"""),"Cost per period")</f>
        <v>Cost per period</v>
      </c>
      <c r="M491" s="3"/>
      <c r="N491" s="3"/>
      <c r="O491" s="3" t="str">
        <f ca="1">IFERROR(__xludf.DUMMYFUNCTION("""COMPUTED_VALUE"""),"640")</f>
        <v>640</v>
      </c>
      <c r="P491" s="3" t="str">
        <f ca="1">IFERROR(__xludf.DUMMYFUNCTION("""COMPUTED_VALUE"""),"335, 640")</f>
        <v>335, 640</v>
      </c>
      <c r="Q491" s="3" t="str">
        <f ca="1">IFERROR(__xludf.DUMMYFUNCTION("""COMPUTED_VALUE"""),"640x640 a 640x335 + text + logo")</f>
        <v>640x640 a 640x335 + text + logo</v>
      </c>
      <c r="R491" s="3"/>
      <c r="S491" s="3" t="str">
        <f ca="1">IFERROR(__xludf.DUMMYFUNCTION("""COMPUTED_VALUE"""),"45")</f>
        <v>45</v>
      </c>
      <c r="T491" s="3"/>
      <c r="U491" s="3" t="str">
        <f ca="1">IFERROR(__xludf.DUMMYFUNCTION("""COMPUTED_VALUE"""),"nativní reklama")</f>
        <v>nativní reklama</v>
      </c>
      <c r="V491" s="3"/>
      <c r="W491" s="4" t="str">
        <f ca="1">IFERROR(__xludf.DUMMYFUNCTION("""COMPUTED_VALUE"""),"https://reklama.cncenter.cz/Online/nativni-rectangle-cross-device")</f>
        <v>https://reklama.cncenter.cz/Online/nativni-rectangle-cross-device</v>
      </c>
      <c r="X491" s="3"/>
      <c r="Y491" s="3"/>
      <c r="Z491" s="3" t="str">
        <f ca="1">IFERROR(__xludf.DUMMYFUNCTION("""COMPUTED_VALUE"""),"podklady@cncenter.cz")</f>
        <v>podklady@cncenter.cz</v>
      </c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 t="str">
        <f ca="1">IFERROR(__xludf.DUMMYFUNCTION("""COMPUTED_VALUE"""),"cross-device")</f>
        <v>cross-device</v>
      </c>
      <c r="AO491" s="3"/>
      <c r="AP491" s="3"/>
      <c r="AQ491" s="3"/>
      <c r="AR491" s="3"/>
      <c r="AS491" s="3"/>
      <c r="AT491" s="3"/>
      <c r="AU491" s="3" t="str">
        <f ca="1">IFERROR(__xludf.DUMMYFUNCTION("""COMPUTED_VALUE"""),"cílený nativní rectangle cross-device")</f>
        <v>cílený nativní rectangle cross-device</v>
      </c>
    </row>
    <row r="492" spans="1:47" x14ac:dyDescent="0.3">
      <c r="A492" s="3">
        <f ca="1"/>
        <v>2346826</v>
      </c>
      <c r="B492" s="3" t="str">
        <f ca="1"/>
        <v>CZECH NEWS CENTER a. s.</v>
      </c>
      <c r="C492" s="3" t="str">
        <f ca="1">IFERROR(__xludf.DUMMYFUNCTION("""COMPUTED_VALUE"""),"E15")</f>
        <v>E15</v>
      </c>
      <c r="D492" s="3" t="str">
        <f ca="1">IFERROR(__xludf.DUMMYFUNCTION("""COMPUTED_VALUE"""),"https://e15.cz, https://finexpert.cz, https://www.e15.cz/formen")</f>
        <v>https://e15.cz, https://finexpert.cz, https://www.e15.cz/formen</v>
      </c>
      <c r="E492" s="3" t="str">
        <f ca="1">IFERROR(__xludf.DUMMYFUNCTION("""COMPUTED_VALUE"""),"celý web")</f>
        <v>celý web</v>
      </c>
      <c r="F492" s="3" t="str">
        <f ca="1">IFERROR(__xludf.DUMMYFUNCTION("""COMPUTED_VALUE"""),"https://e15.cz, https://finexpert.cz, https://www.e15.cz/formen")</f>
        <v>https://e15.cz, https://finexpert.cz, https://www.e15.cz/formen</v>
      </c>
      <c r="G492" s="3" t="str">
        <f ca="1">IFERROR(__xludf.DUMMYFUNCTION("""COMPUTED_VALUE"""),"cílený outstream low season")</f>
        <v>cílený outstream low season</v>
      </c>
      <c r="H492" s="3">
        <f ca="1">IFERROR(__xludf.DUMMYFUNCTION("""COMPUTED_VALUE"""),7)</f>
        <v>7</v>
      </c>
      <c r="I492" s="5">
        <f ca="1">IFERROR(__xludf.DUMMYFUNCTION("""COMPUTED_VALUE"""),1000)</f>
        <v>1000</v>
      </c>
      <c r="J492" s="5">
        <f ca="1">IFERROR(__xludf.DUMMYFUNCTION("""COMPUTED_VALUE"""),360)</f>
        <v>360</v>
      </c>
      <c r="K492" s="3"/>
      <c r="L492" s="3" t="str">
        <f ca="1">IFERROR(__xludf.DUMMYFUNCTION("""COMPUTED_VALUE"""),"Cost per period")</f>
        <v>Cost per period</v>
      </c>
      <c r="M492" s="3"/>
      <c r="N492" s="3"/>
      <c r="O492" s="3" t="str">
        <f ca="1">IFERROR(__xludf.DUMMYFUNCTION("""COMPUTED_VALUE"""),"1280")</f>
        <v>1280</v>
      </c>
      <c r="P492" s="3" t="str">
        <f ca="1">IFERROR(__xludf.DUMMYFUNCTION("""COMPUTED_VALUE"""),"720")</f>
        <v>720</v>
      </c>
      <c r="Q492" s="3" t="str">
        <f ca="1">IFERROR(__xludf.DUMMYFUNCTION("""COMPUTED_VALUE"""),"16:9")</f>
        <v>16:9</v>
      </c>
      <c r="R492" s="3"/>
      <c r="S492" s="3" t="str">
        <f ca="1">IFERROR(__xludf.DUMMYFUNCTION("""COMPUTED_VALUE"""),"100")</f>
        <v>100</v>
      </c>
      <c r="T492" s="3"/>
      <c r="U492" s="3" t="str">
        <f ca="1">IFERROR(__xludf.DUMMYFUNCTION("""COMPUTED_VALUE"""),"videospot")</f>
        <v>videospot</v>
      </c>
      <c r="V492" s="3"/>
      <c r="W492" s="4" t="str">
        <f ca="1">IFERROR(__xludf.DUMMYFUNCTION("""COMPUTED_VALUE"""),"https://reklama.cncenter.cz/Online/Outstream")</f>
        <v>https://reklama.cncenter.cz/Online/Outstream</v>
      </c>
      <c r="X492" s="3"/>
      <c r="Y492" s="3"/>
      <c r="Z492" s="3" t="str">
        <f ca="1">IFERROR(__xludf.DUMMYFUNCTION("""COMPUTED_VALUE"""),"podklady@cncenter.cz")</f>
        <v>podklady@cncenter.cz</v>
      </c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 t="str">
        <f ca="1">IFERROR(__xludf.DUMMYFUNCTION("""COMPUTED_VALUE"""),"cross-device")</f>
        <v>cross-device</v>
      </c>
      <c r="AO492" s="3"/>
      <c r="AP492" s="3"/>
      <c r="AQ492" s="3"/>
      <c r="AR492" s="3"/>
      <c r="AS492" s="3"/>
      <c r="AT492" s="3"/>
      <c r="AU492" s="3" t="str">
        <f ca="1">IFERROR(__xludf.DUMMYFUNCTION("""COMPUTED_VALUE"""),"cílený outstream")</f>
        <v>cílený outstream</v>
      </c>
    </row>
    <row r="493" spans="1:47" x14ac:dyDescent="0.3">
      <c r="A493" s="3">
        <f ca="1"/>
        <v>2346826</v>
      </c>
      <c r="B493" s="3" t="str">
        <f ca="1"/>
        <v>CZECH NEWS CENTER a. s.</v>
      </c>
      <c r="C493" s="3" t="str">
        <f ca="1">IFERROR(__xludf.DUMMYFUNCTION("""COMPUTED_VALUE"""),"E15")</f>
        <v>E15</v>
      </c>
      <c r="D493" s="3" t="str">
        <f ca="1">IFERROR(__xludf.DUMMYFUNCTION("""COMPUTED_VALUE"""),"https://e15.cz, https://finexpert.cz, https://www.e15.cz/formen")</f>
        <v>https://e15.cz, https://finexpert.cz, https://www.e15.cz/formen</v>
      </c>
      <c r="E493" s="3" t="str">
        <f ca="1">IFERROR(__xludf.DUMMYFUNCTION("""COMPUTED_VALUE"""),"celý web")</f>
        <v>celý web</v>
      </c>
      <c r="F493" s="3" t="str">
        <f ca="1">IFERROR(__xludf.DUMMYFUNCTION("""COMPUTED_VALUE"""),"https://e15.cz, https://finexpert.cz, https://www.e15.cz/formen")</f>
        <v>https://e15.cz, https://finexpert.cz, https://www.e15.cz/formen</v>
      </c>
      <c r="G493" s="3" t="str">
        <f ca="1">IFERROR(__xludf.DUMMYFUNCTION("""COMPUTED_VALUE"""),"cílený videospot - max. 30 sec. / bumper low season")</f>
        <v>cílený videospot - max. 30 sec. / bumper low season</v>
      </c>
      <c r="H493" s="3">
        <f ca="1">IFERROR(__xludf.DUMMYFUNCTION("""COMPUTED_VALUE"""),7)</f>
        <v>7</v>
      </c>
      <c r="I493" s="5">
        <f ca="1">IFERROR(__xludf.DUMMYFUNCTION("""COMPUTED_VALUE"""),1000)</f>
        <v>1000</v>
      </c>
      <c r="J493" s="5">
        <f ca="1">IFERROR(__xludf.DUMMYFUNCTION("""COMPUTED_VALUE"""),1272)</f>
        <v>1272</v>
      </c>
      <c r="K493" s="3"/>
      <c r="L493" s="3" t="str">
        <f ca="1">IFERROR(__xludf.DUMMYFUNCTION("""COMPUTED_VALUE"""),"Cost per period")</f>
        <v>Cost per period</v>
      </c>
      <c r="M493" s="3"/>
      <c r="N493" s="3"/>
      <c r="O493" s="3" t="str">
        <f ca="1">IFERROR(__xludf.DUMMYFUNCTION("""COMPUTED_VALUE"""),"1280")</f>
        <v>1280</v>
      </c>
      <c r="P493" s="3" t="str">
        <f ca="1">IFERROR(__xludf.DUMMYFUNCTION("""COMPUTED_VALUE"""),"720")</f>
        <v>720</v>
      </c>
      <c r="Q493" s="3" t="str">
        <f ca="1">IFERROR(__xludf.DUMMYFUNCTION("""COMPUTED_VALUE"""),"16:9 / umístění po domluvě dle možností")</f>
        <v>16:9 / umístění po domluvě dle možností</v>
      </c>
      <c r="R493" s="3" t="str">
        <f ca="1">IFERROR(__xludf.DUMMYFUNCTION("""COMPUTED_VALUE"""),"přeskočení po 7 sekundách")</f>
        <v>přeskočení po 7 sekundách</v>
      </c>
      <c r="S493" s="3" t="str">
        <f ca="1">IFERROR(__xludf.DUMMYFUNCTION("""COMPUTED_VALUE"""),"100")</f>
        <v>100</v>
      </c>
      <c r="T493" s="3"/>
      <c r="U493" s="3" t="str">
        <f ca="1">IFERROR(__xludf.DUMMYFUNCTION("""COMPUTED_VALUE"""),"videospot")</f>
        <v>videospot</v>
      </c>
      <c r="V493" s="3"/>
      <c r="W493" s="4" t="str">
        <f ca="1">IFERROR(__xludf.DUMMYFUNCTION("""COMPUTED_VALUE"""),"https://reklama.cncenter.cz/Online/Bumper")</f>
        <v>https://reklama.cncenter.cz/Online/Bumper</v>
      </c>
      <c r="X493" s="3"/>
      <c r="Y493" s="3"/>
      <c r="Z493" s="3" t="str">
        <f ca="1">IFERROR(__xludf.DUMMYFUNCTION("""COMPUTED_VALUE"""),"podklady@cncenter.cz")</f>
        <v>podklady@cncenter.cz</v>
      </c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 t="str">
        <f ca="1">IFERROR(__xludf.DUMMYFUNCTION("""COMPUTED_VALUE"""),"cross-device")</f>
        <v>cross-device</v>
      </c>
      <c r="AO493" s="3"/>
      <c r="AP493" s="3"/>
      <c r="AQ493" s="3"/>
      <c r="AR493" s="3"/>
      <c r="AS493" s="3"/>
      <c r="AT493" s="3"/>
      <c r="AU493" s="3" t="str">
        <f ca="1">IFERROR(__xludf.DUMMYFUNCTION("""COMPUTED_VALUE"""),"cílený videospot - max. 30 sec. / bumper")</f>
        <v>cílený videospot - max. 30 sec. / bumper</v>
      </c>
    </row>
    <row r="494" spans="1:47" x14ac:dyDescent="0.3">
      <c r="A494" s="3">
        <f ca="1"/>
        <v>2346826</v>
      </c>
      <c r="B494" s="3" t="str">
        <f ca="1"/>
        <v>CZECH NEWS CENTER a. s.</v>
      </c>
      <c r="C494" s="3" t="str">
        <f ca="1">IFERROR(__xludf.DUMMYFUNCTION("""COMPUTED_VALUE"""),"E15")</f>
        <v>E15</v>
      </c>
      <c r="D494" s="3" t="str">
        <f ca="1">IFERROR(__xludf.DUMMYFUNCTION("""COMPUTED_VALUE"""),"https://e15.cz, https://finexpert.cz, https://www.e15.cz/formen")</f>
        <v>https://e15.cz, https://finexpert.cz, https://www.e15.cz/formen</v>
      </c>
      <c r="E494" s="3" t="str">
        <f ca="1">IFERROR(__xludf.DUMMYFUNCTION("""COMPUTED_VALUE"""),"celý web")</f>
        <v>celý web</v>
      </c>
      <c r="F494" s="3" t="str">
        <f ca="1">IFERROR(__xludf.DUMMYFUNCTION("""COMPUTED_VALUE"""),"https://e15.cz, https://finexpert.cz, https://www.e15.cz/formen")</f>
        <v>https://e15.cz, https://finexpert.cz, https://www.e15.cz/formen</v>
      </c>
      <c r="G494" s="3" t="str">
        <f ca="1">IFERROR(__xludf.DUMMYFUNCTION("""COMPUTED_VALUE"""),"dokoupení proma o 2 týdny - 10 000 PV *** low season")</f>
        <v>dokoupení proma o 2 týdny - 10 000 PV *** low season</v>
      </c>
      <c r="H494" s="3">
        <f ca="1">IFERROR(__xludf.DUMMYFUNCTION("""COMPUTED_VALUE"""),1)</f>
        <v>1</v>
      </c>
      <c r="I494" s="5">
        <f ca="1">IFERROR(__xludf.DUMMYFUNCTION("""COMPUTED_VALUE"""),1)</f>
        <v>1</v>
      </c>
      <c r="J494" s="5">
        <f ca="1">IFERROR(__xludf.DUMMYFUNCTION("""COMPUTED_VALUE"""),60000)</f>
        <v>60000</v>
      </c>
      <c r="K494" s="3"/>
      <c r="L494" s="3" t="str">
        <f ca="1">IFERROR(__xludf.DUMMYFUNCTION("""COMPUTED_VALUE"""),"Cost per instance")</f>
        <v>Cost per instance</v>
      </c>
      <c r="M494" s="3"/>
      <c r="N494" s="3"/>
      <c r="O494" s="3"/>
      <c r="P494" s="3"/>
      <c r="Q494" s="3"/>
      <c r="R494" s="3"/>
      <c r="S494" s="3" t="str">
        <f ca="1">IFERROR(__xludf.DUMMYFUNCTION("""COMPUTED_VALUE"""),"100")</f>
        <v>100</v>
      </c>
      <c r="T494" s="3"/>
      <c r="U494" s="3" t="str">
        <f ca="1">IFERROR(__xludf.DUMMYFUNCTION("""COMPUTED_VALUE"""),"microsite")</f>
        <v>microsite</v>
      </c>
      <c r="V494" s="3"/>
      <c r="W494" s="3"/>
      <c r="X494" s="3"/>
      <c r="Y494" s="3"/>
      <c r="Z494" s="3" t="str">
        <f ca="1">IFERROR(__xludf.DUMMYFUNCTION("""COMPUTED_VALUE"""),"podklady@cncenter.cz")</f>
        <v>podklady@cncenter.cz</v>
      </c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 t="str">
        <f ca="1">IFERROR(__xludf.DUMMYFUNCTION("""COMPUTED_VALUE"""),"cross-device")</f>
        <v>cross-device</v>
      </c>
      <c r="AO494" s="3"/>
      <c r="AP494" s="3"/>
      <c r="AQ494" s="3"/>
      <c r="AR494" s="3"/>
      <c r="AS494" s="3"/>
      <c r="AT494" s="3"/>
      <c r="AU494" s="3" t="str">
        <f ca="1">IFERROR(__xludf.DUMMYFUNCTION("""COMPUTED_VALUE"""),"dokoupení proma o 2 týdny - 10 000 PV ***")</f>
        <v>dokoupení proma o 2 týdny - 10 000 PV ***</v>
      </c>
    </row>
    <row r="495" spans="1:47" x14ac:dyDescent="0.3">
      <c r="A495" s="3">
        <f ca="1"/>
        <v>2346826</v>
      </c>
      <c r="B495" s="3" t="str">
        <f ca="1"/>
        <v>CZECH NEWS CENTER a. s.</v>
      </c>
      <c r="C495" s="3" t="str">
        <f ca="1">IFERROR(__xludf.DUMMYFUNCTION("""COMPUTED_VALUE"""),"E15")</f>
        <v>E15</v>
      </c>
      <c r="D495" s="3" t="str">
        <f ca="1">IFERROR(__xludf.DUMMYFUNCTION("""COMPUTED_VALUE"""),"https://e15.cz, https://finexpert.cz, https://www.e15.cz/formen")</f>
        <v>https://e15.cz, https://finexpert.cz, https://www.e15.cz/formen</v>
      </c>
      <c r="E495" s="3" t="str">
        <f ca="1">IFERROR(__xludf.DUMMYFUNCTION("""COMPUTED_VALUE"""),"celý web")</f>
        <v>celý web</v>
      </c>
      <c r="F495" s="3" t="str">
        <f ca="1">IFERROR(__xludf.DUMMYFUNCTION("""COMPUTED_VALUE"""),"https://e15.cz, https://finexpert.cz, https://www.e15.cz/formen")</f>
        <v>https://e15.cz, https://finexpert.cz, https://www.e15.cz/formen</v>
      </c>
      <c r="G495" s="3" t="str">
        <f ca="1">IFERROR(__xludf.DUMMYFUNCTION("""COMPUTED_VALUE"""),"double skyscraper low season")</f>
        <v>double skyscraper low season</v>
      </c>
      <c r="H495" s="3">
        <f ca="1">IFERROR(__xludf.DUMMYFUNCTION("""COMPUTED_VALUE"""),7)</f>
        <v>7</v>
      </c>
      <c r="I495" s="5">
        <f ca="1">IFERROR(__xludf.DUMMYFUNCTION("""COMPUTED_VALUE"""),1000)</f>
        <v>1000</v>
      </c>
      <c r="J495" s="5">
        <f ca="1">IFERROR(__xludf.DUMMYFUNCTION("""COMPUTED_VALUE"""),250)</f>
        <v>250</v>
      </c>
      <c r="K495" s="3"/>
      <c r="L495" s="3" t="str">
        <f ca="1">IFERROR(__xludf.DUMMYFUNCTION("""COMPUTED_VALUE"""),"Cost per period")</f>
        <v>Cost per period</v>
      </c>
      <c r="M495" s="3"/>
      <c r="N495" s="3"/>
      <c r="O495" s="3" t="str">
        <f ca="1">IFERROR(__xludf.DUMMYFUNCTION("""COMPUTED_VALUE"""),"300")</f>
        <v>300</v>
      </c>
      <c r="P495" s="3" t="str">
        <f ca="1">IFERROR(__xludf.DUMMYFUNCTION("""COMPUTED_VALUE"""),"600")</f>
        <v>600</v>
      </c>
      <c r="Q495" s="3" t="str">
        <f ca="1">IFERROR(__xludf.DUMMYFUNCTION("""COMPUTED_VALUE"""),"300x600")</f>
        <v>300x600</v>
      </c>
      <c r="R495" s="3"/>
      <c r="S495" s="3" t="str">
        <f ca="1">IFERROR(__xludf.DUMMYFUNCTION("""COMPUTED_VALUE"""),"100 (200 - HTML5)")</f>
        <v>100 (200 - HTML5)</v>
      </c>
      <c r="T495" s="3"/>
      <c r="U495" s="3" t="str">
        <f ca="1">IFERROR(__xludf.DUMMYFUNCTION("""COMPUTED_VALUE"""),"banner standard")</f>
        <v>banner standard</v>
      </c>
      <c r="V495" s="3"/>
      <c r="W495" s="4" t="str">
        <f ca="1">IFERROR(__xludf.DUMMYFUNCTION("""COMPUTED_VALUE"""),"https://reklama.cncenter.cz/Online/double-skyscraper")</f>
        <v>https://reklama.cncenter.cz/Online/double-skyscraper</v>
      </c>
      <c r="X495" s="3"/>
      <c r="Y495" s="3"/>
      <c r="Z495" s="3" t="str">
        <f ca="1">IFERROR(__xludf.DUMMYFUNCTION("""COMPUTED_VALUE"""),"podklady@cncenter.cz")</f>
        <v>podklady@cncenter.cz</v>
      </c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 t="str">
        <f ca="1">IFERROR(__xludf.DUMMYFUNCTION("""COMPUTED_VALUE"""),"desktop")</f>
        <v>desktop</v>
      </c>
      <c r="AO495" s="3"/>
      <c r="AP495" s="3"/>
      <c r="AQ495" s="3"/>
      <c r="AR495" s="3"/>
      <c r="AS495" s="3"/>
      <c r="AT495" s="3"/>
      <c r="AU495" s="3" t="str">
        <f ca="1">IFERROR(__xludf.DUMMYFUNCTION("""COMPUTED_VALUE"""),"double skyscraper")</f>
        <v>double skyscraper</v>
      </c>
    </row>
    <row r="496" spans="1:47" x14ac:dyDescent="0.3">
      <c r="A496" s="3">
        <f ca="1"/>
        <v>2346826</v>
      </c>
      <c r="B496" s="3" t="str">
        <f ca="1"/>
        <v>CZECH NEWS CENTER a. s.</v>
      </c>
      <c r="C496" s="3" t="str">
        <f ca="1">IFERROR(__xludf.DUMMYFUNCTION("""COMPUTED_VALUE"""),"E15")</f>
        <v>E15</v>
      </c>
      <c r="D496" s="3" t="str">
        <f ca="1">IFERROR(__xludf.DUMMYFUNCTION("""COMPUTED_VALUE"""),"https://e15.cz, https://finexpert.cz, https://www.e15.cz/formen")</f>
        <v>https://e15.cz, https://finexpert.cz, https://www.e15.cz/formen</v>
      </c>
      <c r="E496" s="3" t="str">
        <f ca="1">IFERROR(__xludf.DUMMYFUNCTION("""COMPUTED_VALUE"""),"celý web")</f>
        <v>celý web</v>
      </c>
      <c r="F496" s="3" t="str">
        <f ca="1">IFERROR(__xludf.DUMMYFUNCTION("""COMPUTED_VALUE"""),"https://e15.cz, https://finexpert.cz, https://www.e15.cz/formen")</f>
        <v>https://e15.cz, https://finexpert.cz, https://www.e15.cz/formen</v>
      </c>
      <c r="G496" s="3" t="str">
        <f ca="1">IFERROR(__xludf.DUMMYFUNCTION("""COMPUTED_VALUE"""),"mini videospot - max. 30 sec. low season")</f>
        <v>mini videospot - max. 30 sec. low season</v>
      </c>
      <c r="H496" s="3">
        <f ca="1">IFERROR(__xludf.DUMMYFUNCTION("""COMPUTED_VALUE"""),7)</f>
        <v>7</v>
      </c>
      <c r="I496" s="5">
        <f ca="1">IFERROR(__xludf.DUMMYFUNCTION("""COMPUTED_VALUE"""),1000)</f>
        <v>1000</v>
      </c>
      <c r="J496" s="5">
        <f ca="1">IFERROR(__xludf.DUMMYFUNCTION("""COMPUTED_VALUE"""),240)</f>
        <v>240</v>
      </c>
      <c r="K496" s="3"/>
      <c r="L496" s="3" t="str">
        <f ca="1">IFERROR(__xludf.DUMMYFUNCTION("""COMPUTED_VALUE"""),"Cost per period")</f>
        <v>Cost per period</v>
      </c>
      <c r="M496" s="3"/>
      <c r="N496" s="3"/>
      <c r="O496" s="3"/>
      <c r="P496" s="3"/>
      <c r="Q496" s="3" t="str">
        <f ca="1">IFERROR(__xludf.DUMMYFUNCTION("""COMPUTED_VALUE"""),"16:9 / umístění po domluvě dle možností")</f>
        <v>16:9 / umístění po domluvě dle možností</v>
      </c>
      <c r="R496" s="3" t="str">
        <f ca="1">IFERROR(__xludf.DUMMYFUNCTION("""COMPUTED_VALUE"""),"přeskočení po 7 sekundách")</f>
        <v>přeskočení po 7 sekundách</v>
      </c>
      <c r="S496" s="3" t="str">
        <f ca="1">IFERROR(__xludf.DUMMYFUNCTION("""COMPUTED_VALUE"""),"100")</f>
        <v>100</v>
      </c>
      <c r="T496" s="3"/>
      <c r="U496" s="3" t="str">
        <f ca="1">IFERROR(__xludf.DUMMYFUNCTION("""COMPUTED_VALUE"""),"videospot")</f>
        <v>videospot</v>
      </c>
      <c r="V496" s="3"/>
      <c r="W496" s="4" t="str">
        <f ca="1">IFERROR(__xludf.DUMMYFUNCTION("""COMPUTED_VALUE"""),"https://reklama.cncenter.cz/Online/Videospot")</f>
        <v>https://reklama.cncenter.cz/Online/Videospot</v>
      </c>
      <c r="X496" s="3"/>
      <c r="Y496" s="3"/>
      <c r="Z496" s="3" t="str">
        <f ca="1">IFERROR(__xludf.DUMMYFUNCTION("""COMPUTED_VALUE"""),"podklady@cncenter.cz")</f>
        <v>podklady@cncenter.cz</v>
      </c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 t="str">
        <f ca="1">IFERROR(__xludf.DUMMYFUNCTION("""COMPUTED_VALUE"""),"desktop")</f>
        <v>desktop</v>
      </c>
      <c r="AO496" s="3"/>
      <c r="AP496" s="3"/>
      <c r="AQ496" s="3"/>
      <c r="AR496" s="3"/>
      <c r="AS496" s="3"/>
      <c r="AT496" s="3"/>
      <c r="AU496" s="3" t="str">
        <f ca="1">IFERROR(__xludf.DUMMYFUNCTION("""COMPUTED_VALUE"""),"mini videospot - max. 30 sec.")</f>
        <v>mini videospot - max. 30 sec.</v>
      </c>
    </row>
    <row r="497" spans="1:47" x14ac:dyDescent="0.3">
      <c r="A497" s="3">
        <f ca="1"/>
        <v>2346826</v>
      </c>
      <c r="B497" s="3" t="str">
        <f ca="1"/>
        <v>CZECH NEWS CENTER a. s.</v>
      </c>
      <c r="C497" s="3" t="str">
        <f ca="1">IFERROR(__xludf.DUMMYFUNCTION("""COMPUTED_VALUE"""),"E15")</f>
        <v>E15</v>
      </c>
      <c r="D497" s="3" t="str">
        <f ca="1">IFERROR(__xludf.DUMMYFUNCTION("""COMPUTED_VALUE"""),"https://e15.cz, https://finexpert.cz, https://www.e15.cz/formen")</f>
        <v>https://e15.cz, https://finexpert.cz, https://www.e15.cz/formen</v>
      </c>
      <c r="E497" s="3" t="str">
        <f ca="1">IFERROR(__xludf.DUMMYFUNCTION("""COMPUTED_VALUE"""),"celý web")</f>
        <v>celý web</v>
      </c>
      <c r="F497" s="3" t="str">
        <f ca="1">IFERROR(__xludf.DUMMYFUNCTION("""COMPUTED_VALUE"""),"https://e15.cz, https://finexpert.cz, https://www.e15.cz/formen")</f>
        <v>https://e15.cz, https://finexpert.cz, https://www.e15.cz/formen</v>
      </c>
      <c r="G497" s="3" t="str">
        <f ca="1">IFERROR(__xludf.DUMMYFUNCTION("""COMPUTED_VALUE"""),"mobilní interscroller low season")</f>
        <v>mobilní interscroller low season</v>
      </c>
      <c r="H497" s="3">
        <f ca="1">IFERROR(__xludf.DUMMYFUNCTION("""COMPUTED_VALUE"""),7)</f>
        <v>7</v>
      </c>
      <c r="I497" s="5">
        <f ca="1">IFERROR(__xludf.DUMMYFUNCTION("""COMPUTED_VALUE"""),1000)</f>
        <v>1000</v>
      </c>
      <c r="J497" s="5">
        <f ca="1">IFERROR(__xludf.DUMMYFUNCTION("""COMPUTED_VALUE"""),300)</f>
        <v>300</v>
      </c>
      <c r="K497" s="3"/>
      <c r="L497" s="3" t="str">
        <f ca="1">IFERROR(__xludf.DUMMYFUNCTION("""COMPUTED_VALUE"""),"Cost per period")</f>
        <v>Cost per period</v>
      </c>
      <c r="M497" s="3"/>
      <c r="N497" s="3"/>
      <c r="O497" s="3" t="str">
        <f ca="1">IFERROR(__xludf.DUMMYFUNCTION("""COMPUTED_VALUE"""),"600")</f>
        <v>600</v>
      </c>
      <c r="P497" s="3" t="str">
        <f ca="1">IFERROR(__xludf.DUMMYFUNCTION("""COMPUTED_VALUE"""),"1080")</f>
        <v>1080</v>
      </c>
      <c r="Q497" s="3" t="str">
        <f ca="1">IFERROR(__xludf.DUMMYFUNCTION("""COMPUTED_VALUE"""),"600x1080")</f>
        <v>600x1080</v>
      </c>
      <c r="R497" s="3"/>
      <c r="S497" s="3" t="str">
        <f ca="1">IFERROR(__xludf.DUMMYFUNCTION("""COMPUTED_VALUE"""),"200")</f>
        <v>200</v>
      </c>
      <c r="T497" s="3"/>
      <c r="U497" s="3" t="str">
        <f ca="1">IFERROR(__xludf.DUMMYFUNCTION("""COMPUTED_VALUE"""),"banner standard")</f>
        <v>banner standard</v>
      </c>
      <c r="V497" s="3"/>
      <c r="W497" s="4" t="str">
        <f ca="1">IFERROR(__xludf.DUMMYFUNCTION("""COMPUTED_VALUE"""),"https://reklama.cncenter.cz/Online/mobilni-interscroller")</f>
        <v>https://reklama.cncenter.cz/Online/mobilni-interscroller</v>
      </c>
      <c r="X497" s="3"/>
      <c r="Y497" s="3"/>
      <c r="Z497" s="3" t="str">
        <f ca="1">IFERROR(__xludf.DUMMYFUNCTION("""COMPUTED_VALUE"""),"podklady@cncenter.cz")</f>
        <v>podklady@cncenter.cz</v>
      </c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 t="str">
        <f ca="1">IFERROR(__xludf.DUMMYFUNCTION("""COMPUTED_VALUE"""),"mobile")</f>
        <v>mobile</v>
      </c>
      <c r="AO497" s="3"/>
      <c r="AP497" s="3"/>
      <c r="AQ497" s="3"/>
      <c r="AR497" s="3"/>
      <c r="AS497" s="3"/>
      <c r="AT497" s="3"/>
      <c r="AU497" s="3" t="str">
        <f ca="1">IFERROR(__xludf.DUMMYFUNCTION("""COMPUTED_VALUE"""),"mobilní interscroller")</f>
        <v>mobilní interscroller</v>
      </c>
    </row>
    <row r="498" spans="1:47" x14ac:dyDescent="0.3">
      <c r="A498" s="3">
        <f ca="1"/>
        <v>2346826</v>
      </c>
      <c r="B498" s="3" t="str">
        <f ca="1"/>
        <v>CZECH NEWS CENTER a. s.</v>
      </c>
      <c r="C498" s="3" t="str">
        <f ca="1">IFERROR(__xludf.DUMMYFUNCTION("""COMPUTED_VALUE"""),"E15")</f>
        <v>E15</v>
      </c>
      <c r="D498" s="3" t="str">
        <f ca="1">IFERROR(__xludf.DUMMYFUNCTION("""COMPUTED_VALUE"""),"https://e15.cz, https://finexpert.cz, https://www.e15.cz/formen")</f>
        <v>https://e15.cz, https://finexpert.cz, https://www.e15.cz/formen</v>
      </c>
      <c r="E498" s="3" t="str">
        <f ca="1">IFERROR(__xludf.DUMMYFUNCTION("""COMPUTED_VALUE"""),"celý web")</f>
        <v>celý web</v>
      </c>
      <c r="F498" s="3" t="str">
        <f ca="1">IFERROR(__xludf.DUMMYFUNCTION("""COMPUTED_VALUE"""),"https://e15.cz, https://finexpert.cz, https://www.e15.cz/formen")</f>
        <v>https://e15.cz, https://finexpert.cz, https://www.e15.cz/formen</v>
      </c>
      <c r="G498" s="3" t="str">
        <f ca="1">IFERROR(__xludf.DUMMYFUNCTION("""COMPUTED_VALUE"""),"mobilní slide-up low season")</f>
        <v>mobilní slide-up low season</v>
      </c>
      <c r="H498" s="3">
        <f ca="1">IFERROR(__xludf.DUMMYFUNCTION("""COMPUTED_VALUE"""),7)</f>
        <v>7</v>
      </c>
      <c r="I498" s="5">
        <f ca="1">IFERROR(__xludf.DUMMYFUNCTION("""COMPUTED_VALUE"""),1000)</f>
        <v>1000</v>
      </c>
      <c r="J498" s="5">
        <f ca="1">IFERROR(__xludf.DUMMYFUNCTION("""COMPUTED_VALUE"""),690)</f>
        <v>690</v>
      </c>
      <c r="K498" s="3"/>
      <c r="L498" s="3" t="str">
        <f ca="1">IFERROR(__xludf.DUMMYFUNCTION("""COMPUTED_VALUE"""),"Cost per period")</f>
        <v>Cost per period</v>
      </c>
      <c r="M498" s="3"/>
      <c r="N498" s="3"/>
      <c r="O498" s="3" t="str">
        <f ca="1">IFERROR(__xludf.DUMMYFUNCTION("""COMPUTED_VALUE"""),"300")</f>
        <v>300</v>
      </c>
      <c r="P498" s="3" t="str">
        <f ca="1">IFERROR(__xludf.DUMMYFUNCTION("""COMPUTED_VALUE"""),"120")</f>
        <v>120</v>
      </c>
      <c r="Q498" s="3" t="str">
        <f ca="1">IFERROR(__xludf.DUMMYFUNCTION("""COMPUTED_VALUE"""),"300x120")</f>
        <v>300x120</v>
      </c>
      <c r="R498" s="3"/>
      <c r="S498" s="3" t="str">
        <f ca="1">IFERROR(__xludf.DUMMYFUNCTION("""COMPUTED_VALUE"""),"100")</f>
        <v>100</v>
      </c>
      <c r="T498" s="3"/>
      <c r="U498" s="3" t="str">
        <f ca="1">IFERROR(__xludf.DUMMYFUNCTION("""COMPUTED_VALUE"""),"banner standard")</f>
        <v>banner standard</v>
      </c>
      <c r="V498" s="3"/>
      <c r="W498" s="4" t="str">
        <f ca="1">IFERROR(__xludf.DUMMYFUNCTION("""COMPUTED_VALUE"""),"https://reklama.cncenter.cz/Online/mobilni-slide-up")</f>
        <v>https://reklama.cncenter.cz/Online/mobilni-slide-up</v>
      </c>
      <c r="X498" s="3"/>
      <c r="Y498" s="3"/>
      <c r="Z498" s="3" t="str">
        <f ca="1">IFERROR(__xludf.DUMMYFUNCTION("""COMPUTED_VALUE"""),"podklady@cncenter.cz")</f>
        <v>podklady@cncenter.cz</v>
      </c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 t="str">
        <f ca="1">IFERROR(__xludf.DUMMYFUNCTION("""COMPUTED_VALUE"""),"mobile")</f>
        <v>mobile</v>
      </c>
      <c r="AO498" s="3"/>
      <c r="AP498" s="3"/>
      <c r="AQ498" s="3"/>
      <c r="AR498" s="3"/>
      <c r="AS498" s="3"/>
      <c r="AT498" s="3"/>
      <c r="AU498" s="3" t="str">
        <f ca="1">IFERROR(__xludf.DUMMYFUNCTION("""COMPUTED_VALUE"""),"mobilní slide-up")</f>
        <v>mobilní slide-up</v>
      </c>
    </row>
    <row r="499" spans="1:47" x14ac:dyDescent="0.3">
      <c r="A499" s="3">
        <f ca="1"/>
        <v>2346826</v>
      </c>
      <c r="B499" s="3" t="str">
        <f ca="1"/>
        <v>CZECH NEWS CENTER a. s.</v>
      </c>
      <c r="C499" s="3" t="str">
        <f ca="1">IFERROR(__xludf.DUMMYFUNCTION("""COMPUTED_VALUE"""),"E15")</f>
        <v>E15</v>
      </c>
      <c r="D499" s="3" t="str">
        <f ca="1">IFERROR(__xludf.DUMMYFUNCTION("""COMPUTED_VALUE"""),"https://e15.cz, https://finexpert.cz, https://www.e15.cz/formen")</f>
        <v>https://e15.cz, https://finexpert.cz, https://www.e15.cz/formen</v>
      </c>
      <c r="E499" s="3" t="str">
        <f ca="1">IFERROR(__xludf.DUMMYFUNCTION("""COMPUTED_VALUE"""),"celý web")</f>
        <v>celý web</v>
      </c>
      <c r="F499" s="3" t="str">
        <f ca="1">IFERROR(__xludf.DUMMYFUNCTION("""COMPUTED_VALUE"""),"https://e15.cz, https://finexpert.cz, https://www.e15.cz/formen")</f>
        <v>https://e15.cz, https://finexpert.cz, https://www.e15.cz/formen</v>
      </c>
      <c r="G499" s="3" t="str">
        <f ca="1">IFERROR(__xludf.DUMMYFUNCTION("""COMPUTED_VALUE"""),"mobilní viněta low season")</f>
        <v>mobilní viněta low season</v>
      </c>
      <c r="H499" s="3">
        <f ca="1">IFERROR(__xludf.DUMMYFUNCTION("""COMPUTED_VALUE"""),7)</f>
        <v>7</v>
      </c>
      <c r="I499" s="5">
        <f ca="1">IFERROR(__xludf.DUMMYFUNCTION("""COMPUTED_VALUE"""),1000)</f>
        <v>1000</v>
      </c>
      <c r="J499" s="5">
        <f ca="1">IFERROR(__xludf.DUMMYFUNCTION("""COMPUTED_VALUE"""),720)</f>
        <v>720</v>
      </c>
      <c r="K499" s="3"/>
      <c r="L499" s="3" t="str">
        <f ca="1">IFERROR(__xludf.DUMMYFUNCTION("""COMPUTED_VALUE"""),"Cost per period")</f>
        <v>Cost per period</v>
      </c>
      <c r="M499" s="3"/>
      <c r="N499" s="3"/>
      <c r="O499" s="3" t="str">
        <f ca="1">IFERROR(__xludf.DUMMYFUNCTION("""COMPUTED_VALUE"""),"600")</f>
        <v>600</v>
      </c>
      <c r="P499" s="3" t="str">
        <f ca="1">IFERROR(__xludf.DUMMYFUNCTION("""COMPUTED_VALUE"""),"800")</f>
        <v>800</v>
      </c>
      <c r="Q499" s="3" t="str">
        <f ca="1">IFERROR(__xludf.DUMMYFUNCTION("""COMPUTED_VALUE"""),"300x250 nebo 600x800")</f>
        <v>300x250 nebo 600x800</v>
      </c>
      <c r="R499" s="3"/>
      <c r="S499" s="3" t="str">
        <f ca="1">IFERROR(__xludf.DUMMYFUNCTION("""COMPUTED_VALUE"""),"100")</f>
        <v>100</v>
      </c>
      <c r="T499" s="3"/>
      <c r="U499" s="3" t="str">
        <f ca="1">IFERROR(__xludf.DUMMYFUNCTION("""COMPUTED_VALUE"""),"banner standard")</f>
        <v>banner standard</v>
      </c>
      <c r="V499" s="3"/>
      <c r="W499" s="4" t="str">
        <f ca="1">IFERROR(__xludf.DUMMYFUNCTION("""COMPUTED_VALUE"""),"https://reklama.cncenter.cz/Online/mobilni-vineta")</f>
        <v>https://reklama.cncenter.cz/Online/mobilni-vineta</v>
      </c>
      <c r="X499" s="3"/>
      <c r="Y499" s="3"/>
      <c r="Z499" s="3" t="str">
        <f ca="1">IFERROR(__xludf.DUMMYFUNCTION("""COMPUTED_VALUE"""),"podklady@cncenter.cz")</f>
        <v>podklady@cncenter.cz</v>
      </c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 t="str">
        <f ca="1">IFERROR(__xludf.DUMMYFUNCTION("""COMPUTED_VALUE"""),"mobile")</f>
        <v>mobile</v>
      </c>
      <c r="AO499" s="3"/>
      <c r="AP499" s="3"/>
      <c r="AQ499" s="3"/>
      <c r="AR499" s="3"/>
      <c r="AS499" s="3"/>
      <c r="AT499" s="3"/>
      <c r="AU499" s="3" t="str">
        <f ca="1">IFERROR(__xludf.DUMMYFUNCTION("""COMPUTED_VALUE"""),"mobilní viněta")</f>
        <v>mobilní viněta</v>
      </c>
    </row>
    <row r="500" spans="1:47" x14ac:dyDescent="0.3">
      <c r="A500" s="3">
        <f ca="1"/>
        <v>2346826</v>
      </c>
      <c r="B500" s="3" t="str">
        <f ca="1"/>
        <v>CZECH NEWS CENTER a. s.</v>
      </c>
      <c r="C500" s="3" t="str">
        <f ca="1">IFERROR(__xludf.DUMMYFUNCTION("""COMPUTED_VALUE"""),"E15")</f>
        <v>E15</v>
      </c>
      <c r="D500" s="3" t="str">
        <f ca="1">IFERROR(__xludf.DUMMYFUNCTION("""COMPUTED_VALUE"""),"https://e15.cz, https://finexpert.cz, https://www.e15.cz/formen")</f>
        <v>https://e15.cz, https://finexpert.cz, https://www.e15.cz/formen</v>
      </c>
      <c r="E500" s="3" t="str">
        <f ca="1">IFERROR(__xludf.DUMMYFUNCTION("""COMPUTED_VALUE"""),"celý web")</f>
        <v>celý web</v>
      </c>
      <c r="F500" s="3" t="str">
        <f ca="1">IFERROR(__xludf.DUMMYFUNCTION("""COMPUTED_VALUE"""),"https://e15.cz, https://finexpert.cz, https://www.e15.cz/formen")</f>
        <v>https://e15.cz, https://finexpert.cz, https://www.e15.cz/formen</v>
      </c>
      <c r="G500" s="3" t="str">
        <f ca="1">IFERROR(__xludf.DUMMYFUNCTION("""COMPUTED_VALUE"""),"Native Standard low season")</f>
        <v>Native Standard low season</v>
      </c>
      <c r="H500" s="3">
        <f ca="1">IFERROR(__xludf.DUMMYFUNCTION("""COMPUTED_VALUE"""),1)</f>
        <v>1</v>
      </c>
      <c r="I500" s="5">
        <f ca="1">IFERROR(__xludf.DUMMYFUNCTION("""COMPUTED_VALUE"""),1)</f>
        <v>1</v>
      </c>
      <c r="J500" s="5">
        <f ca="1">IFERROR(__xludf.DUMMYFUNCTION("""COMPUTED_VALUE"""),330000)</f>
        <v>330000</v>
      </c>
      <c r="K500" s="3"/>
      <c r="L500" s="3" t="str">
        <f ca="1">IFERROR(__xludf.DUMMYFUNCTION("""COMPUTED_VALUE"""),"Cost per instance")</f>
        <v>Cost per instance</v>
      </c>
      <c r="M500" s="3"/>
      <c r="N500" s="3"/>
      <c r="O500" s="3"/>
      <c r="P500" s="3"/>
      <c r="Q500" s="3"/>
      <c r="R500" s="3"/>
      <c r="S500" s="3" t="str">
        <f ca="1">IFERROR(__xludf.DUMMYFUNCTION("""COMPUTED_VALUE"""),"100")</f>
        <v>100</v>
      </c>
      <c r="T500" s="3"/>
      <c r="U500" s="3" t="str">
        <f ca="1">IFERROR(__xludf.DUMMYFUNCTION("""COMPUTED_VALUE"""),"microsite")</f>
        <v>microsite</v>
      </c>
      <c r="V500" s="3"/>
      <c r="W500" s="3"/>
      <c r="X500" s="3"/>
      <c r="Y500" s="3"/>
      <c r="Z500" s="3" t="str">
        <f ca="1">IFERROR(__xludf.DUMMYFUNCTION("""COMPUTED_VALUE"""),"podklady@cncenter.cz")</f>
        <v>podklady@cncenter.cz</v>
      </c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 t="str">
        <f ca="1">IFERROR(__xludf.DUMMYFUNCTION("""COMPUTED_VALUE"""),"cross-device")</f>
        <v>cross-device</v>
      </c>
      <c r="AO500" s="3"/>
      <c r="AP500" s="3"/>
      <c r="AQ500" s="3"/>
      <c r="AR500" s="3"/>
      <c r="AS500" s="3"/>
      <c r="AT500" s="3"/>
      <c r="AU500" s="3" t="str">
        <f ca="1">IFERROR(__xludf.DUMMYFUNCTION("""COMPUTED_VALUE"""),"Native Standard")</f>
        <v>Native Standard</v>
      </c>
    </row>
    <row r="501" spans="1:47" x14ac:dyDescent="0.3">
      <c r="A501" s="3">
        <f ca="1"/>
        <v>2346826</v>
      </c>
      <c r="B501" s="3" t="str">
        <f ca="1"/>
        <v>CZECH NEWS CENTER a. s.</v>
      </c>
      <c r="C501" s="3" t="str">
        <f ca="1">IFERROR(__xludf.DUMMYFUNCTION("""COMPUTED_VALUE"""),"E15")</f>
        <v>E15</v>
      </c>
      <c r="D501" s="3" t="str">
        <f ca="1">IFERROR(__xludf.DUMMYFUNCTION("""COMPUTED_VALUE"""),"https://e15.cz, https://finexpert.cz, https://www.e15.cz/formen")</f>
        <v>https://e15.cz, https://finexpert.cz, https://www.e15.cz/formen</v>
      </c>
      <c r="E501" s="3" t="str">
        <f ca="1">IFERROR(__xludf.DUMMYFUNCTION("""COMPUTED_VALUE"""),"celý web")</f>
        <v>celý web</v>
      </c>
      <c r="F501" s="3" t="str">
        <f ca="1">IFERROR(__xludf.DUMMYFUNCTION("""COMPUTED_VALUE"""),"https://e15.cz, https://finexpert.cz, https://www.e15.cz/formen")</f>
        <v>https://e15.cz, https://finexpert.cz, https://www.e15.cz/formen</v>
      </c>
      <c r="G501" s="3" t="str">
        <f ca="1">IFERROR(__xludf.DUMMYFUNCTION("""COMPUTED_VALUE"""),"nativní rectangle cross-device low season")</f>
        <v>nativní rectangle cross-device low season</v>
      </c>
      <c r="H501" s="3">
        <f ca="1">IFERROR(__xludf.DUMMYFUNCTION("""COMPUTED_VALUE"""),7)</f>
        <v>7</v>
      </c>
      <c r="I501" s="5">
        <f ca="1">IFERROR(__xludf.DUMMYFUNCTION("""COMPUTED_VALUE"""),1000)</f>
        <v>1000</v>
      </c>
      <c r="J501" s="5">
        <f ca="1">IFERROR(__xludf.DUMMYFUNCTION("""COMPUTED_VALUE"""),260)</f>
        <v>260</v>
      </c>
      <c r="K501" s="3"/>
      <c r="L501" s="3" t="str">
        <f ca="1">IFERROR(__xludf.DUMMYFUNCTION("""COMPUTED_VALUE"""),"Cost per period")</f>
        <v>Cost per period</v>
      </c>
      <c r="M501" s="3"/>
      <c r="N501" s="3"/>
      <c r="O501" s="3" t="str">
        <f ca="1">IFERROR(__xludf.DUMMYFUNCTION("""COMPUTED_VALUE"""),"640")</f>
        <v>640</v>
      </c>
      <c r="P501" s="3" t="str">
        <f ca="1">IFERROR(__xludf.DUMMYFUNCTION("""COMPUTED_VALUE"""),"335, 640")</f>
        <v>335, 640</v>
      </c>
      <c r="Q501" s="3" t="str">
        <f ca="1">IFERROR(__xludf.DUMMYFUNCTION("""COMPUTED_VALUE"""),"640x640 a 640x335 + text + logo")</f>
        <v>640x640 a 640x335 + text + logo</v>
      </c>
      <c r="R501" s="3"/>
      <c r="S501" s="3" t="str">
        <f ca="1">IFERROR(__xludf.DUMMYFUNCTION("""COMPUTED_VALUE"""),"45")</f>
        <v>45</v>
      </c>
      <c r="T501" s="3"/>
      <c r="U501" s="3" t="str">
        <f ca="1">IFERROR(__xludf.DUMMYFUNCTION("""COMPUTED_VALUE"""),"nativní reklama")</f>
        <v>nativní reklama</v>
      </c>
      <c r="V501" s="3"/>
      <c r="W501" s="4" t="str">
        <f ca="1">IFERROR(__xludf.DUMMYFUNCTION("""COMPUTED_VALUE"""),"https://reklama.cncenter.cz/Online/nativni-rectangle-cross-device")</f>
        <v>https://reklama.cncenter.cz/Online/nativni-rectangle-cross-device</v>
      </c>
      <c r="X501" s="3"/>
      <c r="Y501" s="3"/>
      <c r="Z501" s="3" t="str">
        <f ca="1">IFERROR(__xludf.DUMMYFUNCTION("""COMPUTED_VALUE"""),"podklady@cncenter.cz")</f>
        <v>podklady@cncenter.cz</v>
      </c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 t="str">
        <f ca="1">IFERROR(__xludf.DUMMYFUNCTION("""COMPUTED_VALUE"""),"cross-device")</f>
        <v>cross-device</v>
      </c>
      <c r="AO501" s="3"/>
      <c r="AP501" s="3"/>
      <c r="AQ501" s="3"/>
      <c r="AR501" s="3"/>
      <c r="AS501" s="3"/>
      <c r="AT501" s="3"/>
      <c r="AU501" s="3" t="str">
        <f ca="1">IFERROR(__xludf.DUMMYFUNCTION("""COMPUTED_VALUE"""),"nativní rectangle cross-device")</f>
        <v>nativní rectangle cross-device</v>
      </c>
    </row>
    <row r="502" spans="1:47" x14ac:dyDescent="0.3">
      <c r="A502" s="3">
        <f ca="1"/>
        <v>2346826</v>
      </c>
      <c r="B502" s="3" t="str">
        <f ca="1"/>
        <v>CZECH NEWS CENTER a. s.</v>
      </c>
      <c r="C502" s="3" t="str">
        <f ca="1">IFERROR(__xludf.DUMMYFUNCTION("""COMPUTED_VALUE"""),"E15")</f>
        <v>E15</v>
      </c>
      <c r="D502" s="3" t="str">
        <f ca="1">IFERROR(__xludf.DUMMYFUNCTION("""COMPUTED_VALUE"""),"https://e15.cz, https://finexpert.cz, https://www.e15.cz/formen")</f>
        <v>https://e15.cz, https://finexpert.cz, https://www.e15.cz/formen</v>
      </c>
      <c r="E502" s="3" t="str">
        <f ca="1">IFERROR(__xludf.DUMMYFUNCTION("""COMPUTED_VALUE"""),"celý web")</f>
        <v>celý web</v>
      </c>
      <c r="F502" s="3" t="str">
        <f ca="1">IFERROR(__xludf.DUMMYFUNCTION("""COMPUTED_VALUE"""),"https://e15.cz, https://finexpert.cz, https://www.e15.cz/formen")</f>
        <v>https://e15.cz, https://finexpert.cz, https://www.e15.cz/formen</v>
      </c>
      <c r="G502" s="3" t="str">
        <f ca="1">IFERROR(__xludf.DUMMYFUNCTION("""COMPUTED_VALUE"""),"outstream low season")</f>
        <v>outstream low season</v>
      </c>
      <c r="H502" s="3">
        <f ca="1">IFERROR(__xludf.DUMMYFUNCTION("""COMPUTED_VALUE"""),7)</f>
        <v>7</v>
      </c>
      <c r="I502" s="5">
        <f ca="1">IFERROR(__xludf.DUMMYFUNCTION("""COMPUTED_VALUE"""),1000)</f>
        <v>1000</v>
      </c>
      <c r="J502" s="5">
        <f ca="1">IFERROR(__xludf.DUMMYFUNCTION("""COMPUTED_VALUE"""),300)</f>
        <v>300</v>
      </c>
      <c r="K502" s="3"/>
      <c r="L502" s="3" t="str">
        <f ca="1">IFERROR(__xludf.DUMMYFUNCTION("""COMPUTED_VALUE"""),"Cost per period")</f>
        <v>Cost per period</v>
      </c>
      <c r="M502" s="3"/>
      <c r="N502" s="3"/>
      <c r="O502" s="3" t="str">
        <f ca="1">IFERROR(__xludf.DUMMYFUNCTION("""COMPUTED_VALUE"""),"1280")</f>
        <v>1280</v>
      </c>
      <c r="P502" s="3" t="str">
        <f ca="1">IFERROR(__xludf.DUMMYFUNCTION("""COMPUTED_VALUE"""),"720")</f>
        <v>720</v>
      </c>
      <c r="Q502" s="3" t="str">
        <f ca="1">IFERROR(__xludf.DUMMYFUNCTION("""COMPUTED_VALUE"""),"16:9")</f>
        <v>16:9</v>
      </c>
      <c r="R502" s="3"/>
      <c r="S502" s="3" t="str">
        <f ca="1">IFERROR(__xludf.DUMMYFUNCTION("""COMPUTED_VALUE"""),"100")</f>
        <v>100</v>
      </c>
      <c r="T502" s="3"/>
      <c r="U502" s="3" t="str">
        <f ca="1">IFERROR(__xludf.DUMMYFUNCTION("""COMPUTED_VALUE"""),"videospot")</f>
        <v>videospot</v>
      </c>
      <c r="V502" s="3"/>
      <c r="W502" s="4" t="str">
        <f ca="1">IFERROR(__xludf.DUMMYFUNCTION("""COMPUTED_VALUE"""),"https://reklama.cncenter.cz/Online/Outstream")</f>
        <v>https://reklama.cncenter.cz/Online/Outstream</v>
      </c>
      <c r="X502" s="3"/>
      <c r="Y502" s="3"/>
      <c r="Z502" s="3" t="str">
        <f ca="1">IFERROR(__xludf.DUMMYFUNCTION("""COMPUTED_VALUE"""),"podklady@cncenter.cz")</f>
        <v>podklady@cncenter.cz</v>
      </c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 t="str">
        <f ca="1">IFERROR(__xludf.DUMMYFUNCTION("""COMPUTED_VALUE"""),"cross-device")</f>
        <v>cross-device</v>
      </c>
      <c r="AO502" s="3"/>
      <c r="AP502" s="3"/>
      <c r="AQ502" s="3"/>
      <c r="AR502" s="3"/>
      <c r="AS502" s="3"/>
      <c r="AT502" s="3"/>
      <c r="AU502" s="3" t="str">
        <f ca="1">IFERROR(__xludf.DUMMYFUNCTION("""COMPUTED_VALUE"""),"outstream")</f>
        <v>outstream</v>
      </c>
    </row>
    <row r="503" spans="1:47" x14ac:dyDescent="0.3">
      <c r="A503" s="3">
        <f ca="1"/>
        <v>2346826</v>
      </c>
      <c r="B503" s="3" t="str">
        <f ca="1"/>
        <v>CZECH NEWS CENTER a. s.</v>
      </c>
      <c r="C503" s="3" t="str">
        <f ca="1">IFERROR(__xludf.DUMMYFUNCTION("""COMPUTED_VALUE"""),"E15")</f>
        <v>E15</v>
      </c>
      <c r="D503" s="3" t="str">
        <f ca="1">IFERROR(__xludf.DUMMYFUNCTION("""COMPUTED_VALUE"""),"https://e15.cz, https://finexpert.cz, https://www.e15.cz/formen")</f>
        <v>https://e15.cz, https://finexpert.cz, https://www.e15.cz/formen</v>
      </c>
      <c r="E503" s="3" t="str">
        <f ca="1">IFERROR(__xludf.DUMMYFUNCTION("""COMPUTED_VALUE"""),"celý web")</f>
        <v>celý web</v>
      </c>
      <c r="F503" s="3" t="str">
        <f ca="1">IFERROR(__xludf.DUMMYFUNCTION("""COMPUTED_VALUE"""),"https://e15.cz, https://finexpert.cz, https://www.e15.cz/formen")</f>
        <v>https://e15.cz, https://finexpert.cz, https://www.e15.cz/formen</v>
      </c>
      <c r="G503" s="3" t="str">
        <f ca="1">IFERROR(__xludf.DUMMYFUNCTION("""COMPUTED_VALUE"""),"PR chat low season")</f>
        <v>PR chat low season</v>
      </c>
      <c r="H503" s="3">
        <f ca="1">IFERROR(__xludf.DUMMYFUNCTION("""COMPUTED_VALUE"""),1)</f>
        <v>1</v>
      </c>
      <c r="I503" s="5">
        <f ca="1">IFERROR(__xludf.DUMMYFUNCTION("""COMPUTED_VALUE"""),1)</f>
        <v>1</v>
      </c>
      <c r="J503" s="5">
        <f ca="1">IFERROR(__xludf.DUMMYFUNCTION("""COMPUTED_VALUE"""),50000)</f>
        <v>50000</v>
      </c>
      <c r="K503" s="3"/>
      <c r="L503" s="3" t="str">
        <f ca="1">IFERROR(__xludf.DUMMYFUNCTION("""COMPUTED_VALUE"""),"Cost per instance")</f>
        <v>Cost per instance</v>
      </c>
      <c r="M503" s="3"/>
      <c r="N503" s="3"/>
      <c r="O503" s="3"/>
      <c r="P503" s="3"/>
      <c r="Q503" s="3"/>
      <c r="R503" s="3"/>
      <c r="S503" s="3" t="str">
        <f ca="1">IFERROR(__xludf.DUMMYFUNCTION("""COMPUTED_VALUE"""),"100")</f>
        <v>100</v>
      </c>
      <c r="T503" s="3"/>
      <c r="U503" s="3" t="str">
        <f ca="1">IFERROR(__xludf.DUMMYFUNCTION("""COMPUTED_VALUE"""),"pr článek")</f>
        <v>pr článek</v>
      </c>
      <c r="V503" s="3"/>
      <c r="W503" s="3"/>
      <c r="X503" s="3"/>
      <c r="Y503" s="3"/>
      <c r="Z503" s="3" t="str">
        <f ca="1">IFERROR(__xludf.DUMMYFUNCTION("""COMPUTED_VALUE"""),"podklady@cncenter.cz")</f>
        <v>podklady@cncenter.cz</v>
      </c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 t="str">
        <f ca="1">IFERROR(__xludf.DUMMYFUNCTION("""COMPUTED_VALUE"""),"cross-device")</f>
        <v>cross-device</v>
      </c>
      <c r="AO503" s="3"/>
      <c r="AP503" s="3"/>
      <c r="AQ503" s="3"/>
      <c r="AR503" s="3"/>
      <c r="AS503" s="3"/>
      <c r="AT503" s="3"/>
      <c r="AU503" s="3" t="str">
        <f ca="1">IFERROR(__xludf.DUMMYFUNCTION("""COMPUTED_VALUE"""),"PR chat")</f>
        <v>PR chat</v>
      </c>
    </row>
    <row r="504" spans="1:47" x14ac:dyDescent="0.3">
      <c r="A504" s="3">
        <f ca="1"/>
        <v>2346826</v>
      </c>
      <c r="B504" s="3" t="str">
        <f ca="1"/>
        <v>CZECH NEWS CENTER a. s.</v>
      </c>
      <c r="C504" s="3" t="str">
        <f ca="1">IFERROR(__xludf.DUMMYFUNCTION("""COMPUTED_VALUE"""),"E15")</f>
        <v>E15</v>
      </c>
      <c r="D504" s="3" t="str">
        <f ca="1">IFERROR(__xludf.DUMMYFUNCTION("""COMPUTED_VALUE"""),"https://e15.cz, https://finexpert.cz, https://www.e15.cz/formen")</f>
        <v>https://e15.cz, https://finexpert.cz, https://www.e15.cz/formen</v>
      </c>
      <c r="E504" s="3" t="str">
        <f ca="1">IFERROR(__xludf.DUMMYFUNCTION("""COMPUTED_VALUE"""),"celý web")</f>
        <v>celý web</v>
      </c>
      <c r="F504" s="3" t="str">
        <f ca="1">IFERROR(__xludf.DUMMYFUNCTION("""COMPUTED_VALUE"""),"https://e15.cz, https://finexpert.cz, https://www.e15.cz/formen")</f>
        <v>https://e15.cz, https://finexpert.cz, https://www.e15.cz/formen</v>
      </c>
      <c r="G504" s="3" t="str">
        <f ca="1">IFERROR(__xludf.DUMMYFUNCTION("""COMPUTED_VALUE"""),"PR článek low season")</f>
        <v>PR článek low season</v>
      </c>
      <c r="H504" s="3">
        <f ca="1">IFERROR(__xludf.DUMMYFUNCTION("""COMPUTED_VALUE"""),1)</f>
        <v>1</v>
      </c>
      <c r="I504" s="5">
        <f ca="1">IFERROR(__xludf.DUMMYFUNCTION("""COMPUTED_VALUE"""),1)</f>
        <v>1</v>
      </c>
      <c r="J504" s="5">
        <f ca="1">IFERROR(__xludf.DUMMYFUNCTION("""COMPUTED_VALUE"""),50000)</f>
        <v>50000</v>
      </c>
      <c r="K504" s="3"/>
      <c r="L504" s="3" t="str">
        <f ca="1">IFERROR(__xludf.DUMMYFUNCTION("""COMPUTED_VALUE"""),"Cost per instance")</f>
        <v>Cost per instance</v>
      </c>
      <c r="M504" s="3"/>
      <c r="N504" s="3"/>
      <c r="O504" s="3"/>
      <c r="P504" s="3"/>
      <c r="Q504" s="3"/>
      <c r="R504" s="3"/>
      <c r="S504" s="3" t="str">
        <f ca="1">IFERROR(__xludf.DUMMYFUNCTION("""COMPUTED_VALUE"""),"100")</f>
        <v>100</v>
      </c>
      <c r="T504" s="3"/>
      <c r="U504" s="3" t="str">
        <f ca="1">IFERROR(__xludf.DUMMYFUNCTION("""COMPUTED_VALUE"""),"pr článek")</f>
        <v>pr článek</v>
      </c>
      <c r="V504" s="3"/>
      <c r="W504" s="4" t="str">
        <f ca="1">IFERROR(__xludf.DUMMYFUNCTION("""COMPUTED_VALUE"""),"https://reklama.cncenter.cz/?ads=PR%2520%25C4%258Dl%25C3%25A1nky")</f>
        <v>https://reklama.cncenter.cz/?ads=PR%2520%25C4%258Dl%25C3%25A1nky</v>
      </c>
      <c r="X504" s="3"/>
      <c r="Y504" s="3"/>
      <c r="Z504" s="3" t="str">
        <f ca="1">IFERROR(__xludf.DUMMYFUNCTION("""COMPUTED_VALUE"""),"podklady@cncenter.cz")</f>
        <v>podklady@cncenter.cz</v>
      </c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 t="str">
        <f ca="1">IFERROR(__xludf.DUMMYFUNCTION("""COMPUTED_VALUE"""),"cross-device")</f>
        <v>cross-device</v>
      </c>
      <c r="AO504" s="3"/>
      <c r="AP504" s="3"/>
      <c r="AQ504" s="3"/>
      <c r="AR504" s="3"/>
      <c r="AS504" s="3"/>
      <c r="AT504" s="3"/>
      <c r="AU504" s="3" t="str">
        <f ca="1">IFERROR(__xludf.DUMMYFUNCTION("""COMPUTED_VALUE"""),"PR článek")</f>
        <v>PR článek</v>
      </c>
    </row>
    <row r="505" spans="1:47" x14ac:dyDescent="0.3">
      <c r="A505" s="3">
        <f ca="1"/>
        <v>2346826</v>
      </c>
      <c r="B505" s="3" t="str">
        <f ca="1"/>
        <v>CZECH NEWS CENTER a. s.</v>
      </c>
      <c r="C505" s="3" t="str">
        <f ca="1">IFERROR(__xludf.DUMMYFUNCTION("""COMPUTED_VALUE"""),"E15")</f>
        <v>E15</v>
      </c>
      <c r="D505" s="3" t="str">
        <f ca="1">IFERROR(__xludf.DUMMYFUNCTION("""COMPUTED_VALUE"""),"https://e15.cz, https://finexpert.cz, https://www.e15.cz/formen")</f>
        <v>https://e15.cz, https://finexpert.cz, https://www.e15.cz/formen</v>
      </c>
      <c r="E505" s="3" t="str">
        <f ca="1">IFERROR(__xludf.DUMMYFUNCTION("""COMPUTED_VALUE"""),"celý web")</f>
        <v>celý web</v>
      </c>
      <c r="F505" s="3" t="str">
        <f ca="1">IFERROR(__xludf.DUMMYFUNCTION("""COMPUTED_VALUE"""),"https://e15.cz, https://finexpert.cz, https://www.e15.cz/formen")</f>
        <v>https://e15.cz, https://finexpert.cz, https://www.e15.cz/formen</v>
      </c>
      <c r="G505" s="3" t="str">
        <f ca="1">IFERROR(__xludf.DUMMYFUNCTION("""COMPUTED_VALUE"""),"Prodloužení existující microsite, bez úprav low season")</f>
        <v>Prodloužení existující microsite, bez úprav low season</v>
      </c>
      <c r="H505" s="3">
        <f ca="1">IFERROR(__xludf.DUMMYFUNCTION("""COMPUTED_VALUE"""),1)</f>
        <v>1</v>
      </c>
      <c r="I505" s="5">
        <f ca="1">IFERROR(__xludf.DUMMYFUNCTION("""COMPUTED_VALUE"""),1)</f>
        <v>1</v>
      </c>
      <c r="J505" s="5">
        <f ca="1">IFERROR(__xludf.DUMMYFUNCTION("""COMPUTED_VALUE"""),15000)</f>
        <v>15000</v>
      </c>
      <c r="K505" s="3"/>
      <c r="L505" s="3" t="str">
        <f ca="1">IFERROR(__xludf.DUMMYFUNCTION("""COMPUTED_VALUE"""),"Cost per instance")</f>
        <v>Cost per instance</v>
      </c>
      <c r="M505" s="3"/>
      <c r="N505" s="3"/>
      <c r="O505" s="3"/>
      <c r="P505" s="3"/>
      <c r="Q505" s="3"/>
      <c r="R505" s="3"/>
      <c r="S505" s="3" t="str">
        <f ca="1">IFERROR(__xludf.DUMMYFUNCTION("""COMPUTED_VALUE"""),"100")</f>
        <v>100</v>
      </c>
      <c r="T505" s="3"/>
      <c r="U505" s="3" t="str">
        <f ca="1">IFERROR(__xludf.DUMMYFUNCTION("""COMPUTED_VALUE"""),"microsite")</f>
        <v>microsite</v>
      </c>
      <c r="V505" s="3"/>
      <c r="W505" s="3"/>
      <c r="X505" s="3"/>
      <c r="Y505" s="3"/>
      <c r="Z505" s="3" t="str">
        <f ca="1">IFERROR(__xludf.DUMMYFUNCTION("""COMPUTED_VALUE"""),"podklady@cncenter.cz")</f>
        <v>podklady@cncenter.cz</v>
      </c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 t="str">
        <f ca="1">IFERROR(__xludf.DUMMYFUNCTION("""COMPUTED_VALUE"""),"cross-device")</f>
        <v>cross-device</v>
      </c>
      <c r="AO505" s="3"/>
      <c r="AP505" s="3"/>
      <c r="AQ505" s="3"/>
      <c r="AR505" s="3"/>
      <c r="AS505" s="3"/>
      <c r="AT505" s="3"/>
      <c r="AU505" s="3" t="str">
        <f ca="1">IFERROR(__xludf.DUMMYFUNCTION("""COMPUTED_VALUE"""),"Prodloužení existující microsite, bez úprav")</f>
        <v>Prodloužení existující microsite, bez úprav</v>
      </c>
    </row>
    <row r="506" spans="1:47" x14ac:dyDescent="0.3">
      <c r="A506" s="3">
        <f ca="1"/>
        <v>2346826</v>
      </c>
      <c r="B506" s="3" t="str">
        <f ca="1"/>
        <v>CZECH NEWS CENTER a. s.</v>
      </c>
      <c r="C506" s="3" t="str">
        <f ca="1">IFERROR(__xludf.DUMMYFUNCTION("""COMPUTED_VALUE"""),"E15")</f>
        <v>E15</v>
      </c>
      <c r="D506" s="3" t="str">
        <f ca="1">IFERROR(__xludf.DUMMYFUNCTION("""COMPUTED_VALUE"""),"https://e15.cz, https://finexpert.cz, https://www.e15.cz/formen")</f>
        <v>https://e15.cz, https://finexpert.cz, https://www.e15.cz/formen</v>
      </c>
      <c r="E506" s="3" t="str">
        <f ca="1">IFERROR(__xludf.DUMMYFUNCTION("""COMPUTED_VALUE"""),"celý web")</f>
        <v>celý web</v>
      </c>
      <c r="F506" s="3" t="str">
        <f ca="1">IFERROR(__xludf.DUMMYFUNCTION("""COMPUTED_VALUE"""),"https://e15.cz, https://finexpert.cz, https://www.e15.cz/formen")</f>
        <v>https://e15.cz, https://finexpert.cz, https://www.e15.cz/formen</v>
      </c>
      <c r="G506" s="3" t="str">
        <f ca="1">IFERROR(__xludf.DUMMYFUNCTION("""COMPUTED_VALUE"""),"Prodloužení existující microsite, bez úprav low season")</f>
        <v>Prodloužení existující microsite, bez úprav low season</v>
      </c>
      <c r="H506" s="3">
        <f ca="1">IFERROR(__xludf.DUMMYFUNCTION("""COMPUTED_VALUE"""),1)</f>
        <v>1</v>
      </c>
      <c r="I506" s="5">
        <f ca="1">IFERROR(__xludf.DUMMYFUNCTION("""COMPUTED_VALUE"""),1)</f>
        <v>1</v>
      </c>
      <c r="J506" s="5">
        <f ca="1">IFERROR(__xludf.DUMMYFUNCTION("""COMPUTED_VALUE"""),15000)</f>
        <v>15000</v>
      </c>
      <c r="K506" s="3"/>
      <c r="L506" s="3" t="str">
        <f ca="1">IFERROR(__xludf.DUMMYFUNCTION("""COMPUTED_VALUE"""),"Cost per instance")</f>
        <v>Cost per instance</v>
      </c>
      <c r="M506" s="3"/>
      <c r="N506" s="3"/>
      <c r="O506" s="3"/>
      <c r="P506" s="3"/>
      <c r="Q506" s="3"/>
      <c r="R506" s="3"/>
      <c r="S506" s="3" t="str">
        <f ca="1">IFERROR(__xludf.DUMMYFUNCTION("""COMPUTED_VALUE"""),"100")</f>
        <v>100</v>
      </c>
      <c r="T506" s="3"/>
      <c r="U506" s="3" t="str">
        <f ca="1">IFERROR(__xludf.DUMMYFUNCTION("""COMPUTED_VALUE"""),"microsite")</f>
        <v>microsite</v>
      </c>
      <c r="V506" s="3"/>
      <c r="W506" s="3"/>
      <c r="X506" s="3"/>
      <c r="Y506" s="3"/>
      <c r="Z506" s="3" t="str">
        <f ca="1">IFERROR(__xludf.DUMMYFUNCTION("""COMPUTED_VALUE"""),"podklady@cncenter.cz")</f>
        <v>podklady@cncenter.cz</v>
      </c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 t="str">
        <f ca="1">IFERROR(__xludf.DUMMYFUNCTION("""COMPUTED_VALUE"""),"cross-device")</f>
        <v>cross-device</v>
      </c>
      <c r="AO506" s="3"/>
      <c r="AP506" s="3"/>
      <c r="AQ506" s="3"/>
      <c r="AR506" s="3"/>
      <c r="AS506" s="3"/>
      <c r="AT506" s="3"/>
      <c r="AU506" s="3" t="str">
        <f ca="1">IFERROR(__xludf.DUMMYFUNCTION("""COMPUTED_VALUE"""),"Prodloužení existující microsite, bez úprav")</f>
        <v>Prodloužení existující microsite, bez úprav</v>
      </c>
    </row>
    <row r="507" spans="1:47" x14ac:dyDescent="0.3">
      <c r="A507" s="3">
        <f ca="1"/>
        <v>2346826</v>
      </c>
      <c r="B507" s="3" t="str">
        <f ca="1"/>
        <v>CZECH NEWS CENTER a. s.</v>
      </c>
      <c r="C507" s="3" t="str">
        <f ca="1">IFERROR(__xludf.DUMMYFUNCTION("""COMPUTED_VALUE"""),"E15")</f>
        <v>E15</v>
      </c>
      <c r="D507" s="3" t="str">
        <f ca="1">IFERROR(__xludf.DUMMYFUNCTION("""COMPUTED_VALUE"""),"https://e15.cz, https://finexpert.cz, https://www.e15.cz/formen")</f>
        <v>https://e15.cz, https://finexpert.cz, https://www.e15.cz/formen</v>
      </c>
      <c r="E507" s="3" t="str">
        <f ca="1">IFERROR(__xludf.DUMMYFUNCTION("""COMPUTED_VALUE"""),"celý web")</f>
        <v>celý web</v>
      </c>
      <c r="F507" s="3" t="str">
        <f ca="1">IFERROR(__xludf.DUMMYFUNCTION("""COMPUTED_VALUE"""),"https://e15.cz, https://finexpert.cz, https://www.e15.cz/formen")</f>
        <v>https://e15.cz, https://finexpert.cz, https://www.e15.cz/formen</v>
      </c>
      <c r="G507" s="3" t="str">
        <f ca="1">IFERROR(__xludf.DUMMYFUNCTION("""COMPUTED_VALUE"""),"Prodloužení existující microsite, bez úprav low season")</f>
        <v>Prodloužení existující microsite, bez úprav low season</v>
      </c>
      <c r="H507" s="3">
        <f ca="1">IFERROR(__xludf.DUMMYFUNCTION("""COMPUTED_VALUE"""),1)</f>
        <v>1</v>
      </c>
      <c r="I507" s="5">
        <f ca="1">IFERROR(__xludf.DUMMYFUNCTION("""COMPUTED_VALUE"""),1)</f>
        <v>1</v>
      </c>
      <c r="J507" s="5">
        <f ca="1">IFERROR(__xludf.DUMMYFUNCTION("""COMPUTED_VALUE"""),15000)</f>
        <v>15000</v>
      </c>
      <c r="K507" s="3"/>
      <c r="L507" s="3" t="str">
        <f ca="1">IFERROR(__xludf.DUMMYFUNCTION("""COMPUTED_VALUE"""),"Cost per instance")</f>
        <v>Cost per instance</v>
      </c>
      <c r="M507" s="3"/>
      <c r="N507" s="3"/>
      <c r="O507" s="3"/>
      <c r="P507" s="3"/>
      <c r="Q507" s="3"/>
      <c r="R507" s="3"/>
      <c r="S507" s="3" t="str">
        <f ca="1">IFERROR(__xludf.DUMMYFUNCTION("""COMPUTED_VALUE"""),"100")</f>
        <v>100</v>
      </c>
      <c r="T507" s="3"/>
      <c r="U507" s="3" t="str">
        <f ca="1">IFERROR(__xludf.DUMMYFUNCTION("""COMPUTED_VALUE"""),"microsite")</f>
        <v>microsite</v>
      </c>
      <c r="V507" s="3"/>
      <c r="W507" s="3"/>
      <c r="X507" s="3"/>
      <c r="Y507" s="3"/>
      <c r="Z507" s="3" t="str">
        <f ca="1">IFERROR(__xludf.DUMMYFUNCTION("""COMPUTED_VALUE"""),"podklady@cncenter.cz")</f>
        <v>podklady@cncenter.cz</v>
      </c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 t="str">
        <f ca="1">IFERROR(__xludf.DUMMYFUNCTION("""COMPUTED_VALUE"""),"cross-device")</f>
        <v>cross-device</v>
      </c>
      <c r="AO507" s="3"/>
      <c r="AP507" s="3"/>
      <c r="AQ507" s="3"/>
      <c r="AR507" s="3"/>
      <c r="AS507" s="3"/>
      <c r="AT507" s="3"/>
      <c r="AU507" s="3" t="str">
        <f ca="1">IFERROR(__xludf.DUMMYFUNCTION("""COMPUTED_VALUE"""),"Prodloužení existující microsite, bez úprav")</f>
        <v>Prodloužení existující microsite, bez úprav</v>
      </c>
    </row>
    <row r="508" spans="1:47" x14ac:dyDescent="0.3">
      <c r="A508" s="3">
        <f ca="1"/>
        <v>2346826</v>
      </c>
      <c r="B508" s="3" t="str">
        <f ca="1"/>
        <v>CZECH NEWS CENTER a. s.</v>
      </c>
      <c r="C508" s="3" t="str">
        <f ca="1">IFERROR(__xludf.DUMMYFUNCTION("""COMPUTED_VALUE"""),"E15")</f>
        <v>E15</v>
      </c>
      <c r="D508" s="3" t="str">
        <f ca="1">IFERROR(__xludf.DUMMYFUNCTION("""COMPUTED_VALUE"""),"https://e15.cz, https://finexpert.cz, https://www.e15.cz/formen")</f>
        <v>https://e15.cz, https://finexpert.cz, https://www.e15.cz/formen</v>
      </c>
      <c r="E508" s="3" t="str">
        <f ca="1">IFERROR(__xludf.DUMMYFUNCTION("""COMPUTED_VALUE"""),"celý web")</f>
        <v>celý web</v>
      </c>
      <c r="F508" s="3" t="str">
        <f ca="1">IFERROR(__xludf.DUMMYFUNCTION("""COMPUTED_VALUE"""),"https://e15.cz, https://finexpert.cz, https://www.e15.cz/formen")</f>
        <v>https://e15.cz, https://finexpert.cz, https://www.e15.cz/formen</v>
      </c>
      <c r="G508" s="3" t="str">
        <f ca="1">IFERROR(__xludf.DUMMYFUNCTION("""COMPUTED_VALUE"""),"videospot - max. 30 sec. / bumper low season")</f>
        <v>videospot - max. 30 sec. / bumper low season</v>
      </c>
      <c r="H508" s="3">
        <f ca="1">IFERROR(__xludf.DUMMYFUNCTION("""COMPUTED_VALUE"""),7)</f>
        <v>7</v>
      </c>
      <c r="I508" s="5">
        <f ca="1">IFERROR(__xludf.DUMMYFUNCTION("""COMPUTED_VALUE"""),1000)</f>
        <v>1000</v>
      </c>
      <c r="J508" s="5">
        <f ca="1">IFERROR(__xludf.DUMMYFUNCTION("""COMPUTED_VALUE"""),1060)</f>
        <v>1060</v>
      </c>
      <c r="K508" s="3"/>
      <c r="L508" s="3" t="str">
        <f ca="1">IFERROR(__xludf.DUMMYFUNCTION("""COMPUTED_VALUE"""),"Cost per period")</f>
        <v>Cost per period</v>
      </c>
      <c r="M508" s="3"/>
      <c r="N508" s="3"/>
      <c r="O508" s="3" t="str">
        <f ca="1">IFERROR(__xludf.DUMMYFUNCTION("""COMPUTED_VALUE"""),"1280")</f>
        <v>1280</v>
      </c>
      <c r="P508" s="3" t="str">
        <f ca="1">IFERROR(__xludf.DUMMYFUNCTION("""COMPUTED_VALUE"""),"720")</f>
        <v>720</v>
      </c>
      <c r="Q508" s="3" t="str">
        <f ca="1">IFERROR(__xludf.DUMMYFUNCTION("""COMPUTED_VALUE"""),"16:9 / umístění po domluvě dle možností")</f>
        <v>16:9 / umístění po domluvě dle možností</v>
      </c>
      <c r="R508" s="3" t="str">
        <f ca="1">IFERROR(__xludf.DUMMYFUNCTION("""COMPUTED_VALUE"""),"přeskočení po 7 sekundách")</f>
        <v>přeskočení po 7 sekundách</v>
      </c>
      <c r="S508" s="3" t="str">
        <f ca="1">IFERROR(__xludf.DUMMYFUNCTION("""COMPUTED_VALUE"""),"100")</f>
        <v>100</v>
      </c>
      <c r="T508" s="3"/>
      <c r="U508" s="3" t="str">
        <f ca="1">IFERROR(__xludf.DUMMYFUNCTION("""COMPUTED_VALUE"""),"videospot")</f>
        <v>videospot</v>
      </c>
      <c r="V508" s="3"/>
      <c r="W508" s="4" t="str">
        <f ca="1">IFERROR(__xludf.DUMMYFUNCTION("""COMPUTED_VALUE"""),"https://reklama.cncenter.cz/Online/Bumper")</f>
        <v>https://reklama.cncenter.cz/Online/Bumper</v>
      </c>
      <c r="X508" s="3"/>
      <c r="Y508" s="3"/>
      <c r="Z508" s="3" t="str">
        <f ca="1">IFERROR(__xludf.DUMMYFUNCTION("""COMPUTED_VALUE"""),"podklady@cncenter.cz")</f>
        <v>podklady@cncenter.cz</v>
      </c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 t="str">
        <f ca="1">IFERROR(__xludf.DUMMYFUNCTION("""COMPUTED_VALUE"""),"cross-device")</f>
        <v>cross-device</v>
      </c>
      <c r="AO508" s="3"/>
      <c r="AP508" s="3"/>
      <c r="AQ508" s="3"/>
      <c r="AR508" s="3"/>
      <c r="AS508" s="3"/>
      <c r="AT508" s="3"/>
      <c r="AU508" s="3" t="str">
        <f ca="1">IFERROR(__xludf.DUMMYFUNCTION("""COMPUTED_VALUE"""),"videospot - max. 30 sec. / bumper")</f>
        <v>videospot - max. 30 sec. / bumper</v>
      </c>
    </row>
    <row r="509" spans="1:47" x14ac:dyDescent="0.3">
      <c r="A509" s="3">
        <f ca="1"/>
        <v>2346826</v>
      </c>
      <c r="B509" s="3" t="str">
        <f ca="1"/>
        <v>CZECH NEWS CENTER a. s.</v>
      </c>
      <c r="C509" s="3" t="str">
        <f ca="1">IFERROR(__xludf.DUMMYFUNCTION("""COMPUTED_VALUE"""),"Evropa2")</f>
        <v>Evropa2</v>
      </c>
      <c r="D509" s="4" t="str">
        <f ca="1">IFERROR(__xludf.DUMMYFUNCTION("""COMPUTED_VALUE"""),"https://evropa2.cz")</f>
        <v>https://evropa2.cz</v>
      </c>
      <c r="E509" s="3" t="str">
        <f ca="1">IFERROR(__xludf.DUMMYFUNCTION("""COMPUTED_VALUE"""),"celý web")</f>
        <v>celý web</v>
      </c>
      <c r="F509" s="4" t="str">
        <f ca="1">IFERROR(__xludf.DUMMYFUNCTION("""COMPUTED_VALUE"""),"https://evropa2.cz")</f>
        <v>https://evropa2.cz</v>
      </c>
      <c r="G509" s="3" t="str">
        <f ca="1">IFERROR(__xludf.DUMMYFUNCTION("""COMPUTED_VALUE"""),"branding cross-device low season")</f>
        <v>branding cross-device low season</v>
      </c>
      <c r="H509" s="3">
        <f ca="1">IFERROR(__xludf.DUMMYFUNCTION("""COMPUTED_VALUE"""),7)</f>
        <v>7</v>
      </c>
      <c r="I509" s="5">
        <f ca="1">IFERROR(__xludf.DUMMYFUNCTION("""COMPUTED_VALUE"""),1000)</f>
        <v>1000</v>
      </c>
      <c r="J509" s="5">
        <f ca="1">IFERROR(__xludf.DUMMYFUNCTION("""COMPUTED_VALUE"""),300)</f>
        <v>300</v>
      </c>
      <c r="K509" s="3"/>
      <c r="L509" s="3" t="str">
        <f ca="1">IFERROR(__xludf.DUMMYFUNCTION("""COMPUTED_VALUE"""),"Cost per period")</f>
        <v>Cost per period</v>
      </c>
      <c r="M509" s="3"/>
      <c r="N509" s="3"/>
      <c r="O509" s="3" t="str">
        <f ca="1">IFERROR(__xludf.DUMMYFUNCTION("""COMPUTED_VALUE"""),"2000")</f>
        <v>2000</v>
      </c>
      <c r="P509" s="3" t="str">
        <f ca="1">IFERROR(__xludf.DUMMYFUNCTION("""COMPUTED_VALUE"""),"1400")</f>
        <v>1400</v>
      </c>
      <c r="Q509" s="3" t="str">
        <f ca="1">IFERROR(__xludf.DUMMYFUNCTION("""COMPUTED_VALUE"""),"2000x1400 + 600x1080")</f>
        <v>2000x1400 + 600x1080</v>
      </c>
      <c r="R509" s="3"/>
      <c r="S509" s="3" t="str">
        <f ca="1">IFERROR(__xludf.DUMMYFUNCTION("""COMPUTED_VALUE"""),"500 (600 - HTLM5)")</f>
        <v>500 (600 - HTLM5)</v>
      </c>
      <c r="T509" s="3"/>
      <c r="U509" s="3" t="str">
        <f ca="1">IFERROR(__xludf.DUMMYFUNCTION("""COMPUTED_VALUE"""),"banner standard")</f>
        <v>banner standard</v>
      </c>
      <c r="V509" s="3"/>
      <c r="W509" s="4" t="str">
        <f ca="1">IFERROR(__xludf.DUMMYFUNCTION("""COMPUTED_VALUE"""),"https://reklama.cncenter.cz/Online/branding-cross-device")</f>
        <v>https://reklama.cncenter.cz/Online/branding-cross-device</v>
      </c>
      <c r="X509" s="3"/>
      <c r="Y509" s="3"/>
      <c r="Z509" s="3" t="str">
        <f ca="1">IFERROR(__xludf.DUMMYFUNCTION("""COMPUTED_VALUE"""),"podklady@cncenter.cz")</f>
        <v>podklady@cncenter.cz</v>
      </c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 t="str">
        <f ca="1">IFERROR(__xludf.DUMMYFUNCTION("""COMPUTED_VALUE"""),"cross-device")</f>
        <v>cross-device</v>
      </c>
      <c r="AO509" s="3"/>
      <c r="AP509" s="3"/>
      <c r="AQ509" s="3"/>
      <c r="AR509" s="3"/>
      <c r="AS509" s="3"/>
      <c r="AT509" s="3"/>
      <c r="AU509" s="3" t="str">
        <f ca="1">IFERROR(__xludf.DUMMYFUNCTION("""COMPUTED_VALUE"""),"branding cross-device")</f>
        <v>branding cross-device</v>
      </c>
    </row>
    <row r="510" spans="1:47" x14ac:dyDescent="0.3">
      <c r="A510" s="3">
        <f ca="1"/>
        <v>2346826</v>
      </c>
      <c r="B510" s="3" t="str">
        <f ca="1"/>
        <v>CZECH NEWS CENTER a. s.</v>
      </c>
      <c r="C510" s="3" t="str">
        <f ca="1">IFERROR(__xludf.DUMMYFUNCTION("""COMPUTED_VALUE"""),"Evropa2")</f>
        <v>Evropa2</v>
      </c>
      <c r="D510" s="4" t="str">
        <f ca="1">IFERROR(__xludf.DUMMYFUNCTION("""COMPUTED_VALUE"""),"https://evropa2.cz")</f>
        <v>https://evropa2.cz</v>
      </c>
      <c r="E510" s="3" t="str">
        <f ca="1">IFERROR(__xludf.DUMMYFUNCTION("""COMPUTED_VALUE"""),"celý web")</f>
        <v>celý web</v>
      </c>
      <c r="F510" s="4" t="str">
        <f ca="1">IFERROR(__xludf.DUMMYFUNCTION("""COMPUTED_VALUE"""),"https://evropa2.cz")</f>
        <v>https://evropa2.cz</v>
      </c>
      <c r="G510" s="3" t="str">
        <f ca="1">IFERROR(__xludf.DUMMYFUNCTION("""COMPUTED_VALUE"""),"branding low season")</f>
        <v>branding low season</v>
      </c>
      <c r="H510" s="3">
        <f ca="1">IFERROR(__xludf.DUMMYFUNCTION("""COMPUTED_VALUE"""),7)</f>
        <v>7</v>
      </c>
      <c r="I510" s="5">
        <f ca="1">IFERROR(__xludf.DUMMYFUNCTION("""COMPUTED_VALUE"""),1000)</f>
        <v>1000</v>
      </c>
      <c r="J510" s="5">
        <f ca="1">IFERROR(__xludf.DUMMYFUNCTION("""COMPUTED_VALUE"""),490)</f>
        <v>490</v>
      </c>
      <c r="K510" s="3"/>
      <c r="L510" s="3" t="str">
        <f ca="1">IFERROR(__xludf.DUMMYFUNCTION("""COMPUTED_VALUE"""),"Cost per period")</f>
        <v>Cost per period</v>
      </c>
      <c r="M510" s="3"/>
      <c r="N510" s="3"/>
      <c r="O510" s="3" t="str">
        <f ca="1">IFERROR(__xludf.DUMMYFUNCTION("""COMPUTED_VALUE"""),"2000")</f>
        <v>2000</v>
      </c>
      <c r="P510" s="3" t="str">
        <f ca="1">IFERROR(__xludf.DUMMYFUNCTION("""COMPUTED_VALUE"""),"1400")</f>
        <v>1400</v>
      </c>
      <c r="Q510" s="3" t="str">
        <f ca="1">IFERROR(__xludf.DUMMYFUNCTION("""COMPUTED_VALUE"""),"2000x1400")</f>
        <v>2000x1400</v>
      </c>
      <c r="R510" s="3"/>
      <c r="S510" s="3" t="str">
        <f ca="1">IFERROR(__xludf.DUMMYFUNCTION("""COMPUTED_VALUE"""),"500 + 200 (600+200 HTML5)")</f>
        <v>500 + 200 (600+200 HTML5)</v>
      </c>
      <c r="T510" s="3"/>
      <c r="U510" s="3" t="str">
        <f ca="1">IFERROR(__xludf.DUMMYFUNCTION("""COMPUTED_VALUE"""),"banner standard")</f>
        <v>banner standard</v>
      </c>
      <c r="V510" s="3"/>
      <c r="W510" s="4" t="str">
        <f ca="1">IFERROR(__xludf.DUMMYFUNCTION("""COMPUTED_VALUE"""),"https://reklama.cncenter.cz/Online/branding")</f>
        <v>https://reklama.cncenter.cz/Online/branding</v>
      </c>
      <c r="X510" s="3"/>
      <c r="Y510" s="3"/>
      <c r="Z510" s="3" t="str">
        <f ca="1">IFERROR(__xludf.DUMMYFUNCTION("""COMPUTED_VALUE"""),"podklady@cncenter.cz")</f>
        <v>podklady@cncenter.cz</v>
      </c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 t="str">
        <f ca="1">IFERROR(__xludf.DUMMYFUNCTION("""COMPUTED_VALUE"""),"desktop")</f>
        <v>desktop</v>
      </c>
      <c r="AO510" s="3"/>
      <c r="AP510" s="3"/>
      <c r="AQ510" s="3"/>
      <c r="AR510" s="3"/>
      <c r="AS510" s="3"/>
      <c r="AT510" s="3"/>
      <c r="AU510" s="3" t="str">
        <f ca="1">IFERROR(__xludf.DUMMYFUNCTION("""COMPUTED_VALUE"""),"branding")</f>
        <v>branding</v>
      </c>
    </row>
    <row r="511" spans="1:47" x14ac:dyDescent="0.3">
      <c r="A511" s="3">
        <f ca="1"/>
        <v>2346826</v>
      </c>
      <c r="B511" s="3" t="str">
        <f ca="1"/>
        <v>CZECH NEWS CENTER a. s.</v>
      </c>
      <c r="C511" s="3" t="str">
        <f ca="1">IFERROR(__xludf.DUMMYFUNCTION("""COMPUTED_VALUE"""),"Evropa2")</f>
        <v>Evropa2</v>
      </c>
      <c r="D511" s="4" t="str">
        <f ca="1">IFERROR(__xludf.DUMMYFUNCTION("""COMPUTED_VALUE"""),"https://evropa2.cz")</f>
        <v>https://evropa2.cz</v>
      </c>
      <c r="E511" s="3" t="str">
        <f ca="1">IFERROR(__xludf.DUMMYFUNCTION("""COMPUTED_VALUE"""),"celý web")</f>
        <v>celý web</v>
      </c>
      <c r="F511" s="4" t="str">
        <f ca="1">IFERROR(__xludf.DUMMYFUNCTION("""COMPUTED_VALUE"""),"https://evropa2.cz")</f>
        <v>https://evropa2.cz</v>
      </c>
      <c r="G511" s="3" t="str">
        <f ca="1">IFERROR(__xludf.DUMMYFUNCTION("""COMPUTED_VALUE"""),"cílený branding cross-device low season")</f>
        <v>cílený branding cross-device low season</v>
      </c>
      <c r="H511" s="3">
        <f ca="1">IFERROR(__xludf.DUMMYFUNCTION("""COMPUTED_VALUE"""),7)</f>
        <v>7</v>
      </c>
      <c r="I511" s="5">
        <f ca="1">IFERROR(__xludf.DUMMYFUNCTION("""COMPUTED_VALUE"""),1000)</f>
        <v>1000</v>
      </c>
      <c r="J511" s="5">
        <f ca="1">IFERROR(__xludf.DUMMYFUNCTION("""COMPUTED_VALUE"""),360)</f>
        <v>360</v>
      </c>
      <c r="K511" s="3"/>
      <c r="L511" s="3" t="str">
        <f ca="1">IFERROR(__xludf.DUMMYFUNCTION("""COMPUTED_VALUE"""),"Cost per period")</f>
        <v>Cost per period</v>
      </c>
      <c r="M511" s="3"/>
      <c r="N511" s="3"/>
      <c r="O511" s="3" t="str">
        <f ca="1">IFERROR(__xludf.DUMMYFUNCTION("""COMPUTED_VALUE"""),"2000")</f>
        <v>2000</v>
      </c>
      <c r="P511" s="3" t="str">
        <f ca="1">IFERROR(__xludf.DUMMYFUNCTION("""COMPUTED_VALUE"""),"1400")</f>
        <v>1400</v>
      </c>
      <c r="Q511" s="3" t="str">
        <f ca="1">IFERROR(__xludf.DUMMYFUNCTION("""COMPUTED_VALUE"""),"2000x1400 + 600x1080")</f>
        <v>2000x1400 + 600x1080</v>
      </c>
      <c r="R511" s="3"/>
      <c r="S511" s="3" t="str">
        <f ca="1">IFERROR(__xludf.DUMMYFUNCTION("""COMPUTED_VALUE"""),"500 (600 - HTLM5)")</f>
        <v>500 (600 - HTLM5)</v>
      </c>
      <c r="T511" s="3"/>
      <c r="U511" s="3" t="str">
        <f ca="1">IFERROR(__xludf.DUMMYFUNCTION("""COMPUTED_VALUE"""),"banner standard")</f>
        <v>banner standard</v>
      </c>
      <c r="V511" s="3"/>
      <c r="W511" s="4" t="str">
        <f ca="1">IFERROR(__xludf.DUMMYFUNCTION("""COMPUTED_VALUE"""),"https://reklama.cncenter.cz/Online/branding-cross-device")</f>
        <v>https://reklama.cncenter.cz/Online/branding-cross-device</v>
      </c>
      <c r="X511" s="3"/>
      <c r="Y511" s="3"/>
      <c r="Z511" s="3" t="str">
        <f ca="1">IFERROR(__xludf.DUMMYFUNCTION("""COMPUTED_VALUE"""),"podklady@cncenter.cz")</f>
        <v>podklady@cncenter.cz</v>
      </c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 t="str">
        <f ca="1">IFERROR(__xludf.DUMMYFUNCTION("""COMPUTED_VALUE"""),"cross-device")</f>
        <v>cross-device</v>
      </c>
      <c r="AO511" s="3"/>
      <c r="AP511" s="3"/>
      <c r="AQ511" s="3"/>
      <c r="AR511" s="3"/>
      <c r="AS511" s="3"/>
      <c r="AT511" s="3"/>
      <c r="AU511" s="3" t="str">
        <f ca="1">IFERROR(__xludf.DUMMYFUNCTION("""COMPUTED_VALUE"""),"cílený branding cross-device")</f>
        <v>cílený branding cross-device</v>
      </c>
    </row>
    <row r="512" spans="1:47" x14ac:dyDescent="0.3">
      <c r="A512" s="3">
        <f ca="1"/>
        <v>2346826</v>
      </c>
      <c r="B512" s="3" t="str">
        <f ca="1"/>
        <v>CZECH NEWS CENTER a. s.</v>
      </c>
      <c r="C512" s="3" t="str">
        <f ca="1">IFERROR(__xludf.DUMMYFUNCTION("""COMPUTED_VALUE"""),"Evropa2")</f>
        <v>Evropa2</v>
      </c>
      <c r="D512" s="4" t="str">
        <f ca="1">IFERROR(__xludf.DUMMYFUNCTION("""COMPUTED_VALUE"""),"https://evropa2.cz")</f>
        <v>https://evropa2.cz</v>
      </c>
      <c r="E512" s="3" t="str">
        <f ca="1">IFERROR(__xludf.DUMMYFUNCTION("""COMPUTED_VALUE"""),"celý web")</f>
        <v>celý web</v>
      </c>
      <c r="F512" s="4" t="str">
        <f ca="1">IFERROR(__xludf.DUMMYFUNCTION("""COMPUTED_VALUE"""),"https://evropa2.cz")</f>
        <v>https://evropa2.cz</v>
      </c>
      <c r="G512" s="3" t="str">
        <f ca="1">IFERROR(__xludf.DUMMYFUNCTION("""COMPUTED_VALUE"""),"cílený branding low season")</f>
        <v>cílený branding low season</v>
      </c>
      <c r="H512" s="3">
        <f ca="1">IFERROR(__xludf.DUMMYFUNCTION("""COMPUTED_VALUE"""),7)</f>
        <v>7</v>
      </c>
      <c r="I512" s="5">
        <f ca="1">IFERROR(__xludf.DUMMYFUNCTION("""COMPUTED_VALUE"""),1000)</f>
        <v>1000</v>
      </c>
      <c r="J512" s="5">
        <f ca="1">IFERROR(__xludf.DUMMYFUNCTION("""COMPUTED_VALUE"""),588)</f>
        <v>588</v>
      </c>
      <c r="K512" s="3"/>
      <c r="L512" s="3" t="str">
        <f ca="1">IFERROR(__xludf.DUMMYFUNCTION("""COMPUTED_VALUE"""),"Cost per period")</f>
        <v>Cost per period</v>
      </c>
      <c r="M512" s="3"/>
      <c r="N512" s="3"/>
      <c r="O512" s="3" t="str">
        <f ca="1">IFERROR(__xludf.DUMMYFUNCTION("""COMPUTED_VALUE"""),"2000")</f>
        <v>2000</v>
      </c>
      <c r="P512" s="3" t="str">
        <f ca="1">IFERROR(__xludf.DUMMYFUNCTION("""COMPUTED_VALUE"""),"1400")</f>
        <v>1400</v>
      </c>
      <c r="Q512" s="3" t="str">
        <f ca="1">IFERROR(__xludf.DUMMYFUNCTION("""COMPUTED_VALUE"""),"2000x1400")</f>
        <v>2000x1400</v>
      </c>
      <c r="R512" s="3"/>
      <c r="S512" s="3" t="str">
        <f ca="1">IFERROR(__xludf.DUMMYFUNCTION("""COMPUTED_VALUE"""),"500 + 200 (600+200 HTML5)")</f>
        <v>500 + 200 (600+200 HTML5)</v>
      </c>
      <c r="T512" s="3"/>
      <c r="U512" s="3" t="str">
        <f ca="1">IFERROR(__xludf.DUMMYFUNCTION("""COMPUTED_VALUE"""),"banner standard")</f>
        <v>banner standard</v>
      </c>
      <c r="V512" s="3"/>
      <c r="W512" s="4" t="str">
        <f ca="1">IFERROR(__xludf.DUMMYFUNCTION("""COMPUTED_VALUE"""),"https://reklama.cncenter.cz/Online/branding")</f>
        <v>https://reklama.cncenter.cz/Online/branding</v>
      </c>
      <c r="X512" s="3"/>
      <c r="Y512" s="3"/>
      <c r="Z512" s="3" t="str">
        <f ca="1">IFERROR(__xludf.DUMMYFUNCTION("""COMPUTED_VALUE"""),"podklady@cncenter.cz")</f>
        <v>podklady@cncenter.cz</v>
      </c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 t="str">
        <f ca="1">IFERROR(__xludf.DUMMYFUNCTION("""COMPUTED_VALUE"""),"desktop")</f>
        <v>desktop</v>
      </c>
      <c r="AO512" s="3"/>
      <c r="AP512" s="3"/>
      <c r="AQ512" s="3"/>
      <c r="AR512" s="3"/>
      <c r="AS512" s="3"/>
      <c r="AT512" s="3"/>
      <c r="AU512" s="3" t="str">
        <f ca="1">IFERROR(__xludf.DUMMYFUNCTION("""COMPUTED_VALUE"""),"cílený branding")</f>
        <v>cílený branding</v>
      </c>
    </row>
    <row r="513" spans="1:47" x14ac:dyDescent="0.3">
      <c r="A513" s="3">
        <f ca="1"/>
        <v>2346826</v>
      </c>
      <c r="B513" s="3" t="str">
        <f ca="1"/>
        <v>CZECH NEWS CENTER a. s.</v>
      </c>
      <c r="C513" s="3" t="str">
        <f ca="1">IFERROR(__xludf.DUMMYFUNCTION("""COMPUTED_VALUE"""),"Evropa2")</f>
        <v>Evropa2</v>
      </c>
      <c r="D513" s="4" t="str">
        <f ca="1">IFERROR(__xludf.DUMMYFUNCTION("""COMPUTED_VALUE"""),"https://evropa2.cz")</f>
        <v>https://evropa2.cz</v>
      </c>
      <c r="E513" s="3" t="str">
        <f ca="1">IFERROR(__xludf.DUMMYFUNCTION("""COMPUTED_VALUE"""),"celý web")</f>
        <v>celý web</v>
      </c>
      <c r="F513" s="4" t="str">
        <f ca="1">IFERROR(__xludf.DUMMYFUNCTION("""COMPUTED_VALUE"""),"https://evropa2.cz")</f>
        <v>https://evropa2.cz</v>
      </c>
      <c r="G513" s="3" t="str">
        <f ca="1">IFERROR(__xludf.DUMMYFUNCTION("""COMPUTED_VALUE"""),"cílený double skyscraper low season")</f>
        <v>cílený double skyscraper low season</v>
      </c>
      <c r="H513" s="3">
        <f ca="1">IFERROR(__xludf.DUMMYFUNCTION("""COMPUTED_VALUE"""),7)</f>
        <v>7</v>
      </c>
      <c r="I513" s="5">
        <f ca="1">IFERROR(__xludf.DUMMYFUNCTION("""COMPUTED_VALUE"""),1000)</f>
        <v>1000</v>
      </c>
      <c r="J513" s="5">
        <f ca="1">IFERROR(__xludf.DUMMYFUNCTION("""COMPUTED_VALUE"""),228)</f>
        <v>228</v>
      </c>
      <c r="K513" s="3"/>
      <c r="L513" s="3" t="str">
        <f ca="1">IFERROR(__xludf.DUMMYFUNCTION("""COMPUTED_VALUE"""),"Cost per period")</f>
        <v>Cost per period</v>
      </c>
      <c r="M513" s="3"/>
      <c r="N513" s="3"/>
      <c r="O513" s="3" t="str">
        <f ca="1">IFERROR(__xludf.DUMMYFUNCTION("""COMPUTED_VALUE"""),"300")</f>
        <v>300</v>
      </c>
      <c r="P513" s="3" t="str">
        <f ca="1">IFERROR(__xludf.DUMMYFUNCTION("""COMPUTED_VALUE"""),"600")</f>
        <v>600</v>
      </c>
      <c r="Q513" s="3" t="str">
        <f ca="1">IFERROR(__xludf.DUMMYFUNCTION("""COMPUTED_VALUE"""),"300x600")</f>
        <v>300x600</v>
      </c>
      <c r="R513" s="3"/>
      <c r="S513" s="3" t="str">
        <f ca="1">IFERROR(__xludf.DUMMYFUNCTION("""COMPUTED_VALUE"""),"100 (200 - HTML5)")</f>
        <v>100 (200 - HTML5)</v>
      </c>
      <c r="T513" s="3"/>
      <c r="U513" s="3" t="str">
        <f ca="1">IFERROR(__xludf.DUMMYFUNCTION("""COMPUTED_VALUE"""),"banner standard")</f>
        <v>banner standard</v>
      </c>
      <c r="V513" s="3"/>
      <c r="W513" s="4" t="str">
        <f ca="1">IFERROR(__xludf.DUMMYFUNCTION("""COMPUTED_VALUE"""),"https://reklama.cncenter.cz/Online/double-skyscraper")</f>
        <v>https://reklama.cncenter.cz/Online/double-skyscraper</v>
      </c>
      <c r="X513" s="3"/>
      <c r="Y513" s="3"/>
      <c r="Z513" s="3" t="str">
        <f ca="1">IFERROR(__xludf.DUMMYFUNCTION("""COMPUTED_VALUE"""),"podklady@cncenter.cz")</f>
        <v>podklady@cncenter.cz</v>
      </c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 t="str">
        <f ca="1">IFERROR(__xludf.DUMMYFUNCTION("""COMPUTED_VALUE"""),"desktop")</f>
        <v>desktop</v>
      </c>
      <c r="AO513" s="3"/>
      <c r="AP513" s="3"/>
      <c r="AQ513" s="3"/>
      <c r="AR513" s="3"/>
      <c r="AS513" s="3"/>
      <c r="AT513" s="3"/>
      <c r="AU513" s="3" t="str">
        <f ca="1">IFERROR(__xludf.DUMMYFUNCTION("""COMPUTED_VALUE"""),"cílený double skyscraper")</f>
        <v>cílený double skyscraper</v>
      </c>
    </row>
    <row r="514" spans="1:47" x14ac:dyDescent="0.3">
      <c r="A514" s="3">
        <f ca="1"/>
        <v>2346826</v>
      </c>
      <c r="B514" s="3" t="str">
        <f ca="1"/>
        <v>CZECH NEWS CENTER a. s.</v>
      </c>
      <c r="C514" s="3" t="str">
        <f ca="1">IFERROR(__xludf.DUMMYFUNCTION("""COMPUTED_VALUE"""),"Evropa2")</f>
        <v>Evropa2</v>
      </c>
      <c r="D514" s="4" t="str">
        <f ca="1">IFERROR(__xludf.DUMMYFUNCTION("""COMPUTED_VALUE"""),"https://evropa2.cz")</f>
        <v>https://evropa2.cz</v>
      </c>
      <c r="E514" s="3" t="str">
        <f ca="1">IFERROR(__xludf.DUMMYFUNCTION("""COMPUTED_VALUE"""),"celý web")</f>
        <v>celý web</v>
      </c>
      <c r="F514" s="4" t="str">
        <f ca="1">IFERROR(__xludf.DUMMYFUNCTION("""COMPUTED_VALUE"""),"https://evropa2.cz")</f>
        <v>https://evropa2.cz</v>
      </c>
      <c r="G514" s="3" t="str">
        <f ca="1">IFERROR(__xludf.DUMMYFUNCTION("""COMPUTED_VALUE"""),"cílený mini videospot - max. 30 sec. low season")</f>
        <v>cílený mini videospot - max. 30 sec. low season</v>
      </c>
      <c r="H514" s="3">
        <f ca="1">IFERROR(__xludf.DUMMYFUNCTION("""COMPUTED_VALUE"""),7)</f>
        <v>7</v>
      </c>
      <c r="I514" s="5">
        <f ca="1">IFERROR(__xludf.DUMMYFUNCTION("""COMPUTED_VALUE"""),1000)</f>
        <v>1000</v>
      </c>
      <c r="J514" s="5">
        <f ca="1">IFERROR(__xludf.DUMMYFUNCTION("""COMPUTED_VALUE"""),168)</f>
        <v>168</v>
      </c>
      <c r="K514" s="3"/>
      <c r="L514" s="3" t="str">
        <f ca="1">IFERROR(__xludf.DUMMYFUNCTION("""COMPUTED_VALUE"""),"Cost per period")</f>
        <v>Cost per period</v>
      </c>
      <c r="M514" s="3"/>
      <c r="N514" s="3"/>
      <c r="O514" s="3"/>
      <c r="P514" s="3"/>
      <c r="Q514" s="3" t="str">
        <f ca="1">IFERROR(__xludf.DUMMYFUNCTION("""COMPUTED_VALUE"""),"16:9 / umístění po domluvě dle možností")</f>
        <v>16:9 / umístění po domluvě dle možností</v>
      </c>
      <c r="R514" s="3" t="str">
        <f ca="1">IFERROR(__xludf.DUMMYFUNCTION("""COMPUTED_VALUE"""),"přeskočení po 7 sekundách")</f>
        <v>přeskočení po 7 sekundách</v>
      </c>
      <c r="S514" s="3" t="str">
        <f ca="1">IFERROR(__xludf.DUMMYFUNCTION("""COMPUTED_VALUE"""),"100")</f>
        <v>100</v>
      </c>
      <c r="T514" s="3"/>
      <c r="U514" s="3" t="str">
        <f ca="1">IFERROR(__xludf.DUMMYFUNCTION("""COMPUTED_VALUE"""),"videospot")</f>
        <v>videospot</v>
      </c>
      <c r="V514" s="3"/>
      <c r="W514" s="4" t="str">
        <f ca="1">IFERROR(__xludf.DUMMYFUNCTION("""COMPUTED_VALUE"""),"https://reklama.cncenter.cz/Online/Videospot")</f>
        <v>https://reklama.cncenter.cz/Online/Videospot</v>
      </c>
      <c r="X514" s="3"/>
      <c r="Y514" s="3"/>
      <c r="Z514" s="3" t="str">
        <f ca="1">IFERROR(__xludf.DUMMYFUNCTION("""COMPUTED_VALUE"""),"podklady@cncenter.cz")</f>
        <v>podklady@cncenter.cz</v>
      </c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 t="str">
        <f ca="1">IFERROR(__xludf.DUMMYFUNCTION("""COMPUTED_VALUE"""),"desktop")</f>
        <v>desktop</v>
      </c>
      <c r="AO514" s="3"/>
      <c r="AP514" s="3"/>
      <c r="AQ514" s="3"/>
      <c r="AR514" s="3"/>
      <c r="AS514" s="3"/>
      <c r="AT514" s="3"/>
      <c r="AU514" s="3" t="str">
        <f ca="1">IFERROR(__xludf.DUMMYFUNCTION("""COMPUTED_VALUE"""),"cílený mini videospot - max. 30 sec.")</f>
        <v>cílený mini videospot - max. 30 sec.</v>
      </c>
    </row>
    <row r="515" spans="1:47" x14ac:dyDescent="0.3">
      <c r="A515" s="3">
        <f ca="1"/>
        <v>2346826</v>
      </c>
      <c r="B515" s="3" t="str">
        <f ca="1"/>
        <v>CZECH NEWS CENTER a. s.</v>
      </c>
      <c r="C515" s="3" t="str">
        <f ca="1">IFERROR(__xludf.DUMMYFUNCTION("""COMPUTED_VALUE"""),"Evropa2")</f>
        <v>Evropa2</v>
      </c>
      <c r="D515" s="4" t="str">
        <f ca="1">IFERROR(__xludf.DUMMYFUNCTION("""COMPUTED_VALUE"""),"https://evropa2.cz")</f>
        <v>https://evropa2.cz</v>
      </c>
      <c r="E515" s="3" t="str">
        <f ca="1">IFERROR(__xludf.DUMMYFUNCTION("""COMPUTED_VALUE"""),"celý web")</f>
        <v>celý web</v>
      </c>
      <c r="F515" s="4" t="str">
        <f ca="1">IFERROR(__xludf.DUMMYFUNCTION("""COMPUTED_VALUE"""),"https://evropa2.cz")</f>
        <v>https://evropa2.cz</v>
      </c>
      <c r="G515" s="3" t="str">
        <f ca="1">IFERROR(__xludf.DUMMYFUNCTION("""COMPUTED_VALUE"""),"cílený mobilní interscroller low season")</f>
        <v>cílený mobilní interscroller low season</v>
      </c>
      <c r="H515" s="3">
        <f ca="1">IFERROR(__xludf.DUMMYFUNCTION("""COMPUTED_VALUE"""),7)</f>
        <v>7</v>
      </c>
      <c r="I515" s="5">
        <f ca="1">IFERROR(__xludf.DUMMYFUNCTION("""COMPUTED_VALUE"""),1000)</f>
        <v>1000</v>
      </c>
      <c r="J515" s="5">
        <f ca="1">IFERROR(__xludf.DUMMYFUNCTION("""COMPUTED_VALUE"""),300)</f>
        <v>300</v>
      </c>
      <c r="K515" s="3"/>
      <c r="L515" s="3" t="str">
        <f ca="1">IFERROR(__xludf.DUMMYFUNCTION("""COMPUTED_VALUE"""),"Cost per period")</f>
        <v>Cost per period</v>
      </c>
      <c r="M515" s="3"/>
      <c r="N515" s="3"/>
      <c r="O515" s="3" t="str">
        <f ca="1">IFERROR(__xludf.DUMMYFUNCTION("""COMPUTED_VALUE"""),"600")</f>
        <v>600</v>
      </c>
      <c r="P515" s="3" t="str">
        <f ca="1">IFERROR(__xludf.DUMMYFUNCTION("""COMPUTED_VALUE"""),"1080")</f>
        <v>1080</v>
      </c>
      <c r="Q515" s="3" t="str">
        <f ca="1">IFERROR(__xludf.DUMMYFUNCTION("""COMPUTED_VALUE"""),"600x1080")</f>
        <v>600x1080</v>
      </c>
      <c r="R515" s="3"/>
      <c r="S515" s="3" t="str">
        <f ca="1">IFERROR(__xludf.DUMMYFUNCTION("""COMPUTED_VALUE"""),"200")</f>
        <v>200</v>
      </c>
      <c r="T515" s="3"/>
      <c r="U515" s="3" t="str">
        <f ca="1">IFERROR(__xludf.DUMMYFUNCTION("""COMPUTED_VALUE"""),"banner standard")</f>
        <v>banner standard</v>
      </c>
      <c r="V515" s="3"/>
      <c r="W515" s="4" t="str">
        <f ca="1">IFERROR(__xludf.DUMMYFUNCTION("""COMPUTED_VALUE"""),"https://reklama.cncenter.cz/Online/mobilni-interscroller")</f>
        <v>https://reklama.cncenter.cz/Online/mobilni-interscroller</v>
      </c>
      <c r="X515" s="3"/>
      <c r="Y515" s="3"/>
      <c r="Z515" s="3" t="str">
        <f ca="1">IFERROR(__xludf.DUMMYFUNCTION("""COMPUTED_VALUE"""),"podklady@cncenter.cz")</f>
        <v>podklady@cncenter.cz</v>
      </c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 t="str">
        <f ca="1">IFERROR(__xludf.DUMMYFUNCTION("""COMPUTED_VALUE"""),"mobile")</f>
        <v>mobile</v>
      </c>
      <c r="AO515" s="3"/>
      <c r="AP515" s="3"/>
      <c r="AQ515" s="3"/>
      <c r="AR515" s="3"/>
      <c r="AS515" s="3"/>
      <c r="AT515" s="3"/>
      <c r="AU515" s="3" t="str">
        <f ca="1">IFERROR(__xludf.DUMMYFUNCTION("""COMPUTED_VALUE"""),"cílený mobilní interscroller")</f>
        <v>cílený mobilní interscroller</v>
      </c>
    </row>
    <row r="516" spans="1:47" x14ac:dyDescent="0.3">
      <c r="A516" s="3">
        <f ca="1"/>
        <v>2346826</v>
      </c>
      <c r="B516" s="3" t="str">
        <f ca="1"/>
        <v>CZECH NEWS CENTER a. s.</v>
      </c>
      <c r="C516" s="3" t="str">
        <f ca="1">IFERROR(__xludf.DUMMYFUNCTION("""COMPUTED_VALUE"""),"Evropa2")</f>
        <v>Evropa2</v>
      </c>
      <c r="D516" s="4" t="str">
        <f ca="1">IFERROR(__xludf.DUMMYFUNCTION("""COMPUTED_VALUE"""),"https://evropa2.cz")</f>
        <v>https://evropa2.cz</v>
      </c>
      <c r="E516" s="3" t="str">
        <f ca="1">IFERROR(__xludf.DUMMYFUNCTION("""COMPUTED_VALUE"""),"celý web")</f>
        <v>celý web</v>
      </c>
      <c r="F516" s="4" t="str">
        <f ca="1">IFERROR(__xludf.DUMMYFUNCTION("""COMPUTED_VALUE"""),"https://evropa2.cz")</f>
        <v>https://evropa2.cz</v>
      </c>
      <c r="G516" s="3" t="str">
        <f ca="1">IFERROR(__xludf.DUMMYFUNCTION("""COMPUTED_VALUE"""),"cílený mobilní slide-up low season")</f>
        <v>cílený mobilní slide-up low season</v>
      </c>
      <c r="H516" s="3">
        <f ca="1">IFERROR(__xludf.DUMMYFUNCTION("""COMPUTED_VALUE"""),7)</f>
        <v>7</v>
      </c>
      <c r="I516" s="5">
        <f ca="1">IFERROR(__xludf.DUMMYFUNCTION("""COMPUTED_VALUE"""),1000)</f>
        <v>1000</v>
      </c>
      <c r="J516" s="5">
        <f ca="1">IFERROR(__xludf.DUMMYFUNCTION("""COMPUTED_VALUE"""),612)</f>
        <v>612</v>
      </c>
      <c r="K516" s="3"/>
      <c r="L516" s="3" t="str">
        <f ca="1">IFERROR(__xludf.DUMMYFUNCTION("""COMPUTED_VALUE"""),"Cost per period")</f>
        <v>Cost per period</v>
      </c>
      <c r="M516" s="3"/>
      <c r="N516" s="3"/>
      <c r="O516" s="3" t="str">
        <f ca="1">IFERROR(__xludf.DUMMYFUNCTION("""COMPUTED_VALUE"""),"300")</f>
        <v>300</v>
      </c>
      <c r="P516" s="3" t="str">
        <f ca="1">IFERROR(__xludf.DUMMYFUNCTION("""COMPUTED_VALUE"""),"120")</f>
        <v>120</v>
      </c>
      <c r="Q516" s="3" t="str">
        <f ca="1">IFERROR(__xludf.DUMMYFUNCTION("""COMPUTED_VALUE"""),"300x120")</f>
        <v>300x120</v>
      </c>
      <c r="R516" s="3"/>
      <c r="S516" s="3" t="str">
        <f ca="1">IFERROR(__xludf.DUMMYFUNCTION("""COMPUTED_VALUE"""),"100")</f>
        <v>100</v>
      </c>
      <c r="T516" s="3"/>
      <c r="U516" s="3" t="str">
        <f ca="1">IFERROR(__xludf.DUMMYFUNCTION("""COMPUTED_VALUE"""),"banner standard")</f>
        <v>banner standard</v>
      </c>
      <c r="V516" s="3"/>
      <c r="W516" s="4" t="str">
        <f ca="1">IFERROR(__xludf.DUMMYFUNCTION("""COMPUTED_VALUE"""),"https://reklama.cncenter.cz/Online/mobilni-slide-up")</f>
        <v>https://reklama.cncenter.cz/Online/mobilni-slide-up</v>
      </c>
      <c r="X516" s="3"/>
      <c r="Y516" s="3"/>
      <c r="Z516" s="3" t="str">
        <f ca="1">IFERROR(__xludf.DUMMYFUNCTION("""COMPUTED_VALUE"""),"podklady@cncenter.cz")</f>
        <v>podklady@cncenter.cz</v>
      </c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 t="str">
        <f ca="1">IFERROR(__xludf.DUMMYFUNCTION("""COMPUTED_VALUE"""),"mobile")</f>
        <v>mobile</v>
      </c>
      <c r="AO516" s="3"/>
      <c r="AP516" s="3"/>
      <c r="AQ516" s="3"/>
      <c r="AR516" s="3"/>
      <c r="AS516" s="3"/>
      <c r="AT516" s="3"/>
      <c r="AU516" s="3" t="str">
        <f ca="1">IFERROR(__xludf.DUMMYFUNCTION("""COMPUTED_VALUE"""),"cílený mobilní slide-up")</f>
        <v>cílený mobilní slide-up</v>
      </c>
    </row>
    <row r="517" spans="1:47" x14ac:dyDescent="0.3">
      <c r="A517" s="3">
        <f ca="1"/>
        <v>2346826</v>
      </c>
      <c r="B517" s="3" t="str">
        <f ca="1"/>
        <v>CZECH NEWS CENTER a. s.</v>
      </c>
      <c r="C517" s="3" t="str">
        <f ca="1">IFERROR(__xludf.DUMMYFUNCTION("""COMPUTED_VALUE"""),"Evropa2")</f>
        <v>Evropa2</v>
      </c>
      <c r="D517" s="4" t="str">
        <f ca="1">IFERROR(__xludf.DUMMYFUNCTION("""COMPUTED_VALUE"""),"https://evropa2.cz")</f>
        <v>https://evropa2.cz</v>
      </c>
      <c r="E517" s="3" t="str">
        <f ca="1">IFERROR(__xludf.DUMMYFUNCTION("""COMPUTED_VALUE"""),"celý web")</f>
        <v>celý web</v>
      </c>
      <c r="F517" s="4" t="str">
        <f ca="1">IFERROR(__xludf.DUMMYFUNCTION("""COMPUTED_VALUE"""),"https://evropa2.cz")</f>
        <v>https://evropa2.cz</v>
      </c>
      <c r="G517" s="3" t="str">
        <f ca="1">IFERROR(__xludf.DUMMYFUNCTION("""COMPUTED_VALUE"""),"cílený mobilní viněta low season")</f>
        <v>cílený mobilní viněta low season</v>
      </c>
      <c r="H517" s="3">
        <f ca="1">IFERROR(__xludf.DUMMYFUNCTION("""COMPUTED_VALUE"""),7)</f>
        <v>7</v>
      </c>
      <c r="I517" s="5">
        <f ca="1">IFERROR(__xludf.DUMMYFUNCTION("""COMPUTED_VALUE"""),1000)</f>
        <v>1000</v>
      </c>
      <c r="J517" s="5">
        <f ca="1">IFERROR(__xludf.DUMMYFUNCTION("""COMPUTED_VALUE"""),1056)</f>
        <v>1056</v>
      </c>
      <c r="K517" s="3"/>
      <c r="L517" s="3" t="str">
        <f ca="1">IFERROR(__xludf.DUMMYFUNCTION("""COMPUTED_VALUE"""),"Cost per period")</f>
        <v>Cost per period</v>
      </c>
      <c r="M517" s="3"/>
      <c r="N517" s="3"/>
      <c r="O517" s="3" t="str">
        <f ca="1">IFERROR(__xludf.DUMMYFUNCTION("""COMPUTED_VALUE"""),"600")</f>
        <v>600</v>
      </c>
      <c r="P517" s="3" t="str">
        <f ca="1">IFERROR(__xludf.DUMMYFUNCTION("""COMPUTED_VALUE"""),"800")</f>
        <v>800</v>
      </c>
      <c r="Q517" s="3" t="str">
        <f ca="1">IFERROR(__xludf.DUMMYFUNCTION("""COMPUTED_VALUE"""),"300x250 nebo 600x800")</f>
        <v>300x250 nebo 600x800</v>
      </c>
      <c r="R517" s="3"/>
      <c r="S517" s="3" t="str">
        <f ca="1">IFERROR(__xludf.DUMMYFUNCTION("""COMPUTED_VALUE"""),"100")</f>
        <v>100</v>
      </c>
      <c r="T517" s="3"/>
      <c r="U517" s="3" t="str">
        <f ca="1">IFERROR(__xludf.DUMMYFUNCTION("""COMPUTED_VALUE"""),"banner standard")</f>
        <v>banner standard</v>
      </c>
      <c r="V517" s="3"/>
      <c r="W517" s="4" t="str">
        <f ca="1">IFERROR(__xludf.DUMMYFUNCTION("""COMPUTED_VALUE"""),"https://reklama.cncenter.cz/Online/mobilni-vineta")</f>
        <v>https://reklama.cncenter.cz/Online/mobilni-vineta</v>
      </c>
      <c r="X517" s="3"/>
      <c r="Y517" s="3"/>
      <c r="Z517" s="3" t="str">
        <f ca="1">IFERROR(__xludf.DUMMYFUNCTION("""COMPUTED_VALUE"""),"podklady@cncenter.cz")</f>
        <v>podklady@cncenter.cz</v>
      </c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 t="str">
        <f ca="1">IFERROR(__xludf.DUMMYFUNCTION("""COMPUTED_VALUE"""),"mobile")</f>
        <v>mobile</v>
      </c>
      <c r="AO517" s="3"/>
      <c r="AP517" s="3"/>
      <c r="AQ517" s="3"/>
      <c r="AR517" s="3"/>
      <c r="AS517" s="3"/>
      <c r="AT517" s="3"/>
      <c r="AU517" s="3" t="str">
        <f ca="1">IFERROR(__xludf.DUMMYFUNCTION("""COMPUTED_VALUE"""),"cílený mobilní viněta")</f>
        <v>cílený mobilní viněta</v>
      </c>
    </row>
    <row r="518" spans="1:47" x14ac:dyDescent="0.3">
      <c r="A518" s="3">
        <f ca="1"/>
        <v>2346826</v>
      </c>
      <c r="B518" s="3" t="str">
        <f ca="1"/>
        <v>CZECH NEWS CENTER a. s.</v>
      </c>
      <c r="C518" s="3" t="str">
        <f ca="1">IFERROR(__xludf.DUMMYFUNCTION("""COMPUTED_VALUE"""),"Evropa2")</f>
        <v>Evropa2</v>
      </c>
      <c r="D518" s="4" t="str">
        <f ca="1">IFERROR(__xludf.DUMMYFUNCTION("""COMPUTED_VALUE"""),"https://evropa2.cz")</f>
        <v>https://evropa2.cz</v>
      </c>
      <c r="E518" s="3" t="str">
        <f ca="1">IFERROR(__xludf.DUMMYFUNCTION("""COMPUTED_VALUE"""),"celý web")</f>
        <v>celý web</v>
      </c>
      <c r="F518" s="4" t="str">
        <f ca="1">IFERROR(__xludf.DUMMYFUNCTION("""COMPUTED_VALUE"""),"https://evropa2.cz")</f>
        <v>https://evropa2.cz</v>
      </c>
      <c r="G518" s="3" t="str">
        <f ca="1">IFERROR(__xludf.DUMMYFUNCTION("""COMPUTED_VALUE"""),"cílený nativní rectangle cross-device low season")</f>
        <v>cílený nativní rectangle cross-device low season</v>
      </c>
      <c r="H518" s="3">
        <f ca="1">IFERROR(__xludf.DUMMYFUNCTION("""COMPUTED_VALUE"""),7)</f>
        <v>7</v>
      </c>
      <c r="I518" s="5">
        <f ca="1">IFERROR(__xludf.DUMMYFUNCTION("""COMPUTED_VALUE"""),1000)</f>
        <v>1000</v>
      </c>
      <c r="J518" s="5">
        <f ca="1">IFERROR(__xludf.DUMMYFUNCTION("""COMPUTED_VALUE"""),240)</f>
        <v>240</v>
      </c>
      <c r="K518" s="3"/>
      <c r="L518" s="3" t="str">
        <f ca="1">IFERROR(__xludf.DUMMYFUNCTION("""COMPUTED_VALUE"""),"Cost per period")</f>
        <v>Cost per period</v>
      </c>
      <c r="M518" s="3"/>
      <c r="N518" s="3"/>
      <c r="O518" s="3" t="str">
        <f ca="1">IFERROR(__xludf.DUMMYFUNCTION("""COMPUTED_VALUE"""),"640")</f>
        <v>640</v>
      </c>
      <c r="P518" s="3" t="str">
        <f ca="1">IFERROR(__xludf.DUMMYFUNCTION("""COMPUTED_VALUE"""),"335, 640")</f>
        <v>335, 640</v>
      </c>
      <c r="Q518" s="3" t="str">
        <f ca="1">IFERROR(__xludf.DUMMYFUNCTION("""COMPUTED_VALUE"""),"640x640 a 640x335 + text + logo")</f>
        <v>640x640 a 640x335 + text + logo</v>
      </c>
      <c r="R518" s="3"/>
      <c r="S518" s="3" t="str">
        <f ca="1">IFERROR(__xludf.DUMMYFUNCTION("""COMPUTED_VALUE"""),"45")</f>
        <v>45</v>
      </c>
      <c r="T518" s="3"/>
      <c r="U518" s="3" t="str">
        <f ca="1">IFERROR(__xludf.DUMMYFUNCTION("""COMPUTED_VALUE"""),"nativní reklama")</f>
        <v>nativní reklama</v>
      </c>
      <c r="V518" s="3"/>
      <c r="W518" s="4" t="str">
        <f ca="1">IFERROR(__xludf.DUMMYFUNCTION("""COMPUTED_VALUE"""),"https://reklama.cncenter.cz/Online/nativni-rectangle-cross-device")</f>
        <v>https://reklama.cncenter.cz/Online/nativni-rectangle-cross-device</v>
      </c>
      <c r="X518" s="3"/>
      <c r="Y518" s="3"/>
      <c r="Z518" s="3" t="str">
        <f ca="1">IFERROR(__xludf.DUMMYFUNCTION("""COMPUTED_VALUE"""),"podklady@cncenter.cz")</f>
        <v>podklady@cncenter.cz</v>
      </c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 t="str">
        <f ca="1">IFERROR(__xludf.DUMMYFUNCTION("""COMPUTED_VALUE"""),"cross-device")</f>
        <v>cross-device</v>
      </c>
      <c r="AO518" s="3"/>
      <c r="AP518" s="3"/>
      <c r="AQ518" s="3"/>
      <c r="AR518" s="3"/>
      <c r="AS518" s="3"/>
      <c r="AT518" s="3"/>
      <c r="AU518" s="3" t="str">
        <f ca="1">IFERROR(__xludf.DUMMYFUNCTION("""COMPUTED_VALUE"""),"cílený nativní rectangle cross-device")</f>
        <v>cílený nativní rectangle cross-device</v>
      </c>
    </row>
    <row r="519" spans="1:47" x14ac:dyDescent="0.3">
      <c r="A519" s="3">
        <f ca="1"/>
        <v>2346826</v>
      </c>
      <c r="B519" s="3" t="str">
        <f ca="1"/>
        <v>CZECH NEWS CENTER a. s.</v>
      </c>
      <c r="C519" s="3" t="str">
        <f ca="1">IFERROR(__xludf.DUMMYFUNCTION("""COMPUTED_VALUE"""),"Evropa2")</f>
        <v>Evropa2</v>
      </c>
      <c r="D519" s="4" t="str">
        <f ca="1">IFERROR(__xludf.DUMMYFUNCTION("""COMPUTED_VALUE"""),"https://evropa2.cz")</f>
        <v>https://evropa2.cz</v>
      </c>
      <c r="E519" s="3" t="str">
        <f ca="1">IFERROR(__xludf.DUMMYFUNCTION("""COMPUTED_VALUE"""),"celý web")</f>
        <v>celý web</v>
      </c>
      <c r="F519" s="4" t="str">
        <f ca="1">IFERROR(__xludf.DUMMYFUNCTION("""COMPUTED_VALUE"""),"https://evropa2.cz")</f>
        <v>https://evropa2.cz</v>
      </c>
      <c r="G519" s="3" t="str">
        <f ca="1">IFERROR(__xludf.DUMMYFUNCTION("""COMPUTED_VALUE"""),"cílený videospot - max. 30 sec. / bumper low season")</f>
        <v>cílený videospot - max. 30 sec. / bumper low season</v>
      </c>
      <c r="H519" s="3">
        <f ca="1">IFERROR(__xludf.DUMMYFUNCTION("""COMPUTED_VALUE"""),7)</f>
        <v>7</v>
      </c>
      <c r="I519" s="5">
        <f ca="1">IFERROR(__xludf.DUMMYFUNCTION("""COMPUTED_VALUE"""),1000)</f>
        <v>1000</v>
      </c>
      <c r="J519" s="5">
        <f ca="1">IFERROR(__xludf.DUMMYFUNCTION("""COMPUTED_VALUE"""),888)</f>
        <v>888</v>
      </c>
      <c r="K519" s="3"/>
      <c r="L519" s="3" t="str">
        <f ca="1">IFERROR(__xludf.DUMMYFUNCTION("""COMPUTED_VALUE"""),"Cost per period")</f>
        <v>Cost per period</v>
      </c>
      <c r="M519" s="3"/>
      <c r="N519" s="3"/>
      <c r="O519" s="3" t="str">
        <f ca="1">IFERROR(__xludf.DUMMYFUNCTION("""COMPUTED_VALUE"""),"1280")</f>
        <v>1280</v>
      </c>
      <c r="P519" s="3" t="str">
        <f ca="1">IFERROR(__xludf.DUMMYFUNCTION("""COMPUTED_VALUE"""),"720")</f>
        <v>720</v>
      </c>
      <c r="Q519" s="3" t="str">
        <f ca="1">IFERROR(__xludf.DUMMYFUNCTION("""COMPUTED_VALUE"""),"16:9 / umístění po domluvě dle možností")</f>
        <v>16:9 / umístění po domluvě dle možností</v>
      </c>
      <c r="R519" s="3" t="str">
        <f ca="1">IFERROR(__xludf.DUMMYFUNCTION("""COMPUTED_VALUE"""),"přeskočení po 7 sekundách")</f>
        <v>přeskočení po 7 sekundách</v>
      </c>
      <c r="S519" s="3" t="str">
        <f ca="1">IFERROR(__xludf.DUMMYFUNCTION("""COMPUTED_VALUE"""),"100")</f>
        <v>100</v>
      </c>
      <c r="T519" s="3"/>
      <c r="U519" s="3" t="str">
        <f ca="1">IFERROR(__xludf.DUMMYFUNCTION("""COMPUTED_VALUE"""),"videospot")</f>
        <v>videospot</v>
      </c>
      <c r="V519" s="3"/>
      <c r="W519" s="4" t="str">
        <f ca="1">IFERROR(__xludf.DUMMYFUNCTION("""COMPUTED_VALUE"""),"https://reklama.cncenter.cz/Online/Bumper")</f>
        <v>https://reklama.cncenter.cz/Online/Bumper</v>
      </c>
      <c r="X519" s="3"/>
      <c r="Y519" s="3"/>
      <c r="Z519" s="3" t="str">
        <f ca="1">IFERROR(__xludf.DUMMYFUNCTION("""COMPUTED_VALUE"""),"podklady@cncenter.cz")</f>
        <v>podklady@cncenter.cz</v>
      </c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 t="str">
        <f ca="1">IFERROR(__xludf.DUMMYFUNCTION("""COMPUTED_VALUE"""),"cross-device")</f>
        <v>cross-device</v>
      </c>
      <c r="AO519" s="3"/>
      <c r="AP519" s="3"/>
      <c r="AQ519" s="3"/>
      <c r="AR519" s="3"/>
      <c r="AS519" s="3"/>
      <c r="AT519" s="3"/>
      <c r="AU519" s="3" t="str">
        <f ca="1">IFERROR(__xludf.DUMMYFUNCTION("""COMPUTED_VALUE"""),"cílený videospot - max. 30 sec. / bumper")</f>
        <v>cílený videospot - max. 30 sec. / bumper</v>
      </c>
    </row>
    <row r="520" spans="1:47" x14ac:dyDescent="0.3">
      <c r="A520" s="3">
        <f ca="1"/>
        <v>2346826</v>
      </c>
      <c r="B520" s="3" t="str">
        <f ca="1"/>
        <v>CZECH NEWS CENTER a. s.</v>
      </c>
      <c r="C520" s="3" t="str">
        <f ca="1">IFERROR(__xludf.DUMMYFUNCTION("""COMPUTED_VALUE"""),"Evropa2")</f>
        <v>Evropa2</v>
      </c>
      <c r="D520" s="4" t="str">
        <f ca="1">IFERROR(__xludf.DUMMYFUNCTION("""COMPUTED_VALUE"""),"https://evropa2.cz")</f>
        <v>https://evropa2.cz</v>
      </c>
      <c r="E520" s="3" t="str">
        <f ca="1">IFERROR(__xludf.DUMMYFUNCTION("""COMPUTED_VALUE"""),"celý web")</f>
        <v>celý web</v>
      </c>
      <c r="F520" s="4" t="str">
        <f ca="1">IFERROR(__xludf.DUMMYFUNCTION("""COMPUTED_VALUE"""),"https://evropa2.cz")</f>
        <v>https://evropa2.cz</v>
      </c>
      <c r="G520" s="3" t="str">
        <f ca="1">IFERROR(__xludf.DUMMYFUNCTION("""COMPUTED_VALUE"""),"double skyscraper low season")</f>
        <v>double skyscraper low season</v>
      </c>
      <c r="H520" s="3">
        <f ca="1">IFERROR(__xludf.DUMMYFUNCTION("""COMPUTED_VALUE"""),7)</f>
        <v>7</v>
      </c>
      <c r="I520" s="5">
        <f ca="1">IFERROR(__xludf.DUMMYFUNCTION("""COMPUTED_VALUE"""),1000)</f>
        <v>1000</v>
      </c>
      <c r="J520" s="5">
        <f ca="1">IFERROR(__xludf.DUMMYFUNCTION("""COMPUTED_VALUE"""),190)</f>
        <v>190</v>
      </c>
      <c r="K520" s="3"/>
      <c r="L520" s="3" t="str">
        <f ca="1">IFERROR(__xludf.DUMMYFUNCTION("""COMPUTED_VALUE"""),"Cost per period")</f>
        <v>Cost per period</v>
      </c>
      <c r="M520" s="3"/>
      <c r="N520" s="3"/>
      <c r="O520" s="3" t="str">
        <f ca="1">IFERROR(__xludf.DUMMYFUNCTION("""COMPUTED_VALUE"""),"300")</f>
        <v>300</v>
      </c>
      <c r="P520" s="3" t="str">
        <f ca="1">IFERROR(__xludf.DUMMYFUNCTION("""COMPUTED_VALUE"""),"600")</f>
        <v>600</v>
      </c>
      <c r="Q520" s="3" t="str">
        <f ca="1">IFERROR(__xludf.DUMMYFUNCTION("""COMPUTED_VALUE"""),"300x600")</f>
        <v>300x600</v>
      </c>
      <c r="R520" s="3"/>
      <c r="S520" s="3" t="str">
        <f ca="1">IFERROR(__xludf.DUMMYFUNCTION("""COMPUTED_VALUE"""),"100 (200 - HTML5)")</f>
        <v>100 (200 - HTML5)</v>
      </c>
      <c r="T520" s="3"/>
      <c r="U520" s="3" t="str">
        <f ca="1">IFERROR(__xludf.DUMMYFUNCTION("""COMPUTED_VALUE"""),"banner standard")</f>
        <v>banner standard</v>
      </c>
      <c r="V520" s="3"/>
      <c r="W520" s="4" t="str">
        <f ca="1">IFERROR(__xludf.DUMMYFUNCTION("""COMPUTED_VALUE"""),"https://reklama.cncenter.cz/Online/double-skyscraper")</f>
        <v>https://reklama.cncenter.cz/Online/double-skyscraper</v>
      </c>
      <c r="X520" s="3"/>
      <c r="Y520" s="3"/>
      <c r="Z520" s="3" t="str">
        <f ca="1">IFERROR(__xludf.DUMMYFUNCTION("""COMPUTED_VALUE"""),"podklady@cncenter.cz")</f>
        <v>podklady@cncenter.cz</v>
      </c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 t="str">
        <f ca="1">IFERROR(__xludf.DUMMYFUNCTION("""COMPUTED_VALUE"""),"desktop")</f>
        <v>desktop</v>
      </c>
      <c r="AO520" s="3"/>
      <c r="AP520" s="3"/>
      <c r="AQ520" s="3"/>
      <c r="AR520" s="3"/>
      <c r="AS520" s="3"/>
      <c r="AT520" s="3"/>
      <c r="AU520" s="3" t="str">
        <f ca="1">IFERROR(__xludf.DUMMYFUNCTION("""COMPUTED_VALUE"""),"double skyscraper")</f>
        <v>double skyscraper</v>
      </c>
    </row>
    <row r="521" spans="1:47" x14ac:dyDescent="0.3">
      <c r="A521" s="3">
        <f ca="1"/>
        <v>2346826</v>
      </c>
      <c r="B521" s="3" t="str">
        <f ca="1"/>
        <v>CZECH NEWS CENTER a. s.</v>
      </c>
      <c r="C521" s="3" t="str">
        <f ca="1">IFERROR(__xludf.DUMMYFUNCTION("""COMPUTED_VALUE"""),"Evropa2")</f>
        <v>Evropa2</v>
      </c>
      <c r="D521" s="4" t="str">
        <f ca="1">IFERROR(__xludf.DUMMYFUNCTION("""COMPUTED_VALUE"""),"https://evropa2.cz")</f>
        <v>https://evropa2.cz</v>
      </c>
      <c r="E521" s="3" t="str">
        <f ca="1">IFERROR(__xludf.DUMMYFUNCTION("""COMPUTED_VALUE"""),"celý web")</f>
        <v>celý web</v>
      </c>
      <c r="F521" s="4" t="str">
        <f ca="1">IFERROR(__xludf.DUMMYFUNCTION("""COMPUTED_VALUE"""),"https://evropa2.cz")</f>
        <v>https://evropa2.cz</v>
      </c>
      <c r="G521" s="3" t="str">
        <f ca="1">IFERROR(__xludf.DUMMYFUNCTION("""COMPUTED_VALUE"""),"mini videospot - max. 30 sec. low season")</f>
        <v>mini videospot - max. 30 sec. low season</v>
      </c>
      <c r="H521" s="3">
        <f ca="1">IFERROR(__xludf.DUMMYFUNCTION("""COMPUTED_VALUE"""),7)</f>
        <v>7</v>
      </c>
      <c r="I521" s="5">
        <f ca="1">IFERROR(__xludf.DUMMYFUNCTION("""COMPUTED_VALUE"""),1000)</f>
        <v>1000</v>
      </c>
      <c r="J521" s="5">
        <f ca="1">IFERROR(__xludf.DUMMYFUNCTION("""COMPUTED_VALUE"""),140)</f>
        <v>140</v>
      </c>
      <c r="K521" s="3"/>
      <c r="L521" s="3" t="str">
        <f ca="1">IFERROR(__xludf.DUMMYFUNCTION("""COMPUTED_VALUE"""),"Cost per period")</f>
        <v>Cost per period</v>
      </c>
      <c r="M521" s="3"/>
      <c r="N521" s="3"/>
      <c r="O521" s="3"/>
      <c r="P521" s="3"/>
      <c r="Q521" s="3" t="str">
        <f ca="1">IFERROR(__xludf.DUMMYFUNCTION("""COMPUTED_VALUE"""),"16:9 / umístění po domluvě dle možností")</f>
        <v>16:9 / umístění po domluvě dle možností</v>
      </c>
      <c r="R521" s="3" t="str">
        <f ca="1">IFERROR(__xludf.DUMMYFUNCTION("""COMPUTED_VALUE"""),"přeskočení po 7 sekundách")</f>
        <v>přeskočení po 7 sekundách</v>
      </c>
      <c r="S521" s="3" t="str">
        <f ca="1">IFERROR(__xludf.DUMMYFUNCTION("""COMPUTED_VALUE"""),"100")</f>
        <v>100</v>
      </c>
      <c r="T521" s="3"/>
      <c r="U521" s="3" t="str">
        <f ca="1">IFERROR(__xludf.DUMMYFUNCTION("""COMPUTED_VALUE"""),"videospot")</f>
        <v>videospot</v>
      </c>
      <c r="V521" s="3"/>
      <c r="W521" s="4" t="str">
        <f ca="1">IFERROR(__xludf.DUMMYFUNCTION("""COMPUTED_VALUE"""),"https://reklama.cncenter.cz/Online/Videospot")</f>
        <v>https://reklama.cncenter.cz/Online/Videospot</v>
      </c>
      <c r="X521" s="3"/>
      <c r="Y521" s="3"/>
      <c r="Z521" s="3" t="str">
        <f ca="1">IFERROR(__xludf.DUMMYFUNCTION("""COMPUTED_VALUE"""),"podklady@cncenter.cz")</f>
        <v>podklady@cncenter.cz</v>
      </c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 t="str">
        <f ca="1">IFERROR(__xludf.DUMMYFUNCTION("""COMPUTED_VALUE"""),"desktop")</f>
        <v>desktop</v>
      </c>
      <c r="AO521" s="3"/>
      <c r="AP521" s="3"/>
      <c r="AQ521" s="3"/>
      <c r="AR521" s="3"/>
      <c r="AS521" s="3"/>
      <c r="AT521" s="3"/>
      <c r="AU521" s="3" t="str">
        <f ca="1">IFERROR(__xludf.DUMMYFUNCTION("""COMPUTED_VALUE"""),"mini videospot - max. 30 sec.")</f>
        <v>mini videospot - max. 30 sec.</v>
      </c>
    </row>
    <row r="522" spans="1:47" x14ac:dyDescent="0.3">
      <c r="A522" s="3">
        <f ca="1"/>
        <v>2346826</v>
      </c>
      <c r="B522" s="3" t="str">
        <f ca="1"/>
        <v>CZECH NEWS CENTER a. s.</v>
      </c>
      <c r="C522" s="3" t="str">
        <f ca="1">IFERROR(__xludf.DUMMYFUNCTION("""COMPUTED_VALUE"""),"Evropa2")</f>
        <v>Evropa2</v>
      </c>
      <c r="D522" s="4" t="str">
        <f ca="1">IFERROR(__xludf.DUMMYFUNCTION("""COMPUTED_VALUE"""),"https://evropa2.cz")</f>
        <v>https://evropa2.cz</v>
      </c>
      <c r="E522" s="3" t="str">
        <f ca="1">IFERROR(__xludf.DUMMYFUNCTION("""COMPUTED_VALUE"""),"celý web")</f>
        <v>celý web</v>
      </c>
      <c r="F522" s="4" t="str">
        <f ca="1">IFERROR(__xludf.DUMMYFUNCTION("""COMPUTED_VALUE"""),"https://evropa2.cz")</f>
        <v>https://evropa2.cz</v>
      </c>
      <c r="G522" s="3" t="str">
        <f ca="1">IFERROR(__xludf.DUMMYFUNCTION("""COMPUTED_VALUE"""),"mobilní interscroller low season")</f>
        <v>mobilní interscroller low season</v>
      </c>
      <c r="H522" s="3">
        <f ca="1">IFERROR(__xludf.DUMMYFUNCTION("""COMPUTED_VALUE"""),7)</f>
        <v>7</v>
      </c>
      <c r="I522" s="5">
        <f ca="1">IFERROR(__xludf.DUMMYFUNCTION("""COMPUTED_VALUE"""),1000)</f>
        <v>1000</v>
      </c>
      <c r="J522" s="5">
        <f ca="1">IFERROR(__xludf.DUMMYFUNCTION("""COMPUTED_VALUE"""),250)</f>
        <v>250</v>
      </c>
      <c r="K522" s="3"/>
      <c r="L522" s="3" t="str">
        <f ca="1">IFERROR(__xludf.DUMMYFUNCTION("""COMPUTED_VALUE"""),"Cost per period")</f>
        <v>Cost per period</v>
      </c>
      <c r="M522" s="3"/>
      <c r="N522" s="3"/>
      <c r="O522" s="3" t="str">
        <f ca="1">IFERROR(__xludf.DUMMYFUNCTION("""COMPUTED_VALUE"""),"600")</f>
        <v>600</v>
      </c>
      <c r="P522" s="3" t="str">
        <f ca="1">IFERROR(__xludf.DUMMYFUNCTION("""COMPUTED_VALUE"""),"1080")</f>
        <v>1080</v>
      </c>
      <c r="Q522" s="3" t="str">
        <f ca="1">IFERROR(__xludf.DUMMYFUNCTION("""COMPUTED_VALUE"""),"600x1080")</f>
        <v>600x1080</v>
      </c>
      <c r="R522" s="3"/>
      <c r="S522" s="3" t="str">
        <f ca="1">IFERROR(__xludf.DUMMYFUNCTION("""COMPUTED_VALUE"""),"200")</f>
        <v>200</v>
      </c>
      <c r="T522" s="3"/>
      <c r="U522" s="3" t="str">
        <f ca="1">IFERROR(__xludf.DUMMYFUNCTION("""COMPUTED_VALUE"""),"banner standard")</f>
        <v>banner standard</v>
      </c>
      <c r="V522" s="3"/>
      <c r="W522" s="4" t="str">
        <f ca="1">IFERROR(__xludf.DUMMYFUNCTION("""COMPUTED_VALUE"""),"https://reklama.cncenter.cz/Online/mobilni-interscroller")</f>
        <v>https://reklama.cncenter.cz/Online/mobilni-interscroller</v>
      </c>
      <c r="X522" s="3"/>
      <c r="Y522" s="3"/>
      <c r="Z522" s="3" t="str">
        <f ca="1">IFERROR(__xludf.DUMMYFUNCTION("""COMPUTED_VALUE"""),"podklady@cncenter.cz")</f>
        <v>podklady@cncenter.cz</v>
      </c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 t="str">
        <f ca="1">IFERROR(__xludf.DUMMYFUNCTION("""COMPUTED_VALUE"""),"mobile")</f>
        <v>mobile</v>
      </c>
      <c r="AO522" s="3"/>
      <c r="AP522" s="3"/>
      <c r="AQ522" s="3"/>
      <c r="AR522" s="3"/>
      <c r="AS522" s="3"/>
      <c r="AT522" s="3"/>
      <c r="AU522" s="3" t="str">
        <f ca="1">IFERROR(__xludf.DUMMYFUNCTION("""COMPUTED_VALUE"""),"mobilní interscroller")</f>
        <v>mobilní interscroller</v>
      </c>
    </row>
    <row r="523" spans="1:47" x14ac:dyDescent="0.3">
      <c r="A523" s="3">
        <f ca="1"/>
        <v>2346826</v>
      </c>
      <c r="B523" s="3" t="str">
        <f ca="1"/>
        <v>CZECH NEWS CENTER a. s.</v>
      </c>
      <c r="C523" s="3" t="str">
        <f ca="1">IFERROR(__xludf.DUMMYFUNCTION("""COMPUTED_VALUE"""),"Evropa2")</f>
        <v>Evropa2</v>
      </c>
      <c r="D523" s="4" t="str">
        <f ca="1">IFERROR(__xludf.DUMMYFUNCTION("""COMPUTED_VALUE"""),"https://evropa2.cz")</f>
        <v>https://evropa2.cz</v>
      </c>
      <c r="E523" s="3" t="str">
        <f ca="1">IFERROR(__xludf.DUMMYFUNCTION("""COMPUTED_VALUE"""),"celý web")</f>
        <v>celý web</v>
      </c>
      <c r="F523" s="4" t="str">
        <f ca="1">IFERROR(__xludf.DUMMYFUNCTION("""COMPUTED_VALUE"""),"https://evropa2.cz")</f>
        <v>https://evropa2.cz</v>
      </c>
      <c r="G523" s="3" t="str">
        <f ca="1">IFERROR(__xludf.DUMMYFUNCTION("""COMPUTED_VALUE"""),"mobilní slide-up low season")</f>
        <v>mobilní slide-up low season</v>
      </c>
      <c r="H523" s="3">
        <f ca="1">IFERROR(__xludf.DUMMYFUNCTION("""COMPUTED_VALUE"""),7)</f>
        <v>7</v>
      </c>
      <c r="I523" s="5">
        <f ca="1">IFERROR(__xludf.DUMMYFUNCTION("""COMPUTED_VALUE"""),1000)</f>
        <v>1000</v>
      </c>
      <c r="J523" s="5">
        <f ca="1">IFERROR(__xludf.DUMMYFUNCTION("""COMPUTED_VALUE"""),510)</f>
        <v>510</v>
      </c>
      <c r="K523" s="3"/>
      <c r="L523" s="3" t="str">
        <f ca="1">IFERROR(__xludf.DUMMYFUNCTION("""COMPUTED_VALUE"""),"Cost per period")</f>
        <v>Cost per period</v>
      </c>
      <c r="M523" s="3"/>
      <c r="N523" s="3"/>
      <c r="O523" s="3" t="str">
        <f ca="1">IFERROR(__xludf.DUMMYFUNCTION("""COMPUTED_VALUE"""),"300")</f>
        <v>300</v>
      </c>
      <c r="P523" s="3" t="str">
        <f ca="1">IFERROR(__xludf.DUMMYFUNCTION("""COMPUTED_VALUE"""),"120")</f>
        <v>120</v>
      </c>
      <c r="Q523" s="3" t="str">
        <f ca="1">IFERROR(__xludf.DUMMYFUNCTION("""COMPUTED_VALUE"""),"300x120")</f>
        <v>300x120</v>
      </c>
      <c r="R523" s="3"/>
      <c r="S523" s="3" t="str">
        <f ca="1">IFERROR(__xludf.DUMMYFUNCTION("""COMPUTED_VALUE"""),"100")</f>
        <v>100</v>
      </c>
      <c r="T523" s="3"/>
      <c r="U523" s="3" t="str">
        <f ca="1">IFERROR(__xludf.DUMMYFUNCTION("""COMPUTED_VALUE"""),"banner standard")</f>
        <v>banner standard</v>
      </c>
      <c r="V523" s="3"/>
      <c r="W523" s="4" t="str">
        <f ca="1">IFERROR(__xludf.DUMMYFUNCTION("""COMPUTED_VALUE"""),"https://reklama.cncenter.cz/Online/mobilni-slide-up")</f>
        <v>https://reklama.cncenter.cz/Online/mobilni-slide-up</v>
      </c>
      <c r="X523" s="3"/>
      <c r="Y523" s="3"/>
      <c r="Z523" s="3" t="str">
        <f ca="1">IFERROR(__xludf.DUMMYFUNCTION("""COMPUTED_VALUE"""),"podklady@cncenter.cz")</f>
        <v>podklady@cncenter.cz</v>
      </c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 t="str">
        <f ca="1">IFERROR(__xludf.DUMMYFUNCTION("""COMPUTED_VALUE"""),"mobile")</f>
        <v>mobile</v>
      </c>
      <c r="AO523" s="3"/>
      <c r="AP523" s="3"/>
      <c r="AQ523" s="3"/>
      <c r="AR523" s="3"/>
      <c r="AS523" s="3"/>
      <c r="AT523" s="3"/>
      <c r="AU523" s="3" t="str">
        <f ca="1">IFERROR(__xludf.DUMMYFUNCTION("""COMPUTED_VALUE"""),"mobilní slide-up")</f>
        <v>mobilní slide-up</v>
      </c>
    </row>
    <row r="524" spans="1:47" x14ac:dyDescent="0.3">
      <c r="A524" s="3">
        <f ca="1"/>
        <v>2346826</v>
      </c>
      <c r="B524" s="3" t="str">
        <f ca="1"/>
        <v>CZECH NEWS CENTER a. s.</v>
      </c>
      <c r="C524" s="3" t="str">
        <f ca="1">IFERROR(__xludf.DUMMYFUNCTION("""COMPUTED_VALUE"""),"Evropa2")</f>
        <v>Evropa2</v>
      </c>
      <c r="D524" s="4" t="str">
        <f ca="1">IFERROR(__xludf.DUMMYFUNCTION("""COMPUTED_VALUE"""),"https://evropa2.cz")</f>
        <v>https://evropa2.cz</v>
      </c>
      <c r="E524" s="3" t="str">
        <f ca="1">IFERROR(__xludf.DUMMYFUNCTION("""COMPUTED_VALUE"""),"celý web")</f>
        <v>celý web</v>
      </c>
      <c r="F524" s="4" t="str">
        <f ca="1">IFERROR(__xludf.DUMMYFUNCTION("""COMPUTED_VALUE"""),"https://evropa2.cz")</f>
        <v>https://evropa2.cz</v>
      </c>
      <c r="G524" s="3" t="str">
        <f ca="1">IFERROR(__xludf.DUMMYFUNCTION("""COMPUTED_VALUE"""),"mobilní viněta low season")</f>
        <v>mobilní viněta low season</v>
      </c>
      <c r="H524" s="3">
        <f ca="1">IFERROR(__xludf.DUMMYFUNCTION("""COMPUTED_VALUE"""),7)</f>
        <v>7</v>
      </c>
      <c r="I524" s="5">
        <f ca="1">IFERROR(__xludf.DUMMYFUNCTION("""COMPUTED_VALUE"""),1000)</f>
        <v>1000</v>
      </c>
      <c r="J524" s="5">
        <f ca="1">IFERROR(__xludf.DUMMYFUNCTION("""COMPUTED_VALUE"""),880)</f>
        <v>880</v>
      </c>
      <c r="K524" s="3"/>
      <c r="L524" s="3" t="str">
        <f ca="1">IFERROR(__xludf.DUMMYFUNCTION("""COMPUTED_VALUE"""),"Cost per period")</f>
        <v>Cost per period</v>
      </c>
      <c r="M524" s="3"/>
      <c r="N524" s="3"/>
      <c r="O524" s="3" t="str">
        <f ca="1">IFERROR(__xludf.DUMMYFUNCTION("""COMPUTED_VALUE"""),"600")</f>
        <v>600</v>
      </c>
      <c r="P524" s="3" t="str">
        <f ca="1">IFERROR(__xludf.DUMMYFUNCTION("""COMPUTED_VALUE"""),"800")</f>
        <v>800</v>
      </c>
      <c r="Q524" s="3" t="str">
        <f ca="1">IFERROR(__xludf.DUMMYFUNCTION("""COMPUTED_VALUE"""),"300x250 nebo 600x800")</f>
        <v>300x250 nebo 600x800</v>
      </c>
      <c r="R524" s="3"/>
      <c r="S524" s="3" t="str">
        <f ca="1">IFERROR(__xludf.DUMMYFUNCTION("""COMPUTED_VALUE"""),"100")</f>
        <v>100</v>
      </c>
      <c r="T524" s="3"/>
      <c r="U524" s="3" t="str">
        <f ca="1">IFERROR(__xludf.DUMMYFUNCTION("""COMPUTED_VALUE"""),"banner standard")</f>
        <v>banner standard</v>
      </c>
      <c r="V524" s="3"/>
      <c r="W524" s="4" t="str">
        <f ca="1">IFERROR(__xludf.DUMMYFUNCTION("""COMPUTED_VALUE"""),"https://reklama.cncenter.cz/Online/mobilni-vineta")</f>
        <v>https://reklama.cncenter.cz/Online/mobilni-vineta</v>
      </c>
      <c r="X524" s="3"/>
      <c r="Y524" s="3"/>
      <c r="Z524" s="3" t="str">
        <f ca="1">IFERROR(__xludf.DUMMYFUNCTION("""COMPUTED_VALUE"""),"podklady@cncenter.cz")</f>
        <v>podklady@cncenter.cz</v>
      </c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 t="str">
        <f ca="1">IFERROR(__xludf.DUMMYFUNCTION("""COMPUTED_VALUE"""),"mobile")</f>
        <v>mobile</v>
      </c>
      <c r="AO524" s="3"/>
      <c r="AP524" s="3"/>
      <c r="AQ524" s="3"/>
      <c r="AR524" s="3"/>
      <c r="AS524" s="3"/>
      <c r="AT524" s="3"/>
      <c r="AU524" s="3" t="str">
        <f ca="1">IFERROR(__xludf.DUMMYFUNCTION("""COMPUTED_VALUE"""),"mobilní viněta")</f>
        <v>mobilní viněta</v>
      </c>
    </row>
    <row r="525" spans="1:47" x14ac:dyDescent="0.3">
      <c r="A525" s="3">
        <f ca="1"/>
        <v>2346826</v>
      </c>
      <c r="B525" s="3" t="str">
        <f ca="1"/>
        <v>CZECH NEWS CENTER a. s.</v>
      </c>
      <c r="C525" s="3" t="str">
        <f ca="1">IFERROR(__xludf.DUMMYFUNCTION("""COMPUTED_VALUE"""),"Evropa2")</f>
        <v>Evropa2</v>
      </c>
      <c r="D525" s="4" t="str">
        <f ca="1">IFERROR(__xludf.DUMMYFUNCTION("""COMPUTED_VALUE"""),"https://evropa2.cz")</f>
        <v>https://evropa2.cz</v>
      </c>
      <c r="E525" s="3" t="str">
        <f ca="1">IFERROR(__xludf.DUMMYFUNCTION("""COMPUTED_VALUE"""),"celý web")</f>
        <v>celý web</v>
      </c>
      <c r="F525" s="4" t="str">
        <f ca="1">IFERROR(__xludf.DUMMYFUNCTION("""COMPUTED_VALUE"""),"https://evropa2.cz")</f>
        <v>https://evropa2.cz</v>
      </c>
      <c r="G525" s="3" t="str">
        <f ca="1">IFERROR(__xludf.DUMMYFUNCTION("""COMPUTED_VALUE"""),"nativní rectangle cross-device low season")</f>
        <v>nativní rectangle cross-device low season</v>
      </c>
      <c r="H525" s="3">
        <f ca="1">IFERROR(__xludf.DUMMYFUNCTION("""COMPUTED_VALUE"""),7)</f>
        <v>7</v>
      </c>
      <c r="I525" s="5">
        <f ca="1">IFERROR(__xludf.DUMMYFUNCTION("""COMPUTED_VALUE"""),1000)</f>
        <v>1000</v>
      </c>
      <c r="J525" s="5">
        <f ca="1">IFERROR(__xludf.DUMMYFUNCTION("""COMPUTED_VALUE"""),200)</f>
        <v>200</v>
      </c>
      <c r="K525" s="3"/>
      <c r="L525" s="3" t="str">
        <f ca="1">IFERROR(__xludf.DUMMYFUNCTION("""COMPUTED_VALUE"""),"Cost per period")</f>
        <v>Cost per period</v>
      </c>
      <c r="M525" s="3"/>
      <c r="N525" s="3"/>
      <c r="O525" s="3" t="str">
        <f ca="1">IFERROR(__xludf.DUMMYFUNCTION("""COMPUTED_VALUE"""),"640")</f>
        <v>640</v>
      </c>
      <c r="P525" s="3" t="str">
        <f ca="1">IFERROR(__xludf.DUMMYFUNCTION("""COMPUTED_VALUE"""),"335, 640")</f>
        <v>335, 640</v>
      </c>
      <c r="Q525" s="3" t="str">
        <f ca="1">IFERROR(__xludf.DUMMYFUNCTION("""COMPUTED_VALUE"""),"640x640 a 640x335 + text + logo")</f>
        <v>640x640 a 640x335 + text + logo</v>
      </c>
      <c r="R525" s="3"/>
      <c r="S525" s="3" t="str">
        <f ca="1">IFERROR(__xludf.DUMMYFUNCTION("""COMPUTED_VALUE"""),"45")</f>
        <v>45</v>
      </c>
      <c r="T525" s="3"/>
      <c r="U525" s="3" t="str">
        <f ca="1">IFERROR(__xludf.DUMMYFUNCTION("""COMPUTED_VALUE"""),"nativní reklama")</f>
        <v>nativní reklama</v>
      </c>
      <c r="V525" s="3"/>
      <c r="W525" s="4" t="str">
        <f ca="1">IFERROR(__xludf.DUMMYFUNCTION("""COMPUTED_VALUE"""),"https://reklama.cncenter.cz/Online/nativni-rectangle-cross-device")</f>
        <v>https://reklama.cncenter.cz/Online/nativni-rectangle-cross-device</v>
      </c>
      <c r="X525" s="3"/>
      <c r="Y525" s="3"/>
      <c r="Z525" s="3" t="str">
        <f ca="1">IFERROR(__xludf.DUMMYFUNCTION("""COMPUTED_VALUE"""),"podklady@cncenter.cz")</f>
        <v>podklady@cncenter.cz</v>
      </c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 t="str">
        <f ca="1">IFERROR(__xludf.DUMMYFUNCTION("""COMPUTED_VALUE"""),"cross-device")</f>
        <v>cross-device</v>
      </c>
      <c r="AO525" s="3"/>
      <c r="AP525" s="3"/>
      <c r="AQ525" s="3"/>
      <c r="AR525" s="3"/>
      <c r="AS525" s="3"/>
      <c r="AT525" s="3"/>
      <c r="AU525" s="3" t="str">
        <f ca="1">IFERROR(__xludf.DUMMYFUNCTION("""COMPUTED_VALUE"""),"nativní rectangle cross-device")</f>
        <v>nativní rectangle cross-device</v>
      </c>
    </row>
    <row r="526" spans="1:47" x14ac:dyDescent="0.3">
      <c r="A526" s="3">
        <f ca="1"/>
        <v>2346826</v>
      </c>
      <c r="B526" s="3" t="str">
        <f ca="1"/>
        <v>CZECH NEWS CENTER a. s.</v>
      </c>
      <c r="C526" s="3" t="str">
        <f ca="1">IFERROR(__xludf.DUMMYFUNCTION("""COMPUTED_VALUE"""),"Evropa2")</f>
        <v>Evropa2</v>
      </c>
      <c r="D526" s="4" t="str">
        <f ca="1">IFERROR(__xludf.DUMMYFUNCTION("""COMPUTED_VALUE"""),"https://evropa2.cz")</f>
        <v>https://evropa2.cz</v>
      </c>
      <c r="E526" s="3" t="str">
        <f ca="1">IFERROR(__xludf.DUMMYFUNCTION("""COMPUTED_VALUE"""),"celý web")</f>
        <v>celý web</v>
      </c>
      <c r="F526" s="4" t="str">
        <f ca="1">IFERROR(__xludf.DUMMYFUNCTION("""COMPUTED_VALUE"""),"https://evropa2.cz")</f>
        <v>https://evropa2.cz</v>
      </c>
      <c r="G526" s="3" t="str">
        <f ca="1">IFERROR(__xludf.DUMMYFUNCTION("""COMPUTED_VALUE"""),"videospot - max. 30 sec. / bumper low season")</f>
        <v>videospot - max. 30 sec. / bumper low season</v>
      </c>
      <c r="H526" s="3">
        <f ca="1">IFERROR(__xludf.DUMMYFUNCTION("""COMPUTED_VALUE"""),7)</f>
        <v>7</v>
      </c>
      <c r="I526" s="5">
        <f ca="1">IFERROR(__xludf.DUMMYFUNCTION("""COMPUTED_VALUE"""),1000)</f>
        <v>1000</v>
      </c>
      <c r="J526" s="5">
        <f ca="1">IFERROR(__xludf.DUMMYFUNCTION("""COMPUTED_VALUE"""),740)</f>
        <v>740</v>
      </c>
      <c r="K526" s="3"/>
      <c r="L526" s="3" t="str">
        <f ca="1">IFERROR(__xludf.DUMMYFUNCTION("""COMPUTED_VALUE"""),"Cost per period")</f>
        <v>Cost per period</v>
      </c>
      <c r="M526" s="3"/>
      <c r="N526" s="3"/>
      <c r="O526" s="3" t="str">
        <f ca="1">IFERROR(__xludf.DUMMYFUNCTION("""COMPUTED_VALUE"""),"1280")</f>
        <v>1280</v>
      </c>
      <c r="P526" s="3" t="str">
        <f ca="1">IFERROR(__xludf.DUMMYFUNCTION("""COMPUTED_VALUE"""),"720")</f>
        <v>720</v>
      </c>
      <c r="Q526" s="3" t="str">
        <f ca="1">IFERROR(__xludf.DUMMYFUNCTION("""COMPUTED_VALUE"""),"16:9 / umístění po domluvě dle možností")</f>
        <v>16:9 / umístění po domluvě dle možností</v>
      </c>
      <c r="R526" s="3" t="str">
        <f ca="1">IFERROR(__xludf.DUMMYFUNCTION("""COMPUTED_VALUE"""),"přeskočení po 7 sekundách")</f>
        <v>přeskočení po 7 sekundách</v>
      </c>
      <c r="S526" s="3" t="str">
        <f ca="1">IFERROR(__xludf.DUMMYFUNCTION("""COMPUTED_VALUE"""),"100")</f>
        <v>100</v>
      </c>
      <c r="T526" s="3"/>
      <c r="U526" s="3" t="str">
        <f ca="1">IFERROR(__xludf.DUMMYFUNCTION("""COMPUTED_VALUE"""),"videospot")</f>
        <v>videospot</v>
      </c>
      <c r="V526" s="3"/>
      <c r="W526" s="4" t="str">
        <f ca="1">IFERROR(__xludf.DUMMYFUNCTION("""COMPUTED_VALUE"""),"https://reklama.cncenter.cz/Online/Bumper")</f>
        <v>https://reklama.cncenter.cz/Online/Bumper</v>
      </c>
      <c r="X526" s="3"/>
      <c r="Y526" s="3"/>
      <c r="Z526" s="3" t="str">
        <f ca="1">IFERROR(__xludf.DUMMYFUNCTION("""COMPUTED_VALUE"""),"podklady@cncenter.cz")</f>
        <v>podklady@cncenter.cz</v>
      </c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 t="str">
        <f ca="1">IFERROR(__xludf.DUMMYFUNCTION("""COMPUTED_VALUE"""),"cross-device")</f>
        <v>cross-device</v>
      </c>
      <c r="AO526" s="3"/>
      <c r="AP526" s="3"/>
      <c r="AQ526" s="3"/>
      <c r="AR526" s="3"/>
      <c r="AS526" s="3"/>
      <c r="AT526" s="3"/>
      <c r="AU526" s="3" t="str">
        <f ca="1">IFERROR(__xludf.DUMMYFUNCTION("""COMPUTED_VALUE"""),"videospot - max. 30 sec. / bumper")</f>
        <v>videospot - max. 30 sec. / bumper</v>
      </c>
    </row>
    <row r="527" spans="1:47" x14ac:dyDescent="0.3">
      <c r="A527" s="3">
        <f ca="1"/>
        <v>2346826</v>
      </c>
      <c r="B527" s="3" t="str">
        <f ca="1"/>
        <v>CZECH NEWS CENTER a. s.</v>
      </c>
      <c r="C527" s="3" t="str">
        <f ca="1">IFERROR(__xludf.DUMMYFUNCTION("""COMPUTED_VALUE"""),"F1 sport")</f>
        <v>F1 sport</v>
      </c>
      <c r="D527" s="4" t="str">
        <f ca="1">IFERROR(__xludf.DUMMYFUNCTION("""COMPUTED_VALUE"""),"https://f1sport.auto.cz")</f>
        <v>https://f1sport.auto.cz</v>
      </c>
      <c r="E527" s="3" t="str">
        <f ca="1">IFERROR(__xludf.DUMMYFUNCTION("""COMPUTED_VALUE"""),"celý web")</f>
        <v>celý web</v>
      </c>
      <c r="F527" s="4" t="str">
        <f ca="1">IFERROR(__xludf.DUMMYFUNCTION("""COMPUTED_VALUE"""),"https://f1sport.auto.cz")</f>
        <v>https://f1sport.auto.cz</v>
      </c>
      <c r="G527" s="3" t="str">
        <f ca="1">IFERROR(__xludf.DUMMYFUNCTION("""COMPUTED_VALUE"""),"Advertorial low season")</f>
        <v>Advertorial low season</v>
      </c>
      <c r="H527" s="3">
        <f ca="1">IFERROR(__xludf.DUMMYFUNCTION("""COMPUTED_VALUE"""),1)</f>
        <v>1</v>
      </c>
      <c r="I527" s="5">
        <f ca="1">IFERROR(__xludf.DUMMYFUNCTION("""COMPUTED_VALUE"""),1)</f>
        <v>1</v>
      </c>
      <c r="J527" s="5">
        <f ca="1">IFERROR(__xludf.DUMMYFUNCTION("""COMPUTED_VALUE"""),90000)</f>
        <v>90000</v>
      </c>
      <c r="K527" s="3"/>
      <c r="L527" s="3" t="str">
        <f ca="1">IFERROR(__xludf.DUMMYFUNCTION("""COMPUTED_VALUE"""),"Cost per instance")</f>
        <v>Cost per instance</v>
      </c>
      <c r="M527" s="3"/>
      <c r="N527" s="3"/>
      <c r="O527" s="3"/>
      <c r="P527" s="3"/>
      <c r="Q527" s="3"/>
      <c r="R527" s="3"/>
      <c r="S527" s="3" t="str">
        <f ca="1">IFERROR(__xludf.DUMMYFUNCTION("""COMPUTED_VALUE"""),"100")</f>
        <v>100</v>
      </c>
      <c r="T527" s="3"/>
      <c r="U527" s="3" t="str">
        <f ca="1">IFERROR(__xludf.DUMMYFUNCTION("""COMPUTED_VALUE"""),"pr článek")</f>
        <v>pr článek</v>
      </c>
      <c r="V527" s="3"/>
      <c r="W527" s="3"/>
      <c r="X527" s="3"/>
      <c r="Y527" s="3"/>
      <c r="Z527" s="3" t="str">
        <f ca="1">IFERROR(__xludf.DUMMYFUNCTION("""COMPUTED_VALUE"""),"podklady@cncenter.cz")</f>
        <v>podklady@cncenter.cz</v>
      </c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 t="str">
        <f ca="1">IFERROR(__xludf.DUMMYFUNCTION("""COMPUTED_VALUE"""),"cross-device")</f>
        <v>cross-device</v>
      </c>
      <c r="AO527" s="3"/>
      <c r="AP527" s="3"/>
      <c r="AQ527" s="3"/>
      <c r="AR527" s="3"/>
      <c r="AS527" s="3"/>
      <c r="AT527" s="3"/>
      <c r="AU527" s="3" t="str">
        <f ca="1">IFERROR(__xludf.DUMMYFUNCTION("""COMPUTED_VALUE"""),"Advertorial")</f>
        <v>Advertorial</v>
      </c>
    </row>
    <row r="528" spans="1:47" x14ac:dyDescent="0.3">
      <c r="A528" s="3">
        <f ca="1"/>
        <v>2346826</v>
      </c>
      <c r="B528" s="3" t="str">
        <f ca="1"/>
        <v>CZECH NEWS CENTER a. s.</v>
      </c>
      <c r="C528" s="3" t="str">
        <f ca="1">IFERROR(__xludf.DUMMYFUNCTION("""COMPUTED_VALUE"""),"F1 sport")</f>
        <v>F1 sport</v>
      </c>
      <c r="D528" s="4" t="str">
        <f ca="1">IFERROR(__xludf.DUMMYFUNCTION("""COMPUTED_VALUE"""),"https://f1sport.auto.cz")</f>
        <v>https://f1sport.auto.cz</v>
      </c>
      <c r="E528" s="3" t="str">
        <f ca="1">IFERROR(__xludf.DUMMYFUNCTION("""COMPUTED_VALUE"""),"celý web")</f>
        <v>celý web</v>
      </c>
      <c r="F528" s="4" t="str">
        <f ca="1">IFERROR(__xludf.DUMMYFUNCTION("""COMPUTED_VALUE"""),"https://f1sport.auto.cz")</f>
        <v>https://f1sport.auto.cz</v>
      </c>
      <c r="G528" s="3" t="str">
        <f ca="1">IFERROR(__xludf.DUMMYFUNCTION("""COMPUTED_VALUE"""),"billboard bottom low season")</f>
        <v>billboard bottom low season</v>
      </c>
      <c r="H528" s="3">
        <f ca="1">IFERROR(__xludf.DUMMYFUNCTION("""COMPUTED_VALUE"""),7)</f>
        <v>7</v>
      </c>
      <c r="I528" s="5">
        <f ca="1">IFERROR(__xludf.DUMMYFUNCTION("""COMPUTED_VALUE"""),1000)</f>
        <v>1000</v>
      </c>
      <c r="J528" s="5">
        <f ca="1">IFERROR(__xludf.DUMMYFUNCTION("""COMPUTED_VALUE"""),240)</f>
        <v>240</v>
      </c>
      <c r="K528" s="3"/>
      <c r="L528" s="3" t="str">
        <f ca="1">IFERROR(__xludf.DUMMYFUNCTION("""COMPUTED_VALUE"""),"Cost per period")</f>
        <v>Cost per period</v>
      </c>
      <c r="M528" s="3"/>
      <c r="N528" s="3"/>
      <c r="O528" s="3" t="str">
        <f ca="1">IFERROR(__xludf.DUMMYFUNCTION("""COMPUTED_VALUE"""),"970")</f>
        <v>970</v>
      </c>
      <c r="P528" s="3" t="str">
        <f ca="1">IFERROR(__xludf.DUMMYFUNCTION("""COMPUTED_VALUE"""),"250")</f>
        <v>250</v>
      </c>
      <c r="Q528" s="3" t="str">
        <f ca="1">IFERROR(__xludf.DUMMYFUNCTION("""COMPUTED_VALUE"""),"970x250")</f>
        <v>970x250</v>
      </c>
      <c r="R528" s="3"/>
      <c r="S528" s="3" t="str">
        <f ca="1">IFERROR(__xludf.DUMMYFUNCTION("""COMPUTED_VALUE"""),"100 (200 - HTML5)")</f>
        <v>100 (200 - HTML5)</v>
      </c>
      <c r="T528" s="3"/>
      <c r="U528" s="3" t="str">
        <f ca="1">IFERROR(__xludf.DUMMYFUNCTION("""COMPUTED_VALUE"""),"banner standard")</f>
        <v>banner standard</v>
      </c>
      <c r="V528" s="3"/>
      <c r="W528" s="4" t="str">
        <f ca="1">IFERROR(__xludf.DUMMYFUNCTION("""COMPUTED_VALUE"""),"https://reklama.cncenter.cz/Online/billboard-bottom")</f>
        <v>https://reklama.cncenter.cz/Online/billboard-bottom</v>
      </c>
      <c r="X528" s="3"/>
      <c r="Y528" s="3"/>
      <c r="Z528" s="3" t="str">
        <f ca="1">IFERROR(__xludf.DUMMYFUNCTION("""COMPUTED_VALUE"""),"podklady@cncenter.cz")</f>
        <v>podklady@cncenter.cz</v>
      </c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 t="str">
        <f ca="1">IFERROR(__xludf.DUMMYFUNCTION("""COMPUTED_VALUE"""),"desktop")</f>
        <v>desktop</v>
      </c>
      <c r="AO528" s="3"/>
      <c r="AP528" s="3"/>
      <c r="AQ528" s="3"/>
      <c r="AR528" s="3"/>
      <c r="AS528" s="3"/>
      <c r="AT528" s="3"/>
      <c r="AU528" s="3" t="str">
        <f ca="1">IFERROR(__xludf.DUMMYFUNCTION("""COMPUTED_VALUE"""),"billboard bottom")</f>
        <v>billboard bottom</v>
      </c>
    </row>
    <row r="529" spans="1:47" x14ac:dyDescent="0.3">
      <c r="A529" s="3">
        <f ca="1"/>
        <v>2346826</v>
      </c>
      <c r="B529" s="3" t="str">
        <f ca="1"/>
        <v>CZECH NEWS CENTER a. s.</v>
      </c>
      <c r="C529" s="3" t="str">
        <f ca="1">IFERROR(__xludf.DUMMYFUNCTION("""COMPUTED_VALUE"""),"F1 sport")</f>
        <v>F1 sport</v>
      </c>
      <c r="D529" s="4" t="str">
        <f ca="1">IFERROR(__xludf.DUMMYFUNCTION("""COMPUTED_VALUE"""),"https://f1sport.auto.cz")</f>
        <v>https://f1sport.auto.cz</v>
      </c>
      <c r="E529" s="3" t="str">
        <f ca="1">IFERROR(__xludf.DUMMYFUNCTION("""COMPUTED_VALUE"""),"celý web")</f>
        <v>celý web</v>
      </c>
      <c r="F529" s="4" t="str">
        <f ca="1">IFERROR(__xludf.DUMMYFUNCTION("""COMPUTED_VALUE"""),"https://f1sport.auto.cz")</f>
        <v>https://f1sport.auto.cz</v>
      </c>
      <c r="G529" s="3" t="str">
        <f ca="1">IFERROR(__xludf.DUMMYFUNCTION("""COMPUTED_VALUE"""),"branding cross-device low season")</f>
        <v>branding cross-device low season</v>
      </c>
      <c r="H529" s="3">
        <f ca="1">IFERROR(__xludf.DUMMYFUNCTION("""COMPUTED_VALUE"""),7)</f>
        <v>7</v>
      </c>
      <c r="I529" s="5">
        <f ca="1">IFERROR(__xludf.DUMMYFUNCTION("""COMPUTED_VALUE"""),1000)</f>
        <v>1000</v>
      </c>
      <c r="J529" s="5">
        <f ca="1">IFERROR(__xludf.DUMMYFUNCTION("""COMPUTED_VALUE"""),300)</f>
        <v>300</v>
      </c>
      <c r="K529" s="3"/>
      <c r="L529" s="3" t="str">
        <f ca="1">IFERROR(__xludf.DUMMYFUNCTION("""COMPUTED_VALUE"""),"Cost per period")</f>
        <v>Cost per period</v>
      </c>
      <c r="M529" s="3"/>
      <c r="N529" s="3"/>
      <c r="O529" s="3" t="str">
        <f ca="1">IFERROR(__xludf.DUMMYFUNCTION("""COMPUTED_VALUE"""),"2000")</f>
        <v>2000</v>
      </c>
      <c r="P529" s="3" t="str">
        <f ca="1">IFERROR(__xludf.DUMMYFUNCTION("""COMPUTED_VALUE"""),"1400")</f>
        <v>1400</v>
      </c>
      <c r="Q529" s="3" t="str">
        <f ca="1">IFERROR(__xludf.DUMMYFUNCTION("""COMPUTED_VALUE"""),"2000x1400 + 600x1080")</f>
        <v>2000x1400 + 600x1080</v>
      </c>
      <c r="R529" s="3"/>
      <c r="S529" s="3" t="str">
        <f ca="1">IFERROR(__xludf.DUMMYFUNCTION("""COMPUTED_VALUE"""),"500 (600 - HTLM5)")</f>
        <v>500 (600 - HTLM5)</v>
      </c>
      <c r="T529" s="3"/>
      <c r="U529" s="3" t="str">
        <f ca="1">IFERROR(__xludf.DUMMYFUNCTION("""COMPUTED_VALUE"""),"banner standard")</f>
        <v>banner standard</v>
      </c>
      <c r="V529" s="3"/>
      <c r="W529" s="4" t="str">
        <f ca="1">IFERROR(__xludf.DUMMYFUNCTION("""COMPUTED_VALUE"""),"https://reklama.cncenter.cz/Online/branding-cross-device")</f>
        <v>https://reklama.cncenter.cz/Online/branding-cross-device</v>
      </c>
      <c r="X529" s="3"/>
      <c r="Y529" s="3"/>
      <c r="Z529" s="3" t="str">
        <f ca="1">IFERROR(__xludf.DUMMYFUNCTION("""COMPUTED_VALUE"""),"podklady@cncenter.cz")</f>
        <v>podklady@cncenter.cz</v>
      </c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 t="str">
        <f ca="1">IFERROR(__xludf.DUMMYFUNCTION("""COMPUTED_VALUE"""),"cross-device")</f>
        <v>cross-device</v>
      </c>
      <c r="AO529" s="3"/>
      <c r="AP529" s="3"/>
      <c r="AQ529" s="3"/>
      <c r="AR529" s="3"/>
      <c r="AS529" s="3"/>
      <c r="AT529" s="3"/>
      <c r="AU529" s="3" t="str">
        <f ca="1">IFERROR(__xludf.DUMMYFUNCTION("""COMPUTED_VALUE"""),"branding cross-device")</f>
        <v>branding cross-device</v>
      </c>
    </row>
    <row r="530" spans="1:47" x14ac:dyDescent="0.3">
      <c r="A530" s="3">
        <f ca="1"/>
        <v>2346826</v>
      </c>
      <c r="B530" s="3" t="str">
        <f ca="1"/>
        <v>CZECH NEWS CENTER a. s.</v>
      </c>
      <c r="C530" s="3" t="str">
        <f ca="1">IFERROR(__xludf.DUMMYFUNCTION("""COMPUTED_VALUE"""),"F1 sport")</f>
        <v>F1 sport</v>
      </c>
      <c r="D530" s="4" t="str">
        <f ca="1">IFERROR(__xludf.DUMMYFUNCTION("""COMPUTED_VALUE"""),"https://f1sport.auto.cz")</f>
        <v>https://f1sport.auto.cz</v>
      </c>
      <c r="E530" s="3" t="str">
        <f ca="1">IFERROR(__xludf.DUMMYFUNCTION("""COMPUTED_VALUE"""),"celý web")</f>
        <v>celý web</v>
      </c>
      <c r="F530" s="4" t="str">
        <f ca="1">IFERROR(__xludf.DUMMYFUNCTION("""COMPUTED_VALUE"""),"https://f1sport.auto.cz")</f>
        <v>https://f1sport.auto.cz</v>
      </c>
      <c r="G530" s="3" t="str">
        <f ca="1">IFERROR(__xludf.DUMMYFUNCTION("""COMPUTED_VALUE"""),"branding low season")</f>
        <v>branding low season</v>
      </c>
      <c r="H530" s="3">
        <f ca="1">IFERROR(__xludf.DUMMYFUNCTION("""COMPUTED_VALUE"""),7)</f>
        <v>7</v>
      </c>
      <c r="I530" s="5">
        <f ca="1">IFERROR(__xludf.DUMMYFUNCTION("""COMPUTED_VALUE"""),1000)</f>
        <v>1000</v>
      </c>
      <c r="J530" s="5">
        <f ca="1">IFERROR(__xludf.DUMMYFUNCTION("""COMPUTED_VALUE"""),490)</f>
        <v>490</v>
      </c>
      <c r="K530" s="3"/>
      <c r="L530" s="3" t="str">
        <f ca="1">IFERROR(__xludf.DUMMYFUNCTION("""COMPUTED_VALUE"""),"Cost per period")</f>
        <v>Cost per period</v>
      </c>
      <c r="M530" s="3"/>
      <c r="N530" s="3"/>
      <c r="O530" s="3" t="str">
        <f ca="1">IFERROR(__xludf.DUMMYFUNCTION("""COMPUTED_VALUE"""),"2000")</f>
        <v>2000</v>
      </c>
      <c r="P530" s="3" t="str">
        <f ca="1">IFERROR(__xludf.DUMMYFUNCTION("""COMPUTED_VALUE"""),"1400")</f>
        <v>1400</v>
      </c>
      <c r="Q530" s="3" t="str">
        <f ca="1">IFERROR(__xludf.DUMMYFUNCTION("""COMPUTED_VALUE"""),"2000x1400")</f>
        <v>2000x1400</v>
      </c>
      <c r="R530" s="3"/>
      <c r="S530" s="3" t="str">
        <f ca="1">IFERROR(__xludf.DUMMYFUNCTION("""COMPUTED_VALUE"""),"500 + 200 (600+200 HTML5)")</f>
        <v>500 + 200 (600+200 HTML5)</v>
      </c>
      <c r="T530" s="3"/>
      <c r="U530" s="3" t="str">
        <f ca="1">IFERROR(__xludf.DUMMYFUNCTION("""COMPUTED_VALUE"""),"banner standard")</f>
        <v>banner standard</v>
      </c>
      <c r="V530" s="3"/>
      <c r="W530" s="4" t="str">
        <f ca="1">IFERROR(__xludf.DUMMYFUNCTION("""COMPUTED_VALUE"""),"https://reklama.cncenter.cz/Online/branding")</f>
        <v>https://reklama.cncenter.cz/Online/branding</v>
      </c>
      <c r="X530" s="3"/>
      <c r="Y530" s="3"/>
      <c r="Z530" s="3" t="str">
        <f ca="1">IFERROR(__xludf.DUMMYFUNCTION("""COMPUTED_VALUE"""),"podklady@cncenter.cz")</f>
        <v>podklady@cncenter.cz</v>
      </c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 t="str">
        <f ca="1">IFERROR(__xludf.DUMMYFUNCTION("""COMPUTED_VALUE"""),"desktop")</f>
        <v>desktop</v>
      </c>
      <c r="AO530" s="3"/>
      <c r="AP530" s="3"/>
      <c r="AQ530" s="3"/>
      <c r="AR530" s="3"/>
      <c r="AS530" s="3"/>
      <c r="AT530" s="3"/>
      <c r="AU530" s="3" t="str">
        <f ca="1">IFERROR(__xludf.DUMMYFUNCTION("""COMPUTED_VALUE"""),"branding")</f>
        <v>branding</v>
      </c>
    </row>
    <row r="531" spans="1:47" x14ac:dyDescent="0.3">
      <c r="A531" s="3">
        <f ca="1"/>
        <v>2346826</v>
      </c>
      <c r="B531" s="3" t="str">
        <f ca="1"/>
        <v>CZECH NEWS CENTER a. s.</v>
      </c>
      <c r="C531" s="3" t="str">
        <f ca="1">IFERROR(__xludf.DUMMYFUNCTION("""COMPUTED_VALUE"""),"F1 sport")</f>
        <v>F1 sport</v>
      </c>
      <c r="D531" s="4" t="str">
        <f ca="1">IFERROR(__xludf.DUMMYFUNCTION("""COMPUTED_VALUE"""),"https://f1sport.auto.cz")</f>
        <v>https://f1sport.auto.cz</v>
      </c>
      <c r="E531" s="3" t="str">
        <f ca="1">IFERROR(__xludf.DUMMYFUNCTION("""COMPUTED_VALUE"""),"celý web")</f>
        <v>celý web</v>
      </c>
      <c r="F531" s="4" t="str">
        <f ca="1">IFERROR(__xludf.DUMMYFUNCTION("""COMPUTED_VALUE"""),"https://f1sport.auto.cz")</f>
        <v>https://f1sport.auto.cz</v>
      </c>
      <c r="G531" s="3" t="str">
        <f ca="1">IFERROR(__xludf.DUMMYFUNCTION("""COMPUTED_VALUE"""),"cílený billboard bottom low season")</f>
        <v>cílený billboard bottom low season</v>
      </c>
      <c r="H531" s="3">
        <f ca="1">IFERROR(__xludf.DUMMYFUNCTION("""COMPUTED_VALUE"""),7)</f>
        <v>7</v>
      </c>
      <c r="I531" s="5">
        <f ca="1">IFERROR(__xludf.DUMMYFUNCTION("""COMPUTED_VALUE"""),1000)</f>
        <v>1000</v>
      </c>
      <c r="J531" s="5">
        <f ca="1">IFERROR(__xludf.DUMMYFUNCTION("""COMPUTED_VALUE"""),288)</f>
        <v>288</v>
      </c>
      <c r="K531" s="3"/>
      <c r="L531" s="3" t="str">
        <f ca="1">IFERROR(__xludf.DUMMYFUNCTION("""COMPUTED_VALUE"""),"Cost per period")</f>
        <v>Cost per period</v>
      </c>
      <c r="M531" s="3"/>
      <c r="N531" s="3"/>
      <c r="O531" s="3" t="str">
        <f ca="1">IFERROR(__xludf.DUMMYFUNCTION("""COMPUTED_VALUE"""),"970")</f>
        <v>970</v>
      </c>
      <c r="P531" s="3" t="str">
        <f ca="1">IFERROR(__xludf.DUMMYFUNCTION("""COMPUTED_VALUE"""),"250")</f>
        <v>250</v>
      </c>
      <c r="Q531" s="3" t="str">
        <f ca="1">IFERROR(__xludf.DUMMYFUNCTION("""COMPUTED_VALUE"""),"970x250")</f>
        <v>970x250</v>
      </c>
      <c r="R531" s="3"/>
      <c r="S531" s="3" t="str">
        <f ca="1">IFERROR(__xludf.DUMMYFUNCTION("""COMPUTED_VALUE"""),"100 (200 - HTML5)")</f>
        <v>100 (200 - HTML5)</v>
      </c>
      <c r="T531" s="3"/>
      <c r="U531" s="3" t="str">
        <f ca="1">IFERROR(__xludf.DUMMYFUNCTION("""COMPUTED_VALUE"""),"banner standard")</f>
        <v>banner standard</v>
      </c>
      <c r="V531" s="3"/>
      <c r="W531" s="4" t="str">
        <f ca="1">IFERROR(__xludf.DUMMYFUNCTION("""COMPUTED_VALUE"""),"https://reklama.cncenter.cz/Online/billboard-bottom")</f>
        <v>https://reklama.cncenter.cz/Online/billboard-bottom</v>
      </c>
      <c r="X531" s="3"/>
      <c r="Y531" s="3"/>
      <c r="Z531" s="3" t="str">
        <f ca="1">IFERROR(__xludf.DUMMYFUNCTION("""COMPUTED_VALUE"""),"podklady@cncenter.cz")</f>
        <v>podklady@cncenter.cz</v>
      </c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 t="str">
        <f ca="1">IFERROR(__xludf.DUMMYFUNCTION("""COMPUTED_VALUE"""),"desktop")</f>
        <v>desktop</v>
      </c>
      <c r="AO531" s="3"/>
      <c r="AP531" s="3"/>
      <c r="AQ531" s="3"/>
      <c r="AR531" s="3"/>
      <c r="AS531" s="3"/>
      <c r="AT531" s="3"/>
      <c r="AU531" s="3" t="str">
        <f ca="1">IFERROR(__xludf.DUMMYFUNCTION("""COMPUTED_VALUE"""),"cílený billboard bottom")</f>
        <v>cílený billboard bottom</v>
      </c>
    </row>
    <row r="532" spans="1:47" x14ac:dyDescent="0.3">
      <c r="A532" s="3">
        <f ca="1"/>
        <v>2346826</v>
      </c>
      <c r="B532" s="3" t="str">
        <f ca="1"/>
        <v>CZECH NEWS CENTER a. s.</v>
      </c>
      <c r="C532" s="3" t="str">
        <f ca="1">IFERROR(__xludf.DUMMYFUNCTION("""COMPUTED_VALUE"""),"F1 sport")</f>
        <v>F1 sport</v>
      </c>
      <c r="D532" s="4" t="str">
        <f ca="1">IFERROR(__xludf.DUMMYFUNCTION("""COMPUTED_VALUE"""),"https://f1sport.auto.cz")</f>
        <v>https://f1sport.auto.cz</v>
      </c>
      <c r="E532" s="3" t="str">
        <f ca="1">IFERROR(__xludf.DUMMYFUNCTION("""COMPUTED_VALUE"""),"celý web")</f>
        <v>celý web</v>
      </c>
      <c r="F532" s="4" t="str">
        <f ca="1">IFERROR(__xludf.DUMMYFUNCTION("""COMPUTED_VALUE"""),"https://f1sport.auto.cz")</f>
        <v>https://f1sport.auto.cz</v>
      </c>
      <c r="G532" s="3" t="str">
        <f ca="1">IFERROR(__xludf.DUMMYFUNCTION("""COMPUTED_VALUE"""),"cílený branding cross-device low season")</f>
        <v>cílený branding cross-device low season</v>
      </c>
      <c r="H532" s="3">
        <f ca="1">IFERROR(__xludf.DUMMYFUNCTION("""COMPUTED_VALUE"""),7)</f>
        <v>7</v>
      </c>
      <c r="I532" s="5">
        <f ca="1">IFERROR(__xludf.DUMMYFUNCTION("""COMPUTED_VALUE"""),1000)</f>
        <v>1000</v>
      </c>
      <c r="J532" s="5">
        <f ca="1">IFERROR(__xludf.DUMMYFUNCTION("""COMPUTED_VALUE"""),360)</f>
        <v>360</v>
      </c>
      <c r="K532" s="3"/>
      <c r="L532" s="3" t="str">
        <f ca="1">IFERROR(__xludf.DUMMYFUNCTION("""COMPUTED_VALUE"""),"Cost per period")</f>
        <v>Cost per period</v>
      </c>
      <c r="M532" s="3"/>
      <c r="N532" s="3"/>
      <c r="O532" s="3" t="str">
        <f ca="1">IFERROR(__xludf.DUMMYFUNCTION("""COMPUTED_VALUE"""),"2000")</f>
        <v>2000</v>
      </c>
      <c r="P532" s="3" t="str">
        <f ca="1">IFERROR(__xludf.DUMMYFUNCTION("""COMPUTED_VALUE"""),"1400")</f>
        <v>1400</v>
      </c>
      <c r="Q532" s="3" t="str">
        <f ca="1">IFERROR(__xludf.DUMMYFUNCTION("""COMPUTED_VALUE"""),"2000x1400 + 600x1080")</f>
        <v>2000x1400 + 600x1080</v>
      </c>
      <c r="R532" s="3"/>
      <c r="S532" s="3" t="str">
        <f ca="1">IFERROR(__xludf.DUMMYFUNCTION("""COMPUTED_VALUE"""),"500 (600 - HTLM5)")</f>
        <v>500 (600 - HTLM5)</v>
      </c>
      <c r="T532" s="3"/>
      <c r="U532" s="3" t="str">
        <f ca="1">IFERROR(__xludf.DUMMYFUNCTION("""COMPUTED_VALUE"""),"banner standard")</f>
        <v>banner standard</v>
      </c>
      <c r="V532" s="3"/>
      <c r="W532" s="4" t="str">
        <f ca="1">IFERROR(__xludf.DUMMYFUNCTION("""COMPUTED_VALUE"""),"https://reklama.cncenter.cz/Online/branding-cross-device")</f>
        <v>https://reklama.cncenter.cz/Online/branding-cross-device</v>
      </c>
      <c r="X532" s="3"/>
      <c r="Y532" s="3"/>
      <c r="Z532" s="3" t="str">
        <f ca="1">IFERROR(__xludf.DUMMYFUNCTION("""COMPUTED_VALUE"""),"podklady@cncenter.cz")</f>
        <v>podklady@cncenter.cz</v>
      </c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 t="str">
        <f ca="1">IFERROR(__xludf.DUMMYFUNCTION("""COMPUTED_VALUE"""),"cross-device")</f>
        <v>cross-device</v>
      </c>
      <c r="AO532" s="3"/>
      <c r="AP532" s="3"/>
      <c r="AQ532" s="3"/>
      <c r="AR532" s="3"/>
      <c r="AS532" s="3"/>
      <c r="AT532" s="3"/>
      <c r="AU532" s="3" t="str">
        <f ca="1">IFERROR(__xludf.DUMMYFUNCTION("""COMPUTED_VALUE"""),"cílený branding cross-device")</f>
        <v>cílený branding cross-device</v>
      </c>
    </row>
    <row r="533" spans="1:47" x14ac:dyDescent="0.3">
      <c r="A533" s="3">
        <f ca="1"/>
        <v>2346826</v>
      </c>
      <c r="B533" s="3" t="str">
        <f ca="1"/>
        <v>CZECH NEWS CENTER a. s.</v>
      </c>
      <c r="C533" s="3" t="str">
        <f ca="1">IFERROR(__xludf.DUMMYFUNCTION("""COMPUTED_VALUE"""),"F1 sport")</f>
        <v>F1 sport</v>
      </c>
      <c r="D533" s="4" t="str">
        <f ca="1">IFERROR(__xludf.DUMMYFUNCTION("""COMPUTED_VALUE"""),"https://f1sport.auto.cz")</f>
        <v>https://f1sport.auto.cz</v>
      </c>
      <c r="E533" s="3" t="str">
        <f ca="1">IFERROR(__xludf.DUMMYFUNCTION("""COMPUTED_VALUE"""),"celý web")</f>
        <v>celý web</v>
      </c>
      <c r="F533" s="4" t="str">
        <f ca="1">IFERROR(__xludf.DUMMYFUNCTION("""COMPUTED_VALUE"""),"https://f1sport.auto.cz")</f>
        <v>https://f1sport.auto.cz</v>
      </c>
      <c r="G533" s="3" t="str">
        <f ca="1">IFERROR(__xludf.DUMMYFUNCTION("""COMPUTED_VALUE"""),"cílený branding low season")</f>
        <v>cílený branding low season</v>
      </c>
      <c r="H533" s="3">
        <f ca="1">IFERROR(__xludf.DUMMYFUNCTION("""COMPUTED_VALUE"""),7)</f>
        <v>7</v>
      </c>
      <c r="I533" s="5">
        <f ca="1">IFERROR(__xludf.DUMMYFUNCTION("""COMPUTED_VALUE"""),1000)</f>
        <v>1000</v>
      </c>
      <c r="J533" s="5">
        <f ca="1">IFERROR(__xludf.DUMMYFUNCTION("""COMPUTED_VALUE"""),588)</f>
        <v>588</v>
      </c>
      <c r="K533" s="3"/>
      <c r="L533" s="3" t="str">
        <f ca="1">IFERROR(__xludf.DUMMYFUNCTION("""COMPUTED_VALUE"""),"Cost per period")</f>
        <v>Cost per period</v>
      </c>
      <c r="M533" s="3"/>
      <c r="N533" s="3"/>
      <c r="O533" s="3" t="str">
        <f ca="1">IFERROR(__xludf.DUMMYFUNCTION("""COMPUTED_VALUE"""),"2000")</f>
        <v>2000</v>
      </c>
      <c r="P533" s="3" t="str">
        <f ca="1">IFERROR(__xludf.DUMMYFUNCTION("""COMPUTED_VALUE"""),"1400")</f>
        <v>1400</v>
      </c>
      <c r="Q533" s="3" t="str">
        <f ca="1">IFERROR(__xludf.DUMMYFUNCTION("""COMPUTED_VALUE"""),"2000x1400")</f>
        <v>2000x1400</v>
      </c>
      <c r="R533" s="3"/>
      <c r="S533" s="3" t="str">
        <f ca="1">IFERROR(__xludf.DUMMYFUNCTION("""COMPUTED_VALUE"""),"500 + 200 (600+200 HTML5)")</f>
        <v>500 + 200 (600+200 HTML5)</v>
      </c>
      <c r="T533" s="3"/>
      <c r="U533" s="3" t="str">
        <f ca="1">IFERROR(__xludf.DUMMYFUNCTION("""COMPUTED_VALUE"""),"banner standard")</f>
        <v>banner standard</v>
      </c>
      <c r="V533" s="3"/>
      <c r="W533" s="4" t="str">
        <f ca="1">IFERROR(__xludf.DUMMYFUNCTION("""COMPUTED_VALUE"""),"https://reklama.cncenter.cz/Online/branding")</f>
        <v>https://reklama.cncenter.cz/Online/branding</v>
      </c>
      <c r="X533" s="3"/>
      <c r="Y533" s="3"/>
      <c r="Z533" s="3" t="str">
        <f ca="1">IFERROR(__xludf.DUMMYFUNCTION("""COMPUTED_VALUE"""),"podklady@cncenter.cz")</f>
        <v>podklady@cncenter.cz</v>
      </c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 t="str">
        <f ca="1">IFERROR(__xludf.DUMMYFUNCTION("""COMPUTED_VALUE"""),"desktop")</f>
        <v>desktop</v>
      </c>
      <c r="AO533" s="3"/>
      <c r="AP533" s="3"/>
      <c r="AQ533" s="3"/>
      <c r="AR533" s="3"/>
      <c r="AS533" s="3"/>
      <c r="AT533" s="3"/>
      <c r="AU533" s="3" t="str">
        <f ca="1">IFERROR(__xludf.DUMMYFUNCTION("""COMPUTED_VALUE"""),"cílený branding")</f>
        <v>cílený branding</v>
      </c>
    </row>
    <row r="534" spans="1:47" x14ac:dyDescent="0.3">
      <c r="A534" s="3">
        <f ca="1"/>
        <v>2346826</v>
      </c>
      <c r="B534" s="3" t="str">
        <f ca="1"/>
        <v>CZECH NEWS CENTER a. s.</v>
      </c>
      <c r="C534" s="3" t="str">
        <f ca="1">IFERROR(__xludf.DUMMYFUNCTION("""COMPUTED_VALUE"""),"F1 sport")</f>
        <v>F1 sport</v>
      </c>
      <c r="D534" s="4" t="str">
        <f ca="1">IFERROR(__xludf.DUMMYFUNCTION("""COMPUTED_VALUE"""),"https://f1sport.auto.cz")</f>
        <v>https://f1sport.auto.cz</v>
      </c>
      <c r="E534" s="3" t="str">
        <f ca="1">IFERROR(__xludf.DUMMYFUNCTION("""COMPUTED_VALUE"""),"celý web")</f>
        <v>celý web</v>
      </c>
      <c r="F534" s="4" t="str">
        <f ca="1">IFERROR(__xludf.DUMMYFUNCTION("""COMPUTED_VALUE"""),"https://f1sport.auto.cz")</f>
        <v>https://f1sport.auto.cz</v>
      </c>
      <c r="G534" s="3" t="str">
        <f ca="1">IFERROR(__xludf.DUMMYFUNCTION("""COMPUTED_VALUE"""),"cílený double skyscraper low season")</f>
        <v>cílený double skyscraper low season</v>
      </c>
      <c r="H534" s="3">
        <f ca="1">IFERROR(__xludf.DUMMYFUNCTION("""COMPUTED_VALUE"""),7)</f>
        <v>7</v>
      </c>
      <c r="I534" s="5">
        <f ca="1">IFERROR(__xludf.DUMMYFUNCTION("""COMPUTED_VALUE"""),1000)</f>
        <v>1000</v>
      </c>
      <c r="J534" s="5">
        <f ca="1">IFERROR(__xludf.DUMMYFUNCTION("""COMPUTED_VALUE"""),228)</f>
        <v>228</v>
      </c>
      <c r="K534" s="3"/>
      <c r="L534" s="3" t="str">
        <f ca="1">IFERROR(__xludf.DUMMYFUNCTION("""COMPUTED_VALUE"""),"Cost per period")</f>
        <v>Cost per period</v>
      </c>
      <c r="M534" s="3"/>
      <c r="N534" s="3"/>
      <c r="O534" s="3" t="str">
        <f ca="1">IFERROR(__xludf.DUMMYFUNCTION("""COMPUTED_VALUE"""),"300")</f>
        <v>300</v>
      </c>
      <c r="P534" s="3" t="str">
        <f ca="1">IFERROR(__xludf.DUMMYFUNCTION("""COMPUTED_VALUE"""),"600")</f>
        <v>600</v>
      </c>
      <c r="Q534" s="3" t="str">
        <f ca="1">IFERROR(__xludf.DUMMYFUNCTION("""COMPUTED_VALUE"""),"300x600")</f>
        <v>300x600</v>
      </c>
      <c r="R534" s="3"/>
      <c r="S534" s="3" t="str">
        <f ca="1">IFERROR(__xludf.DUMMYFUNCTION("""COMPUTED_VALUE"""),"100 (200 - HTML5)")</f>
        <v>100 (200 - HTML5)</v>
      </c>
      <c r="T534" s="3"/>
      <c r="U534" s="3" t="str">
        <f ca="1">IFERROR(__xludf.DUMMYFUNCTION("""COMPUTED_VALUE"""),"banner standard")</f>
        <v>banner standard</v>
      </c>
      <c r="V534" s="3"/>
      <c r="W534" s="4" t="str">
        <f ca="1">IFERROR(__xludf.DUMMYFUNCTION("""COMPUTED_VALUE"""),"https://reklama.cncenter.cz/Online/double-skyscraper")</f>
        <v>https://reklama.cncenter.cz/Online/double-skyscraper</v>
      </c>
      <c r="X534" s="3"/>
      <c r="Y534" s="3"/>
      <c r="Z534" s="3" t="str">
        <f ca="1">IFERROR(__xludf.DUMMYFUNCTION("""COMPUTED_VALUE"""),"podklady@cncenter.cz")</f>
        <v>podklady@cncenter.cz</v>
      </c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 t="str">
        <f ca="1">IFERROR(__xludf.DUMMYFUNCTION("""COMPUTED_VALUE"""),"desktop")</f>
        <v>desktop</v>
      </c>
      <c r="AO534" s="3"/>
      <c r="AP534" s="3"/>
      <c r="AQ534" s="3"/>
      <c r="AR534" s="3"/>
      <c r="AS534" s="3"/>
      <c r="AT534" s="3"/>
      <c r="AU534" s="3" t="str">
        <f ca="1">IFERROR(__xludf.DUMMYFUNCTION("""COMPUTED_VALUE"""),"cílený double skyscraper")</f>
        <v>cílený double skyscraper</v>
      </c>
    </row>
    <row r="535" spans="1:47" x14ac:dyDescent="0.3">
      <c r="A535" s="3">
        <f ca="1"/>
        <v>2346826</v>
      </c>
      <c r="B535" s="3" t="str">
        <f ca="1"/>
        <v>CZECH NEWS CENTER a. s.</v>
      </c>
      <c r="C535" s="3" t="str">
        <f ca="1">IFERROR(__xludf.DUMMYFUNCTION("""COMPUTED_VALUE"""),"F1 sport")</f>
        <v>F1 sport</v>
      </c>
      <c r="D535" s="4" t="str">
        <f ca="1">IFERROR(__xludf.DUMMYFUNCTION("""COMPUTED_VALUE"""),"https://f1sport.auto.cz")</f>
        <v>https://f1sport.auto.cz</v>
      </c>
      <c r="E535" s="3" t="str">
        <f ca="1">IFERROR(__xludf.DUMMYFUNCTION("""COMPUTED_VALUE"""),"celý web")</f>
        <v>celý web</v>
      </c>
      <c r="F535" s="4" t="str">
        <f ca="1">IFERROR(__xludf.DUMMYFUNCTION("""COMPUTED_VALUE"""),"https://f1sport.auto.cz")</f>
        <v>https://f1sport.auto.cz</v>
      </c>
      <c r="G535" s="3" t="str">
        <f ca="1">IFERROR(__xludf.DUMMYFUNCTION("""COMPUTED_VALUE"""),"cílený mobilní interscroller low season")</f>
        <v>cílený mobilní interscroller low season</v>
      </c>
      <c r="H535" s="3">
        <f ca="1">IFERROR(__xludf.DUMMYFUNCTION("""COMPUTED_VALUE"""),7)</f>
        <v>7</v>
      </c>
      <c r="I535" s="5">
        <f ca="1">IFERROR(__xludf.DUMMYFUNCTION("""COMPUTED_VALUE"""),1000)</f>
        <v>1000</v>
      </c>
      <c r="J535" s="5">
        <f ca="1">IFERROR(__xludf.DUMMYFUNCTION("""COMPUTED_VALUE"""),300)</f>
        <v>300</v>
      </c>
      <c r="K535" s="3"/>
      <c r="L535" s="3" t="str">
        <f ca="1">IFERROR(__xludf.DUMMYFUNCTION("""COMPUTED_VALUE"""),"Cost per period")</f>
        <v>Cost per period</v>
      </c>
      <c r="M535" s="3"/>
      <c r="N535" s="3"/>
      <c r="O535" s="3" t="str">
        <f ca="1">IFERROR(__xludf.DUMMYFUNCTION("""COMPUTED_VALUE"""),"600")</f>
        <v>600</v>
      </c>
      <c r="P535" s="3" t="str">
        <f ca="1">IFERROR(__xludf.DUMMYFUNCTION("""COMPUTED_VALUE"""),"1080")</f>
        <v>1080</v>
      </c>
      <c r="Q535" s="3" t="str">
        <f ca="1">IFERROR(__xludf.DUMMYFUNCTION("""COMPUTED_VALUE"""),"600x1080")</f>
        <v>600x1080</v>
      </c>
      <c r="R535" s="3"/>
      <c r="S535" s="3" t="str">
        <f ca="1">IFERROR(__xludf.DUMMYFUNCTION("""COMPUTED_VALUE"""),"200")</f>
        <v>200</v>
      </c>
      <c r="T535" s="3"/>
      <c r="U535" s="3" t="str">
        <f ca="1">IFERROR(__xludf.DUMMYFUNCTION("""COMPUTED_VALUE"""),"banner standard")</f>
        <v>banner standard</v>
      </c>
      <c r="V535" s="3"/>
      <c r="W535" s="4" t="str">
        <f ca="1">IFERROR(__xludf.DUMMYFUNCTION("""COMPUTED_VALUE"""),"https://reklama.cncenter.cz/Online/mobilni-interscroller")</f>
        <v>https://reklama.cncenter.cz/Online/mobilni-interscroller</v>
      </c>
      <c r="X535" s="3"/>
      <c r="Y535" s="3"/>
      <c r="Z535" s="3" t="str">
        <f ca="1">IFERROR(__xludf.DUMMYFUNCTION("""COMPUTED_VALUE"""),"podklady@cncenter.cz")</f>
        <v>podklady@cncenter.cz</v>
      </c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 t="str">
        <f ca="1">IFERROR(__xludf.DUMMYFUNCTION("""COMPUTED_VALUE"""),"mobile")</f>
        <v>mobile</v>
      </c>
      <c r="AO535" s="3"/>
      <c r="AP535" s="3"/>
      <c r="AQ535" s="3"/>
      <c r="AR535" s="3"/>
      <c r="AS535" s="3"/>
      <c r="AT535" s="3"/>
      <c r="AU535" s="3" t="str">
        <f ca="1">IFERROR(__xludf.DUMMYFUNCTION("""COMPUTED_VALUE"""),"cílený mobilní interscroller")</f>
        <v>cílený mobilní interscroller</v>
      </c>
    </row>
    <row r="536" spans="1:47" x14ac:dyDescent="0.3">
      <c r="A536" s="3">
        <f ca="1"/>
        <v>2346826</v>
      </c>
      <c r="B536" s="3" t="str">
        <f ca="1"/>
        <v>CZECH NEWS CENTER a. s.</v>
      </c>
      <c r="C536" s="3" t="str">
        <f ca="1">IFERROR(__xludf.DUMMYFUNCTION("""COMPUTED_VALUE"""),"F1 sport")</f>
        <v>F1 sport</v>
      </c>
      <c r="D536" s="4" t="str">
        <f ca="1">IFERROR(__xludf.DUMMYFUNCTION("""COMPUTED_VALUE"""),"https://f1sport.auto.cz")</f>
        <v>https://f1sport.auto.cz</v>
      </c>
      <c r="E536" s="3" t="str">
        <f ca="1">IFERROR(__xludf.DUMMYFUNCTION("""COMPUTED_VALUE"""),"celý web")</f>
        <v>celý web</v>
      </c>
      <c r="F536" s="4" t="str">
        <f ca="1">IFERROR(__xludf.DUMMYFUNCTION("""COMPUTED_VALUE"""),"https://f1sport.auto.cz")</f>
        <v>https://f1sport.auto.cz</v>
      </c>
      <c r="G536" s="3" t="str">
        <f ca="1">IFERROR(__xludf.DUMMYFUNCTION("""COMPUTED_VALUE"""),"cílený mobilní slide-up low season")</f>
        <v>cílený mobilní slide-up low season</v>
      </c>
      <c r="H536" s="3">
        <f ca="1">IFERROR(__xludf.DUMMYFUNCTION("""COMPUTED_VALUE"""),7)</f>
        <v>7</v>
      </c>
      <c r="I536" s="5">
        <f ca="1">IFERROR(__xludf.DUMMYFUNCTION("""COMPUTED_VALUE"""),1000)</f>
        <v>1000</v>
      </c>
      <c r="J536" s="5">
        <f ca="1">IFERROR(__xludf.DUMMYFUNCTION("""COMPUTED_VALUE"""),612)</f>
        <v>612</v>
      </c>
      <c r="K536" s="3"/>
      <c r="L536" s="3" t="str">
        <f ca="1">IFERROR(__xludf.DUMMYFUNCTION("""COMPUTED_VALUE"""),"Cost per period")</f>
        <v>Cost per period</v>
      </c>
      <c r="M536" s="3"/>
      <c r="N536" s="3"/>
      <c r="O536" s="3" t="str">
        <f ca="1">IFERROR(__xludf.DUMMYFUNCTION("""COMPUTED_VALUE"""),"300")</f>
        <v>300</v>
      </c>
      <c r="P536" s="3" t="str">
        <f ca="1">IFERROR(__xludf.DUMMYFUNCTION("""COMPUTED_VALUE"""),"120")</f>
        <v>120</v>
      </c>
      <c r="Q536" s="3" t="str">
        <f ca="1">IFERROR(__xludf.DUMMYFUNCTION("""COMPUTED_VALUE"""),"300x120")</f>
        <v>300x120</v>
      </c>
      <c r="R536" s="3"/>
      <c r="S536" s="3" t="str">
        <f ca="1">IFERROR(__xludf.DUMMYFUNCTION("""COMPUTED_VALUE"""),"100")</f>
        <v>100</v>
      </c>
      <c r="T536" s="3"/>
      <c r="U536" s="3" t="str">
        <f ca="1">IFERROR(__xludf.DUMMYFUNCTION("""COMPUTED_VALUE"""),"banner standard")</f>
        <v>banner standard</v>
      </c>
      <c r="V536" s="3"/>
      <c r="W536" s="4" t="str">
        <f ca="1">IFERROR(__xludf.DUMMYFUNCTION("""COMPUTED_VALUE"""),"https://reklama.cncenter.cz/Online/mobilni-slide-up")</f>
        <v>https://reklama.cncenter.cz/Online/mobilni-slide-up</v>
      </c>
      <c r="X536" s="3"/>
      <c r="Y536" s="3"/>
      <c r="Z536" s="3" t="str">
        <f ca="1">IFERROR(__xludf.DUMMYFUNCTION("""COMPUTED_VALUE"""),"podklady@cncenter.cz")</f>
        <v>podklady@cncenter.cz</v>
      </c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 t="str">
        <f ca="1">IFERROR(__xludf.DUMMYFUNCTION("""COMPUTED_VALUE"""),"mobile")</f>
        <v>mobile</v>
      </c>
      <c r="AO536" s="3"/>
      <c r="AP536" s="3"/>
      <c r="AQ536" s="3"/>
      <c r="AR536" s="3"/>
      <c r="AS536" s="3"/>
      <c r="AT536" s="3"/>
      <c r="AU536" s="3" t="str">
        <f ca="1">IFERROR(__xludf.DUMMYFUNCTION("""COMPUTED_VALUE"""),"cílený mobilní slide-up")</f>
        <v>cílený mobilní slide-up</v>
      </c>
    </row>
    <row r="537" spans="1:47" x14ac:dyDescent="0.3">
      <c r="A537" s="3">
        <f ca="1"/>
        <v>2346826</v>
      </c>
      <c r="B537" s="3" t="str">
        <f ca="1"/>
        <v>CZECH NEWS CENTER a. s.</v>
      </c>
      <c r="C537" s="3" t="str">
        <f ca="1">IFERROR(__xludf.DUMMYFUNCTION("""COMPUTED_VALUE"""),"F1 sport")</f>
        <v>F1 sport</v>
      </c>
      <c r="D537" s="4" t="str">
        <f ca="1">IFERROR(__xludf.DUMMYFUNCTION("""COMPUTED_VALUE"""),"https://f1sport.auto.cz")</f>
        <v>https://f1sport.auto.cz</v>
      </c>
      <c r="E537" s="3" t="str">
        <f ca="1">IFERROR(__xludf.DUMMYFUNCTION("""COMPUTED_VALUE"""),"celý web")</f>
        <v>celý web</v>
      </c>
      <c r="F537" s="4" t="str">
        <f ca="1">IFERROR(__xludf.DUMMYFUNCTION("""COMPUTED_VALUE"""),"https://f1sport.auto.cz")</f>
        <v>https://f1sport.auto.cz</v>
      </c>
      <c r="G537" s="3" t="str">
        <f ca="1">IFERROR(__xludf.DUMMYFUNCTION("""COMPUTED_VALUE"""),"cílený mobilní viněta low season")</f>
        <v>cílený mobilní viněta low season</v>
      </c>
      <c r="H537" s="3">
        <f ca="1">IFERROR(__xludf.DUMMYFUNCTION("""COMPUTED_VALUE"""),7)</f>
        <v>7</v>
      </c>
      <c r="I537" s="5">
        <f ca="1">IFERROR(__xludf.DUMMYFUNCTION("""COMPUTED_VALUE"""),1000)</f>
        <v>1000</v>
      </c>
      <c r="J537" s="5">
        <f ca="1">IFERROR(__xludf.DUMMYFUNCTION("""COMPUTED_VALUE"""),1056)</f>
        <v>1056</v>
      </c>
      <c r="K537" s="3"/>
      <c r="L537" s="3" t="str">
        <f ca="1">IFERROR(__xludf.DUMMYFUNCTION("""COMPUTED_VALUE"""),"Cost per period")</f>
        <v>Cost per period</v>
      </c>
      <c r="M537" s="3"/>
      <c r="N537" s="3"/>
      <c r="O537" s="3" t="str">
        <f ca="1">IFERROR(__xludf.DUMMYFUNCTION("""COMPUTED_VALUE"""),"600")</f>
        <v>600</v>
      </c>
      <c r="P537" s="3" t="str">
        <f ca="1">IFERROR(__xludf.DUMMYFUNCTION("""COMPUTED_VALUE"""),"800")</f>
        <v>800</v>
      </c>
      <c r="Q537" s="3" t="str">
        <f ca="1">IFERROR(__xludf.DUMMYFUNCTION("""COMPUTED_VALUE"""),"300x250 nebo 600x800")</f>
        <v>300x250 nebo 600x800</v>
      </c>
      <c r="R537" s="3"/>
      <c r="S537" s="3" t="str">
        <f ca="1">IFERROR(__xludf.DUMMYFUNCTION("""COMPUTED_VALUE"""),"100")</f>
        <v>100</v>
      </c>
      <c r="T537" s="3"/>
      <c r="U537" s="3" t="str">
        <f ca="1">IFERROR(__xludf.DUMMYFUNCTION("""COMPUTED_VALUE"""),"banner standard")</f>
        <v>banner standard</v>
      </c>
      <c r="V537" s="3"/>
      <c r="W537" s="4" t="str">
        <f ca="1">IFERROR(__xludf.DUMMYFUNCTION("""COMPUTED_VALUE"""),"https://reklama.cncenter.cz/Online/mobilni-vineta")</f>
        <v>https://reklama.cncenter.cz/Online/mobilni-vineta</v>
      </c>
      <c r="X537" s="3"/>
      <c r="Y537" s="3"/>
      <c r="Z537" s="3" t="str">
        <f ca="1">IFERROR(__xludf.DUMMYFUNCTION("""COMPUTED_VALUE"""),"podklady@cncenter.cz")</f>
        <v>podklady@cncenter.cz</v>
      </c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 t="str">
        <f ca="1">IFERROR(__xludf.DUMMYFUNCTION("""COMPUTED_VALUE"""),"mobile")</f>
        <v>mobile</v>
      </c>
      <c r="AO537" s="3"/>
      <c r="AP537" s="3"/>
      <c r="AQ537" s="3"/>
      <c r="AR537" s="3"/>
      <c r="AS537" s="3"/>
      <c r="AT537" s="3"/>
      <c r="AU537" s="3" t="str">
        <f ca="1">IFERROR(__xludf.DUMMYFUNCTION("""COMPUTED_VALUE"""),"cílený mobilní viněta")</f>
        <v>cílený mobilní viněta</v>
      </c>
    </row>
    <row r="538" spans="1:47" x14ac:dyDescent="0.3">
      <c r="A538" s="3">
        <f ca="1"/>
        <v>2346826</v>
      </c>
      <c r="B538" s="3" t="str">
        <f ca="1"/>
        <v>CZECH NEWS CENTER a. s.</v>
      </c>
      <c r="C538" s="3" t="str">
        <f ca="1">IFERROR(__xludf.DUMMYFUNCTION("""COMPUTED_VALUE"""),"F1 sport")</f>
        <v>F1 sport</v>
      </c>
      <c r="D538" s="4" t="str">
        <f ca="1">IFERROR(__xludf.DUMMYFUNCTION("""COMPUTED_VALUE"""),"https://f1sport.auto.cz")</f>
        <v>https://f1sport.auto.cz</v>
      </c>
      <c r="E538" s="3" t="str">
        <f ca="1">IFERROR(__xludf.DUMMYFUNCTION("""COMPUTED_VALUE"""),"celý web")</f>
        <v>celý web</v>
      </c>
      <c r="F538" s="4" t="str">
        <f ca="1">IFERROR(__xludf.DUMMYFUNCTION("""COMPUTED_VALUE"""),"https://f1sport.auto.cz")</f>
        <v>https://f1sport.auto.cz</v>
      </c>
      <c r="G538" s="3" t="str">
        <f ca="1">IFERROR(__xludf.DUMMYFUNCTION("""COMPUTED_VALUE"""),"cílený nativní rectangle cross-device low season")</f>
        <v>cílený nativní rectangle cross-device low season</v>
      </c>
      <c r="H538" s="3">
        <f ca="1">IFERROR(__xludf.DUMMYFUNCTION("""COMPUTED_VALUE"""),7)</f>
        <v>7</v>
      </c>
      <c r="I538" s="5">
        <f ca="1">IFERROR(__xludf.DUMMYFUNCTION("""COMPUTED_VALUE"""),1000)</f>
        <v>1000</v>
      </c>
      <c r="J538" s="5">
        <f ca="1">IFERROR(__xludf.DUMMYFUNCTION("""COMPUTED_VALUE"""),240)</f>
        <v>240</v>
      </c>
      <c r="K538" s="3"/>
      <c r="L538" s="3" t="str">
        <f ca="1">IFERROR(__xludf.DUMMYFUNCTION("""COMPUTED_VALUE"""),"Cost per period")</f>
        <v>Cost per period</v>
      </c>
      <c r="M538" s="3"/>
      <c r="N538" s="3"/>
      <c r="O538" s="3" t="str">
        <f ca="1">IFERROR(__xludf.DUMMYFUNCTION("""COMPUTED_VALUE"""),"640")</f>
        <v>640</v>
      </c>
      <c r="P538" s="3" t="str">
        <f ca="1">IFERROR(__xludf.DUMMYFUNCTION("""COMPUTED_VALUE"""),"335, 640")</f>
        <v>335, 640</v>
      </c>
      <c r="Q538" s="3" t="str">
        <f ca="1">IFERROR(__xludf.DUMMYFUNCTION("""COMPUTED_VALUE"""),"640x640 a 640x335 + text + logo")</f>
        <v>640x640 a 640x335 + text + logo</v>
      </c>
      <c r="R538" s="3"/>
      <c r="S538" s="3" t="str">
        <f ca="1">IFERROR(__xludf.DUMMYFUNCTION("""COMPUTED_VALUE"""),"45")</f>
        <v>45</v>
      </c>
      <c r="T538" s="3"/>
      <c r="U538" s="3" t="str">
        <f ca="1">IFERROR(__xludf.DUMMYFUNCTION("""COMPUTED_VALUE"""),"nativní reklama")</f>
        <v>nativní reklama</v>
      </c>
      <c r="V538" s="3"/>
      <c r="W538" s="4" t="str">
        <f ca="1">IFERROR(__xludf.DUMMYFUNCTION("""COMPUTED_VALUE"""),"https://reklama.cncenter.cz/Online/nativni-rectangle-cross-device")</f>
        <v>https://reklama.cncenter.cz/Online/nativni-rectangle-cross-device</v>
      </c>
      <c r="X538" s="3"/>
      <c r="Y538" s="3"/>
      <c r="Z538" s="3" t="str">
        <f ca="1">IFERROR(__xludf.DUMMYFUNCTION("""COMPUTED_VALUE"""),"podklady@cncenter.cz")</f>
        <v>podklady@cncenter.cz</v>
      </c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 t="str">
        <f ca="1">IFERROR(__xludf.DUMMYFUNCTION("""COMPUTED_VALUE"""),"cross-device")</f>
        <v>cross-device</v>
      </c>
      <c r="AO538" s="3"/>
      <c r="AP538" s="3"/>
      <c r="AQ538" s="3"/>
      <c r="AR538" s="3"/>
      <c r="AS538" s="3"/>
      <c r="AT538" s="3"/>
      <c r="AU538" s="3" t="str">
        <f ca="1">IFERROR(__xludf.DUMMYFUNCTION("""COMPUTED_VALUE"""),"cílený nativní rectangle cross-device")</f>
        <v>cílený nativní rectangle cross-device</v>
      </c>
    </row>
    <row r="539" spans="1:47" x14ac:dyDescent="0.3">
      <c r="A539" s="3">
        <f ca="1"/>
        <v>2346826</v>
      </c>
      <c r="B539" s="3" t="str">
        <f ca="1"/>
        <v>CZECH NEWS CENTER a. s.</v>
      </c>
      <c r="C539" s="3" t="str">
        <f ca="1">IFERROR(__xludf.DUMMYFUNCTION("""COMPUTED_VALUE"""),"F1 sport")</f>
        <v>F1 sport</v>
      </c>
      <c r="D539" s="4" t="str">
        <f ca="1">IFERROR(__xludf.DUMMYFUNCTION("""COMPUTED_VALUE"""),"https://f1sport.auto.cz")</f>
        <v>https://f1sport.auto.cz</v>
      </c>
      <c r="E539" s="3" t="str">
        <f ca="1">IFERROR(__xludf.DUMMYFUNCTION("""COMPUTED_VALUE"""),"celý web")</f>
        <v>celý web</v>
      </c>
      <c r="F539" s="4" t="str">
        <f ca="1">IFERROR(__xludf.DUMMYFUNCTION("""COMPUTED_VALUE"""),"https://f1sport.auto.cz")</f>
        <v>https://f1sport.auto.cz</v>
      </c>
      <c r="G539" s="3" t="str">
        <f ca="1">IFERROR(__xludf.DUMMYFUNCTION("""COMPUTED_VALUE"""),"cílený outstream low season")</f>
        <v>cílený outstream low season</v>
      </c>
      <c r="H539" s="3">
        <f ca="1">IFERROR(__xludf.DUMMYFUNCTION("""COMPUTED_VALUE"""),7)</f>
        <v>7</v>
      </c>
      <c r="I539" s="5">
        <f ca="1">IFERROR(__xludf.DUMMYFUNCTION("""COMPUTED_VALUE"""),1000)</f>
        <v>1000</v>
      </c>
      <c r="J539" s="5">
        <f ca="1">IFERROR(__xludf.DUMMYFUNCTION("""COMPUTED_VALUE"""),300)</f>
        <v>300</v>
      </c>
      <c r="K539" s="3"/>
      <c r="L539" s="3" t="str">
        <f ca="1">IFERROR(__xludf.DUMMYFUNCTION("""COMPUTED_VALUE"""),"Cost per period")</f>
        <v>Cost per period</v>
      </c>
      <c r="M539" s="3"/>
      <c r="N539" s="3"/>
      <c r="O539" s="3" t="str">
        <f ca="1">IFERROR(__xludf.DUMMYFUNCTION("""COMPUTED_VALUE"""),"1280")</f>
        <v>1280</v>
      </c>
      <c r="P539" s="3" t="str">
        <f ca="1">IFERROR(__xludf.DUMMYFUNCTION("""COMPUTED_VALUE"""),"720")</f>
        <v>720</v>
      </c>
      <c r="Q539" s="3" t="str">
        <f ca="1">IFERROR(__xludf.DUMMYFUNCTION("""COMPUTED_VALUE"""),"16:9")</f>
        <v>16:9</v>
      </c>
      <c r="R539" s="3"/>
      <c r="S539" s="3" t="str">
        <f ca="1">IFERROR(__xludf.DUMMYFUNCTION("""COMPUTED_VALUE"""),"100")</f>
        <v>100</v>
      </c>
      <c r="T539" s="3"/>
      <c r="U539" s="3" t="str">
        <f ca="1">IFERROR(__xludf.DUMMYFUNCTION("""COMPUTED_VALUE"""),"videospot")</f>
        <v>videospot</v>
      </c>
      <c r="V539" s="3"/>
      <c r="W539" s="4" t="str">
        <f ca="1">IFERROR(__xludf.DUMMYFUNCTION("""COMPUTED_VALUE"""),"https://reklama.cncenter.cz/Online/Outstream")</f>
        <v>https://reklama.cncenter.cz/Online/Outstream</v>
      </c>
      <c r="X539" s="3"/>
      <c r="Y539" s="3"/>
      <c r="Z539" s="3" t="str">
        <f ca="1">IFERROR(__xludf.DUMMYFUNCTION("""COMPUTED_VALUE"""),"podklady@cncenter.cz")</f>
        <v>podklady@cncenter.cz</v>
      </c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 t="str">
        <f ca="1">IFERROR(__xludf.DUMMYFUNCTION("""COMPUTED_VALUE"""),"cross-device")</f>
        <v>cross-device</v>
      </c>
      <c r="AO539" s="3"/>
      <c r="AP539" s="3"/>
      <c r="AQ539" s="3"/>
      <c r="AR539" s="3"/>
      <c r="AS539" s="3"/>
      <c r="AT539" s="3"/>
      <c r="AU539" s="3" t="str">
        <f ca="1">IFERROR(__xludf.DUMMYFUNCTION("""COMPUTED_VALUE"""),"cílený outstream")</f>
        <v>cílený outstream</v>
      </c>
    </row>
    <row r="540" spans="1:47" x14ac:dyDescent="0.3">
      <c r="A540" s="3">
        <f ca="1"/>
        <v>2346826</v>
      </c>
      <c r="B540" s="3" t="str">
        <f ca="1"/>
        <v>CZECH NEWS CENTER a. s.</v>
      </c>
      <c r="C540" s="3" t="str">
        <f ca="1">IFERROR(__xludf.DUMMYFUNCTION("""COMPUTED_VALUE"""),"F1 sport")</f>
        <v>F1 sport</v>
      </c>
      <c r="D540" s="4" t="str">
        <f ca="1">IFERROR(__xludf.DUMMYFUNCTION("""COMPUTED_VALUE"""),"https://f1sport.auto.cz")</f>
        <v>https://f1sport.auto.cz</v>
      </c>
      <c r="E540" s="3" t="str">
        <f ca="1">IFERROR(__xludf.DUMMYFUNCTION("""COMPUTED_VALUE"""),"celý web")</f>
        <v>celý web</v>
      </c>
      <c r="F540" s="4" t="str">
        <f ca="1">IFERROR(__xludf.DUMMYFUNCTION("""COMPUTED_VALUE"""),"https://f1sport.auto.cz")</f>
        <v>https://f1sport.auto.cz</v>
      </c>
      <c r="G540" s="3" t="str">
        <f ca="1">IFERROR(__xludf.DUMMYFUNCTION("""COMPUTED_VALUE"""),"dokoupení proma o 2 týdny - 10 000 PV *** low season")</f>
        <v>dokoupení proma o 2 týdny - 10 000 PV *** low season</v>
      </c>
      <c r="H540" s="3">
        <f ca="1">IFERROR(__xludf.DUMMYFUNCTION("""COMPUTED_VALUE"""),1)</f>
        <v>1</v>
      </c>
      <c r="I540" s="5">
        <f ca="1">IFERROR(__xludf.DUMMYFUNCTION("""COMPUTED_VALUE"""),1)</f>
        <v>1</v>
      </c>
      <c r="J540" s="5">
        <f ca="1">IFERROR(__xludf.DUMMYFUNCTION("""COMPUTED_VALUE"""),60000)</f>
        <v>60000</v>
      </c>
      <c r="K540" s="3"/>
      <c r="L540" s="3" t="str">
        <f ca="1">IFERROR(__xludf.DUMMYFUNCTION("""COMPUTED_VALUE"""),"Cost per instance")</f>
        <v>Cost per instance</v>
      </c>
      <c r="M540" s="3"/>
      <c r="N540" s="3"/>
      <c r="O540" s="3"/>
      <c r="P540" s="3"/>
      <c r="Q540" s="3"/>
      <c r="R540" s="3"/>
      <c r="S540" s="3" t="str">
        <f ca="1">IFERROR(__xludf.DUMMYFUNCTION("""COMPUTED_VALUE"""),"100")</f>
        <v>100</v>
      </c>
      <c r="T540" s="3"/>
      <c r="U540" s="3" t="str">
        <f ca="1">IFERROR(__xludf.DUMMYFUNCTION("""COMPUTED_VALUE"""),"microsite")</f>
        <v>microsite</v>
      </c>
      <c r="V540" s="3"/>
      <c r="W540" s="3"/>
      <c r="X540" s="3"/>
      <c r="Y540" s="3"/>
      <c r="Z540" s="3" t="str">
        <f ca="1">IFERROR(__xludf.DUMMYFUNCTION("""COMPUTED_VALUE"""),"podklady@cncenter.cz")</f>
        <v>podklady@cncenter.cz</v>
      </c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 t="str">
        <f ca="1">IFERROR(__xludf.DUMMYFUNCTION("""COMPUTED_VALUE"""),"cross-device")</f>
        <v>cross-device</v>
      </c>
      <c r="AO540" s="3"/>
      <c r="AP540" s="3"/>
      <c r="AQ540" s="3"/>
      <c r="AR540" s="3"/>
      <c r="AS540" s="3"/>
      <c r="AT540" s="3"/>
      <c r="AU540" s="3" t="str">
        <f ca="1">IFERROR(__xludf.DUMMYFUNCTION("""COMPUTED_VALUE"""),"dokoupení proma o 2 týdny - 10 000 PV ***")</f>
        <v>dokoupení proma o 2 týdny - 10 000 PV ***</v>
      </c>
    </row>
    <row r="541" spans="1:47" x14ac:dyDescent="0.3">
      <c r="A541" s="3">
        <f ca="1"/>
        <v>2346826</v>
      </c>
      <c r="B541" s="3" t="str">
        <f ca="1"/>
        <v>CZECH NEWS CENTER a. s.</v>
      </c>
      <c r="C541" s="3" t="str">
        <f ca="1">IFERROR(__xludf.DUMMYFUNCTION("""COMPUTED_VALUE"""),"F1 sport")</f>
        <v>F1 sport</v>
      </c>
      <c r="D541" s="4" t="str">
        <f ca="1">IFERROR(__xludf.DUMMYFUNCTION("""COMPUTED_VALUE"""),"https://f1sport.auto.cz")</f>
        <v>https://f1sport.auto.cz</v>
      </c>
      <c r="E541" s="3" t="str">
        <f ca="1">IFERROR(__xludf.DUMMYFUNCTION("""COMPUTED_VALUE"""),"celý web")</f>
        <v>celý web</v>
      </c>
      <c r="F541" s="4" t="str">
        <f ca="1">IFERROR(__xludf.DUMMYFUNCTION("""COMPUTED_VALUE"""),"https://f1sport.auto.cz")</f>
        <v>https://f1sport.auto.cz</v>
      </c>
      <c r="G541" s="3" t="str">
        <f ca="1">IFERROR(__xludf.DUMMYFUNCTION("""COMPUTED_VALUE"""),"double skyscraper low season")</f>
        <v>double skyscraper low season</v>
      </c>
      <c r="H541" s="3">
        <f ca="1">IFERROR(__xludf.DUMMYFUNCTION("""COMPUTED_VALUE"""),7)</f>
        <v>7</v>
      </c>
      <c r="I541" s="5">
        <f ca="1">IFERROR(__xludf.DUMMYFUNCTION("""COMPUTED_VALUE"""),1000)</f>
        <v>1000</v>
      </c>
      <c r="J541" s="5">
        <f ca="1">IFERROR(__xludf.DUMMYFUNCTION("""COMPUTED_VALUE"""),190)</f>
        <v>190</v>
      </c>
      <c r="K541" s="3"/>
      <c r="L541" s="3" t="str">
        <f ca="1">IFERROR(__xludf.DUMMYFUNCTION("""COMPUTED_VALUE"""),"Cost per period")</f>
        <v>Cost per period</v>
      </c>
      <c r="M541" s="3"/>
      <c r="N541" s="3"/>
      <c r="O541" s="3" t="str">
        <f ca="1">IFERROR(__xludf.DUMMYFUNCTION("""COMPUTED_VALUE"""),"300")</f>
        <v>300</v>
      </c>
      <c r="P541" s="3" t="str">
        <f ca="1">IFERROR(__xludf.DUMMYFUNCTION("""COMPUTED_VALUE"""),"600")</f>
        <v>600</v>
      </c>
      <c r="Q541" s="3" t="str">
        <f ca="1">IFERROR(__xludf.DUMMYFUNCTION("""COMPUTED_VALUE"""),"300x600")</f>
        <v>300x600</v>
      </c>
      <c r="R541" s="3"/>
      <c r="S541" s="3" t="str">
        <f ca="1">IFERROR(__xludf.DUMMYFUNCTION("""COMPUTED_VALUE"""),"100 (200 - HTML5)")</f>
        <v>100 (200 - HTML5)</v>
      </c>
      <c r="T541" s="3"/>
      <c r="U541" s="3" t="str">
        <f ca="1">IFERROR(__xludf.DUMMYFUNCTION("""COMPUTED_VALUE"""),"banner standard")</f>
        <v>banner standard</v>
      </c>
      <c r="V541" s="3"/>
      <c r="W541" s="4" t="str">
        <f ca="1">IFERROR(__xludf.DUMMYFUNCTION("""COMPUTED_VALUE"""),"https://reklama.cncenter.cz/Online/double-skyscraper")</f>
        <v>https://reklama.cncenter.cz/Online/double-skyscraper</v>
      </c>
      <c r="X541" s="3"/>
      <c r="Y541" s="3"/>
      <c r="Z541" s="3" t="str">
        <f ca="1">IFERROR(__xludf.DUMMYFUNCTION("""COMPUTED_VALUE"""),"podklady@cncenter.cz")</f>
        <v>podklady@cncenter.cz</v>
      </c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 t="str">
        <f ca="1">IFERROR(__xludf.DUMMYFUNCTION("""COMPUTED_VALUE"""),"desktop")</f>
        <v>desktop</v>
      </c>
      <c r="AO541" s="3"/>
      <c r="AP541" s="3"/>
      <c r="AQ541" s="3"/>
      <c r="AR541" s="3"/>
      <c r="AS541" s="3"/>
      <c r="AT541" s="3"/>
      <c r="AU541" s="3" t="str">
        <f ca="1">IFERROR(__xludf.DUMMYFUNCTION("""COMPUTED_VALUE"""),"double skyscraper")</f>
        <v>double skyscraper</v>
      </c>
    </row>
    <row r="542" spans="1:47" x14ac:dyDescent="0.3">
      <c r="A542" s="3">
        <f ca="1"/>
        <v>2346826</v>
      </c>
      <c r="B542" s="3" t="str">
        <f ca="1"/>
        <v>CZECH NEWS CENTER a. s.</v>
      </c>
      <c r="C542" s="3" t="str">
        <f ca="1">IFERROR(__xludf.DUMMYFUNCTION("""COMPUTED_VALUE"""),"F1 sport")</f>
        <v>F1 sport</v>
      </c>
      <c r="D542" s="4" t="str">
        <f ca="1">IFERROR(__xludf.DUMMYFUNCTION("""COMPUTED_VALUE"""),"https://f1sport.auto.cz")</f>
        <v>https://f1sport.auto.cz</v>
      </c>
      <c r="E542" s="3" t="str">
        <f ca="1">IFERROR(__xludf.DUMMYFUNCTION("""COMPUTED_VALUE"""),"celý web")</f>
        <v>celý web</v>
      </c>
      <c r="F542" s="4" t="str">
        <f ca="1">IFERROR(__xludf.DUMMYFUNCTION("""COMPUTED_VALUE"""),"https://f1sport.auto.cz")</f>
        <v>https://f1sport.auto.cz</v>
      </c>
      <c r="G542" s="3" t="str">
        <f ca="1">IFERROR(__xludf.DUMMYFUNCTION("""COMPUTED_VALUE"""),"mobilní interscroller low season")</f>
        <v>mobilní interscroller low season</v>
      </c>
      <c r="H542" s="3">
        <f ca="1">IFERROR(__xludf.DUMMYFUNCTION("""COMPUTED_VALUE"""),7)</f>
        <v>7</v>
      </c>
      <c r="I542" s="5">
        <f ca="1">IFERROR(__xludf.DUMMYFUNCTION("""COMPUTED_VALUE"""),1000)</f>
        <v>1000</v>
      </c>
      <c r="J542" s="5">
        <f ca="1">IFERROR(__xludf.DUMMYFUNCTION("""COMPUTED_VALUE"""),250)</f>
        <v>250</v>
      </c>
      <c r="K542" s="3"/>
      <c r="L542" s="3" t="str">
        <f ca="1">IFERROR(__xludf.DUMMYFUNCTION("""COMPUTED_VALUE"""),"Cost per period")</f>
        <v>Cost per period</v>
      </c>
      <c r="M542" s="3"/>
      <c r="N542" s="3"/>
      <c r="O542" s="3" t="str">
        <f ca="1">IFERROR(__xludf.DUMMYFUNCTION("""COMPUTED_VALUE"""),"600")</f>
        <v>600</v>
      </c>
      <c r="P542" s="3" t="str">
        <f ca="1">IFERROR(__xludf.DUMMYFUNCTION("""COMPUTED_VALUE"""),"1080")</f>
        <v>1080</v>
      </c>
      <c r="Q542" s="3" t="str">
        <f ca="1">IFERROR(__xludf.DUMMYFUNCTION("""COMPUTED_VALUE"""),"600x1080")</f>
        <v>600x1080</v>
      </c>
      <c r="R542" s="3"/>
      <c r="S542" s="3" t="str">
        <f ca="1">IFERROR(__xludf.DUMMYFUNCTION("""COMPUTED_VALUE"""),"200")</f>
        <v>200</v>
      </c>
      <c r="T542" s="3"/>
      <c r="U542" s="3" t="str">
        <f ca="1">IFERROR(__xludf.DUMMYFUNCTION("""COMPUTED_VALUE"""),"banner standard")</f>
        <v>banner standard</v>
      </c>
      <c r="V542" s="3"/>
      <c r="W542" s="4" t="str">
        <f ca="1">IFERROR(__xludf.DUMMYFUNCTION("""COMPUTED_VALUE"""),"https://reklama.cncenter.cz/Online/mobilni-interscroller")</f>
        <v>https://reklama.cncenter.cz/Online/mobilni-interscroller</v>
      </c>
      <c r="X542" s="3"/>
      <c r="Y542" s="3"/>
      <c r="Z542" s="3" t="str">
        <f ca="1">IFERROR(__xludf.DUMMYFUNCTION("""COMPUTED_VALUE"""),"podklady@cncenter.cz")</f>
        <v>podklady@cncenter.cz</v>
      </c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 t="str">
        <f ca="1">IFERROR(__xludf.DUMMYFUNCTION("""COMPUTED_VALUE"""),"mobile")</f>
        <v>mobile</v>
      </c>
      <c r="AO542" s="3"/>
      <c r="AP542" s="3"/>
      <c r="AQ542" s="3"/>
      <c r="AR542" s="3"/>
      <c r="AS542" s="3"/>
      <c r="AT542" s="3"/>
      <c r="AU542" s="3" t="str">
        <f ca="1">IFERROR(__xludf.DUMMYFUNCTION("""COMPUTED_VALUE"""),"mobilní interscroller")</f>
        <v>mobilní interscroller</v>
      </c>
    </row>
    <row r="543" spans="1:47" x14ac:dyDescent="0.3">
      <c r="A543" s="3">
        <f ca="1"/>
        <v>2346826</v>
      </c>
      <c r="B543" s="3" t="str">
        <f ca="1"/>
        <v>CZECH NEWS CENTER a. s.</v>
      </c>
      <c r="C543" s="3" t="str">
        <f ca="1">IFERROR(__xludf.DUMMYFUNCTION("""COMPUTED_VALUE"""),"F1 sport")</f>
        <v>F1 sport</v>
      </c>
      <c r="D543" s="4" t="str">
        <f ca="1">IFERROR(__xludf.DUMMYFUNCTION("""COMPUTED_VALUE"""),"https://f1sport.auto.cz")</f>
        <v>https://f1sport.auto.cz</v>
      </c>
      <c r="E543" s="3" t="str">
        <f ca="1">IFERROR(__xludf.DUMMYFUNCTION("""COMPUTED_VALUE"""),"celý web")</f>
        <v>celý web</v>
      </c>
      <c r="F543" s="4" t="str">
        <f ca="1">IFERROR(__xludf.DUMMYFUNCTION("""COMPUTED_VALUE"""),"https://f1sport.auto.cz")</f>
        <v>https://f1sport.auto.cz</v>
      </c>
      <c r="G543" s="3" t="str">
        <f ca="1">IFERROR(__xludf.DUMMYFUNCTION("""COMPUTED_VALUE"""),"mobilní slide-up low season")</f>
        <v>mobilní slide-up low season</v>
      </c>
      <c r="H543" s="3">
        <f ca="1">IFERROR(__xludf.DUMMYFUNCTION("""COMPUTED_VALUE"""),7)</f>
        <v>7</v>
      </c>
      <c r="I543" s="5">
        <f ca="1">IFERROR(__xludf.DUMMYFUNCTION("""COMPUTED_VALUE"""),1000)</f>
        <v>1000</v>
      </c>
      <c r="J543" s="5">
        <f ca="1">IFERROR(__xludf.DUMMYFUNCTION("""COMPUTED_VALUE"""),510)</f>
        <v>510</v>
      </c>
      <c r="K543" s="3"/>
      <c r="L543" s="3" t="str">
        <f ca="1">IFERROR(__xludf.DUMMYFUNCTION("""COMPUTED_VALUE"""),"Cost per period")</f>
        <v>Cost per period</v>
      </c>
      <c r="M543" s="3"/>
      <c r="N543" s="3"/>
      <c r="O543" s="3" t="str">
        <f ca="1">IFERROR(__xludf.DUMMYFUNCTION("""COMPUTED_VALUE"""),"300")</f>
        <v>300</v>
      </c>
      <c r="P543" s="3" t="str">
        <f ca="1">IFERROR(__xludf.DUMMYFUNCTION("""COMPUTED_VALUE"""),"120")</f>
        <v>120</v>
      </c>
      <c r="Q543" s="3" t="str">
        <f ca="1">IFERROR(__xludf.DUMMYFUNCTION("""COMPUTED_VALUE"""),"300x120")</f>
        <v>300x120</v>
      </c>
      <c r="R543" s="3"/>
      <c r="S543" s="3" t="str">
        <f ca="1">IFERROR(__xludf.DUMMYFUNCTION("""COMPUTED_VALUE"""),"100")</f>
        <v>100</v>
      </c>
      <c r="T543" s="3"/>
      <c r="U543" s="3" t="str">
        <f ca="1">IFERROR(__xludf.DUMMYFUNCTION("""COMPUTED_VALUE"""),"banner standard")</f>
        <v>banner standard</v>
      </c>
      <c r="V543" s="3"/>
      <c r="W543" s="4" t="str">
        <f ca="1">IFERROR(__xludf.DUMMYFUNCTION("""COMPUTED_VALUE"""),"https://reklama.cncenter.cz/Online/mobilni-slide-up")</f>
        <v>https://reklama.cncenter.cz/Online/mobilni-slide-up</v>
      </c>
      <c r="X543" s="3"/>
      <c r="Y543" s="3"/>
      <c r="Z543" s="3" t="str">
        <f ca="1">IFERROR(__xludf.DUMMYFUNCTION("""COMPUTED_VALUE"""),"podklady@cncenter.cz")</f>
        <v>podklady@cncenter.cz</v>
      </c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 t="str">
        <f ca="1">IFERROR(__xludf.DUMMYFUNCTION("""COMPUTED_VALUE"""),"mobile")</f>
        <v>mobile</v>
      </c>
      <c r="AO543" s="3"/>
      <c r="AP543" s="3"/>
      <c r="AQ543" s="3"/>
      <c r="AR543" s="3"/>
      <c r="AS543" s="3"/>
      <c r="AT543" s="3"/>
      <c r="AU543" s="3" t="str">
        <f ca="1">IFERROR(__xludf.DUMMYFUNCTION("""COMPUTED_VALUE"""),"mobilní slide-up")</f>
        <v>mobilní slide-up</v>
      </c>
    </row>
    <row r="544" spans="1:47" x14ac:dyDescent="0.3">
      <c r="A544" s="3">
        <f ca="1"/>
        <v>2346826</v>
      </c>
      <c r="B544" s="3" t="str">
        <f ca="1"/>
        <v>CZECH NEWS CENTER a. s.</v>
      </c>
      <c r="C544" s="3" t="str">
        <f ca="1">IFERROR(__xludf.DUMMYFUNCTION("""COMPUTED_VALUE"""),"F1 sport")</f>
        <v>F1 sport</v>
      </c>
      <c r="D544" s="4" t="str">
        <f ca="1">IFERROR(__xludf.DUMMYFUNCTION("""COMPUTED_VALUE"""),"https://f1sport.auto.cz")</f>
        <v>https://f1sport.auto.cz</v>
      </c>
      <c r="E544" s="3" t="str">
        <f ca="1">IFERROR(__xludf.DUMMYFUNCTION("""COMPUTED_VALUE"""),"celý web")</f>
        <v>celý web</v>
      </c>
      <c r="F544" s="4" t="str">
        <f ca="1">IFERROR(__xludf.DUMMYFUNCTION("""COMPUTED_VALUE"""),"https://f1sport.auto.cz")</f>
        <v>https://f1sport.auto.cz</v>
      </c>
      <c r="G544" s="3" t="str">
        <f ca="1">IFERROR(__xludf.DUMMYFUNCTION("""COMPUTED_VALUE"""),"mobilní viněta low season")</f>
        <v>mobilní viněta low season</v>
      </c>
      <c r="H544" s="3">
        <f ca="1">IFERROR(__xludf.DUMMYFUNCTION("""COMPUTED_VALUE"""),7)</f>
        <v>7</v>
      </c>
      <c r="I544" s="5">
        <f ca="1">IFERROR(__xludf.DUMMYFUNCTION("""COMPUTED_VALUE"""),1000)</f>
        <v>1000</v>
      </c>
      <c r="J544" s="5">
        <f ca="1">IFERROR(__xludf.DUMMYFUNCTION("""COMPUTED_VALUE"""),880)</f>
        <v>880</v>
      </c>
      <c r="K544" s="3"/>
      <c r="L544" s="3" t="str">
        <f ca="1">IFERROR(__xludf.DUMMYFUNCTION("""COMPUTED_VALUE"""),"Cost per period")</f>
        <v>Cost per period</v>
      </c>
      <c r="M544" s="3"/>
      <c r="N544" s="3"/>
      <c r="O544" s="3" t="str">
        <f ca="1">IFERROR(__xludf.DUMMYFUNCTION("""COMPUTED_VALUE"""),"600")</f>
        <v>600</v>
      </c>
      <c r="P544" s="3" t="str">
        <f ca="1">IFERROR(__xludf.DUMMYFUNCTION("""COMPUTED_VALUE"""),"800")</f>
        <v>800</v>
      </c>
      <c r="Q544" s="3" t="str">
        <f ca="1">IFERROR(__xludf.DUMMYFUNCTION("""COMPUTED_VALUE"""),"300x250 nebo 600x800")</f>
        <v>300x250 nebo 600x800</v>
      </c>
      <c r="R544" s="3"/>
      <c r="S544" s="3" t="str">
        <f ca="1">IFERROR(__xludf.DUMMYFUNCTION("""COMPUTED_VALUE"""),"100")</f>
        <v>100</v>
      </c>
      <c r="T544" s="3"/>
      <c r="U544" s="3" t="str">
        <f ca="1">IFERROR(__xludf.DUMMYFUNCTION("""COMPUTED_VALUE"""),"banner standard")</f>
        <v>banner standard</v>
      </c>
      <c r="V544" s="3"/>
      <c r="W544" s="4" t="str">
        <f ca="1">IFERROR(__xludf.DUMMYFUNCTION("""COMPUTED_VALUE"""),"https://reklama.cncenter.cz/Online/mobilni-vineta")</f>
        <v>https://reklama.cncenter.cz/Online/mobilni-vineta</v>
      </c>
      <c r="X544" s="3"/>
      <c r="Y544" s="3"/>
      <c r="Z544" s="3" t="str">
        <f ca="1">IFERROR(__xludf.DUMMYFUNCTION("""COMPUTED_VALUE"""),"podklady@cncenter.cz")</f>
        <v>podklady@cncenter.cz</v>
      </c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 t="str">
        <f ca="1">IFERROR(__xludf.DUMMYFUNCTION("""COMPUTED_VALUE"""),"mobile")</f>
        <v>mobile</v>
      </c>
      <c r="AO544" s="3"/>
      <c r="AP544" s="3"/>
      <c r="AQ544" s="3"/>
      <c r="AR544" s="3"/>
      <c r="AS544" s="3"/>
      <c r="AT544" s="3"/>
      <c r="AU544" s="3" t="str">
        <f ca="1">IFERROR(__xludf.DUMMYFUNCTION("""COMPUTED_VALUE"""),"mobilní viněta")</f>
        <v>mobilní viněta</v>
      </c>
    </row>
    <row r="545" spans="1:47" x14ac:dyDescent="0.3">
      <c r="A545" s="3">
        <f ca="1"/>
        <v>2346826</v>
      </c>
      <c r="B545" s="3" t="str">
        <f ca="1"/>
        <v>CZECH NEWS CENTER a. s.</v>
      </c>
      <c r="C545" s="3" t="str">
        <f ca="1">IFERROR(__xludf.DUMMYFUNCTION("""COMPUTED_VALUE"""),"F1 sport")</f>
        <v>F1 sport</v>
      </c>
      <c r="D545" s="4" t="str">
        <f ca="1">IFERROR(__xludf.DUMMYFUNCTION("""COMPUTED_VALUE"""),"https://f1sport.auto.cz")</f>
        <v>https://f1sport.auto.cz</v>
      </c>
      <c r="E545" s="3" t="str">
        <f ca="1">IFERROR(__xludf.DUMMYFUNCTION("""COMPUTED_VALUE"""),"celý web")</f>
        <v>celý web</v>
      </c>
      <c r="F545" s="4" t="str">
        <f ca="1">IFERROR(__xludf.DUMMYFUNCTION("""COMPUTED_VALUE"""),"https://f1sport.auto.cz")</f>
        <v>https://f1sport.auto.cz</v>
      </c>
      <c r="G545" s="3" t="str">
        <f ca="1">IFERROR(__xludf.DUMMYFUNCTION("""COMPUTED_VALUE"""),"Native Standard low season")</f>
        <v>Native Standard low season</v>
      </c>
      <c r="H545" s="3">
        <f ca="1">IFERROR(__xludf.DUMMYFUNCTION("""COMPUTED_VALUE"""),1)</f>
        <v>1</v>
      </c>
      <c r="I545" s="5">
        <f ca="1">IFERROR(__xludf.DUMMYFUNCTION("""COMPUTED_VALUE"""),1)</f>
        <v>1</v>
      </c>
      <c r="J545" s="5">
        <f ca="1">IFERROR(__xludf.DUMMYFUNCTION("""COMPUTED_VALUE"""),330000)</f>
        <v>330000</v>
      </c>
      <c r="K545" s="3"/>
      <c r="L545" s="3" t="str">
        <f ca="1">IFERROR(__xludf.DUMMYFUNCTION("""COMPUTED_VALUE"""),"Cost per instance")</f>
        <v>Cost per instance</v>
      </c>
      <c r="M545" s="3"/>
      <c r="N545" s="3"/>
      <c r="O545" s="3"/>
      <c r="P545" s="3"/>
      <c r="Q545" s="3"/>
      <c r="R545" s="3"/>
      <c r="S545" s="3" t="str">
        <f ca="1">IFERROR(__xludf.DUMMYFUNCTION("""COMPUTED_VALUE"""),"100")</f>
        <v>100</v>
      </c>
      <c r="T545" s="3"/>
      <c r="U545" s="3" t="str">
        <f ca="1">IFERROR(__xludf.DUMMYFUNCTION("""COMPUTED_VALUE"""),"microsite")</f>
        <v>microsite</v>
      </c>
      <c r="V545" s="3"/>
      <c r="W545" s="3"/>
      <c r="X545" s="3"/>
      <c r="Y545" s="3"/>
      <c r="Z545" s="3" t="str">
        <f ca="1">IFERROR(__xludf.DUMMYFUNCTION("""COMPUTED_VALUE"""),"podklady@cncenter.cz")</f>
        <v>podklady@cncenter.cz</v>
      </c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 t="str">
        <f ca="1">IFERROR(__xludf.DUMMYFUNCTION("""COMPUTED_VALUE"""),"cross-device")</f>
        <v>cross-device</v>
      </c>
      <c r="AO545" s="3"/>
      <c r="AP545" s="3"/>
      <c r="AQ545" s="3"/>
      <c r="AR545" s="3"/>
      <c r="AS545" s="3"/>
      <c r="AT545" s="3"/>
      <c r="AU545" s="3" t="str">
        <f ca="1">IFERROR(__xludf.DUMMYFUNCTION("""COMPUTED_VALUE"""),"Native Standard")</f>
        <v>Native Standard</v>
      </c>
    </row>
    <row r="546" spans="1:47" x14ac:dyDescent="0.3">
      <c r="A546" s="3">
        <f ca="1"/>
        <v>2346826</v>
      </c>
      <c r="B546" s="3" t="str">
        <f ca="1"/>
        <v>CZECH NEWS CENTER a. s.</v>
      </c>
      <c r="C546" s="3" t="str">
        <f ca="1">IFERROR(__xludf.DUMMYFUNCTION("""COMPUTED_VALUE"""),"F1 sport")</f>
        <v>F1 sport</v>
      </c>
      <c r="D546" s="4" t="str">
        <f ca="1">IFERROR(__xludf.DUMMYFUNCTION("""COMPUTED_VALUE"""),"https://f1sport.auto.cz")</f>
        <v>https://f1sport.auto.cz</v>
      </c>
      <c r="E546" s="3" t="str">
        <f ca="1">IFERROR(__xludf.DUMMYFUNCTION("""COMPUTED_VALUE"""),"celý web")</f>
        <v>celý web</v>
      </c>
      <c r="F546" s="4" t="str">
        <f ca="1">IFERROR(__xludf.DUMMYFUNCTION("""COMPUTED_VALUE"""),"https://f1sport.auto.cz")</f>
        <v>https://f1sport.auto.cz</v>
      </c>
      <c r="G546" s="3" t="str">
        <f ca="1">IFERROR(__xludf.DUMMYFUNCTION("""COMPUTED_VALUE"""),"nativní rectangle cross-device low season")</f>
        <v>nativní rectangle cross-device low season</v>
      </c>
      <c r="H546" s="3">
        <f ca="1">IFERROR(__xludf.DUMMYFUNCTION("""COMPUTED_VALUE"""),7)</f>
        <v>7</v>
      </c>
      <c r="I546" s="5">
        <f ca="1">IFERROR(__xludf.DUMMYFUNCTION("""COMPUTED_VALUE"""),1000)</f>
        <v>1000</v>
      </c>
      <c r="J546" s="5">
        <f ca="1">IFERROR(__xludf.DUMMYFUNCTION("""COMPUTED_VALUE"""),200)</f>
        <v>200</v>
      </c>
      <c r="K546" s="3"/>
      <c r="L546" s="3" t="str">
        <f ca="1">IFERROR(__xludf.DUMMYFUNCTION("""COMPUTED_VALUE"""),"Cost per period")</f>
        <v>Cost per period</v>
      </c>
      <c r="M546" s="3"/>
      <c r="N546" s="3"/>
      <c r="O546" s="3" t="str">
        <f ca="1">IFERROR(__xludf.DUMMYFUNCTION("""COMPUTED_VALUE"""),"640")</f>
        <v>640</v>
      </c>
      <c r="P546" s="3" t="str">
        <f ca="1">IFERROR(__xludf.DUMMYFUNCTION("""COMPUTED_VALUE"""),"335, 640")</f>
        <v>335, 640</v>
      </c>
      <c r="Q546" s="3" t="str">
        <f ca="1">IFERROR(__xludf.DUMMYFUNCTION("""COMPUTED_VALUE"""),"640x640 a 640x335 + text + logo")</f>
        <v>640x640 a 640x335 + text + logo</v>
      </c>
      <c r="R546" s="3"/>
      <c r="S546" s="3" t="str">
        <f ca="1">IFERROR(__xludf.DUMMYFUNCTION("""COMPUTED_VALUE"""),"45")</f>
        <v>45</v>
      </c>
      <c r="T546" s="3"/>
      <c r="U546" s="3" t="str">
        <f ca="1">IFERROR(__xludf.DUMMYFUNCTION("""COMPUTED_VALUE"""),"nativní reklama")</f>
        <v>nativní reklama</v>
      </c>
      <c r="V546" s="3"/>
      <c r="W546" s="4" t="str">
        <f ca="1">IFERROR(__xludf.DUMMYFUNCTION("""COMPUTED_VALUE"""),"https://reklama.cncenter.cz/Online/nativni-rectangle-cross-device")</f>
        <v>https://reklama.cncenter.cz/Online/nativni-rectangle-cross-device</v>
      </c>
      <c r="X546" s="3"/>
      <c r="Y546" s="3"/>
      <c r="Z546" s="3" t="str">
        <f ca="1">IFERROR(__xludf.DUMMYFUNCTION("""COMPUTED_VALUE"""),"podklady@cncenter.cz")</f>
        <v>podklady@cncenter.cz</v>
      </c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 t="str">
        <f ca="1">IFERROR(__xludf.DUMMYFUNCTION("""COMPUTED_VALUE"""),"cross-device")</f>
        <v>cross-device</v>
      </c>
      <c r="AO546" s="3"/>
      <c r="AP546" s="3"/>
      <c r="AQ546" s="3"/>
      <c r="AR546" s="3"/>
      <c r="AS546" s="3"/>
      <c r="AT546" s="3"/>
      <c r="AU546" s="3" t="str">
        <f ca="1">IFERROR(__xludf.DUMMYFUNCTION("""COMPUTED_VALUE"""),"nativní rectangle cross-device")</f>
        <v>nativní rectangle cross-device</v>
      </c>
    </row>
    <row r="547" spans="1:47" x14ac:dyDescent="0.3">
      <c r="A547" s="3">
        <f ca="1"/>
        <v>2346826</v>
      </c>
      <c r="B547" s="3" t="str">
        <f ca="1"/>
        <v>CZECH NEWS CENTER a. s.</v>
      </c>
      <c r="C547" s="3" t="str">
        <f ca="1">IFERROR(__xludf.DUMMYFUNCTION("""COMPUTED_VALUE"""),"F1 sport")</f>
        <v>F1 sport</v>
      </c>
      <c r="D547" s="4" t="str">
        <f ca="1">IFERROR(__xludf.DUMMYFUNCTION("""COMPUTED_VALUE"""),"https://f1sport.auto.cz")</f>
        <v>https://f1sport.auto.cz</v>
      </c>
      <c r="E547" s="3" t="str">
        <f ca="1">IFERROR(__xludf.DUMMYFUNCTION("""COMPUTED_VALUE"""),"celý web")</f>
        <v>celý web</v>
      </c>
      <c r="F547" s="4" t="str">
        <f ca="1">IFERROR(__xludf.DUMMYFUNCTION("""COMPUTED_VALUE"""),"https://f1sport.auto.cz")</f>
        <v>https://f1sport.auto.cz</v>
      </c>
      <c r="G547" s="3" t="str">
        <f ca="1">IFERROR(__xludf.DUMMYFUNCTION("""COMPUTED_VALUE"""),"outstream low season")</f>
        <v>outstream low season</v>
      </c>
      <c r="H547" s="3">
        <f ca="1">IFERROR(__xludf.DUMMYFUNCTION("""COMPUTED_VALUE"""),7)</f>
        <v>7</v>
      </c>
      <c r="I547" s="5">
        <f ca="1">IFERROR(__xludf.DUMMYFUNCTION("""COMPUTED_VALUE"""),1000)</f>
        <v>1000</v>
      </c>
      <c r="J547" s="5">
        <f ca="1">IFERROR(__xludf.DUMMYFUNCTION("""COMPUTED_VALUE"""),250)</f>
        <v>250</v>
      </c>
      <c r="K547" s="3"/>
      <c r="L547" s="3" t="str">
        <f ca="1">IFERROR(__xludf.DUMMYFUNCTION("""COMPUTED_VALUE"""),"Cost per period")</f>
        <v>Cost per period</v>
      </c>
      <c r="M547" s="3"/>
      <c r="N547" s="3"/>
      <c r="O547" s="3" t="str">
        <f ca="1">IFERROR(__xludf.DUMMYFUNCTION("""COMPUTED_VALUE"""),"1280")</f>
        <v>1280</v>
      </c>
      <c r="P547" s="3" t="str">
        <f ca="1">IFERROR(__xludf.DUMMYFUNCTION("""COMPUTED_VALUE"""),"720")</f>
        <v>720</v>
      </c>
      <c r="Q547" s="3" t="str">
        <f ca="1">IFERROR(__xludf.DUMMYFUNCTION("""COMPUTED_VALUE"""),"16:9")</f>
        <v>16:9</v>
      </c>
      <c r="R547" s="3"/>
      <c r="S547" s="3" t="str">
        <f ca="1">IFERROR(__xludf.DUMMYFUNCTION("""COMPUTED_VALUE"""),"100")</f>
        <v>100</v>
      </c>
      <c r="T547" s="3"/>
      <c r="U547" s="3" t="str">
        <f ca="1">IFERROR(__xludf.DUMMYFUNCTION("""COMPUTED_VALUE"""),"videospot")</f>
        <v>videospot</v>
      </c>
      <c r="V547" s="3"/>
      <c r="W547" s="4" t="str">
        <f ca="1">IFERROR(__xludf.DUMMYFUNCTION("""COMPUTED_VALUE"""),"https://reklama.cncenter.cz/Online/Outstream")</f>
        <v>https://reklama.cncenter.cz/Online/Outstream</v>
      </c>
      <c r="X547" s="3"/>
      <c r="Y547" s="3"/>
      <c r="Z547" s="3" t="str">
        <f ca="1">IFERROR(__xludf.DUMMYFUNCTION("""COMPUTED_VALUE"""),"podklady@cncenter.cz")</f>
        <v>podklady@cncenter.cz</v>
      </c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 t="str">
        <f ca="1">IFERROR(__xludf.DUMMYFUNCTION("""COMPUTED_VALUE"""),"cross-device")</f>
        <v>cross-device</v>
      </c>
      <c r="AO547" s="3"/>
      <c r="AP547" s="3"/>
      <c r="AQ547" s="3"/>
      <c r="AR547" s="3"/>
      <c r="AS547" s="3"/>
      <c r="AT547" s="3"/>
      <c r="AU547" s="3" t="str">
        <f ca="1">IFERROR(__xludf.DUMMYFUNCTION("""COMPUTED_VALUE"""),"outstream")</f>
        <v>outstream</v>
      </c>
    </row>
    <row r="548" spans="1:47" x14ac:dyDescent="0.3">
      <c r="A548" s="3">
        <f ca="1"/>
        <v>2346826</v>
      </c>
      <c r="B548" s="3" t="str">
        <f ca="1"/>
        <v>CZECH NEWS CENTER a. s.</v>
      </c>
      <c r="C548" s="3" t="str">
        <f ca="1">IFERROR(__xludf.DUMMYFUNCTION("""COMPUTED_VALUE"""),"F1 sport")</f>
        <v>F1 sport</v>
      </c>
      <c r="D548" s="4" t="str">
        <f ca="1">IFERROR(__xludf.DUMMYFUNCTION("""COMPUTED_VALUE"""),"https://f1sport.auto.cz")</f>
        <v>https://f1sport.auto.cz</v>
      </c>
      <c r="E548" s="3" t="str">
        <f ca="1">IFERROR(__xludf.DUMMYFUNCTION("""COMPUTED_VALUE"""),"celý web")</f>
        <v>celý web</v>
      </c>
      <c r="F548" s="4" t="str">
        <f ca="1">IFERROR(__xludf.DUMMYFUNCTION("""COMPUTED_VALUE"""),"https://f1sport.auto.cz")</f>
        <v>https://f1sport.auto.cz</v>
      </c>
      <c r="G548" s="3" t="str">
        <f ca="1">IFERROR(__xludf.DUMMYFUNCTION("""COMPUTED_VALUE"""),"PR článek low season")</f>
        <v>PR článek low season</v>
      </c>
      <c r="H548" s="3">
        <f ca="1">IFERROR(__xludf.DUMMYFUNCTION("""COMPUTED_VALUE"""),1)</f>
        <v>1</v>
      </c>
      <c r="I548" s="5">
        <f ca="1">IFERROR(__xludf.DUMMYFUNCTION("""COMPUTED_VALUE"""),1)</f>
        <v>1</v>
      </c>
      <c r="J548" s="5">
        <f ca="1">IFERROR(__xludf.DUMMYFUNCTION("""COMPUTED_VALUE"""),30000)</f>
        <v>30000</v>
      </c>
      <c r="K548" s="3"/>
      <c r="L548" s="3" t="str">
        <f ca="1">IFERROR(__xludf.DUMMYFUNCTION("""COMPUTED_VALUE"""),"Cost per instance")</f>
        <v>Cost per instance</v>
      </c>
      <c r="M548" s="3"/>
      <c r="N548" s="3"/>
      <c r="O548" s="3"/>
      <c r="P548" s="3"/>
      <c r="Q548" s="3"/>
      <c r="R548" s="3"/>
      <c r="S548" s="3" t="str">
        <f ca="1">IFERROR(__xludf.DUMMYFUNCTION("""COMPUTED_VALUE"""),"100")</f>
        <v>100</v>
      </c>
      <c r="T548" s="3"/>
      <c r="U548" s="3" t="str">
        <f ca="1">IFERROR(__xludf.DUMMYFUNCTION("""COMPUTED_VALUE"""),"pr článek")</f>
        <v>pr článek</v>
      </c>
      <c r="V548" s="3"/>
      <c r="W548" s="4" t="str">
        <f ca="1">IFERROR(__xludf.DUMMYFUNCTION("""COMPUTED_VALUE"""),"https://reklama.cncenter.cz/?ads=PR%2520%25C4%258Dl%25C3%25A1nky")</f>
        <v>https://reklama.cncenter.cz/?ads=PR%2520%25C4%258Dl%25C3%25A1nky</v>
      </c>
      <c r="X548" s="3"/>
      <c r="Y548" s="3"/>
      <c r="Z548" s="3" t="str">
        <f ca="1">IFERROR(__xludf.DUMMYFUNCTION("""COMPUTED_VALUE"""),"podklady@cncenter.cz")</f>
        <v>podklady@cncenter.cz</v>
      </c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 t="str">
        <f ca="1">IFERROR(__xludf.DUMMYFUNCTION("""COMPUTED_VALUE"""),"cross-device")</f>
        <v>cross-device</v>
      </c>
      <c r="AO548" s="3"/>
      <c r="AP548" s="3"/>
      <c r="AQ548" s="3"/>
      <c r="AR548" s="3"/>
      <c r="AS548" s="3"/>
      <c r="AT548" s="3"/>
      <c r="AU548" s="3" t="str">
        <f ca="1">IFERROR(__xludf.DUMMYFUNCTION("""COMPUTED_VALUE"""),"PR článek")</f>
        <v>PR článek</v>
      </c>
    </row>
    <row r="549" spans="1:47" x14ac:dyDescent="0.3">
      <c r="A549" s="3">
        <f ca="1"/>
        <v>2346826</v>
      </c>
      <c r="B549" s="3" t="str">
        <f ca="1"/>
        <v>CZECH NEWS CENTER a. s.</v>
      </c>
      <c r="C549" s="3" t="str">
        <f ca="1">IFERROR(__xludf.DUMMYFUNCTION("""COMPUTED_VALUE"""),"F1 sport")</f>
        <v>F1 sport</v>
      </c>
      <c r="D549" s="4" t="str">
        <f ca="1">IFERROR(__xludf.DUMMYFUNCTION("""COMPUTED_VALUE"""),"https://f1sport.auto.cz")</f>
        <v>https://f1sport.auto.cz</v>
      </c>
      <c r="E549" s="3" t="str">
        <f ca="1">IFERROR(__xludf.DUMMYFUNCTION("""COMPUTED_VALUE"""),"celý web")</f>
        <v>celý web</v>
      </c>
      <c r="F549" s="4" t="str">
        <f ca="1">IFERROR(__xludf.DUMMYFUNCTION("""COMPUTED_VALUE"""),"https://f1sport.auto.cz")</f>
        <v>https://f1sport.auto.cz</v>
      </c>
      <c r="G549" s="3" t="str">
        <f ca="1">IFERROR(__xludf.DUMMYFUNCTION("""COMPUTED_VALUE"""),"Prodloužení existující microsite, bez úprav low season")</f>
        <v>Prodloužení existující microsite, bez úprav low season</v>
      </c>
      <c r="H549" s="3">
        <f ca="1">IFERROR(__xludf.DUMMYFUNCTION("""COMPUTED_VALUE"""),1)</f>
        <v>1</v>
      </c>
      <c r="I549" s="5">
        <f ca="1">IFERROR(__xludf.DUMMYFUNCTION("""COMPUTED_VALUE"""),1)</f>
        <v>1</v>
      </c>
      <c r="J549" s="5">
        <f ca="1">IFERROR(__xludf.DUMMYFUNCTION("""COMPUTED_VALUE"""),15000)</f>
        <v>15000</v>
      </c>
      <c r="K549" s="3"/>
      <c r="L549" s="3" t="str">
        <f ca="1">IFERROR(__xludf.DUMMYFUNCTION("""COMPUTED_VALUE"""),"Cost per instance")</f>
        <v>Cost per instance</v>
      </c>
      <c r="M549" s="3"/>
      <c r="N549" s="3"/>
      <c r="O549" s="3"/>
      <c r="P549" s="3"/>
      <c r="Q549" s="3"/>
      <c r="R549" s="3"/>
      <c r="S549" s="3" t="str">
        <f ca="1">IFERROR(__xludf.DUMMYFUNCTION("""COMPUTED_VALUE"""),"100")</f>
        <v>100</v>
      </c>
      <c r="T549" s="3"/>
      <c r="U549" s="3" t="str">
        <f ca="1">IFERROR(__xludf.DUMMYFUNCTION("""COMPUTED_VALUE"""),"microsite")</f>
        <v>microsite</v>
      </c>
      <c r="V549" s="3"/>
      <c r="W549" s="3"/>
      <c r="X549" s="3"/>
      <c r="Y549" s="3"/>
      <c r="Z549" s="3" t="str">
        <f ca="1">IFERROR(__xludf.DUMMYFUNCTION("""COMPUTED_VALUE"""),"podklady@cncenter.cz")</f>
        <v>podklady@cncenter.cz</v>
      </c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 t="str">
        <f ca="1">IFERROR(__xludf.DUMMYFUNCTION("""COMPUTED_VALUE"""),"cross-device")</f>
        <v>cross-device</v>
      </c>
      <c r="AO549" s="3"/>
      <c r="AP549" s="3"/>
      <c r="AQ549" s="3"/>
      <c r="AR549" s="3"/>
      <c r="AS549" s="3"/>
      <c r="AT549" s="3"/>
      <c r="AU549" s="3" t="str">
        <f ca="1">IFERROR(__xludf.DUMMYFUNCTION("""COMPUTED_VALUE"""),"Prodloužení existující microsite, bez úprav")</f>
        <v>Prodloužení existující microsite, bez úprav</v>
      </c>
    </row>
    <row r="550" spans="1:47" x14ac:dyDescent="0.3">
      <c r="A550" s="3">
        <f ca="1"/>
        <v>2346826</v>
      </c>
      <c r="B550" s="3" t="str">
        <f ca="1"/>
        <v>CZECH NEWS CENTER a. s.</v>
      </c>
      <c r="C550" s="3" t="str">
        <f ca="1">IFERROR(__xludf.DUMMYFUNCTION("""COMPUTED_VALUE"""),"F1 sport")</f>
        <v>F1 sport</v>
      </c>
      <c r="D550" s="4" t="str">
        <f ca="1">IFERROR(__xludf.DUMMYFUNCTION("""COMPUTED_VALUE"""),"https://f1sport.auto.cz")</f>
        <v>https://f1sport.auto.cz</v>
      </c>
      <c r="E550" s="3" t="str">
        <f ca="1">IFERROR(__xludf.DUMMYFUNCTION("""COMPUTED_VALUE"""),"celý web")</f>
        <v>celý web</v>
      </c>
      <c r="F550" s="4" t="str">
        <f ca="1">IFERROR(__xludf.DUMMYFUNCTION("""COMPUTED_VALUE"""),"https://f1sport.auto.cz")</f>
        <v>https://f1sport.auto.cz</v>
      </c>
      <c r="G550" s="3" t="str">
        <f ca="1">IFERROR(__xludf.DUMMYFUNCTION("""COMPUTED_VALUE"""),"Prodloužení existující microsite, bez úprav low season")</f>
        <v>Prodloužení existující microsite, bez úprav low season</v>
      </c>
      <c r="H550" s="3">
        <f ca="1">IFERROR(__xludf.DUMMYFUNCTION("""COMPUTED_VALUE"""),1)</f>
        <v>1</v>
      </c>
      <c r="I550" s="5">
        <f ca="1">IFERROR(__xludf.DUMMYFUNCTION("""COMPUTED_VALUE"""),1)</f>
        <v>1</v>
      </c>
      <c r="J550" s="5">
        <f ca="1">IFERROR(__xludf.DUMMYFUNCTION("""COMPUTED_VALUE"""),15000)</f>
        <v>15000</v>
      </c>
      <c r="K550" s="3"/>
      <c r="L550" s="3" t="str">
        <f ca="1">IFERROR(__xludf.DUMMYFUNCTION("""COMPUTED_VALUE"""),"Cost per instance")</f>
        <v>Cost per instance</v>
      </c>
      <c r="M550" s="3"/>
      <c r="N550" s="3"/>
      <c r="O550" s="3"/>
      <c r="P550" s="3"/>
      <c r="Q550" s="3"/>
      <c r="R550" s="3"/>
      <c r="S550" s="3" t="str">
        <f ca="1">IFERROR(__xludf.DUMMYFUNCTION("""COMPUTED_VALUE"""),"100")</f>
        <v>100</v>
      </c>
      <c r="T550" s="3"/>
      <c r="U550" s="3" t="str">
        <f ca="1">IFERROR(__xludf.DUMMYFUNCTION("""COMPUTED_VALUE"""),"microsite")</f>
        <v>microsite</v>
      </c>
      <c r="V550" s="3"/>
      <c r="W550" s="3"/>
      <c r="X550" s="3"/>
      <c r="Y550" s="3"/>
      <c r="Z550" s="3" t="str">
        <f ca="1">IFERROR(__xludf.DUMMYFUNCTION("""COMPUTED_VALUE"""),"podklady@cncenter.cz")</f>
        <v>podklady@cncenter.cz</v>
      </c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 t="str">
        <f ca="1">IFERROR(__xludf.DUMMYFUNCTION("""COMPUTED_VALUE"""),"cross-device")</f>
        <v>cross-device</v>
      </c>
      <c r="AO550" s="3"/>
      <c r="AP550" s="3"/>
      <c r="AQ550" s="3"/>
      <c r="AR550" s="3"/>
      <c r="AS550" s="3"/>
      <c r="AT550" s="3"/>
      <c r="AU550" s="3" t="str">
        <f ca="1">IFERROR(__xludf.DUMMYFUNCTION("""COMPUTED_VALUE"""),"Prodloužení existující microsite, bez úprav")</f>
        <v>Prodloužení existující microsite, bez úprav</v>
      </c>
    </row>
    <row r="551" spans="1:47" x14ac:dyDescent="0.3">
      <c r="A551" s="3">
        <f ca="1"/>
        <v>2346826</v>
      </c>
      <c r="B551" s="3" t="str">
        <f ca="1"/>
        <v>CZECH NEWS CENTER a. s.</v>
      </c>
      <c r="C551" s="3" t="str">
        <f ca="1">IFERROR(__xludf.DUMMYFUNCTION("""COMPUTED_VALUE"""),"F1 sport")</f>
        <v>F1 sport</v>
      </c>
      <c r="D551" s="4" t="str">
        <f ca="1">IFERROR(__xludf.DUMMYFUNCTION("""COMPUTED_VALUE"""),"https://f1sport.auto.cz")</f>
        <v>https://f1sport.auto.cz</v>
      </c>
      <c r="E551" s="3" t="str">
        <f ca="1">IFERROR(__xludf.DUMMYFUNCTION("""COMPUTED_VALUE"""),"celý web")</f>
        <v>celý web</v>
      </c>
      <c r="F551" s="4" t="str">
        <f ca="1">IFERROR(__xludf.DUMMYFUNCTION("""COMPUTED_VALUE"""),"https://f1sport.auto.cz")</f>
        <v>https://f1sport.auto.cz</v>
      </c>
      <c r="G551" s="3" t="str">
        <f ca="1">IFERROR(__xludf.DUMMYFUNCTION("""COMPUTED_VALUE"""),"Prodloužení existující microsite, bez úprav low season")</f>
        <v>Prodloužení existující microsite, bez úprav low season</v>
      </c>
      <c r="H551" s="3">
        <f ca="1">IFERROR(__xludf.DUMMYFUNCTION("""COMPUTED_VALUE"""),1)</f>
        <v>1</v>
      </c>
      <c r="I551" s="5">
        <f ca="1">IFERROR(__xludf.DUMMYFUNCTION("""COMPUTED_VALUE"""),1)</f>
        <v>1</v>
      </c>
      <c r="J551" s="5">
        <f ca="1">IFERROR(__xludf.DUMMYFUNCTION("""COMPUTED_VALUE"""),15000)</f>
        <v>15000</v>
      </c>
      <c r="K551" s="3"/>
      <c r="L551" s="3" t="str">
        <f ca="1">IFERROR(__xludf.DUMMYFUNCTION("""COMPUTED_VALUE"""),"Cost per instance")</f>
        <v>Cost per instance</v>
      </c>
      <c r="M551" s="3"/>
      <c r="N551" s="3"/>
      <c r="O551" s="3"/>
      <c r="P551" s="3"/>
      <c r="Q551" s="3"/>
      <c r="R551" s="3"/>
      <c r="S551" s="3" t="str">
        <f ca="1">IFERROR(__xludf.DUMMYFUNCTION("""COMPUTED_VALUE"""),"100")</f>
        <v>100</v>
      </c>
      <c r="T551" s="3"/>
      <c r="U551" s="3" t="str">
        <f ca="1">IFERROR(__xludf.DUMMYFUNCTION("""COMPUTED_VALUE"""),"microsite")</f>
        <v>microsite</v>
      </c>
      <c r="V551" s="3"/>
      <c r="W551" s="3"/>
      <c r="X551" s="3"/>
      <c r="Y551" s="3"/>
      <c r="Z551" s="3" t="str">
        <f ca="1">IFERROR(__xludf.DUMMYFUNCTION("""COMPUTED_VALUE"""),"podklady@cncenter.cz")</f>
        <v>podklady@cncenter.cz</v>
      </c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 t="str">
        <f ca="1">IFERROR(__xludf.DUMMYFUNCTION("""COMPUTED_VALUE"""),"cross-device")</f>
        <v>cross-device</v>
      </c>
      <c r="AO551" s="3"/>
      <c r="AP551" s="3"/>
      <c r="AQ551" s="3"/>
      <c r="AR551" s="3"/>
      <c r="AS551" s="3"/>
      <c r="AT551" s="3"/>
      <c r="AU551" s="3" t="str">
        <f ca="1">IFERROR(__xludf.DUMMYFUNCTION("""COMPUTED_VALUE"""),"Prodloužení existující microsite, bez úprav")</f>
        <v>Prodloužení existující microsite, bez úprav</v>
      </c>
    </row>
    <row r="552" spans="1:47" x14ac:dyDescent="0.3">
      <c r="A552" s="3">
        <f ca="1"/>
        <v>2346826</v>
      </c>
      <c r="B552" s="3" t="str">
        <f ca="1"/>
        <v>CZECH NEWS CENTER a. s.</v>
      </c>
      <c r="C552" s="3" t="str">
        <f ca="1">IFERROR(__xludf.DUMMYFUNCTION("""COMPUTED_VALUE"""),"Facebookový profil ABC")</f>
        <v>Facebookový profil ABC</v>
      </c>
      <c r="D552" s="4" t="str">
        <f ca="1">IFERROR(__xludf.DUMMYFUNCTION("""COMPUTED_VALUE"""),"www.facebook.com")</f>
        <v>www.facebook.com</v>
      </c>
      <c r="E552" s="3" t="str">
        <f ca="1">IFERROR(__xludf.DUMMYFUNCTION("""COMPUTED_VALUE"""),"FB stránka")</f>
        <v>FB stránka</v>
      </c>
      <c r="F552" s="4" t="str">
        <f ca="1">IFERROR(__xludf.DUMMYFUNCTION("""COMPUTED_VALUE"""),"www.facebook.com")</f>
        <v>www.facebook.com</v>
      </c>
      <c r="G552" s="3" t="str">
        <f ca="1">IFERROR(__xludf.DUMMYFUNCTION("""COMPUTED_VALUE"""),"facebook post low season")</f>
        <v>facebook post low season</v>
      </c>
      <c r="H552" s="3">
        <f ca="1">IFERROR(__xludf.DUMMYFUNCTION("""COMPUTED_VALUE"""),1)</f>
        <v>1</v>
      </c>
      <c r="I552" s="5">
        <f ca="1">IFERROR(__xludf.DUMMYFUNCTION("""COMPUTED_VALUE"""),1)</f>
        <v>1</v>
      </c>
      <c r="J552" s="5">
        <f ca="1">IFERROR(__xludf.DUMMYFUNCTION("""COMPUTED_VALUE"""),18000)</f>
        <v>18000</v>
      </c>
      <c r="K552" s="3"/>
      <c r="L552" s="3" t="str">
        <f ca="1">IFERROR(__xludf.DUMMYFUNCTION("""COMPUTED_VALUE"""),"Cost per instance")</f>
        <v>Cost per instance</v>
      </c>
      <c r="M552" s="3"/>
      <c r="N552" s="3"/>
      <c r="O552" s="3"/>
      <c r="P552" s="3"/>
      <c r="Q552" s="3"/>
      <c r="R552" s="3"/>
      <c r="S552" s="3" t="str">
        <f ca="1">IFERROR(__xludf.DUMMYFUNCTION("""COMPUTED_VALUE"""),"100")</f>
        <v>100</v>
      </c>
      <c r="T552" s="3"/>
      <c r="U552" s="3" t="str">
        <f ca="1">IFERROR(__xludf.DUMMYFUNCTION("""COMPUTED_VALUE"""),"SoMe facebook")</f>
        <v>SoMe facebook</v>
      </c>
      <c r="V552" s="3"/>
      <c r="W552" s="4" t="str">
        <f ca="1">IFERROR(__xludf.DUMMYFUNCTION("""COMPUTED_VALUE"""),"https://www.facebook.com/business/ads-guide/image/facebook-feed")</f>
        <v>https://www.facebook.com/business/ads-guide/image/facebook-feed</v>
      </c>
      <c r="X552" s="3"/>
      <c r="Y552" s="3"/>
      <c r="Z552" s="3" t="str">
        <f ca="1">IFERROR(__xludf.DUMMYFUNCTION("""COMPUTED_VALUE"""),"podklady@cncenter.cz")</f>
        <v>podklady@cncenter.cz</v>
      </c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 t="str">
        <f ca="1">IFERROR(__xludf.DUMMYFUNCTION("""COMPUTED_VALUE"""),"cross-device")</f>
        <v>cross-device</v>
      </c>
      <c r="AO552" s="3"/>
      <c r="AP552" s="3"/>
      <c r="AQ552" s="3"/>
      <c r="AR552" s="3"/>
      <c r="AS552" s="3"/>
      <c r="AT552" s="3"/>
      <c r="AU552" s="3" t="str">
        <f ca="1">IFERROR(__xludf.DUMMYFUNCTION("""COMPUTED_VALUE"""),"facebook post")</f>
        <v>facebook post</v>
      </c>
    </row>
    <row r="553" spans="1:47" x14ac:dyDescent="0.3">
      <c r="A553" s="3">
        <f ca="1"/>
        <v>2346826</v>
      </c>
      <c r="B553" s="3" t="str">
        <f ca="1"/>
        <v>CZECH NEWS CENTER a. s.</v>
      </c>
      <c r="C553" s="3" t="str">
        <f ca="1">IFERROR(__xludf.DUMMYFUNCTION("""COMPUTED_VALUE"""),"Facebookový profil Auto")</f>
        <v>Facebookový profil Auto</v>
      </c>
      <c r="D553" s="4" t="str">
        <f ca="1">IFERROR(__xludf.DUMMYFUNCTION("""COMPUTED_VALUE"""),"www.facebook.com")</f>
        <v>www.facebook.com</v>
      </c>
      <c r="E553" s="3" t="str">
        <f ca="1">IFERROR(__xludf.DUMMYFUNCTION("""COMPUTED_VALUE"""),"FB stránka")</f>
        <v>FB stránka</v>
      </c>
      <c r="F553" s="4" t="str">
        <f ca="1">IFERROR(__xludf.DUMMYFUNCTION("""COMPUTED_VALUE"""),"www.facebook.com")</f>
        <v>www.facebook.com</v>
      </c>
      <c r="G553" s="3" t="str">
        <f ca="1">IFERROR(__xludf.DUMMYFUNCTION("""COMPUTED_VALUE"""),"facebook post low season")</f>
        <v>facebook post low season</v>
      </c>
      <c r="H553" s="3">
        <f ca="1">IFERROR(__xludf.DUMMYFUNCTION("""COMPUTED_VALUE"""),1)</f>
        <v>1</v>
      </c>
      <c r="I553" s="5">
        <f ca="1">IFERROR(__xludf.DUMMYFUNCTION("""COMPUTED_VALUE"""),1)</f>
        <v>1</v>
      </c>
      <c r="J553" s="5">
        <f ca="1">IFERROR(__xludf.DUMMYFUNCTION("""COMPUTED_VALUE"""),23000)</f>
        <v>23000</v>
      </c>
      <c r="K553" s="3"/>
      <c r="L553" s="3" t="str">
        <f ca="1">IFERROR(__xludf.DUMMYFUNCTION("""COMPUTED_VALUE"""),"Cost per instance")</f>
        <v>Cost per instance</v>
      </c>
      <c r="M553" s="3"/>
      <c r="N553" s="3"/>
      <c r="O553" s="3"/>
      <c r="P553" s="3"/>
      <c r="Q553" s="3"/>
      <c r="R553" s="3"/>
      <c r="S553" s="3" t="str">
        <f ca="1">IFERROR(__xludf.DUMMYFUNCTION("""COMPUTED_VALUE"""),"100")</f>
        <v>100</v>
      </c>
      <c r="T553" s="3"/>
      <c r="U553" s="3" t="str">
        <f ca="1">IFERROR(__xludf.DUMMYFUNCTION("""COMPUTED_VALUE"""),"SoMe facebook")</f>
        <v>SoMe facebook</v>
      </c>
      <c r="V553" s="3"/>
      <c r="W553" s="4" t="str">
        <f ca="1">IFERROR(__xludf.DUMMYFUNCTION("""COMPUTED_VALUE"""),"https://www.facebook.com/business/ads-guide/image/facebook-feed")</f>
        <v>https://www.facebook.com/business/ads-guide/image/facebook-feed</v>
      </c>
      <c r="X553" s="3"/>
      <c r="Y553" s="3"/>
      <c r="Z553" s="3" t="str">
        <f ca="1">IFERROR(__xludf.DUMMYFUNCTION("""COMPUTED_VALUE"""),"podklady@cncenter.cz")</f>
        <v>podklady@cncenter.cz</v>
      </c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 t="str">
        <f ca="1">IFERROR(__xludf.DUMMYFUNCTION("""COMPUTED_VALUE"""),"cross-device")</f>
        <v>cross-device</v>
      </c>
      <c r="AO553" s="3"/>
      <c r="AP553" s="3"/>
      <c r="AQ553" s="3"/>
      <c r="AR553" s="3"/>
      <c r="AS553" s="3"/>
      <c r="AT553" s="3"/>
      <c r="AU553" s="3" t="str">
        <f ca="1">IFERROR(__xludf.DUMMYFUNCTION("""COMPUTED_VALUE"""),"facebook post")</f>
        <v>facebook post</v>
      </c>
    </row>
    <row r="554" spans="1:47" x14ac:dyDescent="0.3">
      <c r="A554" s="3">
        <f ca="1"/>
        <v>2346826</v>
      </c>
      <c r="B554" s="3" t="str">
        <f ca="1"/>
        <v>CZECH NEWS CENTER a. s.</v>
      </c>
      <c r="C554" s="3" t="str">
        <f ca="1">IFERROR(__xludf.DUMMYFUNCTION("""COMPUTED_VALUE"""),"Facebookový profil AutoTip")</f>
        <v>Facebookový profil AutoTip</v>
      </c>
      <c r="D554" s="4" t="str">
        <f ca="1">IFERROR(__xludf.DUMMYFUNCTION("""COMPUTED_VALUE"""),"www.facebook.com")</f>
        <v>www.facebook.com</v>
      </c>
      <c r="E554" s="3" t="str">
        <f ca="1">IFERROR(__xludf.DUMMYFUNCTION("""COMPUTED_VALUE"""),"FB stránka")</f>
        <v>FB stránka</v>
      </c>
      <c r="F554" s="4" t="str">
        <f ca="1">IFERROR(__xludf.DUMMYFUNCTION("""COMPUTED_VALUE"""),"www.facebook.com")</f>
        <v>www.facebook.com</v>
      </c>
      <c r="G554" s="3" t="str">
        <f ca="1">IFERROR(__xludf.DUMMYFUNCTION("""COMPUTED_VALUE"""),"facebook post low season")</f>
        <v>facebook post low season</v>
      </c>
      <c r="H554" s="3">
        <f ca="1">IFERROR(__xludf.DUMMYFUNCTION("""COMPUTED_VALUE"""),1)</f>
        <v>1</v>
      </c>
      <c r="I554" s="5">
        <f ca="1">IFERROR(__xludf.DUMMYFUNCTION("""COMPUTED_VALUE"""),1)</f>
        <v>1</v>
      </c>
      <c r="J554" s="5">
        <f ca="1">IFERROR(__xludf.DUMMYFUNCTION("""COMPUTED_VALUE"""),18000)</f>
        <v>18000</v>
      </c>
      <c r="K554" s="3"/>
      <c r="L554" s="3" t="str">
        <f ca="1">IFERROR(__xludf.DUMMYFUNCTION("""COMPUTED_VALUE"""),"Cost per instance")</f>
        <v>Cost per instance</v>
      </c>
      <c r="M554" s="3"/>
      <c r="N554" s="3"/>
      <c r="O554" s="3"/>
      <c r="P554" s="3"/>
      <c r="Q554" s="3"/>
      <c r="R554" s="3"/>
      <c r="S554" s="3" t="str">
        <f ca="1">IFERROR(__xludf.DUMMYFUNCTION("""COMPUTED_VALUE"""),"100")</f>
        <v>100</v>
      </c>
      <c r="T554" s="3"/>
      <c r="U554" s="3" t="str">
        <f ca="1">IFERROR(__xludf.DUMMYFUNCTION("""COMPUTED_VALUE"""),"SoMe facebook")</f>
        <v>SoMe facebook</v>
      </c>
      <c r="V554" s="3"/>
      <c r="W554" s="4" t="str">
        <f ca="1">IFERROR(__xludf.DUMMYFUNCTION("""COMPUTED_VALUE"""),"https://www.facebook.com/business/ads-guide/image/facebook-feed")</f>
        <v>https://www.facebook.com/business/ads-guide/image/facebook-feed</v>
      </c>
      <c r="X554" s="3"/>
      <c r="Y554" s="3"/>
      <c r="Z554" s="3" t="str">
        <f ca="1">IFERROR(__xludf.DUMMYFUNCTION("""COMPUTED_VALUE"""),"podklady@cncenter.cz")</f>
        <v>podklady@cncenter.cz</v>
      </c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 t="str">
        <f ca="1">IFERROR(__xludf.DUMMYFUNCTION("""COMPUTED_VALUE"""),"cross-device")</f>
        <v>cross-device</v>
      </c>
      <c r="AO554" s="3"/>
      <c r="AP554" s="3"/>
      <c r="AQ554" s="3"/>
      <c r="AR554" s="3"/>
      <c r="AS554" s="3"/>
      <c r="AT554" s="3"/>
      <c r="AU554" s="3" t="str">
        <f ca="1">IFERROR(__xludf.DUMMYFUNCTION("""COMPUTED_VALUE"""),"facebook post")</f>
        <v>facebook post</v>
      </c>
    </row>
    <row r="555" spans="1:47" x14ac:dyDescent="0.3">
      <c r="A555" s="3">
        <f ca="1"/>
        <v>2346826</v>
      </c>
      <c r="B555" s="3" t="str">
        <f ca="1"/>
        <v>CZECH NEWS CENTER a. s.</v>
      </c>
      <c r="C555" s="3" t="str">
        <f ca="1">IFERROR(__xludf.DUMMYFUNCTION("""COMPUTED_VALUE"""),"Facebookový profil Blesk")</f>
        <v>Facebookový profil Blesk</v>
      </c>
      <c r="D555" s="4" t="str">
        <f ca="1">IFERROR(__xludf.DUMMYFUNCTION("""COMPUTED_VALUE"""),"www.facebook.com")</f>
        <v>www.facebook.com</v>
      </c>
      <c r="E555" s="3" t="str">
        <f ca="1">IFERROR(__xludf.DUMMYFUNCTION("""COMPUTED_VALUE"""),"FB stránka")</f>
        <v>FB stránka</v>
      </c>
      <c r="F555" s="4" t="str">
        <f ca="1">IFERROR(__xludf.DUMMYFUNCTION("""COMPUTED_VALUE"""),"www.facebook.com")</f>
        <v>www.facebook.com</v>
      </c>
      <c r="G555" s="3" t="str">
        <f ca="1">IFERROR(__xludf.DUMMYFUNCTION("""COMPUTED_VALUE"""),"facebook post low season")</f>
        <v>facebook post low season</v>
      </c>
      <c r="H555" s="3">
        <f ca="1">IFERROR(__xludf.DUMMYFUNCTION("""COMPUTED_VALUE"""),1)</f>
        <v>1</v>
      </c>
      <c r="I555" s="5">
        <f ca="1">IFERROR(__xludf.DUMMYFUNCTION("""COMPUTED_VALUE"""),1)</f>
        <v>1</v>
      </c>
      <c r="J555" s="5">
        <f ca="1">IFERROR(__xludf.DUMMYFUNCTION("""COMPUTED_VALUE"""),23000)</f>
        <v>23000</v>
      </c>
      <c r="K555" s="3"/>
      <c r="L555" s="3" t="str">
        <f ca="1">IFERROR(__xludf.DUMMYFUNCTION("""COMPUTED_VALUE"""),"Cost per instance")</f>
        <v>Cost per instance</v>
      </c>
      <c r="M555" s="3"/>
      <c r="N555" s="3"/>
      <c r="O555" s="3"/>
      <c r="P555" s="3"/>
      <c r="Q555" s="3"/>
      <c r="R555" s="3"/>
      <c r="S555" s="3" t="str">
        <f ca="1">IFERROR(__xludf.DUMMYFUNCTION("""COMPUTED_VALUE"""),"100")</f>
        <v>100</v>
      </c>
      <c r="T555" s="3"/>
      <c r="U555" s="3" t="str">
        <f ca="1">IFERROR(__xludf.DUMMYFUNCTION("""COMPUTED_VALUE"""),"SoMe facebook")</f>
        <v>SoMe facebook</v>
      </c>
      <c r="V555" s="3"/>
      <c r="W555" s="4" t="str">
        <f ca="1">IFERROR(__xludf.DUMMYFUNCTION("""COMPUTED_VALUE"""),"https://www.facebook.com/business/ads-guide/image/facebook-feed")</f>
        <v>https://www.facebook.com/business/ads-guide/image/facebook-feed</v>
      </c>
      <c r="X555" s="3"/>
      <c r="Y555" s="3"/>
      <c r="Z555" s="3" t="str">
        <f ca="1">IFERROR(__xludf.DUMMYFUNCTION("""COMPUTED_VALUE"""),"podklady@cncenter.cz")</f>
        <v>podklady@cncenter.cz</v>
      </c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 t="str">
        <f ca="1">IFERROR(__xludf.DUMMYFUNCTION("""COMPUTED_VALUE"""),"cross-device")</f>
        <v>cross-device</v>
      </c>
      <c r="AO555" s="3"/>
      <c r="AP555" s="3"/>
      <c r="AQ555" s="3"/>
      <c r="AR555" s="3"/>
      <c r="AS555" s="3"/>
      <c r="AT555" s="3"/>
      <c r="AU555" s="3" t="str">
        <f ca="1">IFERROR(__xludf.DUMMYFUNCTION("""COMPUTED_VALUE"""),"facebook post")</f>
        <v>facebook post</v>
      </c>
    </row>
    <row r="556" spans="1:47" x14ac:dyDescent="0.3">
      <c r="A556" s="3">
        <f ca="1"/>
        <v>2346826</v>
      </c>
      <c r="B556" s="3" t="str">
        <f ca="1"/>
        <v>CZECH NEWS CENTER a. s.</v>
      </c>
      <c r="C556" s="3" t="str">
        <f ca="1">IFERROR(__xludf.DUMMYFUNCTION("""COMPUTED_VALUE"""),"Facebookový profil Blesk pro ženy")</f>
        <v>Facebookový profil Blesk pro ženy</v>
      </c>
      <c r="D556" s="4" t="str">
        <f ca="1">IFERROR(__xludf.DUMMYFUNCTION("""COMPUTED_VALUE"""),"www.facebook.com")</f>
        <v>www.facebook.com</v>
      </c>
      <c r="E556" s="3" t="str">
        <f ca="1">IFERROR(__xludf.DUMMYFUNCTION("""COMPUTED_VALUE"""),"FB stránka")</f>
        <v>FB stránka</v>
      </c>
      <c r="F556" s="4" t="str">
        <f ca="1">IFERROR(__xludf.DUMMYFUNCTION("""COMPUTED_VALUE"""),"www.facebook.com")</f>
        <v>www.facebook.com</v>
      </c>
      <c r="G556" s="3" t="str">
        <f ca="1">IFERROR(__xludf.DUMMYFUNCTION("""COMPUTED_VALUE"""),"facebook post low season")</f>
        <v>facebook post low season</v>
      </c>
      <c r="H556" s="3">
        <f ca="1">IFERROR(__xludf.DUMMYFUNCTION("""COMPUTED_VALUE"""),1)</f>
        <v>1</v>
      </c>
      <c r="I556" s="5">
        <f ca="1">IFERROR(__xludf.DUMMYFUNCTION("""COMPUTED_VALUE"""),1)</f>
        <v>1</v>
      </c>
      <c r="J556" s="5">
        <f ca="1">IFERROR(__xludf.DUMMYFUNCTION("""COMPUTED_VALUE"""),23000)</f>
        <v>23000</v>
      </c>
      <c r="K556" s="3"/>
      <c r="L556" s="3" t="str">
        <f ca="1">IFERROR(__xludf.DUMMYFUNCTION("""COMPUTED_VALUE"""),"Cost per instance")</f>
        <v>Cost per instance</v>
      </c>
      <c r="M556" s="3"/>
      <c r="N556" s="3"/>
      <c r="O556" s="3"/>
      <c r="P556" s="3"/>
      <c r="Q556" s="3"/>
      <c r="R556" s="3"/>
      <c r="S556" s="3" t="str">
        <f ca="1">IFERROR(__xludf.DUMMYFUNCTION("""COMPUTED_VALUE"""),"100")</f>
        <v>100</v>
      </c>
      <c r="T556" s="3"/>
      <c r="U556" s="3" t="str">
        <f ca="1">IFERROR(__xludf.DUMMYFUNCTION("""COMPUTED_VALUE"""),"SoMe facebook")</f>
        <v>SoMe facebook</v>
      </c>
      <c r="V556" s="3"/>
      <c r="W556" s="4" t="str">
        <f ca="1">IFERROR(__xludf.DUMMYFUNCTION("""COMPUTED_VALUE"""),"https://www.facebook.com/business/ads-guide/image/facebook-feed")</f>
        <v>https://www.facebook.com/business/ads-guide/image/facebook-feed</v>
      </c>
      <c r="X556" s="3"/>
      <c r="Y556" s="3"/>
      <c r="Z556" s="3" t="str">
        <f ca="1">IFERROR(__xludf.DUMMYFUNCTION("""COMPUTED_VALUE"""),"podklady@cncenter.cz")</f>
        <v>podklady@cncenter.cz</v>
      </c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 t="str">
        <f ca="1">IFERROR(__xludf.DUMMYFUNCTION("""COMPUTED_VALUE"""),"cross-device")</f>
        <v>cross-device</v>
      </c>
      <c r="AO556" s="3"/>
      <c r="AP556" s="3"/>
      <c r="AQ556" s="3"/>
      <c r="AR556" s="3"/>
      <c r="AS556" s="3"/>
      <c r="AT556" s="3"/>
      <c r="AU556" s="3" t="str">
        <f ca="1">IFERROR(__xludf.DUMMYFUNCTION("""COMPUTED_VALUE"""),"facebook post")</f>
        <v>facebook post</v>
      </c>
    </row>
    <row r="557" spans="1:47" x14ac:dyDescent="0.3">
      <c r="A557" s="3">
        <f ca="1"/>
        <v>2346826</v>
      </c>
      <c r="B557" s="3" t="str">
        <f ca="1"/>
        <v>CZECH NEWS CENTER a. s.</v>
      </c>
      <c r="C557" s="3" t="str">
        <f ca="1">IFERROR(__xludf.DUMMYFUNCTION("""COMPUTED_VALUE"""),"Facebookový profil Doupě")</f>
        <v>Facebookový profil Doupě</v>
      </c>
      <c r="D557" s="4" t="str">
        <f ca="1">IFERROR(__xludf.DUMMYFUNCTION("""COMPUTED_VALUE"""),"www.facebook.com")</f>
        <v>www.facebook.com</v>
      </c>
      <c r="E557" s="3" t="str">
        <f ca="1">IFERROR(__xludf.DUMMYFUNCTION("""COMPUTED_VALUE"""),"FB stránka")</f>
        <v>FB stránka</v>
      </c>
      <c r="F557" s="4" t="str">
        <f ca="1">IFERROR(__xludf.DUMMYFUNCTION("""COMPUTED_VALUE"""),"www.facebook.com")</f>
        <v>www.facebook.com</v>
      </c>
      <c r="G557" s="3" t="str">
        <f ca="1">IFERROR(__xludf.DUMMYFUNCTION("""COMPUTED_VALUE"""),"facebook post low season")</f>
        <v>facebook post low season</v>
      </c>
      <c r="H557" s="3">
        <f ca="1">IFERROR(__xludf.DUMMYFUNCTION("""COMPUTED_VALUE"""),1)</f>
        <v>1</v>
      </c>
      <c r="I557" s="5">
        <f ca="1">IFERROR(__xludf.DUMMYFUNCTION("""COMPUTED_VALUE"""),1)</f>
        <v>1</v>
      </c>
      <c r="J557" s="5">
        <f ca="1">IFERROR(__xludf.DUMMYFUNCTION("""COMPUTED_VALUE"""),18000)</f>
        <v>18000</v>
      </c>
      <c r="K557" s="3"/>
      <c r="L557" s="3" t="str">
        <f ca="1">IFERROR(__xludf.DUMMYFUNCTION("""COMPUTED_VALUE"""),"Cost per instance")</f>
        <v>Cost per instance</v>
      </c>
      <c r="M557" s="3"/>
      <c r="N557" s="3"/>
      <c r="O557" s="3"/>
      <c r="P557" s="3"/>
      <c r="Q557" s="3"/>
      <c r="R557" s="3"/>
      <c r="S557" s="3" t="str">
        <f ca="1">IFERROR(__xludf.DUMMYFUNCTION("""COMPUTED_VALUE"""),"100")</f>
        <v>100</v>
      </c>
      <c r="T557" s="3"/>
      <c r="U557" s="3" t="str">
        <f ca="1">IFERROR(__xludf.DUMMYFUNCTION("""COMPUTED_VALUE"""),"SoMe facebook")</f>
        <v>SoMe facebook</v>
      </c>
      <c r="V557" s="3"/>
      <c r="W557" s="4" t="str">
        <f ca="1">IFERROR(__xludf.DUMMYFUNCTION("""COMPUTED_VALUE"""),"https://www.facebook.com/business/ads-guide/image/facebook-feed")</f>
        <v>https://www.facebook.com/business/ads-guide/image/facebook-feed</v>
      </c>
      <c r="X557" s="3"/>
      <c r="Y557" s="3"/>
      <c r="Z557" s="3" t="str">
        <f ca="1">IFERROR(__xludf.DUMMYFUNCTION("""COMPUTED_VALUE"""),"podklady@cncenter.cz")</f>
        <v>podklady@cncenter.cz</v>
      </c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 t="str">
        <f ca="1">IFERROR(__xludf.DUMMYFUNCTION("""COMPUTED_VALUE"""),"cross-device")</f>
        <v>cross-device</v>
      </c>
      <c r="AO557" s="3"/>
      <c r="AP557" s="3"/>
      <c r="AQ557" s="3"/>
      <c r="AR557" s="3"/>
      <c r="AS557" s="3"/>
      <c r="AT557" s="3"/>
      <c r="AU557" s="3" t="str">
        <f ca="1">IFERROR(__xludf.DUMMYFUNCTION("""COMPUTED_VALUE"""),"facebook post")</f>
        <v>facebook post</v>
      </c>
    </row>
    <row r="558" spans="1:47" x14ac:dyDescent="0.3">
      <c r="A558" s="3">
        <f ca="1"/>
        <v>2346826</v>
      </c>
      <c r="B558" s="3" t="str">
        <f ca="1"/>
        <v>CZECH NEWS CENTER a. s.</v>
      </c>
      <c r="C558" s="3" t="str">
        <f ca="1">IFERROR(__xludf.DUMMYFUNCTION("""COMPUTED_VALUE"""),"Facebookový profil E15")</f>
        <v>Facebookový profil E15</v>
      </c>
      <c r="D558" s="4" t="str">
        <f ca="1">IFERROR(__xludf.DUMMYFUNCTION("""COMPUTED_VALUE"""),"www.facebook.com")</f>
        <v>www.facebook.com</v>
      </c>
      <c r="E558" s="3" t="str">
        <f ca="1">IFERROR(__xludf.DUMMYFUNCTION("""COMPUTED_VALUE"""),"FB stránka")</f>
        <v>FB stránka</v>
      </c>
      <c r="F558" s="4" t="str">
        <f ca="1">IFERROR(__xludf.DUMMYFUNCTION("""COMPUTED_VALUE"""),"www.facebook.com")</f>
        <v>www.facebook.com</v>
      </c>
      <c r="G558" s="3" t="str">
        <f ca="1">IFERROR(__xludf.DUMMYFUNCTION("""COMPUTED_VALUE"""),"facebook post low season")</f>
        <v>facebook post low season</v>
      </c>
      <c r="H558" s="3">
        <f ca="1">IFERROR(__xludf.DUMMYFUNCTION("""COMPUTED_VALUE"""),1)</f>
        <v>1</v>
      </c>
      <c r="I558" s="5">
        <f ca="1">IFERROR(__xludf.DUMMYFUNCTION("""COMPUTED_VALUE"""),1)</f>
        <v>1</v>
      </c>
      <c r="J558" s="5">
        <f ca="1">IFERROR(__xludf.DUMMYFUNCTION("""COMPUTED_VALUE"""),23000)</f>
        <v>23000</v>
      </c>
      <c r="K558" s="3"/>
      <c r="L558" s="3" t="str">
        <f ca="1">IFERROR(__xludf.DUMMYFUNCTION("""COMPUTED_VALUE"""),"Cost per instance")</f>
        <v>Cost per instance</v>
      </c>
      <c r="M558" s="3"/>
      <c r="N558" s="3"/>
      <c r="O558" s="3"/>
      <c r="P558" s="3"/>
      <c r="Q558" s="3"/>
      <c r="R558" s="3"/>
      <c r="S558" s="3" t="str">
        <f ca="1">IFERROR(__xludf.DUMMYFUNCTION("""COMPUTED_VALUE"""),"100")</f>
        <v>100</v>
      </c>
      <c r="T558" s="3"/>
      <c r="U558" s="3" t="str">
        <f ca="1">IFERROR(__xludf.DUMMYFUNCTION("""COMPUTED_VALUE"""),"SoMe facebook")</f>
        <v>SoMe facebook</v>
      </c>
      <c r="V558" s="3"/>
      <c r="W558" s="4" t="str">
        <f ca="1">IFERROR(__xludf.DUMMYFUNCTION("""COMPUTED_VALUE"""),"https://www.facebook.com/business/ads-guide/image/facebook-feed")</f>
        <v>https://www.facebook.com/business/ads-guide/image/facebook-feed</v>
      </c>
      <c r="X558" s="3"/>
      <c r="Y558" s="3"/>
      <c r="Z558" s="3" t="str">
        <f ca="1">IFERROR(__xludf.DUMMYFUNCTION("""COMPUTED_VALUE"""),"podklady@cncenter.cz")</f>
        <v>podklady@cncenter.cz</v>
      </c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 t="str">
        <f ca="1">IFERROR(__xludf.DUMMYFUNCTION("""COMPUTED_VALUE"""),"cross-device")</f>
        <v>cross-device</v>
      </c>
      <c r="AO558" s="3"/>
      <c r="AP558" s="3"/>
      <c r="AQ558" s="3"/>
      <c r="AR558" s="3"/>
      <c r="AS558" s="3"/>
      <c r="AT558" s="3"/>
      <c r="AU558" s="3" t="str">
        <f ca="1">IFERROR(__xludf.DUMMYFUNCTION("""COMPUTED_VALUE"""),"facebook post")</f>
        <v>facebook post</v>
      </c>
    </row>
    <row r="559" spans="1:47" x14ac:dyDescent="0.3">
      <c r="A559" s="3">
        <f ca="1"/>
        <v>2346826</v>
      </c>
      <c r="B559" s="3" t="str">
        <f ca="1"/>
        <v>CZECH NEWS CENTER a. s.</v>
      </c>
      <c r="C559" s="3" t="str">
        <f ca="1">IFERROR(__xludf.DUMMYFUNCTION("""COMPUTED_VALUE"""),"Facebookový profil Evropa 2")</f>
        <v>Facebookový profil Evropa 2</v>
      </c>
      <c r="D559" s="4" t="str">
        <f ca="1">IFERROR(__xludf.DUMMYFUNCTION("""COMPUTED_VALUE"""),"www.facebook.com")</f>
        <v>www.facebook.com</v>
      </c>
      <c r="E559" s="3" t="str">
        <f ca="1">IFERROR(__xludf.DUMMYFUNCTION("""COMPUTED_VALUE"""),"FB stránka")</f>
        <v>FB stránka</v>
      </c>
      <c r="F559" s="4" t="str">
        <f ca="1">IFERROR(__xludf.DUMMYFUNCTION("""COMPUTED_VALUE"""),"www.facebook.com")</f>
        <v>www.facebook.com</v>
      </c>
      <c r="G559" s="3" t="str">
        <f ca="1">IFERROR(__xludf.DUMMYFUNCTION("""COMPUTED_VALUE"""),"facebook post low season")</f>
        <v>facebook post low season</v>
      </c>
      <c r="H559" s="3">
        <f ca="1">IFERROR(__xludf.DUMMYFUNCTION("""COMPUTED_VALUE"""),1)</f>
        <v>1</v>
      </c>
      <c r="I559" s="5">
        <f ca="1">IFERROR(__xludf.DUMMYFUNCTION("""COMPUTED_VALUE"""),1)</f>
        <v>1</v>
      </c>
      <c r="J559" s="5">
        <f ca="1">IFERROR(__xludf.DUMMYFUNCTION("""COMPUTED_VALUE"""),225000)</f>
        <v>225000</v>
      </c>
      <c r="K559" s="3"/>
      <c r="L559" s="3" t="str">
        <f ca="1">IFERROR(__xludf.DUMMYFUNCTION("""COMPUTED_VALUE"""),"Cost per instance")</f>
        <v>Cost per instance</v>
      </c>
      <c r="M559" s="3"/>
      <c r="N559" s="3"/>
      <c r="O559" s="3"/>
      <c r="P559" s="3"/>
      <c r="Q559" s="3"/>
      <c r="R559" s="3"/>
      <c r="S559" s="3" t="str">
        <f ca="1">IFERROR(__xludf.DUMMYFUNCTION("""COMPUTED_VALUE"""),"100")</f>
        <v>100</v>
      </c>
      <c r="T559" s="3"/>
      <c r="U559" s="3" t="str">
        <f ca="1">IFERROR(__xludf.DUMMYFUNCTION("""COMPUTED_VALUE"""),"SoMe facebook")</f>
        <v>SoMe facebook</v>
      </c>
      <c r="V559" s="3"/>
      <c r="W559" s="4" t="str">
        <f ca="1">IFERROR(__xludf.DUMMYFUNCTION("""COMPUTED_VALUE"""),"https://www.facebook.com/business/ads-guide/image/facebook-feed")</f>
        <v>https://www.facebook.com/business/ads-guide/image/facebook-feed</v>
      </c>
      <c r="X559" s="3"/>
      <c r="Y559" s="3"/>
      <c r="Z559" s="3" t="str">
        <f ca="1">IFERROR(__xludf.DUMMYFUNCTION("""COMPUTED_VALUE"""),"podklady@cncenter.cz")</f>
        <v>podklady@cncenter.cz</v>
      </c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 t="str">
        <f ca="1">IFERROR(__xludf.DUMMYFUNCTION("""COMPUTED_VALUE"""),"cross-device")</f>
        <v>cross-device</v>
      </c>
      <c r="AO559" s="3"/>
      <c r="AP559" s="3"/>
      <c r="AQ559" s="3"/>
      <c r="AR559" s="3"/>
      <c r="AS559" s="3"/>
      <c r="AT559" s="3"/>
      <c r="AU559" s="3" t="str">
        <f ca="1">IFERROR(__xludf.DUMMYFUNCTION("""COMPUTED_VALUE"""),"facebook post")</f>
        <v>facebook post</v>
      </c>
    </row>
    <row r="560" spans="1:47" x14ac:dyDescent="0.3">
      <c r="A560" s="3">
        <f ca="1"/>
        <v>2346826</v>
      </c>
      <c r="B560" s="3" t="str">
        <f ca="1"/>
        <v>CZECH NEWS CENTER a. s.</v>
      </c>
      <c r="C560" s="3" t="str">
        <f ca="1">IFERROR(__xludf.DUMMYFUNCTION("""COMPUTED_VALUE"""),"Facebookový profil F.O.O.D.")</f>
        <v>Facebookový profil F.O.O.D.</v>
      </c>
      <c r="D560" s="4" t="str">
        <f ca="1">IFERROR(__xludf.DUMMYFUNCTION("""COMPUTED_VALUE"""),"www.facebook.com")</f>
        <v>www.facebook.com</v>
      </c>
      <c r="E560" s="3" t="str">
        <f ca="1">IFERROR(__xludf.DUMMYFUNCTION("""COMPUTED_VALUE"""),"FB stránka")</f>
        <v>FB stránka</v>
      </c>
      <c r="F560" s="4" t="str">
        <f ca="1">IFERROR(__xludf.DUMMYFUNCTION("""COMPUTED_VALUE"""),"www.facebook.com")</f>
        <v>www.facebook.com</v>
      </c>
      <c r="G560" s="3" t="str">
        <f ca="1">IFERROR(__xludf.DUMMYFUNCTION("""COMPUTED_VALUE"""),"facebook post low season")</f>
        <v>facebook post low season</v>
      </c>
      <c r="H560" s="3">
        <f ca="1">IFERROR(__xludf.DUMMYFUNCTION("""COMPUTED_VALUE"""),1)</f>
        <v>1</v>
      </c>
      <c r="I560" s="5">
        <f ca="1">IFERROR(__xludf.DUMMYFUNCTION("""COMPUTED_VALUE"""),1)</f>
        <v>1</v>
      </c>
      <c r="J560" s="5">
        <f ca="1">IFERROR(__xludf.DUMMYFUNCTION("""COMPUTED_VALUE"""),18000)</f>
        <v>18000</v>
      </c>
      <c r="K560" s="3"/>
      <c r="L560" s="3" t="str">
        <f ca="1">IFERROR(__xludf.DUMMYFUNCTION("""COMPUTED_VALUE"""),"Cost per instance")</f>
        <v>Cost per instance</v>
      </c>
      <c r="M560" s="3"/>
      <c r="N560" s="3"/>
      <c r="O560" s="3"/>
      <c r="P560" s="3"/>
      <c r="Q560" s="3"/>
      <c r="R560" s="3"/>
      <c r="S560" s="3" t="str">
        <f ca="1">IFERROR(__xludf.DUMMYFUNCTION("""COMPUTED_VALUE"""),"100")</f>
        <v>100</v>
      </c>
      <c r="T560" s="3"/>
      <c r="U560" s="3" t="str">
        <f ca="1">IFERROR(__xludf.DUMMYFUNCTION("""COMPUTED_VALUE"""),"SoMe facebook")</f>
        <v>SoMe facebook</v>
      </c>
      <c r="V560" s="3"/>
      <c r="W560" s="4" t="str">
        <f ca="1">IFERROR(__xludf.DUMMYFUNCTION("""COMPUTED_VALUE"""),"https://www.facebook.com/business/ads-guide/image/facebook-feed")</f>
        <v>https://www.facebook.com/business/ads-guide/image/facebook-feed</v>
      </c>
      <c r="X560" s="3"/>
      <c r="Y560" s="3"/>
      <c r="Z560" s="3" t="str">
        <f ca="1">IFERROR(__xludf.DUMMYFUNCTION("""COMPUTED_VALUE"""),"podklady@cncenter.cz")</f>
        <v>podklady@cncenter.cz</v>
      </c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 t="str">
        <f ca="1">IFERROR(__xludf.DUMMYFUNCTION("""COMPUTED_VALUE"""),"cross-device")</f>
        <v>cross-device</v>
      </c>
      <c r="AO560" s="3"/>
      <c r="AP560" s="3"/>
      <c r="AQ560" s="3"/>
      <c r="AR560" s="3"/>
      <c r="AS560" s="3"/>
      <c r="AT560" s="3"/>
      <c r="AU560" s="3" t="str">
        <f ca="1">IFERROR(__xludf.DUMMYFUNCTION("""COMPUTED_VALUE"""),"facebook post")</f>
        <v>facebook post</v>
      </c>
    </row>
    <row r="561" spans="1:47" x14ac:dyDescent="0.3">
      <c r="A561" s="3">
        <f ca="1"/>
        <v>2346826</v>
      </c>
      <c r="B561" s="3" t="str">
        <f ca="1"/>
        <v>CZECH NEWS CENTER a. s.</v>
      </c>
      <c r="C561" s="3" t="str">
        <f ca="1">IFERROR(__xludf.DUMMYFUNCTION("""COMPUTED_VALUE"""),"Facebookový profil Frekvence 1")</f>
        <v>Facebookový profil Frekvence 1</v>
      </c>
      <c r="D561" s="4" t="str">
        <f ca="1">IFERROR(__xludf.DUMMYFUNCTION("""COMPUTED_VALUE"""),"www.facebook.com")</f>
        <v>www.facebook.com</v>
      </c>
      <c r="E561" s="3" t="str">
        <f ca="1">IFERROR(__xludf.DUMMYFUNCTION("""COMPUTED_VALUE"""),"FB stránka")</f>
        <v>FB stránka</v>
      </c>
      <c r="F561" s="4" t="str">
        <f ca="1">IFERROR(__xludf.DUMMYFUNCTION("""COMPUTED_VALUE"""),"www.facebook.com")</f>
        <v>www.facebook.com</v>
      </c>
      <c r="G561" s="3" t="str">
        <f ca="1">IFERROR(__xludf.DUMMYFUNCTION("""COMPUTED_VALUE"""),"facebook post low season")</f>
        <v>facebook post low season</v>
      </c>
      <c r="H561" s="3">
        <f ca="1">IFERROR(__xludf.DUMMYFUNCTION("""COMPUTED_VALUE"""),1)</f>
        <v>1</v>
      </c>
      <c r="I561" s="5">
        <f ca="1">IFERROR(__xludf.DUMMYFUNCTION("""COMPUTED_VALUE"""),1)</f>
        <v>1</v>
      </c>
      <c r="J561" s="5">
        <f ca="1">IFERROR(__xludf.DUMMYFUNCTION("""COMPUTED_VALUE"""),225000)</f>
        <v>225000</v>
      </c>
      <c r="K561" s="3"/>
      <c r="L561" s="3" t="str">
        <f ca="1">IFERROR(__xludf.DUMMYFUNCTION("""COMPUTED_VALUE"""),"Cost per instance")</f>
        <v>Cost per instance</v>
      </c>
      <c r="M561" s="3"/>
      <c r="N561" s="3"/>
      <c r="O561" s="3"/>
      <c r="P561" s="3"/>
      <c r="Q561" s="3"/>
      <c r="R561" s="3"/>
      <c r="S561" s="3" t="str">
        <f ca="1">IFERROR(__xludf.DUMMYFUNCTION("""COMPUTED_VALUE"""),"100")</f>
        <v>100</v>
      </c>
      <c r="T561" s="3"/>
      <c r="U561" s="3" t="str">
        <f ca="1">IFERROR(__xludf.DUMMYFUNCTION("""COMPUTED_VALUE"""),"SoMe facebook")</f>
        <v>SoMe facebook</v>
      </c>
      <c r="V561" s="3"/>
      <c r="W561" s="4" t="str">
        <f ca="1">IFERROR(__xludf.DUMMYFUNCTION("""COMPUTED_VALUE"""),"https://www.facebook.com/business/ads-guide/image/facebook-feed")</f>
        <v>https://www.facebook.com/business/ads-guide/image/facebook-feed</v>
      </c>
      <c r="X561" s="3"/>
      <c r="Y561" s="3"/>
      <c r="Z561" s="3" t="str">
        <f ca="1">IFERROR(__xludf.DUMMYFUNCTION("""COMPUTED_VALUE"""),"podklady@cncenter.cz")</f>
        <v>podklady@cncenter.cz</v>
      </c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 t="str">
        <f ca="1">IFERROR(__xludf.DUMMYFUNCTION("""COMPUTED_VALUE"""),"cross-device")</f>
        <v>cross-device</v>
      </c>
      <c r="AO561" s="3"/>
      <c r="AP561" s="3"/>
      <c r="AQ561" s="3"/>
      <c r="AR561" s="3"/>
      <c r="AS561" s="3"/>
      <c r="AT561" s="3"/>
      <c r="AU561" s="3" t="str">
        <f ca="1">IFERROR(__xludf.DUMMYFUNCTION("""COMPUTED_VALUE"""),"facebook post")</f>
        <v>facebook post</v>
      </c>
    </row>
    <row r="562" spans="1:47" x14ac:dyDescent="0.3">
      <c r="A562" s="3">
        <f ca="1"/>
        <v>2346826</v>
      </c>
      <c r="B562" s="3" t="str">
        <f ca="1"/>
        <v>CZECH NEWS CENTER a. s.</v>
      </c>
      <c r="C562" s="3" t="str">
        <f ca="1">IFERROR(__xludf.DUMMYFUNCTION("""COMPUTED_VALUE"""),"Facebookový profil iSport")</f>
        <v>Facebookový profil iSport</v>
      </c>
      <c r="D562" s="4" t="str">
        <f ca="1">IFERROR(__xludf.DUMMYFUNCTION("""COMPUTED_VALUE"""),"www.facebook.com")</f>
        <v>www.facebook.com</v>
      </c>
      <c r="E562" s="3" t="str">
        <f ca="1">IFERROR(__xludf.DUMMYFUNCTION("""COMPUTED_VALUE"""),"FB stránka")</f>
        <v>FB stránka</v>
      </c>
      <c r="F562" s="4" t="str">
        <f ca="1">IFERROR(__xludf.DUMMYFUNCTION("""COMPUTED_VALUE"""),"www.facebook.com")</f>
        <v>www.facebook.com</v>
      </c>
      <c r="G562" s="3" t="str">
        <f ca="1">IFERROR(__xludf.DUMMYFUNCTION("""COMPUTED_VALUE"""),"facebook post low season")</f>
        <v>facebook post low season</v>
      </c>
      <c r="H562" s="3">
        <f ca="1">IFERROR(__xludf.DUMMYFUNCTION("""COMPUTED_VALUE"""),1)</f>
        <v>1</v>
      </c>
      <c r="I562" s="5">
        <f ca="1">IFERROR(__xludf.DUMMYFUNCTION("""COMPUTED_VALUE"""),1)</f>
        <v>1</v>
      </c>
      <c r="J562" s="5">
        <f ca="1">IFERROR(__xludf.DUMMYFUNCTION("""COMPUTED_VALUE"""),23000)</f>
        <v>23000</v>
      </c>
      <c r="K562" s="3"/>
      <c r="L562" s="3" t="str">
        <f ca="1">IFERROR(__xludf.DUMMYFUNCTION("""COMPUTED_VALUE"""),"Cost per instance")</f>
        <v>Cost per instance</v>
      </c>
      <c r="M562" s="3"/>
      <c r="N562" s="3"/>
      <c r="O562" s="3"/>
      <c r="P562" s="3"/>
      <c r="Q562" s="3"/>
      <c r="R562" s="3"/>
      <c r="S562" s="3" t="str">
        <f ca="1">IFERROR(__xludf.DUMMYFUNCTION("""COMPUTED_VALUE"""),"100")</f>
        <v>100</v>
      </c>
      <c r="T562" s="3"/>
      <c r="U562" s="3" t="str">
        <f ca="1">IFERROR(__xludf.DUMMYFUNCTION("""COMPUTED_VALUE"""),"SoMe facebook")</f>
        <v>SoMe facebook</v>
      </c>
      <c r="V562" s="3"/>
      <c r="W562" s="4" t="str">
        <f ca="1">IFERROR(__xludf.DUMMYFUNCTION("""COMPUTED_VALUE"""),"https://www.facebook.com/business/ads-guide/image/facebook-feed")</f>
        <v>https://www.facebook.com/business/ads-guide/image/facebook-feed</v>
      </c>
      <c r="X562" s="3"/>
      <c r="Y562" s="3"/>
      <c r="Z562" s="3" t="str">
        <f ca="1">IFERROR(__xludf.DUMMYFUNCTION("""COMPUTED_VALUE"""),"podklady@cncenter.cz")</f>
        <v>podklady@cncenter.cz</v>
      </c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 t="str">
        <f ca="1">IFERROR(__xludf.DUMMYFUNCTION("""COMPUTED_VALUE"""),"cross-device")</f>
        <v>cross-device</v>
      </c>
      <c r="AO562" s="3"/>
      <c r="AP562" s="3"/>
      <c r="AQ562" s="3"/>
      <c r="AR562" s="3"/>
      <c r="AS562" s="3"/>
      <c r="AT562" s="3"/>
      <c r="AU562" s="3" t="str">
        <f ca="1">IFERROR(__xludf.DUMMYFUNCTION("""COMPUTED_VALUE"""),"facebook post")</f>
        <v>facebook post</v>
      </c>
    </row>
    <row r="563" spans="1:47" x14ac:dyDescent="0.3">
      <c r="A563" s="3">
        <f ca="1"/>
        <v>2346826</v>
      </c>
      <c r="B563" s="3" t="str">
        <f ca="1"/>
        <v>CZECH NEWS CENTER a. s.</v>
      </c>
      <c r="C563" s="3" t="str">
        <f ca="1">IFERROR(__xludf.DUMMYFUNCTION("""COMPUTED_VALUE"""),"Facebookový profil iSport Life")</f>
        <v>Facebookový profil iSport Life</v>
      </c>
      <c r="D563" s="4" t="str">
        <f ca="1">IFERROR(__xludf.DUMMYFUNCTION("""COMPUTED_VALUE"""),"www.facebook.com")</f>
        <v>www.facebook.com</v>
      </c>
      <c r="E563" s="3" t="str">
        <f ca="1">IFERROR(__xludf.DUMMYFUNCTION("""COMPUTED_VALUE"""),"FB stránka")</f>
        <v>FB stránka</v>
      </c>
      <c r="F563" s="4" t="str">
        <f ca="1">IFERROR(__xludf.DUMMYFUNCTION("""COMPUTED_VALUE"""),"www.facebook.com")</f>
        <v>www.facebook.com</v>
      </c>
      <c r="G563" s="3" t="str">
        <f ca="1">IFERROR(__xludf.DUMMYFUNCTION("""COMPUTED_VALUE"""),"facebook post low season")</f>
        <v>facebook post low season</v>
      </c>
      <c r="H563" s="3">
        <f ca="1">IFERROR(__xludf.DUMMYFUNCTION("""COMPUTED_VALUE"""),1)</f>
        <v>1</v>
      </c>
      <c r="I563" s="5">
        <f ca="1">IFERROR(__xludf.DUMMYFUNCTION("""COMPUTED_VALUE"""),1)</f>
        <v>1</v>
      </c>
      <c r="J563" s="5">
        <f ca="1">IFERROR(__xludf.DUMMYFUNCTION("""COMPUTED_VALUE"""),23000)</f>
        <v>23000</v>
      </c>
      <c r="K563" s="3"/>
      <c r="L563" s="3" t="str">
        <f ca="1">IFERROR(__xludf.DUMMYFUNCTION("""COMPUTED_VALUE"""),"Cost per instance")</f>
        <v>Cost per instance</v>
      </c>
      <c r="M563" s="3"/>
      <c r="N563" s="3"/>
      <c r="O563" s="3"/>
      <c r="P563" s="3"/>
      <c r="Q563" s="3"/>
      <c r="R563" s="3"/>
      <c r="S563" s="3" t="str">
        <f ca="1">IFERROR(__xludf.DUMMYFUNCTION("""COMPUTED_VALUE"""),"100")</f>
        <v>100</v>
      </c>
      <c r="T563" s="3"/>
      <c r="U563" s="3" t="str">
        <f ca="1">IFERROR(__xludf.DUMMYFUNCTION("""COMPUTED_VALUE"""),"SoMe facebook")</f>
        <v>SoMe facebook</v>
      </c>
      <c r="V563" s="3"/>
      <c r="W563" s="4" t="str">
        <f ca="1">IFERROR(__xludf.DUMMYFUNCTION("""COMPUTED_VALUE"""),"https://www.facebook.com/business/ads-guide/image/facebook-feed")</f>
        <v>https://www.facebook.com/business/ads-guide/image/facebook-feed</v>
      </c>
      <c r="X563" s="3"/>
      <c r="Y563" s="3"/>
      <c r="Z563" s="3" t="str">
        <f ca="1">IFERROR(__xludf.DUMMYFUNCTION("""COMPUTED_VALUE"""),"podklady@cncenter.cz")</f>
        <v>podklady@cncenter.cz</v>
      </c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 t="str">
        <f ca="1">IFERROR(__xludf.DUMMYFUNCTION("""COMPUTED_VALUE"""),"cross-device")</f>
        <v>cross-device</v>
      </c>
      <c r="AO563" s="3"/>
      <c r="AP563" s="3"/>
      <c r="AQ563" s="3"/>
      <c r="AR563" s="3"/>
      <c r="AS563" s="3"/>
      <c r="AT563" s="3"/>
      <c r="AU563" s="3" t="str">
        <f ca="1">IFERROR(__xludf.DUMMYFUNCTION("""COMPUTED_VALUE"""),"facebook post")</f>
        <v>facebook post</v>
      </c>
    </row>
    <row r="564" spans="1:47" x14ac:dyDescent="0.3">
      <c r="A564" s="3">
        <f ca="1"/>
        <v>2346826</v>
      </c>
      <c r="B564" s="3" t="str">
        <f ca="1"/>
        <v>CZECH NEWS CENTER a. s.</v>
      </c>
      <c r="C564" s="3" t="str">
        <f ca="1">IFERROR(__xludf.DUMMYFUNCTION("""COMPUTED_VALUE"""),"Facebookový profil Lidé a Země")</f>
        <v>Facebookový profil Lidé a Země</v>
      </c>
      <c r="D564" s="4" t="str">
        <f ca="1">IFERROR(__xludf.DUMMYFUNCTION("""COMPUTED_VALUE"""),"www.facebook.com")</f>
        <v>www.facebook.com</v>
      </c>
      <c r="E564" s="3" t="str">
        <f ca="1">IFERROR(__xludf.DUMMYFUNCTION("""COMPUTED_VALUE"""),"FB stránka")</f>
        <v>FB stránka</v>
      </c>
      <c r="F564" s="4" t="str">
        <f ca="1">IFERROR(__xludf.DUMMYFUNCTION("""COMPUTED_VALUE"""),"www.facebook.com")</f>
        <v>www.facebook.com</v>
      </c>
      <c r="G564" s="3" t="str">
        <f ca="1">IFERROR(__xludf.DUMMYFUNCTION("""COMPUTED_VALUE"""),"facebook post low season")</f>
        <v>facebook post low season</v>
      </c>
      <c r="H564" s="3">
        <f ca="1">IFERROR(__xludf.DUMMYFUNCTION("""COMPUTED_VALUE"""),1)</f>
        <v>1</v>
      </c>
      <c r="I564" s="5">
        <f ca="1">IFERROR(__xludf.DUMMYFUNCTION("""COMPUTED_VALUE"""),1)</f>
        <v>1</v>
      </c>
      <c r="J564" s="5">
        <f ca="1">IFERROR(__xludf.DUMMYFUNCTION("""COMPUTED_VALUE"""),18000)</f>
        <v>18000</v>
      </c>
      <c r="K564" s="3"/>
      <c r="L564" s="3" t="str">
        <f ca="1">IFERROR(__xludf.DUMMYFUNCTION("""COMPUTED_VALUE"""),"Cost per instance")</f>
        <v>Cost per instance</v>
      </c>
      <c r="M564" s="3"/>
      <c r="N564" s="3"/>
      <c r="O564" s="3"/>
      <c r="P564" s="3"/>
      <c r="Q564" s="3"/>
      <c r="R564" s="3"/>
      <c r="S564" s="3" t="str">
        <f ca="1">IFERROR(__xludf.DUMMYFUNCTION("""COMPUTED_VALUE"""),"100")</f>
        <v>100</v>
      </c>
      <c r="T564" s="3"/>
      <c r="U564" s="3" t="str">
        <f ca="1">IFERROR(__xludf.DUMMYFUNCTION("""COMPUTED_VALUE"""),"SoMe facebook")</f>
        <v>SoMe facebook</v>
      </c>
      <c r="V564" s="3"/>
      <c r="W564" s="4" t="str">
        <f ca="1">IFERROR(__xludf.DUMMYFUNCTION("""COMPUTED_VALUE"""),"https://www.facebook.com/business/ads-guide/image/facebook-feed")</f>
        <v>https://www.facebook.com/business/ads-guide/image/facebook-feed</v>
      </c>
      <c r="X564" s="3"/>
      <c r="Y564" s="3"/>
      <c r="Z564" s="3" t="str">
        <f ca="1">IFERROR(__xludf.DUMMYFUNCTION("""COMPUTED_VALUE"""),"podklady@cncenter.cz")</f>
        <v>podklady@cncenter.cz</v>
      </c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 t="str">
        <f ca="1">IFERROR(__xludf.DUMMYFUNCTION("""COMPUTED_VALUE"""),"cross-device")</f>
        <v>cross-device</v>
      </c>
      <c r="AO564" s="3"/>
      <c r="AP564" s="3"/>
      <c r="AQ564" s="3"/>
      <c r="AR564" s="3"/>
      <c r="AS564" s="3"/>
      <c r="AT564" s="3"/>
      <c r="AU564" s="3" t="str">
        <f ca="1">IFERROR(__xludf.DUMMYFUNCTION("""COMPUTED_VALUE"""),"facebook post")</f>
        <v>facebook post</v>
      </c>
    </row>
    <row r="565" spans="1:47" x14ac:dyDescent="0.3">
      <c r="A565" s="3">
        <f ca="1"/>
        <v>2346826</v>
      </c>
      <c r="B565" s="3" t="str">
        <f ca="1"/>
        <v>CZECH NEWS CENTER a. s.</v>
      </c>
      <c r="C565" s="3" t="str">
        <f ca="1">IFERROR(__xludf.DUMMYFUNCTION("""COMPUTED_VALUE"""),"Facebookový profil Maminka")</f>
        <v>Facebookový profil Maminka</v>
      </c>
      <c r="D565" s="4" t="str">
        <f ca="1">IFERROR(__xludf.DUMMYFUNCTION("""COMPUTED_VALUE"""),"www.facebook.com")</f>
        <v>www.facebook.com</v>
      </c>
      <c r="E565" s="3" t="str">
        <f ca="1">IFERROR(__xludf.DUMMYFUNCTION("""COMPUTED_VALUE"""),"FB stránka")</f>
        <v>FB stránka</v>
      </c>
      <c r="F565" s="4" t="str">
        <f ca="1">IFERROR(__xludf.DUMMYFUNCTION("""COMPUTED_VALUE"""),"www.facebook.com")</f>
        <v>www.facebook.com</v>
      </c>
      <c r="G565" s="3" t="str">
        <f ca="1">IFERROR(__xludf.DUMMYFUNCTION("""COMPUTED_VALUE"""),"facebook post low season")</f>
        <v>facebook post low season</v>
      </c>
      <c r="H565" s="3">
        <f ca="1">IFERROR(__xludf.DUMMYFUNCTION("""COMPUTED_VALUE"""),1)</f>
        <v>1</v>
      </c>
      <c r="I565" s="5">
        <f ca="1">IFERROR(__xludf.DUMMYFUNCTION("""COMPUTED_VALUE"""),1)</f>
        <v>1</v>
      </c>
      <c r="J565" s="5">
        <f ca="1">IFERROR(__xludf.DUMMYFUNCTION("""COMPUTED_VALUE"""),23000)</f>
        <v>23000</v>
      </c>
      <c r="K565" s="3"/>
      <c r="L565" s="3" t="str">
        <f ca="1">IFERROR(__xludf.DUMMYFUNCTION("""COMPUTED_VALUE"""),"Cost per instance")</f>
        <v>Cost per instance</v>
      </c>
      <c r="M565" s="3"/>
      <c r="N565" s="3"/>
      <c r="O565" s="3"/>
      <c r="P565" s="3"/>
      <c r="Q565" s="3"/>
      <c r="R565" s="3"/>
      <c r="S565" s="3" t="str">
        <f ca="1">IFERROR(__xludf.DUMMYFUNCTION("""COMPUTED_VALUE"""),"100")</f>
        <v>100</v>
      </c>
      <c r="T565" s="3"/>
      <c r="U565" s="3" t="str">
        <f ca="1">IFERROR(__xludf.DUMMYFUNCTION("""COMPUTED_VALUE"""),"SoMe facebook")</f>
        <v>SoMe facebook</v>
      </c>
      <c r="V565" s="3"/>
      <c r="W565" s="4" t="str">
        <f ca="1">IFERROR(__xludf.DUMMYFUNCTION("""COMPUTED_VALUE"""),"https://www.facebook.com/business/ads-guide/image/facebook-feed")</f>
        <v>https://www.facebook.com/business/ads-guide/image/facebook-feed</v>
      </c>
      <c r="X565" s="3"/>
      <c r="Y565" s="3"/>
      <c r="Z565" s="3" t="str">
        <f ca="1">IFERROR(__xludf.DUMMYFUNCTION("""COMPUTED_VALUE"""),"podklady@cncenter.cz")</f>
        <v>podklady@cncenter.cz</v>
      </c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 t="str">
        <f ca="1">IFERROR(__xludf.DUMMYFUNCTION("""COMPUTED_VALUE"""),"cross-device")</f>
        <v>cross-device</v>
      </c>
      <c r="AO565" s="3"/>
      <c r="AP565" s="3"/>
      <c r="AQ565" s="3"/>
      <c r="AR565" s="3"/>
      <c r="AS565" s="3"/>
      <c r="AT565" s="3"/>
      <c r="AU565" s="3" t="str">
        <f ca="1">IFERROR(__xludf.DUMMYFUNCTION("""COMPUTED_VALUE"""),"facebook post")</f>
        <v>facebook post</v>
      </c>
    </row>
    <row r="566" spans="1:47" x14ac:dyDescent="0.3">
      <c r="A566" s="3">
        <f ca="1"/>
        <v>2346826</v>
      </c>
      <c r="B566" s="3" t="str">
        <f ca="1"/>
        <v>CZECH NEWS CENTER a. s.</v>
      </c>
      <c r="C566" s="3" t="str">
        <f ca="1">IFERROR(__xludf.DUMMYFUNCTION("""COMPUTED_VALUE"""),"Facebookový profil Mateřídouška")</f>
        <v>Facebookový profil Mateřídouška</v>
      </c>
      <c r="D566" s="4" t="str">
        <f ca="1">IFERROR(__xludf.DUMMYFUNCTION("""COMPUTED_VALUE"""),"www.facebook.com")</f>
        <v>www.facebook.com</v>
      </c>
      <c r="E566" s="3" t="str">
        <f ca="1">IFERROR(__xludf.DUMMYFUNCTION("""COMPUTED_VALUE"""),"FB stránka")</f>
        <v>FB stránka</v>
      </c>
      <c r="F566" s="4" t="str">
        <f ca="1">IFERROR(__xludf.DUMMYFUNCTION("""COMPUTED_VALUE"""),"www.facebook.com")</f>
        <v>www.facebook.com</v>
      </c>
      <c r="G566" s="3" t="str">
        <f ca="1">IFERROR(__xludf.DUMMYFUNCTION("""COMPUTED_VALUE"""),"facebook post low season")</f>
        <v>facebook post low season</v>
      </c>
      <c r="H566" s="3">
        <f ca="1">IFERROR(__xludf.DUMMYFUNCTION("""COMPUTED_VALUE"""),1)</f>
        <v>1</v>
      </c>
      <c r="I566" s="5">
        <f ca="1">IFERROR(__xludf.DUMMYFUNCTION("""COMPUTED_VALUE"""),1)</f>
        <v>1</v>
      </c>
      <c r="J566" s="5">
        <f ca="1">IFERROR(__xludf.DUMMYFUNCTION("""COMPUTED_VALUE"""),18000)</f>
        <v>18000</v>
      </c>
      <c r="K566" s="3"/>
      <c r="L566" s="3" t="str">
        <f ca="1">IFERROR(__xludf.DUMMYFUNCTION("""COMPUTED_VALUE"""),"Cost per instance")</f>
        <v>Cost per instance</v>
      </c>
      <c r="M566" s="3"/>
      <c r="N566" s="3"/>
      <c r="O566" s="3"/>
      <c r="P566" s="3"/>
      <c r="Q566" s="3"/>
      <c r="R566" s="3"/>
      <c r="S566" s="3" t="str">
        <f ca="1">IFERROR(__xludf.DUMMYFUNCTION("""COMPUTED_VALUE"""),"100")</f>
        <v>100</v>
      </c>
      <c r="T566" s="3"/>
      <c r="U566" s="3" t="str">
        <f ca="1">IFERROR(__xludf.DUMMYFUNCTION("""COMPUTED_VALUE"""),"SoMe facebook")</f>
        <v>SoMe facebook</v>
      </c>
      <c r="V566" s="3"/>
      <c r="W566" s="4" t="str">
        <f ca="1">IFERROR(__xludf.DUMMYFUNCTION("""COMPUTED_VALUE"""),"https://www.facebook.com/business/ads-guide/image/facebook-feed")</f>
        <v>https://www.facebook.com/business/ads-guide/image/facebook-feed</v>
      </c>
      <c r="X566" s="3"/>
      <c r="Y566" s="3"/>
      <c r="Z566" s="3" t="str">
        <f ca="1">IFERROR(__xludf.DUMMYFUNCTION("""COMPUTED_VALUE"""),"podklady@cncenter.cz")</f>
        <v>podklady@cncenter.cz</v>
      </c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 t="str">
        <f ca="1">IFERROR(__xludf.DUMMYFUNCTION("""COMPUTED_VALUE"""),"cross-device")</f>
        <v>cross-device</v>
      </c>
      <c r="AO566" s="3"/>
      <c r="AP566" s="3"/>
      <c r="AQ566" s="3"/>
      <c r="AR566" s="3"/>
      <c r="AS566" s="3"/>
      <c r="AT566" s="3"/>
      <c r="AU566" s="3" t="str">
        <f ca="1">IFERROR(__xludf.DUMMYFUNCTION("""COMPUTED_VALUE"""),"facebook post")</f>
        <v>facebook post</v>
      </c>
    </row>
    <row r="567" spans="1:47" x14ac:dyDescent="0.3">
      <c r="A567" s="3">
        <f ca="1"/>
        <v>2346826</v>
      </c>
      <c r="B567" s="3" t="str">
        <f ca="1"/>
        <v>CZECH NEWS CENTER a. s.</v>
      </c>
      <c r="C567" s="3" t="str">
        <f ca="1">IFERROR(__xludf.DUMMYFUNCTION("""COMPUTED_VALUE"""),"Facebookový profil Mimibazar")</f>
        <v>Facebookový profil Mimibazar</v>
      </c>
      <c r="D567" s="4" t="str">
        <f ca="1">IFERROR(__xludf.DUMMYFUNCTION("""COMPUTED_VALUE"""),"www.facebook.com")</f>
        <v>www.facebook.com</v>
      </c>
      <c r="E567" s="3" t="str">
        <f ca="1">IFERROR(__xludf.DUMMYFUNCTION("""COMPUTED_VALUE"""),"FB stránka")</f>
        <v>FB stránka</v>
      </c>
      <c r="F567" s="4" t="str">
        <f ca="1">IFERROR(__xludf.DUMMYFUNCTION("""COMPUTED_VALUE"""),"www.facebook.com")</f>
        <v>www.facebook.com</v>
      </c>
      <c r="G567" s="3" t="str">
        <f ca="1">IFERROR(__xludf.DUMMYFUNCTION("""COMPUTED_VALUE"""),"facebook post low season")</f>
        <v>facebook post low season</v>
      </c>
      <c r="H567" s="3">
        <f ca="1">IFERROR(__xludf.DUMMYFUNCTION("""COMPUTED_VALUE"""),1)</f>
        <v>1</v>
      </c>
      <c r="I567" s="5">
        <f ca="1">IFERROR(__xludf.DUMMYFUNCTION("""COMPUTED_VALUE"""),1)</f>
        <v>1</v>
      </c>
      <c r="J567" s="5">
        <f ca="1">IFERROR(__xludf.DUMMYFUNCTION("""COMPUTED_VALUE"""),23000)</f>
        <v>23000</v>
      </c>
      <c r="K567" s="3"/>
      <c r="L567" s="3" t="str">
        <f ca="1">IFERROR(__xludf.DUMMYFUNCTION("""COMPUTED_VALUE"""),"Cost per instance")</f>
        <v>Cost per instance</v>
      </c>
      <c r="M567" s="3"/>
      <c r="N567" s="3"/>
      <c r="O567" s="3"/>
      <c r="P567" s="3"/>
      <c r="Q567" s="3"/>
      <c r="R567" s="3"/>
      <c r="S567" s="3" t="str">
        <f ca="1">IFERROR(__xludf.DUMMYFUNCTION("""COMPUTED_VALUE"""),"100")</f>
        <v>100</v>
      </c>
      <c r="T567" s="3"/>
      <c r="U567" s="3" t="str">
        <f ca="1">IFERROR(__xludf.DUMMYFUNCTION("""COMPUTED_VALUE"""),"SoMe facebook")</f>
        <v>SoMe facebook</v>
      </c>
      <c r="V567" s="3"/>
      <c r="W567" s="4" t="str">
        <f ca="1">IFERROR(__xludf.DUMMYFUNCTION("""COMPUTED_VALUE"""),"https://www.facebook.com/business/ads-guide/image/facebook-feed")</f>
        <v>https://www.facebook.com/business/ads-guide/image/facebook-feed</v>
      </c>
      <c r="X567" s="3"/>
      <c r="Y567" s="3"/>
      <c r="Z567" s="3" t="str">
        <f ca="1">IFERROR(__xludf.DUMMYFUNCTION("""COMPUTED_VALUE"""),"podklady@cncenter.cz")</f>
        <v>podklady@cncenter.cz</v>
      </c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 t="str">
        <f ca="1">IFERROR(__xludf.DUMMYFUNCTION("""COMPUTED_VALUE"""),"cross-device")</f>
        <v>cross-device</v>
      </c>
      <c r="AO567" s="3"/>
      <c r="AP567" s="3"/>
      <c r="AQ567" s="3"/>
      <c r="AR567" s="3"/>
      <c r="AS567" s="3"/>
      <c r="AT567" s="3"/>
      <c r="AU567" s="3" t="str">
        <f ca="1">IFERROR(__xludf.DUMMYFUNCTION("""COMPUTED_VALUE"""),"facebook post")</f>
        <v>facebook post</v>
      </c>
    </row>
    <row r="568" spans="1:47" x14ac:dyDescent="0.3">
      <c r="A568" s="3">
        <f ca="1"/>
        <v>2346826</v>
      </c>
      <c r="B568" s="3" t="str">
        <f ca="1"/>
        <v>CZECH NEWS CENTER a. s.</v>
      </c>
      <c r="C568" s="3" t="str">
        <f ca="1">IFERROR(__xludf.DUMMYFUNCTION("""COMPUTED_VALUE"""),"Facebookový profil Mobilmania")</f>
        <v>Facebookový profil Mobilmania</v>
      </c>
      <c r="D568" s="4" t="str">
        <f ca="1">IFERROR(__xludf.DUMMYFUNCTION("""COMPUTED_VALUE"""),"www.facebook.com")</f>
        <v>www.facebook.com</v>
      </c>
      <c r="E568" s="3" t="str">
        <f ca="1">IFERROR(__xludf.DUMMYFUNCTION("""COMPUTED_VALUE"""),"FB stránka")</f>
        <v>FB stránka</v>
      </c>
      <c r="F568" s="4" t="str">
        <f ca="1">IFERROR(__xludf.DUMMYFUNCTION("""COMPUTED_VALUE"""),"www.facebook.com")</f>
        <v>www.facebook.com</v>
      </c>
      <c r="G568" s="3" t="str">
        <f ca="1">IFERROR(__xludf.DUMMYFUNCTION("""COMPUTED_VALUE"""),"facebook post low season")</f>
        <v>facebook post low season</v>
      </c>
      <c r="H568" s="3">
        <f ca="1">IFERROR(__xludf.DUMMYFUNCTION("""COMPUTED_VALUE"""),1)</f>
        <v>1</v>
      </c>
      <c r="I568" s="5">
        <f ca="1">IFERROR(__xludf.DUMMYFUNCTION("""COMPUTED_VALUE"""),1)</f>
        <v>1</v>
      </c>
      <c r="J568" s="5">
        <f ca="1">IFERROR(__xludf.DUMMYFUNCTION("""COMPUTED_VALUE"""),18000)</f>
        <v>18000</v>
      </c>
      <c r="K568" s="3"/>
      <c r="L568" s="3" t="str">
        <f ca="1">IFERROR(__xludf.DUMMYFUNCTION("""COMPUTED_VALUE"""),"Cost per instance")</f>
        <v>Cost per instance</v>
      </c>
      <c r="M568" s="3"/>
      <c r="N568" s="3"/>
      <c r="O568" s="3"/>
      <c r="P568" s="3"/>
      <c r="Q568" s="3"/>
      <c r="R568" s="3"/>
      <c r="S568" s="3" t="str">
        <f ca="1">IFERROR(__xludf.DUMMYFUNCTION("""COMPUTED_VALUE"""),"100")</f>
        <v>100</v>
      </c>
      <c r="T568" s="3"/>
      <c r="U568" s="3" t="str">
        <f ca="1">IFERROR(__xludf.DUMMYFUNCTION("""COMPUTED_VALUE"""),"SoMe facebook")</f>
        <v>SoMe facebook</v>
      </c>
      <c r="V568" s="3"/>
      <c r="W568" s="4" t="str">
        <f ca="1">IFERROR(__xludf.DUMMYFUNCTION("""COMPUTED_VALUE"""),"https://www.facebook.com/business/ads-guide/image/facebook-feed")</f>
        <v>https://www.facebook.com/business/ads-guide/image/facebook-feed</v>
      </c>
      <c r="X568" s="3"/>
      <c r="Y568" s="3"/>
      <c r="Z568" s="3" t="str">
        <f ca="1">IFERROR(__xludf.DUMMYFUNCTION("""COMPUTED_VALUE"""),"podklady@cncenter.cz")</f>
        <v>podklady@cncenter.cz</v>
      </c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 t="str">
        <f ca="1">IFERROR(__xludf.DUMMYFUNCTION("""COMPUTED_VALUE"""),"cross-device")</f>
        <v>cross-device</v>
      </c>
      <c r="AO568" s="3"/>
      <c r="AP568" s="3"/>
      <c r="AQ568" s="3"/>
      <c r="AR568" s="3"/>
      <c r="AS568" s="3"/>
      <c r="AT568" s="3"/>
      <c r="AU568" s="3" t="str">
        <f ca="1">IFERROR(__xludf.DUMMYFUNCTION("""COMPUTED_VALUE"""),"facebook post")</f>
        <v>facebook post</v>
      </c>
    </row>
    <row r="569" spans="1:47" x14ac:dyDescent="0.3">
      <c r="A569" s="3">
        <f ca="1"/>
        <v>2346826</v>
      </c>
      <c r="B569" s="3" t="str">
        <f ca="1"/>
        <v>CZECH NEWS CENTER a. s.</v>
      </c>
      <c r="C569" s="3" t="str">
        <f ca="1">IFERROR(__xludf.DUMMYFUNCTION("""COMPUTED_VALUE"""),"Facebookový profil Moje psychologie")</f>
        <v>Facebookový profil Moje psychologie</v>
      </c>
      <c r="D569" s="4" t="str">
        <f ca="1">IFERROR(__xludf.DUMMYFUNCTION("""COMPUTED_VALUE"""),"www.facebook.com")</f>
        <v>www.facebook.com</v>
      </c>
      <c r="E569" s="3" t="str">
        <f ca="1">IFERROR(__xludf.DUMMYFUNCTION("""COMPUTED_VALUE"""),"FB stránka")</f>
        <v>FB stránka</v>
      </c>
      <c r="F569" s="4" t="str">
        <f ca="1">IFERROR(__xludf.DUMMYFUNCTION("""COMPUTED_VALUE"""),"www.facebook.com")</f>
        <v>www.facebook.com</v>
      </c>
      <c r="G569" s="3" t="str">
        <f ca="1">IFERROR(__xludf.DUMMYFUNCTION("""COMPUTED_VALUE"""),"facebook post low season")</f>
        <v>facebook post low season</v>
      </c>
      <c r="H569" s="3">
        <f ca="1">IFERROR(__xludf.DUMMYFUNCTION("""COMPUTED_VALUE"""),1)</f>
        <v>1</v>
      </c>
      <c r="I569" s="5">
        <f ca="1">IFERROR(__xludf.DUMMYFUNCTION("""COMPUTED_VALUE"""),1)</f>
        <v>1</v>
      </c>
      <c r="J569" s="5">
        <f ca="1">IFERROR(__xludf.DUMMYFUNCTION("""COMPUTED_VALUE"""),18000)</f>
        <v>18000</v>
      </c>
      <c r="K569" s="3"/>
      <c r="L569" s="3" t="str">
        <f ca="1">IFERROR(__xludf.DUMMYFUNCTION("""COMPUTED_VALUE"""),"Cost per instance")</f>
        <v>Cost per instance</v>
      </c>
      <c r="M569" s="3"/>
      <c r="N569" s="3"/>
      <c r="O569" s="3"/>
      <c r="P569" s="3"/>
      <c r="Q569" s="3"/>
      <c r="R569" s="3"/>
      <c r="S569" s="3" t="str">
        <f ca="1">IFERROR(__xludf.DUMMYFUNCTION("""COMPUTED_VALUE"""),"100")</f>
        <v>100</v>
      </c>
      <c r="T569" s="3"/>
      <c r="U569" s="3" t="str">
        <f ca="1">IFERROR(__xludf.DUMMYFUNCTION("""COMPUTED_VALUE"""),"SoMe facebook")</f>
        <v>SoMe facebook</v>
      </c>
      <c r="V569" s="3"/>
      <c r="W569" s="4" t="str">
        <f ca="1">IFERROR(__xludf.DUMMYFUNCTION("""COMPUTED_VALUE"""),"https://www.facebook.com/business/ads-guide/image/facebook-feed")</f>
        <v>https://www.facebook.com/business/ads-guide/image/facebook-feed</v>
      </c>
      <c r="X569" s="3"/>
      <c r="Y569" s="3"/>
      <c r="Z569" s="3" t="str">
        <f ca="1">IFERROR(__xludf.DUMMYFUNCTION("""COMPUTED_VALUE"""),"podklady@cncenter.cz")</f>
        <v>podklady@cncenter.cz</v>
      </c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 t="str">
        <f ca="1">IFERROR(__xludf.DUMMYFUNCTION("""COMPUTED_VALUE"""),"cross-device")</f>
        <v>cross-device</v>
      </c>
      <c r="AO569" s="3"/>
      <c r="AP569" s="3"/>
      <c r="AQ569" s="3"/>
      <c r="AR569" s="3"/>
      <c r="AS569" s="3"/>
      <c r="AT569" s="3"/>
      <c r="AU569" s="3" t="str">
        <f ca="1">IFERROR(__xludf.DUMMYFUNCTION("""COMPUTED_VALUE"""),"facebook post")</f>
        <v>facebook post</v>
      </c>
    </row>
    <row r="570" spans="1:47" x14ac:dyDescent="0.3">
      <c r="A570" s="3">
        <f ca="1"/>
        <v>2346826</v>
      </c>
      <c r="B570" s="3" t="str">
        <f ca="1"/>
        <v>CZECH NEWS CENTER a. s.</v>
      </c>
      <c r="C570" s="3" t="str">
        <f ca="1">IFERROR(__xludf.DUMMYFUNCTION("""COMPUTED_VALUE"""),"Facebookový profil Recepty")</f>
        <v>Facebookový profil Recepty</v>
      </c>
      <c r="D570" s="4" t="str">
        <f ca="1">IFERROR(__xludf.DUMMYFUNCTION("""COMPUTED_VALUE"""),"www.facebook.com")</f>
        <v>www.facebook.com</v>
      </c>
      <c r="E570" s="3" t="str">
        <f ca="1">IFERROR(__xludf.DUMMYFUNCTION("""COMPUTED_VALUE"""),"FB stránka")</f>
        <v>FB stránka</v>
      </c>
      <c r="F570" s="4" t="str">
        <f ca="1">IFERROR(__xludf.DUMMYFUNCTION("""COMPUTED_VALUE"""),"www.facebook.com")</f>
        <v>www.facebook.com</v>
      </c>
      <c r="G570" s="3" t="str">
        <f ca="1">IFERROR(__xludf.DUMMYFUNCTION("""COMPUTED_VALUE"""),"facebook post low season")</f>
        <v>facebook post low season</v>
      </c>
      <c r="H570" s="3">
        <f ca="1">IFERROR(__xludf.DUMMYFUNCTION("""COMPUTED_VALUE"""),1)</f>
        <v>1</v>
      </c>
      <c r="I570" s="5">
        <f ca="1">IFERROR(__xludf.DUMMYFUNCTION("""COMPUTED_VALUE"""),1)</f>
        <v>1</v>
      </c>
      <c r="J570" s="5">
        <f ca="1">IFERROR(__xludf.DUMMYFUNCTION("""COMPUTED_VALUE"""),18000)</f>
        <v>18000</v>
      </c>
      <c r="K570" s="3"/>
      <c r="L570" s="3" t="str">
        <f ca="1">IFERROR(__xludf.DUMMYFUNCTION("""COMPUTED_VALUE"""),"Cost per instance")</f>
        <v>Cost per instance</v>
      </c>
      <c r="M570" s="3"/>
      <c r="N570" s="3"/>
      <c r="O570" s="3"/>
      <c r="P570" s="3"/>
      <c r="Q570" s="3"/>
      <c r="R570" s="3"/>
      <c r="S570" s="3" t="str">
        <f ca="1">IFERROR(__xludf.DUMMYFUNCTION("""COMPUTED_VALUE"""),"100")</f>
        <v>100</v>
      </c>
      <c r="T570" s="3"/>
      <c r="U570" s="3" t="str">
        <f ca="1">IFERROR(__xludf.DUMMYFUNCTION("""COMPUTED_VALUE"""),"SoMe facebook")</f>
        <v>SoMe facebook</v>
      </c>
      <c r="V570" s="3"/>
      <c r="W570" s="4" t="str">
        <f ca="1">IFERROR(__xludf.DUMMYFUNCTION("""COMPUTED_VALUE"""),"https://www.facebook.com/business/ads-guide/image/facebook-feed")</f>
        <v>https://www.facebook.com/business/ads-guide/image/facebook-feed</v>
      </c>
      <c r="X570" s="3"/>
      <c r="Y570" s="3"/>
      <c r="Z570" s="3" t="str">
        <f ca="1">IFERROR(__xludf.DUMMYFUNCTION("""COMPUTED_VALUE"""),"podklady@cncenter.cz")</f>
        <v>podklady@cncenter.cz</v>
      </c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 t="str">
        <f ca="1">IFERROR(__xludf.DUMMYFUNCTION("""COMPUTED_VALUE"""),"cross-device")</f>
        <v>cross-device</v>
      </c>
      <c r="AO570" s="3"/>
      <c r="AP570" s="3"/>
      <c r="AQ570" s="3"/>
      <c r="AR570" s="3"/>
      <c r="AS570" s="3"/>
      <c r="AT570" s="3"/>
      <c r="AU570" s="3" t="str">
        <f ca="1">IFERROR(__xludf.DUMMYFUNCTION("""COMPUTED_VALUE"""),"facebook post")</f>
        <v>facebook post</v>
      </c>
    </row>
    <row r="571" spans="1:47" x14ac:dyDescent="0.3">
      <c r="A571" s="3">
        <f ca="1"/>
        <v>2346826</v>
      </c>
      <c r="B571" s="3" t="str">
        <f ca="1"/>
        <v>CZECH NEWS CENTER a. s.</v>
      </c>
      <c r="C571" s="3" t="str">
        <f ca="1">IFERROR(__xludf.DUMMYFUNCTION("""COMPUTED_VALUE"""),"Facebookový profil Reflex")</f>
        <v>Facebookový profil Reflex</v>
      </c>
      <c r="D571" s="4" t="str">
        <f ca="1">IFERROR(__xludf.DUMMYFUNCTION("""COMPUTED_VALUE"""),"www.facebook.com")</f>
        <v>www.facebook.com</v>
      </c>
      <c r="E571" s="3" t="str">
        <f ca="1">IFERROR(__xludf.DUMMYFUNCTION("""COMPUTED_VALUE"""),"FB stránka")</f>
        <v>FB stránka</v>
      </c>
      <c r="F571" s="4" t="str">
        <f ca="1">IFERROR(__xludf.DUMMYFUNCTION("""COMPUTED_VALUE"""),"www.facebook.com")</f>
        <v>www.facebook.com</v>
      </c>
      <c r="G571" s="3" t="str">
        <f ca="1">IFERROR(__xludf.DUMMYFUNCTION("""COMPUTED_VALUE"""),"facebook post low season")</f>
        <v>facebook post low season</v>
      </c>
      <c r="H571" s="3">
        <f ca="1">IFERROR(__xludf.DUMMYFUNCTION("""COMPUTED_VALUE"""),1)</f>
        <v>1</v>
      </c>
      <c r="I571" s="5">
        <f ca="1">IFERROR(__xludf.DUMMYFUNCTION("""COMPUTED_VALUE"""),1)</f>
        <v>1</v>
      </c>
      <c r="J571" s="5">
        <f ca="1">IFERROR(__xludf.DUMMYFUNCTION("""COMPUTED_VALUE"""),23000)</f>
        <v>23000</v>
      </c>
      <c r="K571" s="3"/>
      <c r="L571" s="3" t="str">
        <f ca="1">IFERROR(__xludf.DUMMYFUNCTION("""COMPUTED_VALUE"""),"Cost per instance")</f>
        <v>Cost per instance</v>
      </c>
      <c r="M571" s="3"/>
      <c r="N571" s="3"/>
      <c r="O571" s="3"/>
      <c r="P571" s="3"/>
      <c r="Q571" s="3"/>
      <c r="R571" s="3"/>
      <c r="S571" s="3" t="str">
        <f ca="1">IFERROR(__xludf.DUMMYFUNCTION("""COMPUTED_VALUE"""),"100")</f>
        <v>100</v>
      </c>
      <c r="T571" s="3"/>
      <c r="U571" s="3" t="str">
        <f ca="1">IFERROR(__xludf.DUMMYFUNCTION("""COMPUTED_VALUE"""),"SoMe facebook")</f>
        <v>SoMe facebook</v>
      </c>
      <c r="V571" s="3"/>
      <c r="W571" s="4" t="str">
        <f ca="1">IFERROR(__xludf.DUMMYFUNCTION("""COMPUTED_VALUE"""),"https://www.facebook.com/business/ads-guide/image/facebook-feed")</f>
        <v>https://www.facebook.com/business/ads-guide/image/facebook-feed</v>
      </c>
      <c r="X571" s="3"/>
      <c r="Y571" s="3"/>
      <c r="Z571" s="3" t="str">
        <f ca="1">IFERROR(__xludf.DUMMYFUNCTION("""COMPUTED_VALUE"""),"podklady@cncenter.cz")</f>
        <v>podklady@cncenter.cz</v>
      </c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 t="str">
        <f ca="1">IFERROR(__xludf.DUMMYFUNCTION("""COMPUTED_VALUE"""),"cross-device")</f>
        <v>cross-device</v>
      </c>
      <c r="AO571" s="3"/>
      <c r="AP571" s="3"/>
      <c r="AQ571" s="3"/>
      <c r="AR571" s="3"/>
      <c r="AS571" s="3"/>
      <c r="AT571" s="3"/>
      <c r="AU571" s="3" t="str">
        <f ca="1">IFERROR(__xludf.DUMMYFUNCTION("""COMPUTED_VALUE"""),"facebook post")</f>
        <v>facebook post</v>
      </c>
    </row>
    <row r="572" spans="1:47" x14ac:dyDescent="0.3">
      <c r="A572" s="3">
        <f ca="1"/>
        <v>2346826</v>
      </c>
      <c r="B572" s="3" t="str">
        <f ca="1"/>
        <v>CZECH NEWS CENTER a. s.</v>
      </c>
      <c r="C572" s="3" t="str">
        <f ca="1">IFERROR(__xludf.DUMMYFUNCTION("""COMPUTED_VALUE"""),"Facebookový profil Sluníčko")</f>
        <v>Facebookový profil Sluníčko</v>
      </c>
      <c r="D572" s="4" t="str">
        <f ca="1">IFERROR(__xludf.DUMMYFUNCTION("""COMPUTED_VALUE"""),"www.facebook.com")</f>
        <v>www.facebook.com</v>
      </c>
      <c r="E572" s="3" t="str">
        <f ca="1">IFERROR(__xludf.DUMMYFUNCTION("""COMPUTED_VALUE"""),"FB stránka")</f>
        <v>FB stránka</v>
      </c>
      <c r="F572" s="4" t="str">
        <f ca="1">IFERROR(__xludf.DUMMYFUNCTION("""COMPUTED_VALUE"""),"www.facebook.com")</f>
        <v>www.facebook.com</v>
      </c>
      <c r="G572" s="3" t="str">
        <f ca="1">IFERROR(__xludf.DUMMYFUNCTION("""COMPUTED_VALUE"""),"facebook post low season")</f>
        <v>facebook post low season</v>
      </c>
      <c r="H572" s="3">
        <f ca="1">IFERROR(__xludf.DUMMYFUNCTION("""COMPUTED_VALUE"""),1)</f>
        <v>1</v>
      </c>
      <c r="I572" s="5">
        <f ca="1">IFERROR(__xludf.DUMMYFUNCTION("""COMPUTED_VALUE"""),1)</f>
        <v>1</v>
      </c>
      <c r="J572" s="5">
        <f ca="1">IFERROR(__xludf.DUMMYFUNCTION("""COMPUTED_VALUE"""),18000)</f>
        <v>18000</v>
      </c>
      <c r="K572" s="3"/>
      <c r="L572" s="3" t="str">
        <f ca="1">IFERROR(__xludf.DUMMYFUNCTION("""COMPUTED_VALUE"""),"Cost per instance")</f>
        <v>Cost per instance</v>
      </c>
      <c r="M572" s="3"/>
      <c r="N572" s="3"/>
      <c r="O572" s="3"/>
      <c r="P572" s="3"/>
      <c r="Q572" s="3"/>
      <c r="R572" s="3"/>
      <c r="S572" s="3" t="str">
        <f ca="1">IFERROR(__xludf.DUMMYFUNCTION("""COMPUTED_VALUE"""),"100")</f>
        <v>100</v>
      </c>
      <c r="T572" s="3"/>
      <c r="U572" s="3" t="str">
        <f ca="1">IFERROR(__xludf.DUMMYFUNCTION("""COMPUTED_VALUE"""),"SoMe facebook")</f>
        <v>SoMe facebook</v>
      </c>
      <c r="V572" s="3"/>
      <c r="W572" s="4" t="str">
        <f ca="1">IFERROR(__xludf.DUMMYFUNCTION("""COMPUTED_VALUE"""),"https://www.facebook.com/business/ads-guide/image/facebook-feed")</f>
        <v>https://www.facebook.com/business/ads-guide/image/facebook-feed</v>
      </c>
      <c r="X572" s="3"/>
      <c r="Y572" s="3"/>
      <c r="Z572" s="3" t="str">
        <f ca="1">IFERROR(__xludf.DUMMYFUNCTION("""COMPUTED_VALUE"""),"podklady@cncenter.cz")</f>
        <v>podklady@cncenter.cz</v>
      </c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 t="str">
        <f ca="1">IFERROR(__xludf.DUMMYFUNCTION("""COMPUTED_VALUE"""),"cross-device")</f>
        <v>cross-device</v>
      </c>
      <c r="AO572" s="3"/>
      <c r="AP572" s="3"/>
      <c r="AQ572" s="3"/>
      <c r="AR572" s="3"/>
      <c r="AS572" s="3"/>
      <c r="AT572" s="3"/>
      <c r="AU572" s="3" t="str">
        <f ca="1">IFERROR(__xludf.DUMMYFUNCTION("""COMPUTED_VALUE"""),"facebook post")</f>
        <v>facebook post</v>
      </c>
    </row>
    <row r="573" spans="1:47" x14ac:dyDescent="0.3">
      <c r="A573" s="3">
        <f ca="1"/>
        <v>2346826</v>
      </c>
      <c r="B573" s="3" t="str">
        <f ca="1"/>
        <v>CZECH NEWS CENTER a. s.</v>
      </c>
      <c r="C573" s="3" t="str">
        <f ca="1">IFERROR(__xludf.DUMMYFUNCTION("""COMPUTED_VALUE"""),"Facebookový profil Svět motorů")</f>
        <v>Facebookový profil Svět motorů</v>
      </c>
      <c r="D573" s="4" t="str">
        <f ca="1">IFERROR(__xludf.DUMMYFUNCTION("""COMPUTED_VALUE"""),"www.facebook.com")</f>
        <v>www.facebook.com</v>
      </c>
      <c r="E573" s="3" t="str">
        <f ca="1">IFERROR(__xludf.DUMMYFUNCTION("""COMPUTED_VALUE"""),"FB stránka")</f>
        <v>FB stránka</v>
      </c>
      <c r="F573" s="4" t="str">
        <f ca="1">IFERROR(__xludf.DUMMYFUNCTION("""COMPUTED_VALUE"""),"www.facebook.com")</f>
        <v>www.facebook.com</v>
      </c>
      <c r="G573" s="3" t="str">
        <f ca="1">IFERROR(__xludf.DUMMYFUNCTION("""COMPUTED_VALUE"""),"facebook post low season")</f>
        <v>facebook post low season</v>
      </c>
      <c r="H573" s="3">
        <f ca="1">IFERROR(__xludf.DUMMYFUNCTION("""COMPUTED_VALUE"""),1)</f>
        <v>1</v>
      </c>
      <c r="I573" s="5">
        <f ca="1">IFERROR(__xludf.DUMMYFUNCTION("""COMPUTED_VALUE"""),1)</f>
        <v>1</v>
      </c>
      <c r="J573" s="5">
        <f ca="1">IFERROR(__xludf.DUMMYFUNCTION("""COMPUTED_VALUE"""),18000)</f>
        <v>18000</v>
      </c>
      <c r="K573" s="3"/>
      <c r="L573" s="3" t="str">
        <f ca="1">IFERROR(__xludf.DUMMYFUNCTION("""COMPUTED_VALUE"""),"Cost per instance")</f>
        <v>Cost per instance</v>
      </c>
      <c r="M573" s="3"/>
      <c r="N573" s="3"/>
      <c r="O573" s="3"/>
      <c r="P573" s="3"/>
      <c r="Q573" s="3"/>
      <c r="R573" s="3"/>
      <c r="S573" s="3" t="str">
        <f ca="1">IFERROR(__xludf.DUMMYFUNCTION("""COMPUTED_VALUE"""),"100")</f>
        <v>100</v>
      </c>
      <c r="T573" s="3"/>
      <c r="U573" s="3" t="str">
        <f ca="1">IFERROR(__xludf.DUMMYFUNCTION("""COMPUTED_VALUE"""),"SoMe facebook")</f>
        <v>SoMe facebook</v>
      </c>
      <c r="V573" s="3"/>
      <c r="W573" s="4" t="str">
        <f ca="1">IFERROR(__xludf.DUMMYFUNCTION("""COMPUTED_VALUE"""),"https://www.facebook.com/business/ads-guide/image/facebook-feed")</f>
        <v>https://www.facebook.com/business/ads-guide/image/facebook-feed</v>
      </c>
      <c r="X573" s="3"/>
      <c r="Y573" s="3"/>
      <c r="Z573" s="3" t="str">
        <f ca="1">IFERROR(__xludf.DUMMYFUNCTION("""COMPUTED_VALUE"""),"podklady@cncenter.cz")</f>
        <v>podklady@cncenter.cz</v>
      </c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 t="str">
        <f ca="1">IFERROR(__xludf.DUMMYFUNCTION("""COMPUTED_VALUE"""),"cross-device")</f>
        <v>cross-device</v>
      </c>
      <c r="AO573" s="3"/>
      <c r="AP573" s="3"/>
      <c r="AQ573" s="3"/>
      <c r="AR573" s="3"/>
      <c r="AS573" s="3"/>
      <c r="AT573" s="3"/>
      <c r="AU573" s="3" t="str">
        <f ca="1">IFERROR(__xludf.DUMMYFUNCTION("""COMPUTED_VALUE"""),"facebook post")</f>
        <v>facebook post</v>
      </c>
    </row>
    <row r="574" spans="1:47" x14ac:dyDescent="0.3">
      <c r="A574" s="3">
        <f ca="1"/>
        <v>2346826</v>
      </c>
      <c r="B574" s="3" t="str">
        <f ca="1"/>
        <v>CZECH NEWS CENTER a. s.</v>
      </c>
      <c r="C574" s="3" t="str">
        <f ca="1">IFERROR(__xludf.DUMMYFUNCTION("""COMPUTED_VALUE"""),"Facebookový profil VTM")</f>
        <v>Facebookový profil VTM</v>
      </c>
      <c r="D574" s="4" t="str">
        <f ca="1">IFERROR(__xludf.DUMMYFUNCTION("""COMPUTED_VALUE"""),"www.facebook.com")</f>
        <v>www.facebook.com</v>
      </c>
      <c r="E574" s="3" t="str">
        <f ca="1">IFERROR(__xludf.DUMMYFUNCTION("""COMPUTED_VALUE"""),"FB stránka")</f>
        <v>FB stránka</v>
      </c>
      <c r="F574" s="4" t="str">
        <f ca="1">IFERROR(__xludf.DUMMYFUNCTION("""COMPUTED_VALUE"""),"www.facebook.com")</f>
        <v>www.facebook.com</v>
      </c>
      <c r="G574" s="3" t="str">
        <f ca="1">IFERROR(__xludf.DUMMYFUNCTION("""COMPUTED_VALUE"""),"facebook post low season")</f>
        <v>facebook post low season</v>
      </c>
      <c r="H574" s="3">
        <f ca="1">IFERROR(__xludf.DUMMYFUNCTION("""COMPUTED_VALUE"""),1)</f>
        <v>1</v>
      </c>
      <c r="I574" s="5">
        <f ca="1">IFERROR(__xludf.DUMMYFUNCTION("""COMPUTED_VALUE"""),1)</f>
        <v>1</v>
      </c>
      <c r="J574" s="5">
        <f ca="1">IFERROR(__xludf.DUMMYFUNCTION("""COMPUTED_VALUE"""),18000)</f>
        <v>18000</v>
      </c>
      <c r="K574" s="3"/>
      <c r="L574" s="3" t="str">
        <f ca="1">IFERROR(__xludf.DUMMYFUNCTION("""COMPUTED_VALUE"""),"Cost per instance")</f>
        <v>Cost per instance</v>
      </c>
      <c r="M574" s="3"/>
      <c r="N574" s="3"/>
      <c r="O574" s="3"/>
      <c r="P574" s="3"/>
      <c r="Q574" s="3"/>
      <c r="R574" s="3"/>
      <c r="S574" s="3" t="str">
        <f ca="1">IFERROR(__xludf.DUMMYFUNCTION("""COMPUTED_VALUE"""),"100")</f>
        <v>100</v>
      </c>
      <c r="T574" s="3"/>
      <c r="U574" s="3" t="str">
        <f ca="1">IFERROR(__xludf.DUMMYFUNCTION("""COMPUTED_VALUE"""),"SoMe facebook")</f>
        <v>SoMe facebook</v>
      </c>
      <c r="V574" s="3"/>
      <c r="W574" s="4" t="str">
        <f ca="1">IFERROR(__xludf.DUMMYFUNCTION("""COMPUTED_VALUE"""),"https://www.facebook.com/business/ads-guide/image/facebook-feed")</f>
        <v>https://www.facebook.com/business/ads-guide/image/facebook-feed</v>
      </c>
      <c r="X574" s="3"/>
      <c r="Y574" s="3"/>
      <c r="Z574" s="3" t="str">
        <f ca="1">IFERROR(__xludf.DUMMYFUNCTION("""COMPUTED_VALUE"""),"podklady@cncenter.cz")</f>
        <v>podklady@cncenter.cz</v>
      </c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 t="str">
        <f ca="1">IFERROR(__xludf.DUMMYFUNCTION("""COMPUTED_VALUE"""),"cross-device")</f>
        <v>cross-device</v>
      </c>
      <c r="AO574" s="3"/>
      <c r="AP574" s="3"/>
      <c r="AQ574" s="3"/>
      <c r="AR574" s="3"/>
      <c r="AS574" s="3"/>
      <c r="AT574" s="3"/>
      <c r="AU574" s="3" t="str">
        <f ca="1">IFERROR(__xludf.DUMMYFUNCTION("""COMPUTED_VALUE"""),"facebook post")</f>
        <v>facebook post</v>
      </c>
    </row>
    <row r="575" spans="1:47" x14ac:dyDescent="0.3">
      <c r="A575" s="3">
        <f ca="1"/>
        <v>2346826</v>
      </c>
      <c r="B575" s="3" t="str">
        <f ca="1"/>
        <v>CZECH NEWS CENTER a. s.</v>
      </c>
      <c r="C575" s="3" t="str">
        <f ca="1">IFERROR(__xludf.DUMMYFUNCTION("""COMPUTED_VALUE"""),"Facebookový profil Ženy")</f>
        <v>Facebookový profil Ženy</v>
      </c>
      <c r="D575" s="4" t="str">
        <f ca="1">IFERROR(__xludf.DUMMYFUNCTION("""COMPUTED_VALUE"""),"www.facebook.com")</f>
        <v>www.facebook.com</v>
      </c>
      <c r="E575" s="3" t="str">
        <f ca="1">IFERROR(__xludf.DUMMYFUNCTION("""COMPUTED_VALUE"""),"FB stránka")</f>
        <v>FB stránka</v>
      </c>
      <c r="F575" s="4" t="str">
        <f ca="1">IFERROR(__xludf.DUMMYFUNCTION("""COMPUTED_VALUE"""),"www.facebook.com")</f>
        <v>www.facebook.com</v>
      </c>
      <c r="G575" s="3" t="str">
        <f ca="1">IFERROR(__xludf.DUMMYFUNCTION("""COMPUTED_VALUE"""),"facebook post low season")</f>
        <v>facebook post low season</v>
      </c>
      <c r="H575" s="3">
        <f ca="1">IFERROR(__xludf.DUMMYFUNCTION("""COMPUTED_VALUE"""),1)</f>
        <v>1</v>
      </c>
      <c r="I575" s="5">
        <f ca="1">IFERROR(__xludf.DUMMYFUNCTION("""COMPUTED_VALUE"""),1)</f>
        <v>1</v>
      </c>
      <c r="J575" s="5">
        <f ca="1">IFERROR(__xludf.DUMMYFUNCTION("""COMPUTED_VALUE"""),18000)</f>
        <v>18000</v>
      </c>
      <c r="K575" s="3"/>
      <c r="L575" s="3" t="str">
        <f ca="1">IFERROR(__xludf.DUMMYFUNCTION("""COMPUTED_VALUE"""),"Cost per instance")</f>
        <v>Cost per instance</v>
      </c>
      <c r="M575" s="3"/>
      <c r="N575" s="3"/>
      <c r="O575" s="3"/>
      <c r="P575" s="3"/>
      <c r="Q575" s="3"/>
      <c r="R575" s="3"/>
      <c r="S575" s="3" t="str">
        <f ca="1">IFERROR(__xludf.DUMMYFUNCTION("""COMPUTED_VALUE"""),"100")</f>
        <v>100</v>
      </c>
      <c r="T575" s="3"/>
      <c r="U575" s="3" t="str">
        <f ca="1">IFERROR(__xludf.DUMMYFUNCTION("""COMPUTED_VALUE"""),"SoMe facebook")</f>
        <v>SoMe facebook</v>
      </c>
      <c r="V575" s="3"/>
      <c r="W575" s="4" t="str">
        <f ca="1">IFERROR(__xludf.DUMMYFUNCTION("""COMPUTED_VALUE"""),"https://www.facebook.com/business/ads-guide/image/facebook-feed")</f>
        <v>https://www.facebook.com/business/ads-guide/image/facebook-feed</v>
      </c>
      <c r="X575" s="3"/>
      <c r="Y575" s="3"/>
      <c r="Z575" s="3" t="str">
        <f ca="1">IFERROR(__xludf.DUMMYFUNCTION("""COMPUTED_VALUE"""),"podklady@cncenter.cz")</f>
        <v>podklady@cncenter.cz</v>
      </c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 t="str">
        <f ca="1">IFERROR(__xludf.DUMMYFUNCTION("""COMPUTED_VALUE"""),"cross-device")</f>
        <v>cross-device</v>
      </c>
      <c r="AO575" s="3"/>
      <c r="AP575" s="3"/>
      <c r="AQ575" s="3"/>
      <c r="AR575" s="3"/>
      <c r="AS575" s="3"/>
      <c r="AT575" s="3"/>
      <c r="AU575" s="3" t="str">
        <f ca="1">IFERROR(__xludf.DUMMYFUNCTION("""COMPUTED_VALUE"""),"facebook post")</f>
        <v>facebook post</v>
      </c>
    </row>
    <row r="576" spans="1:47" x14ac:dyDescent="0.3">
      <c r="A576" s="3">
        <f ca="1"/>
        <v>2346826</v>
      </c>
      <c r="B576" s="3" t="str">
        <f ca="1"/>
        <v>CZECH NEWS CENTER a. s.</v>
      </c>
      <c r="C576" s="3" t="str">
        <f ca="1">IFERROR(__xludf.DUMMYFUNCTION("""COMPUTED_VALUE"""),"Facebookový profil Živě")</f>
        <v>Facebookový profil Živě</v>
      </c>
      <c r="D576" s="4" t="str">
        <f ca="1">IFERROR(__xludf.DUMMYFUNCTION("""COMPUTED_VALUE"""),"www.facebook.com")</f>
        <v>www.facebook.com</v>
      </c>
      <c r="E576" s="3" t="str">
        <f ca="1">IFERROR(__xludf.DUMMYFUNCTION("""COMPUTED_VALUE"""),"FB stránka")</f>
        <v>FB stránka</v>
      </c>
      <c r="F576" s="4" t="str">
        <f ca="1">IFERROR(__xludf.DUMMYFUNCTION("""COMPUTED_VALUE"""),"www.facebook.com")</f>
        <v>www.facebook.com</v>
      </c>
      <c r="G576" s="3" t="str">
        <f ca="1">IFERROR(__xludf.DUMMYFUNCTION("""COMPUTED_VALUE"""),"facebook post low season")</f>
        <v>facebook post low season</v>
      </c>
      <c r="H576" s="3">
        <f ca="1">IFERROR(__xludf.DUMMYFUNCTION("""COMPUTED_VALUE"""),1)</f>
        <v>1</v>
      </c>
      <c r="I576" s="5">
        <f ca="1">IFERROR(__xludf.DUMMYFUNCTION("""COMPUTED_VALUE"""),1)</f>
        <v>1</v>
      </c>
      <c r="J576" s="5">
        <f ca="1">IFERROR(__xludf.DUMMYFUNCTION("""COMPUTED_VALUE"""),18000)</f>
        <v>18000</v>
      </c>
      <c r="K576" s="3"/>
      <c r="L576" s="3" t="str">
        <f ca="1">IFERROR(__xludf.DUMMYFUNCTION("""COMPUTED_VALUE"""),"Cost per instance")</f>
        <v>Cost per instance</v>
      </c>
      <c r="M576" s="3"/>
      <c r="N576" s="3"/>
      <c r="O576" s="3"/>
      <c r="P576" s="3"/>
      <c r="Q576" s="3"/>
      <c r="R576" s="3"/>
      <c r="S576" s="3" t="str">
        <f ca="1">IFERROR(__xludf.DUMMYFUNCTION("""COMPUTED_VALUE"""),"100")</f>
        <v>100</v>
      </c>
      <c r="T576" s="3"/>
      <c r="U576" s="3" t="str">
        <f ca="1">IFERROR(__xludf.DUMMYFUNCTION("""COMPUTED_VALUE"""),"SoMe facebook")</f>
        <v>SoMe facebook</v>
      </c>
      <c r="V576" s="3"/>
      <c r="W576" s="4" t="str">
        <f ca="1">IFERROR(__xludf.DUMMYFUNCTION("""COMPUTED_VALUE"""),"https://www.facebook.com/business/ads-guide/image/facebook-feed")</f>
        <v>https://www.facebook.com/business/ads-guide/image/facebook-feed</v>
      </c>
      <c r="X576" s="3"/>
      <c r="Y576" s="3"/>
      <c r="Z576" s="3" t="str">
        <f ca="1">IFERROR(__xludf.DUMMYFUNCTION("""COMPUTED_VALUE"""),"podklady@cncenter.cz")</f>
        <v>podklady@cncenter.cz</v>
      </c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 t="str">
        <f ca="1">IFERROR(__xludf.DUMMYFUNCTION("""COMPUTED_VALUE"""),"cross-device")</f>
        <v>cross-device</v>
      </c>
      <c r="AO576" s="3"/>
      <c r="AP576" s="3"/>
      <c r="AQ576" s="3"/>
      <c r="AR576" s="3"/>
      <c r="AS576" s="3"/>
      <c r="AT576" s="3"/>
      <c r="AU576" s="3" t="str">
        <f ca="1">IFERROR(__xludf.DUMMYFUNCTION("""COMPUTED_VALUE"""),"facebook post")</f>
        <v>facebook post</v>
      </c>
    </row>
    <row r="577" spans="1:47" x14ac:dyDescent="0.3">
      <c r="A577" s="3">
        <f ca="1"/>
        <v>2346826</v>
      </c>
      <c r="B577" s="3" t="str">
        <f ca="1"/>
        <v>CZECH NEWS CENTER a. s.</v>
      </c>
      <c r="C577" s="3" t="str">
        <f ca="1">IFERROR(__xludf.DUMMYFUNCTION("""COMPUTED_VALUE"""),"FinExpert")</f>
        <v>FinExpert</v>
      </c>
      <c r="D577" s="4" t="str">
        <f ca="1">IFERROR(__xludf.DUMMYFUNCTION("""COMPUTED_VALUE"""),"https://finexpert.cz")</f>
        <v>https://finexpert.cz</v>
      </c>
      <c r="E577" s="3" t="str">
        <f ca="1">IFERROR(__xludf.DUMMYFUNCTION("""COMPUTED_VALUE"""),"celý web")</f>
        <v>celý web</v>
      </c>
      <c r="F577" s="4" t="str">
        <f ca="1">IFERROR(__xludf.DUMMYFUNCTION("""COMPUTED_VALUE"""),"https://finexpert.cz")</f>
        <v>https://finexpert.cz</v>
      </c>
      <c r="G577" s="3" t="str">
        <f ca="1">IFERROR(__xludf.DUMMYFUNCTION("""COMPUTED_VALUE"""),"Advertorial low season")</f>
        <v>Advertorial low season</v>
      </c>
      <c r="H577" s="3">
        <f ca="1">IFERROR(__xludf.DUMMYFUNCTION("""COMPUTED_VALUE"""),1)</f>
        <v>1</v>
      </c>
      <c r="I577" s="5">
        <f ca="1">IFERROR(__xludf.DUMMYFUNCTION("""COMPUTED_VALUE"""),1)</f>
        <v>1</v>
      </c>
      <c r="J577" s="5">
        <f ca="1">IFERROR(__xludf.DUMMYFUNCTION("""COMPUTED_VALUE"""),90000)</f>
        <v>90000</v>
      </c>
      <c r="K577" s="3"/>
      <c r="L577" s="3" t="str">
        <f ca="1">IFERROR(__xludf.DUMMYFUNCTION("""COMPUTED_VALUE"""),"Cost per instance")</f>
        <v>Cost per instance</v>
      </c>
      <c r="M577" s="3"/>
      <c r="N577" s="3"/>
      <c r="O577" s="3"/>
      <c r="P577" s="3"/>
      <c r="Q577" s="3"/>
      <c r="R577" s="3"/>
      <c r="S577" s="3" t="str">
        <f ca="1">IFERROR(__xludf.DUMMYFUNCTION("""COMPUTED_VALUE"""),"100")</f>
        <v>100</v>
      </c>
      <c r="T577" s="3"/>
      <c r="U577" s="3" t="str">
        <f ca="1">IFERROR(__xludf.DUMMYFUNCTION("""COMPUTED_VALUE"""),"pr článek")</f>
        <v>pr článek</v>
      </c>
      <c r="V577" s="3"/>
      <c r="W577" s="3"/>
      <c r="X577" s="3"/>
      <c r="Y577" s="3"/>
      <c r="Z577" s="3" t="str">
        <f ca="1">IFERROR(__xludf.DUMMYFUNCTION("""COMPUTED_VALUE"""),"podklady@cncenter.cz")</f>
        <v>podklady@cncenter.cz</v>
      </c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 t="str">
        <f ca="1">IFERROR(__xludf.DUMMYFUNCTION("""COMPUTED_VALUE"""),"cross-device")</f>
        <v>cross-device</v>
      </c>
      <c r="AO577" s="3"/>
      <c r="AP577" s="3"/>
      <c r="AQ577" s="3"/>
      <c r="AR577" s="3"/>
      <c r="AS577" s="3"/>
      <c r="AT577" s="3"/>
      <c r="AU577" s="3" t="str">
        <f ca="1">IFERROR(__xludf.DUMMYFUNCTION("""COMPUTED_VALUE"""),"Advertorial")</f>
        <v>Advertorial</v>
      </c>
    </row>
    <row r="578" spans="1:47" x14ac:dyDescent="0.3">
      <c r="A578" s="3">
        <f ca="1"/>
        <v>2346826</v>
      </c>
      <c r="B578" s="3" t="str">
        <f ca="1"/>
        <v>CZECH NEWS CENTER a. s.</v>
      </c>
      <c r="C578" s="3" t="str">
        <f ca="1">IFERROR(__xludf.DUMMYFUNCTION("""COMPUTED_VALUE"""),"FinExpert")</f>
        <v>FinExpert</v>
      </c>
      <c r="D578" s="4" t="str">
        <f ca="1">IFERROR(__xludf.DUMMYFUNCTION("""COMPUTED_VALUE"""),"https://finexpert.cz")</f>
        <v>https://finexpert.cz</v>
      </c>
      <c r="E578" s="3" t="str">
        <f ca="1">IFERROR(__xludf.DUMMYFUNCTION("""COMPUTED_VALUE"""),"celý web")</f>
        <v>celý web</v>
      </c>
      <c r="F578" s="4" t="str">
        <f ca="1">IFERROR(__xludf.DUMMYFUNCTION("""COMPUTED_VALUE"""),"https://finexpert.cz")</f>
        <v>https://finexpert.cz</v>
      </c>
      <c r="G578" s="3" t="str">
        <f ca="1">IFERROR(__xludf.DUMMYFUNCTION("""COMPUTED_VALUE"""),"dokoupení proma o 2 týdny - 10 000 PV *** low season")</f>
        <v>dokoupení proma o 2 týdny - 10 000 PV *** low season</v>
      </c>
      <c r="H578" s="3">
        <f ca="1">IFERROR(__xludf.DUMMYFUNCTION("""COMPUTED_VALUE"""),1)</f>
        <v>1</v>
      </c>
      <c r="I578" s="5">
        <f ca="1">IFERROR(__xludf.DUMMYFUNCTION("""COMPUTED_VALUE"""),1)</f>
        <v>1</v>
      </c>
      <c r="J578" s="5">
        <f ca="1">IFERROR(__xludf.DUMMYFUNCTION("""COMPUTED_VALUE"""),60000)</f>
        <v>60000</v>
      </c>
      <c r="K578" s="3"/>
      <c r="L578" s="3" t="str">
        <f ca="1">IFERROR(__xludf.DUMMYFUNCTION("""COMPUTED_VALUE"""),"Cost per instance")</f>
        <v>Cost per instance</v>
      </c>
      <c r="M578" s="3"/>
      <c r="N578" s="3"/>
      <c r="O578" s="3"/>
      <c r="P578" s="3"/>
      <c r="Q578" s="3"/>
      <c r="R578" s="3"/>
      <c r="S578" s="3" t="str">
        <f ca="1">IFERROR(__xludf.DUMMYFUNCTION("""COMPUTED_VALUE"""),"100")</f>
        <v>100</v>
      </c>
      <c r="T578" s="3"/>
      <c r="U578" s="3" t="str">
        <f ca="1">IFERROR(__xludf.DUMMYFUNCTION("""COMPUTED_VALUE"""),"microsite")</f>
        <v>microsite</v>
      </c>
      <c r="V578" s="3"/>
      <c r="W578" s="3"/>
      <c r="X578" s="3"/>
      <c r="Y578" s="3"/>
      <c r="Z578" s="3" t="str">
        <f ca="1">IFERROR(__xludf.DUMMYFUNCTION("""COMPUTED_VALUE"""),"podklady@cncenter.cz")</f>
        <v>podklady@cncenter.cz</v>
      </c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 t="str">
        <f ca="1">IFERROR(__xludf.DUMMYFUNCTION("""COMPUTED_VALUE"""),"cross-device")</f>
        <v>cross-device</v>
      </c>
      <c r="AO578" s="3"/>
      <c r="AP578" s="3"/>
      <c r="AQ578" s="3"/>
      <c r="AR578" s="3"/>
      <c r="AS578" s="3"/>
      <c r="AT578" s="3"/>
      <c r="AU578" s="3" t="str">
        <f ca="1">IFERROR(__xludf.DUMMYFUNCTION("""COMPUTED_VALUE"""),"dokoupení proma o 2 týdny - 10 000 PV ***")</f>
        <v>dokoupení proma o 2 týdny - 10 000 PV ***</v>
      </c>
    </row>
    <row r="579" spans="1:47" x14ac:dyDescent="0.3">
      <c r="A579" s="3">
        <f ca="1"/>
        <v>2346826</v>
      </c>
      <c r="B579" s="3" t="str">
        <f ca="1"/>
        <v>CZECH NEWS CENTER a. s.</v>
      </c>
      <c r="C579" s="3" t="str">
        <f ca="1">IFERROR(__xludf.DUMMYFUNCTION("""COMPUTED_VALUE"""),"FinExpert")</f>
        <v>FinExpert</v>
      </c>
      <c r="D579" s="4" t="str">
        <f ca="1">IFERROR(__xludf.DUMMYFUNCTION("""COMPUTED_VALUE"""),"https://finexpert.cz")</f>
        <v>https://finexpert.cz</v>
      </c>
      <c r="E579" s="3" t="str">
        <f ca="1">IFERROR(__xludf.DUMMYFUNCTION("""COMPUTED_VALUE"""),"celý web")</f>
        <v>celý web</v>
      </c>
      <c r="F579" s="4" t="str">
        <f ca="1">IFERROR(__xludf.DUMMYFUNCTION("""COMPUTED_VALUE"""),"https://finexpert.cz")</f>
        <v>https://finexpert.cz</v>
      </c>
      <c r="G579" s="3" t="str">
        <f ca="1">IFERROR(__xludf.DUMMYFUNCTION("""COMPUTED_VALUE"""),"Native Standard low season")</f>
        <v>Native Standard low season</v>
      </c>
      <c r="H579" s="3">
        <f ca="1">IFERROR(__xludf.DUMMYFUNCTION("""COMPUTED_VALUE"""),1)</f>
        <v>1</v>
      </c>
      <c r="I579" s="5">
        <f ca="1">IFERROR(__xludf.DUMMYFUNCTION("""COMPUTED_VALUE"""),1)</f>
        <v>1</v>
      </c>
      <c r="J579" s="5">
        <f ca="1">IFERROR(__xludf.DUMMYFUNCTION("""COMPUTED_VALUE"""),330000)</f>
        <v>330000</v>
      </c>
      <c r="K579" s="3"/>
      <c r="L579" s="3" t="str">
        <f ca="1">IFERROR(__xludf.DUMMYFUNCTION("""COMPUTED_VALUE"""),"Cost per instance")</f>
        <v>Cost per instance</v>
      </c>
      <c r="M579" s="3"/>
      <c r="N579" s="3"/>
      <c r="O579" s="3"/>
      <c r="P579" s="3"/>
      <c r="Q579" s="3"/>
      <c r="R579" s="3"/>
      <c r="S579" s="3" t="str">
        <f ca="1">IFERROR(__xludf.DUMMYFUNCTION("""COMPUTED_VALUE"""),"100")</f>
        <v>100</v>
      </c>
      <c r="T579" s="3"/>
      <c r="U579" s="3" t="str">
        <f ca="1">IFERROR(__xludf.DUMMYFUNCTION("""COMPUTED_VALUE"""),"microsite")</f>
        <v>microsite</v>
      </c>
      <c r="V579" s="3"/>
      <c r="W579" s="3"/>
      <c r="X579" s="3"/>
      <c r="Y579" s="3"/>
      <c r="Z579" s="3" t="str">
        <f ca="1">IFERROR(__xludf.DUMMYFUNCTION("""COMPUTED_VALUE"""),"podklady@cncenter.cz")</f>
        <v>podklady@cncenter.cz</v>
      </c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 t="str">
        <f ca="1">IFERROR(__xludf.DUMMYFUNCTION("""COMPUTED_VALUE"""),"cross-device")</f>
        <v>cross-device</v>
      </c>
      <c r="AO579" s="3"/>
      <c r="AP579" s="3"/>
      <c r="AQ579" s="3"/>
      <c r="AR579" s="3"/>
      <c r="AS579" s="3"/>
      <c r="AT579" s="3"/>
      <c r="AU579" s="3" t="str">
        <f ca="1">IFERROR(__xludf.DUMMYFUNCTION("""COMPUTED_VALUE"""),"Native Standard")</f>
        <v>Native Standard</v>
      </c>
    </row>
    <row r="580" spans="1:47" x14ac:dyDescent="0.3">
      <c r="A580" s="3">
        <f ca="1"/>
        <v>2346826</v>
      </c>
      <c r="B580" s="3" t="str">
        <f ca="1"/>
        <v>CZECH NEWS CENTER a. s.</v>
      </c>
      <c r="C580" s="3" t="str">
        <f ca="1">IFERROR(__xludf.DUMMYFUNCTION("""COMPUTED_VALUE"""),"FinExpert")</f>
        <v>FinExpert</v>
      </c>
      <c r="D580" s="4" t="str">
        <f ca="1">IFERROR(__xludf.DUMMYFUNCTION("""COMPUTED_VALUE"""),"https://finexpert.cz")</f>
        <v>https://finexpert.cz</v>
      </c>
      <c r="E580" s="3" t="str">
        <f ca="1">IFERROR(__xludf.DUMMYFUNCTION("""COMPUTED_VALUE"""),"celý web")</f>
        <v>celý web</v>
      </c>
      <c r="F580" s="4" t="str">
        <f ca="1">IFERROR(__xludf.DUMMYFUNCTION("""COMPUTED_VALUE"""),"https://finexpert.cz")</f>
        <v>https://finexpert.cz</v>
      </c>
      <c r="G580" s="3" t="str">
        <f ca="1">IFERROR(__xludf.DUMMYFUNCTION("""COMPUTED_VALUE"""),"PR článek low season")</f>
        <v>PR článek low season</v>
      </c>
      <c r="H580" s="3">
        <f ca="1">IFERROR(__xludf.DUMMYFUNCTION("""COMPUTED_VALUE"""),1)</f>
        <v>1</v>
      </c>
      <c r="I580" s="5">
        <f ca="1">IFERROR(__xludf.DUMMYFUNCTION("""COMPUTED_VALUE"""),1)</f>
        <v>1</v>
      </c>
      <c r="J580" s="5">
        <f ca="1">IFERROR(__xludf.DUMMYFUNCTION("""COMPUTED_VALUE"""),20000)</f>
        <v>20000</v>
      </c>
      <c r="K580" s="3"/>
      <c r="L580" s="3" t="str">
        <f ca="1">IFERROR(__xludf.DUMMYFUNCTION("""COMPUTED_VALUE"""),"Cost per instance")</f>
        <v>Cost per instance</v>
      </c>
      <c r="M580" s="3"/>
      <c r="N580" s="3"/>
      <c r="O580" s="3"/>
      <c r="P580" s="3"/>
      <c r="Q580" s="3"/>
      <c r="R580" s="3"/>
      <c r="S580" s="3" t="str">
        <f ca="1">IFERROR(__xludf.DUMMYFUNCTION("""COMPUTED_VALUE"""),"100")</f>
        <v>100</v>
      </c>
      <c r="T580" s="3"/>
      <c r="U580" s="3" t="str">
        <f ca="1">IFERROR(__xludf.DUMMYFUNCTION("""COMPUTED_VALUE"""),"pr článek")</f>
        <v>pr článek</v>
      </c>
      <c r="V580" s="3"/>
      <c r="W580" s="4" t="str">
        <f ca="1">IFERROR(__xludf.DUMMYFUNCTION("""COMPUTED_VALUE"""),"https://reklama.cncenter.cz/?ads=PR%2520%25C4%258Dl%25C3%25A1nky")</f>
        <v>https://reklama.cncenter.cz/?ads=PR%2520%25C4%258Dl%25C3%25A1nky</v>
      </c>
      <c r="X580" s="3"/>
      <c r="Y580" s="3"/>
      <c r="Z580" s="3" t="str">
        <f ca="1">IFERROR(__xludf.DUMMYFUNCTION("""COMPUTED_VALUE"""),"podklady@cncenter.cz")</f>
        <v>podklady@cncenter.cz</v>
      </c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 t="str">
        <f ca="1">IFERROR(__xludf.DUMMYFUNCTION("""COMPUTED_VALUE"""),"cross-device")</f>
        <v>cross-device</v>
      </c>
      <c r="AO580" s="3"/>
      <c r="AP580" s="3"/>
      <c r="AQ580" s="3"/>
      <c r="AR580" s="3"/>
      <c r="AS580" s="3"/>
      <c r="AT580" s="3"/>
      <c r="AU580" s="3" t="str">
        <f ca="1">IFERROR(__xludf.DUMMYFUNCTION("""COMPUTED_VALUE"""),"PR článek")</f>
        <v>PR článek</v>
      </c>
    </row>
    <row r="581" spans="1:47" x14ac:dyDescent="0.3">
      <c r="A581" s="3">
        <f ca="1"/>
        <v>2346826</v>
      </c>
      <c r="B581" s="3" t="str">
        <f ca="1"/>
        <v>CZECH NEWS CENTER a. s.</v>
      </c>
      <c r="C581" s="3" t="str">
        <f ca="1">IFERROR(__xludf.DUMMYFUNCTION("""COMPUTED_VALUE"""),"FinExpert")</f>
        <v>FinExpert</v>
      </c>
      <c r="D581" s="4" t="str">
        <f ca="1">IFERROR(__xludf.DUMMYFUNCTION("""COMPUTED_VALUE"""),"https://finexpert.cz")</f>
        <v>https://finexpert.cz</v>
      </c>
      <c r="E581" s="3" t="str">
        <f ca="1">IFERROR(__xludf.DUMMYFUNCTION("""COMPUTED_VALUE"""),"celý web")</f>
        <v>celý web</v>
      </c>
      <c r="F581" s="4" t="str">
        <f ca="1">IFERROR(__xludf.DUMMYFUNCTION("""COMPUTED_VALUE"""),"https://finexpert.cz")</f>
        <v>https://finexpert.cz</v>
      </c>
      <c r="G581" s="3" t="str">
        <f ca="1">IFERROR(__xludf.DUMMYFUNCTION("""COMPUTED_VALUE"""),"Prodloužení existující microsite, bez úprav low season")</f>
        <v>Prodloužení existující microsite, bez úprav low season</v>
      </c>
      <c r="H581" s="3">
        <f ca="1">IFERROR(__xludf.DUMMYFUNCTION("""COMPUTED_VALUE"""),1)</f>
        <v>1</v>
      </c>
      <c r="I581" s="5">
        <f ca="1">IFERROR(__xludf.DUMMYFUNCTION("""COMPUTED_VALUE"""),1)</f>
        <v>1</v>
      </c>
      <c r="J581" s="5">
        <f ca="1">IFERROR(__xludf.DUMMYFUNCTION("""COMPUTED_VALUE"""),15000)</f>
        <v>15000</v>
      </c>
      <c r="K581" s="3"/>
      <c r="L581" s="3" t="str">
        <f ca="1">IFERROR(__xludf.DUMMYFUNCTION("""COMPUTED_VALUE"""),"Cost per instance")</f>
        <v>Cost per instance</v>
      </c>
      <c r="M581" s="3"/>
      <c r="N581" s="3"/>
      <c r="O581" s="3"/>
      <c r="P581" s="3"/>
      <c r="Q581" s="3"/>
      <c r="R581" s="3"/>
      <c r="S581" s="3" t="str">
        <f ca="1">IFERROR(__xludf.DUMMYFUNCTION("""COMPUTED_VALUE"""),"100")</f>
        <v>100</v>
      </c>
      <c r="T581" s="3"/>
      <c r="U581" s="3" t="str">
        <f ca="1">IFERROR(__xludf.DUMMYFUNCTION("""COMPUTED_VALUE"""),"microsite")</f>
        <v>microsite</v>
      </c>
      <c r="V581" s="3"/>
      <c r="W581" s="3"/>
      <c r="X581" s="3"/>
      <c r="Y581" s="3"/>
      <c r="Z581" s="3" t="str">
        <f ca="1">IFERROR(__xludf.DUMMYFUNCTION("""COMPUTED_VALUE"""),"podklady@cncenter.cz")</f>
        <v>podklady@cncenter.cz</v>
      </c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 t="str">
        <f ca="1">IFERROR(__xludf.DUMMYFUNCTION("""COMPUTED_VALUE"""),"cross-device")</f>
        <v>cross-device</v>
      </c>
      <c r="AO581" s="3"/>
      <c r="AP581" s="3"/>
      <c r="AQ581" s="3"/>
      <c r="AR581" s="3"/>
      <c r="AS581" s="3"/>
      <c r="AT581" s="3"/>
      <c r="AU581" s="3" t="str">
        <f ca="1">IFERROR(__xludf.DUMMYFUNCTION("""COMPUTED_VALUE"""),"Prodloužení existující microsite, bez úprav")</f>
        <v>Prodloužení existující microsite, bez úprav</v>
      </c>
    </row>
    <row r="582" spans="1:47" x14ac:dyDescent="0.3">
      <c r="A582" s="3">
        <f ca="1"/>
        <v>2346826</v>
      </c>
      <c r="B582" s="3" t="str">
        <f ca="1"/>
        <v>CZECH NEWS CENTER a. s.</v>
      </c>
      <c r="C582" s="3" t="str">
        <f ca="1">IFERROR(__xludf.DUMMYFUNCTION("""COMPUTED_VALUE"""),"FinExpert")</f>
        <v>FinExpert</v>
      </c>
      <c r="D582" s="4" t="str">
        <f ca="1">IFERROR(__xludf.DUMMYFUNCTION("""COMPUTED_VALUE"""),"https://finexpert.cz")</f>
        <v>https://finexpert.cz</v>
      </c>
      <c r="E582" s="3" t="str">
        <f ca="1">IFERROR(__xludf.DUMMYFUNCTION("""COMPUTED_VALUE"""),"celý web")</f>
        <v>celý web</v>
      </c>
      <c r="F582" s="4" t="str">
        <f ca="1">IFERROR(__xludf.DUMMYFUNCTION("""COMPUTED_VALUE"""),"https://finexpert.cz")</f>
        <v>https://finexpert.cz</v>
      </c>
      <c r="G582" s="3" t="str">
        <f ca="1">IFERROR(__xludf.DUMMYFUNCTION("""COMPUTED_VALUE"""),"Prodloužení existující microsite, bez úprav low season")</f>
        <v>Prodloužení existující microsite, bez úprav low season</v>
      </c>
      <c r="H582" s="3">
        <f ca="1">IFERROR(__xludf.DUMMYFUNCTION("""COMPUTED_VALUE"""),1)</f>
        <v>1</v>
      </c>
      <c r="I582" s="5">
        <f ca="1">IFERROR(__xludf.DUMMYFUNCTION("""COMPUTED_VALUE"""),1)</f>
        <v>1</v>
      </c>
      <c r="J582" s="5">
        <f ca="1">IFERROR(__xludf.DUMMYFUNCTION("""COMPUTED_VALUE"""),15000)</f>
        <v>15000</v>
      </c>
      <c r="K582" s="3"/>
      <c r="L582" s="3" t="str">
        <f ca="1">IFERROR(__xludf.DUMMYFUNCTION("""COMPUTED_VALUE"""),"Cost per instance")</f>
        <v>Cost per instance</v>
      </c>
      <c r="M582" s="3"/>
      <c r="N582" s="3"/>
      <c r="O582" s="3"/>
      <c r="P582" s="3"/>
      <c r="Q582" s="3"/>
      <c r="R582" s="3"/>
      <c r="S582" s="3" t="str">
        <f ca="1">IFERROR(__xludf.DUMMYFUNCTION("""COMPUTED_VALUE"""),"100")</f>
        <v>100</v>
      </c>
      <c r="T582" s="3"/>
      <c r="U582" s="3" t="str">
        <f ca="1">IFERROR(__xludf.DUMMYFUNCTION("""COMPUTED_VALUE"""),"microsite")</f>
        <v>microsite</v>
      </c>
      <c r="V582" s="3"/>
      <c r="W582" s="3"/>
      <c r="X582" s="3"/>
      <c r="Y582" s="3"/>
      <c r="Z582" s="3" t="str">
        <f ca="1">IFERROR(__xludf.DUMMYFUNCTION("""COMPUTED_VALUE"""),"podklady@cncenter.cz")</f>
        <v>podklady@cncenter.cz</v>
      </c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 t="str">
        <f ca="1">IFERROR(__xludf.DUMMYFUNCTION("""COMPUTED_VALUE"""),"cross-device")</f>
        <v>cross-device</v>
      </c>
      <c r="AO582" s="3"/>
      <c r="AP582" s="3"/>
      <c r="AQ582" s="3"/>
      <c r="AR582" s="3"/>
      <c r="AS582" s="3"/>
      <c r="AT582" s="3"/>
      <c r="AU582" s="3" t="str">
        <f ca="1">IFERROR(__xludf.DUMMYFUNCTION("""COMPUTED_VALUE"""),"Prodloužení existující microsite, bez úprav")</f>
        <v>Prodloužení existující microsite, bez úprav</v>
      </c>
    </row>
    <row r="583" spans="1:47" x14ac:dyDescent="0.3">
      <c r="A583" s="3">
        <f ca="1"/>
        <v>2346826</v>
      </c>
      <c r="B583" s="3" t="str">
        <f ca="1"/>
        <v>CZECH NEWS CENTER a. s.</v>
      </c>
      <c r="C583" s="3" t="str">
        <f ca="1">IFERROR(__xludf.DUMMYFUNCTION("""COMPUTED_VALUE"""),"FinExpert")</f>
        <v>FinExpert</v>
      </c>
      <c r="D583" s="4" t="str">
        <f ca="1">IFERROR(__xludf.DUMMYFUNCTION("""COMPUTED_VALUE"""),"https://finexpert.cz")</f>
        <v>https://finexpert.cz</v>
      </c>
      <c r="E583" s="3" t="str">
        <f ca="1">IFERROR(__xludf.DUMMYFUNCTION("""COMPUTED_VALUE"""),"celý web")</f>
        <v>celý web</v>
      </c>
      <c r="F583" s="4" t="str">
        <f ca="1">IFERROR(__xludf.DUMMYFUNCTION("""COMPUTED_VALUE"""),"https://finexpert.cz")</f>
        <v>https://finexpert.cz</v>
      </c>
      <c r="G583" s="3" t="str">
        <f ca="1">IFERROR(__xludf.DUMMYFUNCTION("""COMPUTED_VALUE"""),"Prodloužení existující microsite, bez úprav low season")</f>
        <v>Prodloužení existující microsite, bez úprav low season</v>
      </c>
      <c r="H583" s="3">
        <f ca="1">IFERROR(__xludf.DUMMYFUNCTION("""COMPUTED_VALUE"""),1)</f>
        <v>1</v>
      </c>
      <c r="I583" s="5">
        <f ca="1">IFERROR(__xludf.DUMMYFUNCTION("""COMPUTED_VALUE"""),1)</f>
        <v>1</v>
      </c>
      <c r="J583" s="5">
        <f ca="1">IFERROR(__xludf.DUMMYFUNCTION("""COMPUTED_VALUE"""),15000)</f>
        <v>15000</v>
      </c>
      <c r="K583" s="3"/>
      <c r="L583" s="3" t="str">
        <f ca="1">IFERROR(__xludf.DUMMYFUNCTION("""COMPUTED_VALUE"""),"Cost per instance")</f>
        <v>Cost per instance</v>
      </c>
      <c r="M583" s="3"/>
      <c r="N583" s="3"/>
      <c r="O583" s="3"/>
      <c r="P583" s="3"/>
      <c r="Q583" s="3"/>
      <c r="R583" s="3"/>
      <c r="S583" s="3" t="str">
        <f ca="1">IFERROR(__xludf.DUMMYFUNCTION("""COMPUTED_VALUE"""),"100")</f>
        <v>100</v>
      </c>
      <c r="T583" s="3"/>
      <c r="U583" s="3" t="str">
        <f ca="1">IFERROR(__xludf.DUMMYFUNCTION("""COMPUTED_VALUE"""),"microsite")</f>
        <v>microsite</v>
      </c>
      <c r="V583" s="3"/>
      <c r="W583" s="3"/>
      <c r="X583" s="3"/>
      <c r="Y583" s="3"/>
      <c r="Z583" s="3" t="str">
        <f ca="1">IFERROR(__xludf.DUMMYFUNCTION("""COMPUTED_VALUE"""),"podklady@cncenter.cz")</f>
        <v>podklady@cncenter.cz</v>
      </c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 t="str">
        <f ca="1">IFERROR(__xludf.DUMMYFUNCTION("""COMPUTED_VALUE"""),"cross-device")</f>
        <v>cross-device</v>
      </c>
      <c r="AO583" s="3"/>
      <c r="AP583" s="3"/>
      <c r="AQ583" s="3"/>
      <c r="AR583" s="3"/>
      <c r="AS583" s="3"/>
      <c r="AT583" s="3"/>
      <c r="AU583" s="3" t="str">
        <f ca="1">IFERROR(__xludf.DUMMYFUNCTION("""COMPUTED_VALUE"""),"Prodloužení existující microsite, bez úprav")</f>
        <v>Prodloužení existující microsite, bez úprav</v>
      </c>
    </row>
    <row r="584" spans="1:47" x14ac:dyDescent="0.3">
      <c r="A584" s="3">
        <f ca="1"/>
        <v>2346826</v>
      </c>
      <c r="B584" s="3" t="str">
        <f ca="1"/>
        <v>CZECH NEWS CENTER a. s.</v>
      </c>
      <c r="C584" s="3" t="str">
        <f ca="1">IFERROR(__xludf.DUMMYFUNCTION("""COMPUTED_VALUE"""),"Fitweb")</f>
        <v>Fitweb</v>
      </c>
      <c r="D584" s="4" t="str">
        <f ca="1">IFERROR(__xludf.DUMMYFUNCTION("""COMPUTED_VALUE"""),"https://fitweb.cz")</f>
        <v>https://fitweb.cz</v>
      </c>
      <c r="E584" s="3" t="str">
        <f ca="1">IFERROR(__xludf.DUMMYFUNCTION("""COMPUTED_VALUE"""),"celý web")</f>
        <v>celý web</v>
      </c>
      <c r="F584" s="4" t="str">
        <f ca="1">IFERROR(__xludf.DUMMYFUNCTION("""COMPUTED_VALUE"""),"https://fitweb.cz")</f>
        <v>https://fitweb.cz</v>
      </c>
      <c r="G584" s="3" t="str">
        <f ca="1">IFERROR(__xludf.DUMMYFUNCTION("""COMPUTED_VALUE"""),"billboard bottom low season")</f>
        <v>billboard bottom low season</v>
      </c>
      <c r="H584" s="3">
        <f ca="1">IFERROR(__xludf.DUMMYFUNCTION("""COMPUTED_VALUE"""),7)</f>
        <v>7</v>
      </c>
      <c r="I584" s="5">
        <f ca="1">IFERROR(__xludf.DUMMYFUNCTION("""COMPUTED_VALUE"""),1000)</f>
        <v>1000</v>
      </c>
      <c r="J584" s="5">
        <f ca="1">IFERROR(__xludf.DUMMYFUNCTION("""COMPUTED_VALUE"""),240)</f>
        <v>240</v>
      </c>
      <c r="K584" s="3"/>
      <c r="L584" s="3" t="str">
        <f ca="1">IFERROR(__xludf.DUMMYFUNCTION("""COMPUTED_VALUE"""),"Cost per period")</f>
        <v>Cost per period</v>
      </c>
      <c r="M584" s="3"/>
      <c r="N584" s="3"/>
      <c r="O584" s="3" t="str">
        <f ca="1">IFERROR(__xludf.DUMMYFUNCTION("""COMPUTED_VALUE"""),"970")</f>
        <v>970</v>
      </c>
      <c r="P584" s="3" t="str">
        <f ca="1">IFERROR(__xludf.DUMMYFUNCTION("""COMPUTED_VALUE"""),"250")</f>
        <v>250</v>
      </c>
      <c r="Q584" s="3" t="str">
        <f ca="1">IFERROR(__xludf.DUMMYFUNCTION("""COMPUTED_VALUE"""),"970x250")</f>
        <v>970x250</v>
      </c>
      <c r="R584" s="3"/>
      <c r="S584" s="3" t="str">
        <f ca="1">IFERROR(__xludf.DUMMYFUNCTION("""COMPUTED_VALUE"""),"100 (200 - HTML5)")</f>
        <v>100 (200 - HTML5)</v>
      </c>
      <c r="T584" s="3"/>
      <c r="U584" s="3" t="str">
        <f ca="1">IFERROR(__xludf.DUMMYFUNCTION("""COMPUTED_VALUE"""),"banner standard")</f>
        <v>banner standard</v>
      </c>
      <c r="V584" s="3"/>
      <c r="W584" s="4" t="str">
        <f ca="1">IFERROR(__xludf.DUMMYFUNCTION("""COMPUTED_VALUE"""),"https://reklama.cncenter.cz/Online/billboard-bottom")</f>
        <v>https://reklama.cncenter.cz/Online/billboard-bottom</v>
      </c>
      <c r="X584" s="3"/>
      <c r="Y584" s="3"/>
      <c r="Z584" s="3" t="str">
        <f ca="1">IFERROR(__xludf.DUMMYFUNCTION("""COMPUTED_VALUE"""),"podklady@cncenter.cz")</f>
        <v>podklady@cncenter.cz</v>
      </c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 t="str">
        <f ca="1">IFERROR(__xludf.DUMMYFUNCTION("""COMPUTED_VALUE"""),"desktop")</f>
        <v>desktop</v>
      </c>
      <c r="AO584" s="3"/>
      <c r="AP584" s="3"/>
      <c r="AQ584" s="3"/>
      <c r="AR584" s="3"/>
      <c r="AS584" s="3"/>
      <c r="AT584" s="3"/>
      <c r="AU584" s="3" t="str">
        <f ca="1">IFERROR(__xludf.DUMMYFUNCTION("""COMPUTED_VALUE"""),"billboard bottom")</f>
        <v>billboard bottom</v>
      </c>
    </row>
    <row r="585" spans="1:47" x14ac:dyDescent="0.3">
      <c r="A585" s="3">
        <f ca="1"/>
        <v>2346826</v>
      </c>
      <c r="B585" s="3" t="str">
        <f ca="1"/>
        <v>CZECH NEWS CENTER a. s.</v>
      </c>
      <c r="C585" s="3" t="str">
        <f ca="1">IFERROR(__xludf.DUMMYFUNCTION("""COMPUTED_VALUE"""),"Fitweb")</f>
        <v>Fitweb</v>
      </c>
      <c r="D585" s="4" t="str">
        <f ca="1">IFERROR(__xludf.DUMMYFUNCTION("""COMPUTED_VALUE"""),"https://fitweb.cz")</f>
        <v>https://fitweb.cz</v>
      </c>
      <c r="E585" s="3" t="str">
        <f ca="1">IFERROR(__xludf.DUMMYFUNCTION("""COMPUTED_VALUE"""),"celý web")</f>
        <v>celý web</v>
      </c>
      <c r="F585" s="4" t="str">
        <f ca="1">IFERROR(__xludf.DUMMYFUNCTION("""COMPUTED_VALUE"""),"https://fitweb.cz")</f>
        <v>https://fitweb.cz</v>
      </c>
      <c r="G585" s="3" t="str">
        <f ca="1">IFERROR(__xludf.DUMMYFUNCTION("""COMPUTED_VALUE"""),"branding cross-device low season")</f>
        <v>branding cross-device low season</v>
      </c>
      <c r="H585" s="3">
        <f ca="1">IFERROR(__xludf.DUMMYFUNCTION("""COMPUTED_VALUE"""),7)</f>
        <v>7</v>
      </c>
      <c r="I585" s="5">
        <f ca="1">IFERROR(__xludf.DUMMYFUNCTION("""COMPUTED_VALUE"""),1000)</f>
        <v>1000</v>
      </c>
      <c r="J585" s="5">
        <f ca="1">IFERROR(__xludf.DUMMYFUNCTION("""COMPUTED_VALUE"""),300)</f>
        <v>300</v>
      </c>
      <c r="K585" s="3"/>
      <c r="L585" s="3" t="str">
        <f ca="1">IFERROR(__xludf.DUMMYFUNCTION("""COMPUTED_VALUE"""),"Cost per period")</f>
        <v>Cost per period</v>
      </c>
      <c r="M585" s="3"/>
      <c r="N585" s="3"/>
      <c r="O585" s="3" t="str">
        <f ca="1">IFERROR(__xludf.DUMMYFUNCTION("""COMPUTED_VALUE"""),"2000")</f>
        <v>2000</v>
      </c>
      <c r="P585" s="3" t="str">
        <f ca="1">IFERROR(__xludf.DUMMYFUNCTION("""COMPUTED_VALUE"""),"1400")</f>
        <v>1400</v>
      </c>
      <c r="Q585" s="3" t="str">
        <f ca="1">IFERROR(__xludf.DUMMYFUNCTION("""COMPUTED_VALUE"""),"2000x1400 + 600x1080")</f>
        <v>2000x1400 + 600x1080</v>
      </c>
      <c r="R585" s="3"/>
      <c r="S585" s="3" t="str">
        <f ca="1">IFERROR(__xludf.DUMMYFUNCTION("""COMPUTED_VALUE"""),"500 (600 - HTLM5)")</f>
        <v>500 (600 - HTLM5)</v>
      </c>
      <c r="T585" s="3"/>
      <c r="U585" s="3" t="str">
        <f ca="1">IFERROR(__xludf.DUMMYFUNCTION("""COMPUTED_VALUE"""),"banner standard")</f>
        <v>banner standard</v>
      </c>
      <c r="V585" s="3"/>
      <c r="W585" s="4" t="str">
        <f ca="1">IFERROR(__xludf.DUMMYFUNCTION("""COMPUTED_VALUE"""),"https://reklama.cncenter.cz/Online/branding-cross-device")</f>
        <v>https://reklama.cncenter.cz/Online/branding-cross-device</v>
      </c>
      <c r="X585" s="3"/>
      <c r="Y585" s="3"/>
      <c r="Z585" s="3" t="str">
        <f ca="1">IFERROR(__xludf.DUMMYFUNCTION("""COMPUTED_VALUE"""),"podklady@cncenter.cz")</f>
        <v>podklady@cncenter.cz</v>
      </c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 t="str">
        <f ca="1">IFERROR(__xludf.DUMMYFUNCTION("""COMPUTED_VALUE"""),"cross-device")</f>
        <v>cross-device</v>
      </c>
      <c r="AO585" s="3"/>
      <c r="AP585" s="3"/>
      <c r="AQ585" s="3"/>
      <c r="AR585" s="3"/>
      <c r="AS585" s="3"/>
      <c r="AT585" s="3"/>
      <c r="AU585" s="3" t="str">
        <f ca="1">IFERROR(__xludf.DUMMYFUNCTION("""COMPUTED_VALUE"""),"branding cross-device")</f>
        <v>branding cross-device</v>
      </c>
    </row>
    <row r="586" spans="1:47" x14ac:dyDescent="0.3">
      <c r="A586" s="3">
        <f ca="1"/>
        <v>2346826</v>
      </c>
      <c r="B586" s="3" t="str">
        <f ca="1"/>
        <v>CZECH NEWS CENTER a. s.</v>
      </c>
      <c r="C586" s="3" t="str">
        <f ca="1">IFERROR(__xludf.DUMMYFUNCTION("""COMPUTED_VALUE"""),"Fitweb")</f>
        <v>Fitweb</v>
      </c>
      <c r="D586" s="4" t="str">
        <f ca="1">IFERROR(__xludf.DUMMYFUNCTION("""COMPUTED_VALUE"""),"https://fitweb.cz")</f>
        <v>https://fitweb.cz</v>
      </c>
      <c r="E586" s="3" t="str">
        <f ca="1">IFERROR(__xludf.DUMMYFUNCTION("""COMPUTED_VALUE"""),"celý web")</f>
        <v>celý web</v>
      </c>
      <c r="F586" s="4" t="str">
        <f ca="1">IFERROR(__xludf.DUMMYFUNCTION("""COMPUTED_VALUE"""),"https://fitweb.cz")</f>
        <v>https://fitweb.cz</v>
      </c>
      <c r="G586" s="3" t="str">
        <f ca="1">IFERROR(__xludf.DUMMYFUNCTION("""COMPUTED_VALUE"""),"branding low season")</f>
        <v>branding low season</v>
      </c>
      <c r="H586" s="3">
        <f ca="1">IFERROR(__xludf.DUMMYFUNCTION("""COMPUTED_VALUE"""),7)</f>
        <v>7</v>
      </c>
      <c r="I586" s="5">
        <f ca="1">IFERROR(__xludf.DUMMYFUNCTION("""COMPUTED_VALUE"""),1000)</f>
        <v>1000</v>
      </c>
      <c r="J586" s="5">
        <f ca="1">IFERROR(__xludf.DUMMYFUNCTION("""COMPUTED_VALUE"""),490)</f>
        <v>490</v>
      </c>
      <c r="K586" s="3"/>
      <c r="L586" s="3" t="str">
        <f ca="1">IFERROR(__xludf.DUMMYFUNCTION("""COMPUTED_VALUE"""),"Cost per period")</f>
        <v>Cost per period</v>
      </c>
      <c r="M586" s="3"/>
      <c r="N586" s="3"/>
      <c r="O586" s="3" t="str">
        <f ca="1">IFERROR(__xludf.DUMMYFUNCTION("""COMPUTED_VALUE"""),"2000")</f>
        <v>2000</v>
      </c>
      <c r="P586" s="3" t="str">
        <f ca="1">IFERROR(__xludf.DUMMYFUNCTION("""COMPUTED_VALUE"""),"1400")</f>
        <v>1400</v>
      </c>
      <c r="Q586" s="3" t="str">
        <f ca="1">IFERROR(__xludf.DUMMYFUNCTION("""COMPUTED_VALUE"""),"2000x1400")</f>
        <v>2000x1400</v>
      </c>
      <c r="R586" s="3"/>
      <c r="S586" s="3" t="str">
        <f ca="1">IFERROR(__xludf.DUMMYFUNCTION("""COMPUTED_VALUE"""),"500 + 200 (600+200 HTML5)")</f>
        <v>500 + 200 (600+200 HTML5)</v>
      </c>
      <c r="T586" s="3"/>
      <c r="U586" s="3" t="str">
        <f ca="1">IFERROR(__xludf.DUMMYFUNCTION("""COMPUTED_VALUE"""),"banner standard")</f>
        <v>banner standard</v>
      </c>
      <c r="V586" s="3"/>
      <c r="W586" s="4" t="str">
        <f ca="1">IFERROR(__xludf.DUMMYFUNCTION("""COMPUTED_VALUE"""),"https://reklama.cncenter.cz/Online/branding")</f>
        <v>https://reklama.cncenter.cz/Online/branding</v>
      </c>
      <c r="X586" s="3"/>
      <c r="Y586" s="3"/>
      <c r="Z586" s="3" t="str">
        <f ca="1">IFERROR(__xludf.DUMMYFUNCTION("""COMPUTED_VALUE"""),"podklady@cncenter.cz")</f>
        <v>podklady@cncenter.cz</v>
      </c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 t="str">
        <f ca="1">IFERROR(__xludf.DUMMYFUNCTION("""COMPUTED_VALUE"""),"desktop")</f>
        <v>desktop</v>
      </c>
      <c r="AO586" s="3"/>
      <c r="AP586" s="3"/>
      <c r="AQ586" s="3"/>
      <c r="AR586" s="3"/>
      <c r="AS586" s="3"/>
      <c r="AT586" s="3"/>
      <c r="AU586" s="3" t="str">
        <f ca="1">IFERROR(__xludf.DUMMYFUNCTION("""COMPUTED_VALUE"""),"branding")</f>
        <v>branding</v>
      </c>
    </row>
    <row r="587" spans="1:47" x14ac:dyDescent="0.3">
      <c r="A587" s="3">
        <f ca="1"/>
        <v>2346826</v>
      </c>
      <c r="B587" s="3" t="str">
        <f ca="1"/>
        <v>CZECH NEWS CENTER a. s.</v>
      </c>
      <c r="C587" s="3" t="str">
        <f ca="1">IFERROR(__xludf.DUMMYFUNCTION("""COMPUTED_VALUE"""),"Fitweb")</f>
        <v>Fitweb</v>
      </c>
      <c r="D587" s="4" t="str">
        <f ca="1">IFERROR(__xludf.DUMMYFUNCTION("""COMPUTED_VALUE"""),"https://fitweb.cz")</f>
        <v>https://fitweb.cz</v>
      </c>
      <c r="E587" s="3" t="str">
        <f ca="1">IFERROR(__xludf.DUMMYFUNCTION("""COMPUTED_VALUE"""),"celý web")</f>
        <v>celý web</v>
      </c>
      <c r="F587" s="4" t="str">
        <f ca="1">IFERROR(__xludf.DUMMYFUNCTION("""COMPUTED_VALUE"""),"https://fitweb.cz")</f>
        <v>https://fitweb.cz</v>
      </c>
      <c r="G587" s="3" t="str">
        <f ca="1">IFERROR(__xludf.DUMMYFUNCTION("""COMPUTED_VALUE"""),"cílený billboard bottom low season")</f>
        <v>cílený billboard bottom low season</v>
      </c>
      <c r="H587" s="3">
        <f ca="1">IFERROR(__xludf.DUMMYFUNCTION("""COMPUTED_VALUE"""),7)</f>
        <v>7</v>
      </c>
      <c r="I587" s="5">
        <f ca="1">IFERROR(__xludf.DUMMYFUNCTION("""COMPUTED_VALUE"""),1000)</f>
        <v>1000</v>
      </c>
      <c r="J587" s="5">
        <f ca="1">IFERROR(__xludf.DUMMYFUNCTION("""COMPUTED_VALUE"""),288)</f>
        <v>288</v>
      </c>
      <c r="K587" s="3"/>
      <c r="L587" s="3" t="str">
        <f ca="1">IFERROR(__xludf.DUMMYFUNCTION("""COMPUTED_VALUE"""),"Cost per period")</f>
        <v>Cost per period</v>
      </c>
      <c r="M587" s="3"/>
      <c r="N587" s="3"/>
      <c r="O587" s="3" t="str">
        <f ca="1">IFERROR(__xludf.DUMMYFUNCTION("""COMPUTED_VALUE"""),"970")</f>
        <v>970</v>
      </c>
      <c r="P587" s="3" t="str">
        <f ca="1">IFERROR(__xludf.DUMMYFUNCTION("""COMPUTED_VALUE"""),"250")</f>
        <v>250</v>
      </c>
      <c r="Q587" s="3" t="str">
        <f ca="1">IFERROR(__xludf.DUMMYFUNCTION("""COMPUTED_VALUE"""),"970x250")</f>
        <v>970x250</v>
      </c>
      <c r="R587" s="3"/>
      <c r="S587" s="3" t="str">
        <f ca="1">IFERROR(__xludf.DUMMYFUNCTION("""COMPUTED_VALUE"""),"100 (200 - HTML5)")</f>
        <v>100 (200 - HTML5)</v>
      </c>
      <c r="T587" s="3"/>
      <c r="U587" s="3" t="str">
        <f ca="1">IFERROR(__xludf.DUMMYFUNCTION("""COMPUTED_VALUE"""),"banner standard")</f>
        <v>banner standard</v>
      </c>
      <c r="V587" s="3"/>
      <c r="W587" s="4" t="str">
        <f ca="1">IFERROR(__xludf.DUMMYFUNCTION("""COMPUTED_VALUE"""),"https://reklama.cncenter.cz/Online/billboard-bottom")</f>
        <v>https://reklama.cncenter.cz/Online/billboard-bottom</v>
      </c>
      <c r="X587" s="3"/>
      <c r="Y587" s="3"/>
      <c r="Z587" s="3" t="str">
        <f ca="1">IFERROR(__xludf.DUMMYFUNCTION("""COMPUTED_VALUE"""),"podklady@cncenter.cz")</f>
        <v>podklady@cncenter.cz</v>
      </c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 t="str">
        <f ca="1">IFERROR(__xludf.DUMMYFUNCTION("""COMPUTED_VALUE"""),"desktop")</f>
        <v>desktop</v>
      </c>
      <c r="AO587" s="3"/>
      <c r="AP587" s="3"/>
      <c r="AQ587" s="3"/>
      <c r="AR587" s="3"/>
      <c r="AS587" s="3"/>
      <c r="AT587" s="3"/>
      <c r="AU587" s="3" t="str">
        <f ca="1">IFERROR(__xludf.DUMMYFUNCTION("""COMPUTED_VALUE"""),"cílený billboard bottom")</f>
        <v>cílený billboard bottom</v>
      </c>
    </row>
    <row r="588" spans="1:47" x14ac:dyDescent="0.3">
      <c r="A588" s="3">
        <f ca="1"/>
        <v>2346826</v>
      </c>
      <c r="B588" s="3" t="str">
        <f ca="1"/>
        <v>CZECH NEWS CENTER a. s.</v>
      </c>
      <c r="C588" s="3" t="str">
        <f ca="1">IFERROR(__xludf.DUMMYFUNCTION("""COMPUTED_VALUE"""),"Fitweb")</f>
        <v>Fitweb</v>
      </c>
      <c r="D588" s="4" t="str">
        <f ca="1">IFERROR(__xludf.DUMMYFUNCTION("""COMPUTED_VALUE"""),"https://fitweb.cz")</f>
        <v>https://fitweb.cz</v>
      </c>
      <c r="E588" s="3" t="str">
        <f ca="1">IFERROR(__xludf.DUMMYFUNCTION("""COMPUTED_VALUE"""),"celý web")</f>
        <v>celý web</v>
      </c>
      <c r="F588" s="4" t="str">
        <f ca="1">IFERROR(__xludf.DUMMYFUNCTION("""COMPUTED_VALUE"""),"https://fitweb.cz")</f>
        <v>https://fitweb.cz</v>
      </c>
      <c r="G588" s="3" t="str">
        <f ca="1">IFERROR(__xludf.DUMMYFUNCTION("""COMPUTED_VALUE"""),"cílený branding cross-device low season")</f>
        <v>cílený branding cross-device low season</v>
      </c>
      <c r="H588" s="3">
        <f ca="1">IFERROR(__xludf.DUMMYFUNCTION("""COMPUTED_VALUE"""),7)</f>
        <v>7</v>
      </c>
      <c r="I588" s="5">
        <f ca="1">IFERROR(__xludf.DUMMYFUNCTION("""COMPUTED_VALUE"""),1000)</f>
        <v>1000</v>
      </c>
      <c r="J588" s="5">
        <f ca="1">IFERROR(__xludf.DUMMYFUNCTION("""COMPUTED_VALUE"""),360)</f>
        <v>360</v>
      </c>
      <c r="K588" s="3"/>
      <c r="L588" s="3" t="str">
        <f ca="1">IFERROR(__xludf.DUMMYFUNCTION("""COMPUTED_VALUE"""),"Cost per period")</f>
        <v>Cost per period</v>
      </c>
      <c r="M588" s="3"/>
      <c r="N588" s="3"/>
      <c r="O588" s="3" t="str">
        <f ca="1">IFERROR(__xludf.DUMMYFUNCTION("""COMPUTED_VALUE"""),"2000")</f>
        <v>2000</v>
      </c>
      <c r="P588" s="3" t="str">
        <f ca="1">IFERROR(__xludf.DUMMYFUNCTION("""COMPUTED_VALUE"""),"1400")</f>
        <v>1400</v>
      </c>
      <c r="Q588" s="3" t="str">
        <f ca="1">IFERROR(__xludf.DUMMYFUNCTION("""COMPUTED_VALUE"""),"2000x1400 + 600x1080")</f>
        <v>2000x1400 + 600x1080</v>
      </c>
      <c r="R588" s="3"/>
      <c r="S588" s="3" t="str">
        <f ca="1">IFERROR(__xludf.DUMMYFUNCTION("""COMPUTED_VALUE"""),"500 (600 - HTLM5)")</f>
        <v>500 (600 - HTLM5)</v>
      </c>
      <c r="T588" s="3"/>
      <c r="U588" s="3" t="str">
        <f ca="1">IFERROR(__xludf.DUMMYFUNCTION("""COMPUTED_VALUE"""),"banner standard")</f>
        <v>banner standard</v>
      </c>
      <c r="V588" s="3"/>
      <c r="W588" s="4" t="str">
        <f ca="1">IFERROR(__xludf.DUMMYFUNCTION("""COMPUTED_VALUE"""),"https://reklama.cncenter.cz/Online/branding-cross-device")</f>
        <v>https://reklama.cncenter.cz/Online/branding-cross-device</v>
      </c>
      <c r="X588" s="3"/>
      <c r="Y588" s="3"/>
      <c r="Z588" s="3" t="str">
        <f ca="1">IFERROR(__xludf.DUMMYFUNCTION("""COMPUTED_VALUE"""),"podklady@cncenter.cz")</f>
        <v>podklady@cncenter.cz</v>
      </c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 t="str">
        <f ca="1">IFERROR(__xludf.DUMMYFUNCTION("""COMPUTED_VALUE"""),"cross-device")</f>
        <v>cross-device</v>
      </c>
      <c r="AO588" s="3"/>
      <c r="AP588" s="3"/>
      <c r="AQ588" s="3"/>
      <c r="AR588" s="3"/>
      <c r="AS588" s="3"/>
      <c r="AT588" s="3"/>
      <c r="AU588" s="3" t="str">
        <f ca="1">IFERROR(__xludf.DUMMYFUNCTION("""COMPUTED_VALUE"""),"cílený branding cross-device")</f>
        <v>cílený branding cross-device</v>
      </c>
    </row>
    <row r="589" spans="1:47" x14ac:dyDescent="0.3">
      <c r="A589" s="3">
        <f ca="1"/>
        <v>2346826</v>
      </c>
      <c r="B589" s="3" t="str">
        <f ca="1"/>
        <v>CZECH NEWS CENTER a. s.</v>
      </c>
      <c r="C589" s="3" t="str">
        <f ca="1">IFERROR(__xludf.DUMMYFUNCTION("""COMPUTED_VALUE"""),"Fitweb")</f>
        <v>Fitweb</v>
      </c>
      <c r="D589" s="4" t="str">
        <f ca="1">IFERROR(__xludf.DUMMYFUNCTION("""COMPUTED_VALUE"""),"https://fitweb.cz")</f>
        <v>https://fitweb.cz</v>
      </c>
      <c r="E589" s="3" t="str">
        <f ca="1">IFERROR(__xludf.DUMMYFUNCTION("""COMPUTED_VALUE"""),"celý web")</f>
        <v>celý web</v>
      </c>
      <c r="F589" s="4" t="str">
        <f ca="1">IFERROR(__xludf.DUMMYFUNCTION("""COMPUTED_VALUE"""),"https://fitweb.cz")</f>
        <v>https://fitweb.cz</v>
      </c>
      <c r="G589" s="3" t="str">
        <f ca="1">IFERROR(__xludf.DUMMYFUNCTION("""COMPUTED_VALUE"""),"cílený branding low season")</f>
        <v>cílený branding low season</v>
      </c>
      <c r="H589" s="3">
        <f ca="1">IFERROR(__xludf.DUMMYFUNCTION("""COMPUTED_VALUE"""),7)</f>
        <v>7</v>
      </c>
      <c r="I589" s="5">
        <f ca="1">IFERROR(__xludf.DUMMYFUNCTION("""COMPUTED_VALUE"""),1000)</f>
        <v>1000</v>
      </c>
      <c r="J589" s="5">
        <f ca="1">IFERROR(__xludf.DUMMYFUNCTION("""COMPUTED_VALUE"""),588)</f>
        <v>588</v>
      </c>
      <c r="K589" s="3"/>
      <c r="L589" s="3" t="str">
        <f ca="1">IFERROR(__xludf.DUMMYFUNCTION("""COMPUTED_VALUE"""),"Cost per period")</f>
        <v>Cost per period</v>
      </c>
      <c r="M589" s="3"/>
      <c r="N589" s="3"/>
      <c r="O589" s="3" t="str">
        <f ca="1">IFERROR(__xludf.DUMMYFUNCTION("""COMPUTED_VALUE"""),"2000")</f>
        <v>2000</v>
      </c>
      <c r="P589" s="3" t="str">
        <f ca="1">IFERROR(__xludf.DUMMYFUNCTION("""COMPUTED_VALUE"""),"1400")</f>
        <v>1400</v>
      </c>
      <c r="Q589" s="3" t="str">
        <f ca="1">IFERROR(__xludf.DUMMYFUNCTION("""COMPUTED_VALUE"""),"2000x1400")</f>
        <v>2000x1400</v>
      </c>
      <c r="R589" s="3"/>
      <c r="S589" s="3" t="str">
        <f ca="1">IFERROR(__xludf.DUMMYFUNCTION("""COMPUTED_VALUE"""),"500 + 200 (600+200 HTML5)")</f>
        <v>500 + 200 (600+200 HTML5)</v>
      </c>
      <c r="T589" s="3"/>
      <c r="U589" s="3" t="str">
        <f ca="1">IFERROR(__xludf.DUMMYFUNCTION("""COMPUTED_VALUE"""),"banner standard")</f>
        <v>banner standard</v>
      </c>
      <c r="V589" s="3"/>
      <c r="W589" s="4" t="str">
        <f ca="1">IFERROR(__xludf.DUMMYFUNCTION("""COMPUTED_VALUE"""),"https://reklama.cncenter.cz/Online/branding")</f>
        <v>https://reklama.cncenter.cz/Online/branding</v>
      </c>
      <c r="X589" s="3"/>
      <c r="Y589" s="3"/>
      <c r="Z589" s="3" t="str">
        <f ca="1">IFERROR(__xludf.DUMMYFUNCTION("""COMPUTED_VALUE"""),"podklady@cncenter.cz")</f>
        <v>podklady@cncenter.cz</v>
      </c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 t="str">
        <f ca="1">IFERROR(__xludf.DUMMYFUNCTION("""COMPUTED_VALUE"""),"desktop")</f>
        <v>desktop</v>
      </c>
      <c r="AO589" s="3"/>
      <c r="AP589" s="3"/>
      <c r="AQ589" s="3"/>
      <c r="AR589" s="3"/>
      <c r="AS589" s="3"/>
      <c r="AT589" s="3"/>
      <c r="AU589" s="3" t="str">
        <f ca="1">IFERROR(__xludf.DUMMYFUNCTION("""COMPUTED_VALUE"""),"cílený branding")</f>
        <v>cílený branding</v>
      </c>
    </row>
    <row r="590" spans="1:47" x14ac:dyDescent="0.3">
      <c r="A590" s="3">
        <f ca="1"/>
        <v>2346826</v>
      </c>
      <c r="B590" s="3" t="str">
        <f ca="1"/>
        <v>CZECH NEWS CENTER a. s.</v>
      </c>
      <c r="C590" s="3" t="str">
        <f ca="1">IFERROR(__xludf.DUMMYFUNCTION("""COMPUTED_VALUE"""),"Fitweb")</f>
        <v>Fitweb</v>
      </c>
      <c r="D590" s="4" t="str">
        <f ca="1">IFERROR(__xludf.DUMMYFUNCTION("""COMPUTED_VALUE"""),"https://fitweb.cz")</f>
        <v>https://fitweb.cz</v>
      </c>
      <c r="E590" s="3" t="str">
        <f ca="1">IFERROR(__xludf.DUMMYFUNCTION("""COMPUTED_VALUE"""),"celý web")</f>
        <v>celý web</v>
      </c>
      <c r="F590" s="4" t="str">
        <f ca="1">IFERROR(__xludf.DUMMYFUNCTION("""COMPUTED_VALUE"""),"https://fitweb.cz")</f>
        <v>https://fitweb.cz</v>
      </c>
      <c r="G590" s="3" t="str">
        <f ca="1">IFERROR(__xludf.DUMMYFUNCTION("""COMPUTED_VALUE"""),"cílený double skyscraper low season")</f>
        <v>cílený double skyscraper low season</v>
      </c>
      <c r="H590" s="3">
        <f ca="1">IFERROR(__xludf.DUMMYFUNCTION("""COMPUTED_VALUE"""),7)</f>
        <v>7</v>
      </c>
      <c r="I590" s="5">
        <f ca="1">IFERROR(__xludf.DUMMYFUNCTION("""COMPUTED_VALUE"""),1000)</f>
        <v>1000</v>
      </c>
      <c r="J590" s="5">
        <f ca="1">IFERROR(__xludf.DUMMYFUNCTION("""COMPUTED_VALUE"""),228)</f>
        <v>228</v>
      </c>
      <c r="K590" s="3"/>
      <c r="L590" s="3" t="str">
        <f ca="1">IFERROR(__xludf.DUMMYFUNCTION("""COMPUTED_VALUE"""),"Cost per period")</f>
        <v>Cost per period</v>
      </c>
      <c r="M590" s="3"/>
      <c r="N590" s="3"/>
      <c r="O590" s="3" t="str">
        <f ca="1">IFERROR(__xludf.DUMMYFUNCTION("""COMPUTED_VALUE"""),"300")</f>
        <v>300</v>
      </c>
      <c r="P590" s="3" t="str">
        <f ca="1">IFERROR(__xludf.DUMMYFUNCTION("""COMPUTED_VALUE"""),"600")</f>
        <v>600</v>
      </c>
      <c r="Q590" s="3" t="str">
        <f ca="1">IFERROR(__xludf.DUMMYFUNCTION("""COMPUTED_VALUE"""),"300x600")</f>
        <v>300x600</v>
      </c>
      <c r="R590" s="3"/>
      <c r="S590" s="3" t="str">
        <f ca="1">IFERROR(__xludf.DUMMYFUNCTION("""COMPUTED_VALUE"""),"100 (200 - HTML5)")</f>
        <v>100 (200 - HTML5)</v>
      </c>
      <c r="T590" s="3"/>
      <c r="U590" s="3" t="str">
        <f ca="1">IFERROR(__xludf.DUMMYFUNCTION("""COMPUTED_VALUE"""),"banner standard")</f>
        <v>banner standard</v>
      </c>
      <c r="V590" s="3"/>
      <c r="W590" s="4" t="str">
        <f ca="1">IFERROR(__xludf.DUMMYFUNCTION("""COMPUTED_VALUE"""),"https://reklama.cncenter.cz/Online/double-skyscraper")</f>
        <v>https://reklama.cncenter.cz/Online/double-skyscraper</v>
      </c>
      <c r="X590" s="3"/>
      <c r="Y590" s="3"/>
      <c r="Z590" s="3" t="str">
        <f ca="1">IFERROR(__xludf.DUMMYFUNCTION("""COMPUTED_VALUE"""),"podklady@cncenter.cz")</f>
        <v>podklady@cncenter.cz</v>
      </c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 t="str">
        <f ca="1">IFERROR(__xludf.DUMMYFUNCTION("""COMPUTED_VALUE"""),"desktop")</f>
        <v>desktop</v>
      </c>
      <c r="AO590" s="3"/>
      <c r="AP590" s="3"/>
      <c r="AQ590" s="3"/>
      <c r="AR590" s="3"/>
      <c r="AS590" s="3"/>
      <c r="AT590" s="3"/>
      <c r="AU590" s="3" t="str">
        <f ca="1">IFERROR(__xludf.DUMMYFUNCTION("""COMPUTED_VALUE"""),"cílený double skyscraper")</f>
        <v>cílený double skyscraper</v>
      </c>
    </row>
    <row r="591" spans="1:47" x14ac:dyDescent="0.3">
      <c r="A591" s="3">
        <f ca="1"/>
        <v>2346826</v>
      </c>
      <c r="B591" s="3" t="str">
        <f ca="1"/>
        <v>CZECH NEWS CENTER a. s.</v>
      </c>
      <c r="C591" s="3" t="str">
        <f ca="1">IFERROR(__xludf.DUMMYFUNCTION("""COMPUTED_VALUE"""),"Fitweb")</f>
        <v>Fitweb</v>
      </c>
      <c r="D591" s="4" t="str">
        <f ca="1">IFERROR(__xludf.DUMMYFUNCTION("""COMPUTED_VALUE"""),"https://fitweb.cz")</f>
        <v>https://fitweb.cz</v>
      </c>
      <c r="E591" s="3" t="str">
        <f ca="1">IFERROR(__xludf.DUMMYFUNCTION("""COMPUTED_VALUE"""),"celý web")</f>
        <v>celý web</v>
      </c>
      <c r="F591" s="4" t="str">
        <f ca="1">IFERROR(__xludf.DUMMYFUNCTION("""COMPUTED_VALUE"""),"https://fitweb.cz")</f>
        <v>https://fitweb.cz</v>
      </c>
      <c r="G591" s="3" t="str">
        <f ca="1">IFERROR(__xludf.DUMMYFUNCTION("""COMPUTED_VALUE"""),"cílený mobilní interscroller low season")</f>
        <v>cílený mobilní interscroller low season</v>
      </c>
      <c r="H591" s="3">
        <f ca="1">IFERROR(__xludf.DUMMYFUNCTION("""COMPUTED_VALUE"""),7)</f>
        <v>7</v>
      </c>
      <c r="I591" s="5">
        <f ca="1">IFERROR(__xludf.DUMMYFUNCTION("""COMPUTED_VALUE"""),1000)</f>
        <v>1000</v>
      </c>
      <c r="J591" s="5">
        <f ca="1">IFERROR(__xludf.DUMMYFUNCTION("""COMPUTED_VALUE"""),300)</f>
        <v>300</v>
      </c>
      <c r="K591" s="3"/>
      <c r="L591" s="3" t="str">
        <f ca="1">IFERROR(__xludf.DUMMYFUNCTION("""COMPUTED_VALUE"""),"Cost per period")</f>
        <v>Cost per period</v>
      </c>
      <c r="M591" s="3"/>
      <c r="N591" s="3"/>
      <c r="O591" s="3" t="str">
        <f ca="1">IFERROR(__xludf.DUMMYFUNCTION("""COMPUTED_VALUE"""),"600")</f>
        <v>600</v>
      </c>
      <c r="P591" s="3" t="str">
        <f ca="1">IFERROR(__xludf.DUMMYFUNCTION("""COMPUTED_VALUE"""),"1080")</f>
        <v>1080</v>
      </c>
      <c r="Q591" s="3" t="str">
        <f ca="1">IFERROR(__xludf.DUMMYFUNCTION("""COMPUTED_VALUE"""),"600x1080")</f>
        <v>600x1080</v>
      </c>
      <c r="R591" s="3"/>
      <c r="S591" s="3" t="str">
        <f ca="1">IFERROR(__xludf.DUMMYFUNCTION("""COMPUTED_VALUE"""),"200")</f>
        <v>200</v>
      </c>
      <c r="T591" s="3"/>
      <c r="U591" s="3" t="str">
        <f ca="1">IFERROR(__xludf.DUMMYFUNCTION("""COMPUTED_VALUE"""),"banner standard")</f>
        <v>banner standard</v>
      </c>
      <c r="V591" s="3"/>
      <c r="W591" s="4" t="str">
        <f ca="1">IFERROR(__xludf.DUMMYFUNCTION("""COMPUTED_VALUE"""),"https://reklama.cncenter.cz/Online/mobilni-interscroller")</f>
        <v>https://reklama.cncenter.cz/Online/mobilni-interscroller</v>
      </c>
      <c r="X591" s="3"/>
      <c r="Y591" s="3"/>
      <c r="Z591" s="3" t="str">
        <f ca="1">IFERROR(__xludf.DUMMYFUNCTION("""COMPUTED_VALUE"""),"podklady@cncenter.cz")</f>
        <v>podklady@cncenter.cz</v>
      </c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 t="str">
        <f ca="1">IFERROR(__xludf.DUMMYFUNCTION("""COMPUTED_VALUE"""),"mobile")</f>
        <v>mobile</v>
      </c>
      <c r="AO591" s="3"/>
      <c r="AP591" s="3"/>
      <c r="AQ591" s="3"/>
      <c r="AR591" s="3"/>
      <c r="AS591" s="3"/>
      <c r="AT591" s="3"/>
      <c r="AU591" s="3" t="str">
        <f ca="1">IFERROR(__xludf.DUMMYFUNCTION("""COMPUTED_VALUE"""),"cílený mobilní interscroller")</f>
        <v>cílený mobilní interscroller</v>
      </c>
    </row>
    <row r="592" spans="1:47" x14ac:dyDescent="0.3">
      <c r="A592" s="3">
        <f ca="1"/>
        <v>2346826</v>
      </c>
      <c r="B592" s="3" t="str">
        <f ca="1"/>
        <v>CZECH NEWS CENTER a. s.</v>
      </c>
      <c r="C592" s="3" t="str">
        <f ca="1">IFERROR(__xludf.DUMMYFUNCTION("""COMPUTED_VALUE"""),"Fitweb")</f>
        <v>Fitweb</v>
      </c>
      <c r="D592" s="4" t="str">
        <f ca="1">IFERROR(__xludf.DUMMYFUNCTION("""COMPUTED_VALUE"""),"https://fitweb.cz")</f>
        <v>https://fitweb.cz</v>
      </c>
      <c r="E592" s="3" t="str">
        <f ca="1">IFERROR(__xludf.DUMMYFUNCTION("""COMPUTED_VALUE"""),"celý web")</f>
        <v>celý web</v>
      </c>
      <c r="F592" s="4" t="str">
        <f ca="1">IFERROR(__xludf.DUMMYFUNCTION("""COMPUTED_VALUE"""),"https://fitweb.cz")</f>
        <v>https://fitweb.cz</v>
      </c>
      <c r="G592" s="3" t="str">
        <f ca="1">IFERROR(__xludf.DUMMYFUNCTION("""COMPUTED_VALUE"""),"cílený mobilní slide-up low season")</f>
        <v>cílený mobilní slide-up low season</v>
      </c>
      <c r="H592" s="3">
        <f ca="1">IFERROR(__xludf.DUMMYFUNCTION("""COMPUTED_VALUE"""),7)</f>
        <v>7</v>
      </c>
      <c r="I592" s="5">
        <f ca="1">IFERROR(__xludf.DUMMYFUNCTION("""COMPUTED_VALUE"""),1000)</f>
        <v>1000</v>
      </c>
      <c r="J592" s="5">
        <f ca="1">IFERROR(__xludf.DUMMYFUNCTION("""COMPUTED_VALUE"""),612)</f>
        <v>612</v>
      </c>
      <c r="K592" s="3"/>
      <c r="L592" s="3" t="str">
        <f ca="1">IFERROR(__xludf.DUMMYFUNCTION("""COMPUTED_VALUE"""),"Cost per period")</f>
        <v>Cost per period</v>
      </c>
      <c r="M592" s="3"/>
      <c r="N592" s="3"/>
      <c r="O592" s="3" t="str">
        <f ca="1">IFERROR(__xludf.DUMMYFUNCTION("""COMPUTED_VALUE"""),"300")</f>
        <v>300</v>
      </c>
      <c r="P592" s="3" t="str">
        <f ca="1">IFERROR(__xludf.DUMMYFUNCTION("""COMPUTED_VALUE"""),"120")</f>
        <v>120</v>
      </c>
      <c r="Q592" s="3" t="str">
        <f ca="1">IFERROR(__xludf.DUMMYFUNCTION("""COMPUTED_VALUE"""),"300x120")</f>
        <v>300x120</v>
      </c>
      <c r="R592" s="3"/>
      <c r="S592" s="3" t="str">
        <f ca="1">IFERROR(__xludf.DUMMYFUNCTION("""COMPUTED_VALUE"""),"100")</f>
        <v>100</v>
      </c>
      <c r="T592" s="3"/>
      <c r="U592" s="3" t="str">
        <f ca="1">IFERROR(__xludf.DUMMYFUNCTION("""COMPUTED_VALUE"""),"banner standard")</f>
        <v>banner standard</v>
      </c>
      <c r="V592" s="3"/>
      <c r="W592" s="4" t="str">
        <f ca="1">IFERROR(__xludf.DUMMYFUNCTION("""COMPUTED_VALUE"""),"https://reklama.cncenter.cz/Online/mobilni-slide-up")</f>
        <v>https://reklama.cncenter.cz/Online/mobilni-slide-up</v>
      </c>
      <c r="X592" s="3"/>
      <c r="Y592" s="3"/>
      <c r="Z592" s="3" t="str">
        <f ca="1">IFERROR(__xludf.DUMMYFUNCTION("""COMPUTED_VALUE"""),"podklady@cncenter.cz")</f>
        <v>podklady@cncenter.cz</v>
      </c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 t="str">
        <f ca="1">IFERROR(__xludf.DUMMYFUNCTION("""COMPUTED_VALUE"""),"mobile")</f>
        <v>mobile</v>
      </c>
      <c r="AO592" s="3"/>
      <c r="AP592" s="3"/>
      <c r="AQ592" s="3"/>
      <c r="AR592" s="3"/>
      <c r="AS592" s="3"/>
      <c r="AT592" s="3"/>
      <c r="AU592" s="3" t="str">
        <f ca="1">IFERROR(__xludf.DUMMYFUNCTION("""COMPUTED_VALUE"""),"cílený mobilní slide-up")</f>
        <v>cílený mobilní slide-up</v>
      </c>
    </row>
    <row r="593" spans="1:47" x14ac:dyDescent="0.3">
      <c r="A593" s="3">
        <f ca="1"/>
        <v>2346826</v>
      </c>
      <c r="B593" s="3" t="str">
        <f ca="1"/>
        <v>CZECH NEWS CENTER a. s.</v>
      </c>
      <c r="C593" s="3" t="str">
        <f ca="1">IFERROR(__xludf.DUMMYFUNCTION("""COMPUTED_VALUE"""),"Fitweb")</f>
        <v>Fitweb</v>
      </c>
      <c r="D593" s="4" t="str">
        <f ca="1">IFERROR(__xludf.DUMMYFUNCTION("""COMPUTED_VALUE"""),"https://fitweb.cz")</f>
        <v>https://fitweb.cz</v>
      </c>
      <c r="E593" s="3" t="str">
        <f ca="1">IFERROR(__xludf.DUMMYFUNCTION("""COMPUTED_VALUE"""),"celý web")</f>
        <v>celý web</v>
      </c>
      <c r="F593" s="4" t="str">
        <f ca="1">IFERROR(__xludf.DUMMYFUNCTION("""COMPUTED_VALUE"""),"https://fitweb.cz")</f>
        <v>https://fitweb.cz</v>
      </c>
      <c r="G593" s="3" t="str">
        <f ca="1">IFERROR(__xludf.DUMMYFUNCTION("""COMPUTED_VALUE"""),"cílený mobilní viněta low season")</f>
        <v>cílený mobilní viněta low season</v>
      </c>
      <c r="H593" s="3">
        <f ca="1">IFERROR(__xludf.DUMMYFUNCTION("""COMPUTED_VALUE"""),7)</f>
        <v>7</v>
      </c>
      <c r="I593" s="5">
        <f ca="1">IFERROR(__xludf.DUMMYFUNCTION("""COMPUTED_VALUE"""),1000)</f>
        <v>1000</v>
      </c>
      <c r="J593" s="5">
        <f ca="1">IFERROR(__xludf.DUMMYFUNCTION("""COMPUTED_VALUE"""),1056)</f>
        <v>1056</v>
      </c>
      <c r="K593" s="3"/>
      <c r="L593" s="3" t="str">
        <f ca="1">IFERROR(__xludf.DUMMYFUNCTION("""COMPUTED_VALUE"""),"Cost per period")</f>
        <v>Cost per period</v>
      </c>
      <c r="M593" s="3"/>
      <c r="N593" s="3"/>
      <c r="O593" s="3" t="str">
        <f ca="1">IFERROR(__xludf.DUMMYFUNCTION("""COMPUTED_VALUE"""),"600")</f>
        <v>600</v>
      </c>
      <c r="P593" s="3" t="str">
        <f ca="1">IFERROR(__xludf.DUMMYFUNCTION("""COMPUTED_VALUE"""),"800")</f>
        <v>800</v>
      </c>
      <c r="Q593" s="3" t="str">
        <f ca="1">IFERROR(__xludf.DUMMYFUNCTION("""COMPUTED_VALUE"""),"300x250 nebo 600x800")</f>
        <v>300x250 nebo 600x800</v>
      </c>
      <c r="R593" s="3"/>
      <c r="S593" s="3" t="str">
        <f ca="1">IFERROR(__xludf.DUMMYFUNCTION("""COMPUTED_VALUE"""),"100")</f>
        <v>100</v>
      </c>
      <c r="T593" s="3"/>
      <c r="U593" s="3" t="str">
        <f ca="1">IFERROR(__xludf.DUMMYFUNCTION("""COMPUTED_VALUE"""),"banner standard")</f>
        <v>banner standard</v>
      </c>
      <c r="V593" s="3"/>
      <c r="W593" s="4" t="str">
        <f ca="1">IFERROR(__xludf.DUMMYFUNCTION("""COMPUTED_VALUE"""),"https://reklama.cncenter.cz/Online/mobilni-vineta")</f>
        <v>https://reklama.cncenter.cz/Online/mobilni-vineta</v>
      </c>
      <c r="X593" s="3"/>
      <c r="Y593" s="3"/>
      <c r="Z593" s="3" t="str">
        <f ca="1">IFERROR(__xludf.DUMMYFUNCTION("""COMPUTED_VALUE"""),"podklady@cncenter.cz")</f>
        <v>podklady@cncenter.cz</v>
      </c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 t="str">
        <f ca="1">IFERROR(__xludf.DUMMYFUNCTION("""COMPUTED_VALUE"""),"mobile")</f>
        <v>mobile</v>
      </c>
      <c r="AO593" s="3"/>
      <c r="AP593" s="3"/>
      <c r="AQ593" s="3"/>
      <c r="AR593" s="3"/>
      <c r="AS593" s="3"/>
      <c r="AT593" s="3"/>
      <c r="AU593" s="3" t="str">
        <f ca="1">IFERROR(__xludf.DUMMYFUNCTION("""COMPUTED_VALUE"""),"cílený mobilní viněta")</f>
        <v>cílený mobilní viněta</v>
      </c>
    </row>
    <row r="594" spans="1:47" x14ac:dyDescent="0.3">
      <c r="A594" s="3">
        <f ca="1"/>
        <v>2346826</v>
      </c>
      <c r="B594" s="3" t="str">
        <f ca="1"/>
        <v>CZECH NEWS CENTER a. s.</v>
      </c>
      <c r="C594" s="3" t="str">
        <f ca="1">IFERROR(__xludf.DUMMYFUNCTION("""COMPUTED_VALUE"""),"Fitweb")</f>
        <v>Fitweb</v>
      </c>
      <c r="D594" s="4" t="str">
        <f ca="1">IFERROR(__xludf.DUMMYFUNCTION("""COMPUTED_VALUE"""),"https://fitweb.cz")</f>
        <v>https://fitweb.cz</v>
      </c>
      <c r="E594" s="3" t="str">
        <f ca="1">IFERROR(__xludf.DUMMYFUNCTION("""COMPUTED_VALUE"""),"celý web")</f>
        <v>celý web</v>
      </c>
      <c r="F594" s="4" t="str">
        <f ca="1">IFERROR(__xludf.DUMMYFUNCTION("""COMPUTED_VALUE"""),"https://fitweb.cz")</f>
        <v>https://fitweb.cz</v>
      </c>
      <c r="G594" s="3" t="str">
        <f ca="1">IFERROR(__xludf.DUMMYFUNCTION("""COMPUTED_VALUE"""),"cílený nativní rectangle cross-device low season")</f>
        <v>cílený nativní rectangle cross-device low season</v>
      </c>
      <c r="H594" s="3">
        <f ca="1">IFERROR(__xludf.DUMMYFUNCTION("""COMPUTED_VALUE"""),7)</f>
        <v>7</v>
      </c>
      <c r="I594" s="5">
        <f ca="1">IFERROR(__xludf.DUMMYFUNCTION("""COMPUTED_VALUE"""),1000)</f>
        <v>1000</v>
      </c>
      <c r="J594" s="5">
        <f ca="1">IFERROR(__xludf.DUMMYFUNCTION("""COMPUTED_VALUE"""),240)</f>
        <v>240</v>
      </c>
      <c r="K594" s="3"/>
      <c r="L594" s="3" t="str">
        <f ca="1">IFERROR(__xludf.DUMMYFUNCTION("""COMPUTED_VALUE"""),"Cost per period")</f>
        <v>Cost per period</v>
      </c>
      <c r="M594" s="3"/>
      <c r="N594" s="3"/>
      <c r="O594" s="3" t="str">
        <f ca="1">IFERROR(__xludf.DUMMYFUNCTION("""COMPUTED_VALUE"""),"640")</f>
        <v>640</v>
      </c>
      <c r="P594" s="3" t="str">
        <f ca="1">IFERROR(__xludf.DUMMYFUNCTION("""COMPUTED_VALUE"""),"335, 640")</f>
        <v>335, 640</v>
      </c>
      <c r="Q594" s="3" t="str">
        <f ca="1">IFERROR(__xludf.DUMMYFUNCTION("""COMPUTED_VALUE"""),"640x640 a 640x335 + text + logo")</f>
        <v>640x640 a 640x335 + text + logo</v>
      </c>
      <c r="R594" s="3"/>
      <c r="S594" s="3" t="str">
        <f ca="1">IFERROR(__xludf.DUMMYFUNCTION("""COMPUTED_VALUE"""),"45")</f>
        <v>45</v>
      </c>
      <c r="T594" s="3"/>
      <c r="U594" s="3" t="str">
        <f ca="1">IFERROR(__xludf.DUMMYFUNCTION("""COMPUTED_VALUE"""),"nativní reklama")</f>
        <v>nativní reklama</v>
      </c>
      <c r="V594" s="3"/>
      <c r="W594" s="4" t="str">
        <f ca="1">IFERROR(__xludf.DUMMYFUNCTION("""COMPUTED_VALUE"""),"https://reklama.cncenter.cz/Online/nativni-rectangle-cross-device")</f>
        <v>https://reklama.cncenter.cz/Online/nativni-rectangle-cross-device</v>
      </c>
      <c r="X594" s="3"/>
      <c r="Y594" s="3"/>
      <c r="Z594" s="3" t="str">
        <f ca="1">IFERROR(__xludf.DUMMYFUNCTION("""COMPUTED_VALUE"""),"podklady@cncenter.cz")</f>
        <v>podklady@cncenter.cz</v>
      </c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 t="str">
        <f ca="1">IFERROR(__xludf.DUMMYFUNCTION("""COMPUTED_VALUE"""),"cross-device")</f>
        <v>cross-device</v>
      </c>
      <c r="AO594" s="3"/>
      <c r="AP594" s="3"/>
      <c r="AQ594" s="3"/>
      <c r="AR594" s="3"/>
      <c r="AS594" s="3"/>
      <c r="AT594" s="3"/>
      <c r="AU594" s="3" t="str">
        <f ca="1">IFERROR(__xludf.DUMMYFUNCTION("""COMPUTED_VALUE"""),"cílený nativní rectangle cross-device")</f>
        <v>cílený nativní rectangle cross-device</v>
      </c>
    </row>
    <row r="595" spans="1:47" x14ac:dyDescent="0.3">
      <c r="A595" s="3">
        <f ca="1"/>
        <v>2346826</v>
      </c>
      <c r="B595" s="3" t="str">
        <f ca="1"/>
        <v>CZECH NEWS CENTER a. s.</v>
      </c>
      <c r="C595" s="3" t="str">
        <f ca="1">IFERROR(__xludf.DUMMYFUNCTION("""COMPUTED_VALUE"""),"Fitweb")</f>
        <v>Fitweb</v>
      </c>
      <c r="D595" s="4" t="str">
        <f ca="1">IFERROR(__xludf.DUMMYFUNCTION("""COMPUTED_VALUE"""),"https://fitweb.cz")</f>
        <v>https://fitweb.cz</v>
      </c>
      <c r="E595" s="3" t="str">
        <f ca="1">IFERROR(__xludf.DUMMYFUNCTION("""COMPUTED_VALUE"""),"celý web")</f>
        <v>celý web</v>
      </c>
      <c r="F595" s="4" t="str">
        <f ca="1">IFERROR(__xludf.DUMMYFUNCTION("""COMPUTED_VALUE"""),"https://fitweb.cz")</f>
        <v>https://fitweb.cz</v>
      </c>
      <c r="G595" s="3" t="str">
        <f ca="1">IFERROR(__xludf.DUMMYFUNCTION("""COMPUTED_VALUE"""),"cílený outstream low season")</f>
        <v>cílený outstream low season</v>
      </c>
      <c r="H595" s="3">
        <f ca="1">IFERROR(__xludf.DUMMYFUNCTION("""COMPUTED_VALUE"""),7)</f>
        <v>7</v>
      </c>
      <c r="I595" s="5">
        <f ca="1">IFERROR(__xludf.DUMMYFUNCTION("""COMPUTED_VALUE"""),1000)</f>
        <v>1000</v>
      </c>
      <c r="J595" s="5">
        <f ca="1">IFERROR(__xludf.DUMMYFUNCTION("""COMPUTED_VALUE"""),300)</f>
        <v>300</v>
      </c>
      <c r="K595" s="3"/>
      <c r="L595" s="3" t="str">
        <f ca="1">IFERROR(__xludf.DUMMYFUNCTION("""COMPUTED_VALUE"""),"Cost per period")</f>
        <v>Cost per period</v>
      </c>
      <c r="M595" s="3"/>
      <c r="N595" s="3"/>
      <c r="O595" s="3" t="str">
        <f ca="1">IFERROR(__xludf.DUMMYFUNCTION("""COMPUTED_VALUE"""),"1280")</f>
        <v>1280</v>
      </c>
      <c r="P595" s="3" t="str">
        <f ca="1">IFERROR(__xludf.DUMMYFUNCTION("""COMPUTED_VALUE"""),"720")</f>
        <v>720</v>
      </c>
      <c r="Q595" s="3" t="str">
        <f ca="1">IFERROR(__xludf.DUMMYFUNCTION("""COMPUTED_VALUE"""),"16:9")</f>
        <v>16:9</v>
      </c>
      <c r="R595" s="3"/>
      <c r="S595" s="3" t="str">
        <f ca="1">IFERROR(__xludf.DUMMYFUNCTION("""COMPUTED_VALUE"""),"100")</f>
        <v>100</v>
      </c>
      <c r="T595" s="3"/>
      <c r="U595" s="3" t="str">
        <f ca="1">IFERROR(__xludf.DUMMYFUNCTION("""COMPUTED_VALUE"""),"videospot")</f>
        <v>videospot</v>
      </c>
      <c r="V595" s="3"/>
      <c r="W595" s="4" t="str">
        <f ca="1">IFERROR(__xludf.DUMMYFUNCTION("""COMPUTED_VALUE"""),"https://reklama.cncenter.cz/Online/Outstream")</f>
        <v>https://reklama.cncenter.cz/Online/Outstream</v>
      </c>
      <c r="X595" s="3"/>
      <c r="Y595" s="3"/>
      <c r="Z595" s="3" t="str">
        <f ca="1">IFERROR(__xludf.DUMMYFUNCTION("""COMPUTED_VALUE"""),"podklady@cncenter.cz")</f>
        <v>podklady@cncenter.cz</v>
      </c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 t="str">
        <f ca="1">IFERROR(__xludf.DUMMYFUNCTION("""COMPUTED_VALUE"""),"cross-device")</f>
        <v>cross-device</v>
      </c>
      <c r="AO595" s="3"/>
      <c r="AP595" s="3"/>
      <c r="AQ595" s="3"/>
      <c r="AR595" s="3"/>
      <c r="AS595" s="3"/>
      <c r="AT595" s="3"/>
      <c r="AU595" s="3" t="str">
        <f ca="1">IFERROR(__xludf.DUMMYFUNCTION("""COMPUTED_VALUE"""),"cílený outstream")</f>
        <v>cílený outstream</v>
      </c>
    </row>
    <row r="596" spans="1:47" x14ac:dyDescent="0.3">
      <c r="A596" s="3">
        <f ca="1"/>
        <v>2346826</v>
      </c>
      <c r="B596" s="3" t="str">
        <f ca="1"/>
        <v>CZECH NEWS CENTER a. s.</v>
      </c>
      <c r="C596" s="3" t="str">
        <f ca="1">IFERROR(__xludf.DUMMYFUNCTION("""COMPUTED_VALUE"""),"Fitweb")</f>
        <v>Fitweb</v>
      </c>
      <c r="D596" s="4" t="str">
        <f ca="1">IFERROR(__xludf.DUMMYFUNCTION("""COMPUTED_VALUE"""),"https://fitweb.cz")</f>
        <v>https://fitweb.cz</v>
      </c>
      <c r="E596" s="3" t="str">
        <f ca="1">IFERROR(__xludf.DUMMYFUNCTION("""COMPUTED_VALUE"""),"celý web")</f>
        <v>celý web</v>
      </c>
      <c r="F596" s="4" t="str">
        <f ca="1">IFERROR(__xludf.DUMMYFUNCTION("""COMPUTED_VALUE"""),"https://fitweb.cz")</f>
        <v>https://fitweb.cz</v>
      </c>
      <c r="G596" s="3" t="str">
        <f ca="1">IFERROR(__xludf.DUMMYFUNCTION("""COMPUTED_VALUE"""),"double skyscraper low season")</f>
        <v>double skyscraper low season</v>
      </c>
      <c r="H596" s="3">
        <f ca="1">IFERROR(__xludf.DUMMYFUNCTION("""COMPUTED_VALUE"""),7)</f>
        <v>7</v>
      </c>
      <c r="I596" s="5">
        <f ca="1">IFERROR(__xludf.DUMMYFUNCTION("""COMPUTED_VALUE"""),1000)</f>
        <v>1000</v>
      </c>
      <c r="J596" s="5">
        <f ca="1">IFERROR(__xludf.DUMMYFUNCTION("""COMPUTED_VALUE"""),190)</f>
        <v>190</v>
      </c>
      <c r="K596" s="3"/>
      <c r="L596" s="3" t="str">
        <f ca="1">IFERROR(__xludf.DUMMYFUNCTION("""COMPUTED_VALUE"""),"Cost per period")</f>
        <v>Cost per period</v>
      </c>
      <c r="M596" s="3"/>
      <c r="N596" s="3"/>
      <c r="O596" s="3" t="str">
        <f ca="1">IFERROR(__xludf.DUMMYFUNCTION("""COMPUTED_VALUE"""),"300")</f>
        <v>300</v>
      </c>
      <c r="P596" s="3" t="str">
        <f ca="1">IFERROR(__xludf.DUMMYFUNCTION("""COMPUTED_VALUE"""),"600")</f>
        <v>600</v>
      </c>
      <c r="Q596" s="3" t="str">
        <f ca="1">IFERROR(__xludf.DUMMYFUNCTION("""COMPUTED_VALUE"""),"300x600")</f>
        <v>300x600</v>
      </c>
      <c r="R596" s="3"/>
      <c r="S596" s="3" t="str">
        <f ca="1">IFERROR(__xludf.DUMMYFUNCTION("""COMPUTED_VALUE"""),"100 (200 - HTML5)")</f>
        <v>100 (200 - HTML5)</v>
      </c>
      <c r="T596" s="3"/>
      <c r="U596" s="3" t="str">
        <f ca="1">IFERROR(__xludf.DUMMYFUNCTION("""COMPUTED_VALUE"""),"banner standard")</f>
        <v>banner standard</v>
      </c>
      <c r="V596" s="3"/>
      <c r="W596" s="4" t="str">
        <f ca="1">IFERROR(__xludf.DUMMYFUNCTION("""COMPUTED_VALUE"""),"https://reklama.cncenter.cz/Online/double-skyscraper")</f>
        <v>https://reklama.cncenter.cz/Online/double-skyscraper</v>
      </c>
      <c r="X596" s="3"/>
      <c r="Y596" s="3"/>
      <c r="Z596" s="3" t="str">
        <f ca="1">IFERROR(__xludf.DUMMYFUNCTION("""COMPUTED_VALUE"""),"podklady@cncenter.cz")</f>
        <v>podklady@cncenter.cz</v>
      </c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 t="str">
        <f ca="1">IFERROR(__xludf.DUMMYFUNCTION("""COMPUTED_VALUE"""),"desktop")</f>
        <v>desktop</v>
      </c>
      <c r="AO596" s="3"/>
      <c r="AP596" s="3"/>
      <c r="AQ596" s="3"/>
      <c r="AR596" s="3"/>
      <c r="AS596" s="3"/>
      <c r="AT596" s="3"/>
      <c r="AU596" s="3" t="str">
        <f ca="1">IFERROR(__xludf.DUMMYFUNCTION("""COMPUTED_VALUE"""),"double skyscraper")</f>
        <v>double skyscraper</v>
      </c>
    </row>
    <row r="597" spans="1:47" x14ac:dyDescent="0.3">
      <c r="A597" s="3">
        <f ca="1"/>
        <v>2346826</v>
      </c>
      <c r="B597" s="3" t="str">
        <f ca="1"/>
        <v>CZECH NEWS CENTER a. s.</v>
      </c>
      <c r="C597" s="3" t="str">
        <f ca="1">IFERROR(__xludf.DUMMYFUNCTION("""COMPUTED_VALUE"""),"Fitweb")</f>
        <v>Fitweb</v>
      </c>
      <c r="D597" s="4" t="str">
        <f ca="1">IFERROR(__xludf.DUMMYFUNCTION("""COMPUTED_VALUE"""),"https://fitweb.cz")</f>
        <v>https://fitweb.cz</v>
      </c>
      <c r="E597" s="3" t="str">
        <f ca="1">IFERROR(__xludf.DUMMYFUNCTION("""COMPUTED_VALUE"""),"celý web")</f>
        <v>celý web</v>
      </c>
      <c r="F597" s="4" t="str">
        <f ca="1">IFERROR(__xludf.DUMMYFUNCTION("""COMPUTED_VALUE"""),"https://fitweb.cz")</f>
        <v>https://fitweb.cz</v>
      </c>
      <c r="G597" s="3" t="str">
        <f ca="1">IFERROR(__xludf.DUMMYFUNCTION("""COMPUTED_VALUE"""),"mobilní interscroller low season")</f>
        <v>mobilní interscroller low season</v>
      </c>
      <c r="H597" s="3">
        <f ca="1">IFERROR(__xludf.DUMMYFUNCTION("""COMPUTED_VALUE"""),7)</f>
        <v>7</v>
      </c>
      <c r="I597" s="5">
        <f ca="1">IFERROR(__xludf.DUMMYFUNCTION("""COMPUTED_VALUE"""),1000)</f>
        <v>1000</v>
      </c>
      <c r="J597" s="5">
        <f ca="1">IFERROR(__xludf.DUMMYFUNCTION("""COMPUTED_VALUE"""),250)</f>
        <v>250</v>
      </c>
      <c r="K597" s="3"/>
      <c r="L597" s="3" t="str">
        <f ca="1">IFERROR(__xludf.DUMMYFUNCTION("""COMPUTED_VALUE"""),"Cost per period")</f>
        <v>Cost per period</v>
      </c>
      <c r="M597" s="3"/>
      <c r="N597" s="3"/>
      <c r="O597" s="3" t="str">
        <f ca="1">IFERROR(__xludf.DUMMYFUNCTION("""COMPUTED_VALUE"""),"600")</f>
        <v>600</v>
      </c>
      <c r="P597" s="3" t="str">
        <f ca="1">IFERROR(__xludf.DUMMYFUNCTION("""COMPUTED_VALUE"""),"1080")</f>
        <v>1080</v>
      </c>
      <c r="Q597" s="3" t="str">
        <f ca="1">IFERROR(__xludf.DUMMYFUNCTION("""COMPUTED_VALUE"""),"600x1080")</f>
        <v>600x1080</v>
      </c>
      <c r="R597" s="3"/>
      <c r="S597" s="3" t="str">
        <f ca="1">IFERROR(__xludf.DUMMYFUNCTION("""COMPUTED_VALUE"""),"200")</f>
        <v>200</v>
      </c>
      <c r="T597" s="3"/>
      <c r="U597" s="3" t="str">
        <f ca="1">IFERROR(__xludf.DUMMYFUNCTION("""COMPUTED_VALUE"""),"banner standard")</f>
        <v>banner standard</v>
      </c>
      <c r="V597" s="3"/>
      <c r="W597" s="4" t="str">
        <f ca="1">IFERROR(__xludf.DUMMYFUNCTION("""COMPUTED_VALUE"""),"https://reklama.cncenter.cz/Online/mobilni-interscroller")</f>
        <v>https://reklama.cncenter.cz/Online/mobilni-interscroller</v>
      </c>
      <c r="X597" s="3"/>
      <c r="Y597" s="3"/>
      <c r="Z597" s="3" t="str">
        <f ca="1">IFERROR(__xludf.DUMMYFUNCTION("""COMPUTED_VALUE"""),"podklady@cncenter.cz")</f>
        <v>podklady@cncenter.cz</v>
      </c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 t="str">
        <f ca="1">IFERROR(__xludf.DUMMYFUNCTION("""COMPUTED_VALUE"""),"mobile")</f>
        <v>mobile</v>
      </c>
      <c r="AO597" s="3"/>
      <c r="AP597" s="3"/>
      <c r="AQ597" s="3"/>
      <c r="AR597" s="3"/>
      <c r="AS597" s="3"/>
      <c r="AT597" s="3"/>
      <c r="AU597" s="3" t="str">
        <f ca="1">IFERROR(__xludf.DUMMYFUNCTION("""COMPUTED_VALUE"""),"mobilní interscroller")</f>
        <v>mobilní interscroller</v>
      </c>
    </row>
    <row r="598" spans="1:47" x14ac:dyDescent="0.3">
      <c r="A598" s="3">
        <f ca="1"/>
        <v>2346826</v>
      </c>
      <c r="B598" s="3" t="str">
        <f ca="1"/>
        <v>CZECH NEWS CENTER a. s.</v>
      </c>
      <c r="C598" s="3" t="str">
        <f ca="1">IFERROR(__xludf.DUMMYFUNCTION("""COMPUTED_VALUE"""),"Fitweb")</f>
        <v>Fitweb</v>
      </c>
      <c r="D598" s="4" t="str">
        <f ca="1">IFERROR(__xludf.DUMMYFUNCTION("""COMPUTED_VALUE"""),"https://fitweb.cz")</f>
        <v>https://fitweb.cz</v>
      </c>
      <c r="E598" s="3" t="str">
        <f ca="1">IFERROR(__xludf.DUMMYFUNCTION("""COMPUTED_VALUE"""),"celý web")</f>
        <v>celý web</v>
      </c>
      <c r="F598" s="4" t="str">
        <f ca="1">IFERROR(__xludf.DUMMYFUNCTION("""COMPUTED_VALUE"""),"https://fitweb.cz")</f>
        <v>https://fitweb.cz</v>
      </c>
      <c r="G598" s="3" t="str">
        <f ca="1">IFERROR(__xludf.DUMMYFUNCTION("""COMPUTED_VALUE"""),"mobilní slide-up low season")</f>
        <v>mobilní slide-up low season</v>
      </c>
      <c r="H598" s="3">
        <f ca="1">IFERROR(__xludf.DUMMYFUNCTION("""COMPUTED_VALUE"""),7)</f>
        <v>7</v>
      </c>
      <c r="I598" s="5">
        <f ca="1">IFERROR(__xludf.DUMMYFUNCTION("""COMPUTED_VALUE"""),1000)</f>
        <v>1000</v>
      </c>
      <c r="J598" s="5">
        <f ca="1">IFERROR(__xludf.DUMMYFUNCTION("""COMPUTED_VALUE"""),510)</f>
        <v>510</v>
      </c>
      <c r="K598" s="3"/>
      <c r="L598" s="3" t="str">
        <f ca="1">IFERROR(__xludf.DUMMYFUNCTION("""COMPUTED_VALUE"""),"Cost per period")</f>
        <v>Cost per period</v>
      </c>
      <c r="M598" s="3"/>
      <c r="N598" s="3"/>
      <c r="O598" s="3" t="str">
        <f ca="1">IFERROR(__xludf.DUMMYFUNCTION("""COMPUTED_VALUE"""),"300")</f>
        <v>300</v>
      </c>
      <c r="P598" s="3" t="str">
        <f ca="1">IFERROR(__xludf.DUMMYFUNCTION("""COMPUTED_VALUE"""),"120")</f>
        <v>120</v>
      </c>
      <c r="Q598" s="3" t="str">
        <f ca="1">IFERROR(__xludf.DUMMYFUNCTION("""COMPUTED_VALUE"""),"300x120")</f>
        <v>300x120</v>
      </c>
      <c r="R598" s="3"/>
      <c r="S598" s="3" t="str">
        <f ca="1">IFERROR(__xludf.DUMMYFUNCTION("""COMPUTED_VALUE"""),"100")</f>
        <v>100</v>
      </c>
      <c r="T598" s="3"/>
      <c r="U598" s="3" t="str">
        <f ca="1">IFERROR(__xludf.DUMMYFUNCTION("""COMPUTED_VALUE"""),"banner standard")</f>
        <v>banner standard</v>
      </c>
      <c r="V598" s="3"/>
      <c r="W598" s="4" t="str">
        <f ca="1">IFERROR(__xludf.DUMMYFUNCTION("""COMPUTED_VALUE"""),"https://reklama.cncenter.cz/Online/mobilni-slide-up")</f>
        <v>https://reklama.cncenter.cz/Online/mobilni-slide-up</v>
      </c>
      <c r="X598" s="3"/>
      <c r="Y598" s="3"/>
      <c r="Z598" s="3" t="str">
        <f ca="1">IFERROR(__xludf.DUMMYFUNCTION("""COMPUTED_VALUE"""),"podklady@cncenter.cz")</f>
        <v>podklady@cncenter.cz</v>
      </c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 t="str">
        <f ca="1">IFERROR(__xludf.DUMMYFUNCTION("""COMPUTED_VALUE"""),"mobile")</f>
        <v>mobile</v>
      </c>
      <c r="AO598" s="3"/>
      <c r="AP598" s="3"/>
      <c r="AQ598" s="3"/>
      <c r="AR598" s="3"/>
      <c r="AS598" s="3"/>
      <c r="AT598" s="3"/>
      <c r="AU598" s="3" t="str">
        <f ca="1">IFERROR(__xludf.DUMMYFUNCTION("""COMPUTED_VALUE"""),"mobilní slide-up")</f>
        <v>mobilní slide-up</v>
      </c>
    </row>
    <row r="599" spans="1:47" x14ac:dyDescent="0.3">
      <c r="A599" s="3">
        <f ca="1"/>
        <v>2346826</v>
      </c>
      <c r="B599" s="3" t="str">
        <f ca="1"/>
        <v>CZECH NEWS CENTER a. s.</v>
      </c>
      <c r="C599" s="3" t="str">
        <f ca="1">IFERROR(__xludf.DUMMYFUNCTION("""COMPUTED_VALUE"""),"Fitweb")</f>
        <v>Fitweb</v>
      </c>
      <c r="D599" s="4" t="str">
        <f ca="1">IFERROR(__xludf.DUMMYFUNCTION("""COMPUTED_VALUE"""),"https://fitweb.cz")</f>
        <v>https://fitweb.cz</v>
      </c>
      <c r="E599" s="3" t="str">
        <f ca="1">IFERROR(__xludf.DUMMYFUNCTION("""COMPUTED_VALUE"""),"celý web")</f>
        <v>celý web</v>
      </c>
      <c r="F599" s="4" t="str">
        <f ca="1">IFERROR(__xludf.DUMMYFUNCTION("""COMPUTED_VALUE"""),"https://fitweb.cz")</f>
        <v>https://fitweb.cz</v>
      </c>
      <c r="G599" s="3" t="str">
        <f ca="1">IFERROR(__xludf.DUMMYFUNCTION("""COMPUTED_VALUE"""),"mobilní viněta low season")</f>
        <v>mobilní viněta low season</v>
      </c>
      <c r="H599" s="3">
        <f ca="1">IFERROR(__xludf.DUMMYFUNCTION("""COMPUTED_VALUE"""),7)</f>
        <v>7</v>
      </c>
      <c r="I599" s="5">
        <f ca="1">IFERROR(__xludf.DUMMYFUNCTION("""COMPUTED_VALUE"""),1000)</f>
        <v>1000</v>
      </c>
      <c r="J599" s="5">
        <f ca="1">IFERROR(__xludf.DUMMYFUNCTION("""COMPUTED_VALUE"""),880)</f>
        <v>880</v>
      </c>
      <c r="K599" s="3"/>
      <c r="L599" s="3" t="str">
        <f ca="1">IFERROR(__xludf.DUMMYFUNCTION("""COMPUTED_VALUE"""),"Cost per period")</f>
        <v>Cost per period</v>
      </c>
      <c r="M599" s="3"/>
      <c r="N599" s="3"/>
      <c r="O599" s="3" t="str">
        <f ca="1">IFERROR(__xludf.DUMMYFUNCTION("""COMPUTED_VALUE"""),"600")</f>
        <v>600</v>
      </c>
      <c r="P599" s="3" t="str">
        <f ca="1">IFERROR(__xludf.DUMMYFUNCTION("""COMPUTED_VALUE"""),"800")</f>
        <v>800</v>
      </c>
      <c r="Q599" s="3" t="str">
        <f ca="1">IFERROR(__xludf.DUMMYFUNCTION("""COMPUTED_VALUE"""),"300x250 nebo 600x800")</f>
        <v>300x250 nebo 600x800</v>
      </c>
      <c r="R599" s="3"/>
      <c r="S599" s="3" t="str">
        <f ca="1">IFERROR(__xludf.DUMMYFUNCTION("""COMPUTED_VALUE"""),"100")</f>
        <v>100</v>
      </c>
      <c r="T599" s="3"/>
      <c r="U599" s="3" t="str">
        <f ca="1">IFERROR(__xludf.DUMMYFUNCTION("""COMPUTED_VALUE"""),"banner standard")</f>
        <v>banner standard</v>
      </c>
      <c r="V599" s="3"/>
      <c r="W599" s="4" t="str">
        <f ca="1">IFERROR(__xludf.DUMMYFUNCTION("""COMPUTED_VALUE"""),"https://reklama.cncenter.cz/Online/mobilni-vineta")</f>
        <v>https://reklama.cncenter.cz/Online/mobilni-vineta</v>
      </c>
      <c r="X599" s="3"/>
      <c r="Y599" s="3"/>
      <c r="Z599" s="3" t="str">
        <f ca="1">IFERROR(__xludf.DUMMYFUNCTION("""COMPUTED_VALUE"""),"podklady@cncenter.cz")</f>
        <v>podklady@cncenter.cz</v>
      </c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 t="str">
        <f ca="1">IFERROR(__xludf.DUMMYFUNCTION("""COMPUTED_VALUE"""),"mobile")</f>
        <v>mobile</v>
      </c>
      <c r="AO599" s="3"/>
      <c r="AP599" s="3"/>
      <c r="AQ599" s="3"/>
      <c r="AR599" s="3"/>
      <c r="AS599" s="3"/>
      <c r="AT599" s="3"/>
      <c r="AU599" s="3" t="str">
        <f ca="1">IFERROR(__xludf.DUMMYFUNCTION("""COMPUTED_VALUE"""),"mobilní viněta")</f>
        <v>mobilní viněta</v>
      </c>
    </row>
    <row r="600" spans="1:47" x14ac:dyDescent="0.3">
      <c r="A600" s="3">
        <f ca="1"/>
        <v>2346826</v>
      </c>
      <c r="B600" s="3" t="str">
        <f ca="1"/>
        <v>CZECH NEWS CENTER a. s.</v>
      </c>
      <c r="C600" s="3" t="str">
        <f ca="1">IFERROR(__xludf.DUMMYFUNCTION("""COMPUTED_VALUE"""),"Fitweb")</f>
        <v>Fitweb</v>
      </c>
      <c r="D600" s="4" t="str">
        <f ca="1">IFERROR(__xludf.DUMMYFUNCTION("""COMPUTED_VALUE"""),"https://fitweb.cz")</f>
        <v>https://fitweb.cz</v>
      </c>
      <c r="E600" s="3" t="str">
        <f ca="1">IFERROR(__xludf.DUMMYFUNCTION("""COMPUTED_VALUE"""),"celý web")</f>
        <v>celý web</v>
      </c>
      <c r="F600" s="4" t="str">
        <f ca="1">IFERROR(__xludf.DUMMYFUNCTION("""COMPUTED_VALUE"""),"https://fitweb.cz")</f>
        <v>https://fitweb.cz</v>
      </c>
      <c r="G600" s="3" t="str">
        <f ca="1">IFERROR(__xludf.DUMMYFUNCTION("""COMPUTED_VALUE"""),"nativní rectangle cross-device low season")</f>
        <v>nativní rectangle cross-device low season</v>
      </c>
      <c r="H600" s="3">
        <f ca="1">IFERROR(__xludf.DUMMYFUNCTION("""COMPUTED_VALUE"""),7)</f>
        <v>7</v>
      </c>
      <c r="I600" s="5">
        <f ca="1">IFERROR(__xludf.DUMMYFUNCTION("""COMPUTED_VALUE"""),1000)</f>
        <v>1000</v>
      </c>
      <c r="J600" s="5">
        <f ca="1">IFERROR(__xludf.DUMMYFUNCTION("""COMPUTED_VALUE"""),200)</f>
        <v>200</v>
      </c>
      <c r="K600" s="3"/>
      <c r="L600" s="3" t="str">
        <f ca="1">IFERROR(__xludf.DUMMYFUNCTION("""COMPUTED_VALUE"""),"Cost per period")</f>
        <v>Cost per period</v>
      </c>
      <c r="M600" s="3"/>
      <c r="N600" s="3"/>
      <c r="O600" s="3" t="str">
        <f ca="1">IFERROR(__xludf.DUMMYFUNCTION("""COMPUTED_VALUE"""),"640")</f>
        <v>640</v>
      </c>
      <c r="P600" s="3" t="str">
        <f ca="1">IFERROR(__xludf.DUMMYFUNCTION("""COMPUTED_VALUE"""),"335, 640")</f>
        <v>335, 640</v>
      </c>
      <c r="Q600" s="3" t="str">
        <f ca="1">IFERROR(__xludf.DUMMYFUNCTION("""COMPUTED_VALUE"""),"640x640 a 640x335 + text + logo")</f>
        <v>640x640 a 640x335 + text + logo</v>
      </c>
      <c r="R600" s="3"/>
      <c r="S600" s="3" t="str">
        <f ca="1">IFERROR(__xludf.DUMMYFUNCTION("""COMPUTED_VALUE"""),"45")</f>
        <v>45</v>
      </c>
      <c r="T600" s="3"/>
      <c r="U600" s="3" t="str">
        <f ca="1">IFERROR(__xludf.DUMMYFUNCTION("""COMPUTED_VALUE"""),"nativní reklama")</f>
        <v>nativní reklama</v>
      </c>
      <c r="V600" s="3"/>
      <c r="W600" s="4" t="str">
        <f ca="1">IFERROR(__xludf.DUMMYFUNCTION("""COMPUTED_VALUE"""),"https://reklama.cncenter.cz/Online/nativni-rectangle-cross-device")</f>
        <v>https://reklama.cncenter.cz/Online/nativni-rectangle-cross-device</v>
      </c>
      <c r="X600" s="3"/>
      <c r="Y600" s="3"/>
      <c r="Z600" s="3" t="str">
        <f ca="1">IFERROR(__xludf.DUMMYFUNCTION("""COMPUTED_VALUE"""),"podklady@cncenter.cz")</f>
        <v>podklady@cncenter.cz</v>
      </c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 t="str">
        <f ca="1">IFERROR(__xludf.DUMMYFUNCTION("""COMPUTED_VALUE"""),"cross-device")</f>
        <v>cross-device</v>
      </c>
      <c r="AO600" s="3"/>
      <c r="AP600" s="3"/>
      <c r="AQ600" s="3"/>
      <c r="AR600" s="3"/>
      <c r="AS600" s="3"/>
      <c r="AT600" s="3"/>
      <c r="AU600" s="3" t="str">
        <f ca="1">IFERROR(__xludf.DUMMYFUNCTION("""COMPUTED_VALUE"""),"nativní rectangle cross-device")</f>
        <v>nativní rectangle cross-device</v>
      </c>
    </row>
    <row r="601" spans="1:47" x14ac:dyDescent="0.3">
      <c r="A601" s="3">
        <f ca="1"/>
        <v>2346826</v>
      </c>
      <c r="B601" s="3" t="str">
        <f ca="1"/>
        <v>CZECH NEWS CENTER a. s.</v>
      </c>
      <c r="C601" s="3" t="str">
        <f ca="1">IFERROR(__xludf.DUMMYFUNCTION("""COMPUTED_VALUE"""),"Fitweb")</f>
        <v>Fitweb</v>
      </c>
      <c r="D601" s="4" t="str">
        <f ca="1">IFERROR(__xludf.DUMMYFUNCTION("""COMPUTED_VALUE"""),"https://fitweb.cz")</f>
        <v>https://fitweb.cz</v>
      </c>
      <c r="E601" s="3" t="str">
        <f ca="1">IFERROR(__xludf.DUMMYFUNCTION("""COMPUTED_VALUE"""),"celý web")</f>
        <v>celý web</v>
      </c>
      <c r="F601" s="4" t="str">
        <f ca="1">IFERROR(__xludf.DUMMYFUNCTION("""COMPUTED_VALUE"""),"https://fitweb.cz")</f>
        <v>https://fitweb.cz</v>
      </c>
      <c r="G601" s="3" t="str">
        <f ca="1">IFERROR(__xludf.DUMMYFUNCTION("""COMPUTED_VALUE"""),"outstream low season")</f>
        <v>outstream low season</v>
      </c>
      <c r="H601" s="3">
        <f ca="1">IFERROR(__xludf.DUMMYFUNCTION("""COMPUTED_VALUE"""),7)</f>
        <v>7</v>
      </c>
      <c r="I601" s="5">
        <f ca="1">IFERROR(__xludf.DUMMYFUNCTION("""COMPUTED_VALUE"""),1000)</f>
        <v>1000</v>
      </c>
      <c r="J601" s="5">
        <f ca="1">IFERROR(__xludf.DUMMYFUNCTION("""COMPUTED_VALUE"""),250)</f>
        <v>250</v>
      </c>
      <c r="K601" s="3"/>
      <c r="L601" s="3" t="str">
        <f ca="1">IFERROR(__xludf.DUMMYFUNCTION("""COMPUTED_VALUE"""),"Cost per period")</f>
        <v>Cost per period</v>
      </c>
      <c r="M601" s="3"/>
      <c r="N601" s="3"/>
      <c r="O601" s="3" t="str">
        <f ca="1">IFERROR(__xludf.DUMMYFUNCTION("""COMPUTED_VALUE"""),"1280")</f>
        <v>1280</v>
      </c>
      <c r="P601" s="3" t="str">
        <f ca="1">IFERROR(__xludf.DUMMYFUNCTION("""COMPUTED_VALUE"""),"720")</f>
        <v>720</v>
      </c>
      <c r="Q601" s="3" t="str">
        <f ca="1">IFERROR(__xludf.DUMMYFUNCTION("""COMPUTED_VALUE"""),"16:9")</f>
        <v>16:9</v>
      </c>
      <c r="R601" s="3"/>
      <c r="S601" s="3" t="str">
        <f ca="1">IFERROR(__xludf.DUMMYFUNCTION("""COMPUTED_VALUE"""),"100")</f>
        <v>100</v>
      </c>
      <c r="T601" s="3"/>
      <c r="U601" s="3" t="str">
        <f ca="1">IFERROR(__xludf.DUMMYFUNCTION("""COMPUTED_VALUE"""),"videospot")</f>
        <v>videospot</v>
      </c>
      <c r="V601" s="3"/>
      <c r="W601" s="4" t="str">
        <f ca="1">IFERROR(__xludf.DUMMYFUNCTION("""COMPUTED_VALUE"""),"https://reklama.cncenter.cz/Online/Outstream")</f>
        <v>https://reklama.cncenter.cz/Online/Outstream</v>
      </c>
      <c r="X601" s="3"/>
      <c r="Y601" s="3"/>
      <c r="Z601" s="3" t="str">
        <f ca="1">IFERROR(__xludf.DUMMYFUNCTION("""COMPUTED_VALUE"""),"podklady@cncenter.cz")</f>
        <v>podklady@cncenter.cz</v>
      </c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 t="str">
        <f ca="1">IFERROR(__xludf.DUMMYFUNCTION("""COMPUTED_VALUE"""),"cross-device")</f>
        <v>cross-device</v>
      </c>
      <c r="AO601" s="3"/>
      <c r="AP601" s="3"/>
      <c r="AQ601" s="3"/>
      <c r="AR601" s="3"/>
      <c r="AS601" s="3"/>
      <c r="AT601" s="3"/>
      <c r="AU601" s="3" t="str">
        <f ca="1">IFERROR(__xludf.DUMMYFUNCTION("""COMPUTED_VALUE"""),"outstream")</f>
        <v>outstream</v>
      </c>
    </row>
    <row r="602" spans="1:47" x14ac:dyDescent="0.3">
      <c r="A602" s="3">
        <f ca="1"/>
        <v>2346826</v>
      </c>
      <c r="B602" s="3" t="str">
        <f ca="1"/>
        <v>CZECH NEWS CENTER a. s.</v>
      </c>
      <c r="C602" s="3" t="str">
        <f ca="1">IFERROR(__xludf.DUMMYFUNCTION("""COMPUTED_VALUE"""),"FOMO")</f>
        <v>FOMO</v>
      </c>
      <c r="D602" s="4" t="str">
        <f ca="1">IFERROR(__xludf.DUMMYFUNCTION("""COMPUTED_VALUE"""),"https://heyfomo.cz/")</f>
        <v>https://heyfomo.cz/</v>
      </c>
      <c r="E602" s="3" t="str">
        <f ca="1">IFERROR(__xludf.DUMMYFUNCTION("""COMPUTED_VALUE"""),"celý web")</f>
        <v>celý web</v>
      </c>
      <c r="F602" s="4" t="str">
        <f ca="1">IFERROR(__xludf.DUMMYFUNCTION("""COMPUTED_VALUE"""),"https://heyfomo.cz/")</f>
        <v>https://heyfomo.cz/</v>
      </c>
      <c r="G602" s="3" t="str">
        <f ca="1">IFERROR(__xludf.DUMMYFUNCTION("""COMPUTED_VALUE"""),"Advertorial low season")</f>
        <v>Advertorial low season</v>
      </c>
      <c r="H602" s="3">
        <f ca="1">IFERROR(__xludf.DUMMYFUNCTION("""COMPUTED_VALUE"""),1)</f>
        <v>1</v>
      </c>
      <c r="I602" s="5">
        <f ca="1">IFERROR(__xludf.DUMMYFUNCTION("""COMPUTED_VALUE"""),1)</f>
        <v>1</v>
      </c>
      <c r="J602" s="5">
        <f ca="1">IFERROR(__xludf.DUMMYFUNCTION("""COMPUTED_VALUE"""),90000)</f>
        <v>90000</v>
      </c>
      <c r="K602" s="3"/>
      <c r="L602" s="3" t="str">
        <f ca="1">IFERROR(__xludf.DUMMYFUNCTION("""COMPUTED_VALUE"""),"Cost per instance")</f>
        <v>Cost per instance</v>
      </c>
      <c r="M602" s="3"/>
      <c r="N602" s="3"/>
      <c r="O602" s="3"/>
      <c r="P602" s="3"/>
      <c r="Q602" s="3"/>
      <c r="R602" s="3"/>
      <c r="S602" s="3" t="str">
        <f ca="1">IFERROR(__xludf.DUMMYFUNCTION("""COMPUTED_VALUE"""),"100")</f>
        <v>100</v>
      </c>
      <c r="T602" s="3"/>
      <c r="U602" s="3" t="str">
        <f ca="1">IFERROR(__xludf.DUMMYFUNCTION("""COMPUTED_VALUE"""),"pr článek")</f>
        <v>pr článek</v>
      </c>
      <c r="V602" s="3"/>
      <c r="W602" s="3"/>
      <c r="X602" s="3"/>
      <c r="Y602" s="3"/>
      <c r="Z602" s="3" t="str">
        <f ca="1">IFERROR(__xludf.DUMMYFUNCTION("""COMPUTED_VALUE"""),"podklady@cncenter.cz")</f>
        <v>podklady@cncenter.cz</v>
      </c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 t="str">
        <f ca="1">IFERROR(__xludf.DUMMYFUNCTION("""COMPUTED_VALUE"""),"cross-device")</f>
        <v>cross-device</v>
      </c>
      <c r="AO602" s="3"/>
      <c r="AP602" s="3"/>
      <c r="AQ602" s="3"/>
      <c r="AR602" s="3"/>
      <c r="AS602" s="3"/>
      <c r="AT602" s="3"/>
      <c r="AU602" s="3" t="str">
        <f ca="1">IFERROR(__xludf.DUMMYFUNCTION("""COMPUTED_VALUE"""),"Advertorial")</f>
        <v>Advertorial</v>
      </c>
    </row>
    <row r="603" spans="1:47" x14ac:dyDescent="0.3">
      <c r="A603" s="3">
        <f ca="1"/>
        <v>2346826</v>
      </c>
      <c r="B603" s="3" t="str">
        <f ca="1"/>
        <v>CZECH NEWS CENTER a. s.</v>
      </c>
      <c r="C603" s="3" t="str">
        <f ca="1">IFERROR(__xludf.DUMMYFUNCTION("""COMPUTED_VALUE"""),"FOMO")</f>
        <v>FOMO</v>
      </c>
      <c r="D603" s="4" t="str">
        <f ca="1">IFERROR(__xludf.DUMMYFUNCTION("""COMPUTED_VALUE"""),"https://heyfomo.cz/")</f>
        <v>https://heyfomo.cz/</v>
      </c>
      <c r="E603" s="3" t="str">
        <f ca="1">IFERROR(__xludf.DUMMYFUNCTION("""COMPUTED_VALUE"""),"celý web")</f>
        <v>celý web</v>
      </c>
      <c r="F603" s="4" t="str">
        <f ca="1">IFERROR(__xludf.DUMMYFUNCTION("""COMPUTED_VALUE"""),"https://heyfomo.cz/")</f>
        <v>https://heyfomo.cz/</v>
      </c>
      <c r="G603" s="3" t="str">
        <f ca="1">IFERROR(__xludf.DUMMYFUNCTION("""COMPUTED_VALUE"""),"dokoupení proma o 2 týdny - 10 000 PV *** low season")</f>
        <v>dokoupení proma o 2 týdny - 10 000 PV *** low season</v>
      </c>
      <c r="H603" s="3">
        <f ca="1">IFERROR(__xludf.DUMMYFUNCTION("""COMPUTED_VALUE"""),1)</f>
        <v>1</v>
      </c>
      <c r="I603" s="5">
        <f ca="1">IFERROR(__xludf.DUMMYFUNCTION("""COMPUTED_VALUE"""),1)</f>
        <v>1</v>
      </c>
      <c r="J603" s="5">
        <f ca="1">IFERROR(__xludf.DUMMYFUNCTION("""COMPUTED_VALUE"""),60000)</f>
        <v>60000</v>
      </c>
      <c r="K603" s="3"/>
      <c r="L603" s="3" t="str">
        <f ca="1">IFERROR(__xludf.DUMMYFUNCTION("""COMPUTED_VALUE"""),"Cost per instance")</f>
        <v>Cost per instance</v>
      </c>
      <c r="M603" s="3"/>
      <c r="N603" s="3"/>
      <c r="O603" s="3"/>
      <c r="P603" s="3"/>
      <c r="Q603" s="3"/>
      <c r="R603" s="3"/>
      <c r="S603" s="3" t="str">
        <f ca="1">IFERROR(__xludf.DUMMYFUNCTION("""COMPUTED_VALUE"""),"100")</f>
        <v>100</v>
      </c>
      <c r="T603" s="3"/>
      <c r="U603" s="3" t="str">
        <f ca="1">IFERROR(__xludf.DUMMYFUNCTION("""COMPUTED_VALUE"""),"microsite")</f>
        <v>microsite</v>
      </c>
      <c r="V603" s="3"/>
      <c r="W603" s="3"/>
      <c r="X603" s="3"/>
      <c r="Y603" s="3"/>
      <c r="Z603" s="3" t="str">
        <f ca="1">IFERROR(__xludf.DUMMYFUNCTION("""COMPUTED_VALUE"""),"podklady@cncenter.cz")</f>
        <v>podklady@cncenter.cz</v>
      </c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 t="str">
        <f ca="1">IFERROR(__xludf.DUMMYFUNCTION("""COMPUTED_VALUE"""),"cross-device")</f>
        <v>cross-device</v>
      </c>
      <c r="AO603" s="3"/>
      <c r="AP603" s="3"/>
      <c r="AQ603" s="3"/>
      <c r="AR603" s="3"/>
      <c r="AS603" s="3"/>
      <c r="AT603" s="3"/>
      <c r="AU603" s="3" t="str">
        <f ca="1">IFERROR(__xludf.DUMMYFUNCTION("""COMPUTED_VALUE"""),"dokoupení proma o 2 týdny - 10 000 PV ***")</f>
        <v>dokoupení proma o 2 týdny - 10 000 PV ***</v>
      </c>
    </row>
    <row r="604" spans="1:47" x14ac:dyDescent="0.3">
      <c r="A604" s="3">
        <f ca="1"/>
        <v>2346826</v>
      </c>
      <c r="B604" s="3" t="str">
        <f ca="1"/>
        <v>CZECH NEWS CENTER a. s.</v>
      </c>
      <c r="C604" s="3" t="str">
        <f ca="1">IFERROR(__xludf.DUMMYFUNCTION("""COMPUTED_VALUE"""),"FOMO")</f>
        <v>FOMO</v>
      </c>
      <c r="D604" s="4" t="str">
        <f ca="1">IFERROR(__xludf.DUMMYFUNCTION("""COMPUTED_VALUE"""),"https://heyfomo.cz/")</f>
        <v>https://heyfomo.cz/</v>
      </c>
      <c r="E604" s="3" t="str">
        <f ca="1">IFERROR(__xludf.DUMMYFUNCTION("""COMPUTED_VALUE"""),"celý web")</f>
        <v>celý web</v>
      </c>
      <c r="F604" s="4" t="str">
        <f ca="1">IFERROR(__xludf.DUMMYFUNCTION("""COMPUTED_VALUE"""),"https://heyfomo.cz/")</f>
        <v>https://heyfomo.cz/</v>
      </c>
      <c r="G604" s="3" t="str">
        <f ca="1">IFERROR(__xludf.DUMMYFUNCTION("""COMPUTED_VALUE"""),"Native Standard low season")</f>
        <v>Native Standard low season</v>
      </c>
      <c r="H604" s="3">
        <f ca="1">IFERROR(__xludf.DUMMYFUNCTION("""COMPUTED_VALUE"""),1)</f>
        <v>1</v>
      </c>
      <c r="I604" s="5">
        <f ca="1">IFERROR(__xludf.DUMMYFUNCTION("""COMPUTED_VALUE"""),1)</f>
        <v>1</v>
      </c>
      <c r="J604" s="5">
        <f ca="1">IFERROR(__xludf.DUMMYFUNCTION("""COMPUTED_VALUE"""),330000)</f>
        <v>330000</v>
      </c>
      <c r="K604" s="3"/>
      <c r="L604" s="3" t="str">
        <f ca="1">IFERROR(__xludf.DUMMYFUNCTION("""COMPUTED_VALUE"""),"Cost per instance")</f>
        <v>Cost per instance</v>
      </c>
      <c r="M604" s="3"/>
      <c r="N604" s="3"/>
      <c r="O604" s="3"/>
      <c r="P604" s="3"/>
      <c r="Q604" s="3"/>
      <c r="R604" s="3"/>
      <c r="S604" s="3" t="str">
        <f ca="1">IFERROR(__xludf.DUMMYFUNCTION("""COMPUTED_VALUE"""),"100")</f>
        <v>100</v>
      </c>
      <c r="T604" s="3"/>
      <c r="U604" s="3" t="str">
        <f ca="1">IFERROR(__xludf.DUMMYFUNCTION("""COMPUTED_VALUE"""),"microsite")</f>
        <v>microsite</v>
      </c>
      <c r="V604" s="3"/>
      <c r="W604" s="3"/>
      <c r="X604" s="3"/>
      <c r="Y604" s="3"/>
      <c r="Z604" s="3" t="str">
        <f ca="1">IFERROR(__xludf.DUMMYFUNCTION("""COMPUTED_VALUE"""),"podklady@cncenter.cz")</f>
        <v>podklady@cncenter.cz</v>
      </c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 t="str">
        <f ca="1">IFERROR(__xludf.DUMMYFUNCTION("""COMPUTED_VALUE"""),"cross-device")</f>
        <v>cross-device</v>
      </c>
      <c r="AO604" s="3"/>
      <c r="AP604" s="3"/>
      <c r="AQ604" s="3"/>
      <c r="AR604" s="3"/>
      <c r="AS604" s="3"/>
      <c r="AT604" s="3"/>
      <c r="AU604" s="3" t="str">
        <f ca="1">IFERROR(__xludf.DUMMYFUNCTION("""COMPUTED_VALUE"""),"Native Standard")</f>
        <v>Native Standard</v>
      </c>
    </row>
    <row r="605" spans="1:47" x14ac:dyDescent="0.3">
      <c r="A605" s="3">
        <f ca="1"/>
        <v>2346826</v>
      </c>
      <c r="B605" s="3" t="str">
        <f ca="1"/>
        <v>CZECH NEWS CENTER a. s.</v>
      </c>
      <c r="C605" s="3" t="str">
        <f ca="1">IFERROR(__xludf.DUMMYFUNCTION("""COMPUTED_VALUE"""),"FOMO")</f>
        <v>FOMO</v>
      </c>
      <c r="D605" s="4" t="str">
        <f ca="1">IFERROR(__xludf.DUMMYFUNCTION("""COMPUTED_VALUE"""),"https://heyfomo.cz/")</f>
        <v>https://heyfomo.cz/</v>
      </c>
      <c r="E605" s="3" t="str">
        <f ca="1">IFERROR(__xludf.DUMMYFUNCTION("""COMPUTED_VALUE"""),"celý web")</f>
        <v>celý web</v>
      </c>
      <c r="F605" s="4" t="str">
        <f ca="1">IFERROR(__xludf.DUMMYFUNCTION("""COMPUTED_VALUE"""),"https://heyfomo.cz/")</f>
        <v>https://heyfomo.cz/</v>
      </c>
      <c r="G605" s="3" t="str">
        <f ca="1">IFERROR(__xludf.DUMMYFUNCTION("""COMPUTED_VALUE"""),"PR článek low season")</f>
        <v>PR článek low season</v>
      </c>
      <c r="H605" s="3">
        <f ca="1">IFERROR(__xludf.DUMMYFUNCTION("""COMPUTED_VALUE"""),1)</f>
        <v>1</v>
      </c>
      <c r="I605" s="5">
        <f ca="1">IFERROR(__xludf.DUMMYFUNCTION("""COMPUTED_VALUE"""),1)</f>
        <v>1</v>
      </c>
      <c r="J605" s="5">
        <f ca="1">IFERROR(__xludf.DUMMYFUNCTION("""COMPUTED_VALUE"""),50000)</f>
        <v>50000</v>
      </c>
      <c r="K605" s="3"/>
      <c r="L605" s="3" t="str">
        <f ca="1">IFERROR(__xludf.DUMMYFUNCTION("""COMPUTED_VALUE"""),"Cost per instance")</f>
        <v>Cost per instance</v>
      </c>
      <c r="M605" s="3"/>
      <c r="N605" s="3"/>
      <c r="O605" s="3"/>
      <c r="P605" s="3"/>
      <c r="Q605" s="3"/>
      <c r="R605" s="3"/>
      <c r="S605" s="3" t="str">
        <f ca="1">IFERROR(__xludf.DUMMYFUNCTION("""COMPUTED_VALUE"""),"100")</f>
        <v>100</v>
      </c>
      <c r="T605" s="3"/>
      <c r="U605" s="3" t="str">
        <f ca="1">IFERROR(__xludf.DUMMYFUNCTION("""COMPUTED_VALUE"""),"pr článek")</f>
        <v>pr článek</v>
      </c>
      <c r="V605" s="3"/>
      <c r="W605" s="4" t="str">
        <f ca="1">IFERROR(__xludf.DUMMYFUNCTION("""COMPUTED_VALUE"""),"https://reklama.cncenter.cz/?ads=PR%2520%25C4%258Dl%25C3%25A1nky")</f>
        <v>https://reklama.cncenter.cz/?ads=PR%2520%25C4%258Dl%25C3%25A1nky</v>
      </c>
      <c r="X605" s="3"/>
      <c r="Y605" s="3"/>
      <c r="Z605" s="3" t="str">
        <f ca="1">IFERROR(__xludf.DUMMYFUNCTION("""COMPUTED_VALUE"""),"podklady@cncenter.cz")</f>
        <v>podklady@cncenter.cz</v>
      </c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 t="str">
        <f ca="1">IFERROR(__xludf.DUMMYFUNCTION("""COMPUTED_VALUE"""),"cross-device")</f>
        <v>cross-device</v>
      </c>
      <c r="AO605" s="3"/>
      <c r="AP605" s="3"/>
      <c r="AQ605" s="3"/>
      <c r="AR605" s="3"/>
      <c r="AS605" s="3"/>
      <c r="AT605" s="3"/>
      <c r="AU605" s="3" t="str">
        <f ca="1">IFERROR(__xludf.DUMMYFUNCTION("""COMPUTED_VALUE"""),"PR článek")</f>
        <v>PR článek</v>
      </c>
    </row>
    <row r="606" spans="1:47" x14ac:dyDescent="0.3">
      <c r="A606" s="3">
        <f ca="1"/>
        <v>2346826</v>
      </c>
      <c r="B606" s="3" t="str">
        <f ca="1"/>
        <v>CZECH NEWS CENTER a. s.</v>
      </c>
      <c r="C606" s="3" t="str">
        <f ca="1">IFERROR(__xludf.DUMMYFUNCTION("""COMPUTED_VALUE"""),"FOMO")</f>
        <v>FOMO</v>
      </c>
      <c r="D606" s="4" t="str">
        <f ca="1">IFERROR(__xludf.DUMMYFUNCTION("""COMPUTED_VALUE"""),"https://heyfomo.cz/")</f>
        <v>https://heyfomo.cz/</v>
      </c>
      <c r="E606" s="3" t="str">
        <f ca="1">IFERROR(__xludf.DUMMYFUNCTION("""COMPUTED_VALUE"""),"celý web")</f>
        <v>celý web</v>
      </c>
      <c r="F606" s="4" t="str">
        <f ca="1">IFERROR(__xludf.DUMMYFUNCTION("""COMPUTED_VALUE"""),"https://heyfomo.cz/")</f>
        <v>https://heyfomo.cz/</v>
      </c>
      <c r="G606" s="3" t="str">
        <f ca="1">IFERROR(__xludf.DUMMYFUNCTION("""COMPUTED_VALUE"""),"Prodloužení existující microsite, bez úprav low season")</f>
        <v>Prodloužení existující microsite, bez úprav low season</v>
      </c>
      <c r="H606" s="3">
        <f ca="1">IFERROR(__xludf.DUMMYFUNCTION("""COMPUTED_VALUE"""),1)</f>
        <v>1</v>
      </c>
      <c r="I606" s="5">
        <f ca="1">IFERROR(__xludf.DUMMYFUNCTION("""COMPUTED_VALUE"""),1)</f>
        <v>1</v>
      </c>
      <c r="J606" s="5">
        <f ca="1">IFERROR(__xludf.DUMMYFUNCTION("""COMPUTED_VALUE"""),15000)</f>
        <v>15000</v>
      </c>
      <c r="K606" s="3"/>
      <c r="L606" s="3" t="str">
        <f ca="1">IFERROR(__xludf.DUMMYFUNCTION("""COMPUTED_VALUE"""),"Cost per instance")</f>
        <v>Cost per instance</v>
      </c>
      <c r="M606" s="3"/>
      <c r="N606" s="3"/>
      <c r="O606" s="3"/>
      <c r="P606" s="3"/>
      <c r="Q606" s="3"/>
      <c r="R606" s="3"/>
      <c r="S606" s="3" t="str">
        <f ca="1">IFERROR(__xludf.DUMMYFUNCTION("""COMPUTED_VALUE"""),"100")</f>
        <v>100</v>
      </c>
      <c r="T606" s="3"/>
      <c r="U606" s="3" t="str">
        <f ca="1">IFERROR(__xludf.DUMMYFUNCTION("""COMPUTED_VALUE"""),"microsite")</f>
        <v>microsite</v>
      </c>
      <c r="V606" s="3"/>
      <c r="W606" s="3"/>
      <c r="X606" s="3"/>
      <c r="Y606" s="3"/>
      <c r="Z606" s="3" t="str">
        <f ca="1">IFERROR(__xludf.DUMMYFUNCTION("""COMPUTED_VALUE"""),"podklady@cncenter.cz")</f>
        <v>podklady@cncenter.cz</v>
      </c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 t="str">
        <f ca="1">IFERROR(__xludf.DUMMYFUNCTION("""COMPUTED_VALUE"""),"cross-device")</f>
        <v>cross-device</v>
      </c>
      <c r="AO606" s="3"/>
      <c r="AP606" s="3"/>
      <c r="AQ606" s="3"/>
      <c r="AR606" s="3"/>
      <c r="AS606" s="3"/>
      <c r="AT606" s="3"/>
      <c r="AU606" s="3" t="str">
        <f ca="1">IFERROR(__xludf.DUMMYFUNCTION("""COMPUTED_VALUE"""),"Prodloužení existující microsite, bez úprav")</f>
        <v>Prodloužení existující microsite, bez úprav</v>
      </c>
    </row>
    <row r="607" spans="1:47" x14ac:dyDescent="0.3">
      <c r="A607" s="3">
        <f ca="1"/>
        <v>2346826</v>
      </c>
      <c r="B607" s="3" t="str">
        <f ca="1"/>
        <v>CZECH NEWS CENTER a. s.</v>
      </c>
      <c r="C607" s="3" t="str">
        <f ca="1">IFERROR(__xludf.DUMMYFUNCTION("""COMPUTED_VALUE"""),"FOMO")</f>
        <v>FOMO</v>
      </c>
      <c r="D607" s="4" t="str">
        <f ca="1">IFERROR(__xludf.DUMMYFUNCTION("""COMPUTED_VALUE"""),"https://heyfomo.cz/")</f>
        <v>https://heyfomo.cz/</v>
      </c>
      <c r="E607" s="3" t="str">
        <f ca="1">IFERROR(__xludf.DUMMYFUNCTION("""COMPUTED_VALUE"""),"celý web")</f>
        <v>celý web</v>
      </c>
      <c r="F607" s="4" t="str">
        <f ca="1">IFERROR(__xludf.DUMMYFUNCTION("""COMPUTED_VALUE"""),"https://heyfomo.cz/")</f>
        <v>https://heyfomo.cz/</v>
      </c>
      <c r="G607" s="3" t="str">
        <f ca="1">IFERROR(__xludf.DUMMYFUNCTION("""COMPUTED_VALUE"""),"Prodloužení existující microsite, bez úprav low season")</f>
        <v>Prodloužení existující microsite, bez úprav low season</v>
      </c>
      <c r="H607" s="3">
        <f ca="1">IFERROR(__xludf.DUMMYFUNCTION("""COMPUTED_VALUE"""),1)</f>
        <v>1</v>
      </c>
      <c r="I607" s="5">
        <f ca="1">IFERROR(__xludf.DUMMYFUNCTION("""COMPUTED_VALUE"""),1)</f>
        <v>1</v>
      </c>
      <c r="J607" s="5">
        <f ca="1">IFERROR(__xludf.DUMMYFUNCTION("""COMPUTED_VALUE"""),15000)</f>
        <v>15000</v>
      </c>
      <c r="K607" s="3"/>
      <c r="L607" s="3" t="str">
        <f ca="1">IFERROR(__xludf.DUMMYFUNCTION("""COMPUTED_VALUE"""),"Cost per instance")</f>
        <v>Cost per instance</v>
      </c>
      <c r="M607" s="3"/>
      <c r="N607" s="3"/>
      <c r="O607" s="3"/>
      <c r="P607" s="3"/>
      <c r="Q607" s="3"/>
      <c r="R607" s="3"/>
      <c r="S607" s="3" t="str">
        <f ca="1">IFERROR(__xludf.DUMMYFUNCTION("""COMPUTED_VALUE"""),"100")</f>
        <v>100</v>
      </c>
      <c r="T607" s="3"/>
      <c r="U607" s="3" t="str">
        <f ca="1">IFERROR(__xludf.DUMMYFUNCTION("""COMPUTED_VALUE"""),"microsite")</f>
        <v>microsite</v>
      </c>
      <c r="V607" s="3"/>
      <c r="W607" s="3"/>
      <c r="X607" s="3"/>
      <c r="Y607" s="3"/>
      <c r="Z607" s="3" t="str">
        <f ca="1">IFERROR(__xludf.DUMMYFUNCTION("""COMPUTED_VALUE"""),"podklady@cncenter.cz")</f>
        <v>podklady@cncenter.cz</v>
      </c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 t="str">
        <f ca="1">IFERROR(__xludf.DUMMYFUNCTION("""COMPUTED_VALUE"""),"cross-device")</f>
        <v>cross-device</v>
      </c>
      <c r="AO607" s="3"/>
      <c r="AP607" s="3"/>
      <c r="AQ607" s="3"/>
      <c r="AR607" s="3"/>
      <c r="AS607" s="3"/>
      <c r="AT607" s="3"/>
      <c r="AU607" s="3" t="str">
        <f ca="1">IFERROR(__xludf.DUMMYFUNCTION("""COMPUTED_VALUE"""),"Prodloužení existující microsite, bez úprav")</f>
        <v>Prodloužení existující microsite, bez úprav</v>
      </c>
    </row>
    <row r="608" spans="1:47" x14ac:dyDescent="0.3">
      <c r="A608" s="3">
        <f ca="1"/>
        <v>2346826</v>
      </c>
      <c r="B608" s="3" t="str">
        <f ca="1"/>
        <v>CZECH NEWS CENTER a. s.</v>
      </c>
      <c r="C608" s="3" t="str">
        <f ca="1">IFERROR(__xludf.DUMMYFUNCTION("""COMPUTED_VALUE"""),"FOMO")</f>
        <v>FOMO</v>
      </c>
      <c r="D608" s="4" t="str">
        <f ca="1">IFERROR(__xludf.DUMMYFUNCTION("""COMPUTED_VALUE"""),"https://heyfomo.cz/")</f>
        <v>https://heyfomo.cz/</v>
      </c>
      <c r="E608" s="3" t="str">
        <f ca="1">IFERROR(__xludf.DUMMYFUNCTION("""COMPUTED_VALUE"""),"celý web")</f>
        <v>celý web</v>
      </c>
      <c r="F608" s="4" t="str">
        <f ca="1">IFERROR(__xludf.DUMMYFUNCTION("""COMPUTED_VALUE"""),"https://heyfomo.cz/")</f>
        <v>https://heyfomo.cz/</v>
      </c>
      <c r="G608" s="3" t="str">
        <f ca="1">IFERROR(__xludf.DUMMYFUNCTION("""COMPUTED_VALUE"""),"Prodloužení existující microsite, bez úprav low season")</f>
        <v>Prodloužení existující microsite, bez úprav low season</v>
      </c>
      <c r="H608" s="3">
        <f ca="1">IFERROR(__xludf.DUMMYFUNCTION("""COMPUTED_VALUE"""),1)</f>
        <v>1</v>
      </c>
      <c r="I608" s="5">
        <f ca="1">IFERROR(__xludf.DUMMYFUNCTION("""COMPUTED_VALUE"""),1)</f>
        <v>1</v>
      </c>
      <c r="J608" s="5">
        <f ca="1">IFERROR(__xludf.DUMMYFUNCTION("""COMPUTED_VALUE"""),15000)</f>
        <v>15000</v>
      </c>
      <c r="K608" s="3"/>
      <c r="L608" s="3" t="str">
        <f ca="1">IFERROR(__xludf.DUMMYFUNCTION("""COMPUTED_VALUE"""),"Cost per instance")</f>
        <v>Cost per instance</v>
      </c>
      <c r="M608" s="3"/>
      <c r="N608" s="3"/>
      <c r="O608" s="3"/>
      <c r="P608" s="3"/>
      <c r="Q608" s="3"/>
      <c r="R608" s="3"/>
      <c r="S608" s="3" t="str">
        <f ca="1">IFERROR(__xludf.DUMMYFUNCTION("""COMPUTED_VALUE"""),"100")</f>
        <v>100</v>
      </c>
      <c r="T608" s="3"/>
      <c r="U608" s="3" t="str">
        <f ca="1">IFERROR(__xludf.DUMMYFUNCTION("""COMPUTED_VALUE"""),"microsite")</f>
        <v>microsite</v>
      </c>
      <c r="V608" s="3"/>
      <c r="W608" s="3"/>
      <c r="X608" s="3"/>
      <c r="Y608" s="3"/>
      <c r="Z608" s="3" t="str">
        <f ca="1">IFERROR(__xludf.DUMMYFUNCTION("""COMPUTED_VALUE"""),"podklady@cncenter.cz")</f>
        <v>podklady@cncenter.cz</v>
      </c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 t="str">
        <f ca="1">IFERROR(__xludf.DUMMYFUNCTION("""COMPUTED_VALUE"""),"cross-device")</f>
        <v>cross-device</v>
      </c>
      <c r="AO608" s="3"/>
      <c r="AP608" s="3"/>
      <c r="AQ608" s="3"/>
      <c r="AR608" s="3"/>
      <c r="AS608" s="3"/>
      <c r="AT608" s="3"/>
      <c r="AU608" s="3" t="str">
        <f ca="1">IFERROR(__xludf.DUMMYFUNCTION("""COMPUTED_VALUE"""),"Prodloužení existující microsite, bez úprav")</f>
        <v>Prodloužení existující microsite, bez úprav</v>
      </c>
    </row>
    <row r="609" spans="1:47" x14ac:dyDescent="0.3">
      <c r="A609" s="3">
        <f ca="1"/>
        <v>2346826</v>
      </c>
      <c r="B609" s="3" t="str">
        <f ca="1"/>
        <v>CZECH NEWS CENTER a. s.</v>
      </c>
      <c r="C609" s="3" t="str">
        <f ca="1">IFERROR(__xludf.DUMMYFUNCTION("""COMPUTED_VALUE"""),"Frekvence1")</f>
        <v>Frekvence1</v>
      </c>
      <c r="D609" s="4" t="str">
        <f ca="1">IFERROR(__xludf.DUMMYFUNCTION("""COMPUTED_VALUE"""),"https://frekvence1.cz")</f>
        <v>https://frekvence1.cz</v>
      </c>
      <c r="E609" s="3" t="str">
        <f ca="1">IFERROR(__xludf.DUMMYFUNCTION("""COMPUTED_VALUE"""),"celý web")</f>
        <v>celý web</v>
      </c>
      <c r="F609" s="4" t="str">
        <f ca="1">IFERROR(__xludf.DUMMYFUNCTION("""COMPUTED_VALUE"""),"https://frekvence1.cz")</f>
        <v>https://frekvence1.cz</v>
      </c>
      <c r="G609" s="3" t="str">
        <f ca="1">IFERROR(__xludf.DUMMYFUNCTION("""COMPUTED_VALUE"""),"branding cross-device low season")</f>
        <v>branding cross-device low season</v>
      </c>
      <c r="H609" s="3">
        <f ca="1">IFERROR(__xludf.DUMMYFUNCTION("""COMPUTED_VALUE"""),7)</f>
        <v>7</v>
      </c>
      <c r="I609" s="5">
        <f ca="1">IFERROR(__xludf.DUMMYFUNCTION("""COMPUTED_VALUE"""),1000)</f>
        <v>1000</v>
      </c>
      <c r="J609" s="5">
        <f ca="1">IFERROR(__xludf.DUMMYFUNCTION("""COMPUTED_VALUE"""),300)</f>
        <v>300</v>
      </c>
      <c r="K609" s="3"/>
      <c r="L609" s="3" t="str">
        <f ca="1">IFERROR(__xludf.DUMMYFUNCTION("""COMPUTED_VALUE"""),"Cost per period")</f>
        <v>Cost per period</v>
      </c>
      <c r="M609" s="3"/>
      <c r="N609" s="3"/>
      <c r="O609" s="3" t="str">
        <f ca="1">IFERROR(__xludf.DUMMYFUNCTION("""COMPUTED_VALUE"""),"2000")</f>
        <v>2000</v>
      </c>
      <c r="P609" s="3" t="str">
        <f ca="1">IFERROR(__xludf.DUMMYFUNCTION("""COMPUTED_VALUE"""),"1400")</f>
        <v>1400</v>
      </c>
      <c r="Q609" s="3" t="str">
        <f ca="1">IFERROR(__xludf.DUMMYFUNCTION("""COMPUTED_VALUE"""),"2000x1400 + 600x1080")</f>
        <v>2000x1400 + 600x1080</v>
      </c>
      <c r="R609" s="3"/>
      <c r="S609" s="3" t="str">
        <f ca="1">IFERROR(__xludf.DUMMYFUNCTION("""COMPUTED_VALUE"""),"500 (600 - HTLM5)")</f>
        <v>500 (600 - HTLM5)</v>
      </c>
      <c r="T609" s="3"/>
      <c r="U609" s="3" t="str">
        <f ca="1">IFERROR(__xludf.DUMMYFUNCTION("""COMPUTED_VALUE"""),"banner standard")</f>
        <v>banner standard</v>
      </c>
      <c r="V609" s="3"/>
      <c r="W609" s="4" t="str">
        <f ca="1">IFERROR(__xludf.DUMMYFUNCTION("""COMPUTED_VALUE"""),"https://reklama.cncenter.cz/Online/branding-cross-device")</f>
        <v>https://reklama.cncenter.cz/Online/branding-cross-device</v>
      </c>
      <c r="X609" s="3"/>
      <c r="Y609" s="3"/>
      <c r="Z609" s="3" t="str">
        <f ca="1">IFERROR(__xludf.DUMMYFUNCTION("""COMPUTED_VALUE"""),"podklady@cncenter.cz")</f>
        <v>podklady@cncenter.cz</v>
      </c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 t="str">
        <f ca="1">IFERROR(__xludf.DUMMYFUNCTION("""COMPUTED_VALUE"""),"cross-device")</f>
        <v>cross-device</v>
      </c>
      <c r="AO609" s="3"/>
      <c r="AP609" s="3"/>
      <c r="AQ609" s="3"/>
      <c r="AR609" s="3"/>
      <c r="AS609" s="3"/>
      <c r="AT609" s="3"/>
      <c r="AU609" s="3" t="str">
        <f ca="1">IFERROR(__xludf.DUMMYFUNCTION("""COMPUTED_VALUE"""),"branding cross-device")</f>
        <v>branding cross-device</v>
      </c>
    </row>
    <row r="610" spans="1:47" x14ac:dyDescent="0.3">
      <c r="A610" s="3">
        <f ca="1"/>
        <v>2346826</v>
      </c>
      <c r="B610" s="3" t="str">
        <f ca="1"/>
        <v>CZECH NEWS CENTER a. s.</v>
      </c>
      <c r="C610" s="3" t="str">
        <f ca="1">IFERROR(__xludf.DUMMYFUNCTION("""COMPUTED_VALUE"""),"Frekvence1")</f>
        <v>Frekvence1</v>
      </c>
      <c r="D610" s="4" t="str">
        <f ca="1">IFERROR(__xludf.DUMMYFUNCTION("""COMPUTED_VALUE"""),"https://frekvence1.cz")</f>
        <v>https://frekvence1.cz</v>
      </c>
      <c r="E610" s="3" t="str">
        <f ca="1">IFERROR(__xludf.DUMMYFUNCTION("""COMPUTED_VALUE"""),"celý web")</f>
        <v>celý web</v>
      </c>
      <c r="F610" s="4" t="str">
        <f ca="1">IFERROR(__xludf.DUMMYFUNCTION("""COMPUTED_VALUE"""),"https://frekvence1.cz")</f>
        <v>https://frekvence1.cz</v>
      </c>
      <c r="G610" s="3" t="str">
        <f ca="1">IFERROR(__xludf.DUMMYFUNCTION("""COMPUTED_VALUE"""),"branding low season")</f>
        <v>branding low season</v>
      </c>
      <c r="H610" s="3">
        <f ca="1">IFERROR(__xludf.DUMMYFUNCTION("""COMPUTED_VALUE"""),7)</f>
        <v>7</v>
      </c>
      <c r="I610" s="5">
        <f ca="1">IFERROR(__xludf.DUMMYFUNCTION("""COMPUTED_VALUE"""),1000)</f>
        <v>1000</v>
      </c>
      <c r="J610" s="5">
        <f ca="1">IFERROR(__xludf.DUMMYFUNCTION("""COMPUTED_VALUE"""),490)</f>
        <v>490</v>
      </c>
      <c r="K610" s="3"/>
      <c r="L610" s="3" t="str">
        <f ca="1">IFERROR(__xludf.DUMMYFUNCTION("""COMPUTED_VALUE"""),"Cost per period")</f>
        <v>Cost per period</v>
      </c>
      <c r="M610" s="3"/>
      <c r="N610" s="3"/>
      <c r="O610" s="3" t="str">
        <f ca="1">IFERROR(__xludf.DUMMYFUNCTION("""COMPUTED_VALUE"""),"2000")</f>
        <v>2000</v>
      </c>
      <c r="P610" s="3" t="str">
        <f ca="1">IFERROR(__xludf.DUMMYFUNCTION("""COMPUTED_VALUE"""),"1400")</f>
        <v>1400</v>
      </c>
      <c r="Q610" s="3" t="str">
        <f ca="1">IFERROR(__xludf.DUMMYFUNCTION("""COMPUTED_VALUE"""),"2000x1400")</f>
        <v>2000x1400</v>
      </c>
      <c r="R610" s="3"/>
      <c r="S610" s="3" t="str">
        <f ca="1">IFERROR(__xludf.DUMMYFUNCTION("""COMPUTED_VALUE"""),"500 + 200 (600+200 HTML5)")</f>
        <v>500 + 200 (600+200 HTML5)</v>
      </c>
      <c r="T610" s="3"/>
      <c r="U610" s="3" t="str">
        <f ca="1">IFERROR(__xludf.DUMMYFUNCTION("""COMPUTED_VALUE"""),"banner standard")</f>
        <v>banner standard</v>
      </c>
      <c r="V610" s="3"/>
      <c r="W610" s="4" t="str">
        <f ca="1">IFERROR(__xludf.DUMMYFUNCTION("""COMPUTED_VALUE"""),"https://reklama.cncenter.cz/Online/branding")</f>
        <v>https://reklama.cncenter.cz/Online/branding</v>
      </c>
      <c r="X610" s="3"/>
      <c r="Y610" s="3"/>
      <c r="Z610" s="3" t="str">
        <f ca="1">IFERROR(__xludf.DUMMYFUNCTION("""COMPUTED_VALUE"""),"podklady@cncenter.cz")</f>
        <v>podklady@cncenter.cz</v>
      </c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 t="str">
        <f ca="1">IFERROR(__xludf.DUMMYFUNCTION("""COMPUTED_VALUE"""),"desktop")</f>
        <v>desktop</v>
      </c>
      <c r="AO610" s="3"/>
      <c r="AP610" s="3"/>
      <c r="AQ610" s="3"/>
      <c r="AR610" s="3"/>
      <c r="AS610" s="3"/>
      <c r="AT610" s="3"/>
      <c r="AU610" s="3" t="str">
        <f ca="1">IFERROR(__xludf.DUMMYFUNCTION("""COMPUTED_VALUE"""),"branding")</f>
        <v>branding</v>
      </c>
    </row>
    <row r="611" spans="1:47" x14ac:dyDescent="0.3">
      <c r="A611" s="3">
        <f ca="1"/>
        <v>2346826</v>
      </c>
      <c r="B611" s="3" t="str">
        <f ca="1"/>
        <v>CZECH NEWS CENTER a. s.</v>
      </c>
      <c r="C611" s="3" t="str">
        <f ca="1">IFERROR(__xludf.DUMMYFUNCTION("""COMPUTED_VALUE"""),"Frekvence1")</f>
        <v>Frekvence1</v>
      </c>
      <c r="D611" s="4" t="str">
        <f ca="1">IFERROR(__xludf.DUMMYFUNCTION("""COMPUTED_VALUE"""),"https://frekvence1.cz")</f>
        <v>https://frekvence1.cz</v>
      </c>
      <c r="E611" s="3" t="str">
        <f ca="1">IFERROR(__xludf.DUMMYFUNCTION("""COMPUTED_VALUE"""),"celý web")</f>
        <v>celý web</v>
      </c>
      <c r="F611" s="4" t="str">
        <f ca="1">IFERROR(__xludf.DUMMYFUNCTION("""COMPUTED_VALUE"""),"https://frekvence1.cz")</f>
        <v>https://frekvence1.cz</v>
      </c>
      <c r="G611" s="3" t="str">
        <f ca="1">IFERROR(__xludf.DUMMYFUNCTION("""COMPUTED_VALUE"""),"cílený branding cross-device low season")</f>
        <v>cílený branding cross-device low season</v>
      </c>
      <c r="H611" s="3">
        <f ca="1">IFERROR(__xludf.DUMMYFUNCTION("""COMPUTED_VALUE"""),7)</f>
        <v>7</v>
      </c>
      <c r="I611" s="5">
        <f ca="1">IFERROR(__xludf.DUMMYFUNCTION("""COMPUTED_VALUE"""),1000)</f>
        <v>1000</v>
      </c>
      <c r="J611" s="5">
        <f ca="1">IFERROR(__xludf.DUMMYFUNCTION("""COMPUTED_VALUE"""),360)</f>
        <v>360</v>
      </c>
      <c r="K611" s="3"/>
      <c r="L611" s="3" t="str">
        <f ca="1">IFERROR(__xludf.DUMMYFUNCTION("""COMPUTED_VALUE"""),"Cost per period")</f>
        <v>Cost per period</v>
      </c>
      <c r="M611" s="3"/>
      <c r="N611" s="3"/>
      <c r="O611" s="3" t="str">
        <f ca="1">IFERROR(__xludf.DUMMYFUNCTION("""COMPUTED_VALUE"""),"2000")</f>
        <v>2000</v>
      </c>
      <c r="P611" s="3" t="str">
        <f ca="1">IFERROR(__xludf.DUMMYFUNCTION("""COMPUTED_VALUE"""),"1400")</f>
        <v>1400</v>
      </c>
      <c r="Q611" s="3" t="str">
        <f ca="1">IFERROR(__xludf.DUMMYFUNCTION("""COMPUTED_VALUE"""),"2000x1400 + 600x1080")</f>
        <v>2000x1400 + 600x1080</v>
      </c>
      <c r="R611" s="3"/>
      <c r="S611" s="3" t="str">
        <f ca="1">IFERROR(__xludf.DUMMYFUNCTION("""COMPUTED_VALUE"""),"500 (600 - HTLM5)")</f>
        <v>500 (600 - HTLM5)</v>
      </c>
      <c r="T611" s="3"/>
      <c r="U611" s="3" t="str">
        <f ca="1">IFERROR(__xludf.DUMMYFUNCTION("""COMPUTED_VALUE"""),"banner standard")</f>
        <v>banner standard</v>
      </c>
      <c r="V611" s="3"/>
      <c r="W611" s="4" t="str">
        <f ca="1">IFERROR(__xludf.DUMMYFUNCTION("""COMPUTED_VALUE"""),"https://reklama.cncenter.cz/Online/branding-cross-device")</f>
        <v>https://reklama.cncenter.cz/Online/branding-cross-device</v>
      </c>
      <c r="X611" s="3"/>
      <c r="Y611" s="3"/>
      <c r="Z611" s="3" t="str">
        <f ca="1">IFERROR(__xludf.DUMMYFUNCTION("""COMPUTED_VALUE"""),"podklady@cncenter.cz")</f>
        <v>podklady@cncenter.cz</v>
      </c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 t="str">
        <f ca="1">IFERROR(__xludf.DUMMYFUNCTION("""COMPUTED_VALUE"""),"cross-device")</f>
        <v>cross-device</v>
      </c>
      <c r="AO611" s="3"/>
      <c r="AP611" s="3"/>
      <c r="AQ611" s="3"/>
      <c r="AR611" s="3"/>
      <c r="AS611" s="3"/>
      <c r="AT611" s="3"/>
      <c r="AU611" s="3" t="str">
        <f ca="1">IFERROR(__xludf.DUMMYFUNCTION("""COMPUTED_VALUE"""),"cílený branding cross-device")</f>
        <v>cílený branding cross-device</v>
      </c>
    </row>
    <row r="612" spans="1:47" x14ac:dyDescent="0.3">
      <c r="A612" s="3">
        <f ca="1"/>
        <v>2346826</v>
      </c>
      <c r="B612" s="3" t="str">
        <f ca="1"/>
        <v>CZECH NEWS CENTER a. s.</v>
      </c>
      <c r="C612" s="3" t="str">
        <f ca="1">IFERROR(__xludf.DUMMYFUNCTION("""COMPUTED_VALUE"""),"Frekvence1")</f>
        <v>Frekvence1</v>
      </c>
      <c r="D612" s="4" t="str">
        <f ca="1">IFERROR(__xludf.DUMMYFUNCTION("""COMPUTED_VALUE"""),"https://frekvence1.cz")</f>
        <v>https://frekvence1.cz</v>
      </c>
      <c r="E612" s="3" t="str">
        <f ca="1">IFERROR(__xludf.DUMMYFUNCTION("""COMPUTED_VALUE"""),"celý web")</f>
        <v>celý web</v>
      </c>
      <c r="F612" s="4" t="str">
        <f ca="1">IFERROR(__xludf.DUMMYFUNCTION("""COMPUTED_VALUE"""),"https://frekvence1.cz")</f>
        <v>https://frekvence1.cz</v>
      </c>
      <c r="G612" s="3" t="str">
        <f ca="1">IFERROR(__xludf.DUMMYFUNCTION("""COMPUTED_VALUE"""),"cílený branding low season")</f>
        <v>cílený branding low season</v>
      </c>
      <c r="H612" s="3">
        <f ca="1">IFERROR(__xludf.DUMMYFUNCTION("""COMPUTED_VALUE"""),7)</f>
        <v>7</v>
      </c>
      <c r="I612" s="5">
        <f ca="1">IFERROR(__xludf.DUMMYFUNCTION("""COMPUTED_VALUE"""),1000)</f>
        <v>1000</v>
      </c>
      <c r="J612" s="5">
        <f ca="1">IFERROR(__xludf.DUMMYFUNCTION("""COMPUTED_VALUE"""),588)</f>
        <v>588</v>
      </c>
      <c r="K612" s="3"/>
      <c r="L612" s="3" t="str">
        <f ca="1">IFERROR(__xludf.DUMMYFUNCTION("""COMPUTED_VALUE"""),"Cost per period")</f>
        <v>Cost per period</v>
      </c>
      <c r="M612" s="3"/>
      <c r="N612" s="3"/>
      <c r="O612" s="3" t="str">
        <f ca="1">IFERROR(__xludf.DUMMYFUNCTION("""COMPUTED_VALUE"""),"2000")</f>
        <v>2000</v>
      </c>
      <c r="P612" s="3" t="str">
        <f ca="1">IFERROR(__xludf.DUMMYFUNCTION("""COMPUTED_VALUE"""),"1400")</f>
        <v>1400</v>
      </c>
      <c r="Q612" s="3" t="str">
        <f ca="1">IFERROR(__xludf.DUMMYFUNCTION("""COMPUTED_VALUE"""),"2000x1400")</f>
        <v>2000x1400</v>
      </c>
      <c r="R612" s="3"/>
      <c r="S612" s="3" t="str">
        <f ca="1">IFERROR(__xludf.DUMMYFUNCTION("""COMPUTED_VALUE"""),"500 + 200 (600+200 HTML5)")</f>
        <v>500 + 200 (600+200 HTML5)</v>
      </c>
      <c r="T612" s="3"/>
      <c r="U612" s="3" t="str">
        <f ca="1">IFERROR(__xludf.DUMMYFUNCTION("""COMPUTED_VALUE"""),"banner standard")</f>
        <v>banner standard</v>
      </c>
      <c r="V612" s="3"/>
      <c r="W612" s="4" t="str">
        <f ca="1">IFERROR(__xludf.DUMMYFUNCTION("""COMPUTED_VALUE"""),"https://reklama.cncenter.cz/Online/branding")</f>
        <v>https://reklama.cncenter.cz/Online/branding</v>
      </c>
      <c r="X612" s="3"/>
      <c r="Y612" s="3"/>
      <c r="Z612" s="3" t="str">
        <f ca="1">IFERROR(__xludf.DUMMYFUNCTION("""COMPUTED_VALUE"""),"podklady@cncenter.cz")</f>
        <v>podklady@cncenter.cz</v>
      </c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 t="str">
        <f ca="1">IFERROR(__xludf.DUMMYFUNCTION("""COMPUTED_VALUE"""),"desktop")</f>
        <v>desktop</v>
      </c>
      <c r="AO612" s="3"/>
      <c r="AP612" s="3"/>
      <c r="AQ612" s="3"/>
      <c r="AR612" s="3"/>
      <c r="AS612" s="3"/>
      <c r="AT612" s="3"/>
      <c r="AU612" s="3" t="str">
        <f ca="1">IFERROR(__xludf.DUMMYFUNCTION("""COMPUTED_VALUE"""),"cílený branding")</f>
        <v>cílený branding</v>
      </c>
    </row>
    <row r="613" spans="1:47" x14ac:dyDescent="0.3">
      <c r="A613" s="3">
        <f ca="1"/>
        <v>2346826</v>
      </c>
      <c r="B613" s="3" t="str">
        <f ca="1"/>
        <v>CZECH NEWS CENTER a. s.</v>
      </c>
      <c r="C613" s="3" t="str">
        <f ca="1">IFERROR(__xludf.DUMMYFUNCTION("""COMPUTED_VALUE"""),"Frekvence1")</f>
        <v>Frekvence1</v>
      </c>
      <c r="D613" s="4" t="str">
        <f ca="1">IFERROR(__xludf.DUMMYFUNCTION("""COMPUTED_VALUE"""),"https://frekvence1.cz")</f>
        <v>https://frekvence1.cz</v>
      </c>
      <c r="E613" s="3" t="str">
        <f ca="1">IFERROR(__xludf.DUMMYFUNCTION("""COMPUTED_VALUE"""),"celý web")</f>
        <v>celý web</v>
      </c>
      <c r="F613" s="4" t="str">
        <f ca="1">IFERROR(__xludf.DUMMYFUNCTION("""COMPUTED_VALUE"""),"https://frekvence1.cz")</f>
        <v>https://frekvence1.cz</v>
      </c>
      <c r="G613" s="3" t="str">
        <f ca="1">IFERROR(__xludf.DUMMYFUNCTION("""COMPUTED_VALUE"""),"cílený double skyscraper low season")</f>
        <v>cílený double skyscraper low season</v>
      </c>
      <c r="H613" s="3">
        <f ca="1">IFERROR(__xludf.DUMMYFUNCTION("""COMPUTED_VALUE"""),7)</f>
        <v>7</v>
      </c>
      <c r="I613" s="5">
        <f ca="1">IFERROR(__xludf.DUMMYFUNCTION("""COMPUTED_VALUE"""),1000)</f>
        <v>1000</v>
      </c>
      <c r="J613" s="5">
        <f ca="1">IFERROR(__xludf.DUMMYFUNCTION("""COMPUTED_VALUE"""),228)</f>
        <v>228</v>
      </c>
      <c r="K613" s="3"/>
      <c r="L613" s="3" t="str">
        <f ca="1">IFERROR(__xludf.DUMMYFUNCTION("""COMPUTED_VALUE"""),"Cost per period")</f>
        <v>Cost per period</v>
      </c>
      <c r="M613" s="3"/>
      <c r="N613" s="3"/>
      <c r="O613" s="3" t="str">
        <f ca="1">IFERROR(__xludf.DUMMYFUNCTION("""COMPUTED_VALUE"""),"300")</f>
        <v>300</v>
      </c>
      <c r="P613" s="3" t="str">
        <f ca="1">IFERROR(__xludf.DUMMYFUNCTION("""COMPUTED_VALUE"""),"600")</f>
        <v>600</v>
      </c>
      <c r="Q613" s="3" t="str">
        <f ca="1">IFERROR(__xludf.DUMMYFUNCTION("""COMPUTED_VALUE"""),"300x600")</f>
        <v>300x600</v>
      </c>
      <c r="R613" s="3"/>
      <c r="S613" s="3" t="str">
        <f ca="1">IFERROR(__xludf.DUMMYFUNCTION("""COMPUTED_VALUE"""),"100 (200 - HTML5)")</f>
        <v>100 (200 - HTML5)</v>
      </c>
      <c r="T613" s="3"/>
      <c r="U613" s="3" t="str">
        <f ca="1">IFERROR(__xludf.DUMMYFUNCTION("""COMPUTED_VALUE"""),"banner standard")</f>
        <v>banner standard</v>
      </c>
      <c r="V613" s="3"/>
      <c r="W613" s="4" t="str">
        <f ca="1">IFERROR(__xludf.DUMMYFUNCTION("""COMPUTED_VALUE"""),"https://reklama.cncenter.cz/Online/double-skyscraper")</f>
        <v>https://reklama.cncenter.cz/Online/double-skyscraper</v>
      </c>
      <c r="X613" s="3"/>
      <c r="Y613" s="3"/>
      <c r="Z613" s="3" t="str">
        <f ca="1">IFERROR(__xludf.DUMMYFUNCTION("""COMPUTED_VALUE"""),"podklady@cncenter.cz")</f>
        <v>podklady@cncenter.cz</v>
      </c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 t="str">
        <f ca="1">IFERROR(__xludf.DUMMYFUNCTION("""COMPUTED_VALUE"""),"desktop")</f>
        <v>desktop</v>
      </c>
      <c r="AO613" s="3"/>
      <c r="AP613" s="3"/>
      <c r="AQ613" s="3"/>
      <c r="AR613" s="3"/>
      <c r="AS613" s="3"/>
      <c r="AT613" s="3"/>
      <c r="AU613" s="3" t="str">
        <f ca="1">IFERROR(__xludf.DUMMYFUNCTION("""COMPUTED_VALUE"""),"cílený double skyscraper")</f>
        <v>cílený double skyscraper</v>
      </c>
    </row>
    <row r="614" spans="1:47" x14ac:dyDescent="0.3">
      <c r="A614" s="3">
        <f ca="1"/>
        <v>2346826</v>
      </c>
      <c r="B614" s="3" t="str">
        <f ca="1"/>
        <v>CZECH NEWS CENTER a. s.</v>
      </c>
      <c r="C614" s="3" t="str">
        <f ca="1">IFERROR(__xludf.DUMMYFUNCTION("""COMPUTED_VALUE"""),"Frekvence1")</f>
        <v>Frekvence1</v>
      </c>
      <c r="D614" s="4" t="str">
        <f ca="1">IFERROR(__xludf.DUMMYFUNCTION("""COMPUTED_VALUE"""),"https://frekvence1.cz")</f>
        <v>https://frekvence1.cz</v>
      </c>
      <c r="E614" s="3" t="str">
        <f ca="1">IFERROR(__xludf.DUMMYFUNCTION("""COMPUTED_VALUE"""),"celý web")</f>
        <v>celý web</v>
      </c>
      <c r="F614" s="4" t="str">
        <f ca="1">IFERROR(__xludf.DUMMYFUNCTION("""COMPUTED_VALUE"""),"https://frekvence1.cz")</f>
        <v>https://frekvence1.cz</v>
      </c>
      <c r="G614" s="3" t="str">
        <f ca="1">IFERROR(__xludf.DUMMYFUNCTION("""COMPUTED_VALUE"""),"cílený mobilní interscroller low season")</f>
        <v>cílený mobilní interscroller low season</v>
      </c>
      <c r="H614" s="3">
        <f ca="1">IFERROR(__xludf.DUMMYFUNCTION("""COMPUTED_VALUE"""),7)</f>
        <v>7</v>
      </c>
      <c r="I614" s="5">
        <f ca="1">IFERROR(__xludf.DUMMYFUNCTION("""COMPUTED_VALUE"""),1000)</f>
        <v>1000</v>
      </c>
      <c r="J614" s="5">
        <f ca="1">IFERROR(__xludf.DUMMYFUNCTION("""COMPUTED_VALUE"""),300)</f>
        <v>300</v>
      </c>
      <c r="K614" s="3"/>
      <c r="L614" s="3" t="str">
        <f ca="1">IFERROR(__xludf.DUMMYFUNCTION("""COMPUTED_VALUE"""),"Cost per period")</f>
        <v>Cost per period</v>
      </c>
      <c r="M614" s="3"/>
      <c r="N614" s="3"/>
      <c r="O614" s="3" t="str">
        <f ca="1">IFERROR(__xludf.DUMMYFUNCTION("""COMPUTED_VALUE"""),"600")</f>
        <v>600</v>
      </c>
      <c r="P614" s="3" t="str">
        <f ca="1">IFERROR(__xludf.DUMMYFUNCTION("""COMPUTED_VALUE"""),"1080")</f>
        <v>1080</v>
      </c>
      <c r="Q614" s="3" t="str">
        <f ca="1">IFERROR(__xludf.DUMMYFUNCTION("""COMPUTED_VALUE"""),"600x1080")</f>
        <v>600x1080</v>
      </c>
      <c r="R614" s="3"/>
      <c r="S614" s="3" t="str">
        <f ca="1">IFERROR(__xludf.DUMMYFUNCTION("""COMPUTED_VALUE"""),"200")</f>
        <v>200</v>
      </c>
      <c r="T614" s="3"/>
      <c r="U614" s="3" t="str">
        <f ca="1">IFERROR(__xludf.DUMMYFUNCTION("""COMPUTED_VALUE"""),"banner standard")</f>
        <v>banner standard</v>
      </c>
      <c r="V614" s="3"/>
      <c r="W614" s="4" t="str">
        <f ca="1">IFERROR(__xludf.DUMMYFUNCTION("""COMPUTED_VALUE"""),"https://reklama.cncenter.cz/Online/mobilni-interscroller")</f>
        <v>https://reklama.cncenter.cz/Online/mobilni-interscroller</v>
      </c>
      <c r="X614" s="3"/>
      <c r="Y614" s="3"/>
      <c r="Z614" s="3" t="str">
        <f ca="1">IFERROR(__xludf.DUMMYFUNCTION("""COMPUTED_VALUE"""),"podklady@cncenter.cz")</f>
        <v>podklady@cncenter.cz</v>
      </c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 t="str">
        <f ca="1">IFERROR(__xludf.DUMMYFUNCTION("""COMPUTED_VALUE"""),"mobile")</f>
        <v>mobile</v>
      </c>
      <c r="AO614" s="3"/>
      <c r="AP614" s="3"/>
      <c r="AQ614" s="3"/>
      <c r="AR614" s="3"/>
      <c r="AS614" s="3"/>
      <c r="AT614" s="3"/>
      <c r="AU614" s="3" t="str">
        <f ca="1">IFERROR(__xludf.DUMMYFUNCTION("""COMPUTED_VALUE"""),"cílený mobilní interscroller")</f>
        <v>cílený mobilní interscroller</v>
      </c>
    </row>
    <row r="615" spans="1:47" x14ac:dyDescent="0.3">
      <c r="A615" s="3">
        <f ca="1"/>
        <v>2346826</v>
      </c>
      <c r="B615" s="3" t="str">
        <f ca="1"/>
        <v>CZECH NEWS CENTER a. s.</v>
      </c>
      <c r="C615" s="3" t="str">
        <f ca="1">IFERROR(__xludf.DUMMYFUNCTION("""COMPUTED_VALUE"""),"Frekvence1")</f>
        <v>Frekvence1</v>
      </c>
      <c r="D615" s="4" t="str">
        <f ca="1">IFERROR(__xludf.DUMMYFUNCTION("""COMPUTED_VALUE"""),"https://frekvence1.cz")</f>
        <v>https://frekvence1.cz</v>
      </c>
      <c r="E615" s="3" t="str">
        <f ca="1">IFERROR(__xludf.DUMMYFUNCTION("""COMPUTED_VALUE"""),"celý web")</f>
        <v>celý web</v>
      </c>
      <c r="F615" s="4" t="str">
        <f ca="1">IFERROR(__xludf.DUMMYFUNCTION("""COMPUTED_VALUE"""),"https://frekvence1.cz")</f>
        <v>https://frekvence1.cz</v>
      </c>
      <c r="G615" s="3" t="str">
        <f ca="1">IFERROR(__xludf.DUMMYFUNCTION("""COMPUTED_VALUE"""),"cílený mobilní slide-up low season")</f>
        <v>cílený mobilní slide-up low season</v>
      </c>
      <c r="H615" s="3">
        <f ca="1">IFERROR(__xludf.DUMMYFUNCTION("""COMPUTED_VALUE"""),7)</f>
        <v>7</v>
      </c>
      <c r="I615" s="5">
        <f ca="1">IFERROR(__xludf.DUMMYFUNCTION("""COMPUTED_VALUE"""),1000)</f>
        <v>1000</v>
      </c>
      <c r="J615" s="5">
        <f ca="1">IFERROR(__xludf.DUMMYFUNCTION("""COMPUTED_VALUE"""),612)</f>
        <v>612</v>
      </c>
      <c r="K615" s="3"/>
      <c r="L615" s="3" t="str">
        <f ca="1">IFERROR(__xludf.DUMMYFUNCTION("""COMPUTED_VALUE"""),"Cost per period")</f>
        <v>Cost per period</v>
      </c>
      <c r="M615" s="3"/>
      <c r="N615" s="3"/>
      <c r="O615" s="3" t="str">
        <f ca="1">IFERROR(__xludf.DUMMYFUNCTION("""COMPUTED_VALUE"""),"300")</f>
        <v>300</v>
      </c>
      <c r="P615" s="3" t="str">
        <f ca="1">IFERROR(__xludf.DUMMYFUNCTION("""COMPUTED_VALUE"""),"120")</f>
        <v>120</v>
      </c>
      <c r="Q615" s="3" t="str">
        <f ca="1">IFERROR(__xludf.DUMMYFUNCTION("""COMPUTED_VALUE"""),"300x120")</f>
        <v>300x120</v>
      </c>
      <c r="R615" s="3"/>
      <c r="S615" s="3" t="str">
        <f ca="1">IFERROR(__xludf.DUMMYFUNCTION("""COMPUTED_VALUE"""),"100")</f>
        <v>100</v>
      </c>
      <c r="T615" s="3"/>
      <c r="U615" s="3" t="str">
        <f ca="1">IFERROR(__xludf.DUMMYFUNCTION("""COMPUTED_VALUE"""),"banner standard")</f>
        <v>banner standard</v>
      </c>
      <c r="V615" s="3"/>
      <c r="W615" s="4" t="str">
        <f ca="1">IFERROR(__xludf.DUMMYFUNCTION("""COMPUTED_VALUE"""),"https://reklama.cncenter.cz/Online/mobilni-slide-up")</f>
        <v>https://reklama.cncenter.cz/Online/mobilni-slide-up</v>
      </c>
      <c r="X615" s="3"/>
      <c r="Y615" s="3"/>
      <c r="Z615" s="3" t="str">
        <f ca="1">IFERROR(__xludf.DUMMYFUNCTION("""COMPUTED_VALUE"""),"podklady@cncenter.cz")</f>
        <v>podklady@cncenter.cz</v>
      </c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 t="str">
        <f ca="1">IFERROR(__xludf.DUMMYFUNCTION("""COMPUTED_VALUE"""),"mobile")</f>
        <v>mobile</v>
      </c>
      <c r="AO615" s="3"/>
      <c r="AP615" s="3"/>
      <c r="AQ615" s="3"/>
      <c r="AR615" s="3"/>
      <c r="AS615" s="3"/>
      <c r="AT615" s="3"/>
      <c r="AU615" s="3" t="str">
        <f ca="1">IFERROR(__xludf.DUMMYFUNCTION("""COMPUTED_VALUE"""),"cílený mobilní slide-up")</f>
        <v>cílený mobilní slide-up</v>
      </c>
    </row>
    <row r="616" spans="1:47" x14ac:dyDescent="0.3">
      <c r="A616" s="3">
        <f ca="1"/>
        <v>2346826</v>
      </c>
      <c r="B616" s="3" t="str">
        <f ca="1"/>
        <v>CZECH NEWS CENTER a. s.</v>
      </c>
      <c r="C616" s="3" t="str">
        <f ca="1">IFERROR(__xludf.DUMMYFUNCTION("""COMPUTED_VALUE"""),"Frekvence1")</f>
        <v>Frekvence1</v>
      </c>
      <c r="D616" s="4" t="str">
        <f ca="1">IFERROR(__xludf.DUMMYFUNCTION("""COMPUTED_VALUE"""),"https://frekvence1.cz")</f>
        <v>https://frekvence1.cz</v>
      </c>
      <c r="E616" s="3" t="str">
        <f ca="1">IFERROR(__xludf.DUMMYFUNCTION("""COMPUTED_VALUE"""),"celý web")</f>
        <v>celý web</v>
      </c>
      <c r="F616" s="4" t="str">
        <f ca="1">IFERROR(__xludf.DUMMYFUNCTION("""COMPUTED_VALUE"""),"https://frekvence1.cz")</f>
        <v>https://frekvence1.cz</v>
      </c>
      <c r="G616" s="3" t="str">
        <f ca="1">IFERROR(__xludf.DUMMYFUNCTION("""COMPUTED_VALUE"""),"cílený mobilní viněta low season")</f>
        <v>cílený mobilní viněta low season</v>
      </c>
      <c r="H616" s="3">
        <f ca="1">IFERROR(__xludf.DUMMYFUNCTION("""COMPUTED_VALUE"""),7)</f>
        <v>7</v>
      </c>
      <c r="I616" s="5">
        <f ca="1">IFERROR(__xludf.DUMMYFUNCTION("""COMPUTED_VALUE"""),1000)</f>
        <v>1000</v>
      </c>
      <c r="J616" s="5">
        <f ca="1">IFERROR(__xludf.DUMMYFUNCTION("""COMPUTED_VALUE"""),1056)</f>
        <v>1056</v>
      </c>
      <c r="K616" s="3"/>
      <c r="L616" s="3" t="str">
        <f ca="1">IFERROR(__xludf.DUMMYFUNCTION("""COMPUTED_VALUE"""),"Cost per period")</f>
        <v>Cost per period</v>
      </c>
      <c r="M616" s="3"/>
      <c r="N616" s="3"/>
      <c r="O616" s="3" t="str">
        <f ca="1">IFERROR(__xludf.DUMMYFUNCTION("""COMPUTED_VALUE"""),"600")</f>
        <v>600</v>
      </c>
      <c r="P616" s="3" t="str">
        <f ca="1">IFERROR(__xludf.DUMMYFUNCTION("""COMPUTED_VALUE"""),"800")</f>
        <v>800</v>
      </c>
      <c r="Q616" s="3" t="str">
        <f ca="1">IFERROR(__xludf.DUMMYFUNCTION("""COMPUTED_VALUE"""),"300x250 nebo 600x800")</f>
        <v>300x250 nebo 600x800</v>
      </c>
      <c r="R616" s="3"/>
      <c r="S616" s="3" t="str">
        <f ca="1">IFERROR(__xludf.DUMMYFUNCTION("""COMPUTED_VALUE"""),"100")</f>
        <v>100</v>
      </c>
      <c r="T616" s="3"/>
      <c r="U616" s="3" t="str">
        <f ca="1">IFERROR(__xludf.DUMMYFUNCTION("""COMPUTED_VALUE"""),"banner standard")</f>
        <v>banner standard</v>
      </c>
      <c r="V616" s="3"/>
      <c r="W616" s="4" t="str">
        <f ca="1">IFERROR(__xludf.DUMMYFUNCTION("""COMPUTED_VALUE"""),"https://reklama.cncenter.cz/Online/mobilni-vineta")</f>
        <v>https://reklama.cncenter.cz/Online/mobilni-vineta</v>
      </c>
      <c r="X616" s="3"/>
      <c r="Y616" s="3"/>
      <c r="Z616" s="3" t="str">
        <f ca="1">IFERROR(__xludf.DUMMYFUNCTION("""COMPUTED_VALUE"""),"podklady@cncenter.cz")</f>
        <v>podklady@cncenter.cz</v>
      </c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 t="str">
        <f ca="1">IFERROR(__xludf.DUMMYFUNCTION("""COMPUTED_VALUE"""),"mobile")</f>
        <v>mobile</v>
      </c>
      <c r="AO616" s="3"/>
      <c r="AP616" s="3"/>
      <c r="AQ616" s="3"/>
      <c r="AR616" s="3"/>
      <c r="AS616" s="3"/>
      <c r="AT616" s="3"/>
      <c r="AU616" s="3" t="str">
        <f ca="1">IFERROR(__xludf.DUMMYFUNCTION("""COMPUTED_VALUE"""),"cílený mobilní viněta")</f>
        <v>cílený mobilní viněta</v>
      </c>
    </row>
    <row r="617" spans="1:47" x14ac:dyDescent="0.3">
      <c r="A617" s="3">
        <f ca="1"/>
        <v>2346826</v>
      </c>
      <c r="B617" s="3" t="str">
        <f ca="1"/>
        <v>CZECH NEWS CENTER a. s.</v>
      </c>
      <c r="C617" s="3" t="str">
        <f ca="1">IFERROR(__xludf.DUMMYFUNCTION("""COMPUTED_VALUE"""),"Frekvence1")</f>
        <v>Frekvence1</v>
      </c>
      <c r="D617" s="4" t="str">
        <f ca="1">IFERROR(__xludf.DUMMYFUNCTION("""COMPUTED_VALUE"""),"https://frekvence1.cz")</f>
        <v>https://frekvence1.cz</v>
      </c>
      <c r="E617" s="3" t="str">
        <f ca="1">IFERROR(__xludf.DUMMYFUNCTION("""COMPUTED_VALUE"""),"celý web")</f>
        <v>celý web</v>
      </c>
      <c r="F617" s="4" t="str">
        <f ca="1">IFERROR(__xludf.DUMMYFUNCTION("""COMPUTED_VALUE"""),"https://frekvence1.cz")</f>
        <v>https://frekvence1.cz</v>
      </c>
      <c r="G617" s="3" t="str">
        <f ca="1">IFERROR(__xludf.DUMMYFUNCTION("""COMPUTED_VALUE"""),"cílený nativní rectangle cross-device low season")</f>
        <v>cílený nativní rectangle cross-device low season</v>
      </c>
      <c r="H617" s="3">
        <f ca="1">IFERROR(__xludf.DUMMYFUNCTION("""COMPUTED_VALUE"""),7)</f>
        <v>7</v>
      </c>
      <c r="I617" s="5">
        <f ca="1">IFERROR(__xludf.DUMMYFUNCTION("""COMPUTED_VALUE"""),1000)</f>
        <v>1000</v>
      </c>
      <c r="J617" s="5">
        <f ca="1">IFERROR(__xludf.DUMMYFUNCTION("""COMPUTED_VALUE"""),240)</f>
        <v>240</v>
      </c>
      <c r="K617" s="3"/>
      <c r="L617" s="3" t="str">
        <f ca="1">IFERROR(__xludf.DUMMYFUNCTION("""COMPUTED_VALUE"""),"Cost per period")</f>
        <v>Cost per period</v>
      </c>
      <c r="M617" s="3"/>
      <c r="N617" s="3"/>
      <c r="O617" s="3" t="str">
        <f ca="1">IFERROR(__xludf.DUMMYFUNCTION("""COMPUTED_VALUE"""),"640")</f>
        <v>640</v>
      </c>
      <c r="P617" s="3" t="str">
        <f ca="1">IFERROR(__xludf.DUMMYFUNCTION("""COMPUTED_VALUE"""),"335, 640")</f>
        <v>335, 640</v>
      </c>
      <c r="Q617" s="3" t="str">
        <f ca="1">IFERROR(__xludf.DUMMYFUNCTION("""COMPUTED_VALUE"""),"640x640 a 640x335 + text + logo")</f>
        <v>640x640 a 640x335 + text + logo</v>
      </c>
      <c r="R617" s="3"/>
      <c r="S617" s="3" t="str">
        <f ca="1">IFERROR(__xludf.DUMMYFUNCTION("""COMPUTED_VALUE"""),"45")</f>
        <v>45</v>
      </c>
      <c r="T617" s="3"/>
      <c r="U617" s="3" t="str">
        <f ca="1">IFERROR(__xludf.DUMMYFUNCTION("""COMPUTED_VALUE"""),"nativní reklama")</f>
        <v>nativní reklama</v>
      </c>
      <c r="V617" s="3"/>
      <c r="W617" s="4" t="str">
        <f ca="1">IFERROR(__xludf.DUMMYFUNCTION("""COMPUTED_VALUE"""),"https://reklama.cncenter.cz/Online/nativni-rectangle-cross-device")</f>
        <v>https://reklama.cncenter.cz/Online/nativni-rectangle-cross-device</v>
      </c>
      <c r="X617" s="3"/>
      <c r="Y617" s="3"/>
      <c r="Z617" s="3" t="str">
        <f ca="1">IFERROR(__xludf.DUMMYFUNCTION("""COMPUTED_VALUE"""),"podklady@cncenter.cz")</f>
        <v>podklady@cncenter.cz</v>
      </c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 t="str">
        <f ca="1">IFERROR(__xludf.DUMMYFUNCTION("""COMPUTED_VALUE"""),"cross-device")</f>
        <v>cross-device</v>
      </c>
      <c r="AO617" s="3"/>
      <c r="AP617" s="3"/>
      <c r="AQ617" s="3"/>
      <c r="AR617" s="3"/>
      <c r="AS617" s="3"/>
      <c r="AT617" s="3"/>
      <c r="AU617" s="3" t="str">
        <f ca="1">IFERROR(__xludf.DUMMYFUNCTION("""COMPUTED_VALUE"""),"cílený nativní rectangle cross-device")</f>
        <v>cílený nativní rectangle cross-device</v>
      </c>
    </row>
    <row r="618" spans="1:47" x14ac:dyDescent="0.3">
      <c r="A618" s="3">
        <f ca="1"/>
        <v>2346826</v>
      </c>
      <c r="B618" s="3" t="str">
        <f ca="1"/>
        <v>CZECH NEWS CENTER a. s.</v>
      </c>
      <c r="C618" s="3" t="str">
        <f ca="1">IFERROR(__xludf.DUMMYFUNCTION("""COMPUTED_VALUE"""),"Frekvence1")</f>
        <v>Frekvence1</v>
      </c>
      <c r="D618" s="4" t="str">
        <f ca="1">IFERROR(__xludf.DUMMYFUNCTION("""COMPUTED_VALUE"""),"https://frekvence1.cz")</f>
        <v>https://frekvence1.cz</v>
      </c>
      <c r="E618" s="3" t="str">
        <f ca="1">IFERROR(__xludf.DUMMYFUNCTION("""COMPUTED_VALUE"""),"celý web")</f>
        <v>celý web</v>
      </c>
      <c r="F618" s="4" t="str">
        <f ca="1">IFERROR(__xludf.DUMMYFUNCTION("""COMPUTED_VALUE"""),"https://frekvence1.cz")</f>
        <v>https://frekvence1.cz</v>
      </c>
      <c r="G618" s="3" t="str">
        <f ca="1">IFERROR(__xludf.DUMMYFUNCTION("""COMPUTED_VALUE"""),"cílený videospot - max. 30 sec. / bumper low season")</f>
        <v>cílený videospot - max. 30 sec. / bumper low season</v>
      </c>
      <c r="H618" s="3">
        <f ca="1">IFERROR(__xludf.DUMMYFUNCTION("""COMPUTED_VALUE"""),7)</f>
        <v>7</v>
      </c>
      <c r="I618" s="5">
        <f ca="1">IFERROR(__xludf.DUMMYFUNCTION("""COMPUTED_VALUE"""),1000)</f>
        <v>1000</v>
      </c>
      <c r="J618" s="5">
        <f ca="1">IFERROR(__xludf.DUMMYFUNCTION("""COMPUTED_VALUE"""),888)</f>
        <v>888</v>
      </c>
      <c r="K618" s="3"/>
      <c r="L618" s="3" t="str">
        <f ca="1">IFERROR(__xludf.DUMMYFUNCTION("""COMPUTED_VALUE"""),"Cost per period")</f>
        <v>Cost per period</v>
      </c>
      <c r="M618" s="3"/>
      <c r="N618" s="3"/>
      <c r="O618" s="3" t="str">
        <f ca="1">IFERROR(__xludf.DUMMYFUNCTION("""COMPUTED_VALUE"""),"1280")</f>
        <v>1280</v>
      </c>
      <c r="P618" s="3" t="str">
        <f ca="1">IFERROR(__xludf.DUMMYFUNCTION("""COMPUTED_VALUE"""),"720")</f>
        <v>720</v>
      </c>
      <c r="Q618" s="3" t="str">
        <f ca="1">IFERROR(__xludf.DUMMYFUNCTION("""COMPUTED_VALUE"""),"16:9 / umístění po domluvě dle možností")</f>
        <v>16:9 / umístění po domluvě dle možností</v>
      </c>
      <c r="R618" s="3" t="str">
        <f ca="1">IFERROR(__xludf.DUMMYFUNCTION("""COMPUTED_VALUE"""),"přeskočení po 7 sekundách")</f>
        <v>přeskočení po 7 sekundách</v>
      </c>
      <c r="S618" s="3" t="str">
        <f ca="1">IFERROR(__xludf.DUMMYFUNCTION("""COMPUTED_VALUE"""),"100")</f>
        <v>100</v>
      </c>
      <c r="T618" s="3"/>
      <c r="U618" s="3" t="str">
        <f ca="1">IFERROR(__xludf.DUMMYFUNCTION("""COMPUTED_VALUE"""),"videospot")</f>
        <v>videospot</v>
      </c>
      <c r="V618" s="3"/>
      <c r="W618" s="4" t="str">
        <f ca="1">IFERROR(__xludf.DUMMYFUNCTION("""COMPUTED_VALUE"""),"https://reklama.cncenter.cz/Online/Bumper")</f>
        <v>https://reklama.cncenter.cz/Online/Bumper</v>
      </c>
      <c r="X618" s="3"/>
      <c r="Y618" s="3"/>
      <c r="Z618" s="3" t="str">
        <f ca="1">IFERROR(__xludf.DUMMYFUNCTION("""COMPUTED_VALUE"""),"podklady@cncenter.cz")</f>
        <v>podklady@cncenter.cz</v>
      </c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 t="str">
        <f ca="1">IFERROR(__xludf.DUMMYFUNCTION("""COMPUTED_VALUE"""),"cross-device")</f>
        <v>cross-device</v>
      </c>
      <c r="AO618" s="3"/>
      <c r="AP618" s="3"/>
      <c r="AQ618" s="3"/>
      <c r="AR618" s="3"/>
      <c r="AS618" s="3"/>
      <c r="AT618" s="3"/>
      <c r="AU618" s="3" t="str">
        <f ca="1">IFERROR(__xludf.DUMMYFUNCTION("""COMPUTED_VALUE"""),"cílený videospot - max. 30 sec. / bumper")</f>
        <v>cílený videospot - max. 30 sec. / bumper</v>
      </c>
    </row>
    <row r="619" spans="1:47" x14ac:dyDescent="0.3">
      <c r="A619" s="3">
        <f ca="1"/>
        <v>2346826</v>
      </c>
      <c r="B619" s="3" t="str">
        <f ca="1"/>
        <v>CZECH NEWS CENTER a. s.</v>
      </c>
      <c r="C619" s="3" t="str">
        <f ca="1">IFERROR(__xludf.DUMMYFUNCTION("""COMPUTED_VALUE"""),"Frekvence1")</f>
        <v>Frekvence1</v>
      </c>
      <c r="D619" s="4" t="str">
        <f ca="1">IFERROR(__xludf.DUMMYFUNCTION("""COMPUTED_VALUE"""),"https://frekvence1.cz")</f>
        <v>https://frekvence1.cz</v>
      </c>
      <c r="E619" s="3" t="str">
        <f ca="1">IFERROR(__xludf.DUMMYFUNCTION("""COMPUTED_VALUE"""),"celý web")</f>
        <v>celý web</v>
      </c>
      <c r="F619" s="4" t="str">
        <f ca="1">IFERROR(__xludf.DUMMYFUNCTION("""COMPUTED_VALUE"""),"https://frekvence1.cz")</f>
        <v>https://frekvence1.cz</v>
      </c>
      <c r="G619" s="3" t="str">
        <f ca="1">IFERROR(__xludf.DUMMYFUNCTION("""COMPUTED_VALUE"""),"double skyscraper low season")</f>
        <v>double skyscraper low season</v>
      </c>
      <c r="H619" s="3">
        <f ca="1">IFERROR(__xludf.DUMMYFUNCTION("""COMPUTED_VALUE"""),7)</f>
        <v>7</v>
      </c>
      <c r="I619" s="5">
        <f ca="1">IFERROR(__xludf.DUMMYFUNCTION("""COMPUTED_VALUE"""),1000)</f>
        <v>1000</v>
      </c>
      <c r="J619" s="5">
        <f ca="1">IFERROR(__xludf.DUMMYFUNCTION("""COMPUTED_VALUE"""),190)</f>
        <v>190</v>
      </c>
      <c r="K619" s="3"/>
      <c r="L619" s="3" t="str">
        <f ca="1">IFERROR(__xludf.DUMMYFUNCTION("""COMPUTED_VALUE"""),"Cost per period")</f>
        <v>Cost per period</v>
      </c>
      <c r="M619" s="3"/>
      <c r="N619" s="3"/>
      <c r="O619" s="3" t="str">
        <f ca="1">IFERROR(__xludf.DUMMYFUNCTION("""COMPUTED_VALUE"""),"300")</f>
        <v>300</v>
      </c>
      <c r="P619" s="3" t="str">
        <f ca="1">IFERROR(__xludf.DUMMYFUNCTION("""COMPUTED_VALUE"""),"600")</f>
        <v>600</v>
      </c>
      <c r="Q619" s="3" t="str">
        <f ca="1">IFERROR(__xludf.DUMMYFUNCTION("""COMPUTED_VALUE"""),"300x600")</f>
        <v>300x600</v>
      </c>
      <c r="R619" s="3"/>
      <c r="S619" s="3" t="str">
        <f ca="1">IFERROR(__xludf.DUMMYFUNCTION("""COMPUTED_VALUE"""),"100 (200 - HTML5)")</f>
        <v>100 (200 - HTML5)</v>
      </c>
      <c r="T619" s="3"/>
      <c r="U619" s="3" t="str">
        <f ca="1">IFERROR(__xludf.DUMMYFUNCTION("""COMPUTED_VALUE"""),"banner standard")</f>
        <v>banner standard</v>
      </c>
      <c r="V619" s="3"/>
      <c r="W619" s="4" t="str">
        <f ca="1">IFERROR(__xludf.DUMMYFUNCTION("""COMPUTED_VALUE"""),"https://reklama.cncenter.cz/Online/double-skyscraper")</f>
        <v>https://reklama.cncenter.cz/Online/double-skyscraper</v>
      </c>
      <c r="X619" s="3"/>
      <c r="Y619" s="3"/>
      <c r="Z619" s="3" t="str">
        <f ca="1">IFERROR(__xludf.DUMMYFUNCTION("""COMPUTED_VALUE"""),"podklady@cncenter.cz")</f>
        <v>podklady@cncenter.cz</v>
      </c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 t="str">
        <f ca="1">IFERROR(__xludf.DUMMYFUNCTION("""COMPUTED_VALUE"""),"desktop")</f>
        <v>desktop</v>
      </c>
      <c r="AO619" s="3"/>
      <c r="AP619" s="3"/>
      <c r="AQ619" s="3"/>
      <c r="AR619" s="3"/>
      <c r="AS619" s="3"/>
      <c r="AT619" s="3"/>
      <c r="AU619" s="3" t="str">
        <f ca="1">IFERROR(__xludf.DUMMYFUNCTION("""COMPUTED_VALUE"""),"double skyscraper")</f>
        <v>double skyscraper</v>
      </c>
    </row>
    <row r="620" spans="1:47" x14ac:dyDescent="0.3">
      <c r="A620" s="3">
        <f ca="1"/>
        <v>2346826</v>
      </c>
      <c r="B620" s="3" t="str">
        <f ca="1"/>
        <v>CZECH NEWS CENTER a. s.</v>
      </c>
      <c r="C620" s="3" t="str">
        <f ca="1">IFERROR(__xludf.DUMMYFUNCTION("""COMPUTED_VALUE"""),"Frekvence1")</f>
        <v>Frekvence1</v>
      </c>
      <c r="D620" s="4" t="str">
        <f ca="1">IFERROR(__xludf.DUMMYFUNCTION("""COMPUTED_VALUE"""),"https://frekvence1.cz")</f>
        <v>https://frekvence1.cz</v>
      </c>
      <c r="E620" s="3" t="str">
        <f ca="1">IFERROR(__xludf.DUMMYFUNCTION("""COMPUTED_VALUE"""),"celý web")</f>
        <v>celý web</v>
      </c>
      <c r="F620" s="4" t="str">
        <f ca="1">IFERROR(__xludf.DUMMYFUNCTION("""COMPUTED_VALUE"""),"https://frekvence1.cz")</f>
        <v>https://frekvence1.cz</v>
      </c>
      <c r="G620" s="3" t="str">
        <f ca="1">IFERROR(__xludf.DUMMYFUNCTION("""COMPUTED_VALUE"""),"mobilní interscroller low season")</f>
        <v>mobilní interscroller low season</v>
      </c>
      <c r="H620" s="3">
        <f ca="1">IFERROR(__xludf.DUMMYFUNCTION("""COMPUTED_VALUE"""),7)</f>
        <v>7</v>
      </c>
      <c r="I620" s="5">
        <f ca="1">IFERROR(__xludf.DUMMYFUNCTION("""COMPUTED_VALUE"""),1000)</f>
        <v>1000</v>
      </c>
      <c r="J620" s="5">
        <f ca="1">IFERROR(__xludf.DUMMYFUNCTION("""COMPUTED_VALUE"""),250)</f>
        <v>250</v>
      </c>
      <c r="K620" s="3"/>
      <c r="L620" s="3" t="str">
        <f ca="1">IFERROR(__xludf.DUMMYFUNCTION("""COMPUTED_VALUE"""),"Cost per period")</f>
        <v>Cost per period</v>
      </c>
      <c r="M620" s="3"/>
      <c r="N620" s="3"/>
      <c r="O620" s="3" t="str">
        <f ca="1">IFERROR(__xludf.DUMMYFUNCTION("""COMPUTED_VALUE"""),"600")</f>
        <v>600</v>
      </c>
      <c r="P620" s="3" t="str">
        <f ca="1">IFERROR(__xludf.DUMMYFUNCTION("""COMPUTED_VALUE"""),"1080")</f>
        <v>1080</v>
      </c>
      <c r="Q620" s="3" t="str">
        <f ca="1">IFERROR(__xludf.DUMMYFUNCTION("""COMPUTED_VALUE"""),"600x1080")</f>
        <v>600x1080</v>
      </c>
      <c r="R620" s="3"/>
      <c r="S620" s="3" t="str">
        <f ca="1">IFERROR(__xludf.DUMMYFUNCTION("""COMPUTED_VALUE"""),"200")</f>
        <v>200</v>
      </c>
      <c r="T620" s="3"/>
      <c r="U620" s="3" t="str">
        <f ca="1">IFERROR(__xludf.DUMMYFUNCTION("""COMPUTED_VALUE"""),"banner standard")</f>
        <v>banner standard</v>
      </c>
      <c r="V620" s="3"/>
      <c r="W620" s="4" t="str">
        <f ca="1">IFERROR(__xludf.DUMMYFUNCTION("""COMPUTED_VALUE"""),"https://reklama.cncenter.cz/Online/mobilni-interscroller")</f>
        <v>https://reklama.cncenter.cz/Online/mobilni-interscroller</v>
      </c>
      <c r="X620" s="3"/>
      <c r="Y620" s="3"/>
      <c r="Z620" s="3" t="str">
        <f ca="1">IFERROR(__xludf.DUMMYFUNCTION("""COMPUTED_VALUE"""),"podklady@cncenter.cz")</f>
        <v>podklady@cncenter.cz</v>
      </c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 t="str">
        <f ca="1">IFERROR(__xludf.DUMMYFUNCTION("""COMPUTED_VALUE"""),"mobile")</f>
        <v>mobile</v>
      </c>
      <c r="AO620" s="3"/>
      <c r="AP620" s="3"/>
      <c r="AQ620" s="3"/>
      <c r="AR620" s="3"/>
      <c r="AS620" s="3"/>
      <c r="AT620" s="3"/>
      <c r="AU620" s="3" t="str">
        <f ca="1">IFERROR(__xludf.DUMMYFUNCTION("""COMPUTED_VALUE"""),"mobilní interscroller")</f>
        <v>mobilní interscroller</v>
      </c>
    </row>
    <row r="621" spans="1:47" x14ac:dyDescent="0.3">
      <c r="A621" s="3">
        <f ca="1"/>
        <v>2346826</v>
      </c>
      <c r="B621" s="3" t="str">
        <f ca="1"/>
        <v>CZECH NEWS CENTER a. s.</v>
      </c>
      <c r="C621" s="3" t="str">
        <f ca="1">IFERROR(__xludf.DUMMYFUNCTION("""COMPUTED_VALUE"""),"Frekvence1")</f>
        <v>Frekvence1</v>
      </c>
      <c r="D621" s="4" t="str">
        <f ca="1">IFERROR(__xludf.DUMMYFUNCTION("""COMPUTED_VALUE"""),"https://frekvence1.cz")</f>
        <v>https://frekvence1.cz</v>
      </c>
      <c r="E621" s="3" t="str">
        <f ca="1">IFERROR(__xludf.DUMMYFUNCTION("""COMPUTED_VALUE"""),"celý web")</f>
        <v>celý web</v>
      </c>
      <c r="F621" s="4" t="str">
        <f ca="1">IFERROR(__xludf.DUMMYFUNCTION("""COMPUTED_VALUE"""),"https://frekvence1.cz")</f>
        <v>https://frekvence1.cz</v>
      </c>
      <c r="G621" s="3" t="str">
        <f ca="1">IFERROR(__xludf.DUMMYFUNCTION("""COMPUTED_VALUE"""),"mobilní slide-up low season")</f>
        <v>mobilní slide-up low season</v>
      </c>
      <c r="H621" s="3">
        <f ca="1">IFERROR(__xludf.DUMMYFUNCTION("""COMPUTED_VALUE"""),7)</f>
        <v>7</v>
      </c>
      <c r="I621" s="5">
        <f ca="1">IFERROR(__xludf.DUMMYFUNCTION("""COMPUTED_VALUE"""),1000)</f>
        <v>1000</v>
      </c>
      <c r="J621" s="5">
        <f ca="1">IFERROR(__xludf.DUMMYFUNCTION("""COMPUTED_VALUE"""),510)</f>
        <v>510</v>
      </c>
      <c r="K621" s="3"/>
      <c r="L621" s="3" t="str">
        <f ca="1">IFERROR(__xludf.DUMMYFUNCTION("""COMPUTED_VALUE"""),"Cost per period")</f>
        <v>Cost per period</v>
      </c>
      <c r="M621" s="3"/>
      <c r="N621" s="3"/>
      <c r="O621" s="3" t="str">
        <f ca="1">IFERROR(__xludf.DUMMYFUNCTION("""COMPUTED_VALUE"""),"300")</f>
        <v>300</v>
      </c>
      <c r="P621" s="3" t="str">
        <f ca="1">IFERROR(__xludf.DUMMYFUNCTION("""COMPUTED_VALUE"""),"120")</f>
        <v>120</v>
      </c>
      <c r="Q621" s="3" t="str">
        <f ca="1">IFERROR(__xludf.DUMMYFUNCTION("""COMPUTED_VALUE"""),"300x120")</f>
        <v>300x120</v>
      </c>
      <c r="R621" s="3"/>
      <c r="S621" s="3" t="str">
        <f ca="1">IFERROR(__xludf.DUMMYFUNCTION("""COMPUTED_VALUE"""),"100")</f>
        <v>100</v>
      </c>
      <c r="T621" s="3"/>
      <c r="U621" s="3" t="str">
        <f ca="1">IFERROR(__xludf.DUMMYFUNCTION("""COMPUTED_VALUE"""),"banner standard")</f>
        <v>banner standard</v>
      </c>
      <c r="V621" s="3"/>
      <c r="W621" s="4" t="str">
        <f ca="1">IFERROR(__xludf.DUMMYFUNCTION("""COMPUTED_VALUE"""),"https://reklama.cncenter.cz/Online/mobilni-slide-up")</f>
        <v>https://reklama.cncenter.cz/Online/mobilni-slide-up</v>
      </c>
      <c r="X621" s="3"/>
      <c r="Y621" s="3"/>
      <c r="Z621" s="3" t="str">
        <f ca="1">IFERROR(__xludf.DUMMYFUNCTION("""COMPUTED_VALUE"""),"podklady@cncenter.cz")</f>
        <v>podklady@cncenter.cz</v>
      </c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 t="str">
        <f ca="1">IFERROR(__xludf.DUMMYFUNCTION("""COMPUTED_VALUE"""),"mobile")</f>
        <v>mobile</v>
      </c>
      <c r="AO621" s="3"/>
      <c r="AP621" s="3"/>
      <c r="AQ621" s="3"/>
      <c r="AR621" s="3"/>
      <c r="AS621" s="3"/>
      <c r="AT621" s="3"/>
      <c r="AU621" s="3" t="str">
        <f ca="1">IFERROR(__xludf.DUMMYFUNCTION("""COMPUTED_VALUE"""),"mobilní slide-up")</f>
        <v>mobilní slide-up</v>
      </c>
    </row>
    <row r="622" spans="1:47" x14ac:dyDescent="0.3">
      <c r="A622" s="3">
        <f ca="1"/>
        <v>2346826</v>
      </c>
      <c r="B622" s="3" t="str">
        <f ca="1"/>
        <v>CZECH NEWS CENTER a. s.</v>
      </c>
      <c r="C622" s="3" t="str">
        <f ca="1">IFERROR(__xludf.DUMMYFUNCTION("""COMPUTED_VALUE"""),"Frekvence1")</f>
        <v>Frekvence1</v>
      </c>
      <c r="D622" s="4" t="str">
        <f ca="1">IFERROR(__xludf.DUMMYFUNCTION("""COMPUTED_VALUE"""),"https://frekvence1.cz")</f>
        <v>https://frekvence1.cz</v>
      </c>
      <c r="E622" s="3" t="str">
        <f ca="1">IFERROR(__xludf.DUMMYFUNCTION("""COMPUTED_VALUE"""),"celý web")</f>
        <v>celý web</v>
      </c>
      <c r="F622" s="4" t="str">
        <f ca="1">IFERROR(__xludf.DUMMYFUNCTION("""COMPUTED_VALUE"""),"https://frekvence1.cz")</f>
        <v>https://frekvence1.cz</v>
      </c>
      <c r="G622" s="3" t="str">
        <f ca="1">IFERROR(__xludf.DUMMYFUNCTION("""COMPUTED_VALUE"""),"mobilní viněta low season")</f>
        <v>mobilní viněta low season</v>
      </c>
      <c r="H622" s="3">
        <f ca="1">IFERROR(__xludf.DUMMYFUNCTION("""COMPUTED_VALUE"""),7)</f>
        <v>7</v>
      </c>
      <c r="I622" s="5">
        <f ca="1">IFERROR(__xludf.DUMMYFUNCTION("""COMPUTED_VALUE"""),1000)</f>
        <v>1000</v>
      </c>
      <c r="J622" s="5">
        <f ca="1">IFERROR(__xludf.DUMMYFUNCTION("""COMPUTED_VALUE"""),880)</f>
        <v>880</v>
      </c>
      <c r="K622" s="3"/>
      <c r="L622" s="3" t="str">
        <f ca="1">IFERROR(__xludf.DUMMYFUNCTION("""COMPUTED_VALUE"""),"Cost per period")</f>
        <v>Cost per period</v>
      </c>
      <c r="M622" s="3"/>
      <c r="N622" s="3"/>
      <c r="O622" s="3" t="str">
        <f ca="1">IFERROR(__xludf.DUMMYFUNCTION("""COMPUTED_VALUE"""),"600")</f>
        <v>600</v>
      </c>
      <c r="P622" s="3" t="str">
        <f ca="1">IFERROR(__xludf.DUMMYFUNCTION("""COMPUTED_VALUE"""),"800")</f>
        <v>800</v>
      </c>
      <c r="Q622" s="3" t="str">
        <f ca="1">IFERROR(__xludf.DUMMYFUNCTION("""COMPUTED_VALUE"""),"300x250 nebo 600x800")</f>
        <v>300x250 nebo 600x800</v>
      </c>
      <c r="R622" s="3"/>
      <c r="S622" s="3" t="str">
        <f ca="1">IFERROR(__xludf.DUMMYFUNCTION("""COMPUTED_VALUE"""),"100")</f>
        <v>100</v>
      </c>
      <c r="T622" s="3"/>
      <c r="U622" s="3" t="str">
        <f ca="1">IFERROR(__xludf.DUMMYFUNCTION("""COMPUTED_VALUE"""),"banner standard")</f>
        <v>banner standard</v>
      </c>
      <c r="V622" s="3"/>
      <c r="W622" s="4" t="str">
        <f ca="1">IFERROR(__xludf.DUMMYFUNCTION("""COMPUTED_VALUE"""),"https://reklama.cncenter.cz/Online/mobilni-vineta")</f>
        <v>https://reklama.cncenter.cz/Online/mobilni-vineta</v>
      </c>
      <c r="X622" s="3"/>
      <c r="Y622" s="3"/>
      <c r="Z622" s="3" t="str">
        <f ca="1">IFERROR(__xludf.DUMMYFUNCTION("""COMPUTED_VALUE"""),"podklady@cncenter.cz")</f>
        <v>podklady@cncenter.cz</v>
      </c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 t="str">
        <f ca="1">IFERROR(__xludf.DUMMYFUNCTION("""COMPUTED_VALUE"""),"mobile")</f>
        <v>mobile</v>
      </c>
      <c r="AO622" s="3"/>
      <c r="AP622" s="3"/>
      <c r="AQ622" s="3"/>
      <c r="AR622" s="3"/>
      <c r="AS622" s="3"/>
      <c r="AT622" s="3"/>
      <c r="AU622" s="3" t="str">
        <f ca="1">IFERROR(__xludf.DUMMYFUNCTION("""COMPUTED_VALUE"""),"mobilní viněta")</f>
        <v>mobilní viněta</v>
      </c>
    </row>
    <row r="623" spans="1:47" x14ac:dyDescent="0.3">
      <c r="A623" s="3">
        <f ca="1"/>
        <v>2346826</v>
      </c>
      <c r="B623" s="3" t="str">
        <f ca="1"/>
        <v>CZECH NEWS CENTER a. s.</v>
      </c>
      <c r="C623" s="3" t="str">
        <f ca="1">IFERROR(__xludf.DUMMYFUNCTION("""COMPUTED_VALUE"""),"Frekvence1")</f>
        <v>Frekvence1</v>
      </c>
      <c r="D623" s="4" t="str">
        <f ca="1">IFERROR(__xludf.DUMMYFUNCTION("""COMPUTED_VALUE"""),"https://frekvence1.cz")</f>
        <v>https://frekvence1.cz</v>
      </c>
      <c r="E623" s="3" t="str">
        <f ca="1">IFERROR(__xludf.DUMMYFUNCTION("""COMPUTED_VALUE"""),"celý web")</f>
        <v>celý web</v>
      </c>
      <c r="F623" s="4" t="str">
        <f ca="1">IFERROR(__xludf.DUMMYFUNCTION("""COMPUTED_VALUE"""),"https://frekvence1.cz")</f>
        <v>https://frekvence1.cz</v>
      </c>
      <c r="G623" s="3" t="str">
        <f ca="1">IFERROR(__xludf.DUMMYFUNCTION("""COMPUTED_VALUE"""),"nativní rectangle cross-device low season")</f>
        <v>nativní rectangle cross-device low season</v>
      </c>
      <c r="H623" s="3">
        <f ca="1">IFERROR(__xludf.DUMMYFUNCTION("""COMPUTED_VALUE"""),7)</f>
        <v>7</v>
      </c>
      <c r="I623" s="5">
        <f ca="1">IFERROR(__xludf.DUMMYFUNCTION("""COMPUTED_VALUE"""),1000)</f>
        <v>1000</v>
      </c>
      <c r="J623" s="5">
        <f ca="1">IFERROR(__xludf.DUMMYFUNCTION("""COMPUTED_VALUE"""),200)</f>
        <v>200</v>
      </c>
      <c r="K623" s="3"/>
      <c r="L623" s="3" t="str">
        <f ca="1">IFERROR(__xludf.DUMMYFUNCTION("""COMPUTED_VALUE"""),"Cost per period")</f>
        <v>Cost per period</v>
      </c>
      <c r="M623" s="3"/>
      <c r="N623" s="3"/>
      <c r="O623" s="3" t="str">
        <f ca="1">IFERROR(__xludf.DUMMYFUNCTION("""COMPUTED_VALUE"""),"640")</f>
        <v>640</v>
      </c>
      <c r="P623" s="3" t="str">
        <f ca="1">IFERROR(__xludf.DUMMYFUNCTION("""COMPUTED_VALUE"""),"335, 640")</f>
        <v>335, 640</v>
      </c>
      <c r="Q623" s="3" t="str">
        <f ca="1">IFERROR(__xludf.DUMMYFUNCTION("""COMPUTED_VALUE"""),"640x640 a 640x335 + text + logo")</f>
        <v>640x640 a 640x335 + text + logo</v>
      </c>
      <c r="R623" s="3"/>
      <c r="S623" s="3" t="str">
        <f ca="1">IFERROR(__xludf.DUMMYFUNCTION("""COMPUTED_VALUE"""),"45")</f>
        <v>45</v>
      </c>
      <c r="T623" s="3"/>
      <c r="U623" s="3" t="str">
        <f ca="1">IFERROR(__xludf.DUMMYFUNCTION("""COMPUTED_VALUE"""),"nativní reklama")</f>
        <v>nativní reklama</v>
      </c>
      <c r="V623" s="3"/>
      <c r="W623" s="4" t="str">
        <f ca="1">IFERROR(__xludf.DUMMYFUNCTION("""COMPUTED_VALUE"""),"https://reklama.cncenter.cz/Online/nativni-rectangle-cross-device")</f>
        <v>https://reklama.cncenter.cz/Online/nativni-rectangle-cross-device</v>
      </c>
      <c r="X623" s="3"/>
      <c r="Y623" s="3"/>
      <c r="Z623" s="3" t="str">
        <f ca="1">IFERROR(__xludf.DUMMYFUNCTION("""COMPUTED_VALUE"""),"podklady@cncenter.cz")</f>
        <v>podklady@cncenter.cz</v>
      </c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 t="str">
        <f ca="1">IFERROR(__xludf.DUMMYFUNCTION("""COMPUTED_VALUE"""),"cross-device")</f>
        <v>cross-device</v>
      </c>
      <c r="AO623" s="3"/>
      <c r="AP623" s="3"/>
      <c r="AQ623" s="3"/>
      <c r="AR623" s="3"/>
      <c r="AS623" s="3"/>
      <c r="AT623" s="3"/>
      <c r="AU623" s="3" t="str">
        <f ca="1">IFERROR(__xludf.DUMMYFUNCTION("""COMPUTED_VALUE"""),"nativní rectangle cross-device")</f>
        <v>nativní rectangle cross-device</v>
      </c>
    </row>
    <row r="624" spans="1:47" x14ac:dyDescent="0.3">
      <c r="A624" s="3">
        <f ca="1"/>
        <v>2346826</v>
      </c>
      <c r="B624" s="3" t="str">
        <f ca="1"/>
        <v>CZECH NEWS CENTER a. s.</v>
      </c>
      <c r="C624" s="3" t="str">
        <f ca="1">IFERROR(__xludf.DUMMYFUNCTION("""COMPUTED_VALUE"""),"Frekvence1")</f>
        <v>Frekvence1</v>
      </c>
      <c r="D624" s="4" t="str">
        <f ca="1">IFERROR(__xludf.DUMMYFUNCTION("""COMPUTED_VALUE"""),"https://frekvence1.cz")</f>
        <v>https://frekvence1.cz</v>
      </c>
      <c r="E624" s="3" t="str">
        <f ca="1">IFERROR(__xludf.DUMMYFUNCTION("""COMPUTED_VALUE"""),"celý web")</f>
        <v>celý web</v>
      </c>
      <c r="F624" s="4" t="str">
        <f ca="1">IFERROR(__xludf.DUMMYFUNCTION("""COMPUTED_VALUE"""),"https://frekvence1.cz")</f>
        <v>https://frekvence1.cz</v>
      </c>
      <c r="G624" s="3" t="str">
        <f ca="1">IFERROR(__xludf.DUMMYFUNCTION("""COMPUTED_VALUE"""),"videospot - max. 30 sec. / bumper low season")</f>
        <v>videospot - max. 30 sec. / bumper low season</v>
      </c>
      <c r="H624" s="3">
        <f ca="1">IFERROR(__xludf.DUMMYFUNCTION("""COMPUTED_VALUE"""),7)</f>
        <v>7</v>
      </c>
      <c r="I624" s="5">
        <f ca="1">IFERROR(__xludf.DUMMYFUNCTION("""COMPUTED_VALUE"""),1000)</f>
        <v>1000</v>
      </c>
      <c r="J624" s="5">
        <f ca="1">IFERROR(__xludf.DUMMYFUNCTION("""COMPUTED_VALUE"""),740)</f>
        <v>740</v>
      </c>
      <c r="K624" s="3"/>
      <c r="L624" s="3" t="str">
        <f ca="1">IFERROR(__xludf.DUMMYFUNCTION("""COMPUTED_VALUE"""),"Cost per period")</f>
        <v>Cost per period</v>
      </c>
      <c r="M624" s="3"/>
      <c r="N624" s="3"/>
      <c r="O624" s="3" t="str">
        <f ca="1">IFERROR(__xludf.DUMMYFUNCTION("""COMPUTED_VALUE"""),"1280")</f>
        <v>1280</v>
      </c>
      <c r="P624" s="3" t="str">
        <f ca="1">IFERROR(__xludf.DUMMYFUNCTION("""COMPUTED_VALUE"""),"720")</f>
        <v>720</v>
      </c>
      <c r="Q624" s="3" t="str">
        <f ca="1">IFERROR(__xludf.DUMMYFUNCTION("""COMPUTED_VALUE"""),"16:9 / umístění po domluvě dle možností")</f>
        <v>16:9 / umístění po domluvě dle možností</v>
      </c>
      <c r="R624" s="3" t="str">
        <f ca="1">IFERROR(__xludf.DUMMYFUNCTION("""COMPUTED_VALUE"""),"přeskočení po 7 sekundách")</f>
        <v>přeskočení po 7 sekundách</v>
      </c>
      <c r="S624" s="3" t="str">
        <f ca="1">IFERROR(__xludf.DUMMYFUNCTION("""COMPUTED_VALUE"""),"100")</f>
        <v>100</v>
      </c>
      <c r="T624" s="3"/>
      <c r="U624" s="3" t="str">
        <f ca="1">IFERROR(__xludf.DUMMYFUNCTION("""COMPUTED_VALUE"""),"videospot")</f>
        <v>videospot</v>
      </c>
      <c r="V624" s="3"/>
      <c r="W624" s="4" t="str">
        <f ca="1">IFERROR(__xludf.DUMMYFUNCTION("""COMPUTED_VALUE"""),"https://reklama.cncenter.cz/Online/Bumper")</f>
        <v>https://reklama.cncenter.cz/Online/Bumper</v>
      </c>
      <c r="X624" s="3"/>
      <c r="Y624" s="3"/>
      <c r="Z624" s="3" t="str">
        <f ca="1">IFERROR(__xludf.DUMMYFUNCTION("""COMPUTED_VALUE"""),"podklady@cncenter.cz")</f>
        <v>podklady@cncenter.cz</v>
      </c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 t="str">
        <f ca="1">IFERROR(__xludf.DUMMYFUNCTION("""COMPUTED_VALUE"""),"cross-device")</f>
        <v>cross-device</v>
      </c>
      <c r="AO624" s="3"/>
      <c r="AP624" s="3"/>
      <c r="AQ624" s="3"/>
      <c r="AR624" s="3"/>
      <c r="AS624" s="3"/>
      <c r="AT624" s="3"/>
      <c r="AU624" s="3" t="str">
        <f ca="1">IFERROR(__xludf.DUMMYFUNCTION("""COMPUTED_VALUE"""),"videospot - max. 30 sec. / bumper")</f>
        <v>videospot - max. 30 sec. / bumper</v>
      </c>
    </row>
    <row r="625" spans="1:47" x14ac:dyDescent="0.3">
      <c r="A625" s="3">
        <f ca="1"/>
        <v>2346826</v>
      </c>
      <c r="B625" s="3" t="str">
        <f ca="1"/>
        <v>CZECH NEWS CENTER a. s.</v>
      </c>
      <c r="C625" s="3" t="str">
        <f ca="1">IFERROR(__xludf.DUMMYFUNCTION("""COMPUTED_VALUE"""),"Heureka")</f>
        <v>Heureka</v>
      </c>
      <c r="D625" s="4" t="str">
        <f ca="1">IFERROR(__xludf.DUMMYFUNCTION("""COMPUTED_VALUE"""),"https://www.heureka.cz")</f>
        <v>https://www.heureka.cz</v>
      </c>
      <c r="E625" s="3" t="str">
        <f ca="1">IFERROR(__xludf.DUMMYFUNCTION("""COMPUTED_VALUE"""),"celý web")</f>
        <v>celý web</v>
      </c>
      <c r="F625" s="4" t="str">
        <f ca="1">IFERROR(__xludf.DUMMYFUNCTION("""COMPUTED_VALUE"""),"https://www.heureka.cz")</f>
        <v>https://www.heureka.cz</v>
      </c>
      <c r="G625" s="3" t="str">
        <f ca="1">IFERROR(__xludf.DUMMYFUNCTION("""COMPUTED_VALUE"""),"wallpaper high season")</f>
        <v>wallpaper high season</v>
      </c>
      <c r="H625" s="3">
        <f ca="1">IFERROR(__xludf.DUMMYFUNCTION("""COMPUTED_VALUE"""),7)</f>
        <v>7</v>
      </c>
      <c r="I625" s="5">
        <f ca="1">IFERROR(__xludf.DUMMYFUNCTION("""COMPUTED_VALUE"""),1000)</f>
        <v>1000</v>
      </c>
      <c r="J625" s="5">
        <f ca="1">IFERROR(__xludf.DUMMYFUNCTION("""COMPUTED_VALUE"""),150)</f>
        <v>150</v>
      </c>
      <c r="K625" s="3"/>
      <c r="L625" s="3" t="str">
        <f ca="1">IFERROR(__xludf.DUMMYFUNCTION("""COMPUTED_VALUE"""),"Cost per period")</f>
        <v>Cost per period</v>
      </c>
      <c r="M625" s="3"/>
      <c r="N625" s="3"/>
      <c r="O625" s="3"/>
      <c r="P625" s="3"/>
      <c r="Q625" s="3" t="str">
        <f ca="1">IFERROR(__xludf.DUMMYFUNCTION("""COMPUTED_VALUE"""),"970x310, 300x300")</f>
        <v>970x310, 300x300</v>
      </c>
      <c r="R625" s="3"/>
      <c r="S625" s="3" t="str">
        <f ca="1">IFERROR(__xludf.DUMMYFUNCTION("""COMPUTED_VALUE"""),"100")</f>
        <v>100</v>
      </c>
      <c r="T625" s="3"/>
      <c r="U625" s="3" t="str">
        <f ca="1">IFERROR(__xludf.DUMMYFUNCTION("""COMPUTED_VALUE"""),"banner standard")</f>
        <v>banner standard</v>
      </c>
      <c r="V625" s="3"/>
      <c r="W625" s="4" t="str">
        <f ca="1">IFERROR(__xludf.DUMMYFUNCTION("""COMPUTED_VALUE"""),"https://reklama.cncenter.cz/Online/heureka-wallpaper")</f>
        <v>https://reklama.cncenter.cz/Online/heureka-wallpaper</v>
      </c>
      <c r="X625" s="3"/>
      <c r="Y625" s="3"/>
      <c r="Z625" s="3" t="str">
        <f ca="1">IFERROR(__xludf.DUMMYFUNCTION("""COMPUTED_VALUE"""),"podklady@cncenter.cz")</f>
        <v>podklady@cncenter.cz</v>
      </c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 t="str">
        <f ca="1">IFERROR(__xludf.DUMMYFUNCTION("""COMPUTED_VALUE"""),"cross-device")</f>
        <v>cross-device</v>
      </c>
      <c r="AO625" s="3"/>
      <c r="AP625" s="3"/>
      <c r="AQ625" s="3"/>
      <c r="AR625" s="3"/>
      <c r="AS625" s="3"/>
      <c r="AT625" s="3"/>
      <c r="AU625" s="3" t="str">
        <f ca="1">IFERROR(__xludf.DUMMYFUNCTION("""COMPUTED_VALUE"""),"wallpaper")</f>
        <v>wallpaper</v>
      </c>
    </row>
    <row r="626" spans="1:47" x14ac:dyDescent="0.3">
      <c r="A626" s="3">
        <f ca="1"/>
        <v>2346826</v>
      </c>
      <c r="B626" s="3" t="str">
        <f ca="1"/>
        <v>CZECH NEWS CENTER a. s.</v>
      </c>
      <c r="C626" s="3" t="str">
        <f ca="1">IFERROR(__xludf.DUMMYFUNCTION("""COMPUTED_VALUE"""),"Hledej ceny")</f>
        <v>Hledej ceny</v>
      </c>
      <c r="D626" s="4" t="str">
        <f ca="1">IFERROR(__xludf.DUMMYFUNCTION("""COMPUTED_VALUE"""),"https://hledejceny.cz")</f>
        <v>https://hledejceny.cz</v>
      </c>
      <c r="E626" s="3" t="str">
        <f ca="1">IFERROR(__xludf.DUMMYFUNCTION("""COMPUTED_VALUE"""),"celý web")</f>
        <v>celý web</v>
      </c>
      <c r="F626" s="4" t="str">
        <f ca="1">IFERROR(__xludf.DUMMYFUNCTION("""COMPUTED_VALUE"""),"https://hledejceny.cz")</f>
        <v>https://hledejceny.cz</v>
      </c>
      <c r="G626" s="3" t="str">
        <f ca="1">IFERROR(__xludf.DUMMYFUNCTION("""COMPUTED_VALUE"""),"billboard bottom low season")</f>
        <v>billboard bottom low season</v>
      </c>
      <c r="H626" s="3">
        <f ca="1">IFERROR(__xludf.DUMMYFUNCTION("""COMPUTED_VALUE"""),7)</f>
        <v>7</v>
      </c>
      <c r="I626" s="5">
        <f ca="1">IFERROR(__xludf.DUMMYFUNCTION("""COMPUTED_VALUE"""),1000)</f>
        <v>1000</v>
      </c>
      <c r="J626" s="5">
        <f ca="1">IFERROR(__xludf.DUMMYFUNCTION("""COMPUTED_VALUE"""),240)</f>
        <v>240</v>
      </c>
      <c r="K626" s="3"/>
      <c r="L626" s="3" t="str">
        <f ca="1">IFERROR(__xludf.DUMMYFUNCTION("""COMPUTED_VALUE"""),"Cost per period")</f>
        <v>Cost per period</v>
      </c>
      <c r="M626" s="3"/>
      <c r="N626" s="3"/>
      <c r="O626" s="3" t="str">
        <f ca="1">IFERROR(__xludf.DUMMYFUNCTION("""COMPUTED_VALUE"""),"970")</f>
        <v>970</v>
      </c>
      <c r="P626" s="3" t="str">
        <f ca="1">IFERROR(__xludf.DUMMYFUNCTION("""COMPUTED_VALUE"""),"250")</f>
        <v>250</v>
      </c>
      <c r="Q626" s="3" t="str">
        <f ca="1">IFERROR(__xludf.DUMMYFUNCTION("""COMPUTED_VALUE"""),"970x250")</f>
        <v>970x250</v>
      </c>
      <c r="R626" s="3"/>
      <c r="S626" s="3" t="str">
        <f ca="1">IFERROR(__xludf.DUMMYFUNCTION("""COMPUTED_VALUE"""),"100 (200 - HTML5)")</f>
        <v>100 (200 - HTML5)</v>
      </c>
      <c r="T626" s="3"/>
      <c r="U626" s="3" t="str">
        <f ca="1">IFERROR(__xludf.DUMMYFUNCTION("""COMPUTED_VALUE"""),"banner standard")</f>
        <v>banner standard</v>
      </c>
      <c r="V626" s="3"/>
      <c r="W626" s="4" t="str">
        <f ca="1">IFERROR(__xludf.DUMMYFUNCTION("""COMPUTED_VALUE"""),"https://reklama.cncenter.cz/Online/billboard-bottom")</f>
        <v>https://reklama.cncenter.cz/Online/billboard-bottom</v>
      </c>
      <c r="X626" s="3"/>
      <c r="Y626" s="3"/>
      <c r="Z626" s="3" t="str">
        <f ca="1">IFERROR(__xludf.DUMMYFUNCTION("""COMPUTED_VALUE"""),"podklady@cncenter.cz")</f>
        <v>podklady@cncenter.cz</v>
      </c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 t="str">
        <f ca="1">IFERROR(__xludf.DUMMYFUNCTION("""COMPUTED_VALUE"""),"desktop")</f>
        <v>desktop</v>
      </c>
      <c r="AO626" s="3"/>
      <c r="AP626" s="3"/>
      <c r="AQ626" s="3"/>
      <c r="AR626" s="3"/>
      <c r="AS626" s="3"/>
      <c r="AT626" s="3"/>
      <c r="AU626" s="3" t="str">
        <f ca="1">IFERROR(__xludf.DUMMYFUNCTION("""COMPUTED_VALUE"""),"billboard bottom")</f>
        <v>billboard bottom</v>
      </c>
    </row>
    <row r="627" spans="1:47" x14ac:dyDescent="0.3">
      <c r="A627" s="3">
        <f ca="1"/>
        <v>2346826</v>
      </c>
      <c r="B627" s="3" t="str">
        <f ca="1"/>
        <v>CZECH NEWS CENTER a. s.</v>
      </c>
      <c r="C627" s="3" t="str">
        <f ca="1">IFERROR(__xludf.DUMMYFUNCTION("""COMPUTED_VALUE"""),"Hledej ceny")</f>
        <v>Hledej ceny</v>
      </c>
      <c r="D627" s="4" t="str">
        <f ca="1">IFERROR(__xludf.DUMMYFUNCTION("""COMPUTED_VALUE"""),"https://hledejceny.cz")</f>
        <v>https://hledejceny.cz</v>
      </c>
      <c r="E627" s="3" t="str">
        <f ca="1">IFERROR(__xludf.DUMMYFUNCTION("""COMPUTED_VALUE"""),"celý web")</f>
        <v>celý web</v>
      </c>
      <c r="F627" s="4" t="str">
        <f ca="1">IFERROR(__xludf.DUMMYFUNCTION("""COMPUTED_VALUE"""),"https://hledejceny.cz")</f>
        <v>https://hledejceny.cz</v>
      </c>
      <c r="G627" s="3" t="str">
        <f ca="1">IFERROR(__xludf.DUMMYFUNCTION("""COMPUTED_VALUE"""),"branding cross-device low season")</f>
        <v>branding cross-device low season</v>
      </c>
      <c r="H627" s="3">
        <f ca="1">IFERROR(__xludf.DUMMYFUNCTION("""COMPUTED_VALUE"""),7)</f>
        <v>7</v>
      </c>
      <c r="I627" s="5">
        <f ca="1">IFERROR(__xludf.DUMMYFUNCTION("""COMPUTED_VALUE"""),1000)</f>
        <v>1000</v>
      </c>
      <c r="J627" s="5">
        <f ca="1">IFERROR(__xludf.DUMMYFUNCTION("""COMPUTED_VALUE"""),300)</f>
        <v>300</v>
      </c>
      <c r="K627" s="3"/>
      <c r="L627" s="3" t="str">
        <f ca="1">IFERROR(__xludf.DUMMYFUNCTION("""COMPUTED_VALUE"""),"Cost per period")</f>
        <v>Cost per period</v>
      </c>
      <c r="M627" s="3"/>
      <c r="N627" s="3"/>
      <c r="O627" s="3" t="str">
        <f ca="1">IFERROR(__xludf.DUMMYFUNCTION("""COMPUTED_VALUE"""),"2000")</f>
        <v>2000</v>
      </c>
      <c r="P627" s="3" t="str">
        <f ca="1">IFERROR(__xludf.DUMMYFUNCTION("""COMPUTED_VALUE"""),"1400")</f>
        <v>1400</v>
      </c>
      <c r="Q627" s="3" t="str">
        <f ca="1">IFERROR(__xludf.DUMMYFUNCTION("""COMPUTED_VALUE"""),"2000x1400 + 600x1080")</f>
        <v>2000x1400 + 600x1080</v>
      </c>
      <c r="R627" s="3"/>
      <c r="S627" s="3" t="str">
        <f ca="1">IFERROR(__xludf.DUMMYFUNCTION("""COMPUTED_VALUE"""),"500 (600 - HTLM5)")</f>
        <v>500 (600 - HTLM5)</v>
      </c>
      <c r="T627" s="3"/>
      <c r="U627" s="3" t="str">
        <f ca="1">IFERROR(__xludf.DUMMYFUNCTION("""COMPUTED_VALUE"""),"banner standard")</f>
        <v>banner standard</v>
      </c>
      <c r="V627" s="3"/>
      <c r="W627" s="4" t="str">
        <f ca="1">IFERROR(__xludf.DUMMYFUNCTION("""COMPUTED_VALUE"""),"https://reklama.cncenter.cz/Online/branding-cross-device")</f>
        <v>https://reklama.cncenter.cz/Online/branding-cross-device</v>
      </c>
      <c r="X627" s="3"/>
      <c r="Y627" s="3"/>
      <c r="Z627" s="3" t="str">
        <f ca="1">IFERROR(__xludf.DUMMYFUNCTION("""COMPUTED_VALUE"""),"podklady@cncenter.cz")</f>
        <v>podklady@cncenter.cz</v>
      </c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 t="str">
        <f ca="1">IFERROR(__xludf.DUMMYFUNCTION("""COMPUTED_VALUE"""),"cross-device")</f>
        <v>cross-device</v>
      </c>
      <c r="AO627" s="3"/>
      <c r="AP627" s="3"/>
      <c r="AQ627" s="3"/>
      <c r="AR627" s="3"/>
      <c r="AS627" s="3"/>
      <c r="AT627" s="3"/>
      <c r="AU627" s="3" t="str">
        <f ca="1">IFERROR(__xludf.DUMMYFUNCTION("""COMPUTED_VALUE"""),"branding cross-device")</f>
        <v>branding cross-device</v>
      </c>
    </row>
    <row r="628" spans="1:47" x14ac:dyDescent="0.3">
      <c r="A628" s="3">
        <f ca="1"/>
        <v>2346826</v>
      </c>
      <c r="B628" s="3" t="str">
        <f ca="1"/>
        <v>CZECH NEWS CENTER a. s.</v>
      </c>
      <c r="C628" s="3" t="str">
        <f ca="1">IFERROR(__xludf.DUMMYFUNCTION("""COMPUTED_VALUE"""),"Hledej ceny")</f>
        <v>Hledej ceny</v>
      </c>
      <c r="D628" s="4" t="str">
        <f ca="1">IFERROR(__xludf.DUMMYFUNCTION("""COMPUTED_VALUE"""),"https://hledejceny.cz")</f>
        <v>https://hledejceny.cz</v>
      </c>
      <c r="E628" s="3" t="str">
        <f ca="1">IFERROR(__xludf.DUMMYFUNCTION("""COMPUTED_VALUE"""),"celý web")</f>
        <v>celý web</v>
      </c>
      <c r="F628" s="4" t="str">
        <f ca="1">IFERROR(__xludf.DUMMYFUNCTION("""COMPUTED_VALUE"""),"https://hledejceny.cz")</f>
        <v>https://hledejceny.cz</v>
      </c>
      <c r="G628" s="3" t="str">
        <f ca="1">IFERROR(__xludf.DUMMYFUNCTION("""COMPUTED_VALUE"""),"branding low season")</f>
        <v>branding low season</v>
      </c>
      <c r="H628" s="3">
        <f ca="1">IFERROR(__xludf.DUMMYFUNCTION("""COMPUTED_VALUE"""),7)</f>
        <v>7</v>
      </c>
      <c r="I628" s="5">
        <f ca="1">IFERROR(__xludf.DUMMYFUNCTION("""COMPUTED_VALUE"""),1000)</f>
        <v>1000</v>
      </c>
      <c r="J628" s="5">
        <f ca="1">IFERROR(__xludf.DUMMYFUNCTION("""COMPUTED_VALUE"""),490)</f>
        <v>490</v>
      </c>
      <c r="K628" s="3"/>
      <c r="L628" s="3" t="str">
        <f ca="1">IFERROR(__xludf.DUMMYFUNCTION("""COMPUTED_VALUE"""),"Cost per period")</f>
        <v>Cost per period</v>
      </c>
      <c r="M628" s="3"/>
      <c r="N628" s="3"/>
      <c r="O628" s="3" t="str">
        <f ca="1">IFERROR(__xludf.DUMMYFUNCTION("""COMPUTED_VALUE"""),"2000")</f>
        <v>2000</v>
      </c>
      <c r="P628" s="3" t="str">
        <f ca="1">IFERROR(__xludf.DUMMYFUNCTION("""COMPUTED_VALUE"""),"1400")</f>
        <v>1400</v>
      </c>
      <c r="Q628" s="3" t="str">
        <f ca="1">IFERROR(__xludf.DUMMYFUNCTION("""COMPUTED_VALUE"""),"2000x1400")</f>
        <v>2000x1400</v>
      </c>
      <c r="R628" s="3"/>
      <c r="S628" s="3" t="str">
        <f ca="1">IFERROR(__xludf.DUMMYFUNCTION("""COMPUTED_VALUE"""),"500 + 200 (600+200 HTML5)")</f>
        <v>500 + 200 (600+200 HTML5)</v>
      </c>
      <c r="T628" s="3"/>
      <c r="U628" s="3" t="str">
        <f ca="1">IFERROR(__xludf.DUMMYFUNCTION("""COMPUTED_VALUE"""),"banner standard")</f>
        <v>banner standard</v>
      </c>
      <c r="V628" s="3"/>
      <c r="W628" s="4" t="str">
        <f ca="1">IFERROR(__xludf.DUMMYFUNCTION("""COMPUTED_VALUE"""),"https://reklama.cncenter.cz/Online/branding")</f>
        <v>https://reklama.cncenter.cz/Online/branding</v>
      </c>
      <c r="X628" s="3"/>
      <c r="Y628" s="3"/>
      <c r="Z628" s="3" t="str">
        <f ca="1">IFERROR(__xludf.DUMMYFUNCTION("""COMPUTED_VALUE"""),"podklady@cncenter.cz")</f>
        <v>podklady@cncenter.cz</v>
      </c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 t="str">
        <f ca="1">IFERROR(__xludf.DUMMYFUNCTION("""COMPUTED_VALUE"""),"desktop")</f>
        <v>desktop</v>
      </c>
      <c r="AO628" s="3"/>
      <c r="AP628" s="3"/>
      <c r="AQ628" s="3"/>
      <c r="AR628" s="3"/>
      <c r="AS628" s="3"/>
      <c r="AT628" s="3"/>
      <c r="AU628" s="3" t="str">
        <f ca="1">IFERROR(__xludf.DUMMYFUNCTION("""COMPUTED_VALUE"""),"branding")</f>
        <v>branding</v>
      </c>
    </row>
    <row r="629" spans="1:47" x14ac:dyDescent="0.3">
      <c r="A629" s="3">
        <f ca="1"/>
        <v>2346826</v>
      </c>
      <c r="B629" s="3" t="str">
        <f ca="1"/>
        <v>CZECH NEWS CENTER a. s.</v>
      </c>
      <c r="C629" s="3" t="str">
        <f ca="1">IFERROR(__xludf.DUMMYFUNCTION("""COMPUTED_VALUE"""),"Hledej ceny")</f>
        <v>Hledej ceny</v>
      </c>
      <c r="D629" s="4" t="str">
        <f ca="1">IFERROR(__xludf.DUMMYFUNCTION("""COMPUTED_VALUE"""),"https://hledejceny.cz")</f>
        <v>https://hledejceny.cz</v>
      </c>
      <c r="E629" s="3" t="str">
        <f ca="1">IFERROR(__xludf.DUMMYFUNCTION("""COMPUTED_VALUE"""),"celý web")</f>
        <v>celý web</v>
      </c>
      <c r="F629" s="4" t="str">
        <f ca="1">IFERROR(__xludf.DUMMYFUNCTION("""COMPUTED_VALUE"""),"https://hledejceny.cz")</f>
        <v>https://hledejceny.cz</v>
      </c>
      <c r="G629" s="3" t="str">
        <f ca="1">IFERROR(__xludf.DUMMYFUNCTION("""COMPUTED_VALUE"""),"cílený billboard bottom low season")</f>
        <v>cílený billboard bottom low season</v>
      </c>
      <c r="H629" s="3">
        <f ca="1">IFERROR(__xludf.DUMMYFUNCTION("""COMPUTED_VALUE"""),7)</f>
        <v>7</v>
      </c>
      <c r="I629" s="5">
        <f ca="1">IFERROR(__xludf.DUMMYFUNCTION("""COMPUTED_VALUE"""),1000)</f>
        <v>1000</v>
      </c>
      <c r="J629" s="5">
        <f ca="1">IFERROR(__xludf.DUMMYFUNCTION("""COMPUTED_VALUE"""),288)</f>
        <v>288</v>
      </c>
      <c r="K629" s="3"/>
      <c r="L629" s="3" t="str">
        <f ca="1">IFERROR(__xludf.DUMMYFUNCTION("""COMPUTED_VALUE"""),"Cost per period")</f>
        <v>Cost per period</v>
      </c>
      <c r="M629" s="3"/>
      <c r="N629" s="3"/>
      <c r="O629" s="3" t="str">
        <f ca="1">IFERROR(__xludf.DUMMYFUNCTION("""COMPUTED_VALUE"""),"970")</f>
        <v>970</v>
      </c>
      <c r="P629" s="3" t="str">
        <f ca="1">IFERROR(__xludf.DUMMYFUNCTION("""COMPUTED_VALUE"""),"250")</f>
        <v>250</v>
      </c>
      <c r="Q629" s="3" t="str">
        <f ca="1">IFERROR(__xludf.DUMMYFUNCTION("""COMPUTED_VALUE"""),"970x250")</f>
        <v>970x250</v>
      </c>
      <c r="R629" s="3"/>
      <c r="S629" s="3" t="str">
        <f ca="1">IFERROR(__xludf.DUMMYFUNCTION("""COMPUTED_VALUE"""),"100 (200 - HTML5)")</f>
        <v>100 (200 - HTML5)</v>
      </c>
      <c r="T629" s="3"/>
      <c r="U629" s="3" t="str">
        <f ca="1">IFERROR(__xludf.DUMMYFUNCTION("""COMPUTED_VALUE"""),"banner standard")</f>
        <v>banner standard</v>
      </c>
      <c r="V629" s="3"/>
      <c r="W629" s="4" t="str">
        <f ca="1">IFERROR(__xludf.DUMMYFUNCTION("""COMPUTED_VALUE"""),"https://reklama.cncenter.cz/Online/billboard-bottom")</f>
        <v>https://reklama.cncenter.cz/Online/billboard-bottom</v>
      </c>
      <c r="X629" s="3"/>
      <c r="Y629" s="3"/>
      <c r="Z629" s="3" t="str">
        <f ca="1">IFERROR(__xludf.DUMMYFUNCTION("""COMPUTED_VALUE"""),"podklady@cncenter.cz")</f>
        <v>podklady@cncenter.cz</v>
      </c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 t="str">
        <f ca="1">IFERROR(__xludf.DUMMYFUNCTION("""COMPUTED_VALUE"""),"desktop")</f>
        <v>desktop</v>
      </c>
      <c r="AO629" s="3"/>
      <c r="AP629" s="3"/>
      <c r="AQ629" s="3"/>
      <c r="AR629" s="3"/>
      <c r="AS629" s="3"/>
      <c r="AT629" s="3"/>
      <c r="AU629" s="3" t="str">
        <f ca="1">IFERROR(__xludf.DUMMYFUNCTION("""COMPUTED_VALUE"""),"cílený billboard bottom")</f>
        <v>cílený billboard bottom</v>
      </c>
    </row>
    <row r="630" spans="1:47" x14ac:dyDescent="0.3">
      <c r="A630" s="3">
        <f ca="1"/>
        <v>2346826</v>
      </c>
      <c r="B630" s="3" t="str">
        <f ca="1"/>
        <v>CZECH NEWS CENTER a. s.</v>
      </c>
      <c r="C630" s="3" t="str">
        <f ca="1">IFERROR(__xludf.DUMMYFUNCTION("""COMPUTED_VALUE"""),"Hledej ceny")</f>
        <v>Hledej ceny</v>
      </c>
      <c r="D630" s="4" t="str">
        <f ca="1">IFERROR(__xludf.DUMMYFUNCTION("""COMPUTED_VALUE"""),"https://hledejceny.cz")</f>
        <v>https://hledejceny.cz</v>
      </c>
      <c r="E630" s="3" t="str">
        <f ca="1">IFERROR(__xludf.DUMMYFUNCTION("""COMPUTED_VALUE"""),"celý web")</f>
        <v>celý web</v>
      </c>
      <c r="F630" s="4" t="str">
        <f ca="1">IFERROR(__xludf.DUMMYFUNCTION("""COMPUTED_VALUE"""),"https://hledejceny.cz")</f>
        <v>https://hledejceny.cz</v>
      </c>
      <c r="G630" s="3" t="str">
        <f ca="1">IFERROR(__xludf.DUMMYFUNCTION("""COMPUTED_VALUE"""),"cílený branding cross-device low season")</f>
        <v>cílený branding cross-device low season</v>
      </c>
      <c r="H630" s="3">
        <f ca="1">IFERROR(__xludf.DUMMYFUNCTION("""COMPUTED_VALUE"""),7)</f>
        <v>7</v>
      </c>
      <c r="I630" s="5">
        <f ca="1">IFERROR(__xludf.DUMMYFUNCTION("""COMPUTED_VALUE"""),1000)</f>
        <v>1000</v>
      </c>
      <c r="J630" s="5">
        <f ca="1">IFERROR(__xludf.DUMMYFUNCTION("""COMPUTED_VALUE"""),360)</f>
        <v>360</v>
      </c>
      <c r="K630" s="3"/>
      <c r="L630" s="3" t="str">
        <f ca="1">IFERROR(__xludf.DUMMYFUNCTION("""COMPUTED_VALUE"""),"Cost per period")</f>
        <v>Cost per period</v>
      </c>
      <c r="M630" s="3"/>
      <c r="N630" s="3"/>
      <c r="O630" s="3" t="str">
        <f ca="1">IFERROR(__xludf.DUMMYFUNCTION("""COMPUTED_VALUE"""),"2000")</f>
        <v>2000</v>
      </c>
      <c r="P630" s="3" t="str">
        <f ca="1">IFERROR(__xludf.DUMMYFUNCTION("""COMPUTED_VALUE"""),"1400")</f>
        <v>1400</v>
      </c>
      <c r="Q630" s="3" t="str">
        <f ca="1">IFERROR(__xludf.DUMMYFUNCTION("""COMPUTED_VALUE"""),"2000x1400 + 600x1080")</f>
        <v>2000x1400 + 600x1080</v>
      </c>
      <c r="R630" s="3"/>
      <c r="S630" s="3" t="str">
        <f ca="1">IFERROR(__xludf.DUMMYFUNCTION("""COMPUTED_VALUE"""),"500 (600 - HTLM5)")</f>
        <v>500 (600 - HTLM5)</v>
      </c>
      <c r="T630" s="3"/>
      <c r="U630" s="3" t="str">
        <f ca="1">IFERROR(__xludf.DUMMYFUNCTION("""COMPUTED_VALUE"""),"banner standard")</f>
        <v>banner standard</v>
      </c>
      <c r="V630" s="3"/>
      <c r="W630" s="4" t="str">
        <f ca="1">IFERROR(__xludf.DUMMYFUNCTION("""COMPUTED_VALUE"""),"https://reklama.cncenter.cz/Online/branding-cross-device")</f>
        <v>https://reklama.cncenter.cz/Online/branding-cross-device</v>
      </c>
      <c r="X630" s="3"/>
      <c r="Y630" s="3"/>
      <c r="Z630" s="3" t="str">
        <f ca="1">IFERROR(__xludf.DUMMYFUNCTION("""COMPUTED_VALUE"""),"podklady@cncenter.cz")</f>
        <v>podklady@cncenter.cz</v>
      </c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 t="str">
        <f ca="1">IFERROR(__xludf.DUMMYFUNCTION("""COMPUTED_VALUE"""),"cross-device")</f>
        <v>cross-device</v>
      </c>
      <c r="AO630" s="3"/>
      <c r="AP630" s="3"/>
      <c r="AQ630" s="3"/>
      <c r="AR630" s="3"/>
      <c r="AS630" s="3"/>
      <c r="AT630" s="3"/>
      <c r="AU630" s="3" t="str">
        <f ca="1">IFERROR(__xludf.DUMMYFUNCTION("""COMPUTED_VALUE"""),"cílený branding cross-device")</f>
        <v>cílený branding cross-device</v>
      </c>
    </row>
    <row r="631" spans="1:47" x14ac:dyDescent="0.3">
      <c r="A631" s="3">
        <f ca="1"/>
        <v>2346826</v>
      </c>
      <c r="B631" s="3" t="str">
        <f ca="1"/>
        <v>CZECH NEWS CENTER a. s.</v>
      </c>
      <c r="C631" s="3" t="str">
        <f ca="1">IFERROR(__xludf.DUMMYFUNCTION("""COMPUTED_VALUE"""),"Hledej ceny")</f>
        <v>Hledej ceny</v>
      </c>
      <c r="D631" s="4" t="str">
        <f ca="1">IFERROR(__xludf.DUMMYFUNCTION("""COMPUTED_VALUE"""),"https://hledejceny.cz")</f>
        <v>https://hledejceny.cz</v>
      </c>
      <c r="E631" s="3" t="str">
        <f ca="1">IFERROR(__xludf.DUMMYFUNCTION("""COMPUTED_VALUE"""),"celý web")</f>
        <v>celý web</v>
      </c>
      <c r="F631" s="4" t="str">
        <f ca="1">IFERROR(__xludf.DUMMYFUNCTION("""COMPUTED_VALUE"""),"https://hledejceny.cz")</f>
        <v>https://hledejceny.cz</v>
      </c>
      <c r="G631" s="3" t="str">
        <f ca="1">IFERROR(__xludf.DUMMYFUNCTION("""COMPUTED_VALUE"""),"cílený branding low season")</f>
        <v>cílený branding low season</v>
      </c>
      <c r="H631" s="3">
        <f ca="1">IFERROR(__xludf.DUMMYFUNCTION("""COMPUTED_VALUE"""),7)</f>
        <v>7</v>
      </c>
      <c r="I631" s="5">
        <f ca="1">IFERROR(__xludf.DUMMYFUNCTION("""COMPUTED_VALUE"""),1000)</f>
        <v>1000</v>
      </c>
      <c r="J631" s="5">
        <f ca="1">IFERROR(__xludf.DUMMYFUNCTION("""COMPUTED_VALUE"""),588)</f>
        <v>588</v>
      </c>
      <c r="K631" s="3"/>
      <c r="L631" s="3" t="str">
        <f ca="1">IFERROR(__xludf.DUMMYFUNCTION("""COMPUTED_VALUE"""),"Cost per period")</f>
        <v>Cost per period</v>
      </c>
      <c r="M631" s="3"/>
      <c r="N631" s="3"/>
      <c r="O631" s="3" t="str">
        <f ca="1">IFERROR(__xludf.DUMMYFUNCTION("""COMPUTED_VALUE"""),"2000")</f>
        <v>2000</v>
      </c>
      <c r="P631" s="3" t="str">
        <f ca="1">IFERROR(__xludf.DUMMYFUNCTION("""COMPUTED_VALUE"""),"1400")</f>
        <v>1400</v>
      </c>
      <c r="Q631" s="3" t="str">
        <f ca="1">IFERROR(__xludf.DUMMYFUNCTION("""COMPUTED_VALUE"""),"2000x1400")</f>
        <v>2000x1400</v>
      </c>
      <c r="R631" s="3"/>
      <c r="S631" s="3" t="str">
        <f ca="1">IFERROR(__xludf.DUMMYFUNCTION("""COMPUTED_VALUE"""),"500 + 200 (600+200 HTML5)")</f>
        <v>500 + 200 (600+200 HTML5)</v>
      </c>
      <c r="T631" s="3"/>
      <c r="U631" s="3" t="str">
        <f ca="1">IFERROR(__xludf.DUMMYFUNCTION("""COMPUTED_VALUE"""),"banner standard")</f>
        <v>banner standard</v>
      </c>
      <c r="V631" s="3"/>
      <c r="W631" s="4" t="str">
        <f ca="1">IFERROR(__xludf.DUMMYFUNCTION("""COMPUTED_VALUE"""),"https://reklama.cncenter.cz/Online/branding")</f>
        <v>https://reklama.cncenter.cz/Online/branding</v>
      </c>
      <c r="X631" s="3"/>
      <c r="Y631" s="3"/>
      <c r="Z631" s="3" t="str">
        <f ca="1">IFERROR(__xludf.DUMMYFUNCTION("""COMPUTED_VALUE"""),"podklady@cncenter.cz")</f>
        <v>podklady@cncenter.cz</v>
      </c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 t="str">
        <f ca="1">IFERROR(__xludf.DUMMYFUNCTION("""COMPUTED_VALUE"""),"desktop")</f>
        <v>desktop</v>
      </c>
      <c r="AO631" s="3"/>
      <c r="AP631" s="3"/>
      <c r="AQ631" s="3"/>
      <c r="AR631" s="3"/>
      <c r="AS631" s="3"/>
      <c r="AT631" s="3"/>
      <c r="AU631" s="3" t="str">
        <f ca="1">IFERROR(__xludf.DUMMYFUNCTION("""COMPUTED_VALUE"""),"cílený branding")</f>
        <v>cílený branding</v>
      </c>
    </row>
    <row r="632" spans="1:47" x14ac:dyDescent="0.3">
      <c r="A632" s="3">
        <f ca="1"/>
        <v>2346826</v>
      </c>
      <c r="B632" s="3" t="str">
        <f ca="1"/>
        <v>CZECH NEWS CENTER a. s.</v>
      </c>
      <c r="C632" s="3" t="str">
        <f ca="1">IFERROR(__xludf.DUMMYFUNCTION("""COMPUTED_VALUE"""),"Hledej ceny")</f>
        <v>Hledej ceny</v>
      </c>
      <c r="D632" s="4" t="str">
        <f ca="1">IFERROR(__xludf.DUMMYFUNCTION("""COMPUTED_VALUE"""),"https://hledejceny.cz")</f>
        <v>https://hledejceny.cz</v>
      </c>
      <c r="E632" s="3" t="str">
        <f ca="1">IFERROR(__xludf.DUMMYFUNCTION("""COMPUTED_VALUE"""),"celý web")</f>
        <v>celý web</v>
      </c>
      <c r="F632" s="4" t="str">
        <f ca="1">IFERROR(__xludf.DUMMYFUNCTION("""COMPUTED_VALUE"""),"https://hledejceny.cz")</f>
        <v>https://hledejceny.cz</v>
      </c>
      <c r="G632" s="3" t="str">
        <f ca="1">IFERROR(__xludf.DUMMYFUNCTION("""COMPUTED_VALUE"""),"cílený double skyscraper low season")</f>
        <v>cílený double skyscraper low season</v>
      </c>
      <c r="H632" s="3">
        <f ca="1">IFERROR(__xludf.DUMMYFUNCTION("""COMPUTED_VALUE"""),7)</f>
        <v>7</v>
      </c>
      <c r="I632" s="5">
        <f ca="1">IFERROR(__xludf.DUMMYFUNCTION("""COMPUTED_VALUE"""),1000)</f>
        <v>1000</v>
      </c>
      <c r="J632" s="5">
        <f ca="1">IFERROR(__xludf.DUMMYFUNCTION("""COMPUTED_VALUE"""),228)</f>
        <v>228</v>
      </c>
      <c r="K632" s="3"/>
      <c r="L632" s="3" t="str">
        <f ca="1">IFERROR(__xludf.DUMMYFUNCTION("""COMPUTED_VALUE"""),"Cost per period")</f>
        <v>Cost per period</v>
      </c>
      <c r="M632" s="3"/>
      <c r="N632" s="3"/>
      <c r="O632" s="3" t="str">
        <f ca="1">IFERROR(__xludf.DUMMYFUNCTION("""COMPUTED_VALUE"""),"300")</f>
        <v>300</v>
      </c>
      <c r="P632" s="3" t="str">
        <f ca="1">IFERROR(__xludf.DUMMYFUNCTION("""COMPUTED_VALUE"""),"600")</f>
        <v>600</v>
      </c>
      <c r="Q632" s="3" t="str">
        <f ca="1">IFERROR(__xludf.DUMMYFUNCTION("""COMPUTED_VALUE"""),"300x600")</f>
        <v>300x600</v>
      </c>
      <c r="R632" s="3"/>
      <c r="S632" s="3" t="str">
        <f ca="1">IFERROR(__xludf.DUMMYFUNCTION("""COMPUTED_VALUE"""),"100 (200 - HTML5)")</f>
        <v>100 (200 - HTML5)</v>
      </c>
      <c r="T632" s="3"/>
      <c r="U632" s="3" t="str">
        <f ca="1">IFERROR(__xludf.DUMMYFUNCTION("""COMPUTED_VALUE"""),"banner standard")</f>
        <v>banner standard</v>
      </c>
      <c r="V632" s="3"/>
      <c r="W632" s="4" t="str">
        <f ca="1">IFERROR(__xludf.DUMMYFUNCTION("""COMPUTED_VALUE"""),"https://reklama.cncenter.cz/Online/double-skyscraper")</f>
        <v>https://reklama.cncenter.cz/Online/double-skyscraper</v>
      </c>
      <c r="X632" s="3"/>
      <c r="Y632" s="3"/>
      <c r="Z632" s="3" t="str">
        <f ca="1">IFERROR(__xludf.DUMMYFUNCTION("""COMPUTED_VALUE"""),"podklady@cncenter.cz")</f>
        <v>podklady@cncenter.cz</v>
      </c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 t="str">
        <f ca="1">IFERROR(__xludf.DUMMYFUNCTION("""COMPUTED_VALUE"""),"desktop")</f>
        <v>desktop</v>
      </c>
      <c r="AO632" s="3"/>
      <c r="AP632" s="3"/>
      <c r="AQ632" s="3"/>
      <c r="AR632" s="3"/>
      <c r="AS632" s="3"/>
      <c r="AT632" s="3"/>
      <c r="AU632" s="3" t="str">
        <f ca="1">IFERROR(__xludf.DUMMYFUNCTION("""COMPUTED_VALUE"""),"cílený double skyscraper")</f>
        <v>cílený double skyscraper</v>
      </c>
    </row>
    <row r="633" spans="1:47" x14ac:dyDescent="0.3">
      <c r="A633" s="3">
        <f ca="1"/>
        <v>2346826</v>
      </c>
      <c r="B633" s="3" t="str">
        <f ca="1"/>
        <v>CZECH NEWS CENTER a. s.</v>
      </c>
      <c r="C633" s="3" t="str">
        <f ca="1">IFERROR(__xludf.DUMMYFUNCTION("""COMPUTED_VALUE"""),"Hledej ceny")</f>
        <v>Hledej ceny</v>
      </c>
      <c r="D633" s="4" t="str">
        <f ca="1">IFERROR(__xludf.DUMMYFUNCTION("""COMPUTED_VALUE"""),"https://hledejceny.cz")</f>
        <v>https://hledejceny.cz</v>
      </c>
      <c r="E633" s="3" t="str">
        <f ca="1">IFERROR(__xludf.DUMMYFUNCTION("""COMPUTED_VALUE"""),"celý web")</f>
        <v>celý web</v>
      </c>
      <c r="F633" s="4" t="str">
        <f ca="1">IFERROR(__xludf.DUMMYFUNCTION("""COMPUTED_VALUE"""),"https://hledejceny.cz")</f>
        <v>https://hledejceny.cz</v>
      </c>
      <c r="G633" s="3" t="str">
        <f ca="1">IFERROR(__xludf.DUMMYFUNCTION("""COMPUTED_VALUE"""),"double skyscraper low season")</f>
        <v>double skyscraper low season</v>
      </c>
      <c r="H633" s="3">
        <f ca="1">IFERROR(__xludf.DUMMYFUNCTION("""COMPUTED_VALUE"""),7)</f>
        <v>7</v>
      </c>
      <c r="I633" s="5">
        <f ca="1">IFERROR(__xludf.DUMMYFUNCTION("""COMPUTED_VALUE"""),1000)</f>
        <v>1000</v>
      </c>
      <c r="J633" s="5">
        <f ca="1">IFERROR(__xludf.DUMMYFUNCTION("""COMPUTED_VALUE"""),190)</f>
        <v>190</v>
      </c>
      <c r="K633" s="3"/>
      <c r="L633" s="3" t="str">
        <f ca="1">IFERROR(__xludf.DUMMYFUNCTION("""COMPUTED_VALUE"""),"Cost per period")</f>
        <v>Cost per period</v>
      </c>
      <c r="M633" s="3"/>
      <c r="N633" s="3"/>
      <c r="O633" s="3" t="str">
        <f ca="1">IFERROR(__xludf.DUMMYFUNCTION("""COMPUTED_VALUE"""),"300")</f>
        <v>300</v>
      </c>
      <c r="P633" s="3" t="str">
        <f ca="1">IFERROR(__xludf.DUMMYFUNCTION("""COMPUTED_VALUE"""),"600")</f>
        <v>600</v>
      </c>
      <c r="Q633" s="3" t="str">
        <f ca="1">IFERROR(__xludf.DUMMYFUNCTION("""COMPUTED_VALUE"""),"300x600")</f>
        <v>300x600</v>
      </c>
      <c r="R633" s="3"/>
      <c r="S633" s="3" t="str">
        <f ca="1">IFERROR(__xludf.DUMMYFUNCTION("""COMPUTED_VALUE"""),"100 (200 - HTML5)")</f>
        <v>100 (200 - HTML5)</v>
      </c>
      <c r="T633" s="3"/>
      <c r="U633" s="3" t="str">
        <f ca="1">IFERROR(__xludf.DUMMYFUNCTION("""COMPUTED_VALUE"""),"banner standard")</f>
        <v>banner standard</v>
      </c>
      <c r="V633" s="3"/>
      <c r="W633" s="4" t="str">
        <f ca="1">IFERROR(__xludf.DUMMYFUNCTION("""COMPUTED_VALUE"""),"https://reklama.cncenter.cz/Online/double-skyscraper")</f>
        <v>https://reklama.cncenter.cz/Online/double-skyscraper</v>
      </c>
      <c r="X633" s="3"/>
      <c r="Y633" s="3"/>
      <c r="Z633" s="3" t="str">
        <f ca="1">IFERROR(__xludf.DUMMYFUNCTION("""COMPUTED_VALUE"""),"podklady@cncenter.cz")</f>
        <v>podklady@cncenter.cz</v>
      </c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 t="str">
        <f ca="1">IFERROR(__xludf.DUMMYFUNCTION("""COMPUTED_VALUE"""),"desktop")</f>
        <v>desktop</v>
      </c>
      <c r="AO633" s="3"/>
      <c r="AP633" s="3"/>
      <c r="AQ633" s="3"/>
      <c r="AR633" s="3"/>
      <c r="AS633" s="3"/>
      <c r="AT633" s="3"/>
      <c r="AU633" s="3" t="str">
        <f ca="1">IFERROR(__xludf.DUMMYFUNCTION("""COMPUTED_VALUE"""),"double skyscraper")</f>
        <v>double skyscraper</v>
      </c>
    </row>
    <row r="634" spans="1:47" x14ac:dyDescent="0.3">
      <c r="A634" s="3">
        <f ca="1"/>
        <v>2346826</v>
      </c>
      <c r="B634" s="3" t="str">
        <f ca="1"/>
        <v>CZECH NEWS CENTER a. s.</v>
      </c>
      <c r="C634" s="3" t="str">
        <f ca="1">IFERROR(__xludf.DUMMYFUNCTION("""COMPUTED_VALUE"""),"Instagramový profil ABC")</f>
        <v>Instagramový profil ABC</v>
      </c>
      <c r="D634" s="4" t="str">
        <f ca="1">IFERROR(__xludf.DUMMYFUNCTION("""COMPUTED_VALUE"""),"www.instagram.com")</f>
        <v>www.instagram.com</v>
      </c>
      <c r="E634" s="3" t="str">
        <f ca="1">IFERROR(__xludf.DUMMYFUNCTION("""COMPUTED_VALUE"""),"IG účet")</f>
        <v>IG účet</v>
      </c>
      <c r="F634" s="4" t="str">
        <f ca="1">IFERROR(__xludf.DUMMYFUNCTION("""COMPUTED_VALUE"""),"www.instagram.com")</f>
        <v>www.instagram.com</v>
      </c>
      <c r="G634" s="3" t="str">
        <f ca="1">IFERROR(__xludf.DUMMYFUNCTION("""COMPUTED_VALUE"""),"instagram post low season")</f>
        <v>instagram post low season</v>
      </c>
      <c r="H634" s="3">
        <f ca="1">IFERROR(__xludf.DUMMYFUNCTION("""COMPUTED_VALUE"""),1)</f>
        <v>1</v>
      </c>
      <c r="I634" s="5">
        <f ca="1">IFERROR(__xludf.DUMMYFUNCTION("""COMPUTED_VALUE"""),1)</f>
        <v>1</v>
      </c>
      <c r="J634" s="5">
        <f ca="1">IFERROR(__xludf.DUMMYFUNCTION("""COMPUTED_VALUE"""),18000)</f>
        <v>18000</v>
      </c>
      <c r="K634" s="3"/>
      <c r="L634" s="3" t="str">
        <f ca="1">IFERROR(__xludf.DUMMYFUNCTION("""COMPUTED_VALUE"""),"Cost per instance")</f>
        <v>Cost per instance</v>
      </c>
      <c r="M634" s="3"/>
      <c r="N634" s="3"/>
      <c r="O634" s="3"/>
      <c r="P634" s="3"/>
      <c r="Q634" s="3"/>
      <c r="R634" s="3"/>
      <c r="S634" s="3" t="str">
        <f ca="1">IFERROR(__xludf.DUMMYFUNCTION("""COMPUTED_VALUE"""),"100")</f>
        <v>100</v>
      </c>
      <c r="T634" s="3"/>
      <c r="U634" s="3" t="str">
        <f ca="1">IFERROR(__xludf.DUMMYFUNCTION("""COMPUTED_VALUE"""),"SoMe instagram")</f>
        <v>SoMe instagram</v>
      </c>
      <c r="V634" s="3"/>
      <c r="W634" s="3"/>
      <c r="X634" s="3"/>
      <c r="Y634" s="3"/>
      <c r="Z634" s="3" t="str">
        <f ca="1">IFERROR(__xludf.DUMMYFUNCTION("""COMPUTED_VALUE"""),"podklady@cncenter.cz")</f>
        <v>podklady@cncenter.cz</v>
      </c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 t="str">
        <f ca="1">IFERROR(__xludf.DUMMYFUNCTION("""COMPUTED_VALUE"""),"cross-device")</f>
        <v>cross-device</v>
      </c>
      <c r="AO634" s="3"/>
      <c r="AP634" s="3"/>
      <c r="AQ634" s="3"/>
      <c r="AR634" s="3"/>
      <c r="AS634" s="3"/>
      <c r="AT634" s="3"/>
      <c r="AU634" s="3" t="str">
        <f ca="1">IFERROR(__xludf.DUMMYFUNCTION("""COMPUTED_VALUE"""),"instagram post")</f>
        <v>instagram post</v>
      </c>
    </row>
    <row r="635" spans="1:47" x14ac:dyDescent="0.3">
      <c r="A635" s="3">
        <f ca="1"/>
        <v>2346826</v>
      </c>
      <c r="B635" s="3" t="str">
        <f ca="1"/>
        <v>CZECH NEWS CENTER a. s.</v>
      </c>
      <c r="C635" s="3" t="str">
        <f ca="1">IFERROR(__xludf.DUMMYFUNCTION("""COMPUTED_VALUE"""),"Instagramový profil ABC")</f>
        <v>Instagramový profil ABC</v>
      </c>
      <c r="D635" s="4" t="str">
        <f ca="1">IFERROR(__xludf.DUMMYFUNCTION("""COMPUTED_VALUE"""),"www.instagram.com")</f>
        <v>www.instagram.com</v>
      </c>
      <c r="E635" s="3" t="str">
        <f ca="1">IFERROR(__xludf.DUMMYFUNCTION("""COMPUTED_VALUE"""),"IG účet")</f>
        <v>IG účet</v>
      </c>
      <c r="F635" s="4" t="str">
        <f ca="1">IFERROR(__xludf.DUMMYFUNCTION("""COMPUTED_VALUE"""),"www.instagram.com")</f>
        <v>www.instagram.com</v>
      </c>
      <c r="G635" s="3" t="str">
        <f ca="1">IFERROR(__xludf.DUMMYFUNCTION("""COMPUTED_VALUE"""),"instagram story low season")</f>
        <v>instagram story low season</v>
      </c>
      <c r="H635" s="3">
        <f ca="1">IFERROR(__xludf.DUMMYFUNCTION("""COMPUTED_VALUE"""),1)</f>
        <v>1</v>
      </c>
      <c r="I635" s="5">
        <f ca="1">IFERROR(__xludf.DUMMYFUNCTION("""COMPUTED_VALUE"""),1)</f>
        <v>1</v>
      </c>
      <c r="J635" s="5">
        <f ca="1">IFERROR(__xludf.DUMMYFUNCTION("""COMPUTED_VALUE"""),18000)</f>
        <v>18000</v>
      </c>
      <c r="K635" s="3"/>
      <c r="L635" s="3" t="str">
        <f ca="1">IFERROR(__xludf.DUMMYFUNCTION("""COMPUTED_VALUE"""),"Cost per instance")</f>
        <v>Cost per instance</v>
      </c>
      <c r="M635" s="3"/>
      <c r="N635" s="3"/>
      <c r="O635" s="3"/>
      <c r="P635" s="3"/>
      <c r="Q635" s="3"/>
      <c r="R635" s="3"/>
      <c r="S635" s="3" t="str">
        <f ca="1">IFERROR(__xludf.DUMMYFUNCTION("""COMPUTED_VALUE"""),"100")</f>
        <v>100</v>
      </c>
      <c r="T635" s="3"/>
      <c r="U635" s="3" t="str">
        <f ca="1">IFERROR(__xludf.DUMMYFUNCTION("""COMPUTED_VALUE"""),"SoMe instagram")</f>
        <v>SoMe instagram</v>
      </c>
      <c r="V635" s="3"/>
      <c r="W635" s="3"/>
      <c r="X635" s="3"/>
      <c r="Y635" s="3"/>
      <c r="Z635" s="3" t="str">
        <f ca="1">IFERROR(__xludf.DUMMYFUNCTION("""COMPUTED_VALUE"""),"podklady@cncenter.cz")</f>
        <v>podklady@cncenter.cz</v>
      </c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 t="str">
        <f ca="1">IFERROR(__xludf.DUMMYFUNCTION("""COMPUTED_VALUE"""),"cross-device")</f>
        <v>cross-device</v>
      </c>
      <c r="AO635" s="3"/>
      <c r="AP635" s="3"/>
      <c r="AQ635" s="3"/>
      <c r="AR635" s="3"/>
      <c r="AS635" s="3"/>
      <c r="AT635" s="3"/>
      <c r="AU635" s="3" t="str">
        <f ca="1">IFERROR(__xludf.DUMMYFUNCTION("""COMPUTED_VALUE"""),"instagram story")</f>
        <v>instagram story</v>
      </c>
    </row>
    <row r="636" spans="1:47" x14ac:dyDescent="0.3">
      <c r="A636" s="3">
        <f ca="1"/>
        <v>2346826</v>
      </c>
      <c r="B636" s="3" t="str">
        <f ca="1"/>
        <v>CZECH NEWS CENTER a. s.</v>
      </c>
      <c r="C636" s="3" t="str">
        <f ca="1">IFERROR(__xludf.DUMMYFUNCTION("""COMPUTED_VALUE"""),"Instagramový profil Auto")</f>
        <v>Instagramový profil Auto</v>
      </c>
      <c r="D636" s="4" t="str">
        <f ca="1">IFERROR(__xludf.DUMMYFUNCTION("""COMPUTED_VALUE"""),"www.instagram.com")</f>
        <v>www.instagram.com</v>
      </c>
      <c r="E636" s="3" t="str">
        <f ca="1">IFERROR(__xludf.DUMMYFUNCTION("""COMPUTED_VALUE"""),"IG účet")</f>
        <v>IG účet</v>
      </c>
      <c r="F636" s="4" t="str">
        <f ca="1">IFERROR(__xludf.DUMMYFUNCTION("""COMPUTED_VALUE"""),"www.instagram.com")</f>
        <v>www.instagram.com</v>
      </c>
      <c r="G636" s="3" t="str">
        <f ca="1">IFERROR(__xludf.DUMMYFUNCTION("""COMPUTED_VALUE"""),"instagram post low season")</f>
        <v>instagram post low season</v>
      </c>
      <c r="H636" s="3">
        <f ca="1">IFERROR(__xludf.DUMMYFUNCTION("""COMPUTED_VALUE"""),1)</f>
        <v>1</v>
      </c>
      <c r="I636" s="5">
        <f ca="1">IFERROR(__xludf.DUMMYFUNCTION("""COMPUTED_VALUE"""),1)</f>
        <v>1</v>
      </c>
      <c r="J636" s="5">
        <f ca="1">IFERROR(__xludf.DUMMYFUNCTION("""COMPUTED_VALUE"""),23000)</f>
        <v>23000</v>
      </c>
      <c r="K636" s="3"/>
      <c r="L636" s="3" t="str">
        <f ca="1">IFERROR(__xludf.DUMMYFUNCTION("""COMPUTED_VALUE"""),"Cost per instance")</f>
        <v>Cost per instance</v>
      </c>
      <c r="M636" s="3"/>
      <c r="N636" s="3"/>
      <c r="O636" s="3"/>
      <c r="P636" s="3"/>
      <c r="Q636" s="3"/>
      <c r="R636" s="3"/>
      <c r="S636" s="3" t="str">
        <f ca="1">IFERROR(__xludf.DUMMYFUNCTION("""COMPUTED_VALUE"""),"100")</f>
        <v>100</v>
      </c>
      <c r="T636" s="3"/>
      <c r="U636" s="3" t="str">
        <f ca="1">IFERROR(__xludf.DUMMYFUNCTION("""COMPUTED_VALUE"""),"SoMe instagram")</f>
        <v>SoMe instagram</v>
      </c>
      <c r="V636" s="3"/>
      <c r="W636" s="3"/>
      <c r="X636" s="3"/>
      <c r="Y636" s="3"/>
      <c r="Z636" s="3" t="str">
        <f ca="1">IFERROR(__xludf.DUMMYFUNCTION("""COMPUTED_VALUE"""),"podklady@cncenter.cz")</f>
        <v>podklady@cncenter.cz</v>
      </c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 t="str">
        <f ca="1">IFERROR(__xludf.DUMMYFUNCTION("""COMPUTED_VALUE"""),"cross-device")</f>
        <v>cross-device</v>
      </c>
      <c r="AO636" s="3"/>
      <c r="AP636" s="3"/>
      <c r="AQ636" s="3"/>
      <c r="AR636" s="3"/>
      <c r="AS636" s="3"/>
      <c r="AT636" s="3"/>
      <c r="AU636" s="3" t="str">
        <f ca="1">IFERROR(__xludf.DUMMYFUNCTION("""COMPUTED_VALUE"""),"instagram post")</f>
        <v>instagram post</v>
      </c>
    </row>
    <row r="637" spans="1:47" x14ac:dyDescent="0.3">
      <c r="A637" s="3">
        <f ca="1"/>
        <v>2346826</v>
      </c>
      <c r="B637" s="3" t="str">
        <f ca="1"/>
        <v>CZECH NEWS CENTER a. s.</v>
      </c>
      <c r="C637" s="3" t="str">
        <f ca="1">IFERROR(__xludf.DUMMYFUNCTION("""COMPUTED_VALUE"""),"Instagramový profil Auto")</f>
        <v>Instagramový profil Auto</v>
      </c>
      <c r="D637" s="4" t="str">
        <f ca="1">IFERROR(__xludf.DUMMYFUNCTION("""COMPUTED_VALUE"""),"www.instagram.com")</f>
        <v>www.instagram.com</v>
      </c>
      <c r="E637" s="3" t="str">
        <f ca="1">IFERROR(__xludf.DUMMYFUNCTION("""COMPUTED_VALUE"""),"IG účet")</f>
        <v>IG účet</v>
      </c>
      <c r="F637" s="4" t="str">
        <f ca="1">IFERROR(__xludf.DUMMYFUNCTION("""COMPUTED_VALUE"""),"www.instagram.com")</f>
        <v>www.instagram.com</v>
      </c>
      <c r="G637" s="3" t="str">
        <f ca="1">IFERROR(__xludf.DUMMYFUNCTION("""COMPUTED_VALUE"""),"instagram story low season")</f>
        <v>instagram story low season</v>
      </c>
      <c r="H637" s="3">
        <f ca="1">IFERROR(__xludf.DUMMYFUNCTION("""COMPUTED_VALUE"""),1)</f>
        <v>1</v>
      </c>
      <c r="I637" s="5">
        <f ca="1">IFERROR(__xludf.DUMMYFUNCTION("""COMPUTED_VALUE"""),1)</f>
        <v>1</v>
      </c>
      <c r="J637" s="5">
        <f ca="1">IFERROR(__xludf.DUMMYFUNCTION("""COMPUTED_VALUE"""),23000)</f>
        <v>23000</v>
      </c>
      <c r="K637" s="3"/>
      <c r="L637" s="3" t="str">
        <f ca="1">IFERROR(__xludf.DUMMYFUNCTION("""COMPUTED_VALUE"""),"Cost per instance")</f>
        <v>Cost per instance</v>
      </c>
      <c r="M637" s="3"/>
      <c r="N637" s="3"/>
      <c r="O637" s="3"/>
      <c r="P637" s="3"/>
      <c r="Q637" s="3"/>
      <c r="R637" s="3"/>
      <c r="S637" s="3" t="str">
        <f ca="1">IFERROR(__xludf.DUMMYFUNCTION("""COMPUTED_VALUE"""),"100")</f>
        <v>100</v>
      </c>
      <c r="T637" s="3"/>
      <c r="U637" s="3" t="str">
        <f ca="1">IFERROR(__xludf.DUMMYFUNCTION("""COMPUTED_VALUE"""),"SoMe instagram")</f>
        <v>SoMe instagram</v>
      </c>
      <c r="V637" s="3"/>
      <c r="W637" s="3"/>
      <c r="X637" s="3"/>
      <c r="Y637" s="3"/>
      <c r="Z637" s="3" t="str">
        <f ca="1">IFERROR(__xludf.DUMMYFUNCTION("""COMPUTED_VALUE"""),"podklady@cncenter.cz")</f>
        <v>podklady@cncenter.cz</v>
      </c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 t="str">
        <f ca="1">IFERROR(__xludf.DUMMYFUNCTION("""COMPUTED_VALUE"""),"cross-device")</f>
        <v>cross-device</v>
      </c>
      <c r="AO637" s="3"/>
      <c r="AP637" s="3"/>
      <c r="AQ637" s="3"/>
      <c r="AR637" s="3"/>
      <c r="AS637" s="3"/>
      <c r="AT637" s="3"/>
      <c r="AU637" s="3" t="str">
        <f ca="1">IFERROR(__xludf.DUMMYFUNCTION("""COMPUTED_VALUE"""),"instagram story")</f>
        <v>instagram story</v>
      </c>
    </row>
    <row r="638" spans="1:47" x14ac:dyDescent="0.3">
      <c r="A638" s="3">
        <f ca="1"/>
        <v>2346826</v>
      </c>
      <c r="B638" s="3" t="str">
        <f ca="1"/>
        <v>CZECH NEWS CENTER a. s.</v>
      </c>
      <c r="C638" s="3" t="str">
        <f ca="1">IFERROR(__xludf.DUMMYFUNCTION("""COMPUTED_VALUE"""),"Instagramový profil AutoTip")</f>
        <v>Instagramový profil AutoTip</v>
      </c>
      <c r="D638" s="4" t="str">
        <f ca="1">IFERROR(__xludf.DUMMYFUNCTION("""COMPUTED_VALUE"""),"www.instagram.com")</f>
        <v>www.instagram.com</v>
      </c>
      <c r="E638" s="3" t="str">
        <f ca="1">IFERROR(__xludf.DUMMYFUNCTION("""COMPUTED_VALUE"""),"IG účet")</f>
        <v>IG účet</v>
      </c>
      <c r="F638" s="4" t="str">
        <f ca="1">IFERROR(__xludf.DUMMYFUNCTION("""COMPUTED_VALUE"""),"www.instagram.com")</f>
        <v>www.instagram.com</v>
      </c>
      <c r="G638" s="3" t="str">
        <f ca="1">IFERROR(__xludf.DUMMYFUNCTION("""COMPUTED_VALUE"""),"instagram post low season")</f>
        <v>instagram post low season</v>
      </c>
      <c r="H638" s="3">
        <f ca="1">IFERROR(__xludf.DUMMYFUNCTION("""COMPUTED_VALUE"""),1)</f>
        <v>1</v>
      </c>
      <c r="I638" s="5">
        <f ca="1">IFERROR(__xludf.DUMMYFUNCTION("""COMPUTED_VALUE"""),1)</f>
        <v>1</v>
      </c>
      <c r="J638" s="5">
        <f ca="1">IFERROR(__xludf.DUMMYFUNCTION("""COMPUTED_VALUE"""),18000)</f>
        <v>18000</v>
      </c>
      <c r="K638" s="3"/>
      <c r="L638" s="3" t="str">
        <f ca="1">IFERROR(__xludf.DUMMYFUNCTION("""COMPUTED_VALUE"""),"Cost per instance")</f>
        <v>Cost per instance</v>
      </c>
      <c r="M638" s="3"/>
      <c r="N638" s="3"/>
      <c r="O638" s="3"/>
      <c r="P638" s="3"/>
      <c r="Q638" s="3"/>
      <c r="R638" s="3"/>
      <c r="S638" s="3" t="str">
        <f ca="1">IFERROR(__xludf.DUMMYFUNCTION("""COMPUTED_VALUE"""),"100")</f>
        <v>100</v>
      </c>
      <c r="T638" s="3"/>
      <c r="U638" s="3" t="str">
        <f ca="1">IFERROR(__xludf.DUMMYFUNCTION("""COMPUTED_VALUE"""),"SoMe instagram")</f>
        <v>SoMe instagram</v>
      </c>
      <c r="V638" s="3"/>
      <c r="W638" s="3"/>
      <c r="X638" s="3"/>
      <c r="Y638" s="3"/>
      <c r="Z638" s="3" t="str">
        <f ca="1">IFERROR(__xludf.DUMMYFUNCTION("""COMPUTED_VALUE"""),"podklady@cncenter.cz")</f>
        <v>podklady@cncenter.cz</v>
      </c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 t="str">
        <f ca="1">IFERROR(__xludf.DUMMYFUNCTION("""COMPUTED_VALUE"""),"cross-device")</f>
        <v>cross-device</v>
      </c>
      <c r="AO638" s="3"/>
      <c r="AP638" s="3"/>
      <c r="AQ638" s="3"/>
      <c r="AR638" s="3"/>
      <c r="AS638" s="3"/>
      <c r="AT638" s="3"/>
      <c r="AU638" s="3" t="str">
        <f ca="1">IFERROR(__xludf.DUMMYFUNCTION("""COMPUTED_VALUE"""),"instagram post")</f>
        <v>instagram post</v>
      </c>
    </row>
    <row r="639" spans="1:47" x14ac:dyDescent="0.3">
      <c r="A639" s="3">
        <f ca="1"/>
        <v>2346826</v>
      </c>
      <c r="B639" s="3" t="str">
        <f ca="1"/>
        <v>CZECH NEWS CENTER a. s.</v>
      </c>
      <c r="C639" s="3" t="str">
        <f ca="1">IFERROR(__xludf.DUMMYFUNCTION("""COMPUTED_VALUE"""),"Instagramový profil AutoTip")</f>
        <v>Instagramový profil AutoTip</v>
      </c>
      <c r="D639" s="4" t="str">
        <f ca="1">IFERROR(__xludf.DUMMYFUNCTION("""COMPUTED_VALUE"""),"www.instagram.com")</f>
        <v>www.instagram.com</v>
      </c>
      <c r="E639" s="3" t="str">
        <f ca="1">IFERROR(__xludf.DUMMYFUNCTION("""COMPUTED_VALUE"""),"IG účet")</f>
        <v>IG účet</v>
      </c>
      <c r="F639" s="4" t="str">
        <f ca="1">IFERROR(__xludf.DUMMYFUNCTION("""COMPUTED_VALUE"""),"www.instagram.com")</f>
        <v>www.instagram.com</v>
      </c>
      <c r="G639" s="3" t="str">
        <f ca="1">IFERROR(__xludf.DUMMYFUNCTION("""COMPUTED_VALUE"""),"instagram story low season")</f>
        <v>instagram story low season</v>
      </c>
      <c r="H639" s="3">
        <f ca="1">IFERROR(__xludf.DUMMYFUNCTION("""COMPUTED_VALUE"""),1)</f>
        <v>1</v>
      </c>
      <c r="I639" s="5">
        <f ca="1">IFERROR(__xludf.DUMMYFUNCTION("""COMPUTED_VALUE"""),1)</f>
        <v>1</v>
      </c>
      <c r="J639" s="5">
        <f ca="1">IFERROR(__xludf.DUMMYFUNCTION("""COMPUTED_VALUE"""),18000)</f>
        <v>18000</v>
      </c>
      <c r="K639" s="3"/>
      <c r="L639" s="3" t="str">
        <f ca="1">IFERROR(__xludf.DUMMYFUNCTION("""COMPUTED_VALUE"""),"Cost per instance")</f>
        <v>Cost per instance</v>
      </c>
      <c r="M639" s="3"/>
      <c r="N639" s="3"/>
      <c r="O639" s="3"/>
      <c r="P639" s="3"/>
      <c r="Q639" s="3"/>
      <c r="R639" s="3"/>
      <c r="S639" s="3" t="str">
        <f ca="1">IFERROR(__xludf.DUMMYFUNCTION("""COMPUTED_VALUE"""),"100")</f>
        <v>100</v>
      </c>
      <c r="T639" s="3"/>
      <c r="U639" s="3" t="str">
        <f ca="1">IFERROR(__xludf.DUMMYFUNCTION("""COMPUTED_VALUE"""),"SoMe instagram")</f>
        <v>SoMe instagram</v>
      </c>
      <c r="V639" s="3"/>
      <c r="W639" s="3"/>
      <c r="X639" s="3"/>
      <c r="Y639" s="3"/>
      <c r="Z639" s="3" t="str">
        <f ca="1">IFERROR(__xludf.DUMMYFUNCTION("""COMPUTED_VALUE"""),"podklady@cncenter.cz")</f>
        <v>podklady@cncenter.cz</v>
      </c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 t="str">
        <f ca="1">IFERROR(__xludf.DUMMYFUNCTION("""COMPUTED_VALUE"""),"cross-device")</f>
        <v>cross-device</v>
      </c>
      <c r="AO639" s="3"/>
      <c r="AP639" s="3"/>
      <c r="AQ639" s="3"/>
      <c r="AR639" s="3"/>
      <c r="AS639" s="3"/>
      <c r="AT639" s="3"/>
      <c r="AU639" s="3" t="str">
        <f ca="1">IFERROR(__xludf.DUMMYFUNCTION("""COMPUTED_VALUE"""),"instagram story")</f>
        <v>instagram story</v>
      </c>
    </row>
    <row r="640" spans="1:47" x14ac:dyDescent="0.3">
      <c r="A640" s="3">
        <f ca="1"/>
        <v>2346826</v>
      </c>
      <c r="B640" s="3" t="str">
        <f ca="1"/>
        <v>CZECH NEWS CENTER a. s.</v>
      </c>
      <c r="C640" s="3" t="str">
        <f ca="1">IFERROR(__xludf.DUMMYFUNCTION("""COMPUTED_VALUE"""),"Instagramový profil Blesk")</f>
        <v>Instagramový profil Blesk</v>
      </c>
      <c r="D640" s="4" t="str">
        <f ca="1">IFERROR(__xludf.DUMMYFUNCTION("""COMPUTED_VALUE"""),"www.instagram.com")</f>
        <v>www.instagram.com</v>
      </c>
      <c r="E640" s="3" t="str">
        <f ca="1">IFERROR(__xludf.DUMMYFUNCTION("""COMPUTED_VALUE"""),"IG účet")</f>
        <v>IG účet</v>
      </c>
      <c r="F640" s="4" t="str">
        <f ca="1">IFERROR(__xludf.DUMMYFUNCTION("""COMPUTED_VALUE"""),"www.instagram.com")</f>
        <v>www.instagram.com</v>
      </c>
      <c r="G640" s="3" t="str">
        <f ca="1">IFERROR(__xludf.DUMMYFUNCTION("""COMPUTED_VALUE"""),"instagram post low season")</f>
        <v>instagram post low season</v>
      </c>
      <c r="H640" s="3">
        <f ca="1">IFERROR(__xludf.DUMMYFUNCTION("""COMPUTED_VALUE"""),1)</f>
        <v>1</v>
      </c>
      <c r="I640" s="5">
        <f ca="1">IFERROR(__xludf.DUMMYFUNCTION("""COMPUTED_VALUE"""),1)</f>
        <v>1</v>
      </c>
      <c r="J640" s="5">
        <f ca="1">IFERROR(__xludf.DUMMYFUNCTION("""COMPUTED_VALUE"""),23000)</f>
        <v>23000</v>
      </c>
      <c r="K640" s="3"/>
      <c r="L640" s="3" t="str">
        <f ca="1">IFERROR(__xludf.DUMMYFUNCTION("""COMPUTED_VALUE"""),"Cost per instance")</f>
        <v>Cost per instance</v>
      </c>
      <c r="M640" s="3"/>
      <c r="N640" s="3"/>
      <c r="O640" s="3"/>
      <c r="P640" s="3"/>
      <c r="Q640" s="3"/>
      <c r="R640" s="3"/>
      <c r="S640" s="3" t="str">
        <f ca="1">IFERROR(__xludf.DUMMYFUNCTION("""COMPUTED_VALUE"""),"100")</f>
        <v>100</v>
      </c>
      <c r="T640" s="3"/>
      <c r="U640" s="3" t="str">
        <f ca="1">IFERROR(__xludf.DUMMYFUNCTION("""COMPUTED_VALUE"""),"SoMe instagram")</f>
        <v>SoMe instagram</v>
      </c>
      <c r="V640" s="3"/>
      <c r="W640" s="3"/>
      <c r="X640" s="3"/>
      <c r="Y640" s="3"/>
      <c r="Z640" s="3" t="str">
        <f ca="1">IFERROR(__xludf.DUMMYFUNCTION("""COMPUTED_VALUE"""),"podklady@cncenter.cz")</f>
        <v>podklady@cncenter.cz</v>
      </c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 t="str">
        <f ca="1">IFERROR(__xludf.DUMMYFUNCTION("""COMPUTED_VALUE"""),"cross-device")</f>
        <v>cross-device</v>
      </c>
      <c r="AO640" s="3"/>
      <c r="AP640" s="3"/>
      <c r="AQ640" s="3"/>
      <c r="AR640" s="3"/>
      <c r="AS640" s="3"/>
      <c r="AT640" s="3"/>
      <c r="AU640" s="3" t="str">
        <f ca="1">IFERROR(__xludf.DUMMYFUNCTION("""COMPUTED_VALUE"""),"instagram post")</f>
        <v>instagram post</v>
      </c>
    </row>
    <row r="641" spans="1:47" x14ac:dyDescent="0.3">
      <c r="A641" s="3">
        <f ca="1"/>
        <v>2346826</v>
      </c>
      <c r="B641" s="3" t="str">
        <f ca="1"/>
        <v>CZECH NEWS CENTER a. s.</v>
      </c>
      <c r="C641" s="3" t="str">
        <f ca="1">IFERROR(__xludf.DUMMYFUNCTION("""COMPUTED_VALUE"""),"Instagramový profil Blesk")</f>
        <v>Instagramový profil Blesk</v>
      </c>
      <c r="D641" s="4" t="str">
        <f ca="1">IFERROR(__xludf.DUMMYFUNCTION("""COMPUTED_VALUE"""),"www.instagram.com")</f>
        <v>www.instagram.com</v>
      </c>
      <c r="E641" s="3" t="str">
        <f ca="1">IFERROR(__xludf.DUMMYFUNCTION("""COMPUTED_VALUE"""),"IG účet")</f>
        <v>IG účet</v>
      </c>
      <c r="F641" s="4" t="str">
        <f ca="1">IFERROR(__xludf.DUMMYFUNCTION("""COMPUTED_VALUE"""),"www.instagram.com")</f>
        <v>www.instagram.com</v>
      </c>
      <c r="G641" s="3" t="str">
        <f ca="1">IFERROR(__xludf.DUMMYFUNCTION("""COMPUTED_VALUE"""),"instagram story low season")</f>
        <v>instagram story low season</v>
      </c>
      <c r="H641" s="3">
        <f ca="1">IFERROR(__xludf.DUMMYFUNCTION("""COMPUTED_VALUE"""),1)</f>
        <v>1</v>
      </c>
      <c r="I641" s="5">
        <f ca="1">IFERROR(__xludf.DUMMYFUNCTION("""COMPUTED_VALUE"""),1)</f>
        <v>1</v>
      </c>
      <c r="J641" s="5">
        <f ca="1">IFERROR(__xludf.DUMMYFUNCTION("""COMPUTED_VALUE"""),23000)</f>
        <v>23000</v>
      </c>
      <c r="K641" s="3"/>
      <c r="L641" s="3" t="str">
        <f ca="1">IFERROR(__xludf.DUMMYFUNCTION("""COMPUTED_VALUE"""),"Cost per instance")</f>
        <v>Cost per instance</v>
      </c>
      <c r="M641" s="3"/>
      <c r="N641" s="3"/>
      <c r="O641" s="3"/>
      <c r="P641" s="3"/>
      <c r="Q641" s="3"/>
      <c r="R641" s="3"/>
      <c r="S641" s="3" t="str">
        <f ca="1">IFERROR(__xludf.DUMMYFUNCTION("""COMPUTED_VALUE"""),"100")</f>
        <v>100</v>
      </c>
      <c r="T641" s="3"/>
      <c r="U641" s="3" t="str">
        <f ca="1">IFERROR(__xludf.DUMMYFUNCTION("""COMPUTED_VALUE"""),"SoMe instagram")</f>
        <v>SoMe instagram</v>
      </c>
      <c r="V641" s="3"/>
      <c r="W641" s="3"/>
      <c r="X641" s="3"/>
      <c r="Y641" s="3"/>
      <c r="Z641" s="3" t="str">
        <f ca="1">IFERROR(__xludf.DUMMYFUNCTION("""COMPUTED_VALUE"""),"podklady@cncenter.cz")</f>
        <v>podklady@cncenter.cz</v>
      </c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 t="str">
        <f ca="1">IFERROR(__xludf.DUMMYFUNCTION("""COMPUTED_VALUE"""),"cross-device")</f>
        <v>cross-device</v>
      </c>
      <c r="AO641" s="3"/>
      <c r="AP641" s="3"/>
      <c r="AQ641" s="3"/>
      <c r="AR641" s="3"/>
      <c r="AS641" s="3"/>
      <c r="AT641" s="3"/>
      <c r="AU641" s="3" t="str">
        <f ca="1">IFERROR(__xludf.DUMMYFUNCTION("""COMPUTED_VALUE"""),"instagram story")</f>
        <v>instagram story</v>
      </c>
    </row>
    <row r="642" spans="1:47" x14ac:dyDescent="0.3">
      <c r="A642" s="3">
        <f ca="1"/>
        <v>2346826</v>
      </c>
      <c r="B642" s="3" t="str">
        <f ca="1"/>
        <v>CZECH NEWS CENTER a. s.</v>
      </c>
      <c r="C642" s="3" t="str">
        <f ca="1">IFERROR(__xludf.DUMMYFUNCTION("""COMPUTED_VALUE"""),"Instagramový profil Blesk pro ženy")</f>
        <v>Instagramový profil Blesk pro ženy</v>
      </c>
      <c r="D642" s="4" t="str">
        <f ca="1">IFERROR(__xludf.DUMMYFUNCTION("""COMPUTED_VALUE"""),"www.instagram.com")</f>
        <v>www.instagram.com</v>
      </c>
      <c r="E642" s="3" t="str">
        <f ca="1">IFERROR(__xludf.DUMMYFUNCTION("""COMPUTED_VALUE"""),"IG účet")</f>
        <v>IG účet</v>
      </c>
      <c r="F642" s="4" t="str">
        <f ca="1">IFERROR(__xludf.DUMMYFUNCTION("""COMPUTED_VALUE"""),"www.instagram.com")</f>
        <v>www.instagram.com</v>
      </c>
      <c r="G642" s="3" t="str">
        <f ca="1">IFERROR(__xludf.DUMMYFUNCTION("""COMPUTED_VALUE"""),"instagram post low season")</f>
        <v>instagram post low season</v>
      </c>
      <c r="H642" s="3">
        <f ca="1">IFERROR(__xludf.DUMMYFUNCTION("""COMPUTED_VALUE"""),1)</f>
        <v>1</v>
      </c>
      <c r="I642" s="5">
        <f ca="1">IFERROR(__xludf.DUMMYFUNCTION("""COMPUTED_VALUE"""),1)</f>
        <v>1</v>
      </c>
      <c r="J642" s="5">
        <f ca="1">IFERROR(__xludf.DUMMYFUNCTION("""COMPUTED_VALUE"""),23000)</f>
        <v>23000</v>
      </c>
      <c r="K642" s="3"/>
      <c r="L642" s="3" t="str">
        <f ca="1">IFERROR(__xludf.DUMMYFUNCTION("""COMPUTED_VALUE"""),"Cost per instance")</f>
        <v>Cost per instance</v>
      </c>
      <c r="M642" s="3"/>
      <c r="N642" s="3"/>
      <c r="O642" s="3"/>
      <c r="P642" s="3"/>
      <c r="Q642" s="3"/>
      <c r="R642" s="3"/>
      <c r="S642" s="3" t="str">
        <f ca="1">IFERROR(__xludf.DUMMYFUNCTION("""COMPUTED_VALUE"""),"100")</f>
        <v>100</v>
      </c>
      <c r="T642" s="3"/>
      <c r="U642" s="3" t="str">
        <f ca="1">IFERROR(__xludf.DUMMYFUNCTION("""COMPUTED_VALUE"""),"SoMe instagram")</f>
        <v>SoMe instagram</v>
      </c>
      <c r="V642" s="3"/>
      <c r="W642" s="3"/>
      <c r="X642" s="3"/>
      <c r="Y642" s="3"/>
      <c r="Z642" s="3" t="str">
        <f ca="1">IFERROR(__xludf.DUMMYFUNCTION("""COMPUTED_VALUE"""),"podklady@cncenter.cz")</f>
        <v>podklady@cncenter.cz</v>
      </c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 t="str">
        <f ca="1">IFERROR(__xludf.DUMMYFUNCTION("""COMPUTED_VALUE"""),"cross-device")</f>
        <v>cross-device</v>
      </c>
      <c r="AO642" s="3"/>
      <c r="AP642" s="3"/>
      <c r="AQ642" s="3"/>
      <c r="AR642" s="3"/>
      <c r="AS642" s="3"/>
      <c r="AT642" s="3"/>
      <c r="AU642" s="3" t="str">
        <f ca="1">IFERROR(__xludf.DUMMYFUNCTION("""COMPUTED_VALUE"""),"instagram post")</f>
        <v>instagram post</v>
      </c>
    </row>
    <row r="643" spans="1:47" x14ac:dyDescent="0.3">
      <c r="A643" s="3">
        <f ca="1"/>
        <v>2346826</v>
      </c>
      <c r="B643" s="3" t="str">
        <f ca="1"/>
        <v>CZECH NEWS CENTER a. s.</v>
      </c>
      <c r="C643" s="3" t="str">
        <f ca="1">IFERROR(__xludf.DUMMYFUNCTION("""COMPUTED_VALUE"""),"Instagramový profil Blesk pro ženy")</f>
        <v>Instagramový profil Blesk pro ženy</v>
      </c>
      <c r="D643" s="4" t="str">
        <f ca="1">IFERROR(__xludf.DUMMYFUNCTION("""COMPUTED_VALUE"""),"www.instagram.com")</f>
        <v>www.instagram.com</v>
      </c>
      <c r="E643" s="3" t="str">
        <f ca="1">IFERROR(__xludf.DUMMYFUNCTION("""COMPUTED_VALUE"""),"IG účet")</f>
        <v>IG účet</v>
      </c>
      <c r="F643" s="4" t="str">
        <f ca="1">IFERROR(__xludf.DUMMYFUNCTION("""COMPUTED_VALUE"""),"www.instagram.com")</f>
        <v>www.instagram.com</v>
      </c>
      <c r="G643" s="3" t="str">
        <f ca="1">IFERROR(__xludf.DUMMYFUNCTION("""COMPUTED_VALUE"""),"instagram story low season")</f>
        <v>instagram story low season</v>
      </c>
      <c r="H643" s="3">
        <f ca="1">IFERROR(__xludf.DUMMYFUNCTION("""COMPUTED_VALUE"""),1)</f>
        <v>1</v>
      </c>
      <c r="I643" s="5">
        <f ca="1">IFERROR(__xludf.DUMMYFUNCTION("""COMPUTED_VALUE"""),1)</f>
        <v>1</v>
      </c>
      <c r="J643" s="5">
        <f ca="1">IFERROR(__xludf.DUMMYFUNCTION("""COMPUTED_VALUE"""),23000)</f>
        <v>23000</v>
      </c>
      <c r="K643" s="3"/>
      <c r="L643" s="3" t="str">
        <f ca="1">IFERROR(__xludf.DUMMYFUNCTION("""COMPUTED_VALUE"""),"Cost per instance")</f>
        <v>Cost per instance</v>
      </c>
      <c r="M643" s="3"/>
      <c r="N643" s="3"/>
      <c r="O643" s="3"/>
      <c r="P643" s="3"/>
      <c r="Q643" s="3"/>
      <c r="R643" s="3"/>
      <c r="S643" s="3" t="str">
        <f ca="1">IFERROR(__xludf.DUMMYFUNCTION("""COMPUTED_VALUE"""),"100")</f>
        <v>100</v>
      </c>
      <c r="T643" s="3"/>
      <c r="U643" s="3" t="str">
        <f ca="1">IFERROR(__xludf.DUMMYFUNCTION("""COMPUTED_VALUE"""),"SoMe instagram")</f>
        <v>SoMe instagram</v>
      </c>
      <c r="V643" s="3"/>
      <c r="W643" s="3"/>
      <c r="X643" s="3"/>
      <c r="Y643" s="3"/>
      <c r="Z643" s="3" t="str">
        <f ca="1">IFERROR(__xludf.DUMMYFUNCTION("""COMPUTED_VALUE"""),"podklady@cncenter.cz")</f>
        <v>podklady@cncenter.cz</v>
      </c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 t="str">
        <f ca="1">IFERROR(__xludf.DUMMYFUNCTION("""COMPUTED_VALUE"""),"cross-device")</f>
        <v>cross-device</v>
      </c>
      <c r="AO643" s="3"/>
      <c r="AP643" s="3"/>
      <c r="AQ643" s="3"/>
      <c r="AR643" s="3"/>
      <c r="AS643" s="3"/>
      <c r="AT643" s="3"/>
      <c r="AU643" s="3" t="str">
        <f ca="1">IFERROR(__xludf.DUMMYFUNCTION("""COMPUTED_VALUE"""),"instagram story")</f>
        <v>instagram story</v>
      </c>
    </row>
    <row r="644" spans="1:47" x14ac:dyDescent="0.3">
      <c r="A644" s="3">
        <f ca="1"/>
        <v>2346826</v>
      </c>
      <c r="B644" s="3" t="str">
        <f ca="1"/>
        <v>CZECH NEWS CENTER a. s.</v>
      </c>
      <c r="C644" s="3" t="str">
        <f ca="1">IFERROR(__xludf.DUMMYFUNCTION("""COMPUTED_VALUE"""),"Instagramový profil E15")</f>
        <v>Instagramový profil E15</v>
      </c>
      <c r="D644" s="4" t="str">
        <f ca="1">IFERROR(__xludf.DUMMYFUNCTION("""COMPUTED_VALUE"""),"www.instagram.com")</f>
        <v>www.instagram.com</v>
      </c>
      <c r="E644" s="3" t="str">
        <f ca="1">IFERROR(__xludf.DUMMYFUNCTION("""COMPUTED_VALUE"""),"IG účet")</f>
        <v>IG účet</v>
      </c>
      <c r="F644" s="4" t="str">
        <f ca="1">IFERROR(__xludf.DUMMYFUNCTION("""COMPUTED_VALUE"""),"www.instagram.com")</f>
        <v>www.instagram.com</v>
      </c>
      <c r="G644" s="3" t="str">
        <f ca="1">IFERROR(__xludf.DUMMYFUNCTION("""COMPUTED_VALUE"""),"instagram story low season")</f>
        <v>instagram story low season</v>
      </c>
      <c r="H644" s="3">
        <f ca="1">IFERROR(__xludf.DUMMYFUNCTION("""COMPUTED_VALUE"""),1)</f>
        <v>1</v>
      </c>
      <c r="I644" s="5">
        <f ca="1">IFERROR(__xludf.DUMMYFUNCTION("""COMPUTED_VALUE"""),1)</f>
        <v>1</v>
      </c>
      <c r="J644" s="5">
        <f ca="1">IFERROR(__xludf.DUMMYFUNCTION("""COMPUTED_VALUE"""),23000)</f>
        <v>23000</v>
      </c>
      <c r="K644" s="3"/>
      <c r="L644" s="3" t="str">
        <f ca="1">IFERROR(__xludf.DUMMYFUNCTION("""COMPUTED_VALUE"""),"Cost per instance")</f>
        <v>Cost per instance</v>
      </c>
      <c r="M644" s="3"/>
      <c r="N644" s="3"/>
      <c r="O644" s="3"/>
      <c r="P644" s="3"/>
      <c r="Q644" s="3"/>
      <c r="R644" s="3"/>
      <c r="S644" s="3" t="str">
        <f ca="1">IFERROR(__xludf.DUMMYFUNCTION("""COMPUTED_VALUE"""),"100")</f>
        <v>100</v>
      </c>
      <c r="T644" s="3"/>
      <c r="U644" s="3" t="str">
        <f ca="1">IFERROR(__xludf.DUMMYFUNCTION("""COMPUTED_VALUE"""),"SoMe instagram")</f>
        <v>SoMe instagram</v>
      </c>
      <c r="V644" s="3"/>
      <c r="W644" s="3"/>
      <c r="X644" s="3"/>
      <c r="Y644" s="3"/>
      <c r="Z644" s="3" t="str">
        <f ca="1">IFERROR(__xludf.DUMMYFUNCTION("""COMPUTED_VALUE"""),"podklady@cncenter.cz")</f>
        <v>podklady@cncenter.cz</v>
      </c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 t="str">
        <f ca="1">IFERROR(__xludf.DUMMYFUNCTION("""COMPUTED_VALUE"""),"cross-device")</f>
        <v>cross-device</v>
      </c>
      <c r="AO644" s="3"/>
      <c r="AP644" s="3"/>
      <c r="AQ644" s="3"/>
      <c r="AR644" s="3"/>
      <c r="AS644" s="3"/>
      <c r="AT644" s="3"/>
      <c r="AU644" s="3" t="str">
        <f ca="1">IFERROR(__xludf.DUMMYFUNCTION("""COMPUTED_VALUE"""),"instagram story")</f>
        <v>instagram story</v>
      </c>
    </row>
    <row r="645" spans="1:47" x14ac:dyDescent="0.3">
      <c r="A645" s="3">
        <f ca="1"/>
        <v>2346826</v>
      </c>
      <c r="B645" s="3" t="str">
        <f ca="1"/>
        <v>CZECH NEWS CENTER a. s.</v>
      </c>
      <c r="C645" s="3" t="str">
        <f ca="1">IFERROR(__xludf.DUMMYFUNCTION("""COMPUTED_VALUE"""),"Instagramový profil Evropa 2")</f>
        <v>Instagramový profil Evropa 2</v>
      </c>
      <c r="D645" s="4" t="str">
        <f ca="1">IFERROR(__xludf.DUMMYFUNCTION("""COMPUTED_VALUE"""),"www.instagram.com")</f>
        <v>www.instagram.com</v>
      </c>
      <c r="E645" s="3" t="str">
        <f ca="1">IFERROR(__xludf.DUMMYFUNCTION("""COMPUTED_VALUE"""),"IG účet")</f>
        <v>IG účet</v>
      </c>
      <c r="F645" s="4" t="str">
        <f ca="1">IFERROR(__xludf.DUMMYFUNCTION("""COMPUTED_VALUE"""),"www.instagram.com")</f>
        <v>www.instagram.com</v>
      </c>
      <c r="G645" s="3" t="str">
        <f ca="1">IFERROR(__xludf.DUMMYFUNCTION("""COMPUTED_VALUE"""),"instagram post low season")</f>
        <v>instagram post low season</v>
      </c>
      <c r="H645" s="3">
        <f ca="1">IFERROR(__xludf.DUMMYFUNCTION("""COMPUTED_VALUE"""),1)</f>
        <v>1</v>
      </c>
      <c r="I645" s="5">
        <f ca="1">IFERROR(__xludf.DUMMYFUNCTION("""COMPUTED_VALUE"""),1)</f>
        <v>1</v>
      </c>
      <c r="J645" s="5">
        <f ca="1">IFERROR(__xludf.DUMMYFUNCTION("""COMPUTED_VALUE"""),58500)</f>
        <v>58500</v>
      </c>
      <c r="K645" s="3"/>
      <c r="L645" s="3" t="str">
        <f ca="1">IFERROR(__xludf.DUMMYFUNCTION("""COMPUTED_VALUE"""),"Cost per instance")</f>
        <v>Cost per instance</v>
      </c>
      <c r="M645" s="3"/>
      <c r="N645" s="3"/>
      <c r="O645" s="3"/>
      <c r="P645" s="3"/>
      <c r="Q645" s="3"/>
      <c r="R645" s="3"/>
      <c r="S645" s="3" t="str">
        <f ca="1">IFERROR(__xludf.DUMMYFUNCTION("""COMPUTED_VALUE"""),"100")</f>
        <v>100</v>
      </c>
      <c r="T645" s="3"/>
      <c r="U645" s="3" t="str">
        <f ca="1">IFERROR(__xludf.DUMMYFUNCTION("""COMPUTED_VALUE"""),"SoMe instagram")</f>
        <v>SoMe instagram</v>
      </c>
      <c r="V645" s="3"/>
      <c r="W645" s="3"/>
      <c r="X645" s="3"/>
      <c r="Y645" s="3"/>
      <c r="Z645" s="3" t="str">
        <f ca="1">IFERROR(__xludf.DUMMYFUNCTION("""COMPUTED_VALUE"""),"podklady@cncenter.cz")</f>
        <v>podklady@cncenter.cz</v>
      </c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 t="str">
        <f ca="1">IFERROR(__xludf.DUMMYFUNCTION("""COMPUTED_VALUE"""),"cross-device")</f>
        <v>cross-device</v>
      </c>
      <c r="AO645" s="3"/>
      <c r="AP645" s="3"/>
      <c r="AQ645" s="3"/>
      <c r="AR645" s="3"/>
      <c r="AS645" s="3"/>
      <c r="AT645" s="3"/>
      <c r="AU645" s="3" t="str">
        <f ca="1">IFERROR(__xludf.DUMMYFUNCTION("""COMPUTED_VALUE"""),"instagram post")</f>
        <v>instagram post</v>
      </c>
    </row>
    <row r="646" spans="1:47" x14ac:dyDescent="0.3">
      <c r="A646" s="3">
        <f ca="1"/>
        <v>2346826</v>
      </c>
      <c r="B646" s="3" t="str">
        <f ca="1"/>
        <v>CZECH NEWS CENTER a. s.</v>
      </c>
      <c r="C646" s="3" t="str">
        <f ca="1">IFERROR(__xludf.DUMMYFUNCTION("""COMPUTED_VALUE"""),"Instagramový profil F.O.O.D.")</f>
        <v>Instagramový profil F.O.O.D.</v>
      </c>
      <c r="D646" s="4" t="str">
        <f ca="1">IFERROR(__xludf.DUMMYFUNCTION("""COMPUTED_VALUE"""),"www.instagram.com")</f>
        <v>www.instagram.com</v>
      </c>
      <c r="E646" s="3" t="str">
        <f ca="1">IFERROR(__xludf.DUMMYFUNCTION("""COMPUTED_VALUE"""),"IG účet")</f>
        <v>IG účet</v>
      </c>
      <c r="F646" s="4" t="str">
        <f ca="1">IFERROR(__xludf.DUMMYFUNCTION("""COMPUTED_VALUE"""),"www.instagram.com")</f>
        <v>www.instagram.com</v>
      </c>
      <c r="G646" s="3" t="str">
        <f ca="1">IFERROR(__xludf.DUMMYFUNCTION("""COMPUTED_VALUE"""),"instagram post low season")</f>
        <v>instagram post low season</v>
      </c>
      <c r="H646" s="3">
        <f ca="1">IFERROR(__xludf.DUMMYFUNCTION("""COMPUTED_VALUE"""),1)</f>
        <v>1</v>
      </c>
      <c r="I646" s="5">
        <f ca="1">IFERROR(__xludf.DUMMYFUNCTION("""COMPUTED_VALUE"""),1)</f>
        <v>1</v>
      </c>
      <c r="J646" s="5">
        <f ca="1">IFERROR(__xludf.DUMMYFUNCTION("""COMPUTED_VALUE"""),18000)</f>
        <v>18000</v>
      </c>
      <c r="K646" s="3"/>
      <c r="L646" s="3" t="str">
        <f ca="1">IFERROR(__xludf.DUMMYFUNCTION("""COMPUTED_VALUE"""),"Cost per instance")</f>
        <v>Cost per instance</v>
      </c>
      <c r="M646" s="3"/>
      <c r="N646" s="3"/>
      <c r="O646" s="3"/>
      <c r="P646" s="3"/>
      <c r="Q646" s="3"/>
      <c r="R646" s="3"/>
      <c r="S646" s="3" t="str">
        <f ca="1">IFERROR(__xludf.DUMMYFUNCTION("""COMPUTED_VALUE"""),"100")</f>
        <v>100</v>
      </c>
      <c r="T646" s="3"/>
      <c r="U646" s="3" t="str">
        <f ca="1">IFERROR(__xludf.DUMMYFUNCTION("""COMPUTED_VALUE"""),"SoMe instagram")</f>
        <v>SoMe instagram</v>
      </c>
      <c r="V646" s="3"/>
      <c r="W646" s="3"/>
      <c r="X646" s="3"/>
      <c r="Y646" s="3"/>
      <c r="Z646" s="3" t="str">
        <f ca="1">IFERROR(__xludf.DUMMYFUNCTION("""COMPUTED_VALUE"""),"podklady@cncenter.cz")</f>
        <v>podklady@cncenter.cz</v>
      </c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 t="str">
        <f ca="1">IFERROR(__xludf.DUMMYFUNCTION("""COMPUTED_VALUE"""),"cross-device")</f>
        <v>cross-device</v>
      </c>
      <c r="AO646" s="3"/>
      <c r="AP646" s="3"/>
      <c r="AQ646" s="3"/>
      <c r="AR646" s="3"/>
      <c r="AS646" s="3"/>
      <c r="AT646" s="3"/>
      <c r="AU646" s="3" t="str">
        <f ca="1">IFERROR(__xludf.DUMMYFUNCTION("""COMPUTED_VALUE"""),"instagram post")</f>
        <v>instagram post</v>
      </c>
    </row>
    <row r="647" spans="1:47" x14ac:dyDescent="0.3">
      <c r="A647" s="3">
        <f ca="1"/>
        <v>2346826</v>
      </c>
      <c r="B647" s="3" t="str">
        <f ca="1"/>
        <v>CZECH NEWS CENTER a. s.</v>
      </c>
      <c r="C647" s="3" t="str">
        <f ca="1">IFERROR(__xludf.DUMMYFUNCTION("""COMPUTED_VALUE"""),"Instagramový profil F.O.O.D.")</f>
        <v>Instagramový profil F.O.O.D.</v>
      </c>
      <c r="D647" s="4" t="str">
        <f ca="1">IFERROR(__xludf.DUMMYFUNCTION("""COMPUTED_VALUE"""),"www.instagram.com")</f>
        <v>www.instagram.com</v>
      </c>
      <c r="E647" s="3" t="str">
        <f ca="1">IFERROR(__xludf.DUMMYFUNCTION("""COMPUTED_VALUE"""),"IG účet")</f>
        <v>IG účet</v>
      </c>
      <c r="F647" s="4" t="str">
        <f ca="1">IFERROR(__xludf.DUMMYFUNCTION("""COMPUTED_VALUE"""),"www.instagram.com")</f>
        <v>www.instagram.com</v>
      </c>
      <c r="G647" s="3" t="str">
        <f ca="1">IFERROR(__xludf.DUMMYFUNCTION("""COMPUTED_VALUE"""),"instagram story low season")</f>
        <v>instagram story low season</v>
      </c>
      <c r="H647" s="3">
        <f ca="1">IFERROR(__xludf.DUMMYFUNCTION("""COMPUTED_VALUE"""),1)</f>
        <v>1</v>
      </c>
      <c r="I647" s="5">
        <f ca="1">IFERROR(__xludf.DUMMYFUNCTION("""COMPUTED_VALUE"""),1)</f>
        <v>1</v>
      </c>
      <c r="J647" s="5">
        <f ca="1">IFERROR(__xludf.DUMMYFUNCTION("""COMPUTED_VALUE"""),18000)</f>
        <v>18000</v>
      </c>
      <c r="K647" s="3"/>
      <c r="L647" s="3" t="str">
        <f ca="1">IFERROR(__xludf.DUMMYFUNCTION("""COMPUTED_VALUE"""),"Cost per instance")</f>
        <v>Cost per instance</v>
      </c>
      <c r="M647" s="3"/>
      <c r="N647" s="3"/>
      <c r="O647" s="3"/>
      <c r="P647" s="3"/>
      <c r="Q647" s="3"/>
      <c r="R647" s="3"/>
      <c r="S647" s="3" t="str">
        <f ca="1">IFERROR(__xludf.DUMMYFUNCTION("""COMPUTED_VALUE"""),"100")</f>
        <v>100</v>
      </c>
      <c r="T647" s="3"/>
      <c r="U647" s="3" t="str">
        <f ca="1">IFERROR(__xludf.DUMMYFUNCTION("""COMPUTED_VALUE"""),"SoMe instagram")</f>
        <v>SoMe instagram</v>
      </c>
      <c r="V647" s="3"/>
      <c r="W647" s="3"/>
      <c r="X647" s="3"/>
      <c r="Y647" s="3"/>
      <c r="Z647" s="3" t="str">
        <f ca="1">IFERROR(__xludf.DUMMYFUNCTION("""COMPUTED_VALUE"""),"podklady@cncenter.cz")</f>
        <v>podklady@cncenter.cz</v>
      </c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 t="str">
        <f ca="1">IFERROR(__xludf.DUMMYFUNCTION("""COMPUTED_VALUE"""),"cross-device")</f>
        <v>cross-device</v>
      </c>
      <c r="AO647" s="3"/>
      <c r="AP647" s="3"/>
      <c r="AQ647" s="3"/>
      <c r="AR647" s="3"/>
      <c r="AS647" s="3"/>
      <c r="AT647" s="3"/>
      <c r="AU647" s="3" t="str">
        <f ca="1">IFERROR(__xludf.DUMMYFUNCTION("""COMPUTED_VALUE"""),"instagram story")</f>
        <v>instagram story</v>
      </c>
    </row>
    <row r="648" spans="1:47" x14ac:dyDescent="0.3">
      <c r="A648" s="3">
        <f ca="1"/>
        <v>2346826</v>
      </c>
      <c r="B648" s="3" t="str">
        <f ca="1"/>
        <v>CZECH NEWS CENTER a. s.</v>
      </c>
      <c r="C648" s="3" t="str">
        <f ca="1">IFERROR(__xludf.DUMMYFUNCTION("""COMPUTED_VALUE"""),"Instagramový profil FOMO")</f>
        <v>Instagramový profil FOMO</v>
      </c>
      <c r="D648" s="4" t="str">
        <f ca="1">IFERROR(__xludf.DUMMYFUNCTION("""COMPUTED_VALUE"""),"www.instagram.com")</f>
        <v>www.instagram.com</v>
      </c>
      <c r="E648" s="3" t="str">
        <f ca="1">IFERROR(__xludf.DUMMYFUNCTION("""COMPUTED_VALUE"""),"IG účet")</f>
        <v>IG účet</v>
      </c>
      <c r="F648" s="4" t="str">
        <f ca="1">IFERROR(__xludf.DUMMYFUNCTION("""COMPUTED_VALUE"""),"www.instagram.com")</f>
        <v>www.instagram.com</v>
      </c>
      <c r="G648" s="3" t="str">
        <f ca="1">IFERROR(__xludf.DUMMYFUNCTION("""COMPUTED_VALUE"""),"instagram post low season")</f>
        <v>instagram post low season</v>
      </c>
      <c r="H648" s="3">
        <f ca="1">IFERROR(__xludf.DUMMYFUNCTION("""COMPUTED_VALUE"""),1)</f>
        <v>1</v>
      </c>
      <c r="I648" s="5">
        <f ca="1">IFERROR(__xludf.DUMMYFUNCTION("""COMPUTED_VALUE"""),1)</f>
        <v>1</v>
      </c>
      <c r="J648" s="5">
        <f ca="1">IFERROR(__xludf.DUMMYFUNCTION("""COMPUTED_VALUE"""),40000)</f>
        <v>40000</v>
      </c>
      <c r="K648" s="3"/>
      <c r="L648" s="3" t="str">
        <f ca="1">IFERROR(__xludf.DUMMYFUNCTION("""COMPUTED_VALUE"""),"Cost per instance")</f>
        <v>Cost per instance</v>
      </c>
      <c r="M648" s="3"/>
      <c r="N648" s="3"/>
      <c r="O648" s="3"/>
      <c r="P648" s="3"/>
      <c r="Q648" s="3"/>
      <c r="R648" s="3"/>
      <c r="S648" s="3" t="str">
        <f ca="1">IFERROR(__xludf.DUMMYFUNCTION("""COMPUTED_VALUE"""),"100")</f>
        <v>100</v>
      </c>
      <c r="T648" s="3"/>
      <c r="U648" s="3" t="str">
        <f ca="1">IFERROR(__xludf.DUMMYFUNCTION("""COMPUTED_VALUE"""),"SoMe instagram")</f>
        <v>SoMe instagram</v>
      </c>
      <c r="V648" s="3"/>
      <c r="W648" s="3"/>
      <c r="X648" s="3"/>
      <c r="Y648" s="3"/>
      <c r="Z648" s="3" t="str">
        <f ca="1">IFERROR(__xludf.DUMMYFUNCTION("""COMPUTED_VALUE"""),"podklady@cncenter.cz")</f>
        <v>podklady@cncenter.cz</v>
      </c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 t="str">
        <f ca="1">IFERROR(__xludf.DUMMYFUNCTION("""COMPUTED_VALUE"""),"cross-device")</f>
        <v>cross-device</v>
      </c>
      <c r="AO648" s="3"/>
      <c r="AP648" s="3"/>
      <c r="AQ648" s="3"/>
      <c r="AR648" s="3"/>
      <c r="AS648" s="3"/>
      <c r="AT648" s="3"/>
      <c r="AU648" s="3" t="str">
        <f ca="1">IFERROR(__xludf.DUMMYFUNCTION("""COMPUTED_VALUE"""),"instagram post")</f>
        <v>instagram post</v>
      </c>
    </row>
    <row r="649" spans="1:47" x14ac:dyDescent="0.3">
      <c r="A649" s="3">
        <f ca="1"/>
        <v>2346826</v>
      </c>
      <c r="B649" s="3" t="str">
        <f ca="1"/>
        <v>CZECH NEWS CENTER a. s.</v>
      </c>
      <c r="C649" s="3" t="str">
        <f ca="1">IFERROR(__xludf.DUMMYFUNCTION("""COMPUTED_VALUE"""),"Instagramový profil FOMO")</f>
        <v>Instagramový profil FOMO</v>
      </c>
      <c r="D649" s="4" t="str">
        <f ca="1">IFERROR(__xludf.DUMMYFUNCTION("""COMPUTED_VALUE"""),"www.instagram.com")</f>
        <v>www.instagram.com</v>
      </c>
      <c r="E649" s="3" t="str">
        <f ca="1">IFERROR(__xludf.DUMMYFUNCTION("""COMPUTED_VALUE"""),"IG účet")</f>
        <v>IG účet</v>
      </c>
      <c r="F649" s="4" t="str">
        <f ca="1">IFERROR(__xludf.DUMMYFUNCTION("""COMPUTED_VALUE"""),"www.instagram.com")</f>
        <v>www.instagram.com</v>
      </c>
      <c r="G649" s="3" t="str">
        <f ca="1">IFERROR(__xludf.DUMMYFUNCTION("""COMPUTED_VALUE"""),"instagram story low season")</f>
        <v>instagram story low season</v>
      </c>
      <c r="H649" s="3">
        <f ca="1">IFERROR(__xludf.DUMMYFUNCTION("""COMPUTED_VALUE"""),1)</f>
        <v>1</v>
      </c>
      <c r="I649" s="5">
        <f ca="1">IFERROR(__xludf.DUMMYFUNCTION("""COMPUTED_VALUE"""),1)</f>
        <v>1</v>
      </c>
      <c r="J649" s="5">
        <f ca="1">IFERROR(__xludf.DUMMYFUNCTION("""COMPUTED_VALUE"""),20000)</f>
        <v>20000</v>
      </c>
      <c r="K649" s="3"/>
      <c r="L649" s="3" t="str">
        <f ca="1">IFERROR(__xludf.DUMMYFUNCTION("""COMPUTED_VALUE"""),"Cost per instance")</f>
        <v>Cost per instance</v>
      </c>
      <c r="M649" s="3"/>
      <c r="N649" s="3"/>
      <c r="O649" s="3"/>
      <c r="P649" s="3"/>
      <c r="Q649" s="3"/>
      <c r="R649" s="3"/>
      <c r="S649" s="3" t="str">
        <f ca="1">IFERROR(__xludf.DUMMYFUNCTION("""COMPUTED_VALUE"""),"100")</f>
        <v>100</v>
      </c>
      <c r="T649" s="3"/>
      <c r="U649" s="3" t="str">
        <f ca="1">IFERROR(__xludf.DUMMYFUNCTION("""COMPUTED_VALUE"""),"SoMe instagram")</f>
        <v>SoMe instagram</v>
      </c>
      <c r="V649" s="3"/>
      <c r="W649" s="3"/>
      <c r="X649" s="3"/>
      <c r="Y649" s="3"/>
      <c r="Z649" s="3" t="str">
        <f ca="1">IFERROR(__xludf.DUMMYFUNCTION("""COMPUTED_VALUE"""),"podklady@cncenter.cz")</f>
        <v>podklady@cncenter.cz</v>
      </c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 t="str">
        <f ca="1">IFERROR(__xludf.DUMMYFUNCTION("""COMPUTED_VALUE"""),"cross-device")</f>
        <v>cross-device</v>
      </c>
      <c r="AO649" s="3"/>
      <c r="AP649" s="3"/>
      <c r="AQ649" s="3"/>
      <c r="AR649" s="3"/>
      <c r="AS649" s="3"/>
      <c r="AT649" s="3"/>
      <c r="AU649" s="3" t="str">
        <f ca="1">IFERROR(__xludf.DUMMYFUNCTION("""COMPUTED_VALUE"""),"instagram story")</f>
        <v>instagram story</v>
      </c>
    </row>
    <row r="650" spans="1:47" x14ac:dyDescent="0.3">
      <c r="A650" s="3">
        <f ca="1"/>
        <v>2346826</v>
      </c>
      <c r="B650" s="3" t="str">
        <f ca="1"/>
        <v>CZECH NEWS CENTER a. s.</v>
      </c>
      <c r="C650" s="3" t="str">
        <f ca="1">IFERROR(__xludf.DUMMYFUNCTION("""COMPUTED_VALUE"""),"Instagramový profil Frekvence 1")</f>
        <v>Instagramový profil Frekvence 1</v>
      </c>
      <c r="D650" s="4" t="str">
        <f ca="1">IFERROR(__xludf.DUMMYFUNCTION("""COMPUTED_VALUE"""),"www.instagram.com")</f>
        <v>www.instagram.com</v>
      </c>
      <c r="E650" s="3" t="str">
        <f ca="1">IFERROR(__xludf.DUMMYFUNCTION("""COMPUTED_VALUE"""),"IG účet")</f>
        <v>IG účet</v>
      </c>
      <c r="F650" s="4" t="str">
        <f ca="1">IFERROR(__xludf.DUMMYFUNCTION("""COMPUTED_VALUE"""),"www.instagram.com")</f>
        <v>www.instagram.com</v>
      </c>
      <c r="G650" s="3" t="str">
        <f ca="1">IFERROR(__xludf.DUMMYFUNCTION("""COMPUTED_VALUE"""),"instagram post low season")</f>
        <v>instagram post low season</v>
      </c>
      <c r="H650" s="3">
        <f ca="1">IFERROR(__xludf.DUMMYFUNCTION("""COMPUTED_VALUE"""),1)</f>
        <v>1</v>
      </c>
      <c r="I650" s="5">
        <f ca="1">IFERROR(__xludf.DUMMYFUNCTION("""COMPUTED_VALUE"""),1)</f>
        <v>1</v>
      </c>
      <c r="J650" s="5">
        <f ca="1">IFERROR(__xludf.DUMMYFUNCTION("""COMPUTED_VALUE"""),25000)</f>
        <v>25000</v>
      </c>
      <c r="K650" s="3"/>
      <c r="L650" s="3" t="str">
        <f ca="1">IFERROR(__xludf.DUMMYFUNCTION("""COMPUTED_VALUE"""),"Cost per instance")</f>
        <v>Cost per instance</v>
      </c>
      <c r="M650" s="3"/>
      <c r="N650" s="3"/>
      <c r="O650" s="3"/>
      <c r="P650" s="3"/>
      <c r="Q650" s="3"/>
      <c r="R650" s="3"/>
      <c r="S650" s="3" t="str">
        <f ca="1">IFERROR(__xludf.DUMMYFUNCTION("""COMPUTED_VALUE"""),"100")</f>
        <v>100</v>
      </c>
      <c r="T650" s="3"/>
      <c r="U650" s="3" t="str">
        <f ca="1">IFERROR(__xludf.DUMMYFUNCTION("""COMPUTED_VALUE"""),"SoMe instagram")</f>
        <v>SoMe instagram</v>
      </c>
      <c r="V650" s="3"/>
      <c r="W650" s="3"/>
      <c r="X650" s="3"/>
      <c r="Y650" s="3"/>
      <c r="Z650" s="3" t="str">
        <f ca="1">IFERROR(__xludf.DUMMYFUNCTION("""COMPUTED_VALUE"""),"podklady@cncenter.cz")</f>
        <v>podklady@cncenter.cz</v>
      </c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 t="str">
        <f ca="1">IFERROR(__xludf.DUMMYFUNCTION("""COMPUTED_VALUE"""),"cross-device")</f>
        <v>cross-device</v>
      </c>
      <c r="AO650" s="3"/>
      <c r="AP650" s="3"/>
      <c r="AQ650" s="3"/>
      <c r="AR650" s="3"/>
      <c r="AS650" s="3"/>
      <c r="AT650" s="3"/>
      <c r="AU650" s="3" t="str">
        <f ca="1">IFERROR(__xludf.DUMMYFUNCTION("""COMPUTED_VALUE"""),"instagram post")</f>
        <v>instagram post</v>
      </c>
    </row>
    <row r="651" spans="1:47" x14ac:dyDescent="0.3">
      <c r="A651" s="3">
        <f ca="1"/>
        <v>2346826</v>
      </c>
      <c r="B651" s="3" t="str">
        <f ca="1"/>
        <v>CZECH NEWS CENTER a. s.</v>
      </c>
      <c r="C651" s="3" t="str">
        <f ca="1">IFERROR(__xludf.DUMMYFUNCTION("""COMPUTED_VALUE"""),"Instagramový profil iSport")</f>
        <v>Instagramový profil iSport</v>
      </c>
      <c r="D651" s="4" t="str">
        <f ca="1">IFERROR(__xludf.DUMMYFUNCTION("""COMPUTED_VALUE"""),"www.instagram.com")</f>
        <v>www.instagram.com</v>
      </c>
      <c r="E651" s="3" t="str">
        <f ca="1">IFERROR(__xludf.DUMMYFUNCTION("""COMPUTED_VALUE"""),"IG účet")</f>
        <v>IG účet</v>
      </c>
      <c r="F651" s="4" t="str">
        <f ca="1">IFERROR(__xludf.DUMMYFUNCTION("""COMPUTED_VALUE"""),"www.instagram.com")</f>
        <v>www.instagram.com</v>
      </c>
      <c r="G651" s="3" t="str">
        <f ca="1">IFERROR(__xludf.DUMMYFUNCTION("""COMPUTED_VALUE"""),"instagram post low season")</f>
        <v>instagram post low season</v>
      </c>
      <c r="H651" s="3">
        <f ca="1">IFERROR(__xludf.DUMMYFUNCTION("""COMPUTED_VALUE"""),1)</f>
        <v>1</v>
      </c>
      <c r="I651" s="5">
        <f ca="1">IFERROR(__xludf.DUMMYFUNCTION("""COMPUTED_VALUE"""),1)</f>
        <v>1</v>
      </c>
      <c r="J651" s="5">
        <f ca="1">IFERROR(__xludf.DUMMYFUNCTION("""COMPUTED_VALUE"""),23000)</f>
        <v>23000</v>
      </c>
      <c r="K651" s="3"/>
      <c r="L651" s="3" t="str">
        <f ca="1">IFERROR(__xludf.DUMMYFUNCTION("""COMPUTED_VALUE"""),"Cost per instance")</f>
        <v>Cost per instance</v>
      </c>
      <c r="M651" s="3"/>
      <c r="N651" s="3"/>
      <c r="O651" s="3"/>
      <c r="P651" s="3"/>
      <c r="Q651" s="3"/>
      <c r="R651" s="3"/>
      <c r="S651" s="3" t="str">
        <f ca="1">IFERROR(__xludf.DUMMYFUNCTION("""COMPUTED_VALUE"""),"100")</f>
        <v>100</v>
      </c>
      <c r="T651" s="3"/>
      <c r="U651" s="3" t="str">
        <f ca="1">IFERROR(__xludf.DUMMYFUNCTION("""COMPUTED_VALUE"""),"SoMe instagram")</f>
        <v>SoMe instagram</v>
      </c>
      <c r="V651" s="3"/>
      <c r="W651" s="3"/>
      <c r="X651" s="3"/>
      <c r="Y651" s="3"/>
      <c r="Z651" s="3" t="str">
        <f ca="1">IFERROR(__xludf.DUMMYFUNCTION("""COMPUTED_VALUE"""),"podklady@cncenter.cz")</f>
        <v>podklady@cncenter.cz</v>
      </c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 t="str">
        <f ca="1">IFERROR(__xludf.DUMMYFUNCTION("""COMPUTED_VALUE"""),"cross-device")</f>
        <v>cross-device</v>
      </c>
      <c r="AO651" s="3"/>
      <c r="AP651" s="3"/>
      <c r="AQ651" s="3"/>
      <c r="AR651" s="3"/>
      <c r="AS651" s="3"/>
      <c r="AT651" s="3"/>
      <c r="AU651" s="3" t="str">
        <f ca="1">IFERROR(__xludf.DUMMYFUNCTION("""COMPUTED_VALUE"""),"instagram post")</f>
        <v>instagram post</v>
      </c>
    </row>
    <row r="652" spans="1:47" x14ac:dyDescent="0.3">
      <c r="A652" s="3">
        <f ca="1"/>
        <v>2346826</v>
      </c>
      <c r="B652" s="3" t="str">
        <f ca="1"/>
        <v>CZECH NEWS CENTER a. s.</v>
      </c>
      <c r="C652" s="3" t="str">
        <f ca="1">IFERROR(__xludf.DUMMYFUNCTION("""COMPUTED_VALUE"""),"Instagramový profil iSport")</f>
        <v>Instagramový profil iSport</v>
      </c>
      <c r="D652" s="4" t="str">
        <f ca="1">IFERROR(__xludf.DUMMYFUNCTION("""COMPUTED_VALUE"""),"www.instagram.com")</f>
        <v>www.instagram.com</v>
      </c>
      <c r="E652" s="3" t="str">
        <f ca="1">IFERROR(__xludf.DUMMYFUNCTION("""COMPUTED_VALUE"""),"IG účet")</f>
        <v>IG účet</v>
      </c>
      <c r="F652" s="4" t="str">
        <f ca="1">IFERROR(__xludf.DUMMYFUNCTION("""COMPUTED_VALUE"""),"www.instagram.com")</f>
        <v>www.instagram.com</v>
      </c>
      <c r="G652" s="3" t="str">
        <f ca="1">IFERROR(__xludf.DUMMYFUNCTION("""COMPUTED_VALUE"""),"instagram story low season")</f>
        <v>instagram story low season</v>
      </c>
      <c r="H652" s="3">
        <f ca="1">IFERROR(__xludf.DUMMYFUNCTION("""COMPUTED_VALUE"""),1)</f>
        <v>1</v>
      </c>
      <c r="I652" s="5">
        <f ca="1">IFERROR(__xludf.DUMMYFUNCTION("""COMPUTED_VALUE"""),1)</f>
        <v>1</v>
      </c>
      <c r="J652" s="5">
        <f ca="1">IFERROR(__xludf.DUMMYFUNCTION("""COMPUTED_VALUE"""),23000)</f>
        <v>23000</v>
      </c>
      <c r="K652" s="3"/>
      <c r="L652" s="3" t="str">
        <f ca="1">IFERROR(__xludf.DUMMYFUNCTION("""COMPUTED_VALUE"""),"Cost per instance")</f>
        <v>Cost per instance</v>
      </c>
      <c r="M652" s="3"/>
      <c r="N652" s="3"/>
      <c r="O652" s="3"/>
      <c r="P652" s="3"/>
      <c r="Q652" s="3"/>
      <c r="R652" s="3"/>
      <c r="S652" s="3" t="str">
        <f ca="1">IFERROR(__xludf.DUMMYFUNCTION("""COMPUTED_VALUE"""),"100")</f>
        <v>100</v>
      </c>
      <c r="T652" s="3"/>
      <c r="U652" s="3" t="str">
        <f ca="1">IFERROR(__xludf.DUMMYFUNCTION("""COMPUTED_VALUE"""),"SoMe instagram")</f>
        <v>SoMe instagram</v>
      </c>
      <c r="V652" s="3"/>
      <c r="W652" s="3"/>
      <c r="X652" s="3"/>
      <c r="Y652" s="3"/>
      <c r="Z652" s="3" t="str">
        <f ca="1">IFERROR(__xludf.DUMMYFUNCTION("""COMPUTED_VALUE"""),"podklady@cncenter.cz")</f>
        <v>podklady@cncenter.cz</v>
      </c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 t="str">
        <f ca="1">IFERROR(__xludf.DUMMYFUNCTION("""COMPUTED_VALUE"""),"cross-device")</f>
        <v>cross-device</v>
      </c>
      <c r="AO652" s="3"/>
      <c r="AP652" s="3"/>
      <c r="AQ652" s="3"/>
      <c r="AR652" s="3"/>
      <c r="AS652" s="3"/>
      <c r="AT652" s="3"/>
      <c r="AU652" s="3" t="str">
        <f ca="1">IFERROR(__xludf.DUMMYFUNCTION("""COMPUTED_VALUE"""),"instagram story")</f>
        <v>instagram story</v>
      </c>
    </row>
    <row r="653" spans="1:47" x14ac:dyDescent="0.3">
      <c r="A653" s="3">
        <f ca="1"/>
        <v>2346826</v>
      </c>
      <c r="B653" s="3" t="str">
        <f ca="1"/>
        <v>CZECH NEWS CENTER a. s.</v>
      </c>
      <c r="C653" s="3" t="str">
        <f ca="1">IFERROR(__xludf.DUMMYFUNCTION("""COMPUTED_VALUE"""),"Instagramový profil iSport Life")</f>
        <v>Instagramový profil iSport Life</v>
      </c>
      <c r="D653" s="4" t="str">
        <f ca="1">IFERROR(__xludf.DUMMYFUNCTION("""COMPUTED_VALUE"""),"www.instagram.com")</f>
        <v>www.instagram.com</v>
      </c>
      <c r="E653" s="3" t="str">
        <f ca="1">IFERROR(__xludf.DUMMYFUNCTION("""COMPUTED_VALUE"""),"IG účet")</f>
        <v>IG účet</v>
      </c>
      <c r="F653" s="4" t="str">
        <f ca="1">IFERROR(__xludf.DUMMYFUNCTION("""COMPUTED_VALUE"""),"www.instagram.com")</f>
        <v>www.instagram.com</v>
      </c>
      <c r="G653" s="3" t="str">
        <f ca="1">IFERROR(__xludf.DUMMYFUNCTION("""COMPUTED_VALUE"""),"instagram post low season")</f>
        <v>instagram post low season</v>
      </c>
      <c r="H653" s="3">
        <f ca="1">IFERROR(__xludf.DUMMYFUNCTION("""COMPUTED_VALUE"""),1)</f>
        <v>1</v>
      </c>
      <c r="I653" s="5">
        <f ca="1">IFERROR(__xludf.DUMMYFUNCTION("""COMPUTED_VALUE"""),1)</f>
        <v>1</v>
      </c>
      <c r="J653" s="5">
        <f ca="1">IFERROR(__xludf.DUMMYFUNCTION("""COMPUTED_VALUE"""),18000)</f>
        <v>18000</v>
      </c>
      <c r="K653" s="3"/>
      <c r="L653" s="3" t="str">
        <f ca="1">IFERROR(__xludf.DUMMYFUNCTION("""COMPUTED_VALUE"""),"Cost per instance")</f>
        <v>Cost per instance</v>
      </c>
      <c r="M653" s="3"/>
      <c r="N653" s="3"/>
      <c r="O653" s="3"/>
      <c r="P653" s="3"/>
      <c r="Q653" s="3"/>
      <c r="R653" s="3"/>
      <c r="S653" s="3" t="str">
        <f ca="1">IFERROR(__xludf.DUMMYFUNCTION("""COMPUTED_VALUE"""),"100")</f>
        <v>100</v>
      </c>
      <c r="T653" s="3"/>
      <c r="U653" s="3" t="str">
        <f ca="1">IFERROR(__xludf.DUMMYFUNCTION("""COMPUTED_VALUE"""),"SoMe instagram")</f>
        <v>SoMe instagram</v>
      </c>
      <c r="V653" s="3"/>
      <c r="W653" s="3"/>
      <c r="X653" s="3"/>
      <c r="Y653" s="3"/>
      <c r="Z653" s="3" t="str">
        <f ca="1">IFERROR(__xludf.DUMMYFUNCTION("""COMPUTED_VALUE"""),"podklady@cncenter.cz")</f>
        <v>podklady@cncenter.cz</v>
      </c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 t="str">
        <f ca="1">IFERROR(__xludf.DUMMYFUNCTION("""COMPUTED_VALUE"""),"cross-device")</f>
        <v>cross-device</v>
      </c>
      <c r="AO653" s="3"/>
      <c r="AP653" s="3"/>
      <c r="AQ653" s="3"/>
      <c r="AR653" s="3"/>
      <c r="AS653" s="3"/>
      <c r="AT653" s="3"/>
      <c r="AU653" s="3" t="str">
        <f ca="1">IFERROR(__xludf.DUMMYFUNCTION("""COMPUTED_VALUE"""),"instagram post")</f>
        <v>instagram post</v>
      </c>
    </row>
    <row r="654" spans="1:47" x14ac:dyDescent="0.3">
      <c r="A654" s="3">
        <f ca="1"/>
        <v>2346826</v>
      </c>
      <c r="B654" s="3" t="str">
        <f ca="1"/>
        <v>CZECH NEWS CENTER a. s.</v>
      </c>
      <c r="C654" s="3" t="str">
        <f ca="1">IFERROR(__xludf.DUMMYFUNCTION("""COMPUTED_VALUE"""),"Instagramový profil iSport Life")</f>
        <v>Instagramový profil iSport Life</v>
      </c>
      <c r="D654" s="4" t="str">
        <f ca="1">IFERROR(__xludf.DUMMYFUNCTION("""COMPUTED_VALUE"""),"www.instagram.com")</f>
        <v>www.instagram.com</v>
      </c>
      <c r="E654" s="3" t="str">
        <f ca="1">IFERROR(__xludf.DUMMYFUNCTION("""COMPUTED_VALUE"""),"IG účet")</f>
        <v>IG účet</v>
      </c>
      <c r="F654" s="4" t="str">
        <f ca="1">IFERROR(__xludf.DUMMYFUNCTION("""COMPUTED_VALUE"""),"www.instagram.com")</f>
        <v>www.instagram.com</v>
      </c>
      <c r="G654" s="3" t="str">
        <f ca="1">IFERROR(__xludf.DUMMYFUNCTION("""COMPUTED_VALUE"""),"instagram story low season")</f>
        <v>instagram story low season</v>
      </c>
      <c r="H654" s="3">
        <f ca="1">IFERROR(__xludf.DUMMYFUNCTION("""COMPUTED_VALUE"""),1)</f>
        <v>1</v>
      </c>
      <c r="I654" s="5">
        <f ca="1">IFERROR(__xludf.DUMMYFUNCTION("""COMPUTED_VALUE"""),1)</f>
        <v>1</v>
      </c>
      <c r="J654" s="5">
        <f ca="1">IFERROR(__xludf.DUMMYFUNCTION("""COMPUTED_VALUE"""),23000)</f>
        <v>23000</v>
      </c>
      <c r="K654" s="3"/>
      <c r="L654" s="3" t="str">
        <f ca="1">IFERROR(__xludf.DUMMYFUNCTION("""COMPUTED_VALUE"""),"Cost per instance")</f>
        <v>Cost per instance</v>
      </c>
      <c r="M654" s="3"/>
      <c r="N654" s="3"/>
      <c r="O654" s="3"/>
      <c r="P654" s="3"/>
      <c r="Q654" s="3"/>
      <c r="R654" s="3"/>
      <c r="S654" s="3" t="str">
        <f ca="1">IFERROR(__xludf.DUMMYFUNCTION("""COMPUTED_VALUE"""),"100")</f>
        <v>100</v>
      </c>
      <c r="T654" s="3"/>
      <c r="U654" s="3" t="str">
        <f ca="1">IFERROR(__xludf.DUMMYFUNCTION("""COMPUTED_VALUE"""),"SoMe instagram")</f>
        <v>SoMe instagram</v>
      </c>
      <c r="V654" s="3"/>
      <c r="W654" s="3"/>
      <c r="X654" s="3"/>
      <c r="Y654" s="3"/>
      <c r="Z654" s="3" t="str">
        <f ca="1">IFERROR(__xludf.DUMMYFUNCTION("""COMPUTED_VALUE"""),"podklady@cncenter.cz")</f>
        <v>podklady@cncenter.cz</v>
      </c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 t="str">
        <f ca="1">IFERROR(__xludf.DUMMYFUNCTION("""COMPUTED_VALUE"""),"cross-device")</f>
        <v>cross-device</v>
      </c>
      <c r="AO654" s="3"/>
      <c r="AP654" s="3"/>
      <c r="AQ654" s="3"/>
      <c r="AR654" s="3"/>
      <c r="AS654" s="3"/>
      <c r="AT654" s="3"/>
      <c r="AU654" s="3" t="str">
        <f ca="1">IFERROR(__xludf.DUMMYFUNCTION("""COMPUTED_VALUE"""),"instagram story")</f>
        <v>instagram story</v>
      </c>
    </row>
    <row r="655" spans="1:47" x14ac:dyDescent="0.3">
      <c r="A655" s="3">
        <f ca="1"/>
        <v>2346826</v>
      </c>
      <c r="B655" s="3" t="str">
        <f ca="1"/>
        <v>CZECH NEWS CENTER a. s.</v>
      </c>
      <c r="C655" s="3" t="str">
        <f ca="1">IFERROR(__xludf.DUMMYFUNCTION("""COMPUTED_VALUE"""),"Instagramový profil Lidé a Země")</f>
        <v>Instagramový profil Lidé a Země</v>
      </c>
      <c r="D655" s="4" t="str">
        <f ca="1">IFERROR(__xludf.DUMMYFUNCTION("""COMPUTED_VALUE"""),"www.instagram.com")</f>
        <v>www.instagram.com</v>
      </c>
      <c r="E655" s="3" t="str">
        <f ca="1">IFERROR(__xludf.DUMMYFUNCTION("""COMPUTED_VALUE"""),"IG účet")</f>
        <v>IG účet</v>
      </c>
      <c r="F655" s="4" t="str">
        <f ca="1">IFERROR(__xludf.DUMMYFUNCTION("""COMPUTED_VALUE"""),"www.instagram.com")</f>
        <v>www.instagram.com</v>
      </c>
      <c r="G655" s="3" t="str">
        <f ca="1">IFERROR(__xludf.DUMMYFUNCTION("""COMPUTED_VALUE"""),"instagram post low season")</f>
        <v>instagram post low season</v>
      </c>
      <c r="H655" s="3">
        <f ca="1">IFERROR(__xludf.DUMMYFUNCTION("""COMPUTED_VALUE"""),1)</f>
        <v>1</v>
      </c>
      <c r="I655" s="5">
        <f ca="1">IFERROR(__xludf.DUMMYFUNCTION("""COMPUTED_VALUE"""),1)</f>
        <v>1</v>
      </c>
      <c r="J655" s="5">
        <f ca="1">IFERROR(__xludf.DUMMYFUNCTION("""COMPUTED_VALUE"""),18000)</f>
        <v>18000</v>
      </c>
      <c r="K655" s="3"/>
      <c r="L655" s="3" t="str">
        <f ca="1">IFERROR(__xludf.DUMMYFUNCTION("""COMPUTED_VALUE"""),"Cost per instance")</f>
        <v>Cost per instance</v>
      </c>
      <c r="M655" s="3"/>
      <c r="N655" s="3"/>
      <c r="O655" s="3"/>
      <c r="P655" s="3"/>
      <c r="Q655" s="3"/>
      <c r="R655" s="3"/>
      <c r="S655" s="3" t="str">
        <f ca="1">IFERROR(__xludf.DUMMYFUNCTION("""COMPUTED_VALUE"""),"100")</f>
        <v>100</v>
      </c>
      <c r="T655" s="3"/>
      <c r="U655" s="3" t="str">
        <f ca="1">IFERROR(__xludf.DUMMYFUNCTION("""COMPUTED_VALUE"""),"SoMe instagram")</f>
        <v>SoMe instagram</v>
      </c>
      <c r="V655" s="3"/>
      <c r="W655" s="3"/>
      <c r="X655" s="3"/>
      <c r="Y655" s="3"/>
      <c r="Z655" s="3" t="str">
        <f ca="1">IFERROR(__xludf.DUMMYFUNCTION("""COMPUTED_VALUE"""),"podklady@cncenter.cz")</f>
        <v>podklady@cncenter.cz</v>
      </c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 t="str">
        <f ca="1">IFERROR(__xludf.DUMMYFUNCTION("""COMPUTED_VALUE"""),"cross-device")</f>
        <v>cross-device</v>
      </c>
      <c r="AO655" s="3"/>
      <c r="AP655" s="3"/>
      <c r="AQ655" s="3"/>
      <c r="AR655" s="3"/>
      <c r="AS655" s="3"/>
      <c r="AT655" s="3"/>
      <c r="AU655" s="3" t="str">
        <f ca="1">IFERROR(__xludf.DUMMYFUNCTION("""COMPUTED_VALUE"""),"instagram post")</f>
        <v>instagram post</v>
      </c>
    </row>
    <row r="656" spans="1:47" x14ac:dyDescent="0.3">
      <c r="A656" s="3">
        <f ca="1"/>
        <v>2346826</v>
      </c>
      <c r="B656" s="3" t="str">
        <f ca="1"/>
        <v>CZECH NEWS CENTER a. s.</v>
      </c>
      <c r="C656" s="3" t="str">
        <f ca="1">IFERROR(__xludf.DUMMYFUNCTION("""COMPUTED_VALUE"""),"Instagramový profil Lidé a Země")</f>
        <v>Instagramový profil Lidé a Země</v>
      </c>
      <c r="D656" s="4" t="str">
        <f ca="1">IFERROR(__xludf.DUMMYFUNCTION("""COMPUTED_VALUE"""),"www.instagram.com")</f>
        <v>www.instagram.com</v>
      </c>
      <c r="E656" s="3" t="str">
        <f ca="1">IFERROR(__xludf.DUMMYFUNCTION("""COMPUTED_VALUE"""),"IG účet")</f>
        <v>IG účet</v>
      </c>
      <c r="F656" s="4" t="str">
        <f ca="1">IFERROR(__xludf.DUMMYFUNCTION("""COMPUTED_VALUE"""),"www.instagram.com")</f>
        <v>www.instagram.com</v>
      </c>
      <c r="G656" s="3" t="str">
        <f ca="1">IFERROR(__xludf.DUMMYFUNCTION("""COMPUTED_VALUE"""),"instagram story low season")</f>
        <v>instagram story low season</v>
      </c>
      <c r="H656" s="3">
        <f ca="1">IFERROR(__xludf.DUMMYFUNCTION("""COMPUTED_VALUE"""),1)</f>
        <v>1</v>
      </c>
      <c r="I656" s="5">
        <f ca="1">IFERROR(__xludf.DUMMYFUNCTION("""COMPUTED_VALUE"""),1)</f>
        <v>1</v>
      </c>
      <c r="J656" s="5">
        <f ca="1">IFERROR(__xludf.DUMMYFUNCTION("""COMPUTED_VALUE"""),18000)</f>
        <v>18000</v>
      </c>
      <c r="K656" s="3"/>
      <c r="L656" s="3" t="str">
        <f ca="1">IFERROR(__xludf.DUMMYFUNCTION("""COMPUTED_VALUE"""),"Cost per instance")</f>
        <v>Cost per instance</v>
      </c>
      <c r="M656" s="3"/>
      <c r="N656" s="3"/>
      <c r="O656" s="3"/>
      <c r="P656" s="3"/>
      <c r="Q656" s="3"/>
      <c r="R656" s="3"/>
      <c r="S656" s="3" t="str">
        <f ca="1">IFERROR(__xludf.DUMMYFUNCTION("""COMPUTED_VALUE"""),"100")</f>
        <v>100</v>
      </c>
      <c r="T656" s="3"/>
      <c r="U656" s="3" t="str">
        <f ca="1">IFERROR(__xludf.DUMMYFUNCTION("""COMPUTED_VALUE"""),"SoMe instagram")</f>
        <v>SoMe instagram</v>
      </c>
      <c r="V656" s="3"/>
      <c r="W656" s="3"/>
      <c r="X656" s="3"/>
      <c r="Y656" s="3"/>
      <c r="Z656" s="3" t="str">
        <f ca="1">IFERROR(__xludf.DUMMYFUNCTION("""COMPUTED_VALUE"""),"podklady@cncenter.cz")</f>
        <v>podklady@cncenter.cz</v>
      </c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 t="str">
        <f ca="1">IFERROR(__xludf.DUMMYFUNCTION("""COMPUTED_VALUE"""),"cross-device")</f>
        <v>cross-device</v>
      </c>
      <c r="AO656" s="3"/>
      <c r="AP656" s="3"/>
      <c r="AQ656" s="3"/>
      <c r="AR656" s="3"/>
      <c r="AS656" s="3"/>
      <c r="AT656" s="3"/>
      <c r="AU656" s="3" t="str">
        <f ca="1">IFERROR(__xludf.DUMMYFUNCTION("""COMPUTED_VALUE"""),"instagram story")</f>
        <v>instagram story</v>
      </c>
    </row>
    <row r="657" spans="1:47" x14ac:dyDescent="0.3">
      <c r="A657" s="3">
        <f ca="1"/>
        <v>2346826</v>
      </c>
      <c r="B657" s="3" t="str">
        <f ca="1"/>
        <v>CZECH NEWS CENTER a. s.</v>
      </c>
      <c r="C657" s="3" t="str">
        <f ca="1">IFERROR(__xludf.DUMMYFUNCTION("""COMPUTED_VALUE"""),"Instagramový profil Maminka")</f>
        <v>Instagramový profil Maminka</v>
      </c>
      <c r="D657" s="4" t="str">
        <f ca="1">IFERROR(__xludf.DUMMYFUNCTION("""COMPUTED_VALUE"""),"www.instagram.com")</f>
        <v>www.instagram.com</v>
      </c>
      <c r="E657" s="3" t="str">
        <f ca="1">IFERROR(__xludf.DUMMYFUNCTION("""COMPUTED_VALUE"""),"IG účet")</f>
        <v>IG účet</v>
      </c>
      <c r="F657" s="4" t="str">
        <f ca="1">IFERROR(__xludf.DUMMYFUNCTION("""COMPUTED_VALUE"""),"www.instagram.com")</f>
        <v>www.instagram.com</v>
      </c>
      <c r="G657" s="3" t="str">
        <f ca="1">IFERROR(__xludf.DUMMYFUNCTION("""COMPUTED_VALUE"""),"instagram post low season")</f>
        <v>instagram post low season</v>
      </c>
      <c r="H657" s="3">
        <f ca="1">IFERROR(__xludf.DUMMYFUNCTION("""COMPUTED_VALUE"""),1)</f>
        <v>1</v>
      </c>
      <c r="I657" s="5">
        <f ca="1">IFERROR(__xludf.DUMMYFUNCTION("""COMPUTED_VALUE"""),1)</f>
        <v>1</v>
      </c>
      <c r="J657" s="5">
        <f ca="1">IFERROR(__xludf.DUMMYFUNCTION("""COMPUTED_VALUE"""),23000)</f>
        <v>23000</v>
      </c>
      <c r="K657" s="3"/>
      <c r="L657" s="3" t="str">
        <f ca="1">IFERROR(__xludf.DUMMYFUNCTION("""COMPUTED_VALUE"""),"Cost per instance")</f>
        <v>Cost per instance</v>
      </c>
      <c r="M657" s="3"/>
      <c r="N657" s="3"/>
      <c r="O657" s="3"/>
      <c r="P657" s="3"/>
      <c r="Q657" s="3"/>
      <c r="R657" s="3"/>
      <c r="S657" s="3" t="str">
        <f ca="1">IFERROR(__xludf.DUMMYFUNCTION("""COMPUTED_VALUE"""),"100")</f>
        <v>100</v>
      </c>
      <c r="T657" s="3"/>
      <c r="U657" s="3" t="str">
        <f ca="1">IFERROR(__xludf.DUMMYFUNCTION("""COMPUTED_VALUE"""),"SoMe instagram")</f>
        <v>SoMe instagram</v>
      </c>
      <c r="V657" s="3"/>
      <c r="W657" s="3"/>
      <c r="X657" s="3"/>
      <c r="Y657" s="3"/>
      <c r="Z657" s="3" t="str">
        <f ca="1">IFERROR(__xludf.DUMMYFUNCTION("""COMPUTED_VALUE"""),"podklady@cncenter.cz")</f>
        <v>podklady@cncenter.cz</v>
      </c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 t="str">
        <f ca="1">IFERROR(__xludf.DUMMYFUNCTION("""COMPUTED_VALUE"""),"cross-device")</f>
        <v>cross-device</v>
      </c>
      <c r="AO657" s="3"/>
      <c r="AP657" s="3"/>
      <c r="AQ657" s="3"/>
      <c r="AR657" s="3"/>
      <c r="AS657" s="3"/>
      <c r="AT657" s="3"/>
      <c r="AU657" s="3" t="str">
        <f ca="1">IFERROR(__xludf.DUMMYFUNCTION("""COMPUTED_VALUE"""),"instagram post")</f>
        <v>instagram post</v>
      </c>
    </row>
    <row r="658" spans="1:47" x14ac:dyDescent="0.3">
      <c r="A658" s="3">
        <f ca="1"/>
        <v>2346826</v>
      </c>
      <c r="B658" s="3" t="str">
        <f ca="1"/>
        <v>CZECH NEWS CENTER a. s.</v>
      </c>
      <c r="C658" s="3" t="str">
        <f ca="1">IFERROR(__xludf.DUMMYFUNCTION("""COMPUTED_VALUE"""),"Instagramový profil Maminka")</f>
        <v>Instagramový profil Maminka</v>
      </c>
      <c r="D658" s="4" t="str">
        <f ca="1">IFERROR(__xludf.DUMMYFUNCTION("""COMPUTED_VALUE"""),"www.instagram.com")</f>
        <v>www.instagram.com</v>
      </c>
      <c r="E658" s="3" t="str">
        <f ca="1">IFERROR(__xludf.DUMMYFUNCTION("""COMPUTED_VALUE"""),"IG účet")</f>
        <v>IG účet</v>
      </c>
      <c r="F658" s="4" t="str">
        <f ca="1">IFERROR(__xludf.DUMMYFUNCTION("""COMPUTED_VALUE"""),"www.instagram.com")</f>
        <v>www.instagram.com</v>
      </c>
      <c r="G658" s="3" t="str">
        <f ca="1">IFERROR(__xludf.DUMMYFUNCTION("""COMPUTED_VALUE"""),"instagram story low season")</f>
        <v>instagram story low season</v>
      </c>
      <c r="H658" s="3">
        <f ca="1">IFERROR(__xludf.DUMMYFUNCTION("""COMPUTED_VALUE"""),1)</f>
        <v>1</v>
      </c>
      <c r="I658" s="5">
        <f ca="1">IFERROR(__xludf.DUMMYFUNCTION("""COMPUTED_VALUE"""),1)</f>
        <v>1</v>
      </c>
      <c r="J658" s="5">
        <f ca="1">IFERROR(__xludf.DUMMYFUNCTION("""COMPUTED_VALUE"""),23000)</f>
        <v>23000</v>
      </c>
      <c r="K658" s="3"/>
      <c r="L658" s="3" t="str">
        <f ca="1">IFERROR(__xludf.DUMMYFUNCTION("""COMPUTED_VALUE"""),"Cost per instance")</f>
        <v>Cost per instance</v>
      </c>
      <c r="M658" s="3"/>
      <c r="N658" s="3"/>
      <c r="O658" s="3"/>
      <c r="P658" s="3"/>
      <c r="Q658" s="3"/>
      <c r="R658" s="3"/>
      <c r="S658" s="3" t="str">
        <f ca="1">IFERROR(__xludf.DUMMYFUNCTION("""COMPUTED_VALUE"""),"100")</f>
        <v>100</v>
      </c>
      <c r="T658" s="3"/>
      <c r="U658" s="3" t="str">
        <f ca="1">IFERROR(__xludf.DUMMYFUNCTION("""COMPUTED_VALUE"""),"SoMe instagram")</f>
        <v>SoMe instagram</v>
      </c>
      <c r="V658" s="3"/>
      <c r="W658" s="3"/>
      <c r="X658" s="3"/>
      <c r="Y658" s="3"/>
      <c r="Z658" s="3" t="str">
        <f ca="1">IFERROR(__xludf.DUMMYFUNCTION("""COMPUTED_VALUE"""),"podklady@cncenter.cz")</f>
        <v>podklady@cncenter.cz</v>
      </c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 t="str">
        <f ca="1">IFERROR(__xludf.DUMMYFUNCTION("""COMPUTED_VALUE"""),"cross-device")</f>
        <v>cross-device</v>
      </c>
      <c r="AO658" s="3"/>
      <c r="AP658" s="3"/>
      <c r="AQ658" s="3"/>
      <c r="AR658" s="3"/>
      <c r="AS658" s="3"/>
      <c r="AT658" s="3"/>
      <c r="AU658" s="3" t="str">
        <f ca="1">IFERROR(__xludf.DUMMYFUNCTION("""COMPUTED_VALUE"""),"instagram story")</f>
        <v>instagram story</v>
      </c>
    </row>
    <row r="659" spans="1:47" x14ac:dyDescent="0.3">
      <c r="A659" s="3">
        <f ca="1"/>
        <v>2346826</v>
      </c>
      <c r="B659" s="3" t="str">
        <f ca="1"/>
        <v>CZECH NEWS CENTER a. s.</v>
      </c>
      <c r="C659" s="3" t="str">
        <f ca="1">IFERROR(__xludf.DUMMYFUNCTION("""COMPUTED_VALUE"""),"Instagramový profil Mateřídouška")</f>
        <v>Instagramový profil Mateřídouška</v>
      </c>
      <c r="D659" s="4" t="str">
        <f ca="1">IFERROR(__xludf.DUMMYFUNCTION("""COMPUTED_VALUE"""),"www.instagram.com")</f>
        <v>www.instagram.com</v>
      </c>
      <c r="E659" s="3" t="str">
        <f ca="1">IFERROR(__xludf.DUMMYFUNCTION("""COMPUTED_VALUE"""),"IG účet")</f>
        <v>IG účet</v>
      </c>
      <c r="F659" s="4" t="str">
        <f ca="1">IFERROR(__xludf.DUMMYFUNCTION("""COMPUTED_VALUE"""),"www.instagram.com")</f>
        <v>www.instagram.com</v>
      </c>
      <c r="G659" s="3" t="str">
        <f ca="1">IFERROR(__xludf.DUMMYFUNCTION("""COMPUTED_VALUE"""),"instagram post low season")</f>
        <v>instagram post low season</v>
      </c>
      <c r="H659" s="3">
        <f ca="1">IFERROR(__xludf.DUMMYFUNCTION("""COMPUTED_VALUE"""),1)</f>
        <v>1</v>
      </c>
      <c r="I659" s="5">
        <f ca="1">IFERROR(__xludf.DUMMYFUNCTION("""COMPUTED_VALUE"""),1)</f>
        <v>1</v>
      </c>
      <c r="J659" s="5">
        <f ca="1">IFERROR(__xludf.DUMMYFUNCTION("""COMPUTED_VALUE"""),18000)</f>
        <v>18000</v>
      </c>
      <c r="K659" s="3"/>
      <c r="L659" s="3" t="str">
        <f ca="1">IFERROR(__xludf.DUMMYFUNCTION("""COMPUTED_VALUE"""),"Cost per instance")</f>
        <v>Cost per instance</v>
      </c>
      <c r="M659" s="3"/>
      <c r="N659" s="3"/>
      <c r="O659" s="3"/>
      <c r="P659" s="3"/>
      <c r="Q659" s="3"/>
      <c r="R659" s="3"/>
      <c r="S659" s="3" t="str">
        <f ca="1">IFERROR(__xludf.DUMMYFUNCTION("""COMPUTED_VALUE"""),"100")</f>
        <v>100</v>
      </c>
      <c r="T659" s="3"/>
      <c r="U659" s="3" t="str">
        <f ca="1">IFERROR(__xludf.DUMMYFUNCTION("""COMPUTED_VALUE"""),"SoMe instagram")</f>
        <v>SoMe instagram</v>
      </c>
      <c r="V659" s="3"/>
      <c r="W659" s="3"/>
      <c r="X659" s="3"/>
      <c r="Y659" s="3"/>
      <c r="Z659" s="3" t="str">
        <f ca="1">IFERROR(__xludf.DUMMYFUNCTION("""COMPUTED_VALUE"""),"podklady@cncenter.cz")</f>
        <v>podklady@cncenter.cz</v>
      </c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 t="str">
        <f ca="1">IFERROR(__xludf.DUMMYFUNCTION("""COMPUTED_VALUE"""),"cross-device")</f>
        <v>cross-device</v>
      </c>
      <c r="AO659" s="3"/>
      <c r="AP659" s="3"/>
      <c r="AQ659" s="3"/>
      <c r="AR659" s="3"/>
      <c r="AS659" s="3"/>
      <c r="AT659" s="3"/>
      <c r="AU659" s="3" t="str">
        <f ca="1">IFERROR(__xludf.DUMMYFUNCTION("""COMPUTED_VALUE"""),"instagram post")</f>
        <v>instagram post</v>
      </c>
    </row>
    <row r="660" spans="1:47" x14ac:dyDescent="0.3">
      <c r="A660" s="3">
        <f ca="1"/>
        <v>2346826</v>
      </c>
      <c r="B660" s="3" t="str">
        <f ca="1"/>
        <v>CZECH NEWS CENTER a. s.</v>
      </c>
      <c r="C660" s="3" t="str">
        <f ca="1">IFERROR(__xludf.DUMMYFUNCTION("""COMPUTED_VALUE"""),"Instagramový profil Mateřídouška")</f>
        <v>Instagramový profil Mateřídouška</v>
      </c>
      <c r="D660" s="4" t="str">
        <f ca="1">IFERROR(__xludf.DUMMYFUNCTION("""COMPUTED_VALUE"""),"www.instagram.com")</f>
        <v>www.instagram.com</v>
      </c>
      <c r="E660" s="3" t="str">
        <f ca="1">IFERROR(__xludf.DUMMYFUNCTION("""COMPUTED_VALUE"""),"IG účet")</f>
        <v>IG účet</v>
      </c>
      <c r="F660" s="4" t="str">
        <f ca="1">IFERROR(__xludf.DUMMYFUNCTION("""COMPUTED_VALUE"""),"www.instagram.com")</f>
        <v>www.instagram.com</v>
      </c>
      <c r="G660" s="3" t="str">
        <f ca="1">IFERROR(__xludf.DUMMYFUNCTION("""COMPUTED_VALUE"""),"instagram story low season")</f>
        <v>instagram story low season</v>
      </c>
      <c r="H660" s="3">
        <f ca="1">IFERROR(__xludf.DUMMYFUNCTION("""COMPUTED_VALUE"""),1)</f>
        <v>1</v>
      </c>
      <c r="I660" s="5">
        <f ca="1">IFERROR(__xludf.DUMMYFUNCTION("""COMPUTED_VALUE"""),1)</f>
        <v>1</v>
      </c>
      <c r="J660" s="5">
        <f ca="1">IFERROR(__xludf.DUMMYFUNCTION("""COMPUTED_VALUE"""),18000)</f>
        <v>18000</v>
      </c>
      <c r="K660" s="3"/>
      <c r="L660" s="3" t="str">
        <f ca="1">IFERROR(__xludf.DUMMYFUNCTION("""COMPUTED_VALUE"""),"Cost per instance")</f>
        <v>Cost per instance</v>
      </c>
      <c r="M660" s="3"/>
      <c r="N660" s="3"/>
      <c r="O660" s="3"/>
      <c r="P660" s="3"/>
      <c r="Q660" s="3"/>
      <c r="R660" s="3"/>
      <c r="S660" s="3" t="str">
        <f ca="1">IFERROR(__xludf.DUMMYFUNCTION("""COMPUTED_VALUE"""),"100")</f>
        <v>100</v>
      </c>
      <c r="T660" s="3"/>
      <c r="U660" s="3" t="str">
        <f ca="1">IFERROR(__xludf.DUMMYFUNCTION("""COMPUTED_VALUE"""),"SoMe instagram")</f>
        <v>SoMe instagram</v>
      </c>
      <c r="V660" s="3"/>
      <c r="W660" s="3"/>
      <c r="X660" s="3"/>
      <c r="Y660" s="3"/>
      <c r="Z660" s="3" t="str">
        <f ca="1">IFERROR(__xludf.DUMMYFUNCTION("""COMPUTED_VALUE"""),"podklady@cncenter.cz")</f>
        <v>podklady@cncenter.cz</v>
      </c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 t="str">
        <f ca="1">IFERROR(__xludf.DUMMYFUNCTION("""COMPUTED_VALUE"""),"cross-device")</f>
        <v>cross-device</v>
      </c>
      <c r="AO660" s="3"/>
      <c r="AP660" s="3"/>
      <c r="AQ660" s="3"/>
      <c r="AR660" s="3"/>
      <c r="AS660" s="3"/>
      <c r="AT660" s="3"/>
      <c r="AU660" s="3" t="str">
        <f ca="1">IFERROR(__xludf.DUMMYFUNCTION("""COMPUTED_VALUE"""),"instagram story")</f>
        <v>instagram story</v>
      </c>
    </row>
    <row r="661" spans="1:47" x14ac:dyDescent="0.3">
      <c r="A661" s="3">
        <f ca="1"/>
        <v>2346826</v>
      </c>
      <c r="B661" s="3" t="str">
        <f ca="1"/>
        <v>CZECH NEWS CENTER a. s.</v>
      </c>
      <c r="C661" s="3" t="str">
        <f ca="1">IFERROR(__xludf.DUMMYFUNCTION("""COMPUTED_VALUE"""),"Instagramový profil Mobilmania")</f>
        <v>Instagramový profil Mobilmania</v>
      </c>
      <c r="D661" s="4" t="str">
        <f ca="1">IFERROR(__xludf.DUMMYFUNCTION("""COMPUTED_VALUE"""),"www.instagram.com")</f>
        <v>www.instagram.com</v>
      </c>
      <c r="E661" s="3" t="str">
        <f ca="1">IFERROR(__xludf.DUMMYFUNCTION("""COMPUTED_VALUE"""),"IG účet")</f>
        <v>IG účet</v>
      </c>
      <c r="F661" s="4" t="str">
        <f ca="1">IFERROR(__xludf.DUMMYFUNCTION("""COMPUTED_VALUE"""),"www.instagram.com")</f>
        <v>www.instagram.com</v>
      </c>
      <c r="G661" s="3" t="str">
        <f ca="1">IFERROR(__xludf.DUMMYFUNCTION("""COMPUTED_VALUE"""),"instagram post low season")</f>
        <v>instagram post low season</v>
      </c>
      <c r="H661" s="3">
        <f ca="1">IFERROR(__xludf.DUMMYFUNCTION("""COMPUTED_VALUE"""),1)</f>
        <v>1</v>
      </c>
      <c r="I661" s="5">
        <f ca="1">IFERROR(__xludf.DUMMYFUNCTION("""COMPUTED_VALUE"""),1)</f>
        <v>1</v>
      </c>
      <c r="J661" s="5">
        <f ca="1">IFERROR(__xludf.DUMMYFUNCTION("""COMPUTED_VALUE"""),18000)</f>
        <v>18000</v>
      </c>
      <c r="K661" s="3"/>
      <c r="L661" s="3" t="str">
        <f ca="1">IFERROR(__xludf.DUMMYFUNCTION("""COMPUTED_VALUE"""),"Cost per instance")</f>
        <v>Cost per instance</v>
      </c>
      <c r="M661" s="3"/>
      <c r="N661" s="3"/>
      <c r="O661" s="3"/>
      <c r="P661" s="3"/>
      <c r="Q661" s="3"/>
      <c r="R661" s="3"/>
      <c r="S661" s="3" t="str">
        <f ca="1">IFERROR(__xludf.DUMMYFUNCTION("""COMPUTED_VALUE"""),"100")</f>
        <v>100</v>
      </c>
      <c r="T661" s="3"/>
      <c r="U661" s="3" t="str">
        <f ca="1">IFERROR(__xludf.DUMMYFUNCTION("""COMPUTED_VALUE"""),"SoMe instagram")</f>
        <v>SoMe instagram</v>
      </c>
      <c r="V661" s="3"/>
      <c r="W661" s="3"/>
      <c r="X661" s="3"/>
      <c r="Y661" s="3"/>
      <c r="Z661" s="3" t="str">
        <f ca="1">IFERROR(__xludf.DUMMYFUNCTION("""COMPUTED_VALUE"""),"podklady@cncenter.cz")</f>
        <v>podklady@cncenter.cz</v>
      </c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 t="str">
        <f ca="1">IFERROR(__xludf.DUMMYFUNCTION("""COMPUTED_VALUE"""),"cross-device")</f>
        <v>cross-device</v>
      </c>
      <c r="AO661" s="3"/>
      <c r="AP661" s="3"/>
      <c r="AQ661" s="3"/>
      <c r="AR661" s="3"/>
      <c r="AS661" s="3"/>
      <c r="AT661" s="3"/>
      <c r="AU661" s="3" t="str">
        <f ca="1">IFERROR(__xludf.DUMMYFUNCTION("""COMPUTED_VALUE"""),"instagram post")</f>
        <v>instagram post</v>
      </c>
    </row>
    <row r="662" spans="1:47" x14ac:dyDescent="0.3">
      <c r="A662" s="3">
        <f ca="1"/>
        <v>2346826</v>
      </c>
      <c r="B662" s="3" t="str">
        <f ca="1"/>
        <v>CZECH NEWS CENTER a. s.</v>
      </c>
      <c r="C662" s="3" t="str">
        <f ca="1">IFERROR(__xludf.DUMMYFUNCTION("""COMPUTED_VALUE"""),"Instagramový profil mobilMania")</f>
        <v>Instagramový profil mobilMania</v>
      </c>
      <c r="D662" s="4" t="str">
        <f ca="1">IFERROR(__xludf.DUMMYFUNCTION("""COMPUTED_VALUE"""),"www.instagram.com")</f>
        <v>www.instagram.com</v>
      </c>
      <c r="E662" s="3" t="str">
        <f ca="1">IFERROR(__xludf.DUMMYFUNCTION("""COMPUTED_VALUE"""),"IG účet")</f>
        <v>IG účet</v>
      </c>
      <c r="F662" s="4" t="str">
        <f ca="1">IFERROR(__xludf.DUMMYFUNCTION("""COMPUTED_VALUE"""),"www.instagram.com")</f>
        <v>www.instagram.com</v>
      </c>
      <c r="G662" s="3" t="str">
        <f ca="1">IFERROR(__xludf.DUMMYFUNCTION("""COMPUTED_VALUE"""),"instagram story low season")</f>
        <v>instagram story low season</v>
      </c>
      <c r="H662" s="3">
        <f ca="1">IFERROR(__xludf.DUMMYFUNCTION("""COMPUTED_VALUE"""),1)</f>
        <v>1</v>
      </c>
      <c r="I662" s="5">
        <f ca="1">IFERROR(__xludf.DUMMYFUNCTION("""COMPUTED_VALUE"""),1)</f>
        <v>1</v>
      </c>
      <c r="J662" s="5">
        <f ca="1">IFERROR(__xludf.DUMMYFUNCTION("""COMPUTED_VALUE"""),18000)</f>
        <v>18000</v>
      </c>
      <c r="K662" s="3"/>
      <c r="L662" s="3" t="str">
        <f ca="1">IFERROR(__xludf.DUMMYFUNCTION("""COMPUTED_VALUE"""),"Cost per instance")</f>
        <v>Cost per instance</v>
      </c>
      <c r="M662" s="3"/>
      <c r="N662" s="3"/>
      <c r="O662" s="3"/>
      <c r="P662" s="3"/>
      <c r="Q662" s="3"/>
      <c r="R662" s="3"/>
      <c r="S662" s="3" t="str">
        <f ca="1">IFERROR(__xludf.DUMMYFUNCTION("""COMPUTED_VALUE"""),"100")</f>
        <v>100</v>
      </c>
      <c r="T662" s="3"/>
      <c r="U662" s="3" t="str">
        <f ca="1">IFERROR(__xludf.DUMMYFUNCTION("""COMPUTED_VALUE"""),"SoMe instagram")</f>
        <v>SoMe instagram</v>
      </c>
      <c r="V662" s="3"/>
      <c r="W662" s="3"/>
      <c r="X662" s="3"/>
      <c r="Y662" s="3"/>
      <c r="Z662" s="3" t="str">
        <f ca="1">IFERROR(__xludf.DUMMYFUNCTION("""COMPUTED_VALUE"""),"podklady@cncenter.cz")</f>
        <v>podklady@cncenter.cz</v>
      </c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 t="str">
        <f ca="1">IFERROR(__xludf.DUMMYFUNCTION("""COMPUTED_VALUE"""),"cross-device")</f>
        <v>cross-device</v>
      </c>
      <c r="AO662" s="3"/>
      <c r="AP662" s="3"/>
      <c r="AQ662" s="3"/>
      <c r="AR662" s="3"/>
      <c r="AS662" s="3"/>
      <c r="AT662" s="3"/>
      <c r="AU662" s="3" t="str">
        <f ca="1">IFERROR(__xludf.DUMMYFUNCTION("""COMPUTED_VALUE"""),"instagram story")</f>
        <v>instagram story</v>
      </c>
    </row>
    <row r="663" spans="1:47" x14ac:dyDescent="0.3">
      <c r="A663" s="3">
        <f ca="1"/>
        <v>2346826</v>
      </c>
      <c r="B663" s="3" t="str">
        <f ca="1"/>
        <v>CZECH NEWS CENTER a. s.</v>
      </c>
      <c r="C663" s="3" t="str">
        <f ca="1">IFERROR(__xludf.DUMMYFUNCTION("""COMPUTED_VALUE"""),"Instagramový profil Moje psychologie")</f>
        <v>Instagramový profil Moje psychologie</v>
      </c>
      <c r="D663" s="4" t="str">
        <f ca="1">IFERROR(__xludf.DUMMYFUNCTION("""COMPUTED_VALUE"""),"www.instagram.com")</f>
        <v>www.instagram.com</v>
      </c>
      <c r="E663" s="3" t="str">
        <f ca="1">IFERROR(__xludf.DUMMYFUNCTION("""COMPUTED_VALUE"""),"IG účet")</f>
        <v>IG účet</v>
      </c>
      <c r="F663" s="4" t="str">
        <f ca="1">IFERROR(__xludf.DUMMYFUNCTION("""COMPUTED_VALUE"""),"www.instagram.com")</f>
        <v>www.instagram.com</v>
      </c>
      <c r="G663" s="3" t="str">
        <f ca="1">IFERROR(__xludf.DUMMYFUNCTION("""COMPUTED_VALUE"""),"instagram post low season")</f>
        <v>instagram post low season</v>
      </c>
      <c r="H663" s="3">
        <f ca="1">IFERROR(__xludf.DUMMYFUNCTION("""COMPUTED_VALUE"""),1)</f>
        <v>1</v>
      </c>
      <c r="I663" s="5">
        <f ca="1">IFERROR(__xludf.DUMMYFUNCTION("""COMPUTED_VALUE"""),1)</f>
        <v>1</v>
      </c>
      <c r="J663" s="5">
        <f ca="1">IFERROR(__xludf.DUMMYFUNCTION("""COMPUTED_VALUE"""),18000)</f>
        <v>18000</v>
      </c>
      <c r="K663" s="3"/>
      <c r="L663" s="3" t="str">
        <f ca="1">IFERROR(__xludf.DUMMYFUNCTION("""COMPUTED_VALUE"""),"Cost per instance")</f>
        <v>Cost per instance</v>
      </c>
      <c r="M663" s="3"/>
      <c r="N663" s="3"/>
      <c r="O663" s="3"/>
      <c r="P663" s="3"/>
      <c r="Q663" s="3"/>
      <c r="R663" s="3"/>
      <c r="S663" s="3" t="str">
        <f ca="1">IFERROR(__xludf.DUMMYFUNCTION("""COMPUTED_VALUE"""),"100")</f>
        <v>100</v>
      </c>
      <c r="T663" s="3"/>
      <c r="U663" s="3" t="str">
        <f ca="1">IFERROR(__xludf.DUMMYFUNCTION("""COMPUTED_VALUE"""),"SoMe instagram")</f>
        <v>SoMe instagram</v>
      </c>
      <c r="V663" s="3"/>
      <c r="W663" s="3"/>
      <c r="X663" s="3"/>
      <c r="Y663" s="3"/>
      <c r="Z663" s="3" t="str">
        <f ca="1">IFERROR(__xludf.DUMMYFUNCTION("""COMPUTED_VALUE"""),"podklady@cncenter.cz")</f>
        <v>podklady@cncenter.cz</v>
      </c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 t="str">
        <f ca="1">IFERROR(__xludf.DUMMYFUNCTION("""COMPUTED_VALUE"""),"cross-device")</f>
        <v>cross-device</v>
      </c>
      <c r="AO663" s="3"/>
      <c r="AP663" s="3"/>
      <c r="AQ663" s="3"/>
      <c r="AR663" s="3"/>
      <c r="AS663" s="3"/>
      <c r="AT663" s="3"/>
      <c r="AU663" s="3" t="str">
        <f ca="1">IFERROR(__xludf.DUMMYFUNCTION("""COMPUTED_VALUE"""),"instagram post")</f>
        <v>instagram post</v>
      </c>
    </row>
    <row r="664" spans="1:47" x14ac:dyDescent="0.3">
      <c r="A664" s="3">
        <f ca="1"/>
        <v>2346826</v>
      </c>
      <c r="B664" s="3" t="str">
        <f ca="1"/>
        <v>CZECH NEWS CENTER a. s.</v>
      </c>
      <c r="C664" s="3" t="str">
        <f ca="1">IFERROR(__xludf.DUMMYFUNCTION("""COMPUTED_VALUE"""),"Instagramový profil Moje psychologie")</f>
        <v>Instagramový profil Moje psychologie</v>
      </c>
      <c r="D664" s="4" t="str">
        <f ca="1">IFERROR(__xludf.DUMMYFUNCTION("""COMPUTED_VALUE"""),"www.instagram.com")</f>
        <v>www.instagram.com</v>
      </c>
      <c r="E664" s="3" t="str">
        <f ca="1">IFERROR(__xludf.DUMMYFUNCTION("""COMPUTED_VALUE"""),"IG účet")</f>
        <v>IG účet</v>
      </c>
      <c r="F664" s="4" t="str">
        <f ca="1">IFERROR(__xludf.DUMMYFUNCTION("""COMPUTED_VALUE"""),"www.instagram.com")</f>
        <v>www.instagram.com</v>
      </c>
      <c r="G664" s="3" t="str">
        <f ca="1">IFERROR(__xludf.DUMMYFUNCTION("""COMPUTED_VALUE"""),"instagram story low season")</f>
        <v>instagram story low season</v>
      </c>
      <c r="H664" s="3">
        <f ca="1">IFERROR(__xludf.DUMMYFUNCTION("""COMPUTED_VALUE"""),1)</f>
        <v>1</v>
      </c>
      <c r="I664" s="5">
        <f ca="1">IFERROR(__xludf.DUMMYFUNCTION("""COMPUTED_VALUE"""),1)</f>
        <v>1</v>
      </c>
      <c r="J664" s="5">
        <f ca="1">IFERROR(__xludf.DUMMYFUNCTION("""COMPUTED_VALUE"""),18000)</f>
        <v>18000</v>
      </c>
      <c r="K664" s="3"/>
      <c r="L664" s="3" t="str">
        <f ca="1">IFERROR(__xludf.DUMMYFUNCTION("""COMPUTED_VALUE"""),"Cost per instance")</f>
        <v>Cost per instance</v>
      </c>
      <c r="M664" s="3"/>
      <c r="N664" s="3"/>
      <c r="O664" s="3"/>
      <c r="P664" s="3"/>
      <c r="Q664" s="3"/>
      <c r="R664" s="3"/>
      <c r="S664" s="3" t="str">
        <f ca="1">IFERROR(__xludf.DUMMYFUNCTION("""COMPUTED_VALUE"""),"100")</f>
        <v>100</v>
      </c>
      <c r="T664" s="3"/>
      <c r="U664" s="3" t="str">
        <f ca="1">IFERROR(__xludf.DUMMYFUNCTION("""COMPUTED_VALUE"""),"SoMe instagram")</f>
        <v>SoMe instagram</v>
      </c>
      <c r="V664" s="3"/>
      <c r="W664" s="3"/>
      <c r="X664" s="3"/>
      <c r="Y664" s="3"/>
      <c r="Z664" s="3" t="str">
        <f ca="1">IFERROR(__xludf.DUMMYFUNCTION("""COMPUTED_VALUE"""),"podklady@cncenter.cz")</f>
        <v>podklady@cncenter.cz</v>
      </c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 t="str">
        <f ca="1">IFERROR(__xludf.DUMMYFUNCTION("""COMPUTED_VALUE"""),"cross-device")</f>
        <v>cross-device</v>
      </c>
      <c r="AO664" s="3"/>
      <c r="AP664" s="3"/>
      <c r="AQ664" s="3"/>
      <c r="AR664" s="3"/>
      <c r="AS664" s="3"/>
      <c r="AT664" s="3"/>
      <c r="AU664" s="3" t="str">
        <f ca="1">IFERROR(__xludf.DUMMYFUNCTION("""COMPUTED_VALUE"""),"instagram story")</f>
        <v>instagram story</v>
      </c>
    </row>
    <row r="665" spans="1:47" x14ac:dyDescent="0.3">
      <c r="A665" s="3">
        <f ca="1"/>
        <v>2346826</v>
      </c>
      <c r="B665" s="3" t="str">
        <f ca="1"/>
        <v>CZECH NEWS CENTER a. s.</v>
      </c>
      <c r="C665" s="3" t="str">
        <f ca="1">IFERROR(__xludf.DUMMYFUNCTION("""COMPUTED_VALUE"""),"Instagramový profil Recepty")</f>
        <v>Instagramový profil Recepty</v>
      </c>
      <c r="D665" s="4" t="str">
        <f ca="1">IFERROR(__xludf.DUMMYFUNCTION("""COMPUTED_VALUE"""),"www.instagram.com")</f>
        <v>www.instagram.com</v>
      </c>
      <c r="E665" s="3" t="str">
        <f ca="1">IFERROR(__xludf.DUMMYFUNCTION("""COMPUTED_VALUE"""),"IG účet")</f>
        <v>IG účet</v>
      </c>
      <c r="F665" s="4" t="str">
        <f ca="1">IFERROR(__xludf.DUMMYFUNCTION("""COMPUTED_VALUE"""),"www.instagram.com")</f>
        <v>www.instagram.com</v>
      </c>
      <c r="G665" s="3" t="str">
        <f ca="1">IFERROR(__xludf.DUMMYFUNCTION("""COMPUTED_VALUE"""),"instagram post low season")</f>
        <v>instagram post low season</v>
      </c>
      <c r="H665" s="3">
        <f ca="1">IFERROR(__xludf.DUMMYFUNCTION("""COMPUTED_VALUE"""),1)</f>
        <v>1</v>
      </c>
      <c r="I665" s="5">
        <f ca="1">IFERROR(__xludf.DUMMYFUNCTION("""COMPUTED_VALUE"""),1)</f>
        <v>1</v>
      </c>
      <c r="J665" s="5">
        <f ca="1">IFERROR(__xludf.DUMMYFUNCTION("""COMPUTED_VALUE"""),18000)</f>
        <v>18000</v>
      </c>
      <c r="K665" s="3"/>
      <c r="L665" s="3" t="str">
        <f ca="1">IFERROR(__xludf.DUMMYFUNCTION("""COMPUTED_VALUE"""),"Cost per instance")</f>
        <v>Cost per instance</v>
      </c>
      <c r="M665" s="3"/>
      <c r="N665" s="3"/>
      <c r="O665" s="3"/>
      <c r="P665" s="3"/>
      <c r="Q665" s="3"/>
      <c r="R665" s="3"/>
      <c r="S665" s="3" t="str">
        <f ca="1">IFERROR(__xludf.DUMMYFUNCTION("""COMPUTED_VALUE"""),"100")</f>
        <v>100</v>
      </c>
      <c r="T665" s="3"/>
      <c r="U665" s="3" t="str">
        <f ca="1">IFERROR(__xludf.DUMMYFUNCTION("""COMPUTED_VALUE"""),"SoMe instagram")</f>
        <v>SoMe instagram</v>
      </c>
      <c r="V665" s="3"/>
      <c r="W665" s="3"/>
      <c r="X665" s="3"/>
      <c r="Y665" s="3"/>
      <c r="Z665" s="3" t="str">
        <f ca="1">IFERROR(__xludf.DUMMYFUNCTION("""COMPUTED_VALUE"""),"podklady@cncenter.cz")</f>
        <v>podklady@cncenter.cz</v>
      </c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 t="str">
        <f ca="1">IFERROR(__xludf.DUMMYFUNCTION("""COMPUTED_VALUE"""),"cross-device")</f>
        <v>cross-device</v>
      </c>
      <c r="AO665" s="3"/>
      <c r="AP665" s="3"/>
      <c r="AQ665" s="3"/>
      <c r="AR665" s="3"/>
      <c r="AS665" s="3"/>
      <c r="AT665" s="3"/>
      <c r="AU665" s="3" t="str">
        <f ca="1">IFERROR(__xludf.DUMMYFUNCTION("""COMPUTED_VALUE"""),"instagram post")</f>
        <v>instagram post</v>
      </c>
    </row>
    <row r="666" spans="1:47" x14ac:dyDescent="0.3">
      <c r="A666" s="3">
        <f ca="1"/>
        <v>2346826</v>
      </c>
      <c r="B666" s="3" t="str">
        <f ca="1"/>
        <v>CZECH NEWS CENTER a. s.</v>
      </c>
      <c r="C666" s="3" t="str">
        <f ca="1">IFERROR(__xludf.DUMMYFUNCTION("""COMPUTED_VALUE"""),"Instagramový profil Recepty")</f>
        <v>Instagramový profil Recepty</v>
      </c>
      <c r="D666" s="4" t="str">
        <f ca="1">IFERROR(__xludf.DUMMYFUNCTION("""COMPUTED_VALUE"""),"www.instagram.com")</f>
        <v>www.instagram.com</v>
      </c>
      <c r="E666" s="3" t="str">
        <f ca="1">IFERROR(__xludf.DUMMYFUNCTION("""COMPUTED_VALUE"""),"IG účet")</f>
        <v>IG účet</v>
      </c>
      <c r="F666" s="4" t="str">
        <f ca="1">IFERROR(__xludf.DUMMYFUNCTION("""COMPUTED_VALUE"""),"www.instagram.com")</f>
        <v>www.instagram.com</v>
      </c>
      <c r="G666" s="3" t="str">
        <f ca="1">IFERROR(__xludf.DUMMYFUNCTION("""COMPUTED_VALUE"""),"instagram story low season")</f>
        <v>instagram story low season</v>
      </c>
      <c r="H666" s="3">
        <f ca="1">IFERROR(__xludf.DUMMYFUNCTION("""COMPUTED_VALUE"""),1)</f>
        <v>1</v>
      </c>
      <c r="I666" s="5">
        <f ca="1">IFERROR(__xludf.DUMMYFUNCTION("""COMPUTED_VALUE"""),1)</f>
        <v>1</v>
      </c>
      <c r="J666" s="5">
        <f ca="1">IFERROR(__xludf.DUMMYFUNCTION("""COMPUTED_VALUE"""),18000)</f>
        <v>18000</v>
      </c>
      <c r="K666" s="3"/>
      <c r="L666" s="3" t="str">
        <f ca="1">IFERROR(__xludf.DUMMYFUNCTION("""COMPUTED_VALUE"""),"Cost per instance")</f>
        <v>Cost per instance</v>
      </c>
      <c r="M666" s="3"/>
      <c r="N666" s="3"/>
      <c r="O666" s="3"/>
      <c r="P666" s="3"/>
      <c r="Q666" s="3"/>
      <c r="R666" s="3"/>
      <c r="S666" s="3" t="str">
        <f ca="1">IFERROR(__xludf.DUMMYFUNCTION("""COMPUTED_VALUE"""),"100")</f>
        <v>100</v>
      </c>
      <c r="T666" s="3"/>
      <c r="U666" s="3" t="str">
        <f ca="1">IFERROR(__xludf.DUMMYFUNCTION("""COMPUTED_VALUE"""),"SoMe instagram")</f>
        <v>SoMe instagram</v>
      </c>
      <c r="V666" s="3"/>
      <c r="W666" s="3"/>
      <c r="X666" s="3"/>
      <c r="Y666" s="3"/>
      <c r="Z666" s="3" t="str">
        <f ca="1">IFERROR(__xludf.DUMMYFUNCTION("""COMPUTED_VALUE"""),"podklady@cncenter.cz")</f>
        <v>podklady@cncenter.cz</v>
      </c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 t="str">
        <f ca="1">IFERROR(__xludf.DUMMYFUNCTION("""COMPUTED_VALUE"""),"cross-device")</f>
        <v>cross-device</v>
      </c>
      <c r="AO666" s="3"/>
      <c r="AP666" s="3"/>
      <c r="AQ666" s="3"/>
      <c r="AR666" s="3"/>
      <c r="AS666" s="3"/>
      <c r="AT666" s="3"/>
      <c r="AU666" s="3" t="str">
        <f ca="1">IFERROR(__xludf.DUMMYFUNCTION("""COMPUTED_VALUE"""),"instagram story")</f>
        <v>instagram story</v>
      </c>
    </row>
    <row r="667" spans="1:47" x14ac:dyDescent="0.3">
      <c r="A667" s="3">
        <f ca="1"/>
        <v>2346826</v>
      </c>
      <c r="B667" s="3" t="str">
        <f ca="1"/>
        <v>CZECH NEWS CENTER a. s.</v>
      </c>
      <c r="C667" s="3" t="str">
        <f ca="1">IFERROR(__xludf.DUMMYFUNCTION("""COMPUTED_VALUE"""),"Instagramový profil Reflex")</f>
        <v>Instagramový profil Reflex</v>
      </c>
      <c r="D667" s="4" t="str">
        <f ca="1">IFERROR(__xludf.DUMMYFUNCTION("""COMPUTED_VALUE"""),"www.instagram.com")</f>
        <v>www.instagram.com</v>
      </c>
      <c r="E667" s="3" t="str">
        <f ca="1">IFERROR(__xludf.DUMMYFUNCTION("""COMPUTED_VALUE"""),"IG účet")</f>
        <v>IG účet</v>
      </c>
      <c r="F667" s="4" t="str">
        <f ca="1">IFERROR(__xludf.DUMMYFUNCTION("""COMPUTED_VALUE"""),"www.instagram.com")</f>
        <v>www.instagram.com</v>
      </c>
      <c r="G667" s="3" t="str">
        <f ca="1">IFERROR(__xludf.DUMMYFUNCTION("""COMPUTED_VALUE"""),"instagram post low season")</f>
        <v>instagram post low season</v>
      </c>
      <c r="H667" s="3">
        <f ca="1">IFERROR(__xludf.DUMMYFUNCTION("""COMPUTED_VALUE"""),1)</f>
        <v>1</v>
      </c>
      <c r="I667" s="5">
        <f ca="1">IFERROR(__xludf.DUMMYFUNCTION("""COMPUTED_VALUE"""),1)</f>
        <v>1</v>
      </c>
      <c r="J667" s="5">
        <f ca="1">IFERROR(__xludf.DUMMYFUNCTION("""COMPUTED_VALUE"""),23000)</f>
        <v>23000</v>
      </c>
      <c r="K667" s="3"/>
      <c r="L667" s="3" t="str">
        <f ca="1">IFERROR(__xludf.DUMMYFUNCTION("""COMPUTED_VALUE"""),"Cost per instance")</f>
        <v>Cost per instance</v>
      </c>
      <c r="M667" s="3"/>
      <c r="N667" s="3"/>
      <c r="O667" s="3"/>
      <c r="P667" s="3"/>
      <c r="Q667" s="3"/>
      <c r="R667" s="3"/>
      <c r="S667" s="3" t="str">
        <f ca="1">IFERROR(__xludf.DUMMYFUNCTION("""COMPUTED_VALUE"""),"100")</f>
        <v>100</v>
      </c>
      <c r="T667" s="3"/>
      <c r="U667" s="3" t="str">
        <f ca="1">IFERROR(__xludf.DUMMYFUNCTION("""COMPUTED_VALUE"""),"SoMe instagram")</f>
        <v>SoMe instagram</v>
      </c>
      <c r="V667" s="3"/>
      <c r="W667" s="3"/>
      <c r="X667" s="3"/>
      <c r="Y667" s="3"/>
      <c r="Z667" s="3" t="str">
        <f ca="1">IFERROR(__xludf.DUMMYFUNCTION("""COMPUTED_VALUE"""),"podklady@cncenter.cz")</f>
        <v>podklady@cncenter.cz</v>
      </c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 t="str">
        <f ca="1">IFERROR(__xludf.DUMMYFUNCTION("""COMPUTED_VALUE"""),"cross-device")</f>
        <v>cross-device</v>
      </c>
      <c r="AO667" s="3"/>
      <c r="AP667" s="3"/>
      <c r="AQ667" s="3"/>
      <c r="AR667" s="3"/>
      <c r="AS667" s="3"/>
      <c r="AT667" s="3"/>
      <c r="AU667" s="3" t="str">
        <f ca="1">IFERROR(__xludf.DUMMYFUNCTION("""COMPUTED_VALUE"""),"instagram post")</f>
        <v>instagram post</v>
      </c>
    </row>
    <row r="668" spans="1:47" x14ac:dyDescent="0.3">
      <c r="A668" s="3">
        <f ca="1"/>
        <v>2346826</v>
      </c>
      <c r="B668" s="3" t="str">
        <f ca="1"/>
        <v>CZECH NEWS CENTER a. s.</v>
      </c>
      <c r="C668" s="3" t="str">
        <f ca="1">IFERROR(__xludf.DUMMYFUNCTION("""COMPUTED_VALUE"""),"Instagramový profil Reflex")</f>
        <v>Instagramový profil Reflex</v>
      </c>
      <c r="D668" s="4" t="str">
        <f ca="1">IFERROR(__xludf.DUMMYFUNCTION("""COMPUTED_VALUE"""),"www.instagram.com")</f>
        <v>www.instagram.com</v>
      </c>
      <c r="E668" s="3" t="str">
        <f ca="1">IFERROR(__xludf.DUMMYFUNCTION("""COMPUTED_VALUE"""),"IG účet")</f>
        <v>IG účet</v>
      </c>
      <c r="F668" s="4" t="str">
        <f ca="1">IFERROR(__xludf.DUMMYFUNCTION("""COMPUTED_VALUE"""),"www.instagram.com")</f>
        <v>www.instagram.com</v>
      </c>
      <c r="G668" s="3" t="str">
        <f ca="1">IFERROR(__xludf.DUMMYFUNCTION("""COMPUTED_VALUE"""),"instagram story low season")</f>
        <v>instagram story low season</v>
      </c>
      <c r="H668" s="3">
        <f ca="1">IFERROR(__xludf.DUMMYFUNCTION("""COMPUTED_VALUE"""),1)</f>
        <v>1</v>
      </c>
      <c r="I668" s="5">
        <f ca="1">IFERROR(__xludf.DUMMYFUNCTION("""COMPUTED_VALUE"""),1)</f>
        <v>1</v>
      </c>
      <c r="J668" s="5">
        <f ca="1">IFERROR(__xludf.DUMMYFUNCTION("""COMPUTED_VALUE"""),23000)</f>
        <v>23000</v>
      </c>
      <c r="K668" s="3"/>
      <c r="L668" s="3" t="str">
        <f ca="1">IFERROR(__xludf.DUMMYFUNCTION("""COMPUTED_VALUE"""),"Cost per instance")</f>
        <v>Cost per instance</v>
      </c>
      <c r="M668" s="3"/>
      <c r="N668" s="3"/>
      <c r="O668" s="3"/>
      <c r="P668" s="3"/>
      <c r="Q668" s="3"/>
      <c r="R668" s="3"/>
      <c r="S668" s="3" t="str">
        <f ca="1">IFERROR(__xludf.DUMMYFUNCTION("""COMPUTED_VALUE"""),"100")</f>
        <v>100</v>
      </c>
      <c r="T668" s="3"/>
      <c r="U668" s="3" t="str">
        <f ca="1">IFERROR(__xludf.DUMMYFUNCTION("""COMPUTED_VALUE"""),"SoMe instagram")</f>
        <v>SoMe instagram</v>
      </c>
      <c r="V668" s="3"/>
      <c r="W668" s="3"/>
      <c r="X668" s="3"/>
      <c r="Y668" s="3"/>
      <c r="Z668" s="3" t="str">
        <f ca="1">IFERROR(__xludf.DUMMYFUNCTION("""COMPUTED_VALUE"""),"podklady@cncenter.cz")</f>
        <v>podklady@cncenter.cz</v>
      </c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 t="str">
        <f ca="1">IFERROR(__xludf.DUMMYFUNCTION("""COMPUTED_VALUE"""),"cross-device")</f>
        <v>cross-device</v>
      </c>
      <c r="AO668" s="3"/>
      <c r="AP668" s="3"/>
      <c r="AQ668" s="3"/>
      <c r="AR668" s="3"/>
      <c r="AS668" s="3"/>
      <c r="AT668" s="3"/>
      <c r="AU668" s="3" t="str">
        <f ca="1">IFERROR(__xludf.DUMMYFUNCTION("""COMPUTED_VALUE"""),"instagram story")</f>
        <v>instagram story</v>
      </c>
    </row>
    <row r="669" spans="1:47" x14ac:dyDescent="0.3">
      <c r="A669" s="3">
        <f ca="1"/>
        <v>2346826</v>
      </c>
      <c r="B669" s="3" t="str">
        <f ca="1"/>
        <v>CZECH NEWS CENTER a. s.</v>
      </c>
      <c r="C669" s="3" t="str">
        <f ca="1">IFERROR(__xludf.DUMMYFUNCTION("""COMPUTED_VALUE"""),"Instagramový profil Sluníčko")</f>
        <v>Instagramový profil Sluníčko</v>
      </c>
      <c r="D669" s="4" t="str">
        <f ca="1">IFERROR(__xludf.DUMMYFUNCTION("""COMPUTED_VALUE"""),"www.instagram.com")</f>
        <v>www.instagram.com</v>
      </c>
      <c r="E669" s="3" t="str">
        <f ca="1">IFERROR(__xludf.DUMMYFUNCTION("""COMPUTED_VALUE"""),"IG účet")</f>
        <v>IG účet</v>
      </c>
      <c r="F669" s="4" t="str">
        <f ca="1">IFERROR(__xludf.DUMMYFUNCTION("""COMPUTED_VALUE"""),"www.instagram.com")</f>
        <v>www.instagram.com</v>
      </c>
      <c r="G669" s="3" t="str">
        <f ca="1">IFERROR(__xludf.DUMMYFUNCTION("""COMPUTED_VALUE"""),"instagram post low season")</f>
        <v>instagram post low season</v>
      </c>
      <c r="H669" s="3">
        <f ca="1">IFERROR(__xludf.DUMMYFUNCTION("""COMPUTED_VALUE"""),1)</f>
        <v>1</v>
      </c>
      <c r="I669" s="5">
        <f ca="1">IFERROR(__xludf.DUMMYFUNCTION("""COMPUTED_VALUE"""),1)</f>
        <v>1</v>
      </c>
      <c r="J669" s="5">
        <f ca="1">IFERROR(__xludf.DUMMYFUNCTION("""COMPUTED_VALUE"""),18000)</f>
        <v>18000</v>
      </c>
      <c r="K669" s="3"/>
      <c r="L669" s="3" t="str">
        <f ca="1">IFERROR(__xludf.DUMMYFUNCTION("""COMPUTED_VALUE"""),"Cost per instance")</f>
        <v>Cost per instance</v>
      </c>
      <c r="M669" s="3"/>
      <c r="N669" s="3"/>
      <c r="O669" s="3"/>
      <c r="P669" s="3"/>
      <c r="Q669" s="3"/>
      <c r="R669" s="3"/>
      <c r="S669" s="3" t="str">
        <f ca="1">IFERROR(__xludf.DUMMYFUNCTION("""COMPUTED_VALUE"""),"100")</f>
        <v>100</v>
      </c>
      <c r="T669" s="3"/>
      <c r="U669" s="3" t="str">
        <f ca="1">IFERROR(__xludf.DUMMYFUNCTION("""COMPUTED_VALUE"""),"SoMe instagram")</f>
        <v>SoMe instagram</v>
      </c>
      <c r="V669" s="3"/>
      <c r="W669" s="3"/>
      <c r="X669" s="3"/>
      <c r="Y669" s="3"/>
      <c r="Z669" s="3" t="str">
        <f ca="1">IFERROR(__xludf.DUMMYFUNCTION("""COMPUTED_VALUE"""),"podklady@cncenter.cz")</f>
        <v>podklady@cncenter.cz</v>
      </c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 t="str">
        <f ca="1">IFERROR(__xludf.DUMMYFUNCTION("""COMPUTED_VALUE"""),"cross-device")</f>
        <v>cross-device</v>
      </c>
      <c r="AO669" s="3"/>
      <c r="AP669" s="3"/>
      <c r="AQ669" s="3"/>
      <c r="AR669" s="3"/>
      <c r="AS669" s="3"/>
      <c r="AT669" s="3"/>
      <c r="AU669" s="3" t="str">
        <f ca="1">IFERROR(__xludf.DUMMYFUNCTION("""COMPUTED_VALUE"""),"instagram post")</f>
        <v>instagram post</v>
      </c>
    </row>
    <row r="670" spans="1:47" x14ac:dyDescent="0.3">
      <c r="A670" s="3">
        <f ca="1"/>
        <v>2346826</v>
      </c>
      <c r="B670" s="3" t="str">
        <f ca="1"/>
        <v>CZECH NEWS CENTER a. s.</v>
      </c>
      <c r="C670" s="3" t="str">
        <f ca="1">IFERROR(__xludf.DUMMYFUNCTION("""COMPUTED_VALUE"""),"Instagramový profil Sluníčko")</f>
        <v>Instagramový profil Sluníčko</v>
      </c>
      <c r="D670" s="4" t="str">
        <f ca="1">IFERROR(__xludf.DUMMYFUNCTION("""COMPUTED_VALUE"""),"www.instagram.com")</f>
        <v>www.instagram.com</v>
      </c>
      <c r="E670" s="3" t="str">
        <f ca="1">IFERROR(__xludf.DUMMYFUNCTION("""COMPUTED_VALUE"""),"IG účet")</f>
        <v>IG účet</v>
      </c>
      <c r="F670" s="4" t="str">
        <f ca="1">IFERROR(__xludf.DUMMYFUNCTION("""COMPUTED_VALUE"""),"www.instagram.com")</f>
        <v>www.instagram.com</v>
      </c>
      <c r="G670" s="3" t="str">
        <f ca="1">IFERROR(__xludf.DUMMYFUNCTION("""COMPUTED_VALUE"""),"instagram story low season")</f>
        <v>instagram story low season</v>
      </c>
      <c r="H670" s="3">
        <f ca="1">IFERROR(__xludf.DUMMYFUNCTION("""COMPUTED_VALUE"""),1)</f>
        <v>1</v>
      </c>
      <c r="I670" s="5">
        <f ca="1">IFERROR(__xludf.DUMMYFUNCTION("""COMPUTED_VALUE"""),1)</f>
        <v>1</v>
      </c>
      <c r="J670" s="5">
        <f ca="1">IFERROR(__xludf.DUMMYFUNCTION("""COMPUTED_VALUE"""),18000)</f>
        <v>18000</v>
      </c>
      <c r="K670" s="3"/>
      <c r="L670" s="3" t="str">
        <f ca="1">IFERROR(__xludf.DUMMYFUNCTION("""COMPUTED_VALUE"""),"Cost per instance")</f>
        <v>Cost per instance</v>
      </c>
      <c r="M670" s="3"/>
      <c r="N670" s="3"/>
      <c r="O670" s="3"/>
      <c r="P670" s="3"/>
      <c r="Q670" s="3"/>
      <c r="R670" s="3"/>
      <c r="S670" s="3" t="str">
        <f ca="1">IFERROR(__xludf.DUMMYFUNCTION("""COMPUTED_VALUE"""),"100")</f>
        <v>100</v>
      </c>
      <c r="T670" s="3"/>
      <c r="U670" s="3" t="str">
        <f ca="1">IFERROR(__xludf.DUMMYFUNCTION("""COMPUTED_VALUE"""),"SoMe instagram")</f>
        <v>SoMe instagram</v>
      </c>
      <c r="V670" s="3"/>
      <c r="W670" s="3"/>
      <c r="X670" s="3"/>
      <c r="Y670" s="3"/>
      <c r="Z670" s="3" t="str">
        <f ca="1">IFERROR(__xludf.DUMMYFUNCTION("""COMPUTED_VALUE"""),"podklady@cncenter.cz")</f>
        <v>podklady@cncenter.cz</v>
      </c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 t="str">
        <f ca="1">IFERROR(__xludf.DUMMYFUNCTION("""COMPUTED_VALUE"""),"cross-device")</f>
        <v>cross-device</v>
      </c>
      <c r="AO670" s="3"/>
      <c r="AP670" s="3"/>
      <c r="AQ670" s="3"/>
      <c r="AR670" s="3"/>
      <c r="AS670" s="3"/>
      <c r="AT670" s="3"/>
      <c r="AU670" s="3" t="str">
        <f ca="1">IFERROR(__xludf.DUMMYFUNCTION("""COMPUTED_VALUE"""),"instagram story")</f>
        <v>instagram story</v>
      </c>
    </row>
    <row r="671" spans="1:47" x14ac:dyDescent="0.3">
      <c r="A671" s="3">
        <f ca="1"/>
        <v>2346826</v>
      </c>
      <c r="B671" s="3" t="str">
        <f ca="1"/>
        <v>CZECH NEWS CENTER a. s.</v>
      </c>
      <c r="C671" s="3" t="str">
        <f ca="1">IFERROR(__xludf.DUMMYFUNCTION("""COMPUTED_VALUE"""),"Instagramový profil Svět motorů")</f>
        <v>Instagramový profil Svět motorů</v>
      </c>
      <c r="D671" s="4" t="str">
        <f ca="1">IFERROR(__xludf.DUMMYFUNCTION("""COMPUTED_VALUE"""),"www.instagram.com")</f>
        <v>www.instagram.com</v>
      </c>
      <c r="E671" s="3" t="str">
        <f ca="1">IFERROR(__xludf.DUMMYFUNCTION("""COMPUTED_VALUE"""),"IG účet")</f>
        <v>IG účet</v>
      </c>
      <c r="F671" s="4" t="str">
        <f ca="1">IFERROR(__xludf.DUMMYFUNCTION("""COMPUTED_VALUE"""),"www.instagram.com")</f>
        <v>www.instagram.com</v>
      </c>
      <c r="G671" s="3" t="str">
        <f ca="1">IFERROR(__xludf.DUMMYFUNCTION("""COMPUTED_VALUE"""),"instagram post low season")</f>
        <v>instagram post low season</v>
      </c>
      <c r="H671" s="3">
        <f ca="1">IFERROR(__xludf.DUMMYFUNCTION("""COMPUTED_VALUE"""),1)</f>
        <v>1</v>
      </c>
      <c r="I671" s="5">
        <f ca="1">IFERROR(__xludf.DUMMYFUNCTION("""COMPUTED_VALUE"""),1)</f>
        <v>1</v>
      </c>
      <c r="J671" s="5">
        <f ca="1">IFERROR(__xludf.DUMMYFUNCTION("""COMPUTED_VALUE"""),18000)</f>
        <v>18000</v>
      </c>
      <c r="K671" s="3"/>
      <c r="L671" s="3" t="str">
        <f ca="1">IFERROR(__xludf.DUMMYFUNCTION("""COMPUTED_VALUE"""),"Cost per instance")</f>
        <v>Cost per instance</v>
      </c>
      <c r="M671" s="3"/>
      <c r="N671" s="3"/>
      <c r="O671" s="3"/>
      <c r="P671" s="3"/>
      <c r="Q671" s="3"/>
      <c r="R671" s="3"/>
      <c r="S671" s="3" t="str">
        <f ca="1">IFERROR(__xludf.DUMMYFUNCTION("""COMPUTED_VALUE"""),"100")</f>
        <v>100</v>
      </c>
      <c r="T671" s="3"/>
      <c r="U671" s="3" t="str">
        <f ca="1">IFERROR(__xludf.DUMMYFUNCTION("""COMPUTED_VALUE"""),"SoMe instagram")</f>
        <v>SoMe instagram</v>
      </c>
      <c r="V671" s="3"/>
      <c r="W671" s="3"/>
      <c r="X671" s="3"/>
      <c r="Y671" s="3"/>
      <c r="Z671" s="3" t="str">
        <f ca="1">IFERROR(__xludf.DUMMYFUNCTION("""COMPUTED_VALUE"""),"podklady@cncenter.cz")</f>
        <v>podklady@cncenter.cz</v>
      </c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 t="str">
        <f ca="1">IFERROR(__xludf.DUMMYFUNCTION("""COMPUTED_VALUE"""),"cross-device")</f>
        <v>cross-device</v>
      </c>
      <c r="AO671" s="3"/>
      <c r="AP671" s="3"/>
      <c r="AQ671" s="3"/>
      <c r="AR671" s="3"/>
      <c r="AS671" s="3"/>
      <c r="AT671" s="3"/>
      <c r="AU671" s="3" t="str">
        <f ca="1">IFERROR(__xludf.DUMMYFUNCTION("""COMPUTED_VALUE"""),"instagram post")</f>
        <v>instagram post</v>
      </c>
    </row>
    <row r="672" spans="1:47" x14ac:dyDescent="0.3">
      <c r="A672" s="3">
        <f ca="1"/>
        <v>2346826</v>
      </c>
      <c r="B672" s="3" t="str">
        <f ca="1"/>
        <v>CZECH NEWS CENTER a. s.</v>
      </c>
      <c r="C672" s="3" t="str">
        <f ca="1">IFERROR(__xludf.DUMMYFUNCTION("""COMPUTED_VALUE"""),"Instagramový profil Svět Motorů")</f>
        <v>Instagramový profil Svět Motorů</v>
      </c>
      <c r="D672" s="4" t="str">
        <f ca="1">IFERROR(__xludf.DUMMYFUNCTION("""COMPUTED_VALUE"""),"www.instagram.com")</f>
        <v>www.instagram.com</v>
      </c>
      <c r="E672" s="3" t="str">
        <f ca="1">IFERROR(__xludf.DUMMYFUNCTION("""COMPUTED_VALUE"""),"IG účet")</f>
        <v>IG účet</v>
      </c>
      <c r="F672" s="4" t="str">
        <f ca="1">IFERROR(__xludf.DUMMYFUNCTION("""COMPUTED_VALUE"""),"www.instagram.com")</f>
        <v>www.instagram.com</v>
      </c>
      <c r="G672" s="3" t="str">
        <f ca="1">IFERROR(__xludf.DUMMYFUNCTION("""COMPUTED_VALUE"""),"instagram story low season")</f>
        <v>instagram story low season</v>
      </c>
      <c r="H672" s="3">
        <f ca="1">IFERROR(__xludf.DUMMYFUNCTION("""COMPUTED_VALUE"""),1)</f>
        <v>1</v>
      </c>
      <c r="I672" s="5">
        <f ca="1">IFERROR(__xludf.DUMMYFUNCTION("""COMPUTED_VALUE"""),1)</f>
        <v>1</v>
      </c>
      <c r="J672" s="5">
        <f ca="1">IFERROR(__xludf.DUMMYFUNCTION("""COMPUTED_VALUE"""),18000)</f>
        <v>18000</v>
      </c>
      <c r="K672" s="3"/>
      <c r="L672" s="3" t="str">
        <f ca="1">IFERROR(__xludf.DUMMYFUNCTION("""COMPUTED_VALUE"""),"Cost per instance")</f>
        <v>Cost per instance</v>
      </c>
      <c r="M672" s="3"/>
      <c r="N672" s="3"/>
      <c r="O672" s="3"/>
      <c r="P672" s="3"/>
      <c r="Q672" s="3"/>
      <c r="R672" s="3"/>
      <c r="S672" s="3" t="str">
        <f ca="1">IFERROR(__xludf.DUMMYFUNCTION("""COMPUTED_VALUE"""),"100")</f>
        <v>100</v>
      </c>
      <c r="T672" s="3"/>
      <c r="U672" s="3" t="str">
        <f ca="1">IFERROR(__xludf.DUMMYFUNCTION("""COMPUTED_VALUE"""),"SoMe instagram")</f>
        <v>SoMe instagram</v>
      </c>
      <c r="V672" s="3"/>
      <c r="W672" s="3"/>
      <c r="X672" s="3"/>
      <c r="Y672" s="3"/>
      <c r="Z672" s="3" t="str">
        <f ca="1">IFERROR(__xludf.DUMMYFUNCTION("""COMPUTED_VALUE"""),"podklady@cncenter.cz")</f>
        <v>podklady@cncenter.cz</v>
      </c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 t="str">
        <f ca="1">IFERROR(__xludf.DUMMYFUNCTION("""COMPUTED_VALUE"""),"cross-device")</f>
        <v>cross-device</v>
      </c>
      <c r="AO672" s="3"/>
      <c r="AP672" s="3"/>
      <c r="AQ672" s="3"/>
      <c r="AR672" s="3"/>
      <c r="AS672" s="3"/>
      <c r="AT672" s="3"/>
      <c r="AU672" s="3" t="str">
        <f ca="1">IFERROR(__xludf.DUMMYFUNCTION("""COMPUTED_VALUE"""),"instagram story")</f>
        <v>instagram story</v>
      </c>
    </row>
    <row r="673" spans="1:47" x14ac:dyDescent="0.3">
      <c r="A673" s="3">
        <f ca="1"/>
        <v>2346826</v>
      </c>
      <c r="B673" s="3" t="str">
        <f ca="1"/>
        <v>CZECH NEWS CENTER a. s.</v>
      </c>
      <c r="C673" s="3" t="str">
        <f ca="1">IFERROR(__xludf.DUMMYFUNCTION("""COMPUTED_VALUE"""),"Instagramový profil Ženy")</f>
        <v>Instagramový profil Ženy</v>
      </c>
      <c r="D673" s="4" t="str">
        <f ca="1">IFERROR(__xludf.DUMMYFUNCTION("""COMPUTED_VALUE"""),"www.instagram.com")</f>
        <v>www.instagram.com</v>
      </c>
      <c r="E673" s="3" t="str">
        <f ca="1">IFERROR(__xludf.DUMMYFUNCTION("""COMPUTED_VALUE"""),"IG účet")</f>
        <v>IG účet</v>
      </c>
      <c r="F673" s="4" t="str">
        <f ca="1">IFERROR(__xludf.DUMMYFUNCTION("""COMPUTED_VALUE"""),"www.instagram.com")</f>
        <v>www.instagram.com</v>
      </c>
      <c r="G673" s="3" t="str">
        <f ca="1">IFERROR(__xludf.DUMMYFUNCTION("""COMPUTED_VALUE"""),"instagram post low season")</f>
        <v>instagram post low season</v>
      </c>
      <c r="H673" s="3">
        <f ca="1">IFERROR(__xludf.DUMMYFUNCTION("""COMPUTED_VALUE"""),1)</f>
        <v>1</v>
      </c>
      <c r="I673" s="5">
        <f ca="1">IFERROR(__xludf.DUMMYFUNCTION("""COMPUTED_VALUE"""),1)</f>
        <v>1</v>
      </c>
      <c r="J673" s="5">
        <f ca="1">IFERROR(__xludf.DUMMYFUNCTION("""COMPUTED_VALUE"""),18000)</f>
        <v>18000</v>
      </c>
      <c r="K673" s="3"/>
      <c r="L673" s="3" t="str">
        <f ca="1">IFERROR(__xludf.DUMMYFUNCTION("""COMPUTED_VALUE"""),"Cost per instance")</f>
        <v>Cost per instance</v>
      </c>
      <c r="M673" s="3"/>
      <c r="N673" s="3"/>
      <c r="O673" s="3"/>
      <c r="P673" s="3"/>
      <c r="Q673" s="3"/>
      <c r="R673" s="3"/>
      <c r="S673" s="3" t="str">
        <f ca="1">IFERROR(__xludf.DUMMYFUNCTION("""COMPUTED_VALUE"""),"100")</f>
        <v>100</v>
      </c>
      <c r="T673" s="3"/>
      <c r="U673" s="3" t="str">
        <f ca="1">IFERROR(__xludf.DUMMYFUNCTION("""COMPUTED_VALUE"""),"SoMe instagram")</f>
        <v>SoMe instagram</v>
      </c>
      <c r="V673" s="3"/>
      <c r="W673" s="3"/>
      <c r="X673" s="3"/>
      <c r="Y673" s="3"/>
      <c r="Z673" s="3" t="str">
        <f ca="1">IFERROR(__xludf.DUMMYFUNCTION("""COMPUTED_VALUE"""),"podklady@cncenter.cz")</f>
        <v>podklady@cncenter.cz</v>
      </c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 t="str">
        <f ca="1">IFERROR(__xludf.DUMMYFUNCTION("""COMPUTED_VALUE"""),"cross-device")</f>
        <v>cross-device</v>
      </c>
      <c r="AO673" s="3"/>
      <c r="AP673" s="3"/>
      <c r="AQ673" s="3"/>
      <c r="AR673" s="3"/>
      <c r="AS673" s="3"/>
      <c r="AT673" s="3"/>
      <c r="AU673" s="3" t="str">
        <f ca="1">IFERROR(__xludf.DUMMYFUNCTION("""COMPUTED_VALUE"""),"instagram post")</f>
        <v>instagram post</v>
      </c>
    </row>
    <row r="674" spans="1:47" x14ac:dyDescent="0.3">
      <c r="A674" s="3">
        <f ca="1"/>
        <v>2346826</v>
      </c>
      <c r="B674" s="3" t="str">
        <f ca="1"/>
        <v>CZECH NEWS CENTER a. s.</v>
      </c>
      <c r="C674" s="3" t="str">
        <f ca="1">IFERROR(__xludf.DUMMYFUNCTION("""COMPUTED_VALUE"""),"Instagramový profil Ženy")</f>
        <v>Instagramový profil Ženy</v>
      </c>
      <c r="D674" s="4" t="str">
        <f ca="1">IFERROR(__xludf.DUMMYFUNCTION("""COMPUTED_VALUE"""),"www.instagram.com")</f>
        <v>www.instagram.com</v>
      </c>
      <c r="E674" s="3" t="str">
        <f ca="1">IFERROR(__xludf.DUMMYFUNCTION("""COMPUTED_VALUE"""),"IG účet")</f>
        <v>IG účet</v>
      </c>
      <c r="F674" s="4" t="str">
        <f ca="1">IFERROR(__xludf.DUMMYFUNCTION("""COMPUTED_VALUE"""),"www.instagram.com")</f>
        <v>www.instagram.com</v>
      </c>
      <c r="G674" s="3" t="str">
        <f ca="1">IFERROR(__xludf.DUMMYFUNCTION("""COMPUTED_VALUE"""),"instagram story low season")</f>
        <v>instagram story low season</v>
      </c>
      <c r="H674" s="3">
        <f ca="1">IFERROR(__xludf.DUMMYFUNCTION("""COMPUTED_VALUE"""),1)</f>
        <v>1</v>
      </c>
      <c r="I674" s="5">
        <f ca="1">IFERROR(__xludf.DUMMYFUNCTION("""COMPUTED_VALUE"""),1)</f>
        <v>1</v>
      </c>
      <c r="J674" s="5">
        <f ca="1">IFERROR(__xludf.DUMMYFUNCTION("""COMPUTED_VALUE"""),18000)</f>
        <v>18000</v>
      </c>
      <c r="K674" s="3"/>
      <c r="L674" s="3" t="str">
        <f ca="1">IFERROR(__xludf.DUMMYFUNCTION("""COMPUTED_VALUE"""),"Cost per instance")</f>
        <v>Cost per instance</v>
      </c>
      <c r="M674" s="3"/>
      <c r="N674" s="3"/>
      <c r="O674" s="3"/>
      <c r="P674" s="3"/>
      <c r="Q674" s="3"/>
      <c r="R674" s="3"/>
      <c r="S674" s="3" t="str">
        <f ca="1">IFERROR(__xludf.DUMMYFUNCTION("""COMPUTED_VALUE"""),"100")</f>
        <v>100</v>
      </c>
      <c r="T674" s="3"/>
      <c r="U674" s="3" t="str">
        <f ca="1">IFERROR(__xludf.DUMMYFUNCTION("""COMPUTED_VALUE"""),"SoMe instagram")</f>
        <v>SoMe instagram</v>
      </c>
      <c r="V674" s="3"/>
      <c r="W674" s="3"/>
      <c r="X674" s="3"/>
      <c r="Y674" s="3"/>
      <c r="Z674" s="3" t="str">
        <f ca="1">IFERROR(__xludf.DUMMYFUNCTION("""COMPUTED_VALUE"""),"podklady@cncenter.cz")</f>
        <v>podklady@cncenter.cz</v>
      </c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 t="str">
        <f ca="1">IFERROR(__xludf.DUMMYFUNCTION("""COMPUTED_VALUE"""),"cross-device")</f>
        <v>cross-device</v>
      </c>
      <c r="AO674" s="3"/>
      <c r="AP674" s="3"/>
      <c r="AQ674" s="3"/>
      <c r="AR674" s="3"/>
      <c r="AS674" s="3"/>
      <c r="AT674" s="3"/>
      <c r="AU674" s="3" t="str">
        <f ca="1">IFERROR(__xludf.DUMMYFUNCTION("""COMPUTED_VALUE"""),"instagram story")</f>
        <v>instagram story</v>
      </c>
    </row>
    <row r="675" spans="1:47" x14ac:dyDescent="0.3">
      <c r="A675" s="3">
        <f ca="1"/>
        <v>2346826</v>
      </c>
      <c r="B675" s="3" t="str">
        <f ca="1"/>
        <v>CZECH NEWS CENTER a. s.</v>
      </c>
      <c r="C675" s="3" t="str">
        <f ca="1">IFERROR(__xludf.DUMMYFUNCTION("""COMPUTED_VALUE"""),"Instagramový profil Živě")</f>
        <v>Instagramový profil Živě</v>
      </c>
      <c r="D675" s="4" t="str">
        <f ca="1">IFERROR(__xludf.DUMMYFUNCTION("""COMPUTED_VALUE"""),"www.instagram.com")</f>
        <v>www.instagram.com</v>
      </c>
      <c r="E675" s="3" t="str">
        <f ca="1">IFERROR(__xludf.DUMMYFUNCTION("""COMPUTED_VALUE"""),"IG účet")</f>
        <v>IG účet</v>
      </c>
      <c r="F675" s="4" t="str">
        <f ca="1">IFERROR(__xludf.DUMMYFUNCTION("""COMPUTED_VALUE"""),"www.instagram.com")</f>
        <v>www.instagram.com</v>
      </c>
      <c r="G675" s="3" t="str">
        <f ca="1">IFERROR(__xludf.DUMMYFUNCTION("""COMPUTED_VALUE"""),"instagram post low season")</f>
        <v>instagram post low season</v>
      </c>
      <c r="H675" s="3">
        <f ca="1">IFERROR(__xludf.DUMMYFUNCTION("""COMPUTED_VALUE"""),1)</f>
        <v>1</v>
      </c>
      <c r="I675" s="5">
        <f ca="1">IFERROR(__xludf.DUMMYFUNCTION("""COMPUTED_VALUE"""),1)</f>
        <v>1</v>
      </c>
      <c r="J675" s="5">
        <f ca="1">IFERROR(__xludf.DUMMYFUNCTION("""COMPUTED_VALUE"""),18000)</f>
        <v>18000</v>
      </c>
      <c r="K675" s="3"/>
      <c r="L675" s="3" t="str">
        <f ca="1">IFERROR(__xludf.DUMMYFUNCTION("""COMPUTED_VALUE"""),"Cost per instance")</f>
        <v>Cost per instance</v>
      </c>
      <c r="M675" s="3"/>
      <c r="N675" s="3"/>
      <c r="O675" s="3"/>
      <c r="P675" s="3"/>
      <c r="Q675" s="3"/>
      <c r="R675" s="3"/>
      <c r="S675" s="3" t="str">
        <f ca="1">IFERROR(__xludf.DUMMYFUNCTION("""COMPUTED_VALUE"""),"100")</f>
        <v>100</v>
      </c>
      <c r="T675" s="3"/>
      <c r="U675" s="3" t="str">
        <f ca="1">IFERROR(__xludf.DUMMYFUNCTION("""COMPUTED_VALUE"""),"SoMe instagram")</f>
        <v>SoMe instagram</v>
      </c>
      <c r="V675" s="3"/>
      <c r="W675" s="3"/>
      <c r="X675" s="3"/>
      <c r="Y675" s="3"/>
      <c r="Z675" s="3" t="str">
        <f ca="1">IFERROR(__xludf.DUMMYFUNCTION("""COMPUTED_VALUE"""),"podklady@cncenter.cz")</f>
        <v>podklady@cncenter.cz</v>
      </c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 t="str">
        <f ca="1">IFERROR(__xludf.DUMMYFUNCTION("""COMPUTED_VALUE"""),"cross-device")</f>
        <v>cross-device</v>
      </c>
      <c r="AO675" s="3"/>
      <c r="AP675" s="3"/>
      <c r="AQ675" s="3"/>
      <c r="AR675" s="3"/>
      <c r="AS675" s="3"/>
      <c r="AT675" s="3"/>
      <c r="AU675" s="3" t="str">
        <f ca="1">IFERROR(__xludf.DUMMYFUNCTION("""COMPUTED_VALUE"""),"instagram post")</f>
        <v>instagram post</v>
      </c>
    </row>
    <row r="676" spans="1:47" x14ac:dyDescent="0.3">
      <c r="A676" s="3">
        <f ca="1"/>
        <v>2346826</v>
      </c>
      <c r="B676" s="3" t="str">
        <f ca="1"/>
        <v>CZECH NEWS CENTER a. s.</v>
      </c>
      <c r="C676" s="3" t="str">
        <f ca="1">IFERROR(__xludf.DUMMYFUNCTION("""COMPUTED_VALUE"""),"Instagramový profil Živě")</f>
        <v>Instagramový profil Živě</v>
      </c>
      <c r="D676" s="4" t="str">
        <f ca="1">IFERROR(__xludf.DUMMYFUNCTION("""COMPUTED_VALUE"""),"www.instagram.com")</f>
        <v>www.instagram.com</v>
      </c>
      <c r="E676" s="3" t="str">
        <f ca="1">IFERROR(__xludf.DUMMYFUNCTION("""COMPUTED_VALUE"""),"IG účet")</f>
        <v>IG účet</v>
      </c>
      <c r="F676" s="4" t="str">
        <f ca="1">IFERROR(__xludf.DUMMYFUNCTION("""COMPUTED_VALUE"""),"www.instagram.com")</f>
        <v>www.instagram.com</v>
      </c>
      <c r="G676" s="3" t="str">
        <f ca="1">IFERROR(__xludf.DUMMYFUNCTION("""COMPUTED_VALUE"""),"instagram story low season")</f>
        <v>instagram story low season</v>
      </c>
      <c r="H676" s="3">
        <f ca="1">IFERROR(__xludf.DUMMYFUNCTION("""COMPUTED_VALUE"""),1)</f>
        <v>1</v>
      </c>
      <c r="I676" s="5">
        <f ca="1">IFERROR(__xludf.DUMMYFUNCTION("""COMPUTED_VALUE"""),1)</f>
        <v>1</v>
      </c>
      <c r="J676" s="5">
        <f ca="1">IFERROR(__xludf.DUMMYFUNCTION("""COMPUTED_VALUE"""),18000)</f>
        <v>18000</v>
      </c>
      <c r="K676" s="3"/>
      <c r="L676" s="3" t="str">
        <f ca="1">IFERROR(__xludf.DUMMYFUNCTION("""COMPUTED_VALUE"""),"Cost per instance")</f>
        <v>Cost per instance</v>
      </c>
      <c r="M676" s="3"/>
      <c r="N676" s="3"/>
      <c r="O676" s="3"/>
      <c r="P676" s="3"/>
      <c r="Q676" s="3"/>
      <c r="R676" s="3"/>
      <c r="S676" s="3" t="str">
        <f ca="1">IFERROR(__xludf.DUMMYFUNCTION("""COMPUTED_VALUE"""),"100")</f>
        <v>100</v>
      </c>
      <c r="T676" s="3"/>
      <c r="U676" s="3" t="str">
        <f ca="1">IFERROR(__xludf.DUMMYFUNCTION("""COMPUTED_VALUE"""),"SoMe instagram")</f>
        <v>SoMe instagram</v>
      </c>
      <c r="V676" s="3"/>
      <c r="W676" s="3"/>
      <c r="X676" s="3"/>
      <c r="Y676" s="3"/>
      <c r="Z676" s="3" t="str">
        <f ca="1">IFERROR(__xludf.DUMMYFUNCTION("""COMPUTED_VALUE"""),"podklady@cncenter.cz")</f>
        <v>podklady@cncenter.cz</v>
      </c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 t="str">
        <f ca="1">IFERROR(__xludf.DUMMYFUNCTION("""COMPUTED_VALUE"""),"cross-device")</f>
        <v>cross-device</v>
      </c>
      <c r="AO676" s="3"/>
      <c r="AP676" s="3"/>
      <c r="AQ676" s="3"/>
      <c r="AR676" s="3"/>
      <c r="AS676" s="3"/>
      <c r="AT676" s="3"/>
      <c r="AU676" s="3" t="str">
        <f ca="1">IFERROR(__xludf.DUMMYFUNCTION("""COMPUTED_VALUE"""),"instagram story")</f>
        <v>instagram story</v>
      </c>
    </row>
    <row r="677" spans="1:47" x14ac:dyDescent="0.3">
      <c r="A677" s="3">
        <f ca="1"/>
        <v>2346826</v>
      </c>
      <c r="B677" s="3" t="str">
        <f ca="1"/>
        <v>CZECH NEWS CENTER a. s.</v>
      </c>
      <c r="C677" s="3" t="str">
        <f ca="1">IFERROR(__xludf.DUMMYFUNCTION("""COMPUTED_VALUE"""),"iSport")</f>
        <v>iSport</v>
      </c>
      <c r="D677" s="3" t="str">
        <f ca="1">IFERROR(__xludf.DUMMYFUNCTION("""COMPUTED_VALUE"""),"https://isport.cz, https://sportrevue.cz")</f>
        <v>https://isport.cz, https://sportrevue.cz</v>
      </c>
      <c r="E677" s="3" t="str">
        <f ca="1">IFERROR(__xludf.DUMMYFUNCTION("""COMPUTED_VALUE"""),"celý web")</f>
        <v>celý web</v>
      </c>
      <c r="F677" s="3" t="str">
        <f ca="1">IFERROR(__xludf.DUMMYFUNCTION("""COMPUTED_VALUE"""),"https://isport.cz, https://sportrevue.cz")</f>
        <v>https://isport.cz, https://sportrevue.cz</v>
      </c>
      <c r="G677" s="3" t="str">
        <f ca="1">IFERROR(__xludf.DUMMYFUNCTION("""COMPUTED_VALUE"""),"Advertorial low season")</f>
        <v>Advertorial low season</v>
      </c>
      <c r="H677" s="3">
        <f ca="1">IFERROR(__xludf.DUMMYFUNCTION("""COMPUTED_VALUE"""),1)</f>
        <v>1</v>
      </c>
      <c r="I677" s="5">
        <f ca="1">IFERROR(__xludf.DUMMYFUNCTION("""COMPUTED_VALUE"""),1)</f>
        <v>1</v>
      </c>
      <c r="J677" s="5">
        <f ca="1">IFERROR(__xludf.DUMMYFUNCTION("""COMPUTED_VALUE"""),90000)</f>
        <v>90000</v>
      </c>
      <c r="K677" s="3"/>
      <c r="L677" s="3" t="str">
        <f ca="1">IFERROR(__xludf.DUMMYFUNCTION("""COMPUTED_VALUE"""),"Cost per instance")</f>
        <v>Cost per instance</v>
      </c>
      <c r="M677" s="3"/>
      <c r="N677" s="3"/>
      <c r="O677" s="3"/>
      <c r="P677" s="3"/>
      <c r="Q677" s="3"/>
      <c r="R677" s="3"/>
      <c r="S677" s="3" t="str">
        <f ca="1">IFERROR(__xludf.DUMMYFUNCTION("""COMPUTED_VALUE"""),"100")</f>
        <v>100</v>
      </c>
      <c r="T677" s="3"/>
      <c r="U677" s="3" t="str">
        <f ca="1">IFERROR(__xludf.DUMMYFUNCTION("""COMPUTED_VALUE"""),"pr článek")</f>
        <v>pr článek</v>
      </c>
      <c r="V677" s="3"/>
      <c r="W677" s="3"/>
      <c r="X677" s="3"/>
      <c r="Y677" s="3"/>
      <c r="Z677" s="3" t="str">
        <f ca="1">IFERROR(__xludf.DUMMYFUNCTION("""COMPUTED_VALUE"""),"podklady@cncenter.cz")</f>
        <v>podklady@cncenter.cz</v>
      </c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 t="str">
        <f ca="1">IFERROR(__xludf.DUMMYFUNCTION("""COMPUTED_VALUE"""),"cross-device")</f>
        <v>cross-device</v>
      </c>
      <c r="AO677" s="3"/>
      <c r="AP677" s="3"/>
      <c r="AQ677" s="3"/>
      <c r="AR677" s="3"/>
      <c r="AS677" s="3"/>
      <c r="AT677" s="3"/>
      <c r="AU677" s="3" t="str">
        <f ca="1">IFERROR(__xludf.DUMMYFUNCTION("""COMPUTED_VALUE"""),"Advertorial")</f>
        <v>Advertorial</v>
      </c>
    </row>
    <row r="678" spans="1:47" x14ac:dyDescent="0.3">
      <c r="A678" s="3">
        <f ca="1"/>
        <v>2346826</v>
      </c>
      <c r="B678" s="3" t="str">
        <f ca="1"/>
        <v>CZECH NEWS CENTER a. s.</v>
      </c>
      <c r="C678" s="3" t="str">
        <f ca="1">IFERROR(__xludf.DUMMYFUNCTION("""COMPUTED_VALUE"""),"iSport")</f>
        <v>iSport</v>
      </c>
      <c r="D678" s="3" t="str">
        <f ca="1">IFERROR(__xludf.DUMMYFUNCTION("""COMPUTED_VALUE"""),"https://isport.cz, https://sportrevue.cz")</f>
        <v>https://isport.cz, https://sportrevue.cz</v>
      </c>
      <c r="E678" s="3" t="str">
        <f ca="1">IFERROR(__xludf.DUMMYFUNCTION("""COMPUTED_VALUE"""),"celý web")</f>
        <v>celý web</v>
      </c>
      <c r="F678" s="3" t="str">
        <f ca="1">IFERROR(__xludf.DUMMYFUNCTION("""COMPUTED_VALUE"""),"https://isport.cz, https://sportrevue.cz")</f>
        <v>https://isport.cz, https://sportrevue.cz</v>
      </c>
      <c r="G678" s="3" t="str">
        <f ca="1">IFERROR(__xludf.DUMMYFUNCTION("""COMPUTED_VALUE"""),"billboard bottom low season")</f>
        <v>billboard bottom low season</v>
      </c>
      <c r="H678" s="3">
        <f ca="1">IFERROR(__xludf.DUMMYFUNCTION("""COMPUTED_VALUE"""),7)</f>
        <v>7</v>
      </c>
      <c r="I678" s="5">
        <f ca="1">IFERROR(__xludf.DUMMYFUNCTION("""COMPUTED_VALUE"""),1000)</f>
        <v>1000</v>
      </c>
      <c r="J678" s="5">
        <f ca="1">IFERROR(__xludf.DUMMYFUNCTION("""COMPUTED_VALUE"""),330)</f>
        <v>330</v>
      </c>
      <c r="K678" s="3"/>
      <c r="L678" s="3" t="str">
        <f ca="1">IFERROR(__xludf.DUMMYFUNCTION("""COMPUTED_VALUE"""),"Cost per period")</f>
        <v>Cost per period</v>
      </c>
      <c r="M678" s="3"/>
      <c r="N678" s="3"/>
      <c r="O678" s="3" t="str">
        <f ca="1">IFERROR(__xludf.DUMMYFUNCTION("""COMPUTED_VALUE"""),"970")</f>
        <v>970</v>
      </c>
      <c r="P678" s="3" t="str">
        <f ca="1">IFERROR(__xludf.DUMMYFUNCTION("""COMPUTED_VALUE"""),"250")</f>
        <v>250</v>
      </c>
      <c r="Q678" s="3" t="str">
        <f ca="1">IFERROR(__xludf.DUMMYFUNCTION("""COMPUTED_VALUE"""),"970x250")</f>
        <v>970x250</v>
      </c>
      <c r="R678" s="3"/>
      <c r="S678" s="3" t="str">
        <f ca="1">IFERROR(__xludf.DUMMYFUNCTION("""COMPUTED_VALUE"""),"100 (200 - HTML5)")</f>
        <v>100 (200 - HTML5)</v>
      </c>
      <c r="T678" s="3"/>
      <c r="U678" s="3" t="str">
        <f ca="1">IFERROR(__xludf.DUMMYFUNCTION("""COMPUTED_VALUE"""),"banner standard")</f>
        <v>banner standard</v>
      </c>
      <c r="V678" s="3"/>
      <c r="W678" s="4" t="str">
        <f ca="1">IFERROR(__xludf.DUMMYFUNCTION("""COMPUTED_VALUE"""),"https://reklama.cncenter.cz/Online/billboard-bottom")</f>
        <v>https://reklama.cncenter.cz/Online/billboard-bottom</v>
      </c>
      <c r="X678" s="3"/>
      <c r="Y678" s="3"/>
      <c r="Z678" s="3" t="str">
        <f ca="1">IFERROR(__xludf.DUMMYFUNCTION("""COMPUTED_VALUE"""),"podklady@cncenter.cz")</f>
        <v>podklady@cncenter.cz</v>
      </c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 t="str">
        <f ca="1">IFERROR(__xludf.DUMMYFUNCTION("""COMPUTED_VALUE"""),"desktop")</f>
        <v>desktop</v>
      </c>
      <c r="AO678" s="3"/>
      <c r="AP678" s="3"/>
      <c r="AQ678" s="3"/>
      <c r="AR678" s="3"/>
      <c r="AS678" s="3"/>
      <c r="AT678" s="3"/>
      <c r="AU678" s="3" t="str">
        <f ca="1">IFERROR(__xludf.DUMMYFUNCTION("""COMPUTED_VALUE"""),"billboard bottom")</f>
        <v>billboard bottom</v>
      </c>
    </row>
    <row r="679" spans="1:47" x14ac:dyDescent="0.3">
      <c r="A679" s="3">
        <f ca="1"/>
        <v>2346826</v>
      </c>
      <c r="B679" s="3" t="str">
        <f ca="1"/>
        <v>CZECH NEWS CENTER a. s.</v>
      </c>
      <c r="C679" s="3" t="str">
        <f ca="1">IFERROR(__xludf.DUMMYFUNCTION("""COMPUTED_VALUE"""),"iSport")</f>
        <v>iSport</v>
      </c>
      <c r="D679" s="3" t="str">
        <f ca="1">IFERROR(__xludf.DUMMYFUNCTION("""COMPUTED_VALUE"""),"https://isport.cz, https://sportrevue.cz")</f>
        <v>https://isport.cz, https://sportrevue.cz</v>
      </c>
      <c r="E679" s="3" t="str">
        <f ca="1">IFERROR(__xludf.DUMMYFUNCTION("""COMPUTED_VALUE"""),"celý web")</f>
        <v>celý web</v>
      </c>
      <c r="F679" s="3" t="str">
        <f ca="1">IFERROR(__xludf.DUMMYFUNCTION("""COMPUTED_VALUE"""),"https://isport.cz, https://sportrevue.cz")</f>
        <v>https://isport.cz, https://sportrevue.cz</v>
      </c>
      <c r="G679" s="3" t="str">
        <f ca="1">IFERROR(__xludf.DUMMYFUNCTION("""COMPUTED_VALUE"""),"branding cross-device low season")</f>
        <v>branding cross-device low season</v>
      </c>
      <c r="H679" s="3">
        <f ca="1">IFERROR(__xludf.DUMMYFUNCTION("""COMPUTED_VALUE"""),7)</f>
        <v>7</v>
      </c>
      <c r="I679" s="5">
        <f ca="1">IFERROR(__xludf.DUMMYFUNCTION("""COMPUTED_VALUE"""),1000)</f>
        <v>1000</v>
      </c>
      <c r="J679" s="5">
        <f ca="1">IFERROR(__xludf.DUMMYFUNCTION("""COMPUTED_VALUE"""),470)</f>
        <v>470</v>
      </c>
      <c r="K679" s="3"/>
      <c r="L679" s="3" t="str">
        <f ca="1">IFERROR(__xludf.DUMMYFUNCTION("""COMPUTED_VALUE"""),"Cost per period")</f>
        <v>Cost per period</v>
      </c>
      <c r="M679" s="3"/>
      <c r="N679" s="3"/>
      <c r="O679" s="3" t="str">
        <f ca="1">IFERROR(__xludf.DUMMYFUNCTION("""COMPUTED_VALUE"""),"2000")</f>
        <v>2000</v>
      </c>
      <c r="P679" s="3" t="str">
        <f ca="1">IFERROR(__xludf.DUMMYFUNCTION("""COMPUTED_VALUE"""),"1400")</f>
        <v>1400</v>
      </c>
      <c r="Q679" s="3" t="str">
        <f ca="1">IFERROR(__xludf.DUMMYFUNCTION("""COMPUTED_VALUE"""),"2000x1400 + 600x1080")</f>
        <v>2000x1400 + 600x1080</v>
      </c>
      <c r="R679" s="3"/>
      <c r="S679" s="3" t="str">
        <f ca="1">IFERROR(__xludf.DUMMYFUNCTION("""COMPUTED_VALUE"""),"500 (600 - HTLM5)")</f>
        <v>500 (600 - HTLM5)</v>
      </c>
      <c r="T679" s="3"/>
      <c r="U679" s="3" t="str">
        <f ca="1">IFERROR(__xludf.DUMMYFUNCTION("""COMPUTED_VALUE"""),"banner standard")</f>
        <v>banner standard</v>
      </c>
      <c r="V679" s="3"/>
      <c r="W679" s="4" t="str">
        <f ca="1">IFERROR(__xludf.DUMMYFUNCTION("""COMPUTED_VALUE"""),"https://reklama.cncenter.cz/Online/branding-cross-device")</f>
        <v>https://reklama.cncenter.cz/Online/branding-cross-device</v>
      </c>
      <c r="X679" s="3"/>
      <c r="Y679" s="3"/>
      <c r="Z679" s="3" t="str">
        <f ca="1">IFERROR(__xludf.DUMMYFUNCTION("""COMPUTED_VALUE"""),"podklady@cncenter.cz")</f>
        <v>podklady@cncenter.cz</v>
      </c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 t="str">
        <f ca="1">IFERROR(__xludf.DUMMYFUNCTION("""COMPUTED_VALUE"""),"cross-device")</f>
        <v>cross-device</v>
      </c>
      <c r="AO679" s="3"/>
      <c r="AP679" s="3"/>
      <c r="AQ679" s="3"/>
      <c r="AR679" s="3"/>
      <c r="AS679" s="3"/>
      <c r="AT679" s="3"/>
      <c r="AU679" s="3" t="str">
        <f ca="1">IFERROR(__xludf.DUMMYFUNCTION("""COMPUTED_VALUE"""),"branding cross-device")</f>
        <v>branding cross-device</v>
      </c>
    </row>
    <row r="680" spans="1:47" x14ac:dyDescent="0.3">
      <c r="A680" s="3">
        <f ca="1"/>
        <v>2346826</v>
      </c>
      <c r="B680" s="3" t="str">
        <f ca="1"/>
        <v>CZECH NEWS CENTER a. s.</v>
      </c>
      <c r="C680" s="3" t="str">
        <f ca="1">IFERROR(__xludf.DUMMYFUNCTION("""COMPUTED_VALUE"""),"iSport")</f>
        <v>iSport</v>
      </c>
      <c r="D680" s="3" t="str">
        <f ca="1">IFERROR(__xludf.DUMMYFUNCTION("""COMPUTED_VALUE"""),"https://isport.cz, https://sportrevue.cz")</f>
        <v>https://isport.cz, https://sportrevue.cz</v>
      </c>
      <c r="E680" s="3" t="str">
        <f ca="1">IFERROR(__xludf.DUMMYFUNCTION("""COMPUTED_VALUE"""),"celý web")</f>
        <v>celý web</v>
      </c>
      <c r="F680" s="3" t="str">
        <f ca="1">IFERROR(__xludf.DUMMYFUNCTION("""COMPUTED_VALUE"""),"https://isport.cz, https://sportrevue.cz")</f>
        <v>https://isport.cz, https://sportrevue.cz</v>
      </c>
      <c r="G680" s="3" t="str">
        <f ca="1">IFERROR(__xludf.DUMMYFUNCTION("""COMPUTED_VALUE"""),"branding low season")</f>
        <v>branding low season</v>
      </c>
      <c r="H680" s="3">
        <f ca="1">IFERROR(__xludf.DUMMYFUNCTION("""COMPUTED_VALUE"""),7)</f>
        <v>7</v>
      </c>
      <c r="I680" s="5">
        <f ca="1">IFERROR(__xludf.DUMMYFUNCTION("""COMPUTED_VALUE"""),1000)</f>
        <v>1000</v>
      </c>
      <c r="J680" s="5">
        <f ca="1">IFERROR(__xludf.DUMMYFUNCTION("""COMPUTED_VALUE"""),770)</f>
        <v>770</v>
      </c>
      <c r="K680" s="3"/>
      <c r="L680" s="3" t="str">
        <f ca="1">IFERROR(__xludf.DUMMYFUNCTION("""COMPUTED_VALUE"""),"Cost per period")</f>
        <v>Cost per period</v>
      </c>
      <c r="M680" s="3"/>
      <c r="N680" s="3"/>
      <c r="O680" s="3" t="str">
        <f ca="1">IFERROR(__xludf.DUMMYFUNCTION("""COMPUTED_VALUE"""),"2000")</f>
        <v>2000</v>
      </c>
      <c r="P680" s="3" t="str">
        <f ca="1">IFERROR(__xludf.DUMMYFUNCTION("""COMPUTED_VALUE"""),"1400")</f>
        <v>1400</v>
      </c>
      <c r="Q680" s="3" t="str">
        <f ca="1">IFERROR(__xludf.DUMMYFUNCTION("""COMPUTED_VALUE"""),"2000x1400")</f>
        <v>2000x1400</v>
      </c>
      <c r="R680" s="3"/>
      <c r="S680" s="3" t="str">
        <f ca="1">IFERROR(__xludf.DUMMYFUNCTION("""COMPUTED_VALUE"""),"500 + 200 (600+200 HTML5)")</f>
        <v>500 + 200 (600+200 HTML5)</v>
      </c>
      <c r="T680" s="3"/>
      <c r="U680" s="3" t="str">
        <f ca="1">IFERROR(__xludf.DUMMYFUNCTION("""COMPUTED_VALUE"""),"banner standard")</f>
        <v>banner standard</v>
      </c>
      <c r="V680" s="3"/>
      <c r="W680" s="4" t="str">
        <f ca="1">IFERROR(__xludf.DUMMYFUNCTION("""COMPUTED_VALUE"""),"https://reklama.cncenter.cz/Online/branding")</f>
        <v>https://reklama.cncenter.cz/Online/branding</v>
      </c>
      <c r="X680" s="3"/>
      <c r="Y680" s="3"/>
      <c r="Z680" s="3" t="str">
        <f ca="1">IFERROR(__xludf.DUMMYFUNCTION("""COMPUTED_VALUE"""),"podklady@cncenter.cz")</f>
        <v>podklady@cncenter.cz</v>
      </c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 t="str">
        <f ca="1">IFERROR(__xludf.DUMMYFUNCTION("""COMPUTED_VALUE"""),"desktop")</f>
        <v>desktop</v>
      </c>
      <c r="AO680" s="3"/>
      <c r="AP680" s="3"/>
      <c r="AQ680" s="3"/>
      <c r="AR680" s="3"/>
      <c r="AS680" s="3"/>
      <c r="AT680" s="3"/>
      <c r="AU680" s="3" t="str">
        <f ca="1">IFERROR(__xludf.DUMMYFUNCTION("""COMPUTED_VALUE"""),"branding")</f>
        <v>branding</v>
      </c>
    </row>
    <row r="681" spans="1:47" x14ac:dyDescent="0.3">
      <c r="A681" s="3">
        <f ca="1"/>
        <v>2346826</v>
      </c>
      <c r="B681" s="3" t="str">
        <f ca="1"/>
        <v>CZECH NEWS CENTER a. s.</v>
      </c>
      <c r="C681" s="3" t="str">
        <f ca="1">IFERROR(__xludf.DUMMYFUNCTION("""COMPUTED_VALUE"""),"iSport")</f>
        <v>iSport</v>
      </c>
      <c r="D681" s="3" t="str">
        <f ca="1">IFERROR(__xludf.DUMMYFUNCTION("""COMPUTED_VALUE"""),"https://isport.cz, https://sportrevue.cz")</f>
        <v>https://isport.cz, https://sportrevue.cz</v>
      </c>
      <c r="E681" s="3" t="str">
        <f ca="1">IFERROR(__xludf.DUMMYFUNCTION("""COMPUTED_VALUE"""),"celý web")</f>
        <v>celý web</v>
      </c>
      <c r="F681" s="3" t="str">
        <f ca="1">IFERROR(__xludf.DUMMYFUNCTION("""COMPUTED_VALUE"""),"https://isport.cz, https://sportrevue.cz")</f>
        <v>https://isport.cz, https://sportrevue.cz</v>
      </c>
      <c r="G681" s="3" t="str">
        <f ca="1">IFERROR(__xludf.DUMMYFUNCTION("""COMPUTED_VALUE"""),"cílený billboard bottom low season")</f>
        <v>cílený billboard bottom low season</v>
      </c>
      <c r="H681" s="3">
        <f ca="1">IFERROR(__xludf.DUMMYFUNCTION("""COMPUTED_VALUE"""),7)</f>
        <v>7</v>
      </c>
      <c r="I681" s="5">
        <f ca="1">IFERROR(__xludf.DUMMYFUNCTION("""COMPUTED_VALUE"""),1000)</f>
        <v>1000</v>
      </c>
      <c r="J681" s="5">
        <f ca="1">IFERROR(__xludf.DUMMYFUNCTION("""COMPUTED_VALUE"""),396)</f>
        <v>396</v>
      </c>
      <c r="K681" s="3"/>
      <c r="L681" s="3" t="str">
        <f ca="1">IFERROR(__xludf.DUMMYFUNCTION("""COMPUTED_VALUE"""),"Cost per period")</f>
        <v>Cost per period</v>
      </c>
      <c r="M681" s="3"/>
      <c r="N681" s="3"/>
      <c r="O681" s="3" t="str">
        <f ca="1">IFERROR(__xludf.DUMMYFUNCTION("""COMPUTED_VALUE"""),"970")</f>
        <v>970</v>
      </c>
      <c r="P681" s="3" t="str">
        <f ca="1">IFERROR(__xludf.DUMMYFUNCTION("""COMPUTED_VALUE"""),"250")</f>
        <v>250</v>
      </c>
      <c r="Q681" s="3" t="str">
        <f ca="1">IFERROR(__xludf.DUMMYFUNCTION("""COMPUTED_VALUE"""),"970x250")</f>
        <v>970x250</v>
      </c>
      <c r="R681" s="3"/>
      <c r="S681" s="3" t="str">
        <f ca="1">IFERROR(__xludf.DUMMYFUNCTION("""COMPUTED_VALUE"""),"100 (200 - HTML5)")</f>
        <v>100 (200 - HTML5)</v>
      </c>
      <c r="T681" s="3"/>
      <c r="U681" s="3" t="str">
        <f ca="1">IFERROR(__xludf.DUMMYFUNCTION("""COMPUTED_VALUE"""),"banner standard")</f>
        <v>banner standard</v>
      </c>
      <c r="V681" s="3"/>
      <c r="W681" s="4" t="str">
        <f ca="1">IFERROR(__xludf.DUMMYFUNCTION("""COMPUTED_VALUE"""),"https://reklama.cncenter.cz/Online/billboard-bottom")</f>
        <v>https://reklama.cncenter.cz/Online/billboard-bottom</v>
      </c>
      <c r="X681" s="3"/>
      <c r="Y681" s="3"/>
      <c r="Z681" s="3" t="str">
        <f ca="1">IFERROR(__xludf.DUMMYFUNCTION("""COMPUTED_VALUE"""),"podklady@cncenter.cz")</f>
        <v>podklady@cncenter.cz</v>
      </c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 t="str">
        <f ca="1">IFERROR(__xludf.DUMMYFUNCTION("""COMPUTED_VALUE"""),"desktop")</f>
        <v>desktop</v>
      </c>
      <c r="AO681" s="3"/>
      <c r="AP681" s="3"/>
      <c r="AQ681" s="3"/>
      <c r="AR681" s="3"/>
      <c r="AS681" s="3"/>
      <c r="AT681" s="3"/>
      <c r="AU681" s="3" t="str">
        <f ca="1">IFERROR(__xludf.DUMMYFUNCTION("""COMPUTED_VALUE"""),"cílený billboard bottom")</f>
        <v>cílený billboard bottom</v>
      </c>
    </row>
    <row r="682" spans="1:47" x14ac:dyDescent="0.3">
      <c r="A682" s="3">
        <f ca="1"/>
        <v>2346826</v>
      </c>
      <c r="B682" s="3" t="str">
        <f ca="1"/>
        <v>CZECH NEWS CENTER a. s.</v>
      </c>
      <c r="C682" s="3" t="str">
        <f ca="1">IFERROR(__xludf.DUMMYFUNCTION("""COMPUTED_VALUE"""),"iSport")</f>
        <v>iSport</v>
      </c>
      <c r="D682" s="3" t="str">
        <f ca="1">IFERROR(__xludf.DUMMYFUNCTION("""COMPUTED_VALUE"""),"https://isport.cz, https://sportrevue.cz")</f>
        <v>https://isport.cz, https://sportrevue.cz</v>
      </c>
      <c r="E682" s="3" t="str">
        <f ca="1">IFERROR(__xludf.DUMMYFUNCTION("""COMPUTED_VALUE"""),"celý web")</f>
        <v>celý web</v>
      </c>
      <c r="F682" s="3" t="str">
        <f ca="1">IFERROR(__xludf.DUMMYFUNCTION("""COMPUTED_VALUE"""),"https://isport.cz, https://sportrevue.cz")</f>
        <v>https://isport.cz, https://sportrevue.cz</v>
      </c>
      <c r="G682" s="3" t="str">
        <f ca="1">IFERROR(__xludf.DUMMYFUNCTION("""COMPUTED_VALUE"""),"cílený branding cross-device low season")</f>
        <v>cílený branding cross-device low season</v>
      </c>
      <c r="H682" s="3">
        <f ca="1">IFERROR(__xludf.DUMMYFUNCTION("""COMPUTED_VALUE"""),7)</f>
        <v>7</v>
      </c>
      <c r="I682" s="5">
        <f ca="1">IFERROR(__xludf.DUMMYFUNCTION("""COMPUTED_VALUE"""),1000)</f>
        <v>1000</v>
      </c>
      <c r="J682" s="5">
        <f ca="1">IFERROR(__xludf.DUMMYFUNCTION("""COMPUTED_VALUE"""),564)</f>
        <v>564</v>
      </c>
      <c r="K682" s="3"/>
      <c r="L682" s="3" t="str">
        <f ca="1">IFERROR(__xludf.DUMMYFUNCTION("""COMPUTED_VALUE"""),"Cost per period")</f>
        <v>Cost per period</v>
      </c>
      <c r="M682" s="3"/>
      <c r="N682" s="3"/>
      <c r="O682" s="3" t="str">
        <f ca="1">IFERROR(__xludf.DUMMYFUNCTION("""COMPUTED_VALUE"""),"2000")</f>
        <v>2000</v>
      </c>
      <c r="P682" s="3" t="str">
        <f ca="1">IFERROR(__xludf.DUMMYFUNCTION("""COMPUTED_VALUE"""),"1400")</f>
        <v>1400</v>
      </c>
      <c r="Q682" s="3" t="str">
        <f ca="1">IFERROR(__xludf.DUMMYFUNCTION("""COMPUTED_VALUE"""),"2000x1400 + 600x1080")</f>
        <v>2000x1400 + 600x1080</v>
      </c>
      <c r="R682" s="3"/>
      <c r="S682" s="3" t="str">
        <f ca="1">IFERROR(__xludf.DUMMYFUNCTION("""COMPUTED_VALUE"""),"500 (600 - HTLM5)")</f>
        <v>500 (600 - HTLM5)</v>
      </c>
      <c r="T682" s="3"/>
      <c r="U682" s="3" t="str">
        <f ca="1">IFERROR(__xludf.DUMMYFUNCTION("""COMPUTED_VALUE"""),"banner standard")</f>
        <v>banner standard</v>
      </c>
      <c r="V682" s="3"/>
      <c r="W682" s="4" t="str">
        <f ca="1">IFERROR(__xludf.DUMMYFUNCTION("""COMPUTED_VALUE"""),"https://reklama.cncenter.cz/Online/branding-cross-device")</f>
        <v>https://reklama.cncenter.cz/Online/branding-cross-device</v>
      </c>
      <c r="X682" s="3"/>
      <c r="Y682" s="3"/>
      <c r="Z682" s="3" t="str">
        <f ca="1">IFERROR(__xludf.DUMMYFUNCTION("""COMPUTED_VALUE"""),"podklady@cncenter.cz")</f>
        <v>podklady@cncenter.cz</v>
      </c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 t="str">
        <f ca="1">IFERROR(__xludf.DUMMYFUNCTION("""COMPUTED_VALUE"""),"cross-device")</f>
        <v>cross-device</v>
      </c>
      <c r="AO682" s="3"/>
      <c r="AP682" s="3"/>
      <c r="AQ682" s="3"/>
      <c r="AR682" s="3"/>
      <c r="AS682" s="3"/>
      <c r="AT682" s="3"/>
      <c r="AU682" s="3" t="str">
        <f ca="1">IFERROR(__xludf.DUMMYFUNCTION("""COMPUTED_VALUE"""),"cílený branding cross-device")</f>
        <v>cílený branding cross-device</v>
      </c>
    </row>
    <row r="683" spans="1:47" x14ac:dyDescent="0.3">
      <c r="A683" s="3">
        <f ca="1"/>
        <v>2346826</v>
      </c>
      <c r="B683" s="3" t="str">
        <f ca="1"/>
        <v>CZECH NEWS CENTER a. s.</v>
      </c>
      <c r="C683" s="3" t="str">
        <f ca="1">IFERROR(__xludf.DUMMYFUNCTION("""COMPUTED_VALUE"""),"iSport")</f>
        <v>iSport</v>
      </c>
      <c r="D683" s="3" t="str">
        <f ca="1">IFERROR(__xludf.DUMMYFUNCTION("""COMPUTED_VALUE"""),"https://isport.cz, https://sportrevue.cz")</f>
        <v>https://isport.cz, https://sportrevue.cz</v>
      </c>
      <c r="E683" s="3" t="str">
        <f ca="1">IFERROR(__xludf.DUMMYFUNCTION("""COMPUTED_VALUE"""),"celý web")</f>
        <v>celý web</v>
      </c>
      <c r="F683" s="3" t="str">
        <f ca="1">IFERROR(__xludf.DUMMYFUNCTION("""COMPUTED_VALUE"""),"https://isport.cz, https://sportrevue.cz")</f>
        <v>https://isport.cz, https://sportrevue.cz</v>
      </c>
      <c r="G683" s="3" t="str">
        <f ca="1">IFERROR(__xludf.DUMMYFUNCTION("""COMPUTED_VALUE"""),"cílený branding low season")</f>
        <v>cílený branding low season</v>
      </c>
      <c r="H683" s="3">
        <f ca="1">IFERROR(__xludf.DUMMYFUNCTION("""COMPUTED_VALUE"""),7)</f>
        <v>7</v>
      </c>
      <c r="I683" s="5">
        <f ca="1">IFERROR(__xludf.DUMMYFUNCTION("""COMPUTED_VALUE"""),1000)</f>
        <v>1000</v>
      </c>
      <c r="J683" s="5">
        <f ca="1">IFERROR(__xludf.DUMMYFUNCTION("""COMPUTED_VALUE"""),924)</f>
        <v>924</v>
      </c>
      <c r="K683" s="3"/>
      <c r="L683" s="3" t="str">
        <f ca="1">IFERROR(__xludf.DUMMYFUNCTION("""COMPUTED_VALUE"""),"Cost per period")</f>
        <v>Cost per period</v>
      </c>
      <c r="M683" s="3"/>
      <c r="N683" s="3"/>
      <c r="O683" s="3" t="str">
        <f ca="1">IFERROR(__xludf.DUMMYFUNCTION("""COMPUTED_VALUE"""),"2000")</f>
        <v>2000</v>
      </c>
      <c r="P683" s="3" t="str">
        <f ca="1">IFERROR(__xludf.DUMMYFUNCTION("""COMPUTED_VALUE"""),"1400")</f>
        <v>1400</v>
      </c>
      <c r="Q683" s="3" t="str">
        <f ca="1">IFERROR(__xludf.DUMMYFUNCTION("""COMPUTED_VALUE"""),"2000x1400")</f>
        <v>2000x1400</v>
      </c>
      <c r="R683" s="3"/>
      <c r="S683" s="3" t="str">
        <f ca="1">IFERROR(__xludf.DUMMYFUNCTION("""COMPUTED_VALUE"""),"500 + 200 (600+200 HTML5)")</f>
        <v>500 + 200 (600+200 HTML5)</v>
      </c>
      <c r="T683" s="3"/>
      <c r="U683" s="3" t="str">
        <f ca="1">IFERROR(__xludf.DUMMYFUNCTION("""COMPUTED_VALUE"""),"banner standard")</f>
        <v>banner standard</v>
      </c>
      <c r="V683" s="3"/>
      <c r="W683" s="4" t="str">
        <f ca="1">IFERROR(__xludf.DUMMYFUNCTION("""COMPUTED_VALUE"""),"https://reklama.cncenter.cz/Online/branding")</f>
        <v>https://reklama.cncenter.cz/Online/branding</v>
      </c>
      <c r="X683" s="3"/>
      <c r="Y683" s="3"/>
      <c r="Z683" s="3" t="str">
        <f ca="1">IFERROR(__xludf.DUMMYFUNCTION("""COMPUTED_VALUE"""),"podklady@cncenter.cz")</f>
        <v>podklady@cncenter.cz</v>
      </c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 t="str">
        <f ca="1">IFERROR(__xludf.DUMMYFUNCTION("""COMPUTED_VALUE"""),"desktop")</f>
        <v>desktop</v>
      </c>
      <c r="AO683" s="3"/>
      <c r="AP683" s="3"/>
      <c r="AQ683" s="3"/>
      <c r="AR683" s="3"/>
      <c r="AS683" s="3"/>
      <c r="AT683" s="3"/>
      <c r="AU683" s="3" t="str">
        <f ca="1">IFERROR(__xludf.DUMMYFUNCTION("""COMPUTED_VALUE"""),"cílený branding")</f>
        <v>cílený branding</v>
      </c>
    </row>
    <row r="684" spans="1:47" x14ac:dyDescent="0.3">
      <c r="A684" s="3">
        <f ca="1"/>
        <v>2346826</v>
      </c>
      <c r="B684" s="3" t="str">
        <f ca="1"/>
        <v>CZECH NEWS CENTER a. s.</v>
      </c>
      <c r="C684" s="3" t="str">
        <f ca="1">IFERROR(__xludf.DUMMYFUNCTION("""COMPUTED_VALUE"""),"iSport")</f>
        <v>iSport</v>
      </c>
      <c r="D684" s="3" t="str">
        <f ca="1">IFERROR(__xludf.DUMMYFUNCTION("""COMPUTED_VALUE"""),"https://isport.cz, https://sportrevue.cz")</f>
        <v>https://isport.cz, https://sportrevue.cz</v>
      </c>
      <c r="E684" s="3" t="str">
        <f ca="1">IFERROR(__xludf.DUMMYFUNCTION("""COMPUTED_VALUE"""),"celý web")</f>
        <v>celý web</v>
      </c>
      <c r="F684" s="3" t="str">
        <f ca="1">IFERROR(__xludf.DUMMYFUNCTION("""COMPUTED_VALUE"""),"https://isport.cz, https://sportrevue.cz")</f>
        <v>https://isport.cz, https://sportrevue.cz</v>
      </c>
      <c r="G684" s="3" t="str">
        <f ca="1">IFERROR(__xludf.DUMMYFUNCTION("""COMPUTED_VALUE"""),"cílený double skyscraper low season")</f>
        <v>cílený double skyscraper low season</v>
      </c>
      <c r="H684" s="3">
        <f ca="1">IFERROR(__xludf.DUMMYFUNCTION("""COMPUTED_VALUE"""),7)</f>
        <v>7</v>
      </c>
      <c r="I684" s="5">
        <f ca="1">IFERROR(__xludf.DUMMYFUNCTION("""COMPUTED_VALUE"""),1000)</f>
        <v>1000</v>
      </c>
      <c r="J684" s="5">
        <f ca="1">IFERROR(__xludf.DUMMYFUNCTION("""COMPUTED_VALUE"""),360)</f>
        <v>360</v>
      </c>
      <c r="K684" s="3"/>
      <c r="L684" s="3" t="str">
        <f ca="1">IFERROR(__xludf.DUMMYFUNCTION("""COMPUTED_VALUE"""),"Cost per period")</f>
        <v>Cost per period</v>
      </c>
      <c r="M684" s="3"/>
      <c r="N684" s="3"/>
      <c r="O684" s="3" t="str">
        <f ca="1">IFERROR(__xludf.DUMMYFUNCTION("""COMPUTED_VALUE"""),"300")</f>
        <v>300</v>
      </c>
      <c r="P684" s="3" t="str">
        <f ca="1">IFERROR(__xludf.DUMMYFUNCTION("""COMPUTED_VALUE"""),"600")</f>
        <v>600</v>
      </c>
      <c r="Q684" s="3" t="str">
        <f ca="1">IFERROR(__xludf.DUMMYFUNCTION("""COMPUTED_VALUE"""),"300x600")</f>
        <v>300x600</v>
      </c>
      <c r="R684" s="3"/>
      <c r="S684" s="3" t="str">
        <f ca="1">IFERROR(__xludf.DUMMYFUNCTION("""COMPUTED_VALUE"""),"100 (200 - HTML5)")</f>
        <v>100 (200 - HTML5)</v>
      </c>
      <c r="T684" s="3"/>
      <c r="U684" s="3" t="str">
        <f ca="1">IFERROR(__xludf.DUMMYFUNCTION("""COMPUTED_VALUE"""),"banner standard")</f>
        <v>banner standard</v>
      </c>
      <c r="V684" s="3"/>
      <c r="W684" s="4" t="str">
        <f ca="1">IFERROR(__xludf.DUMMYFUNCTION("""COMPUTED_VALUE"""),"https://reklama.cncenter.cz/Online/double-skyscraper")</f>
        <v>https://reklama.cncenter.cz/Online/double-skyscraper</v>
      </c>
      <c r="X684" s="3"/>
      <c r="Y684" s="3"/>
      <c r="Z684" s="3" t="str">
        <f ca="1">IFERROR(__xludf.DUMMYFUNCTION("""COMPUTED_VALUE"""),"podklady@cncenter.cz")</f>
        <v>podklady@cncenter.cz</v>
      </c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 t="str">
        <f ca="1">IFERROR(__xludf.DUMMYFUNCTION("""COMPUTED_VALUE"""),"desktop")</f>
        <v>desktop</v>
      </c>
      <c r="AO684" s="3"/>
      <c r="AP684" s="3"/>
      <c r="AQ684" s="3"/>
      <c r="AR684" s="3"/>
      <c r="AS684" s="3"/>
      <c r="AT684" s="3"/>
      <c r="AU684" s="3" t="str">
        <f ca="1">IFERROR(__xludf.DUMMYFUNCTION("""COMPUTED_VALUE"""),"cílený double skyscraper")</f>
        <v>cílený double skyscraper</v>
      </c>
    </row>
    <row r="685" spans="1:47" x14ac:dyDescent="0.3">
      <c r="A685" s="3">
        <f ca="1"/>
        <v>2346826</v>
      </c>
      <c r="B685" s="3" t="str">
        <f ca="1"/>
        <v>CZECH NEWS CENTER a. s.</v>
      </c>
      <c r="C685" s="3" t="str">
        <f ca="1">IFERROR(__xludf.DUMMYFUNCTION("""COMPUTED_VALUE"""),"iSport")</f>
        <v>iSport</v>
      </c>
      <c r="D685" s="3" t="str">
        <f ca="1">IFERROR(__xludf.DUMMYFUNCTION("""COMPUTED_VALUE"""),"https://isport.cz, https://sportrevue.cz")</f>
        <v>https://isport.cz, https://sportrevue.cz</v>
      </c>
      <c r="E685" s="3" t="str">
        <f ca="1">IFERROR(__xludf.DUMMYFUNCTION("""COMPUTED_VALUE"""),"celý web")</f>
        <v>celý web</v>
      </c>
      <c r="F685" s="3" t="str">
        <f ca="1">IFERROR(__xludf.DUMMYFUNCTION("""COMPUTED_VALUE"""),"https://isport.cz, https://sportrevue.cz")</f>
        <v>https://isport.cz, https://sportrevue.cz</v>
      </c>
      <c r="G685" s="3" t="str">
        <f ca="1">IFERROR(__xludf.DUMMYFUNCTION("""COMPUTED_VALUE"""),"cílený mini videospot - max. 30 sec. low season")</f>
        <v>cílený mini videospot - max. 30 sec. low season</v>
      </c>
      <c r="H685" s="3">
        <f ca="1">IFERROR(__xludf.DUMMYFUNCTION("""COMPUTED_VALUE"""),7)</f>
        <v>7</v>
      </c>
      <c r="I685" s="5">
        <f ca="1">IFERROR(__xludf.DUMMYFUNCTION("""COMPUTED_VALUE"""),1000)</f>
        <v>1000</v>
      </c>
      <c r="J685" s="5">
        <f ca="1">IFERROR(__xludf.DUMMYFUNCTION("""COMPUTED_VALUE"""),264)</f>
        <v>264</v>
      </c>
      <c r="K685" s="3"/>
      <c r="L685" s="3" t="str">
        <f ca="1">IFERROR(__xludf.DUMMYFUNCTION("""COMPUTED_VALUE"""),"Cost per period")</f>
        <v>Cost per period</v>
      </c>
      <c r="M685" s="3"/>
      <c r="N685" s="3"/>
      <c r="O685" s="3"/>
      <c r="P685" s="3"/>
      <c r="Q685" s="3" t="str">
        <f ca="1">IFERROR(__xludf.DUMMYFUNCTION("""COMPUTED_VALUE"""),"16:9 / umístění po domluvě dle možností")</f>
        <v>16:9 / umístění po domluvě dle možností</v>
      </c>
      <c r="R685" s="3" t="str">
        <f ca="1">IFERROR(__xludf.DUMMYFUNCTION("""COMPUTED_VALUE"""),"přeskočení po 7 sekundách")</f>
        <v>přeskočení po 7 sekundách</v>
      </c>
      <c r="S685" s="3" t="str">
        <f ca="1">IFERROR(__xludf.DUMMYFUNCTION("""COMPUTED_VALUE"""),"100")</f>
        <v>100</v>
      </c>
      <c r="T685" s="3"/>
      <c r="U685" s="3" t="str">
        <f ca="1">IFERROR(__xludf.DUMMYFUNCTION("""COMPUTED_VALUE"""),"videospot")</f>
        <v>videospot</v>
      </c>
      <c r="V685" s="3"/>
      <c r="W685" s="4" t="str">
        <f ca="1">IFERROR(__xludf.DUMMYFUNCTION("""COMPUTED_VALUE"""),"https://reklama.cncenter.cz/Online/Videospot")</f>
        <v>https://reklama.cncenter.cz/Online/Videospot</v>
      </c>
      <c r="X685" s="3"/>
      <c r="Y685" s="3"/>
      <c r="Z685" s="3" t="str">
        <f ca="1">IFERROR(__xludf.DUMMYFUNCTION("""COMPUTED_VALUE"""),"podklady@cncenter.cz")</f>
        <v>podklady@cncenter.cz</v>
      </c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 t="str">
        <f ca="1">IFERROR(__xludf.DUMMYFUNCTION("""COMPUTED_VALUE"""),"desktop")</f>
        <v>desktop</v>
      </c>
      <c r="AO685" s="3"/>
      <c r="AP685" s="3"/>
      <c r="AQ685" s="3"/>
      <c r="AR685" s="3"/>
      <c r="AS685" s="3"/>
      <c r="AT685" s="3"/>
      <c r="AU685" s="3" t="str">
        <f ca="1">IFERROR(__xludf.DUMMYFUNCTION("""COMPUTED_VALUE"""),"cílený mini videospot - max. 30 sec.")</f>
        <v>cílený mini videospot - max. 30 sec.</v>
      </c>
    </row>
    <row r="686" spans="1:47" x14ac:dyDescent="0.3">
      <c r="A686" s="3">
        <f ca="1"/>
        <v>2346826</v>
      </c>
      <c r="B686" s="3" t="str">
        <f ca="1"/>
        <v>CZECH NEWS CENTER a. s.</v>
      </c>
      <c r="C686" s="3" t="str">
        <f ca="1">IFERROR(__xludf.DUMMYFUNCTION("""COMPUTED_VALUE"""),"iSport")</f>
        <v>iSport</v>
      </c>
      <c r="D686" s="3" t="str">
        <f ca="1">IFERROR(__xludf.DUMMYFUNCTION("""COMPUTED_VALUE"""),"https://isport.cz, https://sportrevue.cz")</f>
        <v>https://isport.cz, https://sportrevue.cz</v>
      </c>
      <c r="E686" s="3" t="str">
        <f ca="1">IFERROR(__xludf.DUMMYFUNCTION("""COMPUTED_VALUE"""),"celý web")</f>
        <v>celý web</v>
      </c>
      <c r="F686" s="3" t="str">
        <f ca="1">IFERROR(__xludf.DUMMYFUNCTION("""COMPUTED_VALUE"""),"https://isport.cz, https://sportrevue.cz")</f>
        <v>https://isport.cz, https://sportrevue.cz</v>
      </c>
      <c r="G686" s="3" t="str">
        <f ca="1">IFERROR(__xludf.DUMMYFUNCTION("""COMPUTED_VALUE"""),"cílený mobilní interscroller low season")</f>
        <v>cílený mobilní interscroller low season</v>
      </c>
      <c r="H686" s="3">
        <f ca="1">IFERROR(__xludf.DUMMYFUNCTION("""COMPUTED_VALUE"""),7)</f>
        <v>7</v>
      </c>
      <c r="I686" s="5">
        <f ca="1">IFERROR(__xludf.DUMMYFUNCTION("""COMPUTED_VALUE"""),1000)</f>
        <v>1000</v>
      </c>
      <c r="J686" s="5">
        <f ca="1">IFERROR(__xludf.DUMMYFUNCTION("""COMPUTED_VALUE"""),480)</f>
        <v>480</v>
      </c>
      <c r="K686" s="3"/>
      <c r="L686" s="3" t="str">
        <f ca="1">IFERROR(__xludf.DUMMYFUNCTION("""COMPUTED_VALUE"""),"Cost per period")</f>
        <v>Cost per period</v>
      </c>
      <c r="M686" s="3"/>
      <c r="N686" s="3"/>
      <c r="O686" s="3" t="str">
        <f ca="1">IFERROR(__xludf.DUMMYFUNCTION("""COMPUTED_VALUE"""),"600")</f>
        <v>600</v>
      </c>
      <c r="P686" s="3" t="str">
        <f ca="1">IFERROR(__xludf.DUMMYFUNCTION("""COMPUTED_VALUE"""),"1080")</f>
        <v>1080</v>
      </c>
      <c r="Q686" s="3" t="str">
        <f ca="1">IFERROR(__xludf.DUMMYFUNCTION("""COMPUTED_VALUE"""),"600x1080")</f>
        <v>600x1080</v>
      </c>
      <c r="R686" s="3"/>
      <c r="S686" s="3" t="str">
        <f ca="1">IFERROR(__xludf.DUMMYFUNCTION("""COMPUTED_VALUE"""),"200")</f>
        <v>200</v>
      </c>
      <c r="T686" s="3"/>
      <c r="U686" s="3" t="str">
        <f ca="1">IFERROR(__xludf.DUMMYFUNCTION("""COMPUTED_VALUE"""),"banner standard")</f>
        <v>banner standard</v>
      </c>
      <c r="V686" s="3"/>
      <c r="W686" s="4" t="str">
        <f ca="1">IFERROR(__xludf.DUMMYFUNCTION("""COMPUTED_VALUE"""),"https://reklama.cncenter.cz/Online/mobilni-interscroller")</f>
        <v>https://reklama.cncenter.cz/Online/mobilni-interscroller</v>
      </c>
      <c r="X686" s="3"/>
      <c r="Y686" s="3"/>
      <c r="Z686" s="3" t="str">
        <f ca="1">IFERROR(__xludf.DUMMYFUNCTION("""COMPUTED_VALUE"""),"podklady@cncenter.cz")</f>
        <v>podklady@cncenter.cz</v>
      </c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 t="str">
        <f ca="1">IFERROR(__xludf.DUMMYFUNCTION("""COMPUTED_VALUE"""),"mobile")</f>
        <v>mobile</v>
      </c>
      <c r="AO686" s="3"/>
      <c r="AP686" s="3"/>
      <c r="AQ686" s="3"/>
      <c r="AR686" s="3"/>
      <c r="AS686" s="3"/>
      <c r="AT686" s="3"/>
      <c r="AU686" s="3" t="str">
        <f ca="1">IFERROR(__xludf.DUMMYFUNCTION("""COMPUTED_VALUE"""),"cílený mobilní interscroller")</f>
        <v>cílený mobilní interscroller</v>
      </c>
    </row>
    <row r="687" spans="1:47" x14ac:dyDescent="0.3">
      <c r="A687" s="3">
        <f ca="1"/>
        <v>2346826</v>
      </c>
      <c r="B687" s="3" t="str">
        <f ca="1"/>
        <v>CZECH NEWS CENTER a. s.</v>
      </c>
      <c r="C687" s="3" t="str">
        <f ca="1">IFERROR(__xludf.DUMMYFUNCTION("""COMPUTED_VALUE"""),"iSport")</f>
        <v>iSport</v>
      </c>
      <c r="D687" s="3" t="str">
        <f ca="1">IFERROR(__xludf.DUMMYFUNCTION("""COMPUTED_VALUE"""),"https://isport.cz, https://sportrevue.cz")</f>
        <v>https://isport.cz, https://sportrevue.cz</v>
      </c>
      <c r="E687" s="3" t="str">
        <f ca="1">IFERROR(__xludf.DUMMYFUNCTION("""COMPUTED_VALUE"""),"celý web")</f>
        <v>celý web</v>
      </c>
      <c r="F687" s="3" t="str">
        <f ca="1">IFERROR(__xludf.DUMMYFUNCTION("""COMPUTED_VALUE"""),"https://isport.cz, https://sportrevue.cz")</f>
        <v>https://isport.cz, https://sportrevue.cz</v>
      </c>
      <c r="G687" s="3" t="str">
        <f ca="1">IFERROR(__xludf.DUMMYFUNCTION("""COMPUTED_VALUE"""),"cílený mobilní slide-up low season")</f>
        <v>cílený mobilní slide-up low season</v>
      </c>
      <c r="H687" s="3">
        <f ca="1">IFERROR(__xludf.DUMMYFUNCTION("""COMPUTED_VALUE"""),7)</f>
        <v>7</v>
      </c>
      <c r="I687" s="5">
        <f ca="1">IFERROR(__xludf.DUMMYFUNCTION("""COMPUTED_VALUE"""),1000)</f>
        <v>1000</v>
      </c>
      <c r="J687" s="5">
        <f ca="1">IFERROR(__xludf.DUMMYFUNCTION("""COMPUTED_VALUE"""),792)</f>
        <v>792</v>
      </c>
      <c r="K687" s="3"/>
      <c r="L687" s="3" t="str">
        <f ca="1">IFERROR(__xludf.DUMMYFUNCTION("""COMPUTED_VALUE"""),"Cost per period")</f>
        <v>Cost per period</v>
      </c>
      <c r="M687" s="3"/>
      <c r="N687" s="3"/>
      <c r="O687" s="3" t="str">
        <f ca="1">IFERROR(__xludf.DUMMYFUNCTION("""COMPUTED_VALUE"""),"300")</f>
        <v>300</v>
      </c>
      <c r="P687" s="3" t="str">
        <f ca="1">IFERROR(__xludf.DUMMYFUNCTION("""COMPUTED_VALUE"""),"120")</f>
        <v>120</v>
      </c>
      <c r="Q687" s="3" t="str">
        <f ca="1">IFERROR(__xludf.DUMMYFUNCTION("""COMPUTED_VALUE"""),"300x120")</f>
        <v>300x120</v>
      </c>
      <c r="R687" s="3"/>
      <c r="S687" s="3" t="str">
        <f ca="1">IFERROR(__xludf.DUMMYFUNCTION("""COMPUTED_VALUE"""),"100")</f>
        <v>100</v>
      </c>
      <c r="T687" s="3"/>
      <c r="U687" s="3" t="str">
        <f ca="1">IFERROR(__xludf.DUMMYFUNCTION("""COMPUTED_VALUE"""),"banner standard")</f>
        <v>banner standard</v>
      </c>
      <c r="V687" s="3"/>
      <c r="W687" s="4" t="str">
        <f ca="1">IFERROR(__xludf.DUMMYFUNCTION("""COMPUTED_VALUE"""),"https://reklama.cncenter.cz/Online/mobilni-slide-up")</f>
        <v>https://reklama.cncenter.cz/Online/mobilni-slide-up</v>
      </c>
      <c r="X687" s="3"/>
      <c r="Y687" s="3"/>
      <c r="Z687" s="3" t="str">
        <f ca="1">IFERROR(__xludf.DUMMYFUNCTION("""COMPUTED_VALUE"""),"podklady@cncenter.cz")</f>
        <v>podklady@cncenter.cz</v>
      </c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 t="str">
        <f ca="1">IFERROR(__xludf.DUMMYFUNCTION("""COMPUTED_VALUE"""),"mobile")</f>
        <v>mobile</v>
      </c>
      <c r="AO687" s="3"/>
      <c r="AP687" s="3"/>
      <c r="AQ687" s="3"/>
      <c r="AR687" s="3"/>
      <c r="AS687" s="3"/>
      <c r="AT687" s="3"/>
      <c r="AU687" s="3" t="str">
        <f ca="1">IFERROR(__xludf.DUMMYFUNCTION("""COMPUTED_VALUE"""),"cílený mobilní slide-up")</f>
        <v>cílený mobilní slide-up</v>
      </c>
    </row>
    <row r="688" spans="1:47" x14ac:dyDescent="0.3">
      <c r="A688" s="3">
        <f ca="1"/>
        <v>2346826</v>
      </c>
      <c r="B688" s="3" t="str">
        <f ca="1"/>
        <v>CZECH NEWS CENTER a. s.</v>
      </c>
      <c r="C688" s="3" t="str">
        <f ca="1">IFERROR(__xludf.DUMMYFUNCTION("""COMPUTED_VALUE"""),"iSport")</f>
        <v>iSport</v>
      </c>
      <c r="D688" s="3" t="str">
        <f ca="1">IFERROR(__xludf.DUMMYFUNCTION("""COMPUTED_VALUE"""),"https://isport.cz, https://sportrevue.cz")</f>
        <v>https://isport.cz, https://sportrevue.cz</v>
      </c>
      <c r="E688" s="3" t="str">
        <f ca="1">IFERROR(__xludf.DUMMYFUNCTION("""COMPUTED_VALUE"""),"celý web")</f>
        <v>celý web</v>
      </c>
      <c r="F688" s="3" t="str">
        <f ca="1">IFERROR(__xludf.DUMMYFUNCTION("""COMPUTED_VALUE"""),"https://isport.cz, https://sportrevue.cz")</f>
        <v>https://isport.cz, https://sportrevue.cz</v>
      </c>
      <c r="G688" s="3" t="str">
        <f ca="1">IFERROR(__xludf.DUMMYFUNCTION("""COMPUTED_VALUE"""),"cílený mobilní viněta low season")</f>
        <v>cílený mobilní viněta low season</v>
      </c>
      <c r="H688" s="3">
        <f ca="1">IFERROR(__xludf.DUMMYFUNCTION("""COMPUTED_VALUE"""),7)</f>
        <v>7</v>
      </c>
      <c r="I688" s="5">
        <f ca="1">IFERROR(__xludf.DUMMYFUNCTION("""COMPUTED_VALUE"""),1000)</f>
        <v>1000</v>
      </c>
      <c r="J688" s="5">
        <f ca="1">IFERROR(__xludf.DUMMYFUNCTION("""COMPUTED_VALUE"""),1056)</f>
        <v>1056</v>
      </c>
      <c r="K688" s="3"/>
      <c r="L688" s="3" t="str">
        <f ca="1">IFERROR(__xludf.DUMMYFUNCTION("""COMPUTED_VALUE"""),"Cost per period")</f>
        <v>Cost per period</v>
      </c>
      <c r="M688" s="3"/>
      <c r="N688" s="3"/>
      <c r="O688" s="3" t="str">
        <f ca="1">IFERROR(__xludf.DUMMYFUNCTION("""COMPUTED_VALUE"""),"600")</f>
        <v>600</v>
      </c>
      <c r="P688" s="3" t="str">
        <f ca="1">IFERROR(__xludf.DUMMYFUNCTION("""COMPUTED_VALUE"""),"800")</f>
        <v>800</v>
      </c>
      <c r="Q688" s="3" t="str">
        <f ca="1">IFERROR(__xludf.DUMMYFUNCTION("""COMPUTED_VALUE"""),"300x250 nebo 600x800")</f>
        <v>300x250 nebo 600x800</v>
      </c>
      <c r="R688" s="3"/>
      <c r="S688" s="3" t="str">
        <f ca="1">IFERROR(__xludf.DUMMYFUNCTION("""COMPUTED_VALUE"""),"100")</f>
        <v>100</v>
      </c>
      <c r="T688" s="3"/>
      <c r="U688" s="3" t="str">
        <f ca="1">IFERROR(__xludf.DUMMYFUNCTION("""COMPUTED_VALUE"""),"banner standard")</f>
        <v>banner standard</v>
      </c>
      <c r="V688" s="3"/>
      <c r="W688" s="4" t="str">
        <f ca="1">IFERROR(__xludf.DUMMYFUNCTION("""COMPUTED_VALUE"""),"https://reklama.cncenter.cz/Online/mobilni-vineta")</f>
        <v>https://reklama.cncenter.cz/Online/mobilni-vineta</v>
      </c>
      <c r="X688" s="3"/>
      <c r="Y688" s="3"/>
      <c r="Z688" s="3" t="str">
        <f ca="1">IFERROR(__xludf.DUMMYFUNCTION("""COMPUTED_VALUE"""),"podklady@cncenter.cz")</f>
        <v>podklady@cncenter.cz</v>
      </c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 t="str">
        <f ca="1">IFERROR(__xludf.DUMMYFUNCTION("""COMPUTED_VALUE"""),"mobile")</f>
        <v>mobile</v>
      </c>
      <c r="AO688" s="3"/>
      <c r="AP688" s="3"/>
      <c r="AQ688" s="3"/>
      <c r="AR688" s="3"/>
      <c r="AS688" s="3"/>
      <c r="AT688" s="3"/>
      <c r="AU688" s="3" t="str">
        <f ca="1">IFERROR(__xludf.DUMMYFUNCTION("""COMPUTED_VALUE"""),"cílený mobilní viněta")</f>
        <v>cílený mobilní viněta</v>
      </c>
    </row>
    <row r="689" spans="1:47" x14ac:dyDescent="0.3">
      <c r="A689" s="3">
        <f ca="1"/>
        <v>2346826</v>
      </c>
      <c r="B689" s="3" t="str">
        <f ca="1"/>
        <v>CZECH NEWS CENTER a. s.</v>
      </c>
      <c r="C689" s="3" t="str">
        <f ca="1">IFERROR(__xludf.DUMMYFUNCTION("""COMPUTED_VALUE"""),"iSport")</f>
        <v>iSport</v>
      </c>
      <c r="D689" s="3" t="str">
        <f ca="1">IFERROR(__xludf.DUMMYFUNCTION("""COMPUTED_VALUE"""),"https://isport.cz, https://sportrevue.cz")</f>
        <v>https://isport.cz, https://sportrevue.cz</v>
      </c>
      <c r="E689" s="3" t="str">
        <f ca="1">IFERROR(__xludf.DUMMYFUNCTION("""COMPUTED_VALUE"""),"celý web")</f>
        <v>celý web</v>
      </c>
      <c r="F689" s="3" t="str">
        <f ca="1">IFERROR(__xludf.DUMMYFUNCTION("""COMPUTED_VALUE"""),"https://isport.cz, https://sportrevue.cz")</f>
        <v>https://isport.cz, https://sportrevue.cz</v>
      </c>
      <c r="G689" s="3" t="str">
        <f ca="1">IFERROR(__xludf.DUMMYFUNCTION("""COMPUTED_VALUE"""),"cílený nativní rectangle cross-device low season")</f>
        <v>cílený nativní rectangle cross-device low season</v>
      </c>
      <c r="H689" s="3">
        <f ca="1">IFERROR(__xludf.DUMMYFUNCTION("""COMPUTED_VALUE"""),7)</f>
        <v>7</v>
      </c>
      <c r="I689" s="5">
        <f ca="1">IFERROR(__xludf.DUMMYFUNCTION("""COMPUTED_VALUE"""),1000)</f>
        <v>1000</v>
      </c>
      <c r="J689" s="5">
        <f ca="1">IFERROR(__xludf.DUMMYFUNCTION("""COMPUTED_VALUE"""),336)</f>
        <v>336</v>
      </c>
      <c r="K689" s="3"/>
      <c r="L689" s="3" t="str">
        <f ca="1">IFERROR(__xludf.DUMMYFUNCTION("""COMPUTED_VALUE"""),"Cost per period")</f>
        <v>Cost per period</v>
      </c>
      <c r="M689" s="3"/>
      <c r="N689" s="3"/>
      <c r="O689" s="3" t="str">
        <f ca="1">IFERROR(__xludf.DUMMYFUNCTION("""COMPUTED_VALUE"""),"640")</f>
        <v>640</v>
      </c>
      <c r="P689" s="3" t="str">
        <f ca="1">IFERROR(__xludf.DUMMYFUNCTION("""COMPUTED_VALUE"""),"335, 640")</f>
        <v>335, 640</v>
      </c>
      <c r="Q689" s="3" t="str">
        <f ca="1">IFERROR(__xludf.DUMMYFUNCTION("""COMPUTED_VALUE"""),"640x640 a 640x335 + text + logo")</f>
        <v>640x640 a 640x335 + text + logo</v>
      </c>
      <c r="R689" s="3"/>
      <c r="S689" s="3" t="str">
        <f ca="1">IFERROR(__xludf.DUMMYFUNCTION("""COMPUTED_VALUE"""),"45")</f>
        <v>45</v>
      </c>
      <c r="T689" s="3"/>
      <c r="U689" s="3" t="str">
        <f ca="1">IFERROR(__xludf.DUMMYFUNCTION("""COMPUTED_VALUE"""),"nativní reklama")</f>
        <v>nativní reklama</v>
      </c>
      <c r="V689" s="3"/>
      <c r="W689" s="4" t="str">
        <f ca="1">IFERROR(__xludf.DUMMYFUNCTION("""COMPUTED_VALUE"""),"https://reklama.cncenter.cz/Online/nativni-rectangle-cross-device")</f>
        <v>https://reklama.cncenter.cz/Online/nativni-rectangle-cross-device</v>
      </c>
      <c r="X689" s="3"/>
      <c r="Y689" s="3"/>
      <c r="Z689" s="3" t="str">
        <f ca="1">IFERROR(__xludf.DUMMYFUNCTION("""COMPUTED_VALUE"""),"podklady@cncenter.cz")</f>
        <v>podklady@cncenter.cz</v>
      </c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 t="str">
        <f ca="1">IFERROR(__xludf.DUMMYFUNCTION("""COMPUTED_VALUE"""),"cross-device")</f>
        <v>cross-device</v>
      </c>
      <c r="AO689" s="3"/>
      <c r="AP689" s="3"/>
      <c r="AQ689" s="3"/>
      <c r="AR689" s="3"/>
      <c r="AS689" s="3"/>
      <c r="AT689" s="3"/>
      <c r="AU689" s="3" t="str">
        <f ca="1">IFERROR(__xludf.DUMMYFUNCTION("""COMPUTED_VALUE"""),"cílený nativní rectangle cross-device")</f>
        <v>cílený nativní rectangle cross-device</v>
      </c>
    </row>
    <row r="690" spans="1:47" x14ac:dyDescent="0.3">
      <c r="A690" s="3">
        <f ca="1"/>
        <v>2346826</v>
      </c>
      <c r="B690" s="3" t="str">
        <f ca="1"/>
        <v>CZECH NEWS CENTER a. s.</v>
      </c>
      <c r="C690" s="3" t="str">
        <f ca="1">IFERROR(__xludf.DUMMYFUNCTION("""COMPUTED_VALUE"""),"iSport")</f>
        <v>iSport</v>
      </c>
      <c r="D690" s="3" t="str">
        <f ca="1">IFERROR(__xludf.DUMMYFUNCTION("""COMPUTED_VALUE"""),"https://isport.cz, https://sportrevue.cz")</f>
        <v>https://isport.cz, https://sportrevue.cz</v>
      </c>
      <c r="E690" s="3" t="str">
        <f ca="1">IFERROR(__xludf.DUMMYFUNCTION("""COMPUTED_VALUE"""),"celý web")</f>
        <v>celý web</v>
      </c>
      <c r="F690" s="3" t="str">
        <f ca="1">IFERROR(__xludf.DUMMYFUNCTION("""COMPUTED_VALUE"""),"https://isport.cz, https://sportrevue.cz")</f>
        <v>https://isport.cz, https://sportrevue.cz</v>
      </c>
      <c r="G690" s="3" t="str">
        <f ca="1">IFERROR(__xludf.DUMMYFUNCTION("""COMPUTED_VALUE"""),"cílený outstream low season")</f>
        <v>cílený outstream low season</v>
      </c>
      <c r="H690" s="3">
        <f ca="1">IFERROR(__xludf.DUMMYFUNCTION("""COMPUTED_VALUE"""),7)</f>
        <v>7</v>
      </c>
      <c r="I690" s="5">
        <f ca="1">IFERROR(__xludf.DUMMYFUNCTION("""COMPUTED_VALUE"""),1000)</f>
        <v>1000</v>
      </c>
      <c r="J690" s="5">
        <f ca="1">IFERROR(__xludf.DUMMYFUNCTION("""COMPUTED_VALUE"""),432)</f>
        <v>432</v>
      </c>
      <c r="K690" s="3"/>
      <c r="L690" s="3" t="str">
        <f ca="1">IFERROR(__xludf.DUMMYFUNCTION("""COMPUTED_VALUE"""),"Cost per period")</f>
        <v>Cost per period</v>
      </c>
      <c r="M690" s="3"/>
      <c r="N690" s="3"/>
      <c r="O690" s="3" t="str">
        <f ca="1">IFERROR(__xludf.DUMMYFUNCTION("""COMPUTED_VALUE"""),"1280")</f>
        <v>1280</v>
      </c>
      <c r="P690" s="3" t="str">
        <f ca="1">IFERROR(__xludf.DUMMYFUNCTION("""COMPUTED_VALUE"""),"720")</f>
        <v>720</v>
      </c>
      <c r="Q690" s="3" t="str">
        <f ca="1">IFERROR(__xludf.DUMMYFUNCTION("""COMPUTED_VALUE"""),"16:9")</f>
        <v>16:9</v>
      </c>
      <c r="R690" s="3"/>
      <c r="S690" s="3" t="str">
        <f ca="1">IFERROR(__xludf.DUMMYFUNCTION("""COMPUTED_VALUE"""),"100")</f>
        <v>100</v>
      </c>
      <c r="T690" s="3"/>
      <c r="U690" s="3" t="str">
        <f ca="1">IFERROR(__xludf.DUMMYFUNCTION("""COMPUTED_VALUE"""),"videospot")</f>
        <v>videospot</v>
      </c>
      <c r="V690" s="3"/>
      <c r="W690" s="4" t="str">
        <f ca="1">IFERROR(__xludf.DUMMYFUNCTION("""COMPUTED_VALUE"""),"https://reklama.cncenter.cz/Online/Outstream")</f>
        <v>https://reklama.cncenter.cz/Online/Outstream</v>
      </c>
      <c r="X690" s="3"/>
      <c r="Y690" s="3"/>
      <c r="Z690" s="3" t="str">
        <f ca="1">IFERROR(__xludf.DUMMYFUNCTION("""COMPUTED_VALUE"""),"podklady@cncenter.cz")</f>
        <v>podklady@cncenter.cz</v>
      </c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 t="str">
        <f ca="1">IFERROR(__xludf.DUMMYFUNCTION("""COMPUTED_VALUE"""),"cross-device")</f>
        <v>cross-device</v>
      </c>
      <c r="AO690" s="3"/>
      <c r="AP690" s="3"/>
      <c r="AQ690" s="3"/>
      <c r="AR690" s="3"/>
      <c r="AS690" s="3"/>
      <c r="AT690" s="3"/>
      <c r="AU690" s="3" t="str">
        <f ca="1">IFERROR(__xludf.DUMMYFUNCTION("""COMPUTED_VALUE"""),"cílený outstream")</f>
        <v>cílený outstream</v>
      </c>
    </row>
    <row r="691" spans="1:47" x14ac:dyDescent="0.3">
      <c r="A691" s="3">
        <f ca="1"/>
        <v>2346826</v>
      </c>
      <c r="B691" s="3" t="str">
        <f ca="1"/>
        <v>CZECH NEWS CENTER a. s.</v>
      </c>
      <c r="C691" s="3" t="str">
        <f ca="1">IFERROR(__xludf.DUMMYFUNCTION("""COMPUTED_VALUE"""),"iSport")</f>
        <v>iSport</v>
      </c>
      <c r="D691" s="3" t="str">
        <f ca="1">IFERROR(__xludf.DUMMYFUNCTION("""COMPUTED_VALUE"""),"https://isport.cz, https://sportrevue.cz")</f>
        <v>https://isport.cz, https://sportrevue.cz</v>
      </c>
      <c r="E691" s="3" t="str">
        <f ca="1">IFERROR(__xludf.DUMMYFUNCTION("""COMPUTED_VALUE"""),"celý web")</f>
        <v>celý web</v>
      </c>
      <c r="F691" s="3" t="str">
        <f ca="1">IFERROR(__xludf.DUMMYFUNCTION("""COMPUTED_VALUE"""),"https://isport.cz, https://sportrevue.cz")</f>
        <v>https://isport.cz, https://sportrevue.cz</v>
      </c>
      <c r="G691" s="3" t="str">
        <f ca="1">IFERROR(__xludf.DUMMYFUNCTION("""COMPUTED_VALUE"""),"cílený videospot - max. 30 sec. / bumper low season")</f>
        <v>cílený videospot - max. 30 sec. / bumper low season</v>
      </c>
      <c r="H691" s="3">
        <f ca="1">IFERROR(__xludf.DUMMYFUNCTION("""COMPUTED_VALUE"""),7)</f>
        <v>7</v>
      </c>
      <c r="I691" s="5">
        <f ca="1">IFERROR(__xludf.DUMMYFUNCTION("""COMPUTED_VALUE"""),1000)</f>
        <v>1000</v>
      </c>
      <c r="J691" s="5">
        <f ca="1">IFERROR(__xludf.DUMMYFUNCTION("""COMPUTED_VALUE"""),996)</f>
        <v>996</v>
      </c>
      <c r="K691" s="3"/>
      <c r="L691" s="3" t="str">
        <f ca="1">IFERROR(__xludf.DUMMYFUNCTION("""COMPUTED_VALUE"""),"Cost per period")</f>
        <v>Cost per period</v>
      </c>
      <c r="M691" s="3"/>
      <c r="N691" s="3"/>
      <c r="O691" s="3" t="str">
        <f ca="1">IFERROR(__xludf.DUMMYFUNCTION("""COMPUTED_VALUE"""),"1280")</f>
        <v>1280</v>
      </c>
      <c r="P691" s="3" t="str">
        <f ca="1">IFERROR(__xludf.DUMMYFUNCTION("""COMPUTED_VALUE"""),"720")</f>
        <v>720</v>
      </c>
      <c r="Q691" s="3" t="str">
        <f ca="1">IFERROR(__xludf.DUMMYFUNCTION("""COMPUTED_VALUE"""),"16:9 / umístění po domluvě dle možností")</f>
        <v>16:9 / umístění po domluvě dle možností</v>
      </c>
      <c r="R691" s="3" t="str">
        <f ca="1">IFERROR(__xludf.DUMMYFUNCTION("""COMPUTED_VALUE"""),"přeskočení po 7 sekundách")</f>
        <v>přeskočení po 7 sekundách</v>
      </c>
      <c r="S691" s="3" t="str">
        <f ca="1">IFERROR(__xludf.DUMMYFUNCTION("""COMPUTED_VALUE"""),"100")</f>
        <v>100</v>
      </c>
      <c r="T691" s="3"/>
      <c r="U691" s="3" t="str">
        <f ca="1">IFERROR(__xludf.DUMMYFUNCTION("""COMPUTED_VALUE"""),"videospot")</f>
        <v>videospot</v>
      </c>
      <c r="V691" s="3"/>
      <c r="W691" s="4" t="str">
        <f ca="1">IFERROR(__xludf.DUMMYFUNCTION("""COMPUTED_VALUE"""),"https://reklama.cncenter.cz/Online/Bumper")</f>
        <v>https://reklama.cncenter.cz/Online/Bumper</v>
      </c>
      <c r="X691" s="3"/>
      <c r="Y691" s="3"/>
      <c r="Z691" s="3" t="str">
        <f ca="1">IFERROR(__xludf.DUMMYFUNCTION("""COMPUTED_VALUE"""),"podklady@cncenter.cz")</f>
        <v>podklady@cncenter.cz</v>
      </c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 t="str">
        <f ca="1">IFERROR(__xludf.DUMMYFUNCTION("""COMPUTED_VALUE"""),"cross-device")</f>
        <v>cross-device</v>
      </c>
      <c r="AO691" s="3"/>
      <c r="AP691" s="3"/>
      <c r="AQ691" s="3"/>
      <c r="AR691" s="3"/>
      <c r="AS691" s="3"/>
      <c r="AT691" s="3"/>
      <c r="AU691" s="3" t="str">
        <f ca="1">IFERROR(__xludf.DUMMYFUNCTION("""COMPUTED_VALUE"""),"cílený videospot - max. 30 sec. / bumper")</f>
        <v>cílený videospot - max. 30 sec. / bumper</v>
      </c>
    </row>
    <row r="692" spans="1:47" x14ac:dyDescent="0.3">
      <c r="A692" s="3">
        <f ca="1"/>
        <v>2346826</v>
      </c>
      <c r="B692" s="3" t="str">
        <f ca="1"/>
        <v>CZECH NEWS CENTER a. s.</v>
      </c>
      <c r="C692" s="3" t="str">
        <f ca="1">IFERROR(__xludf.DUMMYFUNCTION("""COMPUTED_VALUE"""),"iSport")</f>
        <v>iSport</v>
      </c>
      <c r="D692" s="3" t="str">
        <f ca="1">IFERROR(__xludf.DUMMYFUNCTION("""COMPUTED_VALUE"""),"https://isport.cz, https://sportrevue.cz")</f>
        <v>https://isport.cz, https://sportrevue.cz</v>
      </c>
      <c r="E692" s="3" t="str">
        <f ca="1">IFERROR(__xludf.DUMMYFUNCTION("""COMPUTED_VALUE"""),"celý web")</f>
        <v>celý web</v>
      </c>
      <c r="F692" s="3" t="str">
        <f ca="1">IFERROR(__xludf.DUMMYFUNCTION("""COMPUTED_VALUE"""),"https://isport.cz, https://sportrevue.cz")</f>
        <v>https://isport.cz, https://sportrevue.cz</v>
      </c>
      <c r="G692" s="3" t="str">
        <f ca="1">IFERROR(__xludf.DUMMYFUNCTION("""COMPUTED_VALUE"""),"dokoupení proma o 2 týdny - 10 000 PV *** low season")</f>
        <v>dokoupení proma o 2 týdny - 10 000 PV *** low season</v>
      </c>
      <c r="H692" s="3">
        <f ca="1">IFERROR(__xludf.DUMMYFUNCTION("""COMPUTED_VALUE"""),1)</f>
        <v>1</v>
      </c>
      <c r="I692" s="5">
        <f ca="1">IFERROR(__xludf.DUMMYFUNCTION("""COMPUTED_VALUE"""),1)</f>
        <v>1</v>
      </c>
      <c r="J692" s="5">
        <f ca="1">IFERROR(__xludf.DUMMYFUNCTION("""COMPUTED_VALUE"""),60000)</f>
        <v>60000</v>
      </c>
      <c r="K692" s="3"/>
      <c r="L692" s="3" t="str">
        <f ca="1">IFERROR(__xludf.DUMMYFUNCTION("""COMPUTED_VALUE"""),"Cost per instance")</f>
        <v>Cost per instance</v>
      </c>
      <c r="M692" s="3"/>
      <c r="N692" s="3"/>
      <c r="O692" s="3"/>
      <c r="P692" s="3"/>
      <c r="Q692" s="3"/>
      <c r="R692" s="3"/>
      <c r="S692" s="3" t="str">
        <f ca="1">IFERROR(__xludf.DUMMYFUNCTION("""COMPUTED_VALUE"""),"100")</f>
        <v>100</v>
      </c>
      <c r="T692" s="3"/>
      <c r="U692" s="3" t="str">
        <f ca="1">IFERROR(__xludf.DUMMYFUNCTION("""COMPUTED_VALUE"""),"microsite")</f>
        <v>microsite</v>
      </c>
      <c r="V692" s="3"/>
      <c r="W692" s="3"/>
      <c r="X692" s="3"/>
      <c r="Y692" s="3"/>
      <c r="Z692" s="3" t="str">
        <f ca="1">IFERROR(__xludf.DUMMYFUNCTION("""COMPUTED_VALUE"""),"podklady@cncenter.cz")</f>
        <v>podklady@cncenter.cz</v>
      </c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 t="str">
        <f ca="1">IFERROR(__xludf.DUMMYFUNCTION("""COMPUTED_VALUE"""),"cross-device")</f>
        <v>cross-device</v>
      </c>
      <c r="AO692" s="3"/>
      <c r="AP692" s="3"/>
      <c r="AQ692" s="3"/>
      <c r="AR692" s="3"/>
      <c r="AS692" s="3"/>
      <c r="AT692" s="3"/>
      <c r="AU692" s="3" t="str">
        <f ca="1">IFERROR(__xludf.DUMMYFUNCTION("""COMPUTED_VALUE"""),"dokoupení proma o 2 týdny - 10 000 PV ***")</f>
        <v>dokoupení proma o 2 týdny - 10 000 PV ***</v>
      </c>
    </row>
    <row r="693" spans="1:47" x14ac:dyDescent="0.3">
      <c r="A693" s="3">
        <f ca="1"/>
        <v>2346826</v>
      </c>
      <c r="B693" s="3" t="str">
        <f ca="1"/>
        <v>CZECH NEWS CENTER a. s.</v>
      </c>
      <c r="C693" s="3" t="str">
        <f ca="1">IFERROR(__xludf.DUMMYFUNCTION("""COMPUTED_VALUE"""),"iSport")</f>
        <v>iSport</v>
      </c>
      <c r="D693" s="3" t="str">
        <f ca="1">IFERROR(__xludf.DUMMYFUNCTION("""COMPUTED_VALUE"""),"https://isport.cz, https://sportrevue.cz")</f>
        <v>https://isport.cz, https://sportrevue.cz</v>
      </c>
      <c r="E693" s="3" t="str">
        <f ca="1">IFERROR(__xludf.DUMMYFUNCTION("""COMPUTED_VALUE"""),"celý web")</f>
        <v>celý web</v>
      </c>
      <c r="F693" s="3" t="str">
        <f ca="1">IFERROR(__xludf.DUMMYFUNCTION("""COMPUTED_VALUE"""),"https://isport.cz, https://sportrevue.cz")</f>
        <v>https://isport.cz, https://sportrevue.cz</v>
      </c>
      <c r="G693" s="3" t="str">
        <f ca="1">IFERROR(__xludf.DUMMYFUNCTION("""COMPUTED_VALUE"""),"double skyscraper low season")</f>
        <v>double skyscraper low season</v>
      </c>
      <c r="H693" s="3">
        <f ca="1">IFERROR(__xludf.DUMMYFUNCTION("""COMPUTED_VALUE"""),7)</f>
        <v>7</v>
      </c>
      <c r="I693" s="5">
        <f ca="1">IFERROR(__xludf.DUMMYFUNCTION("""COMPUTED_VALUE"""),1000)</f>
        <v>1000</v>
      </c>
      <c r="J693" s="5">
        <f ca="1">IFERROR(__xludf.DUMMYFUNCTION("""COMPUTED_VALUE"""),300)</f>
        <v>300</v>
      </c>
      <c r="K693" s="3"/>
      <c r="L693" s="3" t="str">
        <f ca="1">IFERROR(__xludf.DUMMYFUNCTION("""COMPUTED_VALUE"""),"Cost per period")</f>
        <v>Cost per period</v>
      </c>
      <c r="M693" s="3"/>
      <c r="N693" s="3"/>
      <c r="O693" s="3" t="str">
        <f ca="1">IFERROR(__xludf.DUMMYFUNCTION("""COMPUTED_VALUE"""),"300")</f>
        <v>300</v>
      </c>
      <c r="P693" s="3" t="str">
        <f ca="1">IFERROR(__xludf.DUMMYFUNCTION("""COMPUTED_VALUE"""),"600")</f>
        <v>600</v>
      </c>
      <c r="Q693" s="3" t="str">
        <f ca="1">IFERROR(__xludf.DUMMYFUNCTION("""COMPUTED_VALUE"""),"300x600")</f>
        <v>300x600</v>
      </c>
      <c r="R693" s="3"/>
      <c r="S693" s="3" t="str">
        <f ca="1">IFERROR(__xludf.DUMMYFUNCTION("""COMPUTED_VALUE"""),"100 (200 - HTML5)")</f>
        <v>100 (200 - HTML5)</v>
      </c>
      <c r="T693" s="3"/>
      <c r="U693" s="3" t="str">
        <f ca="1">IFERROR(__xludf.DUMMYFUNCTION("""COMPUTED_VALUE"""),"banner standard")</f>
        <v>banner standard</v>
      </c>
      <c r="V693" s="3"/>
      <c r="W693" s="4" t="str">
        <f ca="1">IFERROR(__xludf.DUMMYFUNCTION("""COMPUTED_VALUE"""),"https://reklama.cncenter.cz/Online/double-skyscraper")</f>
        <v>https://reklama.cncenter.cz/Online/double-skyscraper</v>
      </c>
      <c r="X693" s="3"/>
      <c r="Y693" s="3"/>
      <c r="Z693" s="3" t="str">
        <f ca="1">IFERROR(__xludf.DUMMYFUNCTION("""COMPUTED_VALUE"""),"podklady@cncenter.cz")</f>
        <v>podklady@cncenter.cz</v>
      </c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 t="str">
        <f ca="1">IFERROR(__xludf.DUMMYFUNCTION("""COMPUTED_VALUE"""),"desktop")</f>
        <v>desktop</v>
      </c>
      <c r="AO693" s="3"/>
      <c r="AP693" s="3"/>
      <c r="AQ693" s="3"/>
      <c r="AR693" s="3"/>
      <c r="AS693" s="3"/>
      <c r="AT693" s="3"/>
      <c r="AU693" s="3" t="str">
        <f ca="1">IFERROR(__xludf.DUMMYFUNCTION("""COMPUTED_VALUE"""),"double skyscraper")</f>
        <v>double skyscraper</v>
      </c>
    </row>
    <row r="694" spans="1:47" x14ac:dyDescent="0.3">
      <c r="A694" s="3">
        <f ca="1"/>
        <v>2346826</v>
      </c>
      <c r="B694" s="3" t="str">
        <f ca="1"/>
        <v>CZECH NEWS CENTER a. s.</v>
      </c>
      <c r="C694" s="3" t="str">
        <f ca="1">IFERROR(__xludf.DUMMYFUNCTION("""COMPUTED_VALUE"""),"iSport")</f>
        <v>iSport</v>
      </c>
      <c r="D694" s="3" t="str">
        <f ca="1">IFERROR(__xludf.DUMMYFUNCTION("""COMPUTED_VALUE"""),"https://isport.cz, https://sportrevue.cz")</f>
        <v>https://isport.cz, https://sportrevue.cz</v>
      </c>
      <c r="E694" s="3" t="str">
        <f ca="1">IFERROR(__xludf.DUMMYFUNCTION("""COMPUTED_VALUE"""),"celý web")</f>
        <v>celý web</v>
      </c>
      <c r="F694" s="3" t="str">
        <f ca="1">IFERROR(__xludf.DUMMYFUNCTION("""COMPUTED_VALUE"""),"https://isport.cz, https://sportrevue.cz")</f>
        <v>https://isport.cz, https://sportrevue.cz</v>
      </c>
      <c r="G694" s="3" t="str">
        <f ca="1">IFERROR(__xludf.DUMMYFUNCTION("""COMPUTED_VALUE"""),"mini videospot - max. 30 sec. low season")</f>
        <v>mini videospot - max. 30 sec. low season</v>
      </c>
      <c r="H694" s="3">
        <f ca="1">IFERROR(__xludf.DUMMYFUNCTION("""COMPUTED_VALUE"""),7)</f>
        <v>7</v>
      </c>
      <c r="I694" s="5">
        <f ca="1">IFERROR(__xludf.DUMMYFUNCTION("""COMPUTED_VALUE"""),1000)</f>
        <v>1000</v>
      </c>
      <c r="J694" s="5">
        <f ca="1">IFERROR(__xludf.DUMMYFUNCTION("""COMPUTED_VALUE"""),220)</f>
        <v>220</v>
      </c>
      <c r="K694" s="3"/>
      <c r="L694" s="3" t="str">
        <f ca="1">IFERROR(__xludf.DUMMYFUNCTION("""COMPUTED_VALUE"""),"Cost per period")</f>
        <v>Cost per period</v>
      </c>
      <c r="M694" s="3"/>
      <c r="N694" s="3"/>
      <c r="O694" s="3"/>
      <c r="P694" s="3"/>
      <c r="Q694" s="3" t="str">
        <f ca="1">IFERROR(__xludf.DUMMYFUNCTION("""COMPUTED_VALUE"""),"16:9 / umístění po domluvě dle možností")</f>
        <v>16:9 / umístění po domluvě dle možností</v>
      </c>
      <c r="R694" s="3" t="str">
        <f ca="1">IFERROR(__xludf.DUMMYFUNCTION("""COMPUTED_VALUE"""),"přeskočení po 7 sekundách")</f>
        <v>přeskočení po 7 sekundách</v>
      </c>
      <c r="S694" s="3" t="str">
        <f ca="1">IFERROR(__xludf.DUMMYFUNCTION("""COMPUTED_VALUE"""),"100")</f>
        <v>100</v>
      </c>
      <c r="T694" s="3"/>
      <c r="U694" s="3" t="str">
        <f ca="1">IFERROR(__xludf.DUMMYFUNCTION("""COMPUTED_VALUE"""),"videospot")</f>
        <v>videospot</v>
      </c>
      <c r="V694" s="3"/>
      <c r="W694" s="4" t="str">
        <f ca="1">IFERROR(__xludf.DUMMYFUNCTION("""COMPUTED_VALUE"""),"https://reklama.cncenter.cz/Online/Videospot")</f>
        <v>https://reklama.cncenter.cz/Online/Videospot</v>
      </c>
      <c r="X694" s="3"/>
      <c r="Y694" s="3"/>
      <c r="Z694" s="3" t="str">
        <f ca="1">IFERROR(__xludf.DUMMYFUNCTION("""COMPUTED_VALUE"""),"podklady@cncenter.cz")</f>
        <v>podklady@cncenter.cz</v>
      </c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 t="str">
        <f ca="1">IFERROR(__xludf.DUMMYFUNCTION("""COMPUTED_VALUE"""),"desktop")</f>
        <v>desktop</v>
      </c>
      <c r="AO694" s="3"/>
      <c r="AP694" s="3"/>
      <c r="AQ694" s="3"/>
      <c r="AR694" s="3"/>
      <c r="AS694" s="3"/>
      <c r="AT694" s="3"/>
      <c r="AU694" s="3" t="str">
        <f ca="1">IFERROR(__xludf.DUMMYFUNCTION("""COMPUTED_VALUE"""),"mini videospot - max. 30 sec.")</f>
        <v>mini videospot - max. 30 sec.</v>
      </c>
    </row>
    <row r="695" spans="1:47" x14ac:dyDescent="0.3">
      <c r="A695" s="3">
        <f ca="1"/>
        <v>2346826</v>
      </c>
      <c r="B695" s="3" t="str">
        <f ca="1"/>
        <v>CZECH NEWS CENTER a. s.</v>
      </c>
      <c r="C695" s="3" t="str">
        <f ca="1">IFERROR(__xludf.DUMMYFUNCTION("""COMPUTED_VALUE"""),"iSport")</f>
        <v>iSport</v>
      </c>
      <c r="D695" s="3" t="str">
        <f ca="1">IFERROR(__xludf.DUMMYFUNCTION("""COMPUTED_VALUE"""),"https://isport.cz, https://sportrevue.cz")</f>
        <v>https://isport.cz, https://sportrevue.cz</v>
      </c>
      <c r="E695" s="3" t="str">
        <f ca="1">IFERROR(__xludf.DUMMYFUNCTION("""COMPUTED_VALUE"""),"celý web")</f>
        <v>celý web</v>
      </c>
      <c r="F695" s="3" t="str">
        <f ca="1">IFERROR(__xludf.DUMMYFUNCTION("""COMPUTED_VALUE"""),"https://isport.cz, https://sportrevue.cz")</f>
        <v>https://isport.cz, https://sportrevue.cz</v>
      </c>
      <c r="G695" s="3" t="str">
        <f ca="1">IFERROR(__xludf.DUMMYFUNCTION("""COMPUTED_VALUE"""),"mobilní interscroller low season")</f>
        <v>mobilní interscroller low season</v>
      </c>
      <c r="H695" s="3">
        <f ca="1">IFERROR(__xludf.DUMMYFUNCTION("""COMPUTED_VALUE"""),7)</f>
        <v>7</v>
      </c>
      <c r="I695" s="5">
        <f ca="1">IFERROR(__xludf.DUMMYFUNCTION("""COMPUTED_VALUE"""),1000)</f>
        <v>1000</v>
      </c>
      <c r="J695" s="5">
        <f ca="1">IFERROR(__xludf.DUMMYFUNCTION("""COMPUTED_VALUE"""),400)</f>
        <v>400</v>
      </c>
      <c r="K695" s="3"/>
      <c r="L695" s="3" t="str">
        <f ca="1">IFERROR(__xludf.DUMMYFUNCTION("""COMPUTED_VALUE"""),"Cost per period")</f>
        <v>Cost per period</v>
      </c>
      <c r="M695" s="3"/>
      <c r="N695" s="3"/>
      <c r="O695" s="3" t="str">
        <f ca="1">IFERROR(__xludf.DUMMYFUNCTION("""COMPUTED_VALUE"""),"600")</f>
        <v>600</v>
      </c>
      <c r="P695" s="3" t="str">
        <f ca="1">IFERROR(__xludf.DUMMYFUNCTION("""COMPUTED_VALUE"""),"1080")</f>
        <v>1080</v>
      </c>
      <c r="Q695" s="3" t="str">
        <f ca="1">IFERROR(__xludf.DUMMYFUNCTION("""COMPUTED_VALUE"""),"600x1080")</f>
        <v>600x1080</v>
      </c>
      <c r="R695" s="3"/>
      <c r="S695" s="3" t="str">
        <f ca="1">IFERROR(__xludf.DUMMYFUNCTION("""COMPUTED_VALUE"""),"200")</f>
        <v>200</v>
      </c>
      <c r="T695" s="3"/>
      <c r="U695" s="3" t="str">
        <f ca="1">IFERROR(__xludf.DUMMYFUNCTION("""COMPUTED_VALUE"""),"banner standard")</f>
        <v>banner standard</v>
      </c>
      <c r="V695" s="3"/>
      <c r="W695" s="4" t="str">
        <f ca="1">IFERROR(__xludf.DUMMYFUNCTION("""COMPUTED_VALUE"""),"https://reklama.cncenter.cz/Online/mobilni-interscroller")</f>
        <v>https://reklama.cncenter.cz/Online/mobilni-interscroller</v>
      </c>
      <c r="X695" s="3"/>
      <c r="Y695" s="3"/>
      <c r="Z695" s="3" t="str">
        <f ca="1">IFERROR(__xludf.DUMMYFUNCTION("""COMPUTED_VALUE"""),"podklady@cncenter.cz")</f>
        <v>podklady@cncenter.cz</v>
      </c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 t="str">
        <f ca="1">IFERROR(__xludf.DUMMYFUNCTION("""COMPUTED_VALUE"""),"mobile")</f>
        <v>mobile</v>
      </c>
      <c r="AO695" s="3"/>
      <c r="AP695" s="3"/>
      <c r="AQ695" s="3"/>
      <c r="AR695" s="3"/>
      <c r="AS695" s="3"/>
      <c r="AT695" s="3"/>
      <c r="AU695" s="3" t="str">
        <f ca="1">IFERROR(__xludf.DUMMYFUNCTION("""COMPUTED_VALUE"""),"mobilní interscroller")</f>
        <v>mobilní interscroller</v>
      </c>
    </row>
    <row r="696" spans="1:47" x14ac:dyDescent="0.3">
      <c r="A696" s="3">
        <f ca="1"/>
        <v>2346826</v>
      </c>
      <c r="B696" s="3" t="str">
        <f ca="1"/>
        <v>CZECH NEWS CENTER a. s.</v>
      </c>
      <c r="C696" s="3" t="str">
        <f ca="1">IFERROR(__xludf.DUMMYFUNCTION("""COMPUTED_VALUE"""),"iSport")</f>
        <v>iSport</v>
      </c>
      <c r="D696" s="3" t="str">
        <f ca="1">IFERROR(__xludf.DUMMYFUNCTION("""COMPUTED_VALUE"""),"https://isport.cz, https://sportrevue.cz")</f>
        <v>https://isport.cz, https://sportrevue.cz</v>
      </c>
      <c r="E696" s="3" t="str">
        <f ca="1">IFERROR(__xludf.DUMMYFUNCTION("""COMPUTED_VALUE"""),"celý web")</f>
        <v>celý web</v>
      </c>
      <c r="F696" s="3" t="str">
        <f ca="1">IFERROR(__xludf.DUMMYFUNCTION("""COMPUTED_VALUE"""),"https://isport.cz, https://sportrevue.cz")</f>
        <v>https://isport.cz, https://sportrevue.cz</v>
      </c>
      <c r="G696" s="3" t="str">
        <f ca="1">IFERROR(__xludf.DUMMYFUNCTION("""COMPUTED_VALUE"""),"mobilní slide-up low season")</f>
        <v>mobilní slide-up low season</v>
      </c>
      <c r="H696" s="3">
        <f ca="1">IFERROR(__xludf.DUMMYFUNCTION("""COMPUTED_VALUE"""),7)</f>
        <v>7</v>
      </c>
      <c r="I696" s="5">
        <f ca="1">IFERROR(__xludf.DUMMYFUNCTION("""COMPUTED_VALUE"""),1000)</f>
        <v>1000</v>
      </c>
      <c r="J696" s="5">
        <f ca="1">IFERROR(__xludf.DUMMYFUNCTION("""COMPUTED_VALUE"""),660)</f>
        <v>660</v>
      </c>
      <c r="K696" s="3"/>
      <c r="L696" s="3" t="str">
        <f ca="1">IFERROR(__xludf.DUMMYFUNCTION("""COMPUTED_VALUE"""),"Cost per period")</f>
        <v>Cost per period</v>
      </c>
      <c r="M696" s="3"/>
      <c r="N696" s="3"/>
      <c r="O696" s="3" t="str">
        <f ca="1">IFERROR(__xludf.DUMMYFUNCTION("""COMPUTED_VALUE"""),"300")</f>
        <v>300</v>
      </c>
      <c r="P696" s="3" t="str">
        <f ca="1">IFERROR(__xludf.DUMMYFUNCTION("""COMPUTED_VALUE"""),"120")</f>
        <v>120</v>
      </c>
      <c r="Q696" s="3" t="str">
        <f ca="1">IFERROR(__xludf.DUMMYFUNCTION("""COMPUTED_VALUE"""),"300x120")</f>
        <v>300x120</v>
      </c>
      <c r="R696" s="3"/>
      <c r="S696" s="3" t="str">
        <f ca="1">IFERROR(__xludf.DUMMYFUNCTION("""COMPUTED_VALUE"""),"100")</f>
        <v>100</v>
      </c>
      <c r="T696" s="3"/>
      <c r="U696" s="3" t="str">
        <f ca="1">IFERROR(__xludf.DUMMYFUNCTION("""COMPUTED_VALUE"""),"banner standard")</f>
        <v>banner standard</v>
      </c>
      <c r="V696" s="3"/>
      <c r="W696" s="4" t="str">
        <f ca="1">IFERROR(__xludf.DUMMYFUNCTION("""COMPUTED_VALUE"""),"https://reklama.cncenter.cz/Online/mobilni-slide-up")</f>
        <v>https://reklama.cncenter.cz/Online/mobilni-slide-up</v>
      </c>
      <c r="X696" s="3"/>
      <c r="Y696" s="3"/>
      <c r="Z696" s="3" t="str">
        <f ca="1">IFERROR(__xludf.DUMMYFUNCTION("""COMPUTED_VALUE"""),"podklady@cncenter.cz")</f>
        <v>podklady@cncenter.cz</v>
      </c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 t="str">
        <f ca="1">IFERROR(__xludf.DUMMYFUNCTION("""COMPUTED_VALUE"""),"mobile")</f>
        <v>mobile</v>
      </c>
      <c r="AO696" s="3"/>
      <c r="AP696" s="3"/>
      <c r="AQ696" s="3"/>
      <c r="AR696" s="3"/>
      <c r="AS696" s="3"/>
      <c r="AT696" s="3"/>
      <c r="AU696" s="3" t="str">
        <f ca="1">IFERROR(__xludf.DUMMYFUNCTION("""COMPUTED_VALUE"""),"mobilní slide-up")</f>
        <v>mobilní slide-up</v>
      </c>
    </row>
    <row r="697" spans="1:47" x14ac:dyDescent="0.3">
      <c r="A697" s="3">
        <f ca="1"/>
        <v>2346826</v>
      </c>
      <c r="B697" s="3" t="str">
        <f ca="1"/>
        <v>CZECH NEWS CENTER a. s.</v>
      </c>
      <c r="C697" s="3" t="str">
        <f ca="1">IFERROR(__xludf.DUMMYFUNCTION("""COMPUTED_VALUE"""),"iSport")</f>
        <v>iSport</v>
      </c>
      <c r="D697" s="3" t="str">
        <f ca="1">IFERROR(__xludf.DUMMYFUNCTION("""COMPUTED_VALUE"""),"https://isport.cz, https://sportrevue.cz")</f>
        <v>https://isport.cz, https://sportrevue.cz</v>
      </c>
      <c r="E697" s="3" t="str">
        <f ca="1">IFERROR(__xludf.DUMMYFUNCTION("""COMPUTED_VALUE"""),"celý web")</f>
        <v>celý web</v>
      </c>
      <c r="F697" s="3" t="str">
        <f ca="1">IFERROR(__xludf.DUMMYFUNCTION("""COMPUTED_VALUE"""),"https://isport.cz, https://sportrevue.cz")</f>
        <v>https://isport.cz, https://sportrevue.cz</v>
      </c>
      <c r="G697" s="3" t="str">
        <f ca="1">IFERROR(__xludf.DUMMYFUNCTION("""COMPUTED_VALUE"""),"mobilní viněta low season")</f>
        <v>mobilní viněta low season</v>
      </c>
      <c r="H697" s="3">
        <f ca="1">IFERROR(__xludf.DUMMYFUNCTION("""COMPUTED_VALUE"""),7)</f>
        <v>7</v>
      </c>
      <c r="I697" s="5">
        <f ca="1">IFERROR(__xludf.DUMMYFUNCTION("""COMPUTED_VALUE"""),1000)</f>
        <v>1000</v>
      </c>
      <c r="J697" s="5">
        <f ca="1">IFERROR(__xludf.DUMMYFUNCTION("""COMPUTED_VALUE"""),880)</f>
        <v>880</v>
      </c>
      <c r="K697" s="3"/>
      <c r="L697" s="3" t="str">
        <f ca="1">IFERROR(__xludf.DUMMYFUNCTION("""COMPUTED_VALUE"""),"Cost per period")</f>
        <v>Cost per period</v>
      </c>
      <c r="M697" s="3"/>
      <c r="N697" s="3"/>
      <c r="O697" s="3" t="str">
        <f ca="1">IFERROR(__xludf.DUMMYFUNCTION("""COMPUTED_VALUE"""),"600")</f>
        <v>600</v>
      </c>
      <c r="P697" s="3" t="str">
        <f ca="1">IFERROR(__xludf.DUMMYFUNCTION("""COMPUTED_VALUE"""),"800")</f>
        <v>800</v>
      </c>
      <c r="Q697" s="3" t="str">
        <f ca="1">IFERROR(__xludf.DUMMYFUNCTION("""COMPUTED_VALUE"""),"300x250 nebo 600x800")</f>
        <v>300x250 nebo 600x800</v>
      </c>
      <c r="R697" s="3"/>
      <c r="S697" s="3" t="str">
        <f ca="1">IFERROR(__xludf.DUMMYFUNCTION("""COMPUTED_VALUE"""),"100")</f>
        <v>100</v>
      </c>
      <c r="T697" s="3"/>
      <c r="U697" s="3" t="str">
        <f ca="1">IFERROR(__xludf.DUMMYFUNCTION("""COMPUTED_VALUE"""),"banner standard")</f>
        <v>banner standard</v>
      </c>
      <c r="V697" s="3"/>
      <c r="W697" s="4" t="str">
        <f ca="1">IFERROR(__xludf.DUMMYFUNCTION("""COMPUTED_VALUE"""),"https://reklama.cncenter.cz/Online/mobilni-vineta")</f>
        <v>https://reklama.cncenter.cz/Online/mobilni-vineta</v>
      </c>
      <c r="X697" s="3"/>
      <c r="Y697" s="3"/>
      <c r="Z697" s="3" t="str">
        <f ca="1">IFERROR(__xludf.DUMMYFUNCTION("""COMPUTED_VALUE"""),"podklady@cncenter.cz")</f>
        <v>podklady@cncenter.cz</v>
      </c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 t="str">
        <f ca="1">IFERROR(__xludf.DUMMYFUNCTION("""COMPUTED_VALUE"""),"mobile")</f>
        <v>mobile</v>
      </c>
      <c r="AO697" s="3"/>
      <c r="AP697" s="3"/>
      <c r="AQ697" s="3"/>
      <c r="AR697" s="3"/>
      <c r="AS697" s="3"/>
      <c r="AT697" s="3"/>
      <c r="AU697" s="3" t="str">
        <f ca="1">IFERROR(__xludf.DUMMYFUNCTION("""COMPUTED_VALUE"""),"mobilní viněta")</f>
        <v>mobilní viněta</v>
      </c>
    </row>
    <row r="698" spans="1:47" x14ac:dyDescent="0.3">
      <c r="A698" s="3">
        <f ca="1"/>
        <v>2346826</v>
      </c>
      <c r="B698" s="3" t="str">
        <f ca="1"/>
        <v>CZECH NEWS CENTER a. s.</v>
      </c>
      <c r="C698" s="3" t="str">
        <f ca="1">IFERROR(__xludf.DUMMYFUNCTION("""COMPUTED_VALUE"""),"iSport")</f>
        <v>iSport</v>
      </c>
      <c r="D698" s="3" t="str">
        <f ca="1">IFERROR(__xludf.DUMMYFUNCTION("""COMPUTED_VALUE"""),"https://isport.cz, https://sportrevue.cz")</f>
        <v>https://isport.cz, https://sportrevue.cz</v>
      </c>
      <c r="E698" s="3" t="str">
        <f ca="1">IFERROR(__xludf.DUMMYFUNCTION("""COMPUTED_VALUE"""),"celý web")</f>
        <v>celý web</v>
      </c>
      <c r="F698" s="3" t="str">
        <f ca="1">IFERROR(__xludf.DUMMYFUNCTION("""COMPUTED_VALUE"""),"https://isport.cz, https://sportrevue.cz")</f>
        <v>https://isport.cz, https://sportrevue.cz</v>
      </c>
      <c r="G698" s="3" t="str">
        <f ca="1">IFERROR(__xludf.DUMMYFUNCTION("""COMPUTED_VALUE"""),"Native Standard low season")</f>
        <v>Native Standard low season</v>
      </c>
      <c r="H698" s="3">
        <f ca="1">IFERROR(__xludf.DUMMYFUNCTION("""COMPUTED_VALUE"""),1)</f>
        <v>1</v>
      </c>
      <c r="I698" s="5">
        <f ca="1">IFERROR(__xludf.DUMMYFUNCTION("""COMPUTED_VALUE"""),1)</f>
        <v>1</v>
      </c>
      <c r="J698" s="5">
        <f ca="1">IFERROR(__xludf.DUMMYFUNCTION("""COMPUTED_VALUE"""),330000)</f>
        <v>330000</v>
      </c>
      <c r="K698" s="3"/>
      <c r="L698" s="3" t="str">
        <f ca="1">IFERROR(__xludf.DUMMYFUNCTION("""COMPUTED_VALUE"""),"Cost per instance")</f>
        <v>Cost per instance</v>
      </c>
      <c r="M698" s="3"/>
      <c r="N698" s="3"/>
      <c r="O698" s="3"/>
      <c r="P698" s="3"/>
      <c r="Q698" s="3"/>
      <c r="R698" s="3"/>
      <c r="S698" s="3" t="str">
        <f ca="1">IFERROR(__xludf.DUMMYFUNCTION("""COMPUTED_VALUE"""),"100")</f>
        <v>100</v>
      </c>
      <c r="T698" s="3"/>
      <c r="U698" s="3" t="str">
        <f ca="1">IFERROR(__xludf.DUMMYFUNCTION("""COMPUTED_VALUE"""),"microsite")</f>
        <v>microsite</v>
      </c>
      <c r="V698" s="3"/>
      <c r="W698" s="3"/>
      <c r="X698" s="3"/>
      <c r="Y698" s="3"/>
      <c r="Z698" s="3" t="str">
        <f ca="1">IFERROR(__xludf.DUMMYFUNCTION("""COMPUTED_VALUE"""),"podklady@cncenter.cz")</f>
        <v>podklady@cncenter.cz</v>
      </c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 t="str">
        <f ca="1">IFERROR(__xludf.DUMMYFUNCTION("""COMPUTED_VALUE"""),"cross-device")</f>
        <v>cross-device</v>
      </c>
      <c r="AO698" s="3"/>
      <c r="AP698" s="3"/>
      <c r="AQ698" s="3"/>
      <c r="AR698" s="3"/>
      <c r="AS698" s="3"/>
      <c r="AT698" s="3"/>
      <c r="AU698" s="3" t="str">
        <f ca="1">IFERROR(__xludf.DUMMYFUNCTION("""COMPUTED_VALUE"""),"Native Standard")</f>
        <v>Native Standard</v>
      </c>
    </row>
    <row r="699" spans="1:47" x14ac:dyDescent="0.3">
      <c r="A699" s="3">
        <f ca="1"/>
        <v>2346826</v>
      </c>
      <c r="B699" s="3" t="str">
        <f ca="1"/>
        <v>CZECH NEWS CENTER a. s.</v>
      </c>
      <c r="C699" s="3" t="str">
        <f ca="1">IFERROR(__xludf.DUMMYFUNCTION("""COMPUTED_VALUE"""),"iSport")</f>
        <v>iSport</v>
      </c>
      <c r="D699" s="3" t="str">
        <f ca="1">IFERROR(__xludf.DUMMYFUNCTION("""COMPUTED_VALUE"""),"https://isport.cz, https://sportrevue.cz")</f>
        <v>https://isport.cz, https://sportrevue.cz</v>
      </c>
      <c r="E699" s="3" t="str">
        <f ca="1">IFERROR(__xludf.DUMMYFUNCTION("""COMPUTED_VALUE"""),"celý web")</f>
        <v>celý web</v>
      </c>
      <c r="F699" s="3" t="str">
        <f ca="1">IFERROR(__xludf.DUMMYFUNCTION("""COMPUTED_VALUE"""),"https://isport.cz, https://sportrevue.cz")</f>
        <v>https://isport.cz, https://sportrevue.cz</v>
      </c>
      <c r="G699" s="3" t="str">
        <f ca="1">IFERROR(__xludf.DUMMYFUNCTION("""COMPUTED_VALUE"""),"nativní rectangle cross-device low season")</f>
        <v>nativní rectangle cross-device low season</v>
      </c>
      <c r="H699" s="3">
        <f ca="1">IFERROR(__xludf.DUMMYFUNCTION("""COMPUTED_VALUE"""),7)</f>
        <v>7</v>
      </c>
      <c r="I699" s="5">
        <f ca="1">IFERROR(__xludf.DUMMYFUNCTION("""COMPUTED_VALUE"""),1000)</f>
        <v>1000</v>
      </c>
      <c r="J699" s="5">
        <f ca="1">IFERROR(__xludf.DUMMYFUNCTION("""COMPUTED_VALUE"""),280)</f>
        <v>280</v>
      </c>
      <c r="K699" s="3"/>
      <c r="L699" s="3" t="str">
        <f ca="1">IFERROR(__xludf.DUMMYFUNCTION("""COMPUTED_VALUE"""),"Cost per period")</f>
        <v>Cost per period</v>
      </c>
      <c r="M699" s="3"/>
      <c r="N699" s="3"/>
      <c r="O699" s="3" t="str">
        <f ca="1">IFERROR(__xludf.DUMMYFUNCTION("""COMPUTED_VALUE"""),"640")</f>
        <v>640</v>
      </c>
      <c r="P699" s="3" t="str">
        <f ca="1">IFERROR(__xludf.DUMMYFUNCTION("""COMPUTED_VALUE"""),"335, 640")</f>
        <v>335, 640</v>
      </c>
      <c r="Q699" s="3" t="str">
        <f ca="1">IFERROR(__xludf.DUMMYFUNCTION("""COMPUTED_VALUE"""),"640x640 a 640x335 + text + logo")</f>
        <v>640x640 a 640x335 + text + logo</v>
      </c>
      <c r="R699" s="3"/>
      <c r="S699" s="3" t="str">
        <f ca="1">IFERROR(__xludf.DUMMYFUNCTION("""COMPUTED_VALUE"""),"45")</f>
        <v>45</v>
      </c>
      <c r="T699" s="3"/>
      <c r="U699" s="3" t="str">
        <f ca="1">IFERROR(__xludf.DUMMYFUNCTION("""COMPUTED_VALUE"""),"nativní reklama")</f>
        <v>nativní reklama</v>
      </c>
      <c r="V699" s="3"/>
      <c r="W699" s="4" t="str">
        <f ca="1">IFERROR(__xludf.DUMMYFUNCTION("""COMPUTED_VALUE"""),"https://reklama.cncenter.cz/Online/nativni-rectangle-cross-device")</f>
        <v>https://reklama.cncenter.cz/Online/nativni-rectangle-cross-device</v>
      </c>
      <c r="X699" s="3"/>
      <c r="Y699" s="3"/>
      <c r="Z699" s="3" t="str">
        <f ca="1">IFERROR(__xludf.DUMMYFUNCTION("""COMPUTED_VALUE"""),"podklady@cncenter.cz")</f>
        <v>podklady@cncenter.cz</v>
      </c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 t="str">
        <f ca="1">IFERROR(__xludf.DUMMYFUNCTION("""COMPUTED_VALUE"""),"cross-device")</f>
        <v>cross-device</v>
      </c>
      <c r="AO699" s="3"/>
      <c r="AP699" s="3"/>
      <c r="AQ699" s="3"/>
      <c r="AR699" s="3"/>
      <c r="AS699" s="3"/>
      <c r="AT699" s="3"/>
      <c r="AU699" s="3" t="str">
        <f ca="1">IFERROR(__xludf.DUMMYFUNCTION("""COMPUTED_VALUE"""),"nativní rectangle cross-device")</f>
        <v>nativní rectangle cross-device</v>
      </c>
    </row>
    <row r="700" spans="1:47" x14ac:dyDescent="0.3">
      <c r="A700" s="3">
        <f ca="1"/>
        <v>2346826</v>
      </c>
      <c r="B700" s="3" t="str">
        <f ca="1"/>
        <v>CZECH NEWS CENTER a. s.</v>
      </c>
      <c r="C700" s="3" t="str">
        <f ca="1">IFERROR(__xludf.DUMMYFUNCTION("""COMPUTED_VALUE"""),"iSport")</f>
        <v>iSport</v>
      </c>
      <c r="D700" s="3" t="str">
        <f ca="1">IFERROR(__xludf.DUMMYFUNCTION("""COMPUTED_VALUE"""),"https://isport.cz, https://sportrevue.cz")</f>
        <v>https://isport.cz, https://sportrevue.cz</v>
      </c>
      <c r="E700" s="3" t="str">
        <f ca="1">IFERROR(__xludf.DUMMYFUNCTION("""COMPUTED_VALUE"""),"celý web")</f>
        <v>celý web</v>
      </c>
      <c r="F700" s="3" t="str">
        <f ca="1">IFERROR(__xludf.DUMMYFUNCTION("""COMPUTED_VALUE"""),"https://isport.cz, https://sportrevue.cz")</f>
        <v>https://isport.cz, https://sportrevue.cz</v>
      </c>
      <c r="G700" s="3" t="str">
        <f ca="1">IFERROR(__xludf.DUMMYFUNCTION("""COMPUTED_VALUE"""),"outstream low season")</f>
        <v>outstream low season</v>
      </c>
      <c r="H700" s="3">
        <f ca="1">IFERROR(__xludf.DUMMYFUNCTION("""COMPUTED_VALUE"""),7)</f>
        <v>7</v>
      </c>
      <c r="I700" s="5">
        <f ca="1">IFERROR(__xludf.DUMMYFUNCTION("""COMPUTED_VALUE"""),1000)</f>
        <v>1000</v>
      </c>
      <c r="J700" s="5">
        <f ca="1">IFERROR(__xludf.DUMMYFUNCTION("""COMPUTED_VALUE"""),360)</f>
        <v>360</v>
      </c>
      <c r="K700" s="3"/>
      <c r="L700" s="3" t="str">
        <f ca="1">IFERROR(__xludf.DUMMYFUNCTION("""COMPUTED_VALUE"""),"Cost per period")</f>
        <v>Cost per period</v>
      </c>
      <c r="M700" s="3"/>
      <c r="N700" s="3"/>
      <c r="O700" s="3" t="str">
        <f ca="1">IFERROR(__xludf.DUMMYFUNCTION("""COMPUTED_VALUE"""),"1280")</f>
        <v>1280</v>
      </c>
      <c r="P700" s="3" t="str">
        <f ca="1">IFERROR(__xludf.DUMMYFUNCTION("""COMPUTED_VALUE"""),"720")</f>
        <v>720</v>
      </c>
      <c r="Q700" s="3" t="str">
        <f ca="1">IFERROR(__xludf.DUMMYFUNCTION("""COMPUTED_VALUE"""),"16:9")</f>
        <v>16:9</v>
      </c>
      <c r="R700" s="3"/>
      <c r="S700" s="3" t="str">
        <f ca="1">IFERROR(__xludf.DUMMYFUNCTION("""COMPUTED_VALUE"""),"100")</f>
        <v>100</v>
      </c>
      <c r="T700" s="3"/>
      <c r="U700" s="3" t="str">
        <f ca="1">IFERROR(__xludf.DUMMYFUNCTION("""COMPUTED_VALUE"""),"videospot")</f>
        <v>videospot</v>
      </c>
      <c r="V700" s="3"/>
      <c r="W700" s="4" t="str">
        <f ca="1">IFERROR(__xludf.DUMMYFUNCTION("""COMPUTED_VALUE"""),"https://reklama.cncenter.cz/Online/Outstream")</f>
        <v>https://reklama.cncenter.cz/Online/Outstream</v>
      </c>
      <c r="X700" s="3"/>
      <c r="Y700" s="3"/>
      <c r="Z700" s="3" t="str">
        <f ca="1">IFERROR(__xludf.DUMMYFUNCTION("""COMPUTED_VALUE"""),"podklady@cncenter.cz")</f>
        <v>podklady@cncenter.cz</v>
      </c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 t="str">
        <f ca="1">IFERROR(__xludf.DUMMYFUNCTION("""COMPUTED_VALUE"""),"cross-device")</f>
        <v>cross-device</v>
      </c>
      <c r="AO700" s="3"/>
      <c r="AP700" s="3"/>
      <c r="AQ700" s="3"/>
      <c r="AR700" s="3"/>
      <c r="AS700" s="3"/>
      <c r="AT700" s="3"/>
      <c r="AU700" s="3" t="str">
        <f ca="1">IFERROR(__xludf.DUMMYFUNCTION("""COMPUTED_VALUE"""),"outstream")</f>
        <v>outstream</v>
      </c>
    </row>
    <row r="701" spans="1:47" x14ac:dyDescent="0.3">
      <c r="A701" s="3">
        <f ca="1"/>
        <v>2346826</v>
      </c>
      <c r="B701" s="3" t="str">
        <f ca="1"/>
        <v>CZECH NEWS CENTER a. s.</v>
      </c>
      <c r="C701" s="3" t="str">
        <f ca="1">IFERROR(__xludf.DUMMYFUNCTION("""COMPUTED_VALUE"""),"iSport")</f>
        <v>iSport</v>
      </c>
      <c r="D701" s="3" t="str">
        <f ca="1">IFERROR(__xludf.DUMMYFUNCTION("""COMPUTED_VALUE"""),"https://isport.cz, https://sportrevue.cz")</f>
        <v>https://isport.cz, https://sportrevue.cz</v>
      </c>
      <c r="E701" s="3" t="str">
        <f ca="1">IFERROR(__xludf.DUMMYFUNCTION("""COMPUTED_VALUE"""),"celý web")</f>
        <v>celý web</v>
      </c>
      <c r="F701" s="3" t="str">
        <f ca="1">IFERROR(__xludf.DUMMYFUNCTION("""COMPUTED_VALUE"""),"https://isport.cz, https://sportrevue.cz")</f>
        <v>https://isport.cz, https://sportrevue.cz</v>
      </c>
      <c r="G701" s="3" t="str">
        <f ca="1">IFERROR(__xludf.DUMMYFUNCTION("""COMPUTED_VALUE"""),"PR článek low season")</f>
        <v>PR článek low season</v>
      </c>
      <c r="H701" s="3">
        <f ca="1">IFERROR(__xludf.DUMMYFUNCTION("""COMPUTED_VALUE"""),1)</f>
        <v>1</v>
      </c>
      <c r="I701" s="5">
        <f ca="1">IFERROR(__xludf.DUMMYFUNCTION("""COMPUTED_VALUE"""),1)</f>
        <v>1</v>
      </c>
      <c r="J701" s="5">
        <f ca="1">IFERROR(__xludf.DUMMYFUNCTION("""COMPUTED_VALUE"""),30000)</f>
        <v>30000</v>
      </c>
      <c r="K701" s="3"/>
      <c r="L701" s="3" t="str">
        <f ca="1">IFERROR(__xludf.DUMMYFUNCTION("""COMPUTED_VALUE"""),"Cost per instance")</f>
        <v>Cost per instance</v>
      </c>
      <c r="M701" s="3"/>
      <c r="N701" s="3"/>
      <c r="O701" s="3"/>
      <c r="P701" s="3"/>
      <c r="Q701" s="3"/>
      <c r="R701" s="3"/>
      <c r="S701" s="3" t="str">
        <f ca="1">IFERROR(__xludf.DUMMYFUNCTION("""COMPUTED_VALUE"""),"100")</f>
        <v>100</v>
      </c>
      <c r="T701" s="3"/>
      <c r="U701" s="3" t="str">
        <f ca="1">IFERROR(__xludf.DUMMYFUNCTION("""COMPUTED_VALUE"""),"pr článek")</f>
        <v>pr článek</v>
      </c>
      <c r="V701" s="3"/>
      <c r="W701" s="4" t="str">
        <f ca="1">IFERROR(__xludf.DUMMYFUNCTION("""COMPUTED_VALUE"""),"https://reklama.cncenter.cz/?ads=PR%2520%25C4%258Dl%25C3%25A1nky")</f>
        <v>https://reklama.cncenter.cz/?ads=PR%2520%25C4%258Dl%25C3%25A1nky</v>
      </c>
      <c r="X701" s="3"/>
      <c r="Y701" s="3"/>
      <c r="Z701" s="3" t="str">
        <f ca="1">IFERROR(__xludf.DUMMYFUNCTION("""COMPUTED_VALUE"""),"podklady@cncenter.cz")</f>
        <v>podklady@cncenter.cz</v>
      </c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 t="str">
        <f ca="1">IFERROR(__xludf.DUMMYFUNCTION("""COMPUTED_VALUE"""),"cross-device")</f>
        <v>cross-device</v>
      </c>
      <c r="AO701" s="3"/>
      <c r="AP701" s="3"/>
      <c r="AQ701" s="3"/>
      <c r="AR701" s="3"/>
      <c r="AS701" s="3"/>
      <c r="AT701" s="3"/>
      <c r="AU701" s="3" t="str">
        <f ca="1">IFERROR(__xludf.DUMMYFUNCTION("""COMPUTED_VALUE"""),"PR článek")</f>
        <v>PR článek</v>
      </c>
    </row>
    <row r="702" spans="1:47" x14ac:dyDescent="0.3">
      <c r="A702" s="3">
        <f ca="1"/>
        <v>2346826</v>
      </c>
      <c r="B702" s="3" t="str">
        <f ca="1"/>
        <v>CZECH NEWS CENTER a. s.</v>
      </c>
      <c r="C702" s="3" t="str">
        <f ca="1">IFERROR(__xludf.DUMMYFUNCTION("""COMPUTED_VALUE"""),"iSport")</f>
        <v>iSport</v>
      </c>
      <c r="D702" s="3" t="str">
        <f ca="1">IFERROR(__xludf.DUMMYFUNCTION("""COMPUTED_VALUE"""),"https://isport.cz, https://sportrevue.cz")</f>
        <v>https://isport.cz, https://sportrevue.cz</v>
      </c>
      <c r="E702" s="3" t="str">
        <f ca="1">IFERROR(__xludf.DUMMYFUNCTION("""COMPUTED_VALUE"""),"celý web")</f>
        <v>celý web</v>
      </c>
      <c r="F702" s="3" t="str">
        <f ca="1">IFERROR(__xludf.DUMMYFUNCTION("""COMPUTED_VALUE"""),"https://isport.cz, https://sportrevue.cz")</f>
        <v>https://isport.cz, https://sportrevue.cz</v>
      </c>
      <c r="G702" s="3" t="str">
        <f ca="1">IFERROR(__xludf.DUMMYFUNCTION("""COMPUTED_VALUE"""),"Prodloužení existující microsite, bez úprav low season")</f>
        <v>Prodloužení existující microsite, bez úprav low season</v>
      </c>
      <c r="H702" s="3">
        <f ca="1">IFERROR(__xludf.DUMMYFUNCTION("""COMPUTED_VALUE"""),1)</f>
        <v>1</v>
      </c>
      <c r="I702" s="5">
        <f ca="1">IFERROR(__xludf.DUMMYFUNCTION("""COMPUTED_VALUE"""),1)</f>
        <v>1</v>
      </c>
      <c r="J702" s="5">
        <f ca="1">IFERROR(__xludf.DUMMYFUNCTION("""COMPUTED_VALUE"""),15000)</f>
        <v>15000</v>
      </c>
      <c r="K702" s="3"/>
      <c r="L702" s="3" t="str">
        <f ca="1">IFERROR(__xludf.DUMMYFUNCTION("""COMPUTED_VALUE"""),"Cost per instance")</f>
        <v>Cost per instance</v>
      </c>
      <c r="M702" s="3"/>
      <c r="N702" s="3"/>
      <c r="O702" s="3"/>
      <c r="P702" s="3"/>
      <c r="Q702" s="3"/>
      <c r="R702" s="3"/>
      <c r="S702" s="3" t="str">
        <f ca="1">IFERROR(__xludf.DUMMYFUNCTION("""COMPUTED_VALUE"""),"100")</f>
        <v>100</v>
      </c>
      <c r="T702" s="3"/>
      <c r="U702" s="3" t="str">
        <f ca="1">IFERROR(__xludf.DUMMYFUNCTION("""COMPUTED_VALUE"""),"microsite")</f>
        <v>microsite</v>
      </c>
      <c r="V702" s="3"/>
      <c r="W702" s="3"/>
      <c r="X702" s="3"/>
      <c r="Y702" s="3"/>
      <c r="Z702" s="3" t="str">
        <f ca="1">IFERROR(__xludf.DUMMYFUNCTION("""COMPUTED_VALUE"""),"podklady@cncenter.cz")</f>
        <v>podklady@cncenter.cz</v>
      </c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 t="str">
        <f ca="1">IFERROR(__xludf.DUMMYFUNCTION("""COMPUTED_VALUE"""),"cross-device")</f>
        <v>cross-device</v>
      </c>
      <c r="AO702" s="3"/>
      <c r="AP702" s="3"/>
      <c r="AQ702" s="3"/>
      <c r="AR702" s="3"/>
      <c r="AS702" s="3"/>
      <c r="AT702" s="3"/>
      <c r="AU702" s="3" t="str">
        <f ca="1">IFERROR(__xludf.DUMMYFUNCTION("""COMPUTED_VALUE"""),"Prodloužení existující microsite, bez úprav")</f>
        <v>Prodloužení existující microsite, bez úprav</v>
      </c>
    </row>
    <row r="703" spans="1:47" x14ac:dyDescent="0.3">
      <c r="A703" s="3">
        <f ca="1"/>
        <v>2346826</v>
      </c>
      <c r="B703" s="3" t="str">
        <f ca="1"/>
        <v>CZECH NEWS CENTER a. s.</v>
      </c>
      <c r="C703" s="3" t="str">
        <f ca="1">IFERROR(__xludf.DUMMYFUNCTION("""COMPUTED_VALUE"""),"iSport")</f>
        <v>iSport</v>
      </c>
      <c r="D703" s="3" t="str">
        <f ca="1">IFERROR(__xludf.DUMMYFUNCTION("""COMPUTED_VALUE"""),"https://isport.cz, https://sportrevue.cz")</f>
        <v>https://isport.cz, https://sportrevue.cz</v>
      </c>
      <c r="E703" s="3" t="str">
        <f ca="1">IFERROR(__xludf.DUMMYFUNCTION("""COMPUTED_VALUE"""),"celý web")</f>
        <v>celý web</v>
      </c>
      <c r="F703" s="3" t="str">
        <f ca="1">IFERROR(__xludf.DUMMYFUNCTION("""COMPUTED_VALUE"""),"https://isport.cz, https://sportrevue.cz")</f>
        <v>https://isport.cz, https://sportrevue.cz</v>
      </c>
      <c r="G703" s="3" t="str">
        <f ca="1">IFERROR(__xludf.DUMMYFUNCTION("""COMPUTED_VALUE"""),"Prodloužení existující microsite, bez úprav low season")</f>
        <v>Prodloužení existující microsite, bez úprav low season</v>
      </c>
      <c r="H703" s="3">
        <f ca="1">IFERROR(__xludf.DUMMYFUNCTION("""COMPUTED_VALUE"""),1)</f>
        <v>1</v>
      </c>
      <c r="I703" s="5">
        <f ca="1">IFERROR(__xludf.DUMMYFUNCTION("""COMPUTED_VALUE"""),1)</f>
        <v>1</v>
      </c>
      <c r="J703" s="5">
        <f ca="1">IFERROR(__xludf.DUMMYFUNCTION("""COMPUTED_VALUE"""),15000)</f>
        <v>15000</v>
      </c>
      <c r="K703" s="3"/>
      <c r="L703" s="3" t="str">
        <f ca="1">IFERROR(__xludf.DUMMYFUNCTION("""COMPUTED_VALUE"""),"Cost per instance")</f>
        <v>Cost per instance</v>
      </c>
      <c r="M703" s="3"/>
      <c r="N703" s="3"/>
      <c r="O703" s="3"/>
      <c r="P703" s="3"/>
      <c r="Q703" s="3"/>
      <c r="R703" s="3"/>
      <c r="S703" s="3" t="str">
        <f ca="1">IFERROR(__xludf.DUMMYFUNCTION("""COMPUTED_VALUE"""),"100")</f>
        <v>100</v>
      </c>
      <c r="T703" s="3"/>
      <c r="U703" s="3" t="str">
        <f ca="1">IFERROR(__xludf.DUMMYFUNCTION("""COMPUTED_VALUE"""),"microsite")</f>
        <v>microsite</v>
      </c>
      <c r="V703" s="3"/>
      <c r="W703" s="3"/>
      <c r="X703" s="3"/>
      <c r="Y703" s="3"/>
      <c r="Z703" s="3" t="str">
        <f ca="1">IFERROR(__xludf.DUMMYFUNCTION("""COMPUTED_VALUE"""),"podklady@cncenter.cz")</f>
        <v>podklady@cncenter.cz</v>
      </c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 t="str">
        <f ca="1">IFERROR(__xludf.DUMMYFUNCTION("""COMPUTED_VALUE"""),"cross-device")</f>
        <v>cross-device</v>
      </c>
      <c r="AO703" s="3"/>
      <c r="AP703" s="3"/>
      <c r="AQ703" s="3"/>
      <c r="AR703" s="3"/>
      <c r="AS703" s="3"/>
      <c r="AT703" s="3"/>
      <c r="AU703" s="3" t="str">
        <f ca="1">IFERROR(__xludf.DUMMYFUNCTION("""COMPUTED_VALUE"""),"Prodloužení existující microsite, bez úprav")</f>
        <v>Prodloužení existující microsite, bez úprav</v>
      </c>
    </row>
    <row r="704" spans="1:47" x14ac:dyDescent="0.3">
      <c r="A704" s="3">
        <f ca="1"/>
        <v>2346826</v>
      </c>
      <c r="B704" s="3" t="str">
        <f ca="1"/>
        <v>CZECH NEWS CENTER a. s.</v>
      </c>
      <c r="C704" s="3" t="str">
        <f ca="1">IFERROR(__xludf.DUMMYFUNCTION("""COMPUTED_VALUE"""),"iSport")</f>
        <v>iSport</v>
      </c>
      <c r="D704" s="3" t="str">
        <f ca="1">IFERROR(__xludf.DUMMYFUNCTION("""COMPUTED_VALUE"""),"https://isport.cz, https://sportrevue.cz")</f>
        <v>https://isport.cz, https://sportrevue.cz</v>
      </c>
      <c r="E704" s="3" t="str">
        <f ca="1">IFERROR(__xludf.DUMMYFUNCTION("""COMPUTED_VALUE"""),"celý web")</f>
        <v>celý web</v>
      </c>
      <c r="F704" s="3" t="str">
        <f ca="1">IFERROR(__xludf.DUMMYFUNCTION("""COMPUTED_VALUE"""),"https://isport.cz, https://sportrevue.cz")</f>
        <v>https://isport.cz, https://sportrevue.cz</v>
      </c>
      <c r="G704" s="3" t="str">
        <f ca="1">IFERROR(__xludf.DUMMYFUNCTION("""COMPUTED_VALUE"""),"Prodloužení existující microsite, bez úprav low season")</f>
        <v>Prodloužení existující microsite, bez úprav low season</v>
      </c>
      <c r="H704" s="3">
        <f ca="1">IFERROR(__xludf.DUMMYFUNCTION("""COMPUTED_VALUE"""),1)</f>
        <v>1</v>
      </c>
      <c r="I704" s="5">
        <f ca="1">IFERROR(__xludf.DUMMYFUNCTION("""COMPUTED_VALUE"""),1)</f>
        <v>1</v>
      </c>
      <c r="J704" s="5">
        <f ca="1">IFERROR(__xludf.DUMMYFUNCTION("""COMPUTED_VALUE"""),15000)</f>
        <v>15000</v>
      </c>
      <c r="K704" s="3"/>
      <c r="L704" s="3" t="str">
        <f ca="1">IFERROR(__xludf.DUMMYFUNCTION("""COMPUTED_VALUE"""),"Cost per instance")</f>
        <v>Cost per instance</v>
      </c>
      <c r="M704" s="3"/>
      <c r="N704" s="3"/>
      <c r="O704" s="3"/>
      <c r="P704" s="3"/>
      <c r="Q704" s="3"/>
      <c r="R704" s="3"/>
      <c r="S704" s="3" t="str">
        <f ca="1">IFERROR(__xludf.DUMMYFUNCTION("""COMPUTED_VALUE"""),"100")</f>
        <v>100</v>
      </c>
      <c r="T704" s="3"/>
      <c r="U704" s="3" t="str">
        <f ca="1">IFERROR(__xludf.DUMMYFUNCTION("""COMPUTED_VALUE"""),"microsite")</f>
        <v>microsite</v>
      </c>
      <c r="V704" s="3"/>
      <c r="W704" s="3"/>
      <c r="X704" s="3"/>
      <c r="Y704" s="3"/>
      <c r="Z704" s="3" t="str">
        <f ca="1">IFERROR(__xludf.DUMMYFUNCTION("""COMPUTED_VALUE"""),"podklady@cncenter.cz")</f>
        <v>podklady@cncenter.cz</v>
      </c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 t="str">
        <f ca="1">IFERROR(__xludf.DUMMYFUNCTION("""COMPUTED_VALUE"""),"cross-device")</f>
        <v>cross-device</v>
      </c>
      <c r="AO704" s="3"/>
      <c r="AP704" s="3"/>
      <c r="AQ704" s="3"/>
      <c r="AR704" s="3"/>
      <c r="AS704" s="3"/>
      <c r="AT704" s="3"/>
      <c r="AU704" s="3" t="str">
        <f ca="1">IFERROR(__xludf.DUMMYFUNCTION("""COMPUTED_VALUE"""),"Prodloužení existující microsite, bez úprav")</f>
        <v>Prodloužení existující microsite, bez úprav</v>
      </c>
    </row>
    <row r="705" spans="1:47" x14ac:dyDescent="0.3">
      <c r="A705" s="3">
        <f ca="1"/>
        <v>2346826</v>
      </c>
      <c r="B705" s="3" t="str">
        <f ca="1"/>
        <v>CZECH NEWS CENTER a. s.</v>
      </c>
      <c r="C705" s="3" t="str">
        <f ca="1">IFERROR(__xludf.DUMMYFUNCTION("""COMPUTED_VALUE"""),"iSport")</f>
        <v>iSport</v>
      </c>
      <c r="D705" s="3" t="str">
        <f ca="1">IFERROR(__xludf.DUMMYFUNCTION("""COMPUTED_VALUE"""),"https://isport.cz, https://sportrevue.cz")</f>
        <v>https://isport.cz, https://sportrevue.cz</v>
      </c>
      <c r="E705" s="3" t="str">
        <f ca="1">IFERROR(__xludf.DUMMYFUNCTION("""COMPUTED_VALUE"""),"celý web")</f>
        <v>celý web</v>
      </c>
      <c r="F705" s="3" t="str">
        <f ca="1">IFERROR(__xludf.DUMMYFUNCTION("""COMPUTED_VALUE"""),"https://isport.cz, https://sportrevue.cz")</f>
        <v>https://isport.cz, https://sportrevue.cz</v>
      </c>
      <c r="G705" s="3" t="str">
        <f ca="1">IFERROR(__xludf.DUMMYFUNCTION("""COMPUTED_VALUE"""),"videospot - max. 30 sec. / bumper low season")</f>
        <v>videospot - max. 30 sec. / bumper low season</v>
      </c>
      <c r="H705" s="3">
        <f ca="1">IFERROR(__xludf.DUMMYFUNCTION("""COMPUTED_VALUE"""),7)</f>
        <v>7</v>
      </c>
      <c r="I705" s="5">
        <f ca="1">IFERROR(__xludf.DUMMYFUNCTION("""COMPUTED_VALUE"""),1000)</f>
        <v>1000</v>
      </c>
      <c r="J705" s="5">
        <f ca="1">IFERROR(__xludf.DUMMYFUNCTION("""COMPUTED_VALUE"""),830)</f>
        <v>830</v>
      </c>
      <c r="K705" s="3"/>
      <c r="L705" s="3" t="str">
        <f ca="1">IFERROR(__xludf.DUMMYFUNCTION("""COMPUTED_VALUE"""),"Cost per period")</f>
        <v>Cost per period</v>
      </c>
      <c r="M705" s="3"/>
      <c r="N705" s="3"/>
      <c r="O705" s="3" t="str">
        <f ca="1">IFERROR(__xludf.DUMMYFUNCTION("""COMPUTED_VALUE"""),"1280")</f>
        <v>1280</v>
      </c>
      <c r="P705" s="3" t="str">
        <f ca="1">IFERROR(__xludf.DUMMYFUNCTION("""COMPUTED_VALUE"""),"720")</f>
        <v>720</v>
      </c>
      <c r="Q705" s="3" t="str">
        <f ca="1">IFERROR(__xludf.DUMMYFUNCTION("""COMPUTED_VALUE"""),"16:9 / umístění po domluvě dle možností")</f>
        <v>16:9 / umístění po domluvě dle možností</v>
      </c>
      <c r="R705" s="3" t="str">
        <f ca="1">IFERROR(__xludf.DUMMYFUNCTION("""COMPUTED_VALUE"""),"přeskočení po 7 sekundách")</f>
        <v>přeskočení po 7 sekundách</v>
      </c>
      <c r="S705" s="3" t="str">
        <f ca="1">IFERROR(__xludf.DUMMYFUNCTION("""COMPUTED_VALUE"""),"100")</f>
        <v>100</v>
      </c>
      <c r="T705" s="3"/>
      <c r="U705" s="3" t="str">
        <f ca="1">IFERROR(__xludf.DUMMYFUNCTION("""COMPUTED_VALUE"""),"videospot")</f>
        <v>videospot</v>
      </c>
      <c r="V705" s="3"/>
      <c r="W705" s="4" t="str">
        <f ca="1">IFERROR(__xludf.DUMMYFUNCTION("""COMPUTED_VALUE"""),"https://reklama.cncenter.cz/Online/Bumper")</f>
        <v>https://reklama.cncenter.cz/Online/Bumper</v>
      </c>
      <c r="X705" s="3"/>
      <c r="Y705" s="3"/>
      <c r="Z705" s="3" t="str">
        <f ca="1">IFERROR(__xludf.DUMMYFUNCTION("""COMPUTED_VALUE"""),"podklady@cncenter.cz")</f>
        <v>podklady@cncenter.cz</v>
      </c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 t="str">
        <f ca="1">IFERROR(__xludf.DUMMYFUNCTION("""COMPUTED_VALUE"""),"cross-device")</f>
        <v>cross-device</v>
      </c>
      <c r="AO705" s="3"/>
      <c r="AP705" s="3"/>
      <c r="AQ705" s="3"/>
      <c r="AR705" s="3"/>
      <c r="AS705" s="3"/>
      <c r="AT705" s="3"/>
      <c r="AU705" s="3" t="str">
        <f ca="1">IFERROR(__xludf.DUMMYFUNCTION("""COMPUTED_VALUE"""),"videospot - max. 30 sec. / bumper")</f>
        <v>videospot - max. 30 sec. / bumper</v>
      </c>
    </row>
    <row r="706" spans="1:47" x14ac:dyDescent="0.3">
      <c r="A706" s="3">
        <f ca="1"/>
        <v>2346826</v>
      </c>
      <c r="B706" s="3" t="str">
        <f ca="1"/>
        <v>CZECH NEWS CENTER a. s.</v>
      </c>
      <c r="C706" s="3" t="str">
        <f ca="1">IFERROR(__xludf.DUMMYFUNCTION("""COMPUTED_VALUE"""),"Lidé a země")</f>
        <v>Lidé a země</v>
      </c>
      <c r="D706" s="4" t="str">
        <f ca="1">IFERROR(__xludf.DUMMYFUNCTION("""COMPUTED_VALUE"""),"https://lideazeme.cz")</f>
        <v>https://lideazeme.cz</v>
      </c>
      <c r="E706" s="3" t="str">
        <f ca="1">IFERROR(__xludf.DUMMYFUNCTION("""COMPUTED_VALUE"""),"celý web")</f>
        <v>celý web</v>
      </c>
      <c r="F706" s="4" t="str">
        <f ca="1">IFERROR(__xludf.DUMMYFUNCTION("""COMPUTED_VALUE"""),"https://lideazeme.cz")</f>
        <v>https://lideazeme.cz</v>
      </c>
      <c r="G706" s="3" t="str">
        <f ca="1">IFERROR(__xludf.DUMMYFUNCTION("""COMPUTED_VALUE"""),"Advertorial low season")</f>
        <v>Advertorial low season</v>
      </c>
      <c r="H706" s="3">
        <f ca="1">IFERROR(__xludf.DUMMYFUNCTION("""COMPUTED_VALUE"""),1)</f>
        <v>1</v>
      </c>
      <c r="I706" s="5">
        <f ca="1">IFERROR(__xludf.DUMMYFUNCTION("""COMPUTED_VALUE"""),1)</f>
        <v>1</v>
      </c>
      <c r="J706" s="5">
        <f ca="1">IFERROR(__xludf.DUMMYFUNCTION("""COMPUTED_VALUE"""),90000)</f>
        <v>90000</v>
      </c>
      <c r="K706" s="3"/>
      <c r="L706" s="3" t="str">
        <f ca="1">IFERROR(__xludf.DUMMYFUNCTION("""COMPUTED_VALUE"""),"Cost per instance")</f>
        <v>Cost per instance</v>
      </c>
      <c r="M706" s="3"/>
      <c r="N706" s="3"/>
      <c r="O706" s="3"/>
      <c r="P706" s="3"/>
      <c r="Q706" s="3"/>
      <c r="R706" s="3"/>
      <c r="S706" s="3" t="str">
        <f ca="1">IFERROR(__xludf.DUMMYFUNCTION("""COMPUTED_VALUE"""),"100")</f>
        <v>100</v>
      </c>
      <c r="T706" s="3"/>
      <c r="U706" s="3" t="str">
        <f ca="1">IFERROR(__xludf.DUMMYFUNCTION("""COMPUTED_VALUE"""),"pr článek")</f>
        <v>pr článek</v>
      </c>
      <c r="V706" s="3"/>
      <c r="W706" s="3"/>
      <c r="X706" s="3"/>
      <c r="Y706" s="3"/>
      <c r="Z706" s="3" t="str">
        <f ca="1">IFERROR(__xludf.DUMMYFUNCTION("""COMPUTED_VALUE"""),"podklady@cncenter.cz")</f>
        <v>podklady@cncenter.cz</v>
      </c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 t="str">
        <f ca="1">IFERROR(__xludf.DUMMYFUNCTION("""COMPUTED_VALUE"""),"cross-device")</f>
        <v>cross-device</v>
      </c>
      <c r="AO706" s="3"/>
      <c r="AP706" s="3"/>
      <c r="AQ706" s="3"/>
      <c r="AR706" s="3"/>
      <c r="AS706" s="3"/>
      <c r="AT706" s="3"/>
      <c r="AU706" s="3" t="str">
        <f ca="1">IFERROR(__xludf.DUMMYFUNCTION("""COMPUTED_VALUE"""),"Advertorial")</f>
        <v>Advertorial</v>
      </c>
    </row>
    <row r="707" spans="1:47" x14ac:dyDescent="0.3">
      <c r="A707" s="3">
        <f ca="1"/>
        <v>2346826</v>
      </c>
      <c r="B707" s="3" t="str">
        <f ca="1"/>
        <v>CZECH NEWS CENTER a. s.</v>
      </c>
      <c r="C707" s="3" t="str">
        <f ca="1">IFERROR(__xludf.DUMMYFUNCTION("""COMPUTED_VALUE"""),"Lidé a Země")</f>
        <v>Lidé a Země</v>
      </c>
      <c r="D707" s="4" t="str">
        <f ca="1">IFERROR(__xludf.DUMMYFUNCTION("""COMPUTED_VALUE"""),"https://lideazeme.cz")</f>
        <v>https://lideazeme.cz</v>
      </c>
      <c r="E707" s="3" t="str">
        <f ca="1">IFERROR(__xludf.DUMMYFUNCTION("""COMPUTED_VALUE"""),"celý web")</f>
        <v>celý web</v>
      </c>
      <c r="F707" s="4" t="str">
        <f ca="1">IFERROR(__xludf.DUMMYFUNCTION("""COMPUTED_VALUE"""),"https://lideazeme.cz")</f>
        <v>https://lideazeme.cz</v>
      </c>
      <c r="G707" s="3" t="str">
        <f ca="1">IFERROR(__xludf.DUMMYFUNCTION("""COMPUTED_VALUE"""),"billboard bottom low season")</f>
        <v>billboard bottom low season</v>
      </c>
      <c r="H707" s="3">
        <f ca="1">IFERROR(__xludf.DUMMYFUNCTION("""COMPUTED_VALUE"""),7)</f>
        <v>7</v>
      </c>
      <c r="I707" s="5">
        <f ca="1">IFERROR(__xludf.DUMMYFUNCTION("""COMPUTED_VALUE"""),1000)</f>
        <v>1000</v>
      </c>
      <c r="J707" s="5">
        <f ca="1">IFERROR(__xludf.DUMMYFUNCTION("""COMPUTED_VALUE"""),240)</f>
        <v>240</v>
      </c>
      <c r="K707" s="3"/>
      <c r="L707" s="3" t="str">
        <f ca="1">IFERROR(__xludf.DUMMYFUNCTION("""COMPUTED_VALUE"""),"Cost per period")</f>
        <v>Cost per period</v>
      </c>
      <c r="M707" s="3"/>
      <c r="N707" s="3"/>
      <c r="O707" s="3" t="str">
        <f ca="1">IFERROR(__xludf.DUMMYFUNCTION("""COMPUTED_VALUE"""),"970")</f>
        <v>970</v>
      </c>
      <c r="P707" s="3" t="str">
        <f ca="1">IFERROR(__xludf.DUMMYFUNCTION("""COMPUTED_VALUE"""),"250")</f>
        <v>250</v>
      </c>
      <c r="Q707" s="3" t="str">
        <f ca="1">IFERROR(__xludf.DUMMYFUNCTION("""COMPUTED_VALUE"""),"970x250")</f>
        <v>970x250</v>
      </c>
      <c r="R707" s="3"/>
      <c r="S707" s="3" t="str">
        <f ca="1">IFERROR(__xludf.DUMMYFUNCTION("""COMPUTED_VALUE"""),"100 (200 - HTML5)")</f>
        <v>100 (200 - HTML5)</v>
      </c>
      <c r="T707" s="3"/>
      <c r="U707" s="3" t="str">
        <f ca="1">IFERROR(__xludf.DUMMYFUNCTION("""COMPUTED_VALUE"""),"banner standard")</f>
        <v>banner standard</v>
      </c>
      <c r="V707" s="3"/>
      <c r="W707" s="4" t="str">
        <f ca="1">IFERROR(__xludf.DUMMYFUNCTION("""COMPUTED_VALUE"""),"https://reklama.cncenter.cz/Online/billboard-bottom")</f>
        <v>https://reklama.cncenter.cz/Online/billboard-bottom</v>
      </c>
      <c r="X707" s="3"/>
      <c r="Y707" s="3"/>
      <c r="Z707" s="3" t="str">
        <f ca="1">IFERROR(__xludf.DUMMYFUNCTION("""COMPUTED_VALUE"""),"podklady@cncenter.cz")</f>
        <v>podklady@cncenter.cz</v>
      </c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 t="str">
        <f ca="1">IFERROR(__xludf.DUMMYFUNCTION("""COMPUTED_VALUE"""),"desktop")</f>
        <v>desktop</v>
      </c>
      <c r="AO707" s="3"/>
      <c r="AP707" s="3"/>
      <c r="AQ707" s="3"/>
      <c r="AR707" s="3"/>
      <c r="AS707" s="3"/>
      <c r="AT707" s="3"/>
      <c r="AU707" s="3" t="str">
        <f ca="1">IFERROR(__xludf.DUMMYFUNCTION("""COMPUTED_VALUE"""),"billboard bottom")</f>
        <v>billboard bottom</v>
      </c>
    </row>
    <row r="708" spans="1:47" x14ac:dyDescent="0.3">
      <c r="A708" s="3">
        <f ca="1"/>
        <v>2346826</v>
      </c>
      <c r="B708" s="3" t="str">
        <f ca="1"/>
        <v>CZECH NEWS CENTER a. s.</v>
      </c>
      <c r="C708" s="3" t="str">
        <f ca="1">IFERROR(__xludf.DUMMYFUNCTION("""COMPUTED_VALUE"""),"Lidé a Země")</f>
        <v>Lidé a Země</v>
      </c>
      <c r="D708" s="4" t="str">
        <f ca="1">IFERROR(__xludf.DUMMYFUNCTION("""COMPUTED_VALUE"""),"https://lideazeme.cz")</f>
        <v>https://lideazeme.cz</v>
      </c>
      <c r="E708" s="3" t="str">
        <f ca="1">IFERROR(__xludf.DUMMYFUNCTION("""COMPUTED_VALUE"""),"celý web")</f>
        <v>celý web</v>
      </c>
      <c r="F708" s="4" t="str">
        <f ca="1">IFERROR(__xludf.DUMMYFUNCTION("""COMPUTED_VALUE"""),"https://lideazeme.cz")</f>
        <v>https://lideazeme.cz</v>
      </c>
      <c r="G708" s="3" t="str">
        <f ca="1">IFERROR(__xludf.DUMMYFUNCTION("""COMPUTED_VALUE"""),"branding cross-device low season")</f>
        <v>branding cross-device low season</v>
      </c>
      <c r="H708" s="3">
        <f ca="1">IFERROR(__xludf.DUMMYFUNCTION("""COMPUTED_VALUE"""),7)</f>
        <v>7</v>
      </c>
      <c r="I708" s="5">
        <f ca="1">IFERROR(__xludf.DUMMYFUNCTION("""COMPUTED_VALUE"""),1000)</f>
        <v>1000</v>
      </c>
      <c r="J708" s="5">
        <f ca="1">IFERROR(__xludf.DUMMYFUNCTION("""COMPUTED_VALUE"""),300)</f>
        <v>300</v>
      </c>
      <c r="K708" s="3"/>
      <c r="L708" s="3" t="str">
        <f ca="1">IFERROR(__xludf.DUMMYFUNCTION("""COMPUTED_VALUE"""),"Cost per period")</f>
        <v>Cost per period</v>
      </c>
      <c r="M708" s="3"/>
      <c r="N708" s="3"/>
      <c r="O708" s="3" t="str">
        <f ca="1">IFERROR(__xludf.DUMMYFUNCTION("""COMPUTED_VALUE"""),"2000")</f>
        <v>2000</v>
      </c>
      <c r="P708" s="3" t="str">
        <f ca="1">IFERROR(__xludf.DUMMYFUNCTION("""COMPUTED_VALUE"""),"1400")</f>
        <v>1400</v>
      </c>
      <c r="Q708" s="3" t="str">
        <f ca="1">IFERROR(__xludf.DUMMYFUNCTION("""COMPUTED_VALUE"""),"2000x1400 + 600x1080")</f>
        <v>2000x1400 + 600x1080</v>
      </c>
      <c r="R708" s="3"/>
      <c r="S708" s="3" t="str">
        <f ca="1">IFERROR(__xludf.DUMMYFUNCTION("""COMPUTED_VALUE"""),"500 (600 - HTLM5)")</f>
        <v>500 (600 - HTLM5)</v>
      </c>
      <c r="T708" s="3"/>
      <c r="U708" s="3" t="str">
        <f ca="1">IFERROR(__xludf.DUMMYFUNCTION("""COMPUTED_VALUE"""),"banner standard")</f>
        <v>banner standard</v>
      </c>
      <c r="V708" s="3"/>
      <c r="W708" s="4" t="str">
        <f ca="1">IFERROR(__xludf.DUMMYFUNCTION("""COMPUTED_VALUE"""),"https://reklama.cncenter.cz/Online/branding-cross-device")</f>
        <v>https://reklama.cncenter.cz/Online/branding-cross-device</v>
      </c>
      <c r="X708" s="3"/>
      <c r="Y708" s="3"/>
      <c r="Z708" s="3" t="str">
        <f ca="1">IFERROR(__xludf.DUMMYFUNCTION("""COMPUTED_VALUE"""),"podklady@cncenter.cz")</f>
        <v>podklady@cncenter.cz</v>
      </c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 t="str">
        <f ca="1">IFERROR(__xludf.DUMMYFUNCTION("""COMPUTED_VALUE"""),"cross-device")</f>
        <v>cross-device</v>
      </c>
      <c r="AO708" s="3"/>
      <c r="AP708" s="3"/>
      <c r="AQ708" s="3"/>
      <c r="AR708" s="3"/>
      <c r="AS708" s="3"/>
      <c r="AT708" s="3"/>
      <c r="AU708" s="3" t="str">
        <f ca="1">IFERROR(__xludf.DUMMYFUNCTION("""COMPUTED_VALUE"""),"branding cross-device")</f>
        <v>branding cross-device</v>
      </c>
    </row>
    <row r="709" spans="1:47" x14ac:dyDescent="0.3">
      <c r="A709" s="3">
        <f ca="1"/>
        <v>2346826</v>
      </c>
      <c r="B709" s="3" t="str">
        <f ca="1"/>
        <v>CZECH NEWS CENTER a. s.</v>
      </c>
      <c r="C709" s="3" t="str">
        <f ca="1">IFERROR(__xludf.DUMMYFUNCTION("""COMPUTED_VALUE"""),"Lidé a Země")</f>
        <v>Lidé a Země</v>
      </c>
      <c r="D709" s="4" t="str">
        <f ca="1">IFERROR(__xludf.DUMMYFUNCTION("""COMPUTED_VALUE"""),"https://lideazeme.cz")</f>
        <v>https://lideazeme.cz</v>
      </c>
      <c r="E709" s="3" t="str">
        <f ca="1">IFERROR(__xludf.DUMMYFUNCTION("""COMPUTED_VALUE"""),"celý web")</f>
        <v>celý web</v>
      </c>
      <c r="F709" s="4" t="str">
        <f ca="1">IFERROR(__xludf.DUMMYFUNCTION("""COMPUTED_VALUE"""),"https://lideazeme.cz")</f>
        <v>https://lideazeme.cz</v>
      </c>
      <c r="G709" s="3" t="str">
        <f ca="1">IFERROR(__xludf.DUMMYFUNCTION("""COMPUTED_VALUE"""),"branding low season")</f>
        <v>branding low season</v>
      </c>
      <c r="H709" s="3">
        <f ca="1">IFERROR(__xludf.DUMMYFUNCTION("""COMPUTED_VALUE"""),7)</f>
        <v>7</v>
      </c>
      <c r="I709" s="5">
        <f ca="1">IFERROR(__xludf.DUMMYFUNCTION("""COMPUTED_VALUE"""),1000)</f>
        <v>1000</v>
      </c>
      <c r="J709" s="5">
        <f ca="1">IFERROR(__xludf.DUMMYFUNCTION("""COMPUTED_VALUE"""),490)</f>
        <v>490</v>
      </c>
      <c r="K709" s="3"/>
      <c r="L709" s="3" t="str">
        <f ca="1">IFERROR(__xludf.DUMMYFUNCTION("""COMPUTED_VALUE"""),"Cost per period")</f>
        <v>Cost per period</v>
      </c>
      <c r="M709" s="3"/>
      <c r="N709" s="3"/>
      <c r="O709" s="3" t="str">
        <f ca="1">IFERROR(__xludf.DUMMYFUNCTION("""COMPUTED_VALUE"""),"2000")</f>
        <v>2000</v>
      </c>
      <c r="P709" s="3" t="str">
        <f ca="1">IFERROR(__xludf.DUMMYFUNCTION("""COMPUTED_VALUE"""),"1400")</f>
        <v>1400</v>
      </c>
      <c r="Q709" s="3" t="str">
        <f ca="1">IFERROR(__xludf.DUMMYFUNCTION("""COMPUTED_VALUE"""),"2000x1400")</f>
        <v>2000x1400</v>
      </c>
      <c r="R709" s="3"/>
      <c r="S709" s="3" t="str">
        <f ca="1">IFERROR(__xludf.DUMMYFUNCTION("""COMPUTED_VALUE"""),"500 + 200 (600+200 HTML5)")</f>
        <v>500 + 200 (600+200 HTML5)</v>
      </c>
      <c r="T709" s="3"/>
      <c r="U709" s="3" t="str">
        <f ca="1">IFERROR(__xludf.DUMMYFUNCTION("""COMPUTED_VALUE"""),"banner standard")</f>
        <v>banner standard</v>
      </c>
      <c r="V709" s="3"/>
      <c r="W709" s="4" t="str">
        <f ca="1">IFERROR(__xludf.DUMMYFUNCTION("""COMPUTED_VALUE"""),"https://reklama.cncenter.cz/Online/branding")</f>
        <v>https://reklama.cncenter.cz/Online/branding</v>
      </c>
      <c r="X709" s="3"/>
      <c r="Y709" s="3"/>
      <c r="Z709" s="3" t="str">
        <f ca="1">IFERROR(__xludf.DUMMYFUNCTION("""COMPUTED_VALUE"""),"podklady@cncenter.cz")</f>
        <v>podklady@cncenter.cz</v>
      </c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 t="str">
        <f ca="1">IFERROR(__xludf.DUMMYFUNCTION("""COMPUTED_VALUE"""),"desktop")</f>
        <v>desktop</v>
      </c>
      <c r="AO709" s="3"/>
      <c r="AP709" s="3"/>
      <c r="AQ709" s="3"/>
      <c r="AR709" s="3"/>
      <c r="AS709" s="3"/>
      <c r="AT709" s="3"/>
      <c r="AU709" s="3" t="str">
        <f ca="1">IFERROR(__xludf.DUMMYFUNCTION("""COMPUTED_VALUE"""),"branding")</f>
        <v>branding</v>
      </c>
    </row>
    <row r="710" spans="1:47" x14ac:dyDescent="0.3">
      <c r="A710" s="3">
        <f ca="1"/>
        <v>2346826</v>
      </c>
      <c r="B710" s="3" t="str">
        <f ca="1"/>
        <v>CZECH NEWS CENTER a. s.</v>
      </c>
      <c r="C710" s="3" t="str">
        <f ca="1">IFERROR(__xludf.DUMMYFUNCTION("""COMPUTED_VALUE"""),"Lidé a Země")</f>
        <v>Lidé a Země</v>
      </c>
      <c r="D710" s="4" t="str">
        <f ca="1">IFERROR(__xludf.DUMMYFUNCTION("""COMPUTED_VALUE"""),"https://lideazeme.cz")</f>
        <v>https://lideazeme.cz</v>
      </c>
      <c r="E710" s="3" t="str">
        <f ca="1">IFERROR(__xludf.DUMMYFUNCTION("""COMPUTED_VALUE"""),"celý web")</f>
        <v>celý web</v>
      </c>
      <c r="F710" s="4" t="str">
        <f ca="1">IFERROR(__xludf.DUMMYFUNCTION("""COMPUTED_VALUE"""),"https://lideazeme.cz")</f>
        <v>https://lideazeme.cz</v>
      </c>
      <c r="G710" s="3" t="str">
        <f ca="1">IFERROR(__xludf.DUMMYFUNCTION("""COMPUTED_VALUE"""),"cílený billboard bottom low season")</f>
        <v>cílený billboard bottom low season</v>
      </c>
      <c r="H710" s="3">
        <f ca="1">IFERROR(__xludf.DUMMYFUNCTION("""COMPUTED_VALUE"""),7)</f>
        <v>7</v>
      </c>
      <c r="I710" s="5">
        <f ca="1">IFERROR(__xludf.DUMMYFUNCTION("""COMPUTED_VALUE"""),1000)</f>
        <v>1000</v>
      </c>
      <c r="J710" s="5">
        <f ca="1">IFERROR(__xludf.DUMMYFUNCTION("""COMPUTED_VALUE"""),288)</f>
        <v>288</v>
      </c>
      <c r="K710" s="3"/>
      <c r="L710" s="3" t="str">
        <f ca="1">IFERROR(__xludf.DUMMYFUNCTION("""COMPUTED_VALUE"""),"Cost per period")</f>
        <v>Cost per period</v>
      </c>
      <c r="M710" s="3"/>
      <c r="N710" s="3"/>
      <c r="O710" s="3" t="str">
        <f ca="1">IFERROR(__xludf.DUMMYFUNCTION("""COMPUTED_VALUE"""),"970")</f>
        <v>970</v>
      </c>
      <c r="P710" s="3" t="str">
        <f ca="1">IFERROR(__xludf.DUMMYFUNCTION("""COMPUTED_VALUE"""),"250")</f>
        <v>250</v>
      </c>
      <c r="Q710" s="3" t="str">
        <f ca="1">IFERROR(__xludf.DUMMYFUNCTION("""COMPUTED_VALUE"""),"970x250")</f>
        <v>970x250</v>
      </c>
      <c r="R710" s="3"/>
      <c r="S710" s="3" t="str">
        <f ca="1">IFERROR(__xludf.DUMMYFUNCTION("""COMPUTED_VALUE"""),"100 (200 - HTML5)")</f>
        <v>100 (200 - HTML5)</v>
      </c>
      <c r="T710" s="3"/>
      <c r="U710" s="3" t="str">
        <f ca="1">IFERROR(__xludf.DUMMYFUNCTION("""COMPUTED_VALUE"""),"banner standard")</f>
        <v>banner standard</v>
      </c>
      <c r="V710" s="3"/>
      <c r="W710" s="4" t="str">
        <f ca="1">IFERROR(__xludf.DUMMYFUNCTION("""COMPUTED_VALUE"""),"https://reklama.cncenter.cz/Online/billboard-bottom")</f>
        <v>https://reklama.cncenter.cz/Online/billboard-bottom</v>
      </c>
      <c r="X710" s="3"/>
      <c r="Y710" s="3"/>
      <c r="Z710" s="3" t="str">
        <f ca="1">IFERROR(__xludf.DUMMYFUNCTION("""COMPUTED_VALUE"""),"podklady@cncenter.cz")</f>
        <v>podklady@cncenter.cz</v>
      </c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 t="str">
        <f ca="1">IFERROR(__xludf.DUMMYFUNCTION("""COMPUTED_VALUE"""),"desktop")</f>
        <v>desktop</v>
      </c>
      <c r="AO710" s="3"/>
      <c r="AP710" s="3"/>
      <c r="AQ710" s="3"/>
      <c r="AR710" s="3"/>
      <c r="AS710" s="3"/>
      <c r="AT710" s="3"/>
      <c r="AU710" s="3" t="str">
        <f ca="1">IFERROR(__xludf.DUMMYFUNCTION("""COMPUTED_VALUE"""),"cílený billboard bottom")</f>
        <v>cílený billboard bottom</v>
      </c>
    </row>
    <row r="711" spans="1:47" x14ac:dyDescent="0.3">
      <c r="A711" s="3">
        <f ca="1"/>
        <v>2346826</v>
      </c>
      <c r="B711" s="3" t="str">
        <f ca="1"/>
        <v>CZECH NEWS CENTER a. s.</v>
      </c>
      <c r="C711" s="3" t="str">
        <f ca="1">IFERROR(__xludf.DUMMYFUNCTION("""COMPUTED_VALUE"""),"Lidé a Země")</f>
        <v>Lidé a Země</v>
      </c>
      <c r="D711" s="4" t="str">
        <f ca="1">IFERROR(__xludf.DUMMYFUNCTION("""COMPUTED_VALUE"""),"https://lideazeme.cz")</f>
        <v>https://lideazeme.cz</v>
      </c>
      <c r="E711" s="3" t="str">
        <f ca="1">IFERROR(__xludf.DUMMYFUNCTION("""COMPUTED_VALUE"""),"celý web")</f>
        <v>celý web</v>
      </c>
      <c r="F711" s="4" t="str">
        <f ca="1">IFERROR(__xludf.DUMMYFUNCTION("""COMPUTED_VALUE"""),"https://lideazeme.cz")</f>
        <v>https://lideazeme.cz</v>
      </c>
      <c r="G711" s="3" t="str">
        <f ca="1">IFERROR(__xludf.DUMMYFUNCTION("""COMPUTED_VALUE"""),"cílený branding cross-device low season")</f>
        <v>cílený branding cross-device low season</v>
      </c>
      <c r="H711" s="3">
        <f ca="1">IFERROR(__xludf.DUMMYFUNCTION("""COMPUTED_VALUE"""),7)</f>
        <v>7</v>
      </c>
      <c r="I711" s="5">
        <f ca="1">IFERROR(__xludf.DUMMYFUNCTION("""COMPUTED_VALUE"""),1000)</f>
        <v>1000</v>
      </c>
      <c r="J711" s="5">
        <f ca="1">IFERROR(__xludf.DUMMYFUNCTION("""COMPUTED_VALUE"""),360)</f>
        <v>360</v>
      </c>
      <c r="K711" s="3"/>
      <c r="L711" s="3" t="str">
        <f ca="1">IFERROR(__xludf.DUMMYFUNCTION("""COMPUTED_VALUE"""),"Cost per period")</f>
        <v>Cost per period</v>
      </c>
      <c r="M711" s="3"/>
      <c r="N711" s="3"/>
      <c r="O711" s="3" t="str">
        <f ca="1">IFERROR(__xludf.DUMMYFUNCTION("""COMPUTED_VALUE"""),"2000")</f>
        <v>2000</v>
      </c>
      <c r="P711" s="3" t="str">
        <f ca="1">IFERROR(__xludf.DUMMYFUNCTION("""COMPUTED_VALUE"""),"1400")</f>
        <v>1400</v>
      </c>
      <c r="Q711" s="3" t="str">
        <f ca="1">IFERROR(__xludf.DUMMYFUNCTION("""COMPUTED_VALUE"""),"2000x1400 + 600x1080")</f>
        <v>2000x1400 + 600x1080</v>
      </c>
      <c r="R711" s="3"/>
      <c r="S711" s="3" t="str">
        <f ca="1">IFERROR(__xludf.DUMMYFUNCTION("""COMPUTED_VALUE"""),"500 (600 - HTLM5)")</f>
        <v>500 (600 - HTLM5)</v>
      </c>
      <c r="T711" s="3"/>
      <c r="U711" s="3" t="str">
        <f ca="1">IFERROR(__xludf.DUMMYFUNCTION("""COMPUTED_VALUE"""),"banner standard")</f>
        <v>banner standard</v>
      </c>
      <c r="V711" s="3"/>
      <c r="W711" s="4" t="str">
        <f ca="1">IFERROR(__xludf.DUMMYFUNCTION("""COMPUTED_VALUE"""),"https://reklama.cncenter.cz/Online/branding-cross-device")</f>
        <v>https://reklama.cncenter.cz/Online/branding-cross-device</v>
      </c>
      <c r="X711" s="3"/>
      <c r="Y711" s="3"/>
      <c r="Z711" s="3" t="str">
        <f ca="1">IFERROR(__xludf.DUMMYFUNCTION("""COMPUTED_VALUE"""),"podklady@cncenter.cz")</f>
        <v>podklady@cncenter.cz</v>
      </c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 t="str">
        <f ca="1">IFERROR(__xludf.DUMMYFUNCTION("""COMPUTED_VALUE"""),"cross-device")</f>
        <v>cross-device</v>
      </c>
      <c r="AO711" s="3"/>
      <c r="AP711" s="3"/>
      <c r="AQ711" s="3"/>
      <c r="AR711" s="3"/>
      <c r="AS711" s="3"/>
      <c r="AT711" s="3"/>
      <c r="AU711" s="3" t="str">
        <f ca="1">IFERROR(__xludf.DUMMYFUNCTION("""COMPUTED_VALUE"""),"cílený branding cross-device")</f>
        <v>cílený branding cross-device</v>
      </c>
    </row>
    <row r="712" spans="1:47" x14ac:dyDescent="0.3">
      <c r="A712" s="3">
        <f ca="1"/>
        <v>2346826</v>
      </c>
      <c r="B712" s="3" t="str">
        <f ca="1"/>
        <v>CZECH NEWS CENTER a. s.</v>
      </c>
      <c r="C712" s="3" t="str">
        <f ca="1">IFERROR(__xludf.DUMMYFUNCTION("""COMPUTED_VALUE"""),"Lidé a Země")</f>
        <v>Lidé a Země</v>
      </c>
      <c r="D712" s="4" t="str">
        <f ca="1">IFERROR(__xludf.DUMMYFUNCTION("""COMPUTED_VALUE"""),"https://lideazeme.cz")</f>
        <v>https://lideazeme.cz</v>
      </c>
      <c r="E712" s="3" t="str">
        <f ca="1">IFERROR(__xludf.DUMMYFUNCTION("""COMPUTED_VALUE"""),"celý web")</f>
        <v>celý web</v>
      </c>
      <c r="F712" s="4" t="str">
        <f ca="1">IFERROR(__xludf.DUMMYFUNCTION("""COMPUTED_VALUE"""),"https://lideazeme.cz")</f>
        <v>https://lideazeme.cz</v>
      </c>
      <c r="G712" s="3" t="str">
        <f ca="1">IFERROR(__xludf.DUMMYFUNCTION("""COMPUTED_VALUE"""),"cílený branding low season")</f>
        <v>cílený branding low season</v>
      </c>
      <c r="H712" s="3">
        <f ca="1">IFERROR(__xludf.DUMMYFUNCTION("""COMPUTED_VALUE"""),7)</f>
        <v>7</v>
      </c>
      <c r="I712" s="5">
        <f ca="1">IFERROR(__xludf.DUMMYFUNCTION("""COMPUTED_VALUE"""),1000)</f>
        <v>1000</v>
      </c>
      <c r="J712" s="5">
        <f ca="1">IFERROR(__xludf.DUMMYFUNCTION("""COMPUTED_VALUE"""),588)</f>
        <v>588</v>
      </c>
      <c r="K712" s="3"/>
      <c r="L712" s="3" t="str">
        <f ca="1">IFERROR(__xludf.DUMMYFUNCTION("""COMPUTED_VALUE"""),"Cost per period")</f>
        <v>Cost per period</v>
      </c>
      <c r="M712" s="3"/>
      <c r="N712" s="3"/>
      <c r="O712" s="3" t="str">
        <f ca="1">IFERROR(__xludf.DUMMYFUNCTION("""COMPUTED_VALUE"""),"2000")</f>
        <v>2000</v>
      </c>
      <c r="P712" s="3" t="str">
        <f ca="1">IFERROR(__xludf.DUMMYFUNCTION("""COMPUTED_VALUE"""),"1400")</f>
        <v>1400</v>
      </c>
      <c r="Q712" s="3" t="str">
        <f ca="1">IFERROR(__xludf.DUMMYFUNCTION("""COMPUTED_VALUE"""),"2000x1400")</f>
        <v>2000x1400</v>
      </c>
      <c r="R712" s="3"/>
      <c r="S712" s="3" t="str">
        <f ca="1">IFERROR(__xludf.DUMMYFUNCTION("""COMPUTED_VALUE"""),"500 + 200 (600+200 HTML5)")</f>
        <v>500 + 200 (600+200 HTML5)</v>
      </c>
      <c r="T712" s="3"/>
      <c r="U712" s="3" t="str">
        <f ca="1">IFERROR(__xludf.DUMMYFUNCTION("""COMPUTED_VALUE"""),"banner standard")</f>
        <v>banner standard</v>
      </c>
      <c r="V712" s="3"/>
      <c r="W712" s="4" t="str">
        <f ca="1">IFERROR(__xludf.DUMMYFUNCTION("""COMPUTED_VALUE"""),"https://reklama.cncenter.cz/Online/branding")</f>
        <v>https://reklama.cncenter.cz/Online/branding</v>
      </c>
      <c r="X712" s="3"/>
      <c r="Y712" s="3"/>
      <c r="Z712" s="3" t="str">
        <f ca="1">IFERROR(__xludf.DUMMYFUNCTION("""COMPUTED_VALUE"""),"podklady@cncenter.cz")</f>
        <v>podklady@cncenter.cz</v>
      </c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 t="str">
        <f ca="1">IFERROR(__xludf.DUMMYFUNCTION("""COMPUTED_VALUE"""),"desktop")</f>
        <v>desktop</v>
      </c>
      <c r="AO712" s="3"/>
      <c r="AP712" s="3"/>
      <c r="AQ712" s="3"/>
      <c r="AR712" s="3"/>
      <c r="AS712" s="3"/>
      <c r="AT712" s="3"/>
      <c r="AU712" s="3" t="str">
        <f ca="1">IFERROR(__xludf.DUMMYFUNCTION("""COMPUTED_VALUE"""),"cílený branding")</f>
        <v>cílený branding</v>
      </c>
    </row>
    <row r="713" spans="1:47" x14ac:dyDescent="0.3">
      <c r="A713" s="3">
        <f ca="1"/>
        <v>2346826</v>
      </c>
      <c r="B713" s="3" t="str">
        <f ca="1"/>
        <v>CZECH NEWS CENTER a. s.</v>
      </c>
      <c r="C713" s="3" t="str">
        <f ca="1">IFERROR(__xludf.DUMMYFUNCTION("""COMPUTED_VALUE"""),"Lidé a Země")</f>
        <v>Lidé a Země</v>
      </c>
      <c r="D713" s="4" t="str">
        <f ca="1">IFERROR(__xludf.DUMMYFUNCTION("""COMPUTED_VALUE"""),"https://lideazeme.cz")</f>
        <v>https://lideazeme.cz</v>
      </c>
      <c r="E713" s="3" t="str">
        <f ca="1">IFERROR(__xludf.DUMMYFUNCTION("""COMPUTED_VALUE"""),"celý web")</f>
        <v>celý web</v>
      </c>
      <c r="F713" s="4" t="str">
        <f ca="1">IFERROR(__xludf.DUMMYFUNCTION("""COMPUTED_VALUE"""),"https://lideazeme.cz")</f>
        <v>https://lideazeme.cz</v>
      </c>
      <c r="G713" s="3" t="str">
        <f ca="1">IFERROR(__xludf.DUMMYFUNCTION("""COMPUTED_VALUE"""),"cílený double skyscraper low season")</f>
        <v>cílený double skyscraper low season</v>
      </c>
      <c r="H713" s="3">
        <f ca="1">IFERROR(__xludf.DUMMYFUNCTION("""COMPUTED_VALUE"""),7)</f>
        <v>7</v>
      </c>
      <c r="I713" s="5">
        <f ca="1">IFERROR(__xludf.DUMMYFUNCTION("""COMPUTED_VALUE"""),1000)</f>
        <v>1000</v>
      </c>
      <c r="J713" s="5">
        <f ca="1">IFERROR(__xludf.DUMMYFUNCTION("""COMPUTED_VALUE"""),228)</f>
        <v>228</v>
      </c>
      <c r="K713" s="3"/>
      <c r="L713" s="3" t="str">
        <f ca="1">IFERROR(__xludf.DUMMYFUNCTION("""COMPUTED_VALUE"""),"Cost per period")</f>
        <v>Cost per period</v>
      </c>
      <c r="M713" s="3"/>
      <c r="N713" s="3"/>
      <c r="O713" s="3" t="str">
        <f ca="1">IFERROR(__xludf.DUMMYFUNCTION("""COMPUTED_VALUE"""),"300")</f>
        <v>300</v>
      </c>
      <c r="P713" s="3" t="str">
        <f ca="1">IFERROR(__xludf.DUMMYFUNCTION("""COMPUTED_VALUE"""),"600")</f>
        <v>600</v>
      </c>
      <c r="Q713" s="3" t="str">
        <f ca="1">IFERROR(__xludf.DUMMYFUNCTION("""COMPUTED_VALUE"""),"300x600")</f>
        <v>300x600</v>
      </c>
      <c r="R713" s="3"/>
      <c r="S713" s="3" t="str">
        <f ca="1">IFERROR(__xludf.DUMMYFUNCTION("""COMPUTED_VALUE"""),"100 (200 - HTML5)")</f>
        <v>100 (200 - HTML5)</v>
      </c>
      <c r="T713" s="3"/>
      <c r="U713" s="3" t="str">
        <f ca="1">IFERROR(__xludf.DUMMYFUNCTION("""COMPUTED_VALUE"""),"banner standard")</f>
        <v>banner standard</v>
      </c>
      <c r="V713" s="3"/>
      <c r="W713" s="4" t="str">
        <f ca="1">IFERROR(__xludf.DUMMYFUNCTION("""COMPUTED_VALUE"""),"https://reklama.cncenter.cz/Online/double-skyscraper")</f>
        <v>https://reklama.cncenter.cz/Online/double-skyscraper</v>
      </c>
      <c r="X713" s="3"/>
      <c r="Y713" s="3"/>
      <c r="Z713" s="3" t="str">
        <f ca="1">IFERROR(__xludf.DUMMYFUNCTION("""COMPUTED_VALUE"""),"podklady@cncenter.cz")</f>
        <v>podklady@cncenter.cz</v>
      </c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 t="str">
        <f ca="1">IFERROR(__xludf.DUMMYFUNCTION("""COMPUTED_VALUE"""),"desktop")</f>
        <v>desktop</v>
      </c>
      <c r="AO713" s="3"/>
      <c r="AP713" s="3"/>
      <c r="AQ713" s="3"/>
      <c r="AR713" s="3"/>
      <c r="AS713" s="3"/>
      <c r="AT713" s="3"/>
      <c r="AU713" s="3" t="str">
        <f ca="1">IFERROR(__xludf.DUMMYFUNCTION("""COMPUTED_VALUE"""),"cílený double skyscraper")</f>
        <v>cílený double skyscraper</v>
      </c>
    </row>
    <row r="714" spans="1:47" x14ac:dyDescent="0.3">
      <c r="A714" s="3">
        <f ca="1"/>
        <v>2346826</v>
      </c>
      <c r="B714" s="3" t="str">
        <f ca="1"/>
        <v>CZECH NEWS CENTER a. s.</v>
      </c>
      <c r="C714" s="3" t="str">
        <f ca="1">IFERROR(__xludf.DUMMYFUNCTION("""COMPUTED_VALUE"""),"Lidé a Země")</f>
        <v>Lidé a Země</v>
      </c>
      <c r="D714" s="4" t="str">
        <f ca="1">IFERROR(__xludf.DUMMYFUNCTION("""COMPUTED_VALUE"""),"https://lideazeme.cz")</f>
        <v>https://lideazeme.cz</v>
      </c>
      <c r="E714" s="3" t="str">
        <f ca="1">IFERROR(__xludf.DUMMYFUNCTION("""COMPUTED_VALUE"""),"celý web")</f>
        <v>celý web</v>
      </c>
      <c r="F714" s="4" t="str">
        <f ca="1">IFERROR(__xludf.DUMMYFUNCTION("""COMPUTED_VALUE"""),"https://lideazeme.cz")</f>
        <v>https://lideazeme.cz</v>
      </c>
      <c r="G714" s="3" t="str">
        <f ca="1">IFERROR(__xludf.DUMMYFUNCTION("""COMPUTED_VALUE"""),"cílený mobilní interscroller low season")</f>
        <v>cílený mobilní interscroller low season</v>
      </c>
      <c r="H714" s="3">
        <f ca="1">IFERROR(__xludf.DUMMYFUNCTION("""COMPUTED_VALUE"""),7)</f>
        <v>7</v>
      </c>
      <c r="I714" s="5">
        <f ca="1">IFERROR(__xludf.DUMMYFUNCTION("""COMPUTED_VALUE"""),1000)</f>
        <v>1000</v>
      </c>
      <c r="J714" s="5">
        <f ca="1">IFERROR(__xludf.DUMMYFUNCTION("""COMPUTED_VALUE"""),300)</f>
        <v>300</v>
      </c>
      <c r="K714" s="3"/>
      <c r="L714" s="3" t="str">
        <f ca="1">IFERROR(__xludf.DUMMYFUNCTION("""COMPUTED_VALUE"""),"Cost per period")</f>
        <v>Cost per period</v>
      </c>
      <c r="M714" s="3"/>
      <c r="N714" s="3"/>
      <c r="O714" s="3" t="str">
        <f ca="1">IFERROR(__xludf.DUMMYFUNCTION("""COMPUTED_VALUE"""),"600")</f>
        <v>600</v>
      </c>
      <c r="P714" s="3" t="str">
        <f ca="1">IFERROR(__xludf.DUMMYFUNCTION("""COMPUTED_VALUE"""),"1080")</f>
        <v>1080</v>
      </c>
      <c r="Q714" s="3" t="str">
        <f ca="1">IFERROR(__xludf.DUMMYFUNCTION("""COMPUTED_VALUE"""),"600x1080")</f>
        <v>600x1080</v>
      </c>
      <c r="R714" s="3"/>
      <c r="S714" s="3" t="str">
        <f ca="1">IFERROR(__xludf.DUMMYFUNCTION("""COMPUTED_VALUE"""),"200")</f>
        <v>200</v>
      </c>
      <c r="T714" s="3"/>
      <c r="U714" s="3" t="str">
        <f ca="1">IFERROR(__xludf.DUMMYFUNCTION("""COMPUTED_VALUE"""),"banner standard")</f>
        <v>banner standard</v>
      </c>
      <c r="V714" s="3"/>
      <c r="W714" s="4" t="str">
        <f ca="1">IFERROR(__xludf.DUMMYFUNCTION("""COMPUTED_VALUE"""),"https://reklama.cncenter.cz/Online/mobilni-interscroller")</f>
        <v>https://reklama.cncenter.cz/Online/mobilni-interscroller</v>
      </c>
      <c r="X714" s="3"/>
      <c r="Y714" s="3"/>
      <c r="Z714" s="3" t="str">
        <f ca="1">IFERROR(__xludf.DUMMYFUNCTION("""COMPUTED_VALUE"""),"podklady@cncenter.cz")</f>
        <v>podklady@cncenter.cz</v>
      </c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 t="str">
        <f ca="1">IFERROR(__xludf.DUMMYFUNCTION("""COMPUTED_VALUE"""),"mobile")</f>
        <v>mobile</v>
      </c>
      <c r="AO714" s="3"/>
      <c r="AP714" s="3"/>
      <c r="AQ714" s="3"/>
      <c r="AR714" s="3"/>
      <c r="AS714" s="3"/>
      <c r="AT714" s="3"/>
      <c r="AU714" s="3" t="str">
        <f ca="1">IFERROR(__xludf.DUMMYFUNCTION("""COMPUTED_VALUE"""),"cílený mobilní interscroller")</f>
        <v>cílený mobilní interscroller</v>
      </c>
    </row>
    <row r="715" spans="1:47" x14ac:dyDescent="0.3">
      <c r="A715" s="3">
        <f ca="1"/>
        <v>2346826</v>
      </c>
      <c r="B715" s="3" t="str">
        <f ca="1"/>
        <v>CZECH NEWS CENTER a. s.</v>
      </c>
      <c r="C715" s="3" t="str">
        <f ca="1">IFERROR(__xludf.DUMMYFUNCTION("""COMPUTED_VALUE"""),"Lidé a Země")</f>
        <v>Lidé a Země</v>
      </c>
      <c r="D715" s="4" t="str">
        <f ca="1">IFERROR(__xludf.DUMMYFUNCTION("""COMPUTED_VALUE"""),"https://lideazeme.cz")</f>
        <v>https://lideazeme.cz</v>
      </c>
      <c r="E715" s="3" t="str">
        <f ca="1">IFERROR(__xludf.DUMMYFUNCTION("""COMPUTED_VALUE"""),"celý web")</f>
        <v>celý web</v>
      </c>
      <c r="F715" s="4" t="str">
        <f ca="1">IFERROR(__xludf.DUMMYFUNCTION("""COMPUTED_VALUE"""),"https://lideazeme.cz")</f>
        <v>https://lideazeme.cz</v>
      </c>
      <c r="G715" s="3" t="str">
        <f ca="1">IFERROR(__xludf.DUMMYFUNCTION("""COMPUTED_VALUE"""),"cílený mobilní slide-up low season")</f>
        <v>cílený mobilní slide-up low season</v>
      </c>
      <c r="H715" s="3">
        <f ca="1">IFERROR(__xludf.DUMMYFUNCTION("""COMPUTED_VALUE"""),7)</f>
        <v>7</v>
      </c>
      <c r="I715" s="5">
        <f ca="1">IFERROR(__xludf.DUMMYFUNCTION("""COMPUTED_VALUE"""),1000)</f>
        <v>1000</v>
      </c>
      <c r="J715" s="5">
        <f ca="1">IFERROR(__xludf.DUMMYFUNCTION("""COMPUTED_VALUE"""),612)</f>
        <v>612</v>
      </c>
      <c r="K715" s="3"/>
      <c r="L715" s="3" t="str">
        <f ca="1">IFERROR(__xludf.DUMMYFUNCTION("""COMPUTED_VALUE"""),"Cost per period")</f>
        <v>Cost per period</v>
      </c>
      <c r="M715" s="3"/>
      <c r="N715" s="3"/>
      <c r="O715" s="3" t="str">
        <f ca="1">IFERROR(__xludf.DUMMYFUNCTION("""COMPUTED_VALUE"""),"300")</f>
        <v>300</v>
      </c>
      <c r="P715" s="3" t="str">
        <f ca="1">IFERROR(__xludf.DUMMYFUNCTION("""COMPUTED_VALUE"""),"120")</f>
        <v>120</v>
      </c>
      <c r="Q715" s="3" t="str">
        <f ca="1">IFERROR(__xludf.DUMMYFUNCTION("""COMPUTED_VALUE"""),"300x120")</f>
        <v>300x120</v>
      </c>
      <c r="R715" s="3"/>
      <c r="S715" s="3" t="str">
        <f ca="1">IFERROR(__xludf.DUMMYFUNCTION("""COMPUTED_VALUE"""),"100")</f>
        <v>100</v>
      </c>
      <c r="T715" s="3"/>
      <c r="U715" s="3" t="str">
        <f ca="1">IFERROR(__xludf.DUMMYFUNCTION("""COMPUTED_VALUE"""),"banner standard")</f>
        <v>banner standard</v>
      </c>
      <c r="V715" s="3"/>
      <c r="W715" s="4" t="str">
        <f ca="1">IFERROR(__xludf.DUMMYFUNCTION("""COMPUTED_VALUE"""),"https://reklama.cncenter.cz/Online/mobilni-slide-up")</f>
        <v>https://reklama.cncenter.cz/Online/mobilni-slide-up</v>
      </c>
      <c r="X715" s="3"/>
      <c r="Y715" s="3"/>
      <c r="Z715" s="3" t="str">
        <f ca="1">IFERROR(__xludf.DUMMYFUNCTION("""COMPUTED_VALUE"""),"podklady@cncenter.cz")</f>
        <v>podklady@cncenter.cz</v>
      </c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 t="str">
        <f ca="1">IFERROR(__xludf.DUMMYFUNCTION("""COMPUTED_VALUE"""),"mobile")</f>
        <v>mobile</v>
      </c>
      <c r="AO715" s="3"/>
      <c r="AP715" s="3"/>
      <c r="AQ715" s="3"/>
      <c r="AR715" s="3"/>
      <c r="AS715" s="3"/>
      <c r="AT715" s="3"/>
      <c r="AU715" s="3" t="str">
        <f ca="1">IFERROR(__xludf.DUMMYFUNCTION("""COMPUTED_VALUE"""),"cílený mobilní slide-up")</f>
        <v>cílený mobilní slide-up</v>
      </c>
    </row>
    <row r="716" spans="1:47" x14ac:dyDescent="0.3">
      <c r="A716" s="3">
        <f ca="1"/>
        <v>2346826</v>
      </c>
      <c r="B716" s="3" t="str">
        <f ca="1"/>
        <v>CZECH NEWS CENTER a. s.</v>
      </c>
      <c r="C716" s="3" t="str">
        <f ca="1">IFERROR(__xludf.DUMMYFUNCTION("""COMPUTED_VALUE"""),"Lidé a Země")</f>
        <v>Lidé a Země</v>
      </c>
      <c r="D716" s="4" t="str">
        <f ca="1">IFERROR(__xludf.DUMMYFUNCTION("""COMPUTED_VALUE"""),"https://lideazeme.cz")</f>
        <v>https://lideazeme.cz</v>
      </c>
      <c r="E716" s="3" t="str">
        <f ca="1">IFERROR(__xludf.DUMMYFUNCTION("""COMPUTED_VALUE"""),"celý web")</f>
        <v>celý web</v>
      </c>
      <c r="F716" s="4" t="str">
        <f ca="1">IFERROR(__xludf.DUMMYFUNCTION("""COMPUTED_VALUE"""),"https://lideazeme.cz")</f>
        <v>https://lideazeme.cz</v>
      </c>
      <c r="G716" s="3" t="str">
        <f ca="1">IFERROR(__xludf.DUMMYFUNCTION("""COMPUTED_VALUE"""),"cílený mobilní viněta low season")</f>
        <v>cílený mobilní viněta low season</v>
      </c>
      <c r="H716" s="3">
        <f ca="1">IFERROR(__xludf.DUMMYFUNCTION("""COMPUTED_VALUE"""),7)</f>
        <v>7</v>
      </c>
      <c r="I716" s="5">
        <f ca="1">IFERROR(__xludf.DUMMYFUNCTION("""COMPUTED_VALUE"""),1000)</f>
        <v>1000</v>
      </c>
      <c r="J716" s="5">
        <f ca="1">IFERROR(__xludf.DUMMYFUNCTION("""COMPUTED_VALUE"""),1056)</f>
        <v>1056</v>
      </c>
      <c r="K716" s="3"/>
      <c r="L716" s="3" t="str">
        <f ca="1">IFERROR(__xludf.DUMMYFUNCTION("""COMPUTED_VALUE"""),"Cost per period")</f>
        <v>Cost per period</v>
      </c>
      <c r="M716" s="3"/>
      <c r="N716" s="3"/>
      <c r="O716" s="3" t="str">
        <f ca="1">IFERROR(__xludf.DUMMYFUNCTION("""COMPUTED_VALUE"""),"600")</f>
        <v>600</v>
      </c>
      <c r="P716" s="3" t="str">
        <f ca="1">IFERROR(__xludf.DUMMYFUNCTION("""COMPUTED_VALUE"""),"800")</f>
        <v>800</v>
      </c>
      <c r="Q716" s="3" t="str">
        <f ca="1">IFERROR(__xludf.DUMMYFUNCTION("""COMPUTED_VALUE"""),"300x250 nebo 600x800")</f>
        <v>300x250 nebo 600x800</v>
      </c>
      <c r="R716" s="3"/>
      <c r="S716" s="3" t="str">
        <f ca="1">IFERROR(__xludf.DUMMYFUNCTION("""COMPUTED_VALUE"""),"100")</f>
        <v>100</v>
      </c>
      <c r="T716" s="3"/>
      <c r="U716" s="3" t="str">
        <f ca="1">IFERROR(__xludf.DUMMYFUNCTION("""COMPUTED_VALUE"""),"banner standard")</f>
        <v>banner standard</v>
      </c>
      <c r="V716" s="3"/>
      <c r="W716" s="4" t="str">
        <f ca="1">IFERROR(__xludf.DUMMYFUNCTION("""COMPUTED_VALUE"""),"https://reklama.cncenter.cz/Online/mobilni-vineta")</f>
        <v>https://reklama.cncenter.cz/Online/mobilni-vineta</v>
      </c>
      <c r="X716" s="3"/>
      <c r="Y716" s="3"/>
      <c r="Z716" s="3" t="str">
        <f ca="1">IFERROR(__xludf.DUMMYFUNCTION("""COMPUTED_VALUE"""),"podklady@cncenter.cz")</f>
        <v>podklady@cncenter.cz</v>
      </c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 t="str">
        <f ca="1">IFERROR(__xludf.DUMMYFUNCTION("""COMPUTED_VALUE"""),"mobile")</f>
        <v>mobile</v>
      </c>
      <c r="AO716" s="3"/>
      <c r="AP716" s="3"/>
      <c r="AQ716" s="3"/>
      <c r="AR716" s="3"/>
      <c r="AS716" s="3"/>
      <c r="AT716" s="3"/>
      <c r="AU716" s="3" t="str">
        <f ca="1">IFERROR(__xludf.DUMMYFUNCTION("""COMPUTED_VALUE"""),"cílený mobilní viněta")</f>
        <v>cílený mobilní viněta</v>
      </c>
    </row>
    <row r="717" spans="1:47" x14ac:dyDescent="0.3">
      <c r="A717" s="3">
        <f ca="1"/>
        <v>2346826</v>
      </c>
      <c r="B717" s="3" t="str">
        <f ca="1"/>
        <v>CZECH NEWS CENTER a. s.</v>
      </c>
      <c r="C717" s="3" t="str">
        <f ca="1">IFERROR(__xludf.DUMMYFUNCTION("""COMPUTED_VALUE"""),"Lidé a Země")</f>
        <v>Lidé a Země</v>
      </c>
      <c r="D717" s="4" t="str">
        <f ca="1">IFERROR(__xludf.DUMMYFUNCTION("""COMPUTED_VALUE"""),"https://lideazeme.cz")</f>
        <v>https://lideazeme.cz</v>
      </c>
      <c r="E717" s="3" t="str">
        <f ca="1">IFERROR(__xludf.DUMMYFUNCTION("""COMPUTED_VALUE"""),"celý web")</f>
        <v>celý web</v>
      </c>
      <c r="F717" s="4" t="str">
        <f ca="1">IFERROR(__xludf.DUMMYFUNCTION("""COMPUTED_VALUE"""),"https://lideazeme.cz")</f>
        <v>https://lideazeme.cz</v>
      </c>
      <c r="G717" s="3" t="str">
        <f ca="1">IFERROR(__xludf.DUMMYFUNCTION("""COMPUTED_VALUE"""),"cílený nativní rectangle cross-device low season")</f>
        <v>cílený nativní rectangle cross-device low season</v>
      </c>
      <c r="H717" s="3">
        <f ca="1">IFERROR(__xludf.DUMMYFUNCTION("""COMPUTED_VALUE"""),7)</f>
        <v>7</v>
      </c>
      <c r="I717" s="5">
        <f ca="1">IFERROR(__xludf.DUMMYFUNCTION("""COMPUTED_VALUE"""),1000)</f>
        <v>1000</v>
      </c>
      <c r="J717" s="5">
        <f ca="1">IFERROR(__xludf.DUMMYFUNCTION("""COMPUTED_VALUE"""),240)</f>
        <v>240</v>
      </c>
      <c r="K717" s="3"/>
      <c r="L717" s="3" t="str">
        <f ca="1">IFERROR(__xludf.DUMMYFUNCTION("""COMPUTED_VALUE"""),"Cost per period")</f>
        <v>Cost per period</v>
      </c>
      <c r="M717" s="3"/>
      <c r="N717" s="3"/>
      <c r="O717" s="3" t="str">
        <f ca="1">IFERROR(__xludf.DUMMYFUNCTION("""COMPUTED_VALUE"""),"640")</f>
        <v>640</v>
      </c>
      <c r="P717" s="3" t="str">
        <f ca="1">IFERROR(__xludf.DUMMYFUNCTION("""COMPUTED_VALUE"""),"335, 640")</f>
        <v>335, 640</v>
      </c>
      <c r="Q717" s="3" t="str">
        <f ca="1">IFERROR(__xludf.DUMMYFUNCTION("""COMPUTED_VALUE"""),"640x640 a 640x335 + text + logo")</f>
        <v>640x640 a 640x335 + text + logo</v>
      </c>
      <c r="R717" s="3"/>
      <c r="S717" s="3" t="str">
        <f ca="1">IFERROR(__xludf.DUMMYFUNCTION("""COMPUTED_VALUE"""),"45")</f>
        <v>45</v>
      </c>
      <c r="T717" s="3"/>
      <c r="U717" s="3" t="str">
        <f ca="1">IFERROR(__xludf.DUMMYFUNCTION("""COMPUTED_VALUE"""),"nativní reklama")</f>
        <v>nativní reklama</v>
      </c>
      <c r="V717" s="3"/>
      <c r="W717" s="4" t="str">
        <f ca="1">IFERROR(__xludf.DUMMYFUNCTION("""COMPUTED_VALUE"""),"https://reklama.cncenter.cz/Online/nativni-rectangle-cross-device")</f>
        <v>https://reklama.cncenter.cz/Online/nativni-rectangle-cross-device</v>
      </c>
      <c r="X717" s="3"/>
      <c r="Y717" s="3"/>
      <c r="Z717" s="3" t="str">
        <f ca="1">IFERROR(__xludf.DUMMYFUNCTION("""COMPUTED_VALUE"""),"podklady@cncenter.cz")</f>
        <v>podklady@cncenter.cz</v>
      </c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 t="str">
        <f ca="1">IFERROR(__xludf.DUMMYFUNCTION("""COMPUTED_VALUE"""),"cross-device")</f>
        <v>cross-device</v>
      </c>
      <c r="AO717" s="3"/>
      <c r="AP717" s="3"/>
      <c r="AQ717" s="3"/>
      <c r="AR717" s="3"/>
      <c r="AS717" s="3"/>
      <c r="AT717" s="3"/>
      <c r="AU717" s="3" t="str">
        <f ca="1">IFERROR(__xludf.DUMMYFUNCTION("""COMPUTED_VALUE"""),"cílený nativní rectangle cross-device")</f>
        <v>cílený nativní rectangle cross-device</v>
      </c>
    </row>
    <row r="718" spans="1:47" x14ac:dyDescent="0.3">
      <c r="A718" s="3">
        <f ca="1"/>
        <v>2346826</v>
      </c>
      <c r="B718" s="3" t="str">
        <f ca="1"/>
        <v>CZECH NEWS CENTER a. s.</v>
      </c>
      <c r="C718" s="3" t="str">
        <f ca="1">IFERROR(__xludf.DUMMYFUNCTION("""COMPUTED_VALUE"""),"Lidé a Země")</f>
        <v>Lidé a Země</v>
      </c>
      <c r="D718" s="4" t="str">
        <f ca="1">IFERROR(__xludf.DUMMYFUNCTION("""COMPUTED_VALUE"""),"https://lideazeme.cz")</f>
        <v>https://lideazeme.cz</v>
      </c>
      <c r="E718" s="3" t="str">
        <f ca="1">IFERROR(__xludf.DUMMYFUNCTION("""COMPUTED_VALUE"""),"celý web")</f>
        <v>celý web</v>
      </c>
      <c r="F718" s="4" t="str">
        <f ca="1">IFERROR(__xludf.DUMMYFUNCTION("""COMPUTED_VALUE"""),"https://lideazeme.cz")</f>
        <v>https://lideazeme.cz</v>
      </c>
      <c r="G718" s="3" t="str">
        <f ca="1">IFERROR(__xludf.DUMMYFUNCTION("""COMPUTED_VALUE"""),"cílený outstream low season")</f>
        <v>cílený outstream low season</v>
      </c>
      <c r="H718" s="3">
        <f ca="1">IFERROR(__xludf.DUMMYFUNCTION("""COMPUTED_VALUE"""),7)</f>
        <v>7</v>
      </c>
      <c r="I718" s="5">
        <f ca="1">IFERROR(__xludf.DUMMYFUNCTION("""COMPUTED_VALUE"""),1000)</f>
        <v>1000</v>
      </c>
      <c r="J718" s="5">
        <f ca="1">IFERROR(__xludf.DUMMYFUNCTION("""COMPUTED_VALUE"""),300)</f>
        <v>300</v>
      </c>
      <c r="K718" s="3"/>
      <c r="L718" s="3" t="str">
        <f ca="1">IFERROR(__xludf.DUMMYFUNCTION("""COMPUTED_VALUE"""),"Cost per period")</f>
        <v>Cost per period</v>
      </c>
      <c r="M718" s="3"/>
      <c r="N718" s="3"/>
      <c r="O718" s="3" t="str">
        <f ca="1">IFERROR(__xludf.DUMMYFUNCTION("""COMPUTED_VALUE"""),"1280")</f>
        <v>1280</v>
      </c>
      <c r="P718" s="3" t="str">
        <f ca="1">IFERROR(__xludf.DUMMYFUNCTION("""COMPUTED_VALUE"""),"720")</f>
        <v>720</v>
      </c>
      <c r="Q718" s="3" t="str">
        <f ca="1">IFERROR(__xludf.DUMMYFUNCTION("""COMPUTED_VALUE"""),"16:9")</f>
        <v>16:9</v>
      </c>
      <c r="R718" s="3"/>
      <c r="S718" s="3" t="str">
        <f ca="1">IFERROR(__xludf.DUMMYFUNCTION("""COMPUTED_VALUE"""),"100")</f>
        <v>100</v>
      </c>
      <c r="T718" s="3"/>
      <c r="U718" s="3" t="str">
        <f ca="1">IFERROR(__xludf.DUMMYFUNCTION("""COMPUTED_VALUE"""),"videospot")</f>
        <v>videospot</v>
      </c>
      <c r="V718" s="3"/>
      <c r="W718" s="4" t="str">
        <f ca="1">IFERROR(__xludf.DUMMYFUNCTION("""COMPUTED_VALUE"""),"https://reklama.cncenter.cz/Online/Outstream")</f>
        <v>https://reklama.cncenter.cz/Online/Outstream</v>
      </c>
      <c r="X718" s="3"/>
      <c r="Y718" s="3"/>
      <c r="Z718" s="3" t="str">
        <f ca="1">IFERROR(__xludf.DUMMYFUNCTION("""COMPUTED_VALUE"""),"podklady@cncenter.cz")</f>
        <v>podklady@cncenter.cz</v>
      </c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 t="str">
        <f ca="1">IFERROR(__xludf.DUMMYFUNCTION("""COMPUTED_VALUE"""),"cross-device")</f>
        <v>cross-device</v>
      </c>
      <c r="AO718" s="3"/>
      <c r="AP718" s="3"/>
      <c r="AQ718" s="3"/>
      <c r="AR718" s="3"/>
      <c r="AS718" s="3"/>
      <c r="AT718" s="3"/>
      <c r="AU718" s="3" t="str">
        <f ca="1">IFERROR(__xludf.DUMMYFUNCTION("""COMPUTED_VALUE"""),"cílený outstream")</f>
        <v>cílený outstream</v>
      </c>
    </row>
    <row r="719" spans="1:47" x14ac:dyDescent="0.3">
      <c r="A719" s="3">
        <f ca="1"/>
        <v>2346826</v>
      </c>
      <c r="B719" s="3" t="str">
        <f ca="1"/>
        <v>CZECH NEWS CENTER a. s.</v>
      </c>
      <c r="C719" s="3" t="str">
        <f ca="1">IFERROR(__xludf.DUMMYFUNCTION("""COMPUTED_VALUE"""),"Lidé a země")</f>
        <v>Lidé a země</v>
      </c>
      <c r="D719" s="4" t="str">
        <f ca="1">IFERROR(__xludf.DUMMYFUNCTION("""COMPUTED_VALUE"""),"https://lideazeme.cz")</f>
        <v>https://lideazeme.cz</v>
      </c>
      <c r="E719" s="3" t="str">
        <f ca="1">IFERROR(__xludf.DUMMYFUNCTION("""COMPUTED_VALUE"""),"celý web")</f>
        <v>celý web</v>
      </c>
      <c r="F719" s="4" t="str">
        <f ca="1">IFERROR(__xludf.DUMMYFUNCTION("""COMPUTED_VALUE"""),"https://lideazeme.cz")</f>
        <v>https://lideazeme.cz</v>
      </c>
      <c r="G719" s="3" t="str">
        <f ca="1">IFERROR(__xludf.DUMMYFUNCTION("""COMPUTED_VALUE"""),"dokoupení proma o 2 týdny - 10 000 PV *** low season")</f>
        <v>dokoupení proma o 2 týdny - 10 000 PV *** low season</v>
      </c>
      <c r="H719" s="3">
        <f ca="1">IFERROR(__xludf.DUMMYFUNCTION("""COMPUTED_VALUE"""),1)</f>
        <v>1</v>
      </c>
      <c r="I719" s="5">
        <f ca="1">IFERROR(__xludf.DUMMYFUNCTION("""COMPUTED_VALUE"""),1)</f>
        <v>1</v>
      </c>
      <c r="J719" s="5">
        <f ca="1">IFERROR(__xludf.DUMMYFUNCTION("""COMPUTED_VALUE"""),60000)</f>
        <v>60000</v>
      </c>
      <c r="K719" s="3"/>
      <c r="L719" s="3" t="str">
        <f ca="1">IFERROR(__xludf.DUMMYFUNCTION("""COMPUTED_VALUE"""),"Cost per instance")</f>
        <v>Cost per instance</v>
      </c>
      <c r="M719" s="3"/>
      <c r="N719" s="3"/>
      <c r="O719" s="3"/>
      <c r="P719" s="3"/>
      <c r="Q719" s="3"/>
      <c r="R719" s="3"/>
      <c r="S719" s="3" t="str">
        <f ca="1">IFERROR(__xludf.DUMMYFUNCTION("""COMPUTED_VALUE"""),"100")</f>
        <v>100</v>
      </c>
      <c r="T719" s="3"/>
      <c r="U719" s="3" t="str">
        <f ca="1">IFERROR(__xludf.DUMMYFUNCTION("""COMPUTED_VALUE"""),"microsite")</f>
        <v>microsite</v>
      </c>
      <c r="V719" s="3"/>
      <c r="W719" s="3"/>
      <c r="X719" s="3"/>
      <c r="Y719" s="3"/>
      <c r="Z719" s="3" t="str">
        <f ca="1">IFERROR(__xludf.DUMMYFUNCTION("""COMPUTED_VALUE"""),"podklady@cncenter.cz")</f>
        <v>podklady@cncenter.cz</v>
      </c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 t="str">
        <f ca="1">IFERROR(__xludf.DUMMYFUNCTION("""COMPUTED_VALUE"""),"cross-device")</f>
        <v>cross-device</v>
      </c>
      <c r="AO719" s="3"/>
      <c r="AP719" s="3"/>
      <c r="AQ719" s="3"/>
      <c r="AR719" s="3"/>
      <c r="AS719" s="3"/>
      <c r="AT719" s="3"/>
      <c r="AU719" s="3" t="str">
        <f ca="1">IFERROR(__xludf.DUMMYFUNCTION("""COMPUTED_VALUE"""),"dokoupení proma o 2 týdny - 10 000 PV ***")</f>
        <v>dokoupení proma o 2 týdny - 10 000 PV ***</v>
      </c>
    </row>
    <row r="720" spans="1:47" x14ac:dyDescent="0.3">
      <c r="A720" s="3">
        <f ca="1"/>
        <v>2346826</v>
      </c>
      <c r="B720" s="3" t="str">
        <f ca="1"/>
        <v>CZECH NEWS CENTER a. s.</v>
      </c>
      <c r="C720" s="3" t="str">
        <f ca="1">IFERROR(__xludf.DUMMYFUNCTION("""COMPUTED_VALUE"""),"Lidé a Země")</f>
        <v>Lidé a Země</v>
      </c>
      <c r="D720" s="4" t="str">
        <f ca="1">IFERROR(__xludf.DUMMYFUNCTION("""COMPUTED_VALUE"""),"https://lideazeme.cz")</f>
        <v>https://lideazeme.cz</v>
      </c>
      <c r="E720" s="3" t="str">
        <f ca="1">IFERROR(__xludf.DUMMYFUNCTION("""COMPUTED_VALUE"""),"celý web")</f>
        <v>celý web</v>
      </c>
      <c r="F720" s="4" t="str">
        <f ca="1">IFERROR(__xludf.DUMMYFUNCTION("""COMPUTED_VALUE"""),"https://lideazeme.cz")</f>
        <v>https://lideazeme.cz</v>
      </c>
      <c r="G720" s="3" t="str">
        <f ca="1">IFERROR(__xludf.DUMMYFUNCTION("""COMPUTED_VALUE"""),"double skyscraper low season")</f>
        <v>double skyscraper low season</v>
      </c>
      <c r="H720" s="3">
        <f ca="1">IFERROR(__xludf.DUMMYFUNCTION("""COMPUTED_VALUE"""),7)</f>
        <v>7</v>
      </c>
      <c r="I720" s="5">
        <f ca="1">IFERROR(__xludf.DUMMYFUNCTION("""COMPUTED_VALUE"""),1000)</f>
        <v>1000</v>
      </c>
      <c r="J720" s="5">
        <f ca="1">IFERROR(__xludf.DUMMYFUNCTION("""COMPUTED_VALUE"""),190)</f>
        <v>190</v>
      </c>
      <c r="K720" s="3"/>
      <c r="L720" s="3" t="str">
        <f ca="1">IFERROR(__xludf.DUMMYFUNCTION("""COMPUTED_VALUE"""),"Cost per period")</f>
        <v>Cost per period</v>
      </c>
      <c r="M720" s="3"/>
      <c r="N720" s="3"/>
      <c r="O720" s="3" t="str">
        <f ca="1">IFERROR(__xludf.DUMMYFUNCTION("""COMPUTED_VALUE"""),"300")</f>
        <v>300</v>
      </c>
      <c r="P720" s="3" t="str">
        <f ca="1">IFERROR(__xludf.DUMMYFUNCTION("""COMPUTED_VALUE"""),"600")</f>
        <v>600</v>
      </c>
      <c r="Q720" s="3" t="str">
        <f ca="1">IFERROR(__xludf.DUMMYFUNCTION("""COMPUTED_VALUE"""),"300x600")</f>
        <v>300x600</v>
      </c>
      <c r="R720" s="3"/>
      <c r="S720" s="3" t="str">
        <f ca="1">IFERROR(__xludf.DUMMYFUNCTION("""COMPUTED_VALUE"""),"100 (200 - HTML5)")</f>
        <v>100 (200 - HTML5)</v>
      </c>
      <c r="T720" s="3"/>
      <c r="U720" s="3" t="str">
        <f ca="1">IFERROR(__xludf.DUMMYFUNCTION("""COMPUTED_VALUE"""),"banner standard")</f>
        <v>banner standard</v>
      </c>
      <c r="V720" s="3"/>
      <c r="W720" s="4" t="str">
        <f ca="1">IFERROR(__xludf.DUMMYFUNCTION("""COMPUTED_VALUE"""),"https://reklama.cncenter.cz/Online/double-skyscraper")</f>
        <v>https://reklama.cncenter.cz/Online/double-skyscraper</v>
      </c>
      <c r="X720" s="3"/>
      <c r="Y720" s="3"/>
      <c r="Z720" s="3" t="str">
        <f ca="1">IFERROR(__xludf.DUMMYFUNCTION("""COMPUTED_VALUE"""),"podklady@cncenter.cz")</f>
        <v>podklady@cncenter.cz</v>
      </c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 t="str">
        <f ca="1">IFERROR(__xludf.DUMMYFUNCTION("""COMPUTED_VALUE"""),"desktop")</f>
        <v>desktop</v>
      </c>
      <c r="AO720" s="3"/>
      <c r="AP720" s="3"/>
      <c r="AQ720" s="3"/>
      <c r="AR720" s="3"/>
      <c r="AS720" s="3"/>
      <c r="AT720" s="3"/>
      <c r="AU720" s="3" t="str">
        <f ca="1">IFERROR(__xludf.DUMMYFUNCTION("""COMPUTED_VALUE"""),"double skyscraper")</f>
        <v>double skyscraper</v>
      </c>
    </row>
    <row r="721" spans="1:47" x14ac:dyDescent="0.3">
      <c r="A721" s="3">
        <f ca="1"/>
        <v>2346826</v>
      </c>
      <c r="B721" s="3" t="str">
        <f ca="1"/>
        <v>CZECH NEWS CENTER a. s.</v>
      </c>
      <c r="C721" s="3" t="str">
        <f ca="1">IFERROR(__xludf.DUMMYFUNCTION("""COMPUTED_VALUE"""),"Lidé a Země")</f>
        <v>Lidé a Země</v>
      </c>
      <c r="D721" s="4" t="str">
        <f ca="1">IFERROR(__xludf.DUMMYFUNCTION("""COMPUTED_VALUE"""),"https://lideazeme.cz")</f>
        <v>https://lideazeme.cz</v>
      </c>
      <c r="E721" s="3" t="str">
        <f ca="1">IFERROR(__xludf.DUMMYFUNCTION("""COMPUTED_VALUE"""),"celý web")</f>
        <v>celý web</v>
      </c>
      <c r="F721" s="4" t="str">
        <f ca="1">IFERROR(__xludf.DUMMYFUNCTION("""COMPUTED_VALUE"""),"https://lideazeme.cz")</f>
        <v>https://lideazeme.cz</v>
      </c>
      <c r="G721" s="3" t="str">
        <f ca="1">IFERROR(__xludf.DUMMYFUNCTION("""COMPUTED_VALUE"""),"mobilní interscroller low season")</f>
        <v>mobilní interscroller low season</v>
      </c>
      <c r="H721" s="3">
        <f ca="1">IFERROR(__xludf.DUMMYFUNCTION("""COMPUTED_VALUE"""),7)</f>
        <v>7</v>
      </c>
      <c r="I721" s="5">
        <f ca="1">IFERROR(__xludf.DUMMYFUNCTION("""COMPUTED_VALUE"""),1000)</f>
        <v>1000</v>
      </c>
      <c r="J721" s="5">
        <f ca="1">IFERROR(__xludf.DUMMYFUNCTION("""COMPUTED_VALUE"""),250)</f>
        <v>250</v>
      </c>
      <c r="K721" s="3"/>
      <c r="L721" s="3" t="str">
        <f ca="1">IFERROR(__xludf.DUMMYFUNCTION("""COMPUTED_VALUE"""),"Cost per period")</f>
        <v>Cost per period</v>
      </c>
      <c r="M721" s="3"/>
      <c r="N721" s="3"/>
      <c r="O721" s="3" t="str">
        <f ca="1">IFERROR(__xludf.DUMMYFUNCTION("""COMPUTED_VALUE"""),"600")</f>
        <v>600</v>
      </c>
      <c r="P721" s="3" t="str">
        <f ca="1">IFERROR(__xludf.DUMMYFUNCTION("""COMPUTED_VALUE"""),"1080")</f>
        <v>1080</v>
      </c>
      <c r="Q721" s="3" t="str">
        <f ca="1">IFERROR(__xludf.DUMMYFUNCTION("""COMPUTED_VALUE"""),"600x1080")</f>
        <v>600x1080</v>
      </c>
      <c r="R721" s="3"/>
      <c r="S721" s="3" t="str">
        <f ca="1">IFERROR(__xludf.DUMMYFUNCTION("""COMPUTED_VALUE"""),"200")</f>
        <v>200</v>
      </c>
      <c r="T721" s="3"/>
      <c r="U721" s="3" t="str">
        <f ca="1">IFERROR(__xludf.DUMMYFUNCTION("""COMPUTED_VALUE"""),"banner standard")</f>
        <v>banner standard</v>
      </c>
      <c r="V721" s="3"/>
      <c r="W721" s="4" t="str">
        <f ca="1">IFERROR(__xludf.DUMMYFUNCTION("""COMPUTED_VALUE"""),"https://reklama.cncenter.cz/Online/mobilni-interscroller")</f>
        <v>https://reklama.cncenter.cz/Online/mobilni-interscroller</v>
      </c>
      <c r="X721" s="3"/>
      <c r="Y721" s="3"/>
      <c r="Z721" s="3" t="str">
        <f ca="1">IFERROR(__xludf.DUMMYFUNCTION("""COMPUTED_VALUE"""),"podklady@cncenter.cz")</f>
        <v>podklady@cncenter.cz</v>
      </c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 t="str">
        <f ca="1">IFERROR(__xludf.DUMMYFUNCTION("""COMPUTED_VALUE"""),"mobile")</f>
        <v>mobile</v>
      </c>
      <c r="AO721" s="3"/>
      <c r="AP721" s="3"/>
      <c r="AQ721" s="3"/>
      <c r="AR721" s="3"/>
      <c r="AS721" s="3"/>
      <c r="AT721" s="3"/>
      <c r="AU721" s="3" t="str">
        <f ca="1">IFERROR(__xludf.DUMMYFUNCTION("""COMPUTED_VALUE"""),"mobilní interscroller")</f>
        <v>mobilní interscroller</v>
      </c>
    </row>
    <row r="722" spans="1:47" x14ac:dyDescent="0.3">
      <c r="A722" s="3">
        <f ca="1"/>
        <v>2346826</v>
      </c>
      <c r="B722" s="3" t="str">
        <f ca="1"/>
        <v>CZECH NEWS CENTER a. s.</v>
      </c>
      <c r="C722" s="3" t="str">
        <f ca="1">IFERROR(__xludf.DUMMYFUNCTION("""COMPUTED_VALUE"""),"Lidé a Země")</f>
        <v>Lidé a Země</v>
      </c>
      <c r="D722" s="4" t="str">
        <f ca="1">IFERROR(__xludf.DUMMYFUNCTION("""COMPUTED_VALUE"""),"https://lideazeme.cz")</f>
        <v>https://lideazeme.cz</v>
      </c>
      <c r="E722" s="3" t="str">
        <f ca="1">IFERROR(__xludf.DUMMYFUNCTION("""COMPUTED_VALUE"""),"celý web")</f>
        <v>celý web</v>
      </c>
      <c r="F722" s="4" t="str">
        <f ca="1">IFERROR(__xludf.DUMMYFUNCTION("""COMPUTED_VALUE"""),"https://lideazeme.cz")</f>
        <v>https://lideazeme.cz</v>
      </c>
      <c r="G722" s="3" t="str">
        <f ca="1">IFERROR(__xludf.DUMMYFUNCTION("""COMPUTED_VALUE"""),"mobilní slide-up low season")</f>
        <v>mobilní slide-up low season</v>
      </c>
      <c r="H722" s="3">
        <f ca="1">IFERROR(__xludf.DUMMYFUNCTION("""COMPUTED_VALUE"""),7)</f>
        <v>7</v>
      </c>
      <c r="I722" s="5">
        <f ca="1">IFERROR(__xludf.DUMMYFUNCTION("""COMPUTED_VALUE"""),1000)</f>
        <v>1000</v>
      </c>
      <c r="J722" s="5">
        <f ca="1">IFERROR(__xludf.DUMMYFUNCTION("""COMPUTED_VALUE"""),510)</f>
        <v>510</v>
      </c>
      <c r="K722" s="3"/>
      <c r="L722" s="3" t="str">
        <f ca="1">IFERROR(__xludf.DUMMYFUNCTION("""COMPUTED_VALUE"""),"Cost per period")</f>
        <v>Cost per period</v>
      </c>
      <c r="M722" s="3"/>
      <c r="N722" s="3"/>
      <c r="O722" s="3" t="str">
        <f ca="1">IFERROR(__xludf.DUMMYFUNCTION("""COMPUTED_VALUE"""),"300")</f>
        <v>300</v>
      </c>
      <c r="P722" s="3" t="str">
        <f ca="1">IFERROR(__xludf.DUMMYFUNCTION("""COMPUTED_VALUE"""),"120")</f>
        <v>120</v>
      </c>
      <c r="Q722" s="3" t="str">
        <f ca="1">IFERROR(__xludf.DUMMYFUNCTION("""COMPUTED_VALUE"""),"300x120")</f>
        <v>300x120</v>
      </c>
      <c r="R722" s="3"/>
      <c r="S722" s="3" t="str">
        <f ca="1">IFERROR(__xludf.DUMMYFUNCTION("""COMPUTED_VALUE"""),"100")</f>
        <v>100</v>
      </c>
      <c r="T722" s="3"/>
      <c r="U722" s="3" t="str">
        <f ca="1">IFERROR(__xludf.DUMMYFUNCTION("""COMPUTED_VALUE"""),"banner standard")</f>
        <v>banner standard</v>
      </c>
      <c r="V722" s="3"/>
      <c r="W722" s="4" t="str">
        <f ca="1">IFERROR(__xludf.DUMMYFUNCTION("""COMPUTED_VALUE"""),"https://reklama.cncenter.cz/Online/mobilni-slide-up")</f>
        <v>https://reklama.cncenter.cz/Online/mobilni-slide-up</v>
      </c>
      <c r="X722" s="3"/>
      <c r="Y722" s="3"/>
      <c r="Z722" s="3" t="str">
        <f ca="1">IFERROR(__xludf.DUMMYFUNCTION("""COMPUTED_VALUE"""),"podklady@cncenter.cz")</f>
        <v>podklady@cncenter.cz</v>
      </c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 t="str">
        <f ca="1">IFERROR(__xludf.DUMMYFUNCTION("""COMPUTED_VALUE"""),"mobile")</f>
        <v>mobile</v>
      </c>
      <c r="AO722" s="3"/>
      <c r="AP722" s="3"/>
      <c r="AQ722" s="3"/>
      <c r="AR722" s="3"/>
      <c r="AS722" s="3"/>
      <c r="AT722" s="3"/>
      <c r="AU722" s="3" t="str">
        <f ca="1">IFERROR(__xludf.DUMMYFUNCTION("""COMPUTED_VALUE"""),"mobilní slide-up")</f>
        <v>mobilní slide-up</v>
      </c>
    </row>
    <row r="723" spans="1:47" x14ac:dyDescent="0.3">
      <c r="A723" s="3">
        <f ca="1"/>
        <v>2346826</v>
      </c>
      <c r="B723" s="3" t="str">
        <f ca="1"/>
        <v>CZECH NEWS CENTER a. s.</v>
      </c>
      <c r="C723" s="3" t="str">
        <f ca="1">IFERROR(__xludf.DUMMYFUNCTION("""COMPUTED_VALUE"""),"Lidé a Země")</f>
        <v>Lidé a Země</v>
      </c>
      <c r="D723" s="4" t="str">
        <f ca="1">IFERROR(__xludf.DUMMYFUNCTION("""COMPUTED_VALUE"""),"https://lideazeme.cz")</f>
        <v>https://lideazeme.cz</v>
      </c>
      <c r="E723" s="3" t="str">
        <f ca="1">IFERROR(__xludf.DUMMYFUNCTION("""COMPUTED_VALUE"""),"celý web")</f>
        <v>celý web</v>
      </c>
      <c r="F723" s="4" t="str">
        <f ca="1">IFERROR(__xludf.DUMMYFUNCTION("""COMPUTED_VALUE"""),"https://lideazeme.cz")</f>
        <v>https://lideazeme.cz</v>
      </c>
      <c r="G723" s="3" t="str">
        <f ca="1">IFERROR(__xludf.DUMMYFUNCTION("""COMPUTED_VALUE"""),"mobilní viněta low season")</f>
        <v>mobilní viněta low season</v>
      </c>
      <c r="H723" s="3">
        <f ca="1">IFERROR(__xludf.DUMMYFUNCTION("""COMPUTED_VALUE"""),7)</f>
        <v>7</v>
      </c>
      <c r="I723" s="5">
        <f ca="1">IFERROR(__xludf.DUMMYFUNCTION("""COMPUTED_VALUE"""),1000)</f>
        <v>1000</v>
      </c>
      <c r="J723" s="5">
        <f ca="1">IFERROR(__xludf.DUMMYFUNCTION("""COMPUTED_VALUE"""),880)</f>
        <v>880</v>
      </c>
      <c r="K723" s="3"/>
      <c r="L723" s="3" t="str">
        <f ca="1">IFERROR(__xludf.DUMMYFUNCTION("""COMPUTED_VALUE"""),"Cost per period")</f>
        <v>Cost per period</v>
      </c>
      <c r="M723" s="3"/>
      <c r="N723" s="3"/>
      <c r="O723" s="3" t="str">
        <f ca="1">IFERROR(__xludf.DUMMYFUNCTION("""COMPUTED_VALUE"""),"600")</f>
        <v>600</v>
      </c>
      <c r="P723" s="3" t="str">
        <f ca="1">IFERROR(__xludf.DUMMYFUNCTION("""COMPUTED_VALUE"""),"800")</f>
        <v>800</v>
      </c>
      <c r="Q723" s="3" t="str">
        <f ca="1">IFERROR(__xludf.DUMMYFUNCTION("""COMPUTED_VALUE"""),"300x250 nebo 600x800")</f>
        <v>300x250 nebo 600x800</v>
      </c>
      <c r="R723" s="3"/>
      <c r="S723" s="3" t="str">
        <f ca="1">IFERROR(__xludf.DUMMYFUNCTION("""COMPUTED_VALUE"""),"100")</f>
        <v>100</v>
      </c>
      <c r="T723" s="3"/>
      <c r="U723" s="3" t="str">
        <f ca="1">IFERROR(__xludf.DUMMYFUNCTION("""COMPUTED_VALUE"""),"banner standard")</f>
        <v>banner standard</v>
      </c>
      <c r="V723" s="3"/>
      <c r="W723" s="4" t="str">
        <f ca="1">IFERROR(__xludf.DUMMYFUNCTION("""COMPUTED_VALUE"""),"https://reklama.cncenter.cz/Online/mobilni-vineta")</f>
        <v>https://reklama.cncenter.cz/Online/mobilni-vineta</v>
      </c>
      <c r="X723" s="3"/>
      <c r="Y723" s="3"/>
      <c r="Z723" s="3" t="str">
        <f ca="1">IFERROR(__xludf.DUMMYFUNCTION("""COMPUTED_VALUE"""),"podklady@cncenter.cz")</f>
        <v>podklady@cncenter.cz</v>
      </c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 t="str">
        <f ca="1">IFERROR(__xludf.DUMMYFUNCTION("""COMPUTED_VALUE"""),"mobile")</f>
        <v>mobile</v>
      </c>
      <c r="AO723" s="3"/>
      <c r="AP723" s="3"/>
      <c r="AQ723" s="3"/>
      <c r="AR723" s="3"/>
      <c r="AS723" s="3"/>
      <c r="AT723" s="3"/>
      <c r="AU723" s="3" t="str">
        <f ca="1">IFERROR(__xludf.DUMMYFUNCTION("""COMPUTED_VALUE"""),"mobilní viněta")</f>
        <v>mobilní viněta</v>
      </c>
    </row>
    <row r="724" spans="1:47" x14ac:dyDescent="0.3">
      <c r="A724" s="3">
        <f ca="1"/>
        <v>2346826</v>
      </c>
      <c r="B724" s="3" t="str">
        <f ca="1"/>
        <v>CZECH NEWS CENTER a. s.</v>
      </c>
      <c r="C724" s="3" t="str">
        <f ca="1">IFERROR(__xludf.DUMMYFUNCTION("""COMPUTED_VALUE"""),"Lidé a země")</f>
        <v>Lidé a země</v>
      </c>
      <c r="D724" s="4" t="str">
        <f ca="1">IFERROR(__xludf.DUMMYFUNCTION("""COMPUTED_VALUE"""),"https://lideazeme.cz")</f>
        <v>https://lideazeme.cz</v>
      </c>
      <c r="E724" s="3" t="str">
        <f ca="1">IFERROR(__xludf.DUMMYFUNCTION("""COMPUTED_VALUE"""),"celý web")</f>
        <v>celý web</v>
      </c>
      <c r="F724" s="4" t="str">
        <f ca="1">IFERROR(__xludf.DUMMYFUNCTION("""COMPUTED_VALUE"""),"https://lideazeme.cz")</f>
        <v>https://lideazeme.cz</v>
      </c>
      <c r="G724" s="3" t="str">
        <f ca="1">IFERROR(__xludf.DUMMYFUNCTION("""COMPUTED_VALUE"""),"Native Standard low season")</f>
        <v>Native Standard low season</v>
      </c>
      <c r="H724" s="3">
        <f ca="1">IFERROR(__xludf.DUMMYFUNCTION("""COMPUTED_VALUE"""),1)</f>
        <v>1</v>
      </c>
      <c r="I724" s="5">
        <f ca="1">IFERROR(__xludf.DUMMYFUNCTION("""COMPUTED_VALUE"""),1)</f>
        <v>1</v>
      </c>
      <c r="J724" s="5">
        <f ca="1">IFERROR(__xludf.DUMMYFUNCTION("""COMPUTED_VALUE"""),330000)</f>
        <v>330000</v>
      </c>
      <c r="K724" s="3"/>
      <c r="L724" s="3" t="str">
        <f ca="1">IFERROR(__xludf.DUMMYFUNCTION("""COMPUTED_VALUE"""),"Cost per instance")</f>
        <v>Cost per instance</v>
      </c>
      <c r="M724" s="3"/>
      <c r="N724" s="3"/>
      <c r="O724" s="3"/>
      <c r="P724" s="3"/>
      <c r="Q724" s="3"/>
      <c r="R724" s="3"/>
      <c r="S724" s="3" t="str">
        <f ca="1">IFERROR(__xludf.DUMMYFUNCTION("""COMPUTED_VALUE"""),"100")</f>
        <v>100</v>
      </c>
      <c r="T724" s="3"/>
      <c r="U724" s="3" t="str">
        <f ca="1">IFERROR(__xludf.DUMMYFUNCTION("""COMPUTED_VALUE"""),"microsite")</f>
        <v>microsite</v>
      </c>
      <c r="V724" s="3"/>
      <c r="W724" s="3"/>
      <c r="X724" s="3"/>
      <c r="Y724" s="3"/>
      <c r="Z724" s="3" t="str">
        <f ca="1">IFERROR(__xludf.DUMMYFUNCTION("""COMPUTED_VALUE"""),"podklady@cncenter.cz")</f>
        <v>podklady@cncenter.cz</v>
      </c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 t="str">
        <f ca="1">IFERROR(__xludf.DUMMYFUNCTION("""COMPUTED_VALUE"""),"cross-device")</f>
        <v>cross-device</v>
      </c>
      <c r="AO724" s="3"/>
      <c r="AP724" s="3"/>
      <c r="AQ724" s="3"/>
      <c r="AR724" s="3"/>
      <c r="AS724" s="3"/>
      <c r="AT724" s="3"/>
      <c r="AU724" s="3" t="str">
        <f ca="1">IFERROR(__xludf.DUMMYFUNCTION("""COMPUTED_VALUE"""),"Native Standard")</f>
        <v>Native Standard</v>
      </c>
    </row>
    <row r="725" spans="1:47" x14ac:dyDescent="0.3">
      <c r="A725" s="3">
        <f ca="1"/>
        <v>2346826</v>
      </c>
      <c r="B725" s="3" t="str">
        <f ca="1"/>
        <v>CZECH NEWS CENTER a. s.</v>
      </c>
      <c r="C725" s="3" t="str">
        <f ca="1">IFERROR(__xludf.DUMMYFUNCTION("""COMPUTED_VALUE"""),"Lidé a Země")</f>
        <v>Lidé a Země</v>
      </c>
      <c r="D725" s="4" t="str">
        <f ca="1">IFERROR(__xludf.DUMMYFUNCTION("""COMPUTED_VALUE"""),"https://lideazeme.cz")</f>
        <v>https://lideazeme.cz</v>
      </c>
      <c r="E725" s="3" t="str">
        <f ca="1">IFERROR(__xludf.DUMMYFUNCTION("""COMPUTED_VALUE"""),"celý web")</f>
        <v>celý web</v>
      </c>
      <c r="F725" s="4" t="str">
        <f ca="1">IFERROR(__xludf.DUMMYFUNCTION("""COMPUTED_VALUE"""),"https://lideazeme.cz")</f>
        <v>https://lideazeme.cz</v>
      </c>
      <c r="G725" s="3" t="str">
        <f ca="1">IFERROR(__xludf.DUMMYFUNCTION("""COMPUTED_VALUE"""),"nativní rectangle cross-device low season")</f>
        <v>nativní rectangle cross-device low season</v>
      </c>
      <c r="H725" s="3">
        <f ca="1">IFERROR(__xludf.DUMMYFUNCTION("""COMPUTED_VALUE"""),7)</f>
        <v>7</v>
      </c>
      <c r="I725" s="5">
        <f ca="1">IFERROR(__xludf.DUMMYFUNCTION("""COMPUTED_VALUE"""),1000)</f>
        <v>1000</v>
      </c>
      <c r="J725" s="5">
        <f ca="1">IFERROR(__xludf.DUMMYFUNCTION("""COMPUTED_VALUE"""),200)</f>
        <v>200</v>
      </c>
      <c r="K725" s="3"/>
      <c r="L725" s="3" t="str">
        <f ca="1">IFERROR(__xludf.DUMMYFUNCTION("""COMPUTED_VALUE"""),"Cost per period")</f>
        <v>Cost per period</v>
      </c>
      <c r="M725" s="3"/>
      <c r="N725" s="3"/>
      <c r="O725" s="3" t="str">
        <f ca="1">IFERROR(__xludf.DUMMYFUNCTION("""COMPUTED_VALUE"""),"640")</f>
        <v>640</v>
      </c>
      <c r="P725" s="3" t="str">
        <f ca="1">IFERROR(__xludf.DUMMYFUNCTION("""COMPUTED_VALUE"""),"335, 640")</f>
        <v>335, 640</v>
      </c>
      <c r="Q725" s="3" t="str">
        <f ca="1">IFERROR(__xludf.DUMMYFUNCTION("""COMPUTED_VALUE"""),"640x640 a 640x335 + text + logo")</f>
        <v>640x640 a 640x335 + text + logo</v>
      </c>
      <c r="R725" s="3"/>
      <c r="S725" s="3" t="str">
        <f ca="1">IFERROR(__xludf.DUMMYFUNCTION("""COMPUTED_VALUE"""),"45")</f>
        <v>45</v>
      </c>
      <c r="T725" s="3"/>
      <c r="U725" s="3" t="str">
        <f ca="1">IFERROR(__xludf.DUMMYFUNCTION("""COMPUTED_VALUE"""),"nativní reklama")</f>
        <v>nativní reklama</v>
      </c>
      <c r="V725" s="3"/>
      <c r="W725" s="4" t="str">
        <f ca="1">IFERROR(__xludf.DUMMYFUNCTION("""COMPUTED_VALUE"""),"https://reklama.cncenter.cz/Online/nativni-rectangle-cross-device")</f>
        <v>https://reklama.cncenter.cz/Online/nativni-rectangle-cross-device</v>
      </c>
      <c r="X725" s="3"/>
      <c r="Y725" s="3"/>
      <c r="Z725" s="3" t="str">
        <f ca="1">IFERROR(__xludf.DUMMYFUNCTION("""COMPUTED_VALUE"""),"podklady@cncenter.cz")</f>
        <v>podklady@cncenter.cz</v>
      </c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 t="str">
        <f ca="1">IFERROR(__xludf.DUMMYFUNCTION("""COMPUTED_VALUE"""),"cross-device")</f>
        <v>cross-device</v>
      </c>
      <c r="AO725" s="3"/>
      <c r="AP725" s="3"/>
      <c r="AQ725" s="3"/>
      <c r="AR725" s="3"/>
      <c r="AS725" s="3"/>
      <c r="AT725" s="3"/>
      <c r="AU725" s="3" t="str">
        <f ca="1">IFERROR(__xludf.DUMMYFUNCTION("""COMPUTED_VALUE"""),"nativní rectangle cross-device")</f>
        <v>nativní rectangle cross-device</v>
      </c>
    </row>
    <row r="726" spans="1:47" x14ac:dyDescent="0.3">
      <c r="A726" s="3">
        <f ca="1"/>
        <v>2346826</v>
      </c>
      <c r="B726" s="3" t="str">
        <f ca="1"/>
        <v>CZECH NEWS CENTER a. s.</v>
      </c>
      <c r="C726" s="3" t="str">
        <f ca="1">IFERROR(__xludf.DUMMYFUNCTION("""COMPUTED_VALUE"""),"Lidé a Země")</f>
        <v>Lidé a Země</v>
      </c>
      <c r="D726" s="4" t="str">
        <f ca="1">IFERROR(__xludf.DUMMYFUNCTION("""COMPUTED_VALUE"""),"https://lideazeme.cz")</f>
        <v>https://lideazeme.cz</v>
      </c>
      <c r="E726" s="3" t="str">
        <f ca="1">IFERROR(__xludf.DUMMYFUNCTION("""COMPUTED_VALUE"""),"celý web")</f>
        <v>celý web</v>
      </c>
      <c r="F726" s="4" t="str">
        <f ca="1">IFERROR(__xludf.DUMMYFUNCTION("""COMPUTED_VALUE"""),"https://lideazeme.cz")</f>
        <v>https://lideazeme.cz</v>
      </c>
      <c r="G726" s="3" t="str">
        <f ca="1">IFERROR(__xludf.DUMMYFUNCTION("""COMPUTED_VALUE"""),"outstream low season")</f>
        <v>outstream low season</v>
      </c>
      <c r="H726" s="3">
        <f ca="1">IFERROR(__xludf.DUMMYFUNCTION("""COMPUTED_VALUE"""),7)</f>
        <v>7</v>
      </c>
      <c r="I726" s="5">
        <f ca="1">IFERROR(__xludf.DUMMYFUNCTION("""COMPUTED_VALUE"""),1000)</f>
        <v>1000</v>
      </c>
      <c r="J726" s="5">
        <f ca="1">IFERROR(__xludf.DUMMYFUNCTION("""COMPUTED_VALUE"""),250)</f>
        <v>250</v>
      </c>
      <c r="K726" s="3"/>
      <c r="L726" s="3" t="str">
        <f ca="1">IFERROR(__xludf.DUMMYFUNCTION("""COMPUTED_VALUE"""),"Cost per period")</f>
        <v>Cost per period</v>
      </c>
      <c r="M726" s="3"/>
      <c r="N726" s="3"/>
      <c r="O726" s="3" t="str">
        <f ca="1">IFERROR(__xludf.DUMMYFUNCTION("""COMPUTED_VALUE"""),"1280")</f>
        <v>1280</v>
      </c>
      <c r="P726" s="3" t="str">
        <f ca="1">IFERROR(__xludf.DUMMYFUNCTION("""COMPUTED_VALUE"""),"720")</f>
        <v>720</v>
      </c>
      <c r="Q726" s="3" t="str">
        <f ca="1">IFERROR(__xludf.DUMMYFUNCTION("""COMPUTED_VALUE"""),"16:9")</f>
        <v>16:9</v>
      </c>
      <c r="R726" s="3"/>
      <c r="S726" s="3" t="str">
        <f ca="1">IFERROR(__xludf.DUMMYFUNCTION("""COMPUTED_VALUE"""),"100")</f>
        <v>100</v>
      </c>
      <c r="T726" s="3"/>
      <c r="U726" s="3" t="str">
        <f ca="1">IFERROR(__xludf.DUMMYFUNCTION("""COMPUTED_VALUE"""),"videospot")</f>
        <v>videospot</v>
      </c>
      <c r="V726" s="3"/>
      <c r="W726" s="4" t="str">
        <f ca="1">IFERROR(__xludf.DUMMYFUNCTION("""COMPUTED_VALUE"""),"https://reklama.cncenter.cz/Online/Outstream")</f>
        <v>https://reklama.cncenter.cz/Online/Outstream</v>
      </c>
      <c r="X726" s="3"/>
      <c r="Y726" s="3"/>
      <c r="Z726" s="3" t="str">
        <f ca="1">IFERROR(__xludf.DUMMYFUNCTION("""COMPUTED_VALUE"""),"podklady@cncenter.cz")</f>
        <v>podklady@cncenter.cz</v>
      </c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 t="str">
        <f ca="1">IFERROR(__xludf.DUMMYFUNCTION("""COMPUTED_VALUE"""),"cross-device")</f>
        <v>cross-device</v>
      </c>
      <c r="AO726" s="3"/>
      <c r="AP726" s="3"/>
      <c r="AQ726" s="3"/>
      <c r="AR726" s="3"/>
      <c r="AS726" s="3"/>
      <c r="AT726" s="3"/>
      <c r="AU726" s="3" t="str">
        <f ca="1">IFERROR(__xludf.DUMMYFUNCTION("""COMPUTED_VALUE"""),"outstream")</f>
        <v>outstream</v>
      </c>
    </row>
    <row r="727" spans="1:47" x14ac:dyDescent="0.3">
      <c r="A727" s="3">
        <f ca="1"/>
        <v>2346826</v>
      </c>
      <c r="B727" s="3" t="str">
        <f ca="1"/>
        <v>CZECH NEWS CENTER a. s.</v>
      </c>
      <c r="C727" s="3" t="str">
        <f ca="1">IFERROR(__xludf.DUMMYFUNCTION("""COMPUTED_VALUE"""),"Lidé a země")</f>
        <v>Lidé a země</v>
      </c>
      <c r="D727" s="4" t="str">
        <f ca="1">IFERROR(__xludf.DUMMYFUNCTION("""COMPUTED_VALUE"""),"https://lideazeme.cz")</f>
        <v>https://lideazeme.cz</v>
      </c>
      <c r="E727" s="3" t="str">
        <f ca="1">IFERROR(__xludf.DUMMYFUNCTION("""COMPUTED_VALUE"""),"celý web")</f>
        <v>celý web</v>
      </c>
      <c r="F727" s="4" t="str">
        <f ca="1">IFERROR(__xludf.DUMMYFUNCTION("""COMPUTED_VALUE"""),"https://lideazeme.cz")</f>
        <v>https://lideazeme.cz</v>
      </c>
      <c r="G727" s="3" t="str">
        <f ca="1">IFERROR(__xludf.DUMMYFUNCTION("""COMPUTED_VALUE"""),"PR článek low season")</f>
        <v>PR článek low season</v>
      </c>
      <c r="H727" s="3">
        <f ca="1">IFERROR(__xludf.DUMMYFUNCTION("""COMPUTED_VALUE"""),1)</f>
        <v>1</v>
      </c>
      <c r="I727" s="5">
        <f ca="1">IFERROR(__xludf.DUMMYFUNCTION("""COMPUTED_VALUE"""),1)</f>
        <v>1</v>
      </c>
      <c r="J727" s="5">
        <f ca="1">IFERROR(__xludf.DUMMYFUNCTION("""COMPUTED_VALUE"""),20000)</f>
        <v>20000</v>
      </c>
      <c r="K727" s="3"/>
      <c r="L727" s="3" t="str">
        <f ca="1">IFERROR(__xludf.DUMMYFUNCTION("""COMPUTED_VALUE"""),"Cost per instance")</f>
        <v>Cost per instance</v>
      </c>
      <c r="M727" s="3"/>
      <c r="N727" s="3"/>
      <c r="O727" s="3"/>
      <c r="P727" s="3"/>
      <c r="Q727" s="3"/>
      <c r="R727" s="3"/>
      <c r="S727" s="3" t="str">
        <f ca="1">IFERROR(__xludf.DUMMYFUNCTION("""COMPUTED_VALUE"""),"100")</f>
        <v>100</v>
      </c>
      <c r="T727" s="3"/>
      <c r="U727" s="3" t="str">
        <f ca="1">IFERROR(__xludf.DUMMYFUNCTION("""COMPUTED_VALUE"""),"pr článek")</f>
        <v>pr článek</v>
      </c>
      <c r="V727" s="3"/>
      <c r="W727" s="4" t="str">
        <f ca="1">IFERROR(__xludf.DUMMYFUNCTION("""COMPUTED_VALUE"""),"https://reklama.cncenter.cz/?ads=PR%2520%25C4%258Dl%25C3%25A1nky")</f>
        <v>https://reklama.cncenter.cz/?ads=PR%2520%25C4%258Dl%25C3%25A1nky</v>
      </c>
      <c r="X727" s="3"/>
      <c r="Y727" s="3"/>
      <c r="Z727" s="3" t="str">
        <f ca="1">IFERROR(__xludf.DUMMYFUNCTION("""COMPUTED_VALUE"""),"podklady@cncenter.cz")</f>
        <v>podklady@cncenter.cz</v>
      </c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 t="str">
        <f ca="1">IFERROR(__xludf.DUMMYFUNCTION("""COMPUTED_VALUE"""),"cross-device")</f>
        <v>cross-device</v>
      </c>
      <c r="AO727" s="3"/>
      <c r="AP727" s="3"/>
      <c r="AQ727" s="3"/>
      <c r="AR727" s="3"/>
      <c r="AS727" s="3"/>
      <c r="AT727" s="3"/>
      <c r="AU727" s="3" t="str">
        <f ca="1">IFERROR(__xludf.DUMMYFUNCTION("""COMPUTED_VALUE"""),"PR článek")</f>
        <v>PR článek</v>
      </c>
    </row>
    <row r="728" spans="1:47" x14ac:dyDescent="0.3">
      <c r="A728" s="3">
        <f ca="1"/>
        <v>2346826</v>
      </c>
      <c r="B728" s="3" t="str">
        <f ca="1"/>
        <v>CZECH NEWS CENTER a. s.</v>
      </c>
      <c r="C728" s="3" t="str">
        <f ca="1">IFERROR(__xludf.DUMMYFUNCTION("""COMPUTED_VALUE"""),"Lidé a země")</f>
        <v>Lidé a země</v>
      </c>
      <c r="D728" s="4" t="str">
        <f ca="1">IFERROR(__xludf.DUMMYFUNCTION("""COMPUTED_VALUE"""),"https://lideazeme.cz")</f>
        <v>https://lideazeme.cz</v>
      </c>
      <c r="E728" s="3" t="str">
        <f ca="1">IFERROR(__xludf.DUMMYFUNCTION("""COMPUTED_VALUE"""),"celý web")</f>
        <v>celý web</v>
      </c>
      <c r="F728" s="4" t="str">
        <f ca="1">IFERROR(__xludf.DUMMYFUNCTION("""COMPUTED_VALUE"""),"https://lideazeme.cz")</f>
        <v>https://lideazeme.cz</v>
      </c>
      <c r="G728" s="3" t="str">
        <f ca="1">IFERROR(__xludf.DUMMYFUNCTION("""COMPUTED_VALUE"""),"Prodloužení existující microsite, bez úprav low season")</f>
        <v>Prodloužení existující microsite, bez úprav low season</v>
      </c>
      <c r="H728" s="3">
        <f ca="1">IFERROR(__xludf.DUMMYFUNCTION("""COMPUTED_VALUE"""),1)</f>
        <v>1</v>
      </c>
      <c r="I728" s="5">
        <f ca="1">IFERROR(__xludf.DUMMYFUNCTION("""COMPUTED_VALUE"""),1)</f>
        <v>1</v>
      </c>
      <c r="J728" s="5">
        <f ca="1">IFERROR(__xludf.DUMMYFUNCTION("""COMPUTED_VALUE"""),15000)</f>
        <v>15000</v>
      </c>
      <c r="K728" s="3"/>
      <c r="L728" s="3" t="str">
        <f ca="1">IFERROR(__xludf.DUMMYFUNCTION("""COMPUTED_VALUE"""),"Cost per instance")</f>
        <v>Cost per instance</v>
      </c>
      <c r="M728" s="3"/>
      <c r="N728" s="3"/>
      <c r="O728" s="3"/>
      <c r="P728" s="3"/>
      <c r="Q728" s="3"/>
      <c r="R728" s="3"/>
      <c r="S728" s="3" t="str">
        <f ca="1">IFERROR(__xludf.DUMMYFUNCTION("""COMPUTED_VALUE"""),"100")</f>
        <v>100</v>
      </c>
      <c r="T728" s="3"/>
      <c r="U728" s="3" t="str">
        <f ca="1">IFERROR(__xludf.DUMMYFUNCTION("""COMPUTED_VALUE"""),"microsite")</f>
        <v>microsite</v>
      </c>
      <c r="V728" s="3"/>
      <c r="W728" s="3"/>
      <c r="X728" s="3"/>
      <c r="Y728" s="3"/>
      <c r="Z728" s="3" t="str">
        <f ca="1">IFERROR(__xludf.DUMMYFUNCTION("""COMPUTED_VALUE"""),"podklady@cncenter.cz")</f>
        <v>podklady@cncenter.cz</v>
      </c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 t="str">
        <f ca="1">IFERROR(__xludf.DUMMYFUNCTION("""COMPUTED_VALUE"""),"cross-device")</f>
        <v>cross-device</v>
      </c>
      <c r="AO728" s="3"/>
      <c r="AP728" s="3"/>
      <c r="AQ728" s="3"/>
      <c r="AR728" s="3"/>
      <c r="AS728" s="3"/>
      <c r="AT728" s="3"/>
      <c r="AU728" s="3" t="str">
        <f ca="1">IFERROR(__xludf.DUMMYFUNCTION("""COMPUTED_VALUE"""),"Prodloužení existující microsite, bez úprav")</f>
        <v>Prodloužení existující microsite, bez úprav</v>
      </c>
    </row>
    <row r="729" spans="1:47" x14ac:dyDescent="0.3">
      <c r="A729" s="3">
        <f ca="1"/>
        <v>2346826</v>
      </c>
      <c r="B729" s="3" t="str">
        <f ca="1"/>
        <v>CZECH NEWS CENTER a. s.</v>
      </c>
      <c r="C729" s="3" t="str">
        <f ca="1">IFERROR(__xludf.DUMMYFUNCTION("""COMPUTED_VALUE"""),"Lidé a země")</f>
        <v>Lidé a země</v>
      </c>
      <c r="D729" s="4" t="str">
        <f ca="1">IFERROR(__xludf.DUMMYFUNCTION("""COMPUTED_VALUE"""),"https://lideazeme.cz")</f>
        <v>https://lideazeme.cz</v>
      </c>
      <c r="E729" s="3" t="str">
        <f ca="1">IFERROR(__xludf.DUMMYFUNCTION("""COMPUTED_VALUE"""),"celý web")</f>
        <v>celý web</v>
      </c>
      <c r="F729" s="4" t="str">
        <f ca="1">IFERROR(__xludf.DUMMYFUNCTION("""COMPUTED_VALUE"""),"https://lideazeme.cz")</f>
        <v>https://lideazeme.cz</v>
      </c>
      <c r="G729" s="3" t="str">
        <f ca="1">IFERROR(__xludf.DUMMYFUNCTION("""COMPUTED_VALUE"""),"Prodloužení existující microsite, bez úprav low season")</f>
        <v>Prodloužení existující microsite, bez úprav low season</v>
      </c>
      <c r="H729" s="3">
        <f ca="1">IFERROR(__xludf.DUMMYFUNCTION("""COMPUTED_VALUE"""),1)</f>
        <v>1</v>
      </c>
      <c r="I729" s="5">
        <f ca="1">IFERROR(__xludf.DUMMYFUNCTION("""COMPUTED_VALUE"""),1)</f>
        <v>1</v>
      </c>
      <c r="J729" s="5">
        <f ca="1">IFERROR(__xludf.DUMMYFUNCTION("""COMPUTED_VALUE"""),15000)</f>
        <v>15000</v>
      </c>
      <c r="K729" s="3"/>
      <c r="L729" s="3" t="str">
        <f ca="1">IFERROR(__xludf.DUMMYFUNCTION("""COMPUTED_VALUE"""),"Cost per instance")</f>
        <v>Cost per instance</v>
      </c>
      <c r="M729" s="3"/>
      <c r="N729" s="3"/>
      <c r="O729" s="3"/>
      <c r="P729" s="3"/>
      <c r="Q729" s="3"/>
      <c r="R729" s="3"/>
      <c r="S729" s="3" t="str">
        <f ca="1">IFERROR(__xludf.DUMMYFUNCTION("""COMPUTED_VALUE"""),"100")</f>
        <v>100</v>
      </c>
      <c r="T729" s="3"/>
      <c r="U729" s="3" t="str">
        <f ca="1">IFERROR(__xludf.DUMMYFUNCTION("""COMPUTED_VALUE"""),"microsite")</f>
        <v>microsite</v>
      </c>
      <c r="V729" s="3"/>
      <c r="W729" s="3"/>
      <c r="X729" s="3"/>
      <c r="Y729" s="3"/>
      <c r="Z729" s="3" t="str">
        <f ca="1">IFERROR(__xludf.DUMMYFUNCTION("""COMPUTED_VALUE"""),"podklady@cncenter.cz")</f>
        <v>podklady@cncenter.cz</v>
      </c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 t="str">
        <f ca="1">IFERROR(__xludf.DUMMYFUNCTION("""COMPUTED_VALUE"""),"cross-device")</f>
        <v>cross-device</v>
      </c>
      <c r="AO729" s="3"/>
      <c r="AP729" s="3"/>
      <c r="AQ729" s="3"/>
      <c r="AR729" s="3"/>
      <c r="AS729" s="3"/>
      <c r="AT729" s="3"/>
      <c r="AU729" s="3" t="str">
        <f ca="1">IFERROR(__xludf.DUMMYFUNCTION("""COMPUTED_VALUE"""),"Prodloužení existující microsite, bez úprav")</f>
        <v>Prodloužení existující microsite, bez úprav</v>
      </c>
    </row>
    <row r="730" spans="1:47" x14ac:dyDescent="0.3">
      <c r="A730" s="3">
        <f ca="1"/>
        <v>2346826</v>
      </c>
      <c r="B730" s="3" t="str">
        <f ca="1"/>
        <v>CZECH NEWS CENTER a. s.</v>
      </c>
      <c r="C730" s="3" t="str">
        <f ca="1">IFERROR(__xludf.DUMMYFUNCTION("""COMPUTED_VALUE"""),"Lidé a země")</f>
        <v>Lidé a země</v>
      </c>
      <c r="D730" s="4" t="str">
        <f ca="1">IFERROR(__xludf.DUMMYFUNCTION("""COMPUTED_VALUE"""),"https://lideazeme.cz")</f>
        <v>https://lideazeme.cz</v>
      </c>
      <c r="E730" s="3" t="str">
        <f ca="1">IFERROR(__xludf.DUMMYFUNCTION("""COMPUTED_VALUE"""),"celý web")</f>
        <v>celý web</v>
      </c>
      <c r="F730" s="4" t="str">
        <f ca="1">IFERROR(__xludf.DUMMYFUNCTION("""COMPUTED_VALUE"""),"https://lideazeme.cz")</f>
        <v>https://lideazeme.cz</v>
      </c>
      <c r="G730" s="3" t="str">
        <f ca="1">IFERROR(__xludf.DUMMYFUNCTION("""COMPUTED_VALUE"""),"Prodloužení existující microsite, bez úprav low season")</f>
        <v>Prodloužení existující microsite, bez úprav low season</v>
      </c>
      <c r="H730" s="3">
        <f ca="1">IFERROR(__xludf.DUMMYFUNCTION("""COMPUTED_VALUE"""),1)</f>
        <v>1</v>
      </c>
      <c r="I730" s="5">
        <f ca="1">IFERROR(__xludf.DUMMYFUNCTION("""COMPUTED_VALUE"""),1)</f>
        <v>1</v>
      </c>
      <c r="J730" s="5">
        <f ca="1">IFERROR(__xludf.DUMMYFUNCTION("""COMPUTED_VALUE"""),15000)</f>
        <v>15000</v>
      </c>
      <c r="K730" s="3"/>
      <c r="L730" s="3" t="str">
        <f ca="1">IFERROR(__xludf.DUMMYFUNCTION("""COMPUTED_VALUE"""),"Cost per instance")</f>
        <v>Cost per instance</v>
      </c>
      <c r="M730" s="3"/>
      <c r="N730" s="3"/>
      <c r="O730" s="3"/>
      <c r="P730" s="3"/>
      <c r="Q730" s="3"/>
      <c r="R730" s="3"/>
      <c r="S730" s="3" t="str">
        <f ca="1">IFERROR(__xludf.DUMMYFUNCTION("""COMPUTED_VALUE"""),"100")</f>
        <v>100</v>
      </c>
      <c r="T730" s="3"/>
      <c r="U730" s="3" t="str">
        <f ca="1">IFERROR(__xludf.DUMMYFUNCTION("""COMPUTED_VALUE"""),"microsite")</f>
        <v>microsite</v>
      </c>
      <c r="V730" s="3"/>
      <c r="W730" s="3"/>
      <c r="X730" s="3"/>
      <c r="Y730" s="3"/>
      <c r="Z730" s="3" t="str">
        <f ca="1">IFERROR(__xludf.DUMMYFUNCTION("""COMPUTED_VALUE"""),"podklady@cncenter.cz")</f>
        <v>podklady@cncenter.cz</v>
      </c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 t="str">
        <f ca="1">IFERROR(__xludf.DUMMYFUNCTION("""COMPUTED_VALUE"""),"cross-device")</f>
        <v>cross-device</v>
      </c>
      <c r="AO730" s="3"/>
      <c r="AP730" s="3"/>
      <c r="AQ730" s="3"/>
      <c r="AR730" s="3"/>
      <c r="AS730" s="3"/>
      <c r="AT730" s="3"/>
      <c r="AU730" s="3" t="str">
        <f ca="1">IFERROR(__xludf.DUMMYFUNCTION("""COMPUTED_VALUE"""),"Prodloužení existující microsite, bez úprav")</f>
        <v>Prodloužení existující microsite, bez úprav</v>
      </c>
    </row>
    <row r="731" spans="1:47" x14ac:dyDescent="0.3">
      <c r="A731" s="3">
        <f ca="1"/>
        <v>2346826</v>
      </c>
      <c r="B731" s="3" t="str">
        <f ca="1"/>
        <v>CZECH NEWS CENTER a. s.</v>
      </c>
      <c r="C731" s="3" t="str">
        <f ca="1">IFERROR(__xludf.DUMMYFUNCTION("""COMPUTED_VALUE"""),"Maminka")</f>
        <v>Maminka</v>
      </c>
      <c r="D731" s="4" t="str">
        <f ca="1">IFERROR(__xludf.DUMMYFUNCTION("""COMPUTED_VALUE"""),"https://maminka.cz")</f>
        <v>https://maminka.cz</v>
      </c>
      <c r="E731" s="3" t="str">
        <f ca="1">IFERROR(__xludf.DUMMYFUNCTION("""COMPUTED_VALUE"""),"celý web")</f>
        <v>celý web</v>
      </c>
      <c r="F731" s="4" t="str">
        <f ca="1">IFERROR(__xludf.DUMMYFUNCTION("""COMPUTED_VALUE"""),"https://maminka.cz")</f>
        <v>https://maminka.cz</v>
      </c>
      <c r="G731" s="3" t="str">
        <f ca="1">IFERROR(__xludf.DUMMYFUNCTION("""COMPUTED_VALUE"""),"Advertorial low season")</f>
        <v>Advertorial low season</v>
      </c>
      <c r="H731" s="3">
        <f ca="1">IFERROR(__xludf.DUMMYFUNCTION("""COMPUTED_VALUE"""),1)</f>
        <v>1</v>
      </c>
      <c r="I731" s="5">
        <f ca="1">IFERROR(__xludf.DUMMYFUNCTION("""COMPUTED_VALUE"""),1)</f>
        <v>1</v>
      </c>
      <c r="J731" s="5">
        <f ca="1">IFERROR(__xludf.DUMMYFUNCTION("""COMPUTED_VALUE"""),90000)</f>
        <v>90000</v>
      </c>
      <c r="K731" s="3"/>
      <c r="L731" s="3" t="str">
        <f ca="1">IFERROR(__xludf.DUMMYFUNCTION("""COMPUTED_VALUE"""),"Cost per instance")</f>
        <v>Cost per instance</v>
      </c>
      <c r="M731" s="3"/>
      <c r="N731" s="3"/>
      <c r="O731" s="3"/>
      <c r="P731" s="3"/>
      <c r="Q731" s="3"/>
      <c r="R731" s="3"/>
      <c r="S731" s="3" t="str">
        <f ca="1">IFERROR(__xludf.DUMMYFUNCTION("""COMPUTED_VALUE"""),"100")</f>
        <v>100</v>
      </c>
      <c r="T731" s="3"/>
      <c r="U731" s="3" t="str">
        <f ca="1">IFERROR(__xludf.DUMMYFUNCTION("""COMPUTED_VALUE"""),"pr článek")</f>
        <v>pr článek</v>
      </c>
      <c r="V731" s="3"/>
      <c r="W731" s="3"/>
      <c r="X731" s="3"/>
      <c r="Y731" s="3"/>
      <c r="Z731" s="3" t="str">
        <f ca="1">IFERROR(__xludf.DUMMYFUNCTION("""COMPUTED_VALUE"""),"podklady@cncenter.cz")</f>
        <v>podklady@cncenter.cz</v>
      </c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 t="str">
        <f ca="1">IFERROR(__xludf.DUMMYFUNCTION("""COMPUTED_VALUE"""),"cross-device")</f>
        <v>cross-device</v>
      </c>
      <c r="AO731" s="3"/>
      <c r="AP731" s="3"/>
      <c r="AQ731" s="3"/>
      <c r="AR731" s="3"/>
      <c r="AS731" s="3"/>
      <c r="AT731" s="3"/>
      <c r="AU731" s="3" t="str">
        <f ca="1">IFERROR(__xludf.DUMMYFUNCTION("""COMPUTED_VALUE"""),"Advertorial")</f>
        <v>Advertorial</v>
      </c>
    </row>
    <row r="732" spans="1:47" x14ac:dyDescent="0.3">
      <c r="A732" s="3">
        <f ca="1"/>
        <v>2346826</v>
      </c>
      <c r="B732" s="3" t="str">
        <f ca="1"/>
        <v>CZECH NEWS CENTER a. s.</v>
      </c>
      <c r="C732" s="3" t="str">
        <f ca="1">IFERROR(__xludf.DUMMYFUNCTION("""COMPUTED_VALUE"""),"Maminka")</f>
        <v>Maminka</v>
      </c>
      <c r="D732" s="4" t="str">
        <f ca="1">IFERROR(__xludf.DUMMYFUNCTION("""COMPUTED_VALUE"""),"https://maminka.cz")</f>
        <v>https://maminka.cz</v>
      </c>
      <c r="E732" s="3" t="str">
        <f ca="1">IFERROR(__xludf.DUMMYFUNCTION("""COMPUTED_VALUE"""),"celý web")</f>
        <v>celý web</v>
      </c>
      <c r="F732" s="4" t="str">
        <f ca="1">IFERROR(__xludf.DUMMYFUNCTION("""COMPUTED_VALUE"""),"https://maminka.cz")</f>
        <v>https://maminka.cz</v>
      </c>
      <c r="G732" s="3" t="str">
        <f ca="1">IFERROR(__xludf.DUMMYFUNCTION("""COMPUTED_VALUE"""),"billboard bottom low season")</f>
        <v>billboard bottom low season</v>
      </c>
      <c r="H732" s="3">
        <f ca="1">IFERROR(__xludf.DUMMYFUNCTION("""COMPUTED_VALUE"""),7)</f>
        <v>7</v>
      </c>
      <c r="I732" s="5">
        <f ca="1">IFERROR(__xludf.DUMMYFUNCTION("""COMPUTED_VALUE"""),1000)</f>
        <v>1000</v>
      </c>
      <c r="J732" s="5">
        <f ca="1">IFERROR(__xludf.DUMMYFUNCTION("""COMPUTED_VALUE"""),240)</f>
        <v>240</v>
      </c>
      <c r="K732" s="3"/>
      <c r="L732" s="3" t="str">
        <f ca="1">IFERROR(__xludf.DUMMYFUNCTION("""COMPUTED_VALUE"""),"Cost per period")</f>
        <v>Cost per period</v>
      </c>
      <c r="M732" s="3"/>
      <c r="N732" s="3"/>
      <c r="O732" s="3" t="str">
        <f ca="1">IFERROR(__xludf.DUMMYFUNCTION("""COMPUTED_VALUE"""),"970")</f>
        <v>970</v>
      </c>
      <c r="P732" s="3" t="str">
        <f ca="1">IFERROR(__xludf.DUMMYFUNCTION("""COMPUTED_VALUE"""),"250")</f>
        <v>250</v>
      </c>
      <c r="Q732" s="3" t="str">
        <f ca="1">IFERROR(__xludf.DUMMYFUNCTION("""COMPUTED_VALUE"""),"970x250")</f>
        <v>970x250</v>
      </c>
      <c r="R732" s="3"/>
      <c r="S732" s="3" t="str">
        <f ca="1">IFERROR(__xludf.DUMMYFUNCTION("""COMPUTED_VALUE"""),"100 (200 - HTML5)")</f>
        <v>100 (200 - HTML5)</v>
      </c>
      <c r="T732" s="3"/>
      <c r="U732" s="3" t="str">
        <f ca="1">IFERROR(__xludf.DUMMYFUNCTION("""COMPUTED_VALUE"""),"banner standard")</f>
        <v>banner standard</v>
      </c>
      <c r="V732" s="3"/>
      <c r="W732" s="4" t="str">
        <f ca="1">IFERROR(__xludf.DUMMYFUNCTION("""COMPUTED_VALUE"""),"https://reklama.cncenter.cz/Online/billboard-bottom")</f>
        <v>https://reklama.cncenter.cz/Online/billboard-bottom</v>
      </c>
      <c r="X732" s="3"/>
      <c r="Y732" s="3"/>
      <c r="Z732" s="3" t="str">
        <f ca="1">IFERROR(__xludf.DUMMYFUNCTION("""COMPUTED_VALUE"""),"podklady@cncenter.cz")</f>
        <v>podklady@cncenter.cz</v>
      </c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 t="str">
        <f ca="1">IFERROR(__xludf.DUMMYFUNCTION("""COMPUTED_VALUE"""),"desktop")</f>
        <v>desktop</v>
      </c>
      <c r="AO732" s="3"/>
      <c r="AP732" s="3"/>
      <c r="AQ732" s="3"/>
      <c r="AR732" s="3"/>
      <c r="AS732" s="3"/>
      <c r="AT732" s="3"/>
      <c r="AU732" s="3" t="str">
        <f ca="1">IFERROR(__xludf.DUMMYFUNCTION("""COMPUTED_VALUE"""),"billboard bottom")</f>
        <v>billboard bottom</v>
      </c>
    </row>
    <row r="733" spans="1:47" x14ac:dyDescent="0.3">
      <c r="A733" s="3">
        <f ca="1"/>
        <v>2346826</v>
      </c>
      <c r="B733" s="3" t="str">
        <f ca="1"/>
        <v>CZECH NEWS CENTER a. s.</v>
      </c>
      <c r="C733" s="3" t="str">
        <f ca="1">IFERROR(__xludf.DUMMYFUNCTION("""COMPUTED_VALUE"""),"Maminka")</f>
        <v>Maminka</v>
      </c>
      <c r="D733" s="4" t="str">
        <f ca="1">IFERROR(__xludf.DUMMYFUNCTION("""COMPUTED_VALUE"""),"https://maminka.cz")</f>
        <v>https://maminka.cz</v>
      </c>
      <c r="E733" s="3" t="str">
        <f ca="1">IFERROR(__xludf.DUMMYFUNCTION("""COMPUTED_VALUE"""),"celý web")</f>
        <v>celý web</v>
      </c>
      <c r="F733" s="4" t="str">
        <f ca="1">IFERROR(__xludf.DUMMYFUNCTION("""COMPUTED_VALUE"""),"https://maminka.cz")</f>
        <v>https://maminka.cz</v>
      </c>
      <c r="G733" s="3" t="str">
        <f ca="1">IFERROR(__xludf.DUMMYFUNCTION("""COMPUTED_VALUE"""),"branding cross-device low season")</f>
        <v>branding cross-device low season</v>
      </c>
      <c r="H733" s="3">
        <f ca="1">IFERROR(__xludf.DUMMYFUNCTION("""COMPUTED_VALUE"""),7)</f>
        <v>7</v>
      </c>
      <c r="I733" s="5">
        <f ca="1">IFERROR(__xludf.DUMMYFUNCTION("""COMPUTED_VALUE"""),1000)</f>
        <v>1000</v>
      </c>
      <c r="J733" s="5">
        <f ca="1">IFERROR(__xludf.DUMMYFUNCTION("""COMPUTED_VALUE"""),300)</f>
        <v>300</v>
      </c>
      <c r="K733" s="3"/>
      <c r="L733" s="3" t="str">
        <f ca="1">IFERROR(__xludf.DUMMYFUNCTION("""COMPUTED_VALUE"""),"Cost per period")</f>
        <v>Cost per period</v>
      </c>
      <c r="M733" s="3"/>
      <c r="N733" s="3"/>
      <c r="O733" s="3" t="str">
        <f ca="1">IFERROR(__xludf.DUMMYFUNCTION("""COMPUTED_VALUE"""),"2000")</f>
        <v>2000</v>
      </c>
      <c r="P733" s="3" t="str">
        <f ca="1">IFERROR(__xludf.DUMMYFUNCTION("""COMPUTED_VALUE"""),"1400")</f>
        <v>1400</v>
      </c>
      <c r="Q733" s="3" t="str">
        <f ca="1">IFERROR(__xludf.DUMMYFUNCTION("""COMPUTED_VALUE"""),"2000x1400 + 600x1080")</f>
        <v>2000x1400 + 600x1080</v>
      </c>
      <c r="R733" s="3"/>
      <c r="S733" s="3" t="str">
        <f ca="1">IFERROR(__xludf.DUMMYFUNCTION("""COMPUTED_VALUE"""),"500 (600 - HTLM5)")</f>
        <v>500 (600 - HTLM5)</v>
      </c>
      <c r="T733" s="3"/>
      <c r="U733" s="3" t="str">
        <f ca="1">IFERROR(__xludf.DUMMYFUNCTION("""COMPUTED_VALUE"""),"banner standard")</f>
        <v>banner standard</v>
      </c>
      <c r="V733" s="3"/>
      <c r="W733" s="4" t="str">
        <f ca="1">IFERROR(__xludf.DUMMYFUNCTION("""COMPUTED_VALUE"""),"https://reklama.cncenter.cz/Online/branding-cross-device")</f>
        <v>https://reklama.cncenter.cz/Online/branding-cross-device</v>
      </c>
      <c r="X733" s="3"/>
      <c r="Y733" s="3"/>
      <c r="Z733" s="3" t="str">
        <f ca="1">IFERROR(__xludf.DUMMYFUNCTION("""COMPUTED_VALUE"""),"podklady@cncenter.cz")</f>
        <v>podklady@cncenter.cz</v>
      </c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 t="str">
        <f ca="1">IFERROR(__xludf.DUMMYFUNCTION("""COMPUTED_VALUE"""),"cross-device")</f>
        <v>cross-device</v>
      </c>
      <c r="AO733" s="3"/>
      <c r="AP733" s="3"/>
      <c r="AQ733" s="3"/>
      <c r="AR733" s="3"/>
      <c r="AS733" s="3"/>
      <c r="AT733" s="3"/>
      <c r="AU733" s="3" t="str">
        <f ca="1">IFERROR(__xludf.DUMMYFUNCTION("""COMPUTED_VALUE"""),"branding cross-device")</f>
        <v>branding cross-device</v>
      </c>
    </row>
    <row r="734" spans="1:47" x14ac:dyDescent="0.3">
      <c r="A734" s="3">
        <f ca="1"/>
        <v>2346826</v>
      </c>
      <c r="B734" s="3" t="str">
        <f ca="1"/>
        <v>CZECH NEWS CENTER a. s.</v>
      </c>
      <c r="C734" s="3" t="str">
        <f ca="1">IFERROR(__xludf.DUMMYFUNCTION("""COMPUTED_VALUE"""),"Maminka")</f>
        <v>Maminka</v>
      </c>
      <c r="D734" s="4" t="str">
        <f ca="1">IFERROR(__xludf.DUMMYFUNCTION("""COMPUTED_VALUE"""),"https://maminka.cz")</f>
        <v>https://maminka.cz</v>
      </c>
      <c r="E734" s="3" t="str">
        <f ca="1">IFERROR(__xludf.DUMMYFUNCTION("""COMPUTED_VALUE"""),"celý web")</f>
        <v>celý web</v>
      </c>
      <c r="F734" s="4" t="str">
        <f ca="1">IFERROR(__xludf.DUMMYFUNCTION("""COMPUTED_VALUE"""),"https://maminka.cz")</f>
        <v>https://maminka.cz</v>
      </c>
      <c r="G734" s="3" t="str">
        <f ca="1">IFERROR(__xludf.DUMMYFUNCTION("""COMPUTED_VALUE"""),"branding low season")</f>
        <v>branding low season</v>
      </c>
      <c r="H734" s="3">
        <f ca="1">IFERROR(__xludf.DUMMYFUNCTION("""COMPUTED_VALUE"""),7)</f>
        <v>7</v>
      </c>
      <c r="I734" s="5">
        <f ca="1">IFERROR(__xludf.DUMMYFUNCTION("""COMPUTED_VALUE"""),1000)</f>
        <v>1000</v>
      </c>
      <c r="J734" s="5">
        <f ca="1">IFERROR(__xludf.DUMMYFUNCTION("""COMPUTED_VALUE"""),490)</f>
        <v>490</v>
      </c>
      <c r="K734" s="3"/>
      <c r="L734" s="3" t="str">
        <f ca="1">IFERROR(__xludf.DUMMYFUNCTION("""COMPUTED_VALUE"""),"Cost per period")</f>
        <v>Cost per period</v>
      </c>
      <c r="M734" s="3"/>
      <c r="N734" s="3"/>
      <c r="O734" s="3" t="str">
        <f ca="1">IFERROR(__xludf.DUMMYFUNCTION("""COMPUTED_VALUE"""),"2000")</f>
        <v>2000</v>
      </c>
      <c r="P734" s="3" t="str">
        <f ca="1">IFERROR(__xludf.DUMMYFUNCTION("""COMPUTED_VALUE"""),"1400")</f>
        <v>1400</v>
      </c>
      <c r="Q734" s="3" t="str">
        <f ca="1">IFERROR(__xludf.DUMMYFUNCTION("""COMPUTED_VALUE"""),"2000x1400")</f>
        <v>2000x1400</v>
      </c>
      <c r="R734" s="3"/>
      <c r="S734" s="3" t="str">
        <f ca="1">IFERROR(__xludf.DUMMYFUNCTION("""COMPUTED_VALUE"""),"500 + 200 (600+200 HTML5)")</f>
        <v>500 + 200 (600+200 HTML5)</v>
      </c>
      <c r="T734" s="3"/>
      <c r="U734" s="3" t="str">
        <f ca="1">IFERROR(__xludf.DUMMYFUNCTION("""COMPUTED_VALUE"""),"banner standard")</f>
        <v>banner standard</v>
      </c>
      <c r="V734" s="3"/>
      <c r="W734" s="4" t="str">
        <f ca="1">IFERROR(__xludf.DUMMYFUNCTION("""COMPUTED_VALUE"""),"https://reklama.cncenter.cz/Online/branding")</f>
        <v>https://reklama.cncenter.cz/Online/branding</v>
      </c>
      <c r="X734" s="3"/>
      <c r="Y734" s="3"/>
      <c r="Z734" s="3" t="str">
        <f ca="1">IFERROR(__xludf.DUMMYFUNCTION("""COMPUTED_VALUE"""),"podklady@cncenter.cz")</f>
        <v>podklady@cncenter.cz</v>
      </c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 t="str">
        <f ca="1">IFERROR(__xludf.DUMMYFUNCTION("""COMPUTED_VALUE"""),"desktop")</f>
        <v>desktop</v>
      </c>
      <c r="AO734" s="3"/>
      <c r="AP734" s="3"/>
      <c r="AQ734" s="3"/>
      <c r="AR734" s="3"/>
      <c r="AS734" s="3"/>
      <c r="AT734" s="3"/>
      <c r="AU734" s="3" t="str">
        <f ca="1">IFERROR(__xludf.DUMMYFUNCTION("""COMPUTED_VALUE"""),"branding")</f>
        <v>branding</v>
      </c>
    </row>
    <row r="735" spans="1:47" x14ac:dyDescent="0.3">
      <c r="A735" s="3">
        <f ca="1"/>
        <v>2346826</v>
      </c>
      <c r="B735" s="3" t="str">
        <f ca="1"/>
        <v>CZECH NEWS CENTER a. s.</v>
      </c>
      <c r="C735" s="3" t="str">
        <f ca="1">IFERROR(__xludf.DUMMYFUNCTION("""COMPUTED_VALUE"""),"Maminka")</f>
        <v>Maminka</v>
      </c>
      <c r="D735" s="4" t="str">
        <f ca="1">IFERROR(__xludf.DUMMYFUNCTION("""COMPUTED_VALUE"""),"https://maminka.cz")</f>
        <v>https://maminka.cz</v>
      </c>
      <c r="E735" s="3" t="str">
        <f ca="1">IFERROR(__xludf.DUMMYFUNCTION("""COMPUTED_VALUE"""),"celý web")</f>
        <v>celý web</v>
      </c>
      <c r="F735" s="4" t="str">
        <f ca="1">IFERROR(__xludf.DUMMYFUNCTION("""COMPUTED_VALUE"""),"https://maminka.cz")</f>
        <v>https://maminka.cz</v>
      </c>
      <c r="G735" s="3" t="str">
        <f ca="1">IFERROR(__xludf.DUMMYFUNCTION("""COMPUTED_VALUE"""),"cílený billboard bottom low season")</f>
        <v>cílený billboard bottom low season</v>
      </c>
      <c r="H735" s="3">
        <f ca="1">IFERROR(__xludf.DUMMYFUNCTION("""COMPUTED_VALUE"""),7)</f>
        <v>7</v>
      </c>
      <c r="I735" s="5">
        <f ca="1">IFERROR(__xludf.DUMMYFUNCTION("""COMPUTED_VALUE"""),1000)</f>
        <v>1000</v>
      </c>
      <c r="J735" s="5">
        <f ca="1">IFERROR(__xludf.DUMMYFUNCTION("""COMPUTED_VALUE"""),288)</f>
        <v>288</v>
      </c>
      <c r="K735" s="3"/>
      <c r="L735" s="3" t="str">
        <f ca="1">IFERROR(__xludf.DUMMYFUNCTION("""COMPUTED_VALUE"""),"Cost per period")</f>
        <v>Cost per period</v>
      </c>
      <c r="M735" s="3"/>
      <c r="N735" s="3"/>
      <c r="O735" s="3" t="str">
        <f ca="1">IFERROR(__xludf.DUMMYFUNCTION("""COMPUTED_VALUE"""),"970")</f>
        <v>970</v>
      </c>
      <c r="P735" s="3" t="str">
        <f ca="1">IFERROR(__xludf.DUMMYFUNCTION("""COMPUTED_VALUE"""),"250")</f>
        <v>250</v>
      </c>
      <c r="Q735" s="3" t="str">
        <f ca="1">IFERROR(__xludf.DUMMYFUNCTION("""COMPUTED_VALUE"""),"970x250")</f>
        <v>970x250</v>
      </c>
      <c r="R735" s="3"/>
      <c r="S735" s="3" t="str">
        <f ca="1">IFERROR(__xludf.DUMMYFUNCTION("""COMPUTED_VALUE"""),"100 (200 - HTML5)")</f>
        <v>100 (200 - HTML5)</v>
      </c>
      <c r="T735" s="3"/>
      <c r="U735" s="3" t="str">
        <f ca="1">IFERROR(__xludf.DUMMYFUNCTION("""COMPUTED_VALUE"""),"banner standard")</f>
        <v>banner standard</v>
      </c>
      <c r="V735" s="3"/>
      <c r="W735" s="4" t="str">
        <f ca="1">IFERROR(__xludf.DUMMYFUNCTION("""COMPUTED_VALUE"""),"https://reklama.cncenter.cz/Online/billboard-bottom")</f>
        <v>https://reklama.cncenter.cz/Online/billboard-bottom</v>
      </c>
      <c r="X735" s="3"/>
      <c r="Y735" s="3"/>
      <c r="Z735" s="3" t="str">
        <f ca="1">IFERROR(__xludf.DUMMYFUNCTION("""COMPUTED_VALUE"""),"podklady@cncenter.cz")</f>
        <v>podklady@cncenter.cz</v>
      </c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 t="str">
        <f ca="1">IFERROR(__xludf.DUMMYFUNCTION("""COMPUTED_VALUE"""),"desktop")</f>
        <v>desktop</v>
      </c>
      <c r="AO735" s="3"/>
      <c r="AP735" s="3"/>
      <c r="AQ735" s="3"/>
      <c r="AR735" s="3"/>
      <c r="AS735" s="3"/>
      <c r="AT735" s="3"/>
      <c r="AU735" s="3" t="str">
        <f ca="1">IFERROR(__xludf.DUMMYFUNCTION("""COMPUTED_VALUE"""),"cílený billboard bottom")</f>
        <v>cílený billboard bottom</v>
      </c>
    </row>
    <row r="736" spans="1:47" x14ac:dyDescent="0.3">
      <c r="A736" s="3">
        <f ca="1"/>
        <v>2346826</v>
      </c>
      <c r="B736" s="3" t="str">
        <f ca="1"/>
        <v>CZECH NEWS CENTER a. s.</v>
      </c>
      <c r="C736" s="3" t="str">
        <f ca="1">IFERROR(__xludf.DUMMYFUNCTION("""COMPUTED_VALUE"""),"Maminka")</f>
        <v>Maminka</v>
      </c>
      <c r="D736" s="4" t="str">
        <f ca="1">IFERROR(__xludf.DUMMYFUNCTION("""COMPUTED_VALUE"""),"https://maminka.cz")</f>
        <v>https://maminka.cz</v>
      </c>
      <c r="E736" s="3" t="str">
        <f ca="1">IFERROR(__xludf.DUMMYFUNCTION("""COMPUTED_VALUE"""),"celý web")</f>
        <v>celý web</v>
      </c>
      <c r="F736" s="4" t="str">
        <f ca="1">IFERROR(__xludf.DUMMYFUNCTION("""COMPUTED_VALUE"""),"https://maminka.cz")</f>
        <v>https://maminka.cz</v>
      </c>
      <c r="G736" s="3" t="str">
        <f ca="1">IFERROR(__xludf.DUMMYFUNCTION("""COMPUTED_VALUE"""),"cílený branding cross-device low season")</f>
        <v>cílený branding cross-device low season</v>
      </c>
      <c r="H736" s="3">
        <f ca="1">IFERROR(__xludf.DUMMYFUNCTION("""COMPUTED_VALUE"""),7)</f>
        <v>7</v>
      </c>
      <c r="I736" s="5">
        <f ca="1">IFERROR(__xludf.DUMMYFUNCTION("""COMPUTED_VALUE"""),1000)</f>
        <v>1000</v>
      </c>
      <c r="J736" s="5">
        <f ca="1">IFERROR(__xludf.DUMMYFUNCTION("""COMPUTED_VALUE"""),360)</f>
        <v>360</v>
      </c>
      <c r="K736" s="3"/>
      <c r="L736" s="3" t="str">
        <f ca="1">IFERROR(__xludf.DUMMYFUNCTION("""COMPUTED_VALUE"""),"Cost per period")</f>
        <v>Cost per period</v>
      </c>
      <c r="M736" s="3"/>
      <c r="N736" s="3"/>
      <c r="O736" s="3" t="str">
        <f ca="1">IFERROR(__xludf.DUMMYFUNCTION("""COMPUTED_VALUE"""),"2000")</f>
        <v>2000</v>
      </c>
      <c r="P736" s="3" t="str">
        <f ca="1">IFERROR(__xludf.DUMMYFUNCTION("""COMPUTED_VALUE"""),"1400")</f>
        <v>1400</v>
      </c>
      <c r="Q736" s="3" t="str">
        <f ca="1">IFERROR(__xludf.DUMMYFUNCTION("""COMPUTED_VALUE"""),"2000x1400 + 600x1080")</f>
        <v>2000x1400 + 600x1080</v>
      </c>
      <c r="R736" s="3"/>
      <c r="S736" s="3" t="str">
        <f ca="1">IFERROR(__xludf.DUMMYFUNCTION("""COMPUTED_VALUE"""),"500 (600 - HTLM5)")</f>
        <v>500 (600 - HTLM5)</v>
      </c>
      <c r="T736" s="3"/>
      <c r="U736" s="3" t="str">
        <f ca="1">IFERROR(__xludf.DUMMYFUNCTION("""COMPUTED_VALUE"""),"banner standard")</f>
        <v>banner standard</v>
      </c>
      <c r="V736" s="3"/>
      <c r="W736" s="4" t="str">
        <f ca="1">IFERROR(__xludf.DUMMYFUNCTION("""COMPUTED_VALUE"""),"https://reklama.cncenter.cz/Online/branding-cross-device")</f>
        <v>https://reklama.cncenter.cz/Online/branding-cross-device</v>
      </c>
      <c r="X736" s="3"/>
      <c r="Y736" s="3"/>
      <c r="Z736" s="3" t="str">
        <f ca="1">IFERROR(__xludf.DUMMYFUNCTION("""COMPUTED_VALUE"""),"podklady@cncenter.cz")</f>
        <v>podklady@cncenter.cz</v>
      </c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 t="str">
        <f ca="1">IFERROR(__xludf.DUMMYFUNCTION("""COMPUTED_VALUE"""),"cross-device")</f>
        <v>cross-device</v>
      </c>
      <c r="AO736" s="3"/>
      <c r="AP736" s="3"/>
      <c r="AQ736" s="3"/>
      <c r="AR736" s="3"/>
      <c r="AS736" s="3"/>
      <c r="AT736" s="3"/>
      <c r="AU736" s="3" t="str">
        <f ca="1">IFERROR(__xludf.DUMMYFUNCTION("""COMPUTED_VALUE"""),"cílený branding cross-device")</f>
        <v>cílený branding cross-device</v>
      </c>
    </row>
    <row r="737" spans="1:47" x14ac:dyDescent="0.3">
      <c r="A737" s="3">
        <f ca="1"/>
        <v>2346826</v>
      </c>
      <c r="B737" s="3" t="str">
        <f ca="1"/>
        <v>CZECH NEWS CENTER a. s.</v>
      </c>
      <c r="C737" s="3" t="str">
        <f ca="1">IFERROR(__xludf.DUMMYFUNCTION("""COMPUTED_VALUE"""),"Maminka")</f>
        <v>Maminka</v>
      </c>
      <c r="D737" s="4" t="str">
        <f ca="1">IFERROR(__xludf.DUMMYFUNCTION("""COMPUTED_VALUE"""),"https://maminka.cz")</f>
        <v>https://maminka.cz</v>
      </c>
      <c r="E737" s="3" t="str">
        <f ca="1">IFERROR(__xludf.DUMMYFUNCTION("""COMPUTED_VALUE"""),"celý web")</f>
        <v>celý web</v>
      </c>
      <c r="F737" s="4" t="str">
        <f ca="1">IFERROR(__xludf.DUMMYFUNCTION("""COMPUTED_VALUE"""),"https://maminka.cz")</f>
        <v>https://maminka.cz</v>
      </c>
      <c r="G737" s="3" t="str">
        <f ca="1">IFERROR(__xludf.DUMMYFUNCTION("""COMPUTED_VALUE"""),"cílený branding low season")</f>
        <v>cílený branding low season</v>
      </c>
      <c r="H737" s="3">
        <f ca="1">IFERROR(__xludf.DUMMYFUNCTION("""COMPUTED_VALUE"""),7)</f>
        <v>7</v>
      </c>
      <c r="I737" s="5">
        <f ca="1">IFERROR(__xludf.DUMMYFUNCTION("""COMPUTED_VALUE"""),1000)</f>
        <v>1000</v>
      </c>
      <c r="J737" s="5">
        <f ca="1">IFERROR(__xludf.DUMMYFUNCTION("""COMPUTED_VALUE"""),588)</f>
        <v>588</v>
      </c>
      <c r="K737" s="3"/>
      <c r="L737" s="3" t="str">
        <f ca="1">IFERROR(__xludf.DUMMYFUNCTION("""COMPUTED_VALUE"""),"Cost per period")</f>
        <v>Cost per period</v>
      </c>
      <c r="M737" s="3"/>
      <c r="N737" s="3"/>
      <c r="O737" s="3" t="str">
        <f ca="1">IFERROR(__xludf.DUMMYFUNCTION("""COMPUTED_VALUE"""),"2000")</f>
        <v>2000</v>
      </c>
      <c r="P737" s="3" t="str">
        <f ca="1">IFERROR(__xludf.DUMMYFUNCTION("""COMPUTED_VALUE"""),"1400")</f>
        <v>1400</v>
      </c>
      <c r="Q737" s="3" t="str">
        <f ca="1">IFERROR(__xludf.DUMMYFUNCTION("""COMPUTED_VALUE"""),"2000x1400")</f>
        <v>2000x1400</v>
      </c>
      <c r="R737" s="3"/>
      <c r="S737" s="3" t="str">
        <f ca="1">IFERROR(__xludf.DUMMYFUNCTION("""COMPUTED_VALUE"""),"500 + 200 (600+200 HTML5)")</f>
        <v>500 + 200 (600+200 HTML5)</v>
      </c>
      <c r="T737" s="3"/>
      <c r="U737" s="3" t="str">
        <f ca="1">IFERROR(__xludf.DUMMYFUNCTION("""COMPUTED_VALUE"""),"banner standard")</f>
        <v>banner standard</v>
      </c>
      <c r="V737" s="3"/>
      <c r="W737" s="4" t="str">
        <f ca="1">IFERROR(__xludf.DUMMYFUNCTION("""COMPUTED_VALUE"""),"https://reklama.cncenter.cz/Online/branding")</f>
        <v>https://reklama.cncenter.cz/Online/branding</v>
      </c>
      <c r="X737" s="3"/>
      <c r="Y737" s="3"/>
      <c r="Z737" s="3" t="str">
        <f ca="1">IFERROR(__xludf.DUMMYFUNCTION("""COMPUTED_VALUE"""),"podklady@cncenter.cz")</f>
        <v>podklady@cncenter.cz</v>
      </c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 t="str">
        <f ca="1">IFERROR(__xludf.DUMMYFUNCTION("""COMPUTED_VALUE"""),"desktop")</f>
        <v>desktop</v>
      </c>
      <c r="AO737" s="3"/>
      <c r="AP737" s="3"/>
      <c r="AQ737" s="3"/>
      <c r="AR737" s="3"/>
      <c r="AS737" s="3"/>
      <c r="AT737" s="3"/>
      <c r="AU737" s="3" t="str">
        <f ca="1">IFERROR(__xludf.DUMMYFUNCTION("""COMPUTED_VALUE"""),"cílený branding")</f>
        <v>cílený branding</v>
      </c>
    </row>
    <row r="738" spans="1:47" x14ac:dyDescent="0.3">
      <c r="A738" s="3">
        <f ca="1"/>
        <v>2346826</v>
      </c>
      <c r="B738" s="3" t="str">
        <f ca="1"/>
        <v>CZECH NEWS CENTER a. s.</v>
      </c>
      <c r="C738" s="3" t="str">
        <f ca="1">IFERROR(__xludf.DUMMYFUNCTION("""COMPUTED_VALUE"""),"Maminka")</f>
        <v>Maminka</v>
      </c>
      <c r="D738" s="4" t="str">
        <f ca="1">IFERROR(__xludf.DUMMYFUNCTION("""COMPUTED_VALUE"""),"https://maminka.cz")</f>
        <v>https://maminka.cz</v>
      </c>
      <c r="E738" s="3" t="str">
        <f ca="1">IFERROR(__xludf.DUMMYFUNCTION("""COMPUTED_VALUE"""),"celý web")</f>
        <v>celý web</v>
      </c>
      <c r="F738" s="4" t="str">
        <f ca="1">IFERROR(__xludf.DUMMYFUNCTION("""COMPUTED_VALUE"""),"https://maminka.cz")</f>
        <v>https://maminka.cz</v>
      </c>
      <c r="G738" s="3" t="str">
        <f ca="1">IFERROR(__xludf.DUMMYFUNCTION("""COMPUTED_VALUE"""),"cílený double skyscraper low season")</f>
        <v>cílený double skyscraper low season</v>
      </c>
      <c r="H738" s="3">
        <f ca="1">IFERROR(__xludf.DUMMYFUNCTION("""COMPUTED_VALUE"""),7)</f>
        <v>7</v>
      </c>
      <c r="I738" s="5">
        <f ca="1">IFERROR(__xludf.DUMMYFUNCTION("""COMPUTED_VALUE"""),1000)</f>
        <v>1000</v>
      </c>
      <c r="J738" s="5">
        <f ca="1">IFERROR(__xludf.DUMMYFUNCTION("""COMPUTED_VALUE"""),228)</f>
        <v>228</v>
      </c>
      <c r="K738" s="3"/>
      <c r="L738" s="3" t="str">
        <f ca="1">IFERROR(__xludf.DUMMYFUNCTION("""COMPUTED_VALUE"""),"Cost per period")</f>
        <v>Cost per period</v>
      </c>
      <c r="M738" s="3"/>
      <c r="N738" s="3"/>
      <c r="O738" s="3" t="str">
        <f ca="1">IFERROR(__xludf.DUMMYFUNCTION("""COMPUTED_VALUE"""),"300")</f>
        <v>300</v>
      </c>
      <c r="P738" s="3" t="str">
        <f ca="1">IFERROR(__xludf.DUMMYFUNCTION("""COMPUTED_VALUE"""),"600")</f>
        <v>600</v>
      </c>
      <c r="Q738" s="3" t="str">
        <f ca="1">IFERROR(__xludf.DUMMYFUNCTION("""COMPUTED_VALUE"""),"300x600")</f>
        <v>300x600</v>
      </c>
      <c r="R738" s="3"/>
      <c r="S738" s="3" t="str">
        <f ca="1">IFERROR(__xludf.DUMMYFUNCTION("""COMPUTED_VALUE"""),"100 (200 - HTML5)")</f>
        <v>100 (200 - HTML5)</v>
      </c>
      <c r="T738" s="3"/>
      <c r="U738" s="3" t="str">
        <f ca="1">IFERROR(__xludf.DUMMYFUNCTION("""COMPUTED_VALUE"""),"banner standard")</f>
        <v>banner standard</v>
      </c>
      <c r="V738" s="3"/>
      <c r="W738" s="4" t="str">
        <f ca="1">IFERROR(__xludf.DUMMYFUNCTION("""COMPUTED_VALUE"""),"https://reklama.cncenter.cz/Online/double-skyscraper")</f>
        <v>https://reklama.cncenter.cz/Online/double-skyscraper</v>
      </c>
      <c r="X738" s="3"/>
      <c r="Y738" s="3"/>
      <c r="Z738" s="3" t="str">
        <f ca="1">IFERROR(__xludf.DUMMYFUNCTION("""COMPUTED_VALUE"""),"podklady@cncenter.cz")</f>
        <v>podklady@cncenter.cz</v>
      </c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 t="str">
        <f ca="1">IFERROR(__xludf.DUMMYFUNCTION("""COMPUTED_VALUE"""),"desktop")</f>
        <v>desktop</v>
      </c>
      <c r="AO738" s="3"/>
      <c r="AP738" s="3"/>
      <c r="AQ738" s="3"/>
      <c r="AR738" s="3"/>
      <c r="AS738" s="3"/>
      <c r="AT738" s="3"/>
      <c r="AU738" s="3" t="str">
        <f ca="1">IFERROR(__xludf.DUMMYFUNCTION("""COMPUTED_VALUE"""),"cílený double skyscraper")</f>
        <v>cílený double skyscraper</v>
      </c>
    </row>
    <row r="739" spans="1:47" x14ac:dyDescent="0.3">
      <c r="A739" s="3">
        <f ca="1"/>
        <v>2346826</v>
      </c>
      <c r="B739" s="3" t="str">
        <f ca="1"/>
        <v>CZECH NEWS CENTER a. s.</v>
      </c>
      <c r="C739" s="3" t="str">
        <f ca="1">IFERROR(__xludf.DUMMYFUNCTION("""COMPUTED_VALUE"""),"Maminka")</f>
        <v>Maminka</v>
      </c>
      <c r="D739" s="4" t="str">
        <f ca="1">IFERROR(__xludf.DUMMYFUNCTION("""COMPUTED_VALUE"""),"https://maminka.cz")</f>
        <v>https://maminka.cz</v>
      </c>
      <c r="E739" s="3" t="str">
        <f ca="1">IFERROR(__xludf.DUMMYFUNCTION("""COMPUTED_VALUE"""),"celý web")</f>
        <v>celý web</v>
      </c>
      <c r="F739" s="4" t="str">
        <f ca="1">IFERROR(__xludf.DUMMYFUNCTION("""COMPUTED_VALUE"""),"https://maminka.cz")</f>
        <v>https://maminka.cz</v>
      </c>
      <c r="G739" s="3" t="str">
        <f ca="1">IFERROR(__xludf.DUMMYFUNCTION("""COMPUTED_VALUE"""),"cílený mini videospot - max. 30 sec. low season")</f>
        <v>cílený mini videospot - max. 30 sec. low season</v>
      </c>
      <c r="H739" s="3">
        <f ca="1">IFERROR(__xludf.DUMMYFUNCTION("""COMPUTED_VALUE"""),7)</f>
        <v>7</v>
      </c>
      <c r="I739" s="5">
        <f ca="1">IFERROR(__xludf.DUMMYFUNCTION("""COMPUTED_VALUE"""),1000)</f>
        <v>1000</v>
      </c>
      <c r="J739" s="5">
        <f ca="1">IFERROR(__xludf.DUMMYFUNCTION("""COMPUTED_VALUE"""),168)</f>
        <v>168</v>
      </c>
      <c r="K739" s="3"/>
      <c r="L739" s="3" t="str">
        <f ca="1">IFERROR(__xludf.DUMMYFUNCTION("""COMPUTED_VALUE"""),"Cost per period")</f>
        <v>Cost per period</v>
      </c>
      <c r="M739" s="3"/>
      <c r="N739" s="3"/>
      <c r="O739" s="3"/>
      <c r="P739" s="3"/>
      <c r="Q739" s="3" t="str">
        <f ca="1">IFERROR(__xludf.DUMMYFUNCTION("""COMPUTED_VALUE"""),"16:9 / umístění po domluvě dle možností")</f>
        <v>16:9 / umístění po domluvě dle možností</v>
      </c>
      <c r="R739" s="3" t="str">
        <f ca="1">IFERROR(__xludf.DUMMYFUNCTION("""COMPUTED_VALUE"""),"přeskočení po 7 sekundách")</f>
        <v>přeskočení po 7 sekundách</v>
      </c>
      <c r="S739" s="3" t="str">
        <f ca="1">IFERROR(__xludf.DUMMYFUNCTION("""COMPUTED_VALUE"""),"100")</f>
        <v>100</v>
      </c>
      <c r="T739" s="3"/>
      <c r="U739" s="3" t="str">
        <f ca="1">IFERROR(__xludf.DUMMYFUNCTION("""COMPUTED_VALUE"""),"videospot")</f>
        <v>videospot</v>
      </c>
      <c r="V739" s="3"/>
      <c r="W739" s="4" t="str">
        <f ca="1">IFERROR(__xludf.DUMMYFUNCTION("""COMPUTED_VALUE"""),"https://reklama.cncenter.cz/Online/Videospot")</f>
        <v>https://reklama.cncenter.cz/Online/Videospot</v>
      </c>
      <c r="X739" s="3"/>
      <c r="Y739" s="3"/>
      <c r="Z739" s="3" t="str">
        <f ca="1">IFERROR(__xludf.DUMMYFUNCTION("""COMPUTED_VALUE"""),"podklady@cncenter.cz")</f>
        <v>podklady@cncenter.cz</v>
      </c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 t="str">
        <f ca="1">IFERROR(__xludf.DUMMYFUNCTION("""COMPUTED_VALUE"""),"desktop")</f>
        <v>desktop</v>
      </c>
      <c r="AO739" s="3"/>
      <c r="AP739" s="3"/>
      <c r="AQ739" s="3"/>
      <c r="AR739" s="3"/>
      <c r="AS739" s="3"/>
      <c r="AT739" s="3"/>
      <c r="AU739" s="3" t="str">
        <f ca="1">IFERROR(__xludf.DUMMYFUNCTION("""COMPUTED_VALUE"""),"cílený mini videospot - max. 30 sec.")</f>
        <v>cílený mini videospot - max. 30 sec.</v>
      </c>
    </row>
    <row r="740" spans="1:47" x14ac:dyDescent="0.3">
      <c r="A740" s="3">
        <f ca="1"/>
        <v>2346826</v>
      </c>
      <c r="B740" s="3" t="str">
        <f ca="1"/>
        <v>CZECH NEWS CENTER a. s.</v>
      </c>
      <c r="C740" s="3" t="str">
        <f ca="1">IFERROR(__xludf.DUMMYFUNCTION("""COMPUTED_VALUE"""),"Maminka")</f>
        <v>Maminka</v>
      </c>
      <c r="D740" s="4" t="str">
        <f ca="1">IFERROR(__xludf.DUMMYFUNCTION("""COMPUTED_VALUE"""),"https://maminka.cz")</f>
        <v>https://maminka.cz</v>
      </c>
      <c r="E740" s="3" t="str">
        <f ca="1">IFERROR(__xludf.DUMMYFUNCTION("""COMPUTED_VALUE"""),"celý web")</f>
        <v>celý web</v>
      </c>
      <c r="F740" s="4" t="str">
        <f ca="1">IFERROR(__xludf.DUMMYFUNCTION("""COMPUTED_VALUE"""),"https://maminka.cz")</f>
        <v>https://maminka.cz</v>
      </c>
      <c r="G740" s="3" t="str">
        <f ca="1">IFERROR(__xludf.DUMMYFUNCTION("""COMPUTED_VALUE"""),"cílený mobilní interscroller low season")</f>
        <v>cílený mobilní interscroller low season</v>
      </c>
      <c r="H740" s="3">
        <f ca="1">IFERROR(__xludf.DUMMYFUNCTION("""COMPUTED_VALUE"""),7)</f>
        <v>7</v>
      </c>
      <c r="I740" s="5">
        <f ca="1">IFERROR(__xludf.DUMMYFUNCTION("""COMPUTED_VALUE"""),1000)</f>
        <v>1000</v>
      </c>
      <c r="J740" s="5">
        <f ca="1">IFERROR(__xludf.DUMMYFUNCTION("""COMPUTED_VALUE"""),300)</f>
        <v>300</v>
      </c>
      <c r="K740" s="3"/>
      <c r="L740" s="3" t="str">
        <f ca="1">IFERROR(__xludf.DUMMYFUNCTION("""COMPUTED_VALUE"""),"Cost per period")</f>
        <v>Cost per period</v>
      </c>
      <c r="M740" s="3"/>
      <c r="N740" s="3"/>
      <c r="O740" s="3" t="str">
        <f ca="1">IFERROR(__xludf.DUMMYFUNCTION("""COMPUTED_VALUE"""),"600")</f>
        <v>600</v>
      </c>
      <c r="P740" s="3" t="str">
        <f ca="1">IFERROR(__xludf.DUMMYFUNCTION("""COMPUTED_VALUE"""),"1080")</f>
        <v>1080</v>
      </c>
      <c r="Q740" s="3" t="str">
        <f ca="1">IFERROR(__xludf.DUMMYFUNCTION("""COMPUTED_VALUE"""),"600x1080")</f>
        <v>600x1080</v>
      </c>
      <c r="R740" s="3"/>
      <c r="S740" s="3" t="str">
        <f ca="1">IFERROR(__xludf.DUMMYFUNCTION("""COMPUTED_VALUE"""),"200")</f>
        <v>200</v>
      </c>
      <c r="T740" s="3"/>
      <c r="U740" s="3" t="str">
        <f ca="1">IFERROR(__xludf.DUMMYFUNCTION("""COMPUTED_VALUE"""),"banner standard")</f>
        <v>banner standard</v>
      </c>
      <c r="V740" s="3"/>
      <c r="W740" s="4" t="str">
        <f ca="1">IFERROR(__xludf.DUMMYFUNCTION("""COMPUTED_VALUE"""),"https://reklama.cncenter.cz/Online/mobilni-interscroller")</f>
        <v>https://reklama.cncenter.cz/Online/mobilni-interscroller</v>
      </c>
      <c r="X740" s="3"/>
      <c r="Y740" s="3"/>
      <c r="Z740" s="3" t="str">
        <f ca="1">IFERROR(__xludf.DUMMYFUNCTION("""COMPUTED_VALUE"""),"podklady@cncenter.cz")</f>
        <v>podklady@cncenter.cz</v>
      </c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 t="str">
        <f ca="1">IFERROR(__xludf.DUMMYFUNCTION("""COMPUTED_VALUE"""),"mobile")</f>
        <v>mobile</v>
      </c>
      <c r="AO740" s="3"/>
      <c r="AP740" s="3"/>
      <c r="AQ740" s="3"/>
      <c r="AR740" s="3"/>
      <c r="AS740" s="3"/>
      <c r="AT740" s="3"/>
      <c r="AU740" s="3" t="str">
        <f ca="1">IFERROR(__xludf.DUMMYFUNCTION("""COMPUTED_VALUE"""),"cílený mobilní interscroller")</f>
        <v>cílený mobilní interscroller</v>
      </c>
    </row>
    <row r="741" spans="1:47" x14ac:dyDescent="0.3">
      <c r="A741" s="3">
        <f ca="1"/>
        <v>2346826</v>
      </c>
      <c r="B741" s="3" t="str">
        <f ca="1"/>
        <v>CZECH NEWS CENTER a. s.</v>
      </c>
      <c r="C741" s="3" t="str">
        <f ca="1">IFERROR(__xludf.DUMMYFUNCTION("""COMPUTED_VALUE"""),"Maminka")</f>
        <v>Maminka</v>
      </c>
      <c r="D741" s="4" t="str">
        <f ca="1">IFERROR(__xludf.DUMMYFUNCTION("""COMPUTED_VALUE"""),"https://maminka.cz")</f>
        <v>https://maminka.cz</v>
      </c>
      <c r="E741" s="3" t="str">
        <f ca="1">IFERROR(__xludf.DUMMYFUNCTION("""COMPUTED_VALUE"""),"celý web")</f>
        <v>celý web</v>
      </c>
      <c r="F741" s="4" t="str">
        <f ca="1">IFERROR(__xludf.DUMMYFUNCTION("""COMPUTED_VALUE"""),"https://maminka.cz")</f>
        <v>https://maminka.cz</v>
      </c>
      <c r="G741" s="3" t="str">
        <f ca="1">IFERROR(__xludf.DUMMYFUNCTION("""COMPUTED_VALUE"""),"cílený mobilní slide-up low season")</f>
        <v>cílený mobilní slide-up low season</v>
      </c>
      <c r="H741" s="3">
        <f ca="1">IFERROR(__xludf.DUMMYFUNCTION("""COMPUTED_VALUE"""),7)</f>
        <v>7</v>
      </c>
      <c r="I741" s="5">
        <f ca="1">IFERROR(__xludf.DUMMYFUNCTION("""COMPUTED_VALUE"""),1000)</f>
        <v>1000</v>
      </c>
      <c r="J741" s="5">
        <f ca="1">IFERROR(__xludf.DUMMYFUNCTION("""COMPUTED_VALUE"""),612)</f>
        <v>612</v>
      </c>
      <c r="K741" s="3"/>
      <c r="L741" s="3" t="str">
        <f ca="1">IFERROR(__xludf.DUMMYFUNCTION("""COMPUTED_VALUE"""),"Cost per period")</f>
        <v>Cost per period</v>
      </c>
      <c r="M741" s="3"/>
      <c r="N741" s="3"/>
      <c r="O741" s="3" t="str">
        <f ca="1">IFERROR(__xludf.DUMMYFUNCTION("""COMPUTED_VALUE"""),"300")</f>
        <v>300</v>
      </c>
      <c r="P741" s="3" t="str">
        <f ca="1">IFERROR(__xludf.DUMMYFUNCTION("""COMPUTED_VALUE"""),"120")</f>
        <v>120</v>
      </c>
      <c r="Q741" s="3" t="str">
        <f ca="1">IFERROR(__xludf.DUMMYFUNCTION("""COMPUTED_VALUE"""),"300x120")</f>
        <v>300x120</v>
      </c>
      <c r="R741" s="3"/>
      <c r="S741" s="3" t="str">
        <f ca="1">IFERROR(__xludf.DUMMYFUNCTION("""COMPUTED_VALUE"""),"100")</f>
        <v>100</v>
      </c>
      <c r="T741" s="3"/>
      <c r="U741" s="3" t="str">
        <f ca="1">IFERROR(__xludf.DUMMYFUNCTION("""COMPUTED_VALUE"""),"banner standard")</f>
        <v>banner standard</v>
      </c>
      <c r="V741" s="3"/>
      <c r="W741" s="4" t="str">
        <f ca="1">IFERROR(__xludf.DUMMYFUNCTION("""COMPUTED_VALUE"""),"https://reklama.cncenter.cz/Online/mobilni-slide-up")</f>
        <v>https://reklama.cncenter.cz/Online/mobilni-slide-up</v>
      </c>
      <c r="X741" s="3"/>
      <c r="Y741" s="3"/>
      <c r="Z741" s="3" t="str">
        <f ca="1">IFERROR(__xludf.DUMMYFUNCTION("""COMPUTED_VALUE"""),"podklady@cncenter.cz")</f>
        <v>podklady@cncenter.cz</v>
      </c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 t="str">
        <f ca="1">IFERROR(__xludf.DUMMYFUNCTION("""COMPUTED_VALUE"""),"mobile")</f>
        <v>mobile</v>
      </c>
      <c r="AO741" s="3"/>
      <c r="AP741" s="3"/>
      <c r="AQ741" s="3"/>
      <c r="AR741" s="3"/>
      <c r="AS741" s="3"/>
      <c r="AT741" s="3"/>
      <c r="AU741" s="3" t="str">
        <f ca="1">IFERROR(__xludf.DUMMYFUNCTION("""COMPUTED_VALUE"""),"cílený mobilní slide-up")</f>
        <v>cílený mobilní slide-up</v>
      </c>
    </row>
    <row r="742" spans="1:47" x14ac:dyDescent="0.3">
      <c r="A742" s="3">
        <f ca="1"/>
        <v>2346826</v>
      </c>
      <c r="B742" s="3" t="str">
        <f ca="1"/>
        <v>CZECH NEWS CENTER a. s.</v>
      </c>
      <c r="C742" s="3" t="str">
        <f ca="1">IFERROR(__xludf.DUMMYFUNCTION("""COMPUTED_VALUE"""),"Maminka")</f>
        <v>Maminka</v>
      </c>
      <c r="D742" s="4" t="str">
        <f ca="1">IFERROR(__xludf.DUMMYFUNCTION("""COMPUTED_VALUE"""),"https://maminka.cz")</f>
        <v>https://maminka.cz</v>
      </c>
      <c r="E742" s="3" t="str">
        <f ca="1">IFERROR(__xludf.DUMMYFUNCTION("""COMPUTED_VALUE"""),"celý web")</f>
        <v>celý web</v>
      </c>
      <c r="F742" s="4" t="str">
        <f ca="1">IFERROR(__xludf.DUMMYFUNCTION("""COMPUTED_VALUE"""),"https://maminka.cz")</f>
        <v>https://maminka.cz</v>
      </c>
      <c r="G742" s="3" t="str">
        <f ca="1">IFERROR(__xludf.DUMMYFUNCTION("""COMPUTED_VALUE"""),"cílený mobilní viněta low season")</f>
        <v>cílený mobilní viněta low season</v>
      </c>
      <c r="H742" s="3">
        <f ca="1">IFERROR(__xludf.DUMMYFUNCTION("""COMPUTED_VALUE"""),7)</f>
        <v>7</v>
      </c>
      <c r="I742" s="5">
        <f ca="1">IFERROR(__xludf.DUMMYFUNCTION("""COMPUTED_VALUE"""),1000)</f>
        <v>1000</v>
      </c>
      <c r="J742" s="5">
        <f ca="1">IFERROR(__xludf.DUMMYFUNCTION("""COMPUTED_VALUE"""),1056)</f>
        <v>1056</v>
      </c>
      <c r="K742" s="3"/>
      <c r="L742" s="3" t="str">
        <f ca="1">IFERROR(__xludf.DUMMYFUNCTION("""COMPUTED_VALUE"""),"Cost per period")</f>
        <v>Cost per period</v>
      </c>
      <c r="M742" s="3"/>
      <c r="N742" s="3"/>
      <c r="O742" s="3" t="str">
        <f ca="1">IFERROR(__xludf.DUMMYFUNCTION("""COMPUTED_VALUE"""),"600")</f>
        <v>600</v>
      </c>
      <c r="P742" s="3" t="str">
        <f ca="1">IFERROR(__xludf.DUMMYFUNCTION("""COMPUTED_VALUE"""),"800")</f>
        <v>800</v>
      </c>
      <c r="Q742" s="3" t="str">
        <f ca="1">IFERROR(__xludf.DUMMYFUNCTION("""COMPUTED_VALUE"""),"300x250 nebo 600x800")</f>
        <v>300x250 nebo 600x800</v>
      </c>
      <c r="R742" s="3"/>
      <c r="S742" s="3" t="str">
        <f ca="1">IFERROR(__xludf.DUMMYFUNCTION("""COMPUTED_VALUE"""),"100")</f>
        <v>100</v>
      </c>
      <c r="T742" s="3"/>
      <c r="U742" s="3" t="str">
        <f ca="1">IFERROR(__xludf.DUMMYFUNCTION("""COMPUTED_VALUE"""),"banner standard")</f>
        <v>banner standard</v>
      </c>
      <c r="V742" s="3"/>
      <c r="W742" s="4" t="str">
        <f ca="1">IFERROR(__xludf.DUMMYFUNCTION("""COMPUTED_VALUE"""),"https://reklama.cncenter.cz/Online/mobilni-vineta")</f>
        <v>https://reklama.cncenter.cz/Online/mobilni-vineta</v>
      </c>
      <c r="X742" s="3"/>
      <c r="Y742" s="3"/>
      <c r="Z742" s="3" t="str">
        <f ca="1">IFERROR(__xludf.DUMMYFUNCTION("""COMPUTED_VALUE"""),"podklady@cncenter.cz")</f>
        <v>podklady@cncenter.cz</v>
      </c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 t="str">
        <f ca="1">IFERROR(__xludf.DUMMYFUNCTION("""COMPUTED_VALUE"""),"mobile")</f>
        <v>mobile</v>
      </c>
      <c r="AO742" s="3"/>
      <c r="AP742" s="3"/>
      <c r="AQ742" s="3"/>
      <c r="AR742" s="3"/>
      <c r="AS742" s="3"/>
      <c r="AT742" s="3"/>
      <c r="AU742" s="3" t="str">
        <f ca="1">IFERROR(__xludf.DUMMYFUNCTION("""COMPUTED_VALUE"""),"cílený mobilní viněta")</f>
        <v>cílený mobilní viněta</v>
      </c>
    </row>
    <row r="743" spans="1:47" x14ac:dyDescent="0.3">
      <c r="A743" s="3">
        <f ca="1"/>
        <v>2346826</v>
      </c>
      <c r="B743" s="3" t="str">
        <f ca="1"/>
        <v>CZECH NEWS CENTER a. s.</v>
      </c>
      <c r="C743" s="3" t="str">
        <f ca="1">IFERROR(__xludf.DUMMYFUNCTION("""COMPUTED_VALUE"""),"Maminka")</f>
        <v>Maminka</v>
      </c>
      <c r="D743" s="4" t="str">
        <f ca="1">IFERROR(__xludf.DUMMYFUNCTION("""COMPUTED_VALUE"""),"https://maminka.cz")</f>
        <v>https://maminka.cz</v>
      </c>
      <c r="E743" s="3" t="str">
        <f ca="1">IFERROR(__xludf.DUMMYFUNCTION("""COMPUTED_VALUE"""),"celý web")</f>
        <v>celý web</v>
      </c>
      <c r="F743" s="4" t="str">
        <f ca="1">IFERROR(__xludf.DUMMYFUNCTION("""COMPUTED_VALUE"""),"https://maminka.cz")</f>
        <v>https://maminka.cz</v>
      </c>
      <c r="G743" s="3" t="str">
        <f ca="1">IFERROR(__xludf.DUMMYFUNCTION("""COMPUTED_VALUE"""),"cílený nativní pr premium low season")</f>
        <v>cílený nativní pr premium low season</v>
      </c>
      <c r="H743" s="3">
        <f ca="1">IFERROR(__xludf.DUMMYFUNCTION("""COMPUTED_VALUE"""),7)</f>
        <v>7</v>
      </c>
      <c r="I743" s="5">
        <f ca="1">IFERROR(__xludf.DUMMYFUNCTION("""COMPUTED_VALUE"""),1000)</f>
        <v>1000</v>
      </c>
      <c r="J743" s="5">
        <f ca="1">IFERROR(__xludf.DUMMYFUNCTION("""COMPUTED_VALUE"""),120)</f>
        <v>120</v>
      </c>
      <c r="K743" s="3"/>
      <c r="L743" s="3" t="str">
        <f ca="1">IFERROR(__xludf.DUMMYFUNCTION("""COMPUTED_VALUE"""),"Cost per period")</f>
        <v>Cost per period</v>
      </c>
      <c r="M743" s="3"/>
      <c r="N743" s="3"/>
      <c r="O743" s="3" t="str">
        <f ca="1">IFERROR(__xludf.DUMMYFUNCTION("""COMPUTED_VALUE"""),"640")</f>
        <v>640</v>
      </c>
      <c r="P743" s="3" t="str">
        <f ca="1">IFERROR(__xludf.DUMMYFUNCTION("""COMPUTED_VALUE"""),"335, 640")</f>
        <v>335, 640</v>
      </c>
      <c r="Q743" s="3" t="str">
        <f ca="1">IFERROR(__xludf.DUMMYFUNCTION("""COMPUTED_VALUE"""),"640x640 a 640x335 + text + logo")</f>
        <v>640x640 a 640x335 + text + logo</v>
      </c>
      <c r="R743" s="3" t="str">
        <f ca="1">IFERROR(__xludf.DUMMYFUNCTION("""COMPUTED_VALUE"""),"detailní specifikace na URL odkaze")</f>
        <v>detailní specifikace na URL odkaze</v>
      </c>
      <c r="S743" s="3" t="str">
        <f ca="1">IFERROR(__xludf.DUMMYFUNCTION("""COMPUTED_VALUE"""),"100")</f>
        <v>100</v>
      </c>
      <c r="T743" s="3"/>
      <c r="U743" s="3" t="str">
        <f ca="1">IFERROR(__xludf.DUMMYFUNCTION("""COMPUTED_VALUE"""),"nativní reklama")</f>
        <v>nativní reklama</v>
      </c>
      <c r="V743" s="3"/>
      <c r="W743" s="4" t="str">
        <f ca="1">IFERROR(__xludf.DUMMYFUNCTION("""COMPUTED_VALUE"""),"https://reklama.cncenter.cz/Online/nativni-PR-premium")</f>
        <v>https://reklama.cncenter.cz/Online/nativni-PR-premium</v>
      </c>
      <c r="X743" s="3"/>
      <c r="Y743" s="3"/>
      <c r="Z743" s="3" t="str">
        <f ca="1">IFERROR(__xludf.DUMMYFUNCTION("""COMPUTED_VALUE"""),"podklady@cncenter.cz")</f>
        <v>podklady@cncenter.cz</v>
      </c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 t="str">
        <f ca="1">IFERROR(__xludf.DUMMYFUNCTION("""COMPUTED_VALUE"""),"cross-device")</f>
        <v>cross-device</v>
      </c>
      <c r="AO743" s="3"/>
      <c r="AP743" s="3"/>
      <c r="AQ743" s="3"/>
      <c r="AR743" s="3"/>
      <c r="AS743" s="3"/>
      <c r="AT743" s="3"/>
      <c r="AU743" s="3" t="str">
        <f ca="1">IFERROR(__xludf.DUMMYFUNCTION("""COMPUTED_VALUE"""),"cílený nativní pr premium")</f>
        <v>cílený nativní pr premium</v>
      </c>
    </row>
    <row r="744" spans="1:47" x14ac:dyDescent="0.3">
      <c r="A744" s="3">
        <f ca="1"/>
        <v>2346826</v>
      </c>
      <c r="B744" s="3" t="str">
        <f ca="1"/>
        <v>CZECH NEWS CENTER a. s.</v>
      </c>
      <c r="C744" s="3" t="str">
        <f ca="1">IFERROR(__xludf.DUMMYFUNCTION("""COMPUTED_VALUE"""),"Maminka")</f>
        <v>Maminka</v>
      </c>
      <c r="D744" s="4" t="str">
        <f ca="1">IFERROR(__xludf.DUMMYFUNCTION("""COMPUTED_VALUE"""),"https://maminka.cz")</f>
        <v>https://maminka.cz</v>
      </c>
      <c r="E744" s="3" t="str">
        <f ca="1">IFERROR(__xludf.DUMMYFUNCTION("""COMPUTED_VALUE"""),"celý web")</f>
        <v>celý web</v>
      </c>
      <c r="F744" s="4" t="str">
        <f ca="1">IFERROR(__xludf.DUMMYFUNCTION("""COMPUTED_VALUE"""),"https://maminka.cz")</f>
        <v>https://maminka.cz</v>
      </c>
      <c r="G744" s="3" t="str">
        <f ca="1">IFERROR(__xludf.DUMMYFUNCTION("""COMPUTED_VALUE"""),"cílený nativní rectangle cross-device low season")</f>
        <v>cílený nativní rectangle cross-device low season</v>
      </c>
      <c r="H744" s="3">
        <f ca="1">IFERROR(__xludf.DUMMYFUNCTION("""COMPUTED_VALUE"""),7)</f>
        <v>7</v>
      </c>
      <c r="I744" s="5">
        <f ca="1">IFERROR(__xludf.DUMMYFUNCTION("""COMPUTED_VALUE"""),1000)</f>
        <v>1000</v>
      </c>
      <c r="J744" s="5">
        <f ca="1">IFERROR(__xludf.DUMMYFUNCTION("""COMPUTED_VALUE"""),240)</f>
        <v>240</v>
      </c>
      <c r="K744" s="3"/>
      <c r="L744" s="3" t="str">
        <f ca="1">IFERROR(__xludf.DUMMYFUNCTION("""COMPUTED_VALUE"""),"Cost per period")</f>
        <v>Cost per period</v>
      </c>
      <c r="M744" s="3"/>
      <c r="N744" s="3"/>
      <c r="O744" s="3" t="str">
        <f ca="1">IFERROR(__xludf.DUMMYFUNCTION("""COMPUTED_VALUE"""),"640")</f>
        <v>640</v>
      </c>
      <c r="P744" s="3" t="str">
        <f ca="1">IFERROR(__xludf.DUMMYFUNCTION("""COMPUTED_VALUE"""),"335, 640")</f>
        <v>335, 640</v>
      </c>
      <c r="Q744" s="3" t="str">
        <f ca="1">IFERROR(__xludf.DUMMYFUNCTION("""COMPUTED_VALUE"""),"640x640 a 640x335 + text + logo")</f>
        <v>640x640 a 640x335 + text + logo</v>
      </c>
      <c r="R744" s="3"/>
      <c r="S744" s="3" t="str">
        <f ca="1">IFERROR(__xludf.DUMMYFUNCTION("""COMPUTED_VALUE"""),"45")</f>
        <v>45</v>
      </c>
      <c r="T744" s="3"/>
      <c r="U744" s="3" t="str">
        <f ca="1">IFERROR(__xludf.DUMMYFUNCTION("""COMPUTED_VALUE"""),"nativní reklama")</f>
        <v>nativní reklama</v>
      </c>
      <c r="V744" s="3"/>
      <c r="W744" s="4" t="str">
        <f ca="1">IFERROR(__xludf.DUMMYFUNCTION("""COMPUTED_VALUE"""),"https://reklama.cncenter.cz/Online/nativni-rectangle-cross-device")</f>
        <v>https://reklama.cncenter.cz/Online/nativni-rectangle-cross-device</v>
      </c>
      <c r="X744" s="3"/>
      <c r="Y744" s="3"/>
      <c r="Z744" s="3" t="str">
        <f ca="1">IFERROR(__xludf.DUMMYFUNCTION("""COMPUTED_VALUE"""),"podklady@cncenter.cz")</f>
        <v>podklady@cncenter.cz</v>
      </c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 t="str">
        <f ca="1">IFERROR(__xludf.DUMMYFUNCTION("""COMPUTED_VALUE"""),"cross-device")</f>
        <v>cross-device</v>
      </c>
      <c r="AO744" s="3"/>
      <c r="AP744" s="3"/>
      <c r="AQ744" s="3"/>
      <c r="AR744" s="3"/>
      <c r="AS744" s="3"/>
      <c r="AT744" s="3"/>
      <c r="AU744" s="3" t="str">
        <f ca="1">IFERROR(__xludf.DUMMYFUNCTION("""COMPUTED_VALUE"""),"cílený nativní rectangle cross-device")</f>
        <v>cílený nativní rectangle cross-device</v>
      </c>
    </row>
    <row r="745" spans="1:47" x14ac:dyDescent="0.3">
      <c r="A745" s="3">
        <f ca="1"/>
        <v>2346826</v>
      </c>
      <c r="B745" s="3" t="str">
        <f ca="1"/>
        <v>CZECH NEWS CENTER a. s.</v>
      </c>
      <c r="C745" s="3" t="str">
        <f ca="1">IFERROR(__xludf.DUMMYFUNCTION("""COMPUTED_VALUE"""),"Maminka")</f>
        <v>Maminka</v>
      </c>
      <c r="D745" s="4" t="str">
        <f ca="1">IFERROR(__xludf.DUMMYFUNCTION("""COMPUTED_VALUE"""),"https://maminka.cz")</f>
        <v>https://maminka.cz</v>
      </c>
      <c r="E745" s="3" t="str">
        <f ca="1">IFERROR(__xludf.DUMMYFUNCTION("""COMPUTED_VALUE"""),"celý web")</f>
        <v>celý web</v>
      </c>
      <c r="F745" s="4" t="str">
        <f ca="1">IFERROR(__xludf.DUMMYFUNCTION("""COMPUTED_VALUE"""),"https://maminka.cz")</f>
        <v>https://maminka.cz</v>
      </c>
      <c r="G745" s="3" t="str">
        <f ca="1">IFERROR(__xludf.DUMMYFUNCTION("""COMPUTED_VALUE"""),"cílený outstream low season")</f>
        <v>cílený outstream low season</v>
      </c>
      <c r="H745" s="3">
        <f ca="1">IFERROR(__xludf.DUMMYFUNCTION("""COMPUTED_VALUE"""),7)</f>
        <v>7</v>
      </c>
      <c r="I745" s="5">
        <f ca="1">IFERROR(__xludf.DUMMYFUNCTION("""COMPUTED_VALUE"""),1000)</f>
        <v>1000</v>
      </c>
      <c r="J745" s="5">
        <f ca="1">IFERROR(__xludf.DUMMYFUNCTION("""COMPUTED_VALUE"""),300)</f>
        <v>300</v>
      </c>
      <c r="K745" s="3"/>
      <c r="L745" s="3" t="str">
        <f ca="1">IFERROR(__xludf.DUMMYFUNCTION("""COMPUTED_VALUE"""),"Cost per period")</f>
        <v>Cost per period</v>
      </c>
      <c r="M745" s="3"/>
      <c r="N745" s="3"/>
      <c r="O745" s="3" t="str">
        <f ca="1">IFERROR(__xludf.DUMMYFUNCTION("""COMPUTED_VALUE"""),"1280")</f>
        <v>1280</v>
      </c>
      <c r="P745" s="3" t="str">
        <f ca="1">IFERROR(__xludf.DUMMYFUNCTION("""COMPUTED_VALUE"""),"720")</f>
        <v>720</v>
      </c>
      <c r="Q745" s="3" t="str">
        <f ca="1">IFERROR(__xludf.DUMMYFUNCTION("""COMPUTED_VALUE"""),"16:9")</f>
        <v>16:9</v>
      </c>
      <c r="R745" s="3"/>
      <c r="S745" s="3" t="str">
        <f ca="1">IFERROR(__xludf.DUMMYFUNCTION("""COMPUTED_VALUE"""),"100")</f>
        <v>100</v>
      </c>
      <c r="T745" s="3"/>
      <c r="U745" s="3" t="str">
        <f ca="1">IFERROR(__xludf.DUMMYFUNCTION("""COMPUTED_VALUE"""),"videospot")</f>
        <v>videospot</v>
      </c>
      <c r="V745" s="3"/>
      <c r="W745" s="4" t="str">
        <f ca="1">IFERROR(__xludf.DUMMYFUNCTION("""COMPUTED_VALUE"""),"https://reklama.cncenter.cz/Online/Outstream")</f>
        <v>https://reklama.cncenter.cz/Online/Outstream</v>
      </c>
      <c r="X745" s="3"/>
      <c r="Y745" s="3"/>
      <c r="Z745" s="3" t="str">
        <f ca="1">IFERROR(__xludf.DUMMYFUNCTION("""COMPUTED_VALUE"""),"podklady@cncenter.cz")</f>
        <v>podklady@cncenter.cz</v>
      </c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 t="str">
        <f ca="1">IFERROR(__xludf.DUMMYFUNCTION("""COMPUTED_VALUE"""),"cross-device")</f>
        <v>cross-device</v>
      </c>
      <c r="AO745" s="3"/>
      <c r="AP745" s="3"/>
      <c r="AQ745" s="3"/>
      <c r="AR745" s="3"/>
      <c r="AS745" s="3"/>
      <c r="AT745" s="3"/>
      <c r="AU745" s="3" t="str">
        <f ca="1">IFERROR(__xludf.DUMMYFUNCTION("""COMPUTED_VALUE"""),"cílený outstream")</f>
        <v>cílený outstream</v>
      </c>
    </row>
    <row r="746" spans="1:47" x14ac:dyDescent="0.3">
      <c r="A746" s="3">
        <f ca="1"/>
        <v>2346826</v>
      </c>
      <c r="B746" s="3" t="str">
        <f ca="1"/>
        <v>CZECH NEWS CENTER a. s.</v>
      </c>
      <c r="C746" s="3" t="str">
        <f ca="1">IFERROR(__xludf.DUMMYFUNCTION("""COMPUTED_VALUE"""),"Maminka")</f>
        <v>Maminka</v>
      </c>
      <c r="D746" s="4" t="str">
        <f ca="1">IFERROR(__xludf.DUMMYFUNCTION("""COMPUTED_VALUE"""),"https://maminka.cz")</f>
        <v>https://maminka.cz</v>
      </c>
      <c r="E746" s="3" t="str">
        <f ca="1">IFERROR(__xludf.DUMMYFUNCTION("""COMPUTED_VALUE"""),"celý web")</f>
        <v>celý web</v>
      </c>
      <c r="F746" s="4" t="str">
        <f ca="1">IFERROR(__xludf.DUMMYFUNCTION("""COMPUTED_VALUE"""),"https://maminka.cz")</f>
        <v>https://maminka.cz</v>
      </c>
      <c r="G746" s="3" t="str">
        <f ca="1">IFERROR(__xludf.DUMMYFUNCTION("""COMPUTED_VALUE"""),"cílený videospot - max. 30 sec. / bumper low season")</f>
        <v>cílený videospot - max. 30 sec. / bumper low season</v>
      </c>
      <c r="H746" s="3">
        <f ca="1">IFERROR(__xludf.DUMMYFUNCTION("""COMPUTED_VALUE"""),7)</f>
        <v>7</v>
      </c>
      <c r="I746" s="5">
        <f ca="1">IFERROR(__xludf.DUMMYFUNCTION("""COMPUTED_VALUE"""),1000)</f>
        <v>1000</v>
      </c>
      <c r="J746" s="5">
        <f ca="1">IFERROR(__xludf.DUMMYFUNCTION("""COMPUTED_VALUE"""),888)</f>
        <v>888</v>
      </c>
      <c r="K746" s="3"/>
      <c r="L746" s="3" t="str">
        <f ca="1">IFERROR(__xludf.DUMMYFUNCTION("""COMPUTED_VALUE"""),"Cost per period")</f>
        <v>Cost per period</v>
      </c>
      <c r="M746" s="3"/>
      <c r="N746" s="3"/>
      <c r="O746" s="3" t="str">
        <f ca="1">IFERROR(__xludf.DUMMYFUNCTION("""COMPUTED_VALUE"""),"1280")</f>
        <v>1280</v>
      </c>
      <c r="P746" s="3" t="str">
        <f ca="1">IFERROR(__xludf.DUMMYFUNCTION("""COMPUTED_VALUE"""),"720")</f>
        <v>720</v>
      </c>
      <c r="Q746" s="3" t="str">
        <f ca="1">IFERROR(__xludf.DUMMYFUNCTION("""COMPUTED_VALUE"""),"16:9 / umístění po domluvě dle možností")</f>
        <v>16:9 / umístění po domluvě dle možností</v>
      </c>
      <c r="R746" s="3" t="str">
        <f ca="1">IFERROR(__xludf.DUMMYFUNCTION("""COMPUTED_VALUE"""),"přeskočení po 7 sekundách")</f>
        <v>přeskočení po 7 sekundách</v>
      </c>
      <c r="S746" s="3" t="str">
        <f ca="1">IFERROR(__xludf.DUMMYFUNCTION("""COMPUTED_VALUE"""),"100")</f>
        <v>100</v>
      </c>
      <c r="T746" s="3"/>
      <c r="U746" s="3" t="str">
        <f ca="1">IFERROR(__xludf.DUMMYFUNCTION("""COMPUTED_VALUE"""),"videospot")</f>
        <v>videospot</v>
      </c>
      <c r="V746" s="3"/>
      <c r="W746" s="4" t="str">
        <f ca="1">IFERROR(__xludf.DUMMYFUNCTION("""COMPUTED_VALUE"""),"https://reklama.cncenter.cz/Online/Bumper")</f>
        <v>https://reklama.cncenter.cz/Online/Bumper</v>
      </c>
      <c r="X746" s="3"/>
      <c r="Y746" s="3"/>
      <c r="Z746" s="3" t="str">
        <f ca="1">IFERROR(__xludf.DUMMYFUNCTION("""COMPUTED_VALUE"""),"podklady@cncenter.cz")</f>
        <v>podklady@cncenter.cz</v>
      </c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 t="str">
        <f ca="1">IFERROR(__xludf.DUMMYFUNCTION("""COMPUTED_VALUE"""),"cross-device")</f>
        <v>cross-device</v>
      </c>
      <c r="AO746" s="3"/>
      <c r="AP746" s="3"/>
      <c r="AQ746" s="3"/>
      <c r="AR746" s="3"/>
      <c r="AS746" s="3"/>
      <c r="AT746" s="3"/>
      <c r="AU746" s="3" t="str">
        <f ca="1">IFERROR(__xludf.DUMMYFUNCTION("""COMPUTED_VALUE"""),"cílený videospot - max. 30 sec. / bumper")</f>
        <v>cílený videospot - max. 30 sec. / bumper</v>
      </c>
    </row>
    <row r="747" spans="1:47" x14ac:dyDescent="0.3">
      <c r="A747" s="3">
        <f ca="1"/>
        <v>2346826</v>
      </c>
      <c r="B747" s="3" t="str">
        <f ca="1"/>
        <v>CZECH NEWS CENTER a. s.</v>
      </c>
      <c r="C747" s="3" t="str">
        <f ca="1">IFERROR(__xludf.DUMMYFUNCTION("""COMPUTED_VALUE"""),"Maminka")</f>
        <v>Maminka</v>
      </c>
      <c r="D747" s="4" t="str">
        <f ca="1">IFERROR(__xludf.DUMMYFUNCTION("""COMPUTED_VALUE"""),"https://maminka.cz")</f>
        <v>https://maminka.cz</v>
      </c>
      <c r="E747" s="3" t="str">
        <f ca="1">IFERROR(__xludf.DUMMYFUNCTION("""COMPUTED_VALUE"""),"celý web")</f>
        <v>celý web</v>
      </c>
      <c r="F747" s="4" t="str">
        <f ca="1">IFERROR(__xludf.DUMMYFUNCTION("""COMPUTED_VALUE"""),"https://maminka.cz")</f>
        <v>https://maminka.cz</v>
      </c>
      <c r="G747" s="3" t="str">
        <f ca="1">IFERROR(__xludf.DUMMYFUNCTION("""COMPUTED_VALUE"""),"dokoupení proma o 2 týdny - 10 000 PV *** low season")</f>
        <v>dokoupení proma o 2 týdny - 10 000 PV *** low season</v>
      </c>
      <c r="H747" s="3">
        <f ca="1">IFERROR(__xludf.DUMMYFUNCTION("""COMPUTED_VALUE"""),1)</f>
        <v>1</v>
      </c>
      <c r="I747" s="5">
        <f ca="1">IFERROR(__xludf.DUMMYFUNCTION("""COMPUTED_VALUE"""),1)</f>
        <v>1</v>
      </c>
      <c r="J747" s="5">
        <f ca="1">IFERROR(__xludf.DUMMYFUNCTION("""COMPUTED_VALUE"""),60000)</f>
        <v>60000</v>
      </c>
      <c r="K747" s="3"/>
      <c r="L747" s="3" t="str">
        <f ca="1">IFERROR(__xludf.DUMMYFUNCTION("""COMPUTED_VALUE"""),"Cost per instance")</f>
        <v>Cost per instance</v>
      </c>
      <c r="M747" s="3"/>
      <c r="N747" s="3"/>
      <c r="O747" s="3"/>
      <c r="P747" s="3"/>
      <c r="Q747" s="3"/>
      <c r="R747" s="3"/>
      <c r="S747" s="3" t="str">
        <f ca="1">IFERROR(__xludf.DUMMYFUNCTION("""COMPUTED_VALUE"""),"100")</f>
        <v>100</v>
      </c>
      <c r="T747" s="3"/>
      <c r="U747" s="3" t="str">
        <f ca="1">IFERROR(__xludf.DUMMYFUNCTION("""COMPUTED_VALUE"""),"microsite")</f>
        <v>microsite</v>
      </c>
      <c r="V747" s="3"/>
      <c r="W747" s="3"/>
      <c r="X747" s="3"/>
      <c r="Y747" s="3"/>
      <c r="Z747" s="3" t="str">
        <f ca="1">IFERROR(__xludf.DUMMYFUNCTION("""COMPUTED_VALUE"""),"podklady@cncenter.cz")</f>
        <v>podklady@cncenter.cz</v>
      </c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 t="str">
        <f ca="1">IFERROR(__xludf.DUMMYFUNCTION("""COMPUTED_VALUE"""),"cross-device")</f>
        <v>cross-device</v>
      </c>
      <c r="AO747" s="3"/>
      <c r="AP747" s="3"/>
      <c r="AQ747" s="3"/>
      <c r="AR747" s="3"/>
      <c r="AS747" s="3"/>
      <c r="AT747" s="3"/>
      <c r="AU747" s="3" t="str">
        <f ca="1">IFERROR(__xludf.DUMMYFUNCTION("""COMPUTED_VALUE"""),"dokoupení proma o 2 týdny - 10 000 PV ***")</f>
        <v>dokoupení proma o 2 týdny - 10 000 PV ***</v>
      </c>
    </row>
    <row r="748" spans="1:47" x14ac:dyDescent="0.3">
      <c r="A748" s="3">
        <f ca="1"/>
        <v>2346826</v>
      </c>
      <c r="B748" s="3" t="str">
        <f ca="1"/>
        <v>CZECH NEWS CENTER a. s.</v>
      </c>
      <c r="C748" s="3" t="str">
        <f ca="1">IFERROR(__xludf.DUMMYFUNCTION("""COMPUTED_VALUE"""),"Maminka")</f>
        <v>Maminka</v>
      </c>
      <c r="D748" s="4" t="str">
        <f ca="1">IFERROR(__xludf.DUMMYFUNCTION("""COMPUTED_VALUE"""),"https://maminka.cz")</f>
        <v>https://maminka.cz</v>
      </c>
      <c r="E748" s="3" t="str">
        <f ca="1">IFERROR(__xludf.DUMMYFUNCTION("""COMPUTED_VALUE"""),"celý web")</f>
        <v>celý web</v>
      </c>
      <c r="F748" s="4" t="str">
        <f ca="1">IFERROR(__xludf.DUMMYFUNCTION("""COMPUTED_VALUE"""),"https://maminka.cz")</f>
        <v>https://maminka.cz</v>
      </c>
      <c r="G748" s="3" t="str">
        <f ca="1">IFERROR(__xludf.DUMMYFUNCTION("""COMPUTED_VALUE"""),"double skyscraper low season")</f>
        <v>double skyscraper low season</v>
      </c>
      <c r="H748" s="3">
        <f ca="1">IFERROR(__xludf.DUMMYFUNCTION("""COMPUTED_VALUE"""),7)</f>
        <v>7</v>
      </c>
      <c r="I748" s="5">
        <f ca="1">IFERROR(__xludf.DUMMYFUNCTION("""COMPUTED_VALUE"""),1000)</f>
        <v>1000</v>
      </c>
      <c r="J748" s="5">
        <f ca="1">IFERROR(__xludf.DUMMYFUNCTION("""COMPUTED_VALUE"""),190)</f>
        <v>190</v>
      </c>
      <c r="K748" s="3"/>
      <c r="L748" s="3" t="str">
        <f ca="1">IFERROR(__xludf.DUMMYFUNCTION("""COMPUTED_VALUE"""),"Cost per period")</f>
        <v>Cost per period</v>
      </c>
      <c r="M748" s="3"/>
      <c r="N748" s="3"/>
      <c r="O748" s="3" t="str">
        <f ca="1">IFERROR(__xludf.DUMMYFUNCTION("""COMPUTED_VALUE"""),"300")</f>
        <v>300</v>
      </c>
      <c r="P748" s="3" t="str">
        <f ca="1">IFERROR(__xludf.DUMMYFUNCTION("""COMPUTED_VALUE"""),"600")</f>
        <v>600</v>
      </c>
      <c r="Q748" s="3" t="str">
        <f ca="1">IFERROR(__xludf.DUMMYFUNCTION("""COMPUTED_VALUE"""),"300x600")</f>
        <v>300x600</v>
      </c>
      <c r="R748" s="3"/>
      <c r="S748" s="3" t="str">
        <f ca="1">IFERROR(__xludf.DUMMYFUNCTION("""COMPUTED_VALUE"""),"100 (200 - HTML5)")</f>
        <v>100 (200 - HTML5)</v>
      </c>
      <c r="T748" s="3"/>
      <c r="U748" s="3" t="str">
        <f ca="1">IFERROR(__xludf.DUMMYFUNCTION("""COMPUTED_VALUE"""),"banner standard")</f>
        <v>banner standard</v>
      </c>
      <c r="V748" s="3"/>
      <c r="W748" s="4" t="str">
        <f ca="1">IFERROR(__xludf.DUMMYFUNCTION("""COMPUTED_VALUE"""),"https://reklama.cncenter.cz/Online/double-skyscraper")</f>
        <v>https://reklama.cncenter.cz/Online/double-skyscraper</v>
      </c>
      <c r="X748" s="3"/>
      <c r="Y748" s="3"/>
      <c r="Z748" s="3" t="str">
        <f ca="1">IFERROR(__xludf.DUMMYFUNCTION("""COMPUTED_VALUE"""),"podklady@cncenter.cz")</f>
        <v>podklady@cncenter.cz</v>
      </c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 t="str">
        <f ca="1">IFERROR(__xludf.DUMMYFUNCTION("""COMPUTED_VALUE"""),"desktop")</f>
        <v>desktop</v>
      </c>
      <c r="AO748" s="3"/>
      <c r="AP748" s="3"/>
      <c r="AQ748" s="3"/>
      <c r="AR748" s="3"/>
      <c r="AS748" s="3"/>
      <c r="AT748" s="3"/>
      <c r="AU748" s="3" t="str">
        <f ca="1">IFERROR(__xludf.DUMMYFUNCTION("""COMPUTED_VALUE"""),"double skyscraper")</f>
        <v>double skyscraper</v>
      </c>
    </row>
    <row r="749" spans="1:47" x14ac:dyDescent="0.3">
      <c r="A749" s="3">
        <f ca="1"/>
        <v>2346826</v>
      </c>
      <c r="B749" s="3" t="str">
        <f ca="1"/>
        <v>CZECH NEWS CENTER a. s.</v>
      </c>
      <c r="C749" s="3" t="str">
        <f ca="1">IFERROR(__xludf.DUMMYFUNCTION("""COMPUTED_VALUE"""),"Maminka")</f>
        <v>Maminka</v>
      </c>
      <c r="D749" s="4" t="str">
        <f ca="1">IFERROR(__xludf.DUMMYFUNCTION("""COMPUTED_VALUE"""),"https://maminka.cz")</f>
        <v>https://maminka.cz</v>
      </c>
      <c r="E749" s="3" t="str">
        <f ca="1">IFERROR(__xludf.DUMMYFUNCTION("""COMPUTED_VALUE"""),"celý web")</f>
        <v>celý web</v>
      </c>
      <c r="F749" s="4" t="str">
        <f ca="1">IFERROR(__xludf.DUMMYFUNCTION("""COMPUTED_VALUE"""),"https://maminka.cz")</f>
        <v>https://maminka.cz</v>
      </c>
      <c r="G749" s="3" t="str">
        <f ca="1">IFERROR(__xludf.DUMMYFUNCTION("""COMPUTED_VALUE"""),"mini videospot - max. 30 sec. low season")</f>
        <v>mini videospot - max. 30 sec. low season</v>
      </c>
      <c r="H749" s="3">
        <f ca="1">IFERROR(__xludf.DUMMYFUNCTION("""COMPUTED_VALUE"""),7)</f>
        <v>7</v>
      </c>
      <c r="I749" s="5">
        <f ca="1">IFERROR(__xludf.DUMMYFUNCTION("""COMPUTED_VALUE"""),1000)</f>
        <v>1000</v>
      </c>
      <c r="J749" s="5">
        <f ca="1">IFERROR(__xludf.DUMMYFUNCTION("""COMPUTED_VALUE"""),140)</f>
        <v>140</v>
      </c>
      <c r="K749" s="3"/>
      <c r="L749" s="3" t="str">
        <f ca="1">IFERROR(__xludf.DUMMYFUNCTION("""COMPUTED_VALUE"""),"Cost per period")</f>
        <v>Cost per period</v>
      </c>
      <c r="M749" s="3"/>
      <c r="N749" s="3"/>
      <c r="O749" s="3"/>
      <c r="P749" s="3"/>
      <c r="Q749" s="3" t="str">
        <f ca="1">IFERROR(__xludf.DUMMYFUNCTION("""COMPUTED_VALUE"""),"16:9 / umístění po domluvě dle možností")</f>
        <v>16:9 / umístění po domluvě dle možností</v>
      </c>
      <c r="R749" s="3" t="str">
        <f ca="1">IFERROR(__xludf.DUMMYFUNCTION("""COMPUTED_VALUE"""),"přeskočení po 7 sekundách")</f>
        <v>přeskočení po 7 sekundách</v>
      </c>
      <c r="S749" s="3" t="str">
        <f ca="1">IFERROR(__xludf.DUMMYFUNCTION("""COMPUTED_VALUE"""),"100")</f>
        <v>100</v>
      </c>
      <c r="T749" s="3"/>
      <c r="U749" s="3" t="str">
        <f ca="1">IFERROR(__xludf.DUMMYFUNCTION("""COMPUTED_VALUE"""),"videospot")</f>
        <v>videospot</v>
      </c>
      <c r="V749" s="3"/>
      <c r="W749" s="4" t="str">
        <f ca="1">IFERROR(__xludf.DUMMYFUNCTION("""COMPUTED_VALUE"""),"https://reklama.cncenter.cz/Online/Videospot")</f>
        <v>https://reklama.cncenter.cz/Online/Videospot</v>
      </c>
      <c r="X749" s="3"/>
      <c r="Y749" s="3"/>
      <c r="Z749" s="3" t="str">
        <f ca="1">IFERROR(__xludf.DUMMYFUNCTION("""COMPUTED_VALUE"""),"podklady@cncenter.cz")</f>
        <v>podklady@cncenter.cz</v>
      </c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 t="str">
        <f ca="1">IFERROR(__xludf.DUMMYFUNCTION("""COMPUTED_VALUE"""),"desktop")</f>
        <v>desktop</v>
      </c>
      <c r="AO749" s="3"/>
      <c r="AP749" s="3"/>
      <c r="AQ749" s="3"/>
      <c r="AR749" s="3"/>
      <c r="AS749" s="3"/>
      <c r="AT749" s="3"/>
      <c r="AU749" s="3" t="str">
        <f ca="1">IFERROR(__xludf.DUMMYFUNCTION("""COMPUTED_VALUE"""),"mini videospot - max. 30 sec.")</f>
        <v>mini videospot - max. 30 sec.</v>
      </c>
    </row>
    <row r="750" spans="1:47" x14ac:dyDescent="0.3">
      <c r="A750" s="3">
        <f ca="1"/>
        <v>2346826</v>
      </c>
      <c r="B750" s="3" t="str">
        <f ca="1"/>
        <v>CZECH NEWS CENTER a. s.</v>
      </c>
      <c r="C750" s="3" t="str">
        <f ca="1">IFERROR(__xludf.DUMMYFUNCTION("""COMPUTED_VALUE"""),"Maminka")</f>
        <v>Maminka</v>
      </c>
      <c r="D750" s="4" t="str">
        <f ca="1">IFERROR(__xludf.DUMMYFUNCTION("""COMPUTED_VALUE"""),"https://maminka.cz")</f>
        <v>https://maminka.cz</v>
      </c>
      <c r="E750" s="3" t="str">
        <f ca="1">IFERROR(__xludf.DUMMYFUNCTION("""COMPUTED_VALUE"""),"celý web")</f>
        <v>celý web</v>
      </c>
      <c r="F750" s="4" t="str">
        <f ca="1">IFERROR(__xludf.DUMMYFUNCTION("""COMPUTED_VALUE"""),"https://maminka.cz")</f>
        <v>https://maminka.cz</v>
      </c>
      <c r="G750" s="3" t="str">
        <f ca="1">IFERROR(__xludf.DUMMYFUNCTION("""COMPUTED_VALUE"""),"mobilní interscroller low season")</f>
        <v>mobilní interscroller low season</v>
      </c>
      <c r="H750" s="3">
        <f ca="1">IFERROR(__xludf.DUMMYFUNCTION("""COMPUTED_VALUE"""),7)</f>
        <v>7</v>
      </c>
      <c r="I750" s="5">
        <f ca="1">IFERROR(__xludf.DUMMYFUNCTION("""COMPUTED_VALUE"""),1000)</f>
        <v>1000</v>
      </c>
      <c r="J750" s="5">
        <f ca="1">IFERROR(__xludf.DUMMYFUNCTION("""COMPUTED_VALUE"""),250)</f>
        <v>250</v>
      </c>
      <c r="K750" s="3"/>
      <c r="L750" s="3" t="str">
        <f ca="1">IFERROR(__xludf.DUMMYFUNCTION("""COMPUTED_VALUE"""),"Cost per period")</f>
        <v>Cost per period</v>
      </c>
      <c r="M750" s="3"/>
      <c r="N750" s="3"/>
      <c r="O750" s="3" t="str">
        <f ca="1">IFERROR(__xludf.DUMMYFUNCTION("""COMPUTED_VALUE"""),"600")</f>
        <v>600</v>
      </c>
      <c r="P750" s="3" t="str">
        <f ca="1">IFERROR(__xludf.DUMMYFUNCTION("""COMPUTED_VALUE"""),"1080")</f>
        <v>1080</v>
      </c>
      <c r="Q750" s="3" t="str">
        <f ca="1">IFERROR(__xludf.DUMMYFUNCTION("""COMPUTED_VALUE"""),"600x1080")</f>
        <v>600x1080</v>
      </c>
      <c r="R750" s="3"/>
      <c r="S750" s="3" t="str">
        <f ca="1">IFERROR(__xludf.DUMMYFUNCTION("""COMPUTED_VALUE"""),"200")</f>
        <v>200</v>
      </c>
      <c r="T750" s="3"/>
      <c r="U750" s="3" t="str">
        <f ca="1">IFERROR(__xludf.DUMMYFUNCTION("""COMPUTED_VALUE"""),"banner standard")</f>
        <v>banner standard</v>
      </c>
      <c r="V750" s="3"/>
      <c r="W750" s="4" t="str">
        <f ca="1">IFERROR(__xludf.DUMMYFUNCTION("""COMPUTED_VALUE"""),"https://reklama.cncenter.cz/Online/mobilni-interscroller")</f>
        <v>https://reklama.cncenter.cz/Online/mobilni-interscroller</v>
      </c>
      <c r="X750" s="3"/>
      <c r="Y750" s="3"/>
      <c r="Z750" s="3" t="str">
        <f ca="1">IFERROR(__xludf.DUMMYFUNCTION("""COMPUTED_VALUE"""),"podklady@cncenter.cz")</f>
        <v>podklady@cncenter.cz</v>
      </c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 t="str">
        <f ca="1">IFERROR(__xludf.DUMMYFUNCTION("""COMPUTED_VALUE"""),"mobile")</f>
        <v>mobile</v>
      </c>
      <c r="AO750" s="3"/>
      <c r="AP750" s="3"/>
      <c r="AQ750" s="3"/>
      <c r="AR750" s="3"/>
      <c r="AS750" s="3"/>
      <c r="AT750" s="3"/>
      <c r="AU750" s="3" t="str">
        <f ca="1">IFERROR(__xludf.DUMMYFUNCTION("""COMPUTED_VALUE"""),"mobilní interscroller")</f>
        <v>mobilní interscroller</v>
      </c>
    </row>
    <row r="751" spans="1:47" x14ac:dyDescent="0.3">
      <c r="A751" s="3">
        <f ca="1"/>
        <v>2346826</v>
      </c>
      <c r="B751" s="3" t="str">
        <f ca="1"/>
        <v>CZECH NEWS CENTER a. s.</v>
      </c>
      <c r="C751" s="3" t="str">
        <f ca="1">IFERROR(__xludf.DUMMYFUNCTION("""COMPUTED_VALUE"""),"Maminka")</f>
        <v>Maminka</v>
      </c>
      <c r="D751" s="4" t="str">
        <f ca="1">IFERROR(__xludf.DUMMYFUNCTION("""COMPUTED_VALUE"""),"https://maminka.cz")</f>
        <v>https://maminka.cz</v>
      </c>
      <c r="E751" s="3" t="str">
        <f ca="1">IFERROR(__xludf.DUMMYFUNCTION("""COMPUTED_VALUE"""),"celý web")</f>
        <v>celý web</v>
      </c>
      <c r="F751" s="4" t="str">
        <f ca="1">IFERROR(__xludf.DUMMYFUNCTION("""COMPUTED_VALUE"""),"https://maminka.cz")</f>
        <v>https://maminka.cz</v>
      </c>
      <c r="G751" s="3" t="str">
        <f ca="1">IFERROR(__xludf.DUMMYFUNCTION("""COMPUTED_VALUE"""),"mobilní slide-up low season")</f>
        <v>mobilní slide-up low season</v>
      </c>
      <c r="H751" s="3">
        <f ca="1">IFERROR(__xludf.DUMMYFUNCTION("""COMPUTED_VALUE"""),7)</f>
        <v>7</v>
      </c>
      <c r="I751" s="5">
        <f ca="1">IFERROR(__xludf.DUMMYFUNCTION("""COMPUTED_VALUE"""),1000)</f>
        <v>1000</v>
      </c>
      <c r="J751" s="5">
        <f ca="1">IFERROR(__xludf.DUMMYFUNCTION("""COMPUTED_VALUE"""),510)</f>
        <v>510</v>
      </c>
      <c r="K751" s="3"/>
      <c r="L751" s="3" t="str">
        <f ca="1">IFERROR(__xludf.DUMMYFUNCTION("""COMPUTED_VALUE"""),"Cost per period")</f>
        <v>Cost per period</v>
      </c>
      <c r="M751" s="3"/>
      <c r="N751" s="3"/>
      <c r="O751" s="3" t="str">
        <f ca="1">IFERROR(__xludf.DUMMYFUNCTION("""COMPUTED_VALUE"""),"300")</f>
        <v>300</v>
      </c>
      <c r="P751" s="3" t="str">
        <f ca="1">IFERROR(__xludf.DUMMYFUNCTION("""COMPUTED_VALUE"""),"120")</f>
        <v>120</v>
      </c>
      <c r="Q751" s="3" t="str">
        <f ca="1">IFERROR(__xludf.DUMMYFUNCTION("""COMPUTED_VALUE"""),"300x120")</f>
        <v>300x120</v>
      </c>
      <c r="R751" s="3"/>
      <c r="S751" s="3" t="str">
        <f ca="1">IFERROR(__xludf.DUMMYFUNCTION("""COMPUTED_VALUE"""),"100")</f>
        <v>100</v>
      </c>
      <c r="T751" s="3"/>
      <c r="U751" s="3" t="str">
        <f ca="1">IFERROR(__xludf.DUMMYFUNCTION("""COMPUTED_VALUE"""),"banner standard")</f>
        <v>banner standard</v>
      </c>
      <c r="V751" s="3"/>
      <c r="W751" s="4" t="str">
        <f ca="1">IFERROR(__xludf.DUMMYFUNCTION("""COMPUTED_VALUE"""),"https://reklama.cncenter.cz/Online/mobilni-slide-up")</f>
        <v>https://reklama.cncenter.cz/Online/mobilni-slide-up</v>
      </c>
      <c r="X751" s="3"/>
      <c r="Y751" s="3"/>
      <c r="Z751" s="3" t="str">
        <f ca="1">IFERROR(__xludf.DUMMYFUNCTION("""COMPUTED_VALUE"""),"podklady@cncenter.cz")</f>
        <v>podklady@cncenter.cz</v>
      </c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 t="str">
        <f ca="1">IFERROR(__xludf.DUMMYFUNCTION("""COMPUTED_VALUE"""),"mobile")</f>
        <v>mobile</v>
      </c>
      <c r="AO751" s="3"/>
      <c r="AP751" s="3"/>
      <c r="AQ751" s="3"/>
      <c r="AR751" s="3"/>
      <c r="AS751" s="3"/>
      <c r="AT751" s="3"/>
      <c r="AU751" s="3" t="str">
        <f ca="1">IFERROR(__xludf.DUMMYFUNCTION("""COMPUTED_VALUE"""),"mobilní slide-up")</f>
        <v>mobilní slide-up</v>
      </c>
    </row>
    <row r="752" spans="1:47" x14ac:dyDescent="0.3">
      <c r="A752" s="3">
        <f ca="1"/>
        <v>2346826</v>
      </c>
      <c r="B752" s="3" t="str">
        <f ca="1"/>
        <v>CZECH NEWS CENTER a. s.</v>
      </c>
      <c r="C752" s="3" t="str">
        <f ca="1">IFERROR(__xludf.DUMMYFUNCTION("""COMPUTED_VALUE"""),"Maminka")</f>
        <v>Maminka</v>
      </c>
      <c r="D752" s="4" t="str">
        <f ca="1">IFERROR(__xludf.DUMMYFUNCTION("""COMPUTED_VALUE"""),"https://maminka.cz")</f>
        <v>https://maminka.cz</v>
      </c>
      <c r="E752" s="3" t="str">
        <f ca="1">IFERROR(__xludf.DUMMYFUNCTION("""COMPUTED_VALUE"""),"celý web")</f>
        <v>celý web</v>
      </c>
      <c r="F752" s="4" t="str">
        <f ca="1">IFERROR(__xludf.DUMMYFUNCTION("""COMPUTED_VALUE"""),"https://maminka.cz")</f>
        <v>https://maminka.cz</v>
      </c>
      <c r="G752" s="3" t="str">
        <f ca="1">IFERROR(__xludf.DUMMYFUNCTION("""COMPUTED_VALUE"""),"mobilní viněta low season")</f>
        <v>mobilní viněta low season</v>
      </c>
      <c r="H752" s="3">
        <f ca="1">IFERROR(__xludf.DUMMYFUNCTION("""COMPUTED_VALUE"""),7)</f>
        <v>7</v>
      </c>
      <c r="I752" s="5">
        <f ca="1">IFERROR(__xludf.DUMMYFUNCTION("""COMPUTED_VALUE"""),1000)</f>
        <v>1000</v>
      </c>
      <c r="J752" s="5">
        <f ca="1">IFERROR(__xludf.DUMMYFUNCTION("""COMPUTED_VALUE"""),880)</f>
        <v>880</v>
      </c>
      <c r="K752" s="3"/>
      <c r="L752" s="3" t="str">
        <f ca="1">IFERROR(__xludf.DUMMYFUNCTION("""COMPUTED_VALUE"""),"Cost per period")</f>
        <v>Cost per period</v>
      </c>
      <c r="M752" s="3"/>
      <c r="N752" s="3"/>
      <c r="O752" s="3" t="str">
        <f ca="1">IFERROR(__xludf.DUMMYFUNCTION("""COMPUTED_VALUE"""),"600")</f>
        <v>600</v>
      </c>
      <c r="P752" s="3" t="str">
        <f ca="1">IFERROR(__xludf.DUMMYFUNCTION("""COMPUTED_VALUE"""),"800")</f>
        <v>800</v>
      </c>
      <c r="Q752" s="3" t="str">
        <f ca="1">IFERROR(__xludf.DUMMYFUNCTION("""COMPUTED_VALUE"""),"300x250 nebo 600x800")</f>
        <v>300x250 nebo 600x800</v>
      </c>
      <c r="R752" s="3"/>
      <c r="S752" s="3" t="str">
        <f ca="1">IFERROR(__xludf.DUMMYFUNCTION("""COMPUTED_VALUE"""),"100")</f>
        <v>100</v>
      </c>
      <c r="T752" s="3"/>
      <c r="U752" s="3" t="str">
        <f ca="1">IFERROR(__xludf.DUMMYFUNCTION("""COMPUTED_VALUE"""),"banner standard")</f>
        <v>banner standard</v>
      </c>
      <c r="V752" s="3"/>
      <c r="W752" s="4" t="str">
        <f ca="1">IFERROR(__xludf.DUMMYFUNCTION("""COMPUTED_VALUE"""),"https://reklama.cncenter.cz/Online/mobilni-vineta")</f>
        <v>https://reklama.cncenter.cz/Online/mobilni-vineta</v>
      </c>
      <c r="X752" s="3"/>
      <c r="Y752" s="3"/>
      <c r="Z752" s="3" t="str">
        <f ca="1">IFERROR(__xludf.DUMMYFUNCTION("""COMPUTED_VALUE"""),"podklady@cncenter.cz")</f>
        <v>podklady@cncenter.cz</v>
      </c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 t="str">
        <f ca="1">IFERROR(__xludf.DUMMYFUNCTION("""COMPUTED_VALUE"""),"mobile")</f>
        <v>mobile</v>
      </c>
      <c r="AO752" s="3"/>
      <c r="AP752" s="3"/>
      <c r="AQ752" s="3"/>
      <c r="AR752" s="3"/>
      <c r="AS752" s="3"/>
      <c r="AT752" s="3"/>
      <c r="AU752" s="3" t="str">
        <f ca="1">IFERROR(__xludf.DUMMYFUNCTION("""COMPUTED_VALUE"""),"mobilní viněta")</f>
        <v>mobilní viněta</v>
      </c>
    </row>
    <row r="753" spans="1:47" x14ac:dyDescent="0.3">
      <c r="A753" s="3">
        <f ca="1"/>
        <v>2346826</v>
      </c>
      <c r="B753" s="3" t="str">
        <f ca="1"/>
        <v>CZECH NEWS CENTER a. s.</v>
      </c>
      <c r="C753" s="3" t="str">
        <f ca="1">IFERROR(__xludf.DUMMYFUNCTION("""COMPUTED_VALUE"""),"Maminka")</f>
        <v>Maminka</v>
      </c>
      <c r="D753" s="4" t="str">
        <f ca="1">IFERROR(__xludf.DUMMYFUNCTION("""COMPUTED_VALUE"""),"https://maminka.cz")</f>
        <v>https://maminka.cz</v>
      </c>
      <c r="E753" s="3" t="str">
        <f ca="1">IFERROR(__xludf.DUMMYFUNCTION("""COMPUTED_VALUE"""),"celý web")</f>
        <v>celý web</v>
      </c>
      <c r="F753" s="4" t="str">
        <f ca="1">IFERROR(__xludf.DUMMYFUNCTION("""COMPUTED_VALUE"""),"https://maminka.cz")</f>
        <v>https://maminka.cz</v>
      </c>
      <c r="G753" s="3" t="str">
        <f ca="1">IFERROR(__xludf.DUMMYFUNCTION("""COMPUTED_VALUE"""),"Native Standard low season")</f>
        <v>Native Standard low season</v>
      </c>
      <c r="H753" s="3">
        <f ca="1">IFERROR(__xludf.DUMMYFUNCTION("""COMPUTED_VALUE"""),1)</f>
        <v>1</v>
      </c>
      <c r="I753" s="5">
        <f ca="1">IFERROR(__xludf.DUMMYFUNCTION("""COMPUTED_VALUE"""),1)</f>
        <v>1</v>
      </c>
      <c r="J753" s="5">
        <f ca="1">IFERROR(__xludf.DUMMYFUNCTION("""COMPUTED_VALUE"""),330000)</f>
        <v>330000</v>
      </c>
      <c r="K753" s="3"/>
      <c r="L753" s="3" t="str">
        <f ca="1">IFERROR(__xludf.DUMMYFUNCTION("""COMPUTED_VALUE"""),"Cost per instance")</f>
        <v>Cost per instance</v>
      </c>
      <c r="M753" s="3"/>
      <c r="N753" s="3"/>
      <c r="O753" s="3"/>
      <c r="P753" s="3"/>
      <c r="Q753" s="3"/>
      <c r="R753" s="3"/>
      <c r="S753" s="3" t="str">
        <f ca="1">IFERROR(__xludf.DUMMYFUNCTION("""COMPUTED_VALUE"""),"100")</f>
        <v>100</v>
      </c>
      <c r="T753" s="3"/>
      <c r="U753" s="3" t="str">
        <f ca="1">IFERROR(__xludf.DUMMYFUNCTION("""COMPUTED_VALUE"""),"microsite")</f>
        <v>microsite</v>
      </c>
      <c r="V753" s="3"/>
      <c r="W753" s="3"/>
      <c r="X753" s="3"/>
      <c r="Y753" s="3"/>
      <c r="Z753" s="3" t="str">
        <f ca="1">IFERROR(__xludf.DUMMYFUNCTION("""COMPUTED_VALUE"""),"podklady@cncenter.cz")</f>
        <v>podklady@cncenter.cz</v>
      </c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 t="str">
        <f ca="1">IFERROR(__xludf.DUMMYFUNCTION("""COMPUTED_VALUE"""),"cross-device")</f>
        <v>cross-device</v>
      </c>
      <c r="AO753" s="3"/>
      <c r="AP753" s="3"/>
      <c r="AQ753" s="3"/>
      <c r="AR753" s="3"/>
      <c r="AS753" s="3"/>
      <c r="AT753" s="3"/>
      <c r="AU753" s="3" t="str">
        <f ca="1">IFERROR(__xludf.DUMMYFUNCTION("""COMPUTED_VALUE"""),"Native Standard")</f>
        <v>Native Standard</v>
      </c>
    </row>
    <row r="754" spans="1:47" x14ac:dyDescent="0.3">
      <c r="A754" s="3">
        <f ca="1"/>
        <v>2346826</v>
      </c>
      <c r="B754" s="3" t="str">
        <f ca="1"/>
        <v>CZECH NEWS CENTER a. s.</v>
      </c>
      <c r="C754" s="3" t="str">
        <f ca="1">IFERROR(__xludf.DUMMYFUNCTION("""COMPUTED_VALUE"""),"Maminka")</f>
        <v>Maminka</v>
      </c>
      <c r="D754" s="4" t="str">
        <f ca="1">IFERROR(__xludf.DUMMYFUNCTION("""COMPUTED_VALUE"""),"https://maminka.cz")</f>
        <v>https://maminka.cz</v>
      </c>
      <c r="E754" s="3" t="str">
        <f ca="1">IFERROR(__xludf.DUMMYFUNCTION("""COMPUTED_VALUE"""),"celý web")</f>
        <v>celý web</v>
      </c>
      <c r="F754" s="4" t="str">
        <f ca="1">IFERROR(__xludf.DUMMYFUNCTION("""COMPUTED_VALUE"""),"https://maminka.cz")</f>
        <v>https://maminka.cz</v>
      </c>
      <c r="G754" s="3" t="str">
        <f ca="1">IFERROR(__xludf.DUMMYFUNCTION("""COMPUTED_VALUE"""),"nativní pr premium low season")</f>
        <v>nativní pr premium low season</v>
      </c>
      <c r="H754" s="3">
        <f ca="1">IFERROR(__xludf.DUMMYFUNCTION("""COMPUTED_VALUE"""),7)</f>
        <v>7</v>
      </c>
      <c r="I754" s="5">
        <f ca="1">IFERROR(__xludf.DUMMYFUNCTION("""COMPUTED_VALUE"""),1000)</f>
        <v>1000</v>
      </c>
      <c r="J754" s="5">
        <f ca="1">IFERROR(__xludf.DUMMYFUNCTION("""COMPUTED_VALUE"""),100)</f>
        <v>100</v>
      </c>
      <c r="K754" s="3"/>
      <c r="L754" s="3" t="str">
        <f ca="1">IFERROR(__xludf.DUMMYFUNCTION("""COMPUTED_VALUE"""),"Cost per period")</f>
        <v>Cost per period</v>
      </c>
      <c r="M754" s="3"/>
      <c r="N754" s="3"/>
      <c r="O754" s="3" t="str">
        <f ca="1">IFERROR(__xludf.DUMMYFUNCTION("""COMPUTED_VALUE"""),"640")</f>
        <v>640</v>
      </c>
      <c r="P754" s="3" t="str">
        <f ca="1">IFERROR(__xludf.DUMMYFUNCTION("""COMPUTED_VALUE"""),"335, 640")</f>
        <v>335, 640</v>
      </c>
      <c r="Q754" s="3" t="str">
        <f ca="1">IFERROR(__xludf.DUMMYFUNCTION("""COMPUTED_VALUE"""),"640x640 a 640x335 + text + logo")</f>
        <v>640x640 a 640x335 + text + logo</v>
      </c>
      <c r="R754" s="3" t="str">
        <f ca="1">IFERROR(__xludf.DUMMYFUNCTION("""COMPUTED_VALUE"""),"detailní specifikace na URL odkaze")</f>
        <v>detailní specifikace na URL odkaze</v>
      </c>
      <c r="S754" s="3" t="str">
        <f ca="1">IFERROR(__xludf.DUMMYFUNCTION("""COMPUTED_VALUE"""),"100")</f>
        <v>100</v>
      </c>
      <c r="T754" s="3"/>
      <c r="U754" s="3" t="str">
        <f ca="1">IFERROR(__xludf.DUMMYFUNCTION("""COMPUTED_VALUE"""),"nativní reklama")</f>
        <v>nativní reklama</v>
      </c>
      <c r="V754" s="3"/>
      <c r="W754" s="4" t="str">
        <f ca="1">IFERROR(__xludf.DUMMYFUNCTION("""COMPUTED_VALUE"""),"https://reklama.cncenter.cz/Online/nativni-PR-premium")</f>
        <v>https://reklama.cncenter.cz/Online/nativni-PR-premium</v>
      </c>
      <c r="X754" s="3"/>
      <c r="Y754" s="3"/>
      <c r="Z754" s="3" t="str">
        <f ca="1">IFERROR(__xludf.DUMMYFUNCTION("""COMPUTED_VALUE"""),"podklady@cncenter.cz")</f>
        <v>podklady@cncenter.cz</v>
      </c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 t="str">
        <f ca="1">IFERROR(__xludf.DUMMYFUNCTION("""COMPUTED_VALUE"""),"cross-device")</f>
        <v>cross-device</v>
      </c>
      <c r="AO754" s="3"/>
      <c r="AP754" s="3"/>
      <c r="AQ754" s="3"/>
      <c r="AR754" s="3"/>
      <c r="AS754" s="3"/>
      <c r="AT754" s="3"/>
      <c r="AU754" s="3" t="str">
        <f ca="1">IFERROR(__xludf.DUMMYFUNCTION("""COMPUTED_VALUE"""),"nativní pr premium")</f>
        <v>nativní pr premium</v>
      </c>
    </row>
    <row r="755" spans="1:47" x14ac:dyDescent="0.3">
      <c r="A755" s="3">
        <f ca="1"/>
        <v>2346826</v>
      </c>
      <c r="B755" s="3" t="str">
        <f ca="1"/>
        <v>CZECH NEWS CENTER a. s.</v>
      </c>
      <c r="C755" s="3" t="str">
        <f ca="1">IFERROR(__xludf.DUMMYFUNCTION("""COMPUTED_VALUE"""),"Maminka")</f>
        <v>Maminka</v>
      </c>
      <c r="D755" s="4" t="str">
        <f ca="1">IFERROR(__xludf.DUMMYFUNCTION("""COMPUTED_VALUE"""),"https://maminka.cz")</f>
        <v>https://maminka.cz</v>
      </c>
      <c r="E755" s="3" t="str">
        <f ca="1">IFERROR(__xludf.DUMMYFUNCTION("""COMPUTED_VALUE"""),"celý web")</f>
        <v>celý web</v>
      </c>
      <c r="F755" s="4" t="str">
        <f ca="1">IFERROR(__xludf.DUMMYFUNCTION("""COMPUTED_VALUE"""),"https://maminka.cz")</f>
        <v>https://maminka.cz</v>
      </c>
      <c r="G755" s="3" t="str">
        <f ca="1">IFERROR(__xludf.DUMMYFUNCTION("""COMPUTED_VALUE"""),"nativní rectangle cross-device low season")</f>
        <v>nativní rectangle cross-device low season</v>
      </c>
      <c r="H755" s="3">
        <f ca="1">IFERROR(__xludf.DUMMYFUNCTION("""COMPUTED_VALUE"""),7)</f>
        <v>7</v>
      </c>
      <c r="I755" s="5">
        <f ca="1">IFERROR(__xludf.DUMMYFUNCTION("""COMPUTED_VALUE"""),1000)</f>
        <v>1000</v>
      </c>
      <c r="J755" s="5">
        <f ca="1">IFERROR(__xludf.DUMMYFUNCTION("""COMPUTED_VALUE"""),200)</f>
        <v>200</v>
      </c>
      <c r="K755" s="3"/>
      <c r="L755" s="3" t="str">
        <f ca="1">IFERROR(__xludf.DUMMYFUNCTION("""COMPUTED_VALUE"""),"Cost per period")</f>
        <v>Cost per period</v>
      </c>
      <c r="M755" s="3"/>
      <c r="N755" s="3"/>
      <c r="O755" s="3" t="str">
        <f ca="1">IFERROR(__xludf.DUMMYFUNCTION("""COMPUTED_VALUE"""),"640")</f>
        <v>640</v>
      </c>
      <c r="P755" s="3" t="str">
        <f ca="1">IFERROR(__xludf.DUMMYFUNCTION("""COMPUTED_VALUE"""),"335, 640")</f>
        <v>335, 640</v>
      </c>
      <c r="Q755" s="3" t="str">
        <f ca="1">IFERROR(__xludf.DUMMYFUNCTION("""COMPUTED_VALUE"""),"640x640 a 640x335 + text + logo")</f>
        <v>640x640 a 640x335 + text + logo</v>
      </c>
      <c r="R755" s="3"/>
      <c r="S755" s="3" t="str">
        <f ca="1">IFERROR(__xludf.DUMMYFUNCTION("""COMPUTED_VALUE"""),"45")</f>
        <v>45</v>
      </c>
      <c r="T755" s="3"/>
      <c r="U755" s="3" t="str">
        <f ca="1">IFERROR(__xludf.DUMMYFUNCTION("""COMPUTED_VALUE"""),"nativní reklama")</f>
        <v>nativní reklama</v>
      </c>
      <c r="V755" s="3"/>
      <c r="W755" s="4" t="str">
        <f ca="1">IFERROR(__xludf.DUMMYFUNCTION("""COMPUTED_VALUE"""),"https://reklama.cncenter.cz/Online/nativni-rectangle-cross-device")</f>
        <v>https://reklama.cncenter.cz/Online/nativni-rectangle-cross-device</v>
      </c>
      <c r="X755" s="3"/>
      <c r="Y755" s="3"/>
      <c r="Z755" s="3" t="str">
        <f ca="1">IFERROR(__xludf.DUMMYFUNCTION("""COMPUTED_VALUE"""),"podklady@cncenter.cz")</f>
        <v>podklady@cncenter.cz</v>
      </c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 t="str">
        <f ca="1">IFERROR(__xludf.DUMMYFUNCTION("""COMPUTED_VALUE"""),"cross-device")</f>
        <v>cross-device</v>
      </c>
      <c r="AO755" s="3"/>
      <c r="AP755" s="3"/>
      <c r="AQ755" s="3"/>
      <c r="AR755" s="3"/>
      <c r="AS755" s="3"/>
      <c r="AT755" s="3"/>
      <c r="AU755" s="3" t="str">
        <f ca="1">IFERROR(__xludf.DUMMYFUNCTION("""COMPUTED_VALUE"""),"nativní rectangle cross-device")</f>
        <v>nativní rectangle cross-device</v>
      </c>
    </row>
    <row r="756" spans="1:47" x14ac:dyDescent="0.3">
      <c r="A756" s="3">
        <f ca="1"/>
        <v>2346826</v>
      </c>
      <c r="B756" s="3" t="str">
        <f ca="1"/>
        <v>CZECH NEWS CENTER a. s.</v>
      </c>
      <c r="C756" s="3" t="str">
        <f ca="1">IFERROR(__xludf.DUMMYFUNCTION("""COMPUTED_VALUE"""),"Maminka")</f>
        <v>Maminka</v>
      </c>
      <c r="D756" s="4" t="str">
        <f ca="1">IFERROR(__xludf.DUMMYFUNCTION("""COMPUTED_VALUE"""),"https://maminka.cz")</f>
        <v>https://maminka.cz</v>
      </c>
      <c r="E756" s="3" t="str">
        <f ca="1">IFERROR(__xludf.DUMMYFUNCTION("""COMPUTED_VALUE"""),"celý web")</f>
        <v>celý web</v>
      </c>
      <c r="F756" s="4" t="str">
        <f ca="1">IFERROR(__xludf.DUMMYFUNCTION("""COMPUTED_VALUE"""),"https://maminka.cz")</f>
        <v>https://maminka.cz</v>
      </c>
      <c r="G756" s="3" t="str">
        <f ca="1">IFERROR(__xludf.DUMMYFUNCTION("""COMPUTED_VALUE"""),"outstream low season")</f>
        <v>outstream low season</v>
      </c>
      <c r="H756" s="3">
        <f ca="1">IFERROR(__xludf.DUMMYFUNCTION("""COMPUTED_VALUE"""),7)</f>
        <v>7</v>
      </c>
      <c r="I756" s="5">
        <f ca="1">IFERROR(__xludf.DUMMYFUNCTION("""COMPUTED_VALUE"""),1000)</f>
        <v>1000</v>
      </c>
      <c r="J756" s="5">
        <f ca="1">IFERROR(__xludf.DUMMYFUNCTION("""COMPUTED_VALUE"""),250)</f>
        <v>250</v>
      </c>
      <c r="K756" s="3"/>
      <c r="L756" s="3" t="str">
        <f ca="1">IFERROR(__xludf.DUMMYFUNCTION("""COMPUTED_VALUE"""),"Cost per period")</f>
        <v>Cost per period</v>
      </c>
      <c r="M756" s="3"/>
      <c r="N756" s="3"/>
      <c r="O756" s="3" t="str">
        <f ca="1">IFERROR(__xludf.DUMMYFUNCTION("""COMPUTED_VALUE"""),"1280")</f>
        <v>1280</v>
      </c>
      <c r="P756" s="3" t="str">
        <f ca="1">IFERROR(__xludf.DUMMYFUNCTION("""COMPUTED_VALUE"""),"720")</f>
        <v>720</v>
      </c>
      <c r="Q756" s="3" t="str">
        <f ca="1">IFERROR(__xludf.DUMMYFUNCTION("""COMPUTED_VALUE"""),"16:9")</f>
        <v>16:9</v>
      </c>
      <c r="R756" s="3"/>
      <c r="S756" s="3" t="str">
        <f ca="1">IFERROR(__xludf.DUMMYFUNCTION("""COMPUTED_VALUE"""),"100")</f>
        <v>100</v>
      </c>
      <c r="T756" s="3"/>
      <c r="U756" s="3" t="str">
        <f ca="1">IFERROR(__xludf.DUMMYFUNCTION("""COMPUTED_VALUE"""),"videospot")</f>
        <v>videospot</v>
      </c>
      <c r="V756" s="3"/>
      <c r="W756" s="4" t="str">
        <f ca="1">IFERROR(__xludf.DUMMYFUNCTION("""COMPUTED_VALUE"""),"https://reklama.cncenter.cz/Online/Outstream")</f>
        <v>https://reklama.cncenter.cz/Online/Outstream</v>
      </c>
      <c r="X756" s="3"/>
      <c r="Y756" s="3"/>
      <c r="Z756" s="3" t="str">
        <f ca="1">IFERROR(__xludf.DUMMYFUNCTION("""COMPUTED_VALUE"""),"podklady@cncenter.cz")</f>
        <v>podklady@cncenter.cz</v>
      </c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 t="str">
        <f ca="1">IFERROR(__xludf.DUMMYFUNCTION("""COMPUTED_VALUE"""),"cross-device")</f>
        <v>cross-device</v>
      </c>
      <c r="AO756" s="3"/>
      <c r="AP756" s="3"/>
      <c r="AQ756" s="3"/>
      <c r="AR756" s="3"/>
      <c r="AS756" s="3"/>
      <c r="AT756" s="3"/>
      <c r="AU756" s="3" t="str">
        <f ca="1">IFERROR(__xludf.DUMMYFUNCTION("""COMPUTED_VALUE"""),"outstream")</f>
        <v>outstream</v>
      </c>
    </row>
    <row r="757" spans="1:47" x14ac:dyDescent="0.3">
      <c r="A757" s="3">
        <f ca="1"/>
        <v>2346826</v>
      </c>
      <c r="B757" s="3" t="str">
        <f ca="1"/>
        <v>CZECH NEWS CENTER a. s.</v>
      </c>
      <c r="C757" s="3" t="str">
        <f ca="1">IFERROR(__xludf.DUMMYFUNCTION("""COMPUTED_VALUE"""),"Maminka")</f>
        <v>Maminka</v>
      </c>
      <c r="D757" s="4" t="str">
        <f ca="1">IFERROR(__xludf.DUMMYFUNCTION("""COMPUTED_VALUE"""),"https://maminka.cz")</f>
        <v>https://maminka.cz</v>
      </c>
      <c r="E757" s="3" t="str">
        <f ca="1">IFERROR(__xludf.DUMMYFUNCTION("""COMPUTED_VALUE"""),"celý web")</f>
        <v>celý web</v>
      </c>
      <c r="F757" s="4" t="str">
        <f ca="1">IFERROR(__xludf.DUMMYFUNCTION("""COMPUTED_VALUE"""),"https://maminka.cz")</f>
        <v>https://maminka.cz</v>
      </c>
      <c r="G757" s="3" t="str">
        <f ca="1">IFERROR(__xludf.DUMMYFUNCTION("""COMPUTED_VALUE"""),"PR článek low season")</f>
        <v>PR článek low season</v>
      </c>
      <c r="H757" s="3">
        <f ca="1">IFERROR(__xludf.DUMMYFUNCTION("""COMPUTED_VALUE"""),1)</f>
        <v>1</v>
      </c>
      <c r="I757" s="5">
        <f ca="1">IFERROR(__xludf.DUMMYFUNCTION("""COMPUTED_VALUE"""),1)</f>
        <v>1</v>
      </c>
      <c r="J757" s="5">
        <f ca="1">IFERROR(__xludf.DUMMYFUNCTION("""COMPUTED_VALUE"""),20000)</f>
        <v>20000</v>
      </c>
      <c r="K757" s="3"/>
      <c r="L757" s="3" t="str">
        <f ca="1">IFERROR(__xludf.DUMMYFUNCTION("""COMPUTED_VALUE"""),"Cost per instance")</f>
        <v>Cost per instance</v>
      </c>
      <c r="M757" s="3"/>
      <c r="N757" s="3"/>
      <c r="O757" s="3"/>
      <c r="P757" s="3"/>
      <c r="Q757" s="3"/>
      <c r="R757" s="3"/>
      <c r="S757" s="3" t="str">
        <f ca="1">IFERROR(__xludf.DUMMYFUNCTION("""COMPUTED_VALUE"""),"100")</f>
        <v>100</v>
      </c>
      <c r="T757" s="3"/>
      <c r="U757" s="3" t="str">
        <f ca="1">IFERROR(__xludf.DUMMYFUNCTION("""COMPUTED_VALUE"""),"pr článek")</f>
        <v>pr článek</v>
      </c>
      <c r="V757" s="3"/>
      <c r="W757" s="4" t="str">
        <f ca="1">IFERROR(__xludf.DUMMYFUNCTION("""COMPUTED_VALUE"""),"https://reklama.cncenter.cz/?ads=PR%2520%25C4%258Dl%25C3%25A1nky")</f>
        <v>https://reklama.cncenter.cz/?ads=PR%2520%25C4%258Dl%25C3%25A1nky</v>
      </c>
      <c r="X757" s="3"/>
      <c r="Y757" s="3"/>
      <c r="Z757" s="3" t="str">
        <f ca="1">IFERROR(__xludf.DUMMYFUNCTION("""COMPUTED_VALUE"""),"podklady@cncenter.cz")</f>
        <v>podklady@cncenter.cz</v>
      </c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 t="str">
        <f ca="1">IFERROR(__xludf.DUMMYFUNCTION("""COMPUTED_VALUE"""),"cross-device")</f>
        <v>cross-device</v>
      </c>
      <c r="AO757" s="3"/>
      <c r="AP757" s="3"/>
      <c r="AQ757" s="3"/>
      <c r="AR757" s="3"/>
      <c r="AS757" s="3"/>
      <c r="AT757" s="3"/>
      <c r="AU757" s="3" t="str">
        <f ca="1">IFERROR(__xludf.DUMMYFUNCTION("""COMPUTED_VALUE"""),"PR článek")</f>
        <v>PR článek</v>
      </c>
    </row>
    <row r="758" spans="1:47" x14ac:dyDescent="0.3">
      <c r="A758" s="3">
        <f ca="1"/>
        <v>2346826</v>
      </c>
      <c r="B758" s="3" t="str">
        <f ca="1"/>
        <v>CZECH NEWS CENTER a. s.</v>
      </c>
      <c r="C758" s="3" t="str">
        <f ca="1">IFERROR(__xludf.DUMMYFUNCTION("""COMPUTED_VALUE"""),"Maminka")</f>
        <v>Maminka</v>
      </c>
      <c r="D758" s="4" t="str">
        <f ca="1">IFERROR(__xludf.DUMMYFUNCTION("""COMPUTED_VALUE"""),"https://maminka.cz")</f>
        <v>https://maminka.cz</v>
      </c>
      <c r="E758" s="3" t="str">
        <f ca="1">IFERROR(__xludf.DUMMYFUNCTION("""COMPUTED_VALUE"""),"celý web")</f>
        <v>celý web</v>
      </c>
      <c r="F758" s="4" t="str">
        <f ca="1">IFERROR(__xludf.DUMMYFUNCTION("""COMPUTED_VALUE"""),"https://maminka.cz")</f>
        <v>https://maminka.cz</v>
      </c>
      <c r="G758" s="3" t="str">
        <f ca="1">IFERROR(__xludf.DUMMYFUNCTION("""COMPUTED_VALUE"""),"Prodloužení existující microsite, bez úprav low season")</f>
        <v>Prodloužení existující microsite, bez úprav low season</v>
      </c>
      <c r="H758" s="3">
        <f ca="1">IFERROR(__xludf.DUMMYFUNCTION("""COMPUTED_VALUE"""),1)</f>
        <v>1</v>
      </c>
      <c r="I758" s="5">
        <f ca="1">IFERROR(__xludf.DUMMYFUNCTION("""COMPUTED_VALUE"""),1)</f>
        <v>1</v>
      </c>
      <c r="J758" s="5">
        <f ca="1">IFERROR(__xludf.DUMMYFUNCTION("""COMPUTED_VALUE"""),15000)</f>
        <v>15000</v>
      </c>
      <c r="K758" s="3"/>
      <c r="L758" s="3" t="str">
        <f ca="1">IFERROR(__xludf.DUMMYFUNCTION("""COMPUTED_VALUE"""),"Cost per instance")</f>
        <v>Cost per instance</v>
      </c>
      <c r="M758" s="3"/>
      <c r="N758" s="3"/>
      <c r="O758" s="3"/>
      <c r="P758" s="3"/>
      <c r="Q758" s="3"/>
      <c r="R758" s="3"/>
      <c r="S758" s="3" t="str">
        <f ca="1">IFERROR(__xludf.DUMMYFUNCTION("""COMPUTED_VALUE"""),"100")</f>
        <v>100</v>
      </c>
      <c r="T758" s="3"/>
      <c r="U758" s="3" t="str">
        <f ca="1">IFERROR(__xludf.DUMMYFUNCTION("""COMPUTED_VALUE"""),"microsite")</f>
        <v>microsite</v>
      </c>
      <c r="V758" s="3"/>
      <c r="W758" s="3"/>
      <c r="X758" s="3"/>
      <c r="Y758" s="3"/>
      <c r="Z758" s="3" t="str">
        <f ca="1">IFERROR(__xludf.DUMMYFUNCTION("""COMPUTED_VALUE"""),"podklady@cncenter.cz")</f>
        <v>podklady@cncenter.cz</v>
      </c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 t="str">
        <f ca="1">IFERROR(__xludf.DUMMYFUNCTION("""COMPUTED_VALUE"""),"cross-device")</f>
        <v>cross-device</v>
      </c>
      <c r="AO758" s="3"/>
      <c r="AP758" s="3"/>
      <c r="AQ758" s="3"/>
      <c r="AR758" s="3"/>
      <c r="AS758" s="3"/>
      <c r="AT758" s="3"/>
      <c r="AU758" s="3" t="str">
        <f ca="1">IFERROR(__xludf.DUMMYFUNCTION("""COMPUTED_VALUE"""),"Prodloužení existující microsite, bez úprav")</f>
        <v>Prodloužení existující microsite, bez úprav</v>
      </c>
    </row>
    <row r="759" spans="1:47" x14ac:dyDescent="0.3">
      <c r="A759" s="3">
        <f ca="1"/>
        <v>2346826</v>
      </c>
      <c r="B759" s="3" t="str">
        <f ca="1"/>
        <v>CZECH NEWS CENTER a. s.</v>
      </c>
      <c r="C759" s="3" t="str">
        <f ca="1">IFERROR(__xludf.DUMMYFUNCTION("""COMPUTED_VALUE"""),"Maminka")</f>
        <v>Maminka</v>
      </c>
      <c r="D759" s="4" t="str">
        <f ca="1">IFERROR(__xludf.DUMMYFUNCTION("""COMPUTED_VALUE"""),"https://maminka.cz")</f>
        <v>https://maminka.cz</v>
      </c>
      <c r="E759" s="3" t="str">
        <f ca="1">IFERROR(__xludf.DUMMYFUNCTION("""COMPUTED_VALUE"""),"celý web")</f>
        <v>celý web</v>
      </c>
      <c r="F759" s="4" t="str">
        <f ca="1">IFERROR(__xludf.DUMMYFUNCTION("""COMPUTED_VALUE"""),"https://maminka.cz")</f>
        <v>https://maminka.cz</v>
      </c>
      <c r="G759" s="3" t="str">
        <f ca="1">IFERROR(__xludf.DUMMYFUNCTION("""COMPUTED_VALUE"""),"Prodloužení existující microsite, bez úprav low season")</f>
        <v>Prodloužení existující microsite, bez úprav low season</v>
      </c>
      <c r="H759" s="3">
        <f ca="1">IFERROR(__xludf.DUMMYFUNCTION("""COMPUTED_VALUE"""),1)</f>
        <v>1</v>
      </c>
      <c r="I759" s="5">
        <f ca="1">IFERROR(__xludf.DUMMYFUNCTION("""COMPUTED_VALUE"""),1)</f>
        <v>1</v>
      </c>
      <c r="J759" s="5">
        <f ca="1">IFERROR(__xludf.DUMMYFUNCTION("""COMPUTED_VALUE"""),15000)</f>
        <v>15000</v>
      </c>
      <c r="K759" s="3"/>
      <c r="L759" s="3" t="str">
        <f ca="1">IFERROR(__xludf.DUMMYFUNCTION("""COMPUTED_VALUE"""),"Cost per instance")</f>
        <v>Cost per instance</v>
      </c>
      <c r="M759" s="3"/>
      <c r="N759" s="3"/>
      <c r="O759" s="3"/>
      <c r="P759" s="3"/>
      <c r="Q759" s="3"/>
      <c r="R759" s="3"/>
      <c r="S759" s="3" t="str">
        <f ca="1">IFERROR(__xludf.DUMMYFUNCTION("""COMPUTED_VALUE"""),"100")</f>
        <v>100</v>
      </c>
      <c r="T759" s="3"/>
      <c r="U759" s="3" t="str">
        <f ca="1">IFERROR(__xludf.DUMMYFUNCTION("""COMPUTED_VALUE"""),"microsite")</f>
        <v>microsite</v>
      </c>
      <c r="V759" s="3"/>
      <c r="W759" s="3"/>
      <c r="X759" s="3"/>
      <c r="Y759" s="3"/>
      <c r="Z759" s="3" t="str">
        <f ca="1">IFERROR(__xludf.DUMMYFUNCTION("""COMPUTED_VALUE"""),"podklady@cncenter.cz")</f>
        <v>podklady@cncenter.cz</v>
      </c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 t="str">
        <f ca="1">IFERROR(__xludf.DUMMYFUNCTION("""COMPUTED_VALUE"""),"cross-device")</f>
        <v>cross-device</v>
      </c>
      <c r="AO759" s="3"/>
      <c r="AP759" s="3"/>
      <c r="AQ759" s="3"/>
      <c r="AR759" s="3"/>
      <c r="AS759" s="3"/>
      <c r="AT759" s="3"/>
      <c r="AU759" s="3" t="str">
        <f ca="1">IFERROR(__xludf.DUMMYFUNCTION("""COMPUTED_VALUE"""),"Prodloužení existující microsite, bez úprav")</f>
        <v>Prodloužení existující microsite, bez úprav</v>
      </c>
    </row>
    <row r="760" spans="1:47" x14ac:dyDescent="0.3">
      <c r="A760" s="3">
        <f ca="1"/>
        <v>2346826</v>
      </c>
      <c r="B760" s="3" t="str">
        <f ca="1"/>
        <v>CZECH NEWS CENTER a. s.</v>
      </c>
      <c r="C760" s="3" t="str">
        <f ca="1">IFERROR(__xludf.DUMMYFUNCTION("""COMPUTED_VALUE"""),"Maminka")</f>
        <v>Maminka</v>
      </c>
      <c r="D760" s="4" t="str">
        <f ca="1">IFERROR(__xludf.DUMMYFUNCTION("""COMPUTED_VALUE"""),"https://maminka.cz")</f>
        <v>https://maminka.cz</v>
      </c>
      <c r="E760" s="3" t="str">
        <f ca="1">IFERROR(__xludf.DUMMYFUNCTION("""COMPUTED_VALUE"""),"celý web")</f>
        <v>celý web</v>
      </c>
      <c r="F760" s="4" t="str">
        <f ca="1">IFERROR(__xludf.DUMMYFUNCTION("""COMPUTED_VALUE"""),"https://maminka.cz")</f>
        <v>https://maminka.cz</v>
      </c>
      <c r="G760" s="3" t="str">
        <f ca="1">IFERROR(__xludf.DUMMYFUNCTION("""COMPUTED_VALUE"""),"Prodloužení existující microsite, bez úprav low season")</f>
        <v>Prodloužení existující microsite, bez úprav low season</v>
      </c>
      <c r="H760" s="3">
        <f ca="1">IFERROR(__xludf.DUMMYFUNCTION("""COMPUTED_VALUE"""),1)</f>
        <v>1</v>
      </c>
      <c r="I760" s="5">
        <f ca="1">IFERROR(__xludf.DUMMYFUNCTION("""COMPUTED_VALUE"""),1)</f>
        <v>1</v>
      </c>
      <c r="J760" s="5">
        <f ca="1">IFERROR(__xludf.DUMMYFUNCTION("""COMPUTED_VALUE"""),15000)</f>
        <v>15000</v>
      </c>
      <c r="K760" s="3"/>
      <c r="L760" s="3" t="str">
        <f ca="1">IFERROR(__xludf.DUMMYFUNCTION("""COMPUTED_VALUE"""),"Cost per instance")</f>
        <v>Cost per instance</v>
      </c>
      <c r="M760" s="3"/>
      <c r="N760" s="3"/>
      <c r="O760" s="3"/>
      <c r="P760" s="3"/>
      <c r="Q760" s="3"/>
      <c r="R760" s="3"/>
      <c r="S760" s="3" t="str">
        <f ca="1">IFERROR(__xludf.DUMMYFUNCTION("""COMPUTED_VALUE"""),"100")</f>
        <v>100</v>
      </c>
      <c r="T760" s="3"/>
      <c r="U760" s="3" t="str">
        <f ca="1">IFERROR(__xludf.DUMMYFUNCTION("""COMPUTED_VALUE"""),"microsite")</f>
        <v>microsite</v>
      </c>
      <c r="V760" s="3"/>
      <c r="W760" s="3"/>
      <c r="X760" s="3"/>
      <c r="Y760" s="3"/>
      <c r="Z760" s="3" t="str">
        <f ca="1">IFERROR(__xludf.DUMMYFUNCTION("""COMPUTED_VALUE"""),"podklady@cncenter.cz")</f>
        <v>podklady@cncenter.cz</v>
      </c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 t="str">
        <f ca="1">IFERROR(__xludf.DUMMYFUNCTION("""COMPUTED_VALUE"""),"cross-device")</f>
        <v>cross-device</v>
      </c>
      <c r="AO760" s="3"/>
      <c r="AP760" s="3"/>
      <c r="AQ760" s="3"/>
      <c r="AR760" s="3"/>
      <c r="AS760" s="3"/>
      <c r="AT760" s="3"/>
      <c r="AU760" s="3" t="str">
        <f ca="1">IFERROR(__xludf.DUMMYFUNCTION("""COMPUTED_VALUE"""),"Prodloužení existující microsite, bez úprav")</f>
        <v>Prodloužení existující microsite, bez úprav</v>
      </c>
    </row>
    <row r="761" spans="1:47" x14ac:dyDescent="0.3">
      <c r="A761" s="3">
        <f ca="1"/>
        <v>2346826</v>
      </c>
      <c r="B761" s="3" t="str">
        <f ca="1"/>
        <v>CZECH NEWS CENTER a. s.</v>
      </c>
      <c r="C761" s="3" t="str">
        <f ca="1">IFERROR(__xludf.DUMMYFUNCTION("""COMPUTED_VALUE"""),"Maminka")</f>
        <v>Maminka</v>
      </c>
      <c r="D761" s="4" t="str">
        <f ca="1">IFERROR(__xludf.DUMMYFUNCTION("""COMPUTED_VALUE"""),"https://maminka.cz")</f>
        <v>https://maminka.cz</v>
      </c>
      <c r="E761" s="3" t="str">
        <f ca="1">IFERROR(__xludf.DUMMYFUNCTION("""COMPUTED_VALUE"""),"celý web")</f>
        <v>celý web</v>
      </c>
      <c r="F761" s="4" t="str">
        <f ca="1">IFERROR(__xludf.DUMMYFUNCTION("""COMPUTED_VALUE"""),"https://maminka.cz")</f>
        <v>https://maminka.cz</v>
      </c>
      <c r="G761" s="3" t="str">
        <f ca="1">IFERROR(__xludf.DUMMYFUNCTION("""COMPUTED_VALUE"""),"videospot - max. 30 sec. / bumper low season")</f>
        <v>videospot - max. 30 sec. / bumper low season</v>
      </c>
      <c r="H761" s="3">
        <f ca="1">IFERROR(__xludf.DUMMYFUNCTION("""COMPUTED_VALUE"""),7)</f>
        <v>7</v>
      </c>
      <c r="I761" s="5">
        <f ca="1">IFERROR(__xludf.DUMMYFUNCTION("""COMPUTED_VALUE"""),1000)</f>
        <v>1000</v>
      </c>
      <c r="J761" s="5">
        <f ca="1">IFERROR(__xludf.DUMMYFUNCTION("""COMPUTED_VALUE"""),740)</f>
        <v>740</v>
      </c>
      <c r="K761" s="3"/>
      <c r="L761" s="3" t="str">
        <f ca="1">IFERROR(__xludf.DUMMYFUNCTION("""COMPUTED_VALUE"""),"Cost per period")</f>
        <v>Cost per period</v>
      </c>
      <c r="M761" s="3"/>
      <c r="N761" s="3"/>
      <c r="O761" s="3" t="str">
        <f ca="1">IFERROR(__xludf.DUMMYFUNCTION("""COMPUTED_VALUE"""),"1280")</f>
        <v>1280</v>
      </c>
      <c r="P761" s="3" t="str">
        <f ca="1">IFERROR(__xludf.DUMMYFUNCTION("""COMPUTED_VALUE"""),"720")</f>
        <v>720</v>
      </c>
      <c r="Q761" s="3" t="str">
        <f ca="1">IFERROR(__xludf.DUMMYFUNCTION("""COMPUTED_VALUE"""),"16:9 / umístění po domluvě dle možností")</f>
        <v>16:9 / umístění po domluvě dle možností</v>
      </c>
      <c r="R761" s="3" t="str">
        <f ca="1">IFERROR(__xludf.DUMMYFUNCTION("""COMPUTED_VALUE"""),"přeskočení po 7 sekundách")</f>
        <v>přeskočení po 7 sekundách</v>
      </c>
      <c r="S761" s="3" t="str">
        <f ca="1">IFERROR(__xludf.DUMMYFUNCTION("""COMPUTED_VALUE"""),"100")</f>
        <v>100</v>
      </c>
      <c r="T761" s="3"/>
      <c r="U761" s="3" t="str">
        <f ca="1">IFERROR(__xludf.DUMMYFUNCTION("""COMPUTED_VALUE"""),"videospot")</f>
        <v>videospot</v>
      </c>
      <c r="V761" s="3"/>
      <c r="W761" s="4" t="str">
        <f ca="1">IFERROR(__xludf.DUMMYFUNCTION("""COMPUTED_VALUE"""),"https://reklama.cncenter.cz/Online/Bumper")</f>
        <v>https://reklama.cncenter.cz/Online/Bumper</v>
      </c>
      <c r="X761" s="3"/>
      <c r="Y761" s="3"/>
      <c r="Z761" s="3" t="str">
        <f ca="1">IFERROR(__xludf.DUMMYFUNCTION("""COMPUTED_VALUE"""),"podklady@cncenter.cz")</f>
        <v>podklady@cncenter.cz</v>
      </c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 t="str">
        <f ca="1">IFERROR(__xludf.DUMMYFUNCTION("""COMPUTED_VALUE"""),"cross-device")</f>
        <v>cross-device</v>
      </c>
      <c r="AO761" s="3"/>
      <c r="AP761" s="3"/>
      <c r="AQ761" s="3"/>
      <c r="AR761" s="3"/>
      <c r="AS761" s="3"/>
      <c r="AT761" s="3"/>
      <c r="AU761" s="3" t="str">
        <f ca="1">IFERROR(__xludf.DUMMYFUNCTION("""COMPUTED_VALUE"""),"videospot - max. 30 sec. / bumper")</f>
        <v>videospot - max. 30 sec. / bumper</v>
      </c>
    </row>
    <row r="762" spans="1:47" x14ac:dyDescent="0.3">
      <c r="A762" s="3">
        <f ca="1"/>
        <v>2346826</v>
      </c>
      <c r="B762" s="3" t="str">
        <f ca="1"/>
        <v>CZECH NEWS CENTER a. s.</v>
      </c>
      <c r="C762" s="3" t="str">
        <f ca="1">IFERROR(__xludf.DUMMYFUNCTION("""COMPUTED_VALUE"""),"Mimibazar")</f>
        <v>Mimibazar</v>
      </c>
      <c r="D762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2" s="3" t="str">
        <f ca="1">IFERROR(__xludf.DUMMYFUNCTION("""COMPUTED_VALUE"""),"celý web")</f>
        <v>celý web</v>
      </c>
      <c r="F762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2" s="3" t="str">
        <f ca="1">IFERROR(__xludf.DUMMYFUNCTION("""COMPUTED_VALUE"""),"Advertorial low season")</f>
        <v>Advertorial low season</v>
      </c>
      <c r="H762" s="3">
        <f ca="1">IFERROR(__xludf.DUMMYFUNCTION("""COMPUTED_VALUE"""),1)</f>
        <v>1</v>
      </c>
      <c r="I762" s="5">
        <f ca="1">IFERROR(__xludf.DUMMYFUNCTION("""COMPUTED_VALUE"""),1)</f>
        <v>1</v>
      </c>
      <c r="J762" s="5">
        <f ca="1">IFERROR(__xludf.DUMMYFUNCTION("""COMPUTED_VALUE"""),90000)</f>
        <v>90000</v>
      </c>
      <c r="K762" s="3"/>
      <c r="L762" s="3" t="str">
        <f ca="1">IFERROR(__xludf.DUMMYFUNCTION("""COMPUTED_VALUE"""),"Cost per instance")</f>
        <v>Cost per instance</v>
      </c>
      <c r="M762" s="3"/>
      <c r="N762" s="3"/>
      <c r="O762" s="3"/>
      <c r="P762" s="3"/>
      <c r="Q762" s="3"/>
      <c r="R762" s="3"/>
      <c r="S762" s="3" t="str">
        <f ca="1">IFERROR(__xludf.DUMMYFUNCTION("""COMPUTED_VALUE"""),"100")</f>
        <v>100</v>
      </c>
      <c r="T762" s="3"/>
      <c r="U762" s="3" t="str">
        <f ca="1">IFERROR(__xludf.DUMMYFUNCTION("""COMPUTED_VALUE"""),"pr článek")</f>
        <v>pr článek</v>
      </c>
      <c r="V762" s="3"/>
      <c r="W762" s="3"/>
      <c r="X762" s="3"/>
      <c r="Y762" s="3"/>
      <c r="Z762" s="3" t="str">
        <f ca="1">IFERROR(__xludf.DUMMYFUNCTION("""COMPUTED_VALUE"""),"podklady@cncenter.cz")</f>
        <v>podklady@cncenter.cz</v>
      </c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 t="str">
        <f ca="1">IFERROR(__xludf.DUMMYFUNCTION("""COMPUTED_VALUE"""),"cross-device")</f>
        <v>cross-device</v>
      </c>
      <c r="AO762" s="3"/>
      <c r="AP762" s="3"/>
      <c r="AQ762" s="3"/>
      <c r="AR762" s="3"/>
      <c r="AS762" s="3"/>
      <c r="AT762" s="3"/>
      <c r="AU762" s="3" t="str">
        <f ca="1">IFERROR(__xludf.DUMMYFUNCTION("""COMPUTED_VALUE"""),"Advertorial")</f>
        <v>Advertorial</v>
      </c>
    </row>
    <row r="763" spans="1:47" x14ac:dyDescent="0.3">
      <c r="A763" s="3">
        <f ca="1"/>
        <v>2346826</v>
      </c>
      <c r="B763" s="3" t="str">
        <f ca="1"/>
        <v>CZECH NEWS CENTER a. s.</v>
      </c>
      <c r="C763" s="3" t="str">
        <f ca="1">IFERROR(__xludf.DUMMYFUNCTION("""COMPUTED_VALUE"""),"Mimibazar")</f>
        <v>Mimibazar</v>
      </c>
      <c r="D763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3" s="3" t="str">
        <f ca="1">IFERROR(__xludf.DUMMYFUNCTION("""COMPUTED_VALUE"""),"celý web")</f>
        <v>celý web</v>
      </c>
      <c r="F763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3" s="3" t="str">
        <f ca="1">IFERROR(__xludf.DUMMYFUNCTION("""COMPUTED_VALUE"""),"billboard bottom low season")</f>
        <v>billboard bottom low season</v>
      </c>
      <c r="H763" s="3">
        <f ca="1">IFERROR(__xludf.DUMMYFUNCTION("""COMPUTED_VALUE"""),7)</f>
        <v>7</v>
      </c>
      <c r="I763" s="5">
        <f ca="1">IFERROR(__xludf.DUMMYFUNCTION("""COMPUTED_VALUE"""),1000)</f>
        <v>1000</v>
      </c>
      <c r="J763" s="5">
        <f ca="1">IFERROR(__xludf.DUMMYFUNCTION("""COMPUTED_VALUE"""),240)</f>
        <v>240</v>
      </c>
      <c r="K763" s="3"/>
      <c r="L763" s="3" t="str">
        <f ca="1">IFERROR(__xludf.DUMMYFUNCTION("""COMPUTED_VALUE"""),"Cost per period")</f>
        <v>Cost per period</v>
      </c>
      <c r="M763" s="3"/>
      <c r="N763" s="3"/>
      <c r="O763" s="3" t="str">
        <f ca="1">IFERROR(__xludf.DUMMYFUNCTION("""COMPUTED_VALUE"""),"970")</f>
        <v>970</v>
      </c>
      <c r="P763" s="3" t="str">
        <f ca="1">IFERROR(__xludf.DUMMYFUNCTION("""COMPUTED_VALUE"""),"250")</f>
        <v>250</v>
      </c>
      <c r="Q763" s="3" t="str">
        <f ca="1">IFERROR(__xludf.DUMMYFUNCTION("""COMPUTED_VALUE"""),"970x250")</f>
        <v>970x250</v>
      </c>
      <c r="R763" s="3"/>
      <c r="S763" s="3" t="str">
        <f ca="1">IFERROR(__xludf.DUMMYFUNCTION("""COMPUTED_VALUE"""),"100 (200 - HTML5)")</f>
        <v>100 (200 - HTML5)</v>
      </c>
      <c r="T763" s="3"/>
      <c r="U763" s="3" t="str">
        <f ca="1">IFERROR(__xludf.DUMMYFUNCTION("""COMPUTED_VALUE"""),"banner standard")</f>
        <v>banner standard</v>
      </c>
      <c r="V763" s="3"/>
      <c r="W763" s="4" t="str">
        <f ca="1">IFERROR(__xludf.DUMMYFUNCTION("""COMPUTED_VALUE"""),"https://reklama.cncenter.cz/Online/billboard-bottom")</f>
        <v>https://reklama.cncenter.cz/Online/billboard-bottom</v>
      </c>
      <c r="X763" s="3"/>
      <c r="Y763" s="3"/>
      <c r="Z763" s="3" t="str">
        <f ca="1">IFERROR(__xludf.DUMMYFUNCTION("""COMPUTED_VALUE"""),"podklady@cncenter.cz")</f>
        <v>podklady@cncenter.cz</v>
      </c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 t="str">
        <f ca="1">IFERROR(__xludf.DUMMYFUNCTION("""COMPUTED_VALUE"""),"desktop")</f>
        <v>desktop</v>
      </c>
      <c r="AO763" s="3"/>
      <c r="AP763" s="3"/>
      <c r="AQ763" s="3"/>
      <c r="AR763" s="3"/>
      <c r="AS763" s="3"/>
      <c r="AT763" s="3"/>
      <c r="AU763" s="3" t="str">
        <f ca="1">IFERROR(__xludf.DUMMYFUNCTION("""COMPUTED_VALUE"""),"billboard bottom")</f>
        <v>billboard bottom</v>
      </c>
    </row>
    <row r="764" spans="1:47" x14ac:dyDescent="0.3">
      <c r="A764" s="3">
        <f ca="1"/>
        <v>2346826</v>
      </c>
      <c r="B764" s="3" t="str">
        <f ca="1"/>
        <v>CZECH NEWS CENTER a. s.</v>
      </c>
      <c r="C764" s="3" t="str">
        <f ca="1">IFERROR(__xludf.DUMMYFUNCTION("""COMPUTED_VALUE"""),"Mimibazar")</f>
        <v>Mimibazar</v>
      </c>
      <c r="D764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4" s="3" t="str">
        <f ca="1">IFERROR(__xludf.DUMMYFUNCTION("""COMPUTED_VALUE"""),"celý web")</f>
        <v>celý web</v>
      </c>
      <c r="F764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4" s="3" t="str">
        <f ca="1">IFERROR(__xludf.DUMMYFUNCTION("""COMPUTED_VALUE"""),"branding cross-device low season")</f>
        <v>branding cross-device low season</v>
      </c>
      <c r="H764" s="3">
        <f ca="1">IFERROR(__xludf.DUMMYFUNCTION("""COMPUTED_VALUE"""),7)</f>
        <v>7</v>
      </c>
      <c r="I764" s="5">
        <f ca="1">IFERROR(__xludf.DUMMYFUNCTION("""COMPUTED_VALUE"""),1000)</f>
        <v>1000</v>
      </c>
      <c r="J764" s="5">
        <f ca="1">IFERROR(__xludf.DUMMYFUNCTION("""COMPUTED_VALUE"""),300)</f>
        <v>300</v>
      </c>
      <c r="K764" s="3"/>
      <c r="L764" s="3" t="str">
        <f ca="1">IFERROR(__xludf.DUMMYFUNCTION("""COMPUTED_VALUE"""),"Cost per period")</f>
        <v>Cost per period</v>
      </c>
      <c r="M764" s="3"/>
      <c r="N764" s="3"/>
      <c r="O764" s="3" t="str">
        <f ca="1">IFERROR(__xludf.DUMMYFUNCTION("""COMPUTED_VALUE"""),"2000")</f>
        <v>2000</v>
      </c>
      <c r="P764" s="3" t="str">
        <f ca="1">IFERROR(__xludf.DUMMYFUNCTION("""COMPUTED_VALUE"""),"1400")</f>
        <v>1400</v>
      </c>
      <c r="Q764" s="3" t="str">
        <f ca="1">IFERROR(__xludf.DUMMYFUNCTION("""COMPUTED_VALUE"""),"2000x1400 + 600x1080")</f>
        <v>2000x1400 + 600x1080</v>
      </c>
      <c r="R764" s="3"/>
      <c r="S764" s="3" t="str">
        <f ca="1">IFERROR(__xludf.DUMMYFUNCTION("""COMPUTED_VALUE"""),"500 (600 - HTLM5)")</f>
        <v>500 (600 - HTLM5)</v>
      </c>
      <c r="T764" s="3"/>
      <c r="U764" s="3" t="str">
        <f ca="1">IFERROR(__xludf.DUMMYFUNCTION("""COMPUTED_VALUE"""),"banner standard")</f>
        <v>banner standard</v>
      </c>
      <c r="V764" s="3"/>
      <c r="W764" s="4" t="str">
        <f ca="1">IFERROR(__xludf.DUMMYFUNCTION("""COMPUTED_VALUE"""),"https://reklama.cncenter.cz/Online/branding-cross-device")</f>
        <v>https://reklama.cncenter.cz/Online/branding-cross-device</v>
      </c>
      <c r="X764" s="3"/>
      <c r="Y764" s="3"/>
      <c r="Z764" s="3" t="str">
        <f ca="1">IFERROR(__xludf.DUMMYFUNCTION("""COMPUTED_VALUE"""),"podklady@cncenter.cz")</f>
        <v>podklady@cncenter.cz</v>
      </c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 t="str">
        <f ca="1">IFERROR(__xludf.DUMMYFUNCTION("""COMPUTED_VALUE"""),"cross-device")</f>
        <v>cross-device</v>
      </c>
      <c r="AO764" s="3"/>
      <c r="AP764" s="3"/>
      <c r="AQ764" s="3"/>
      <c r="AR764" s="3"/>
      <c r="AS764" s="3"/>
      <c r="AT764" s="3"/>
      <c r="AU764" s="3" t="str">
        <f ca="1">IFERROR(__xludf.DUMMYFUNCTION("""COMPUTED_VALUE"""),"branding cross-device")</f>
        <v>branding cross-device</v>
      </c>
    </row>
    <row r="765" spans="1:47" x14ac:dyDescent="0.3">
      <c r="A765" s="3">
        <f ca="1"/>
        <v>2346826</v>
      </c>
      <c r="B765" s="3" t="str">
        <f ca="1"/>
        <v>CZECH NEWS CENTER a. s.</v>
      </c>
      <c r="C765" s="3" t="str">
        <f ca="1">IFERROR(__xludf.DUMMYFUNCTION("""COMPUTED_VALUE"""),"Mimibazar")</f>
        <v>Mimibazar</v>
      </c>
      <c r="D765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5" s="3" t="str">
        <f ca="1">IFERROR(__xludf.DUMMYFUNCTION("""COMPUTED_VALUE"""),"celý web")</f>
        <v>celý web</v>
      </c>
      <c r="F765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5" s="3" t="str">
        <f ca="1">IFERROR(__xludf.DUMMYFUNCTION("""COMPUTED_VALUE"""),"branding low season")</f>
        <v>branding low season</v>
      </c>
      <c r="H765" s="3">
        <f ca="1">IFERROR(__xludf.DUMMYFUNCTION("""COMPUTED_VALUE"""),7)</f>
        <v>7</v>
      </c>
      <c r="I765" s="5">
        <f ca="1">IFERROR(__xludf.DUMMYFUNCTION("""COMPUTED_VALUE"""),1000)</f>
        <v>1000</v>
      </c>
      <c r="J765" s="5">
        <f ca="1">IFERROR(__xludf.DUMMYFUNCTION("""COMPUTED_VALUE"""),490)</f>
        <v>490</v>
      </c>
      <c r="K765" s="3"/>
      <c r="L765" s="3" t="str">
        <f ca="1">IFERROR(__xludf.DUMMYFUNCTION("""COMPUTED_VALUE"""),"Cost per period")</f>
        <v>Cost per period</v>
      </c>
      <c r="M765" s="3"/>
      <c r="N765" s="3"/>
      <c r="O765" s="3" t="str">
        <f ca="1">IFERROR(__xludf.DUMMYFUNCTION("""COMPUTED_VALUE"""),"2000")</f>
        <v>2000</v>
      </c>
      <c r="P765" s="3" t="str">
        <f ca="1">IFERROR(__xludf.DUMMYFUNCTION("""COMPUTED_VALUE"""),"1400")</f>
        <v>1400</v>
      </c>
      <c r="Q765" s="3" t="str">
        <f ca="1">IFERROR(__xludf.DUMMYFUNCTION("""COMPUTED_VALUE"""),"2000x1400")</f>
        <v>2000x1400</v>
      </c>
      <c r="R765" s="3"/>
      <c r="S765" s="3" t="str">
        <f ca="1">IFERROR(__xludf.DUMMYFUNCTION("""COMPUTED_VALUE"""),"500 + 200 (600+200 HTML5)")</f>
        <v>500 + 200 (600+200 HTML5)</v>
      </c>
      <c r="T765" s="3"/>
      <c r="U765" s="3" t="str">
        <f ca="1">IFERROR(__xludf.DUMMYFUNCTION("""COMPUTED_VALUE"""),"banner standard")</f>
        <v>banner standard</v>
      </c>
      <c r="V765" s="3"/>
      <c r="W765" s="4" t="str">
        <f ca="1">IFERROR(__xludf.DUMMYFUNCTION("""COMPUTED_VALUE"""),"https://reklama.cncenter.cz/Online/branding")</f>
        <v>https://reklama.cncenter.cz/Online/branding</v>
      </c>
      <c r="X765" s="3"/>
      <c r="Y765" s="3"/>
      <c r="Z765" s="3" t="str">
        <f ca="1">IFERROR(__xludf.DUMMYFUNCTION("""COMPUTED_VALUE"""),"podklady@cncenter.cz")</f>
        <v>podklady@cncenter.cz</v>
      </c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 t="str">
        <f ca="1">IFERROR(__xludf.DUMMYFUNCTION("""COMPUTED_VALUE"""),"desktop")</f>
        <v>desktop</v>
      </c>
      <c r="AO765" s="3"/>
      <c r="AP765" s="3"/>
      <c r="AQ765" s="3"/>
      <c r="AR765" s="3"/>
      <c r="AS765" s="3"/>
      <c r="AT765" s="3"/>
      <c r="AU765" s="3" t="str">
        <f ca="1">IFERROR(__xludf.DUMMYFUNCTION("""COMPUTED_VALUE"""),"branding")</f>
        <v>branding</v>
      </c>
    </row>
    <row r="766" spans="1:47" x14ac:dyDescent="0.3">
      <c r="A766" s="3">
        <f ca="1"/>
        <v>2346826</v>
      </c>
      <c r="B766" s="3" t="str">
        <f ca="1"/>
        <v>CZECH NEWS CENTER a. s.</v>
      </c>
      <c r="C766" s="3" t="str">
        <f ca="1">IFERROR(__xludf.DUMMYFUNCTION("""COMPUTED_VALUE"""),"Mimibazar")</f>
        <v>Mimibazar</v>
      </c>
      <c r="D766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6" s="3" t="str">
        <f ca="1">IFERROR(__xludf.DUMMYFUNCTION("""COMPUTED_VALUE"""),"celý web")</f>
        <v>celý web</v>
      </c>
      <c r="F766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6" s="3" t="str">
        <f ca="1">IFERROR(__xludf.DUMMYFUNCTION("""COMPUTED_VALUE"""),"cílený billboard bottom low season")</f>
        <v>cílený billboard bottom low season</v>
      </c>
      <c r="H766" s="3">
        <f ca="1">IFERROR(__xludf.DUMMYFUNCTION("""COMPUTED_VALUE"""),7)</f>
        <v>7</v>
      </c>
      <c r="I766" s="5">
        <f ca="1">IFERROR(__xludf.DUMMYFUNCTION("""COMPUTED_VALUE"""),1000)</f>
        <v>1000</v>
      </c>
      <c r="J766" s="5">
        <f ca="1">IFERROR(__xludf.DUMMYFUNCTION("""COMPUTED_VALUE"""),288)</f>
        <v>288</v>
      </c>
      <c r="K766" s="3"/>
      <c r="L766" s="3" t="str">
        <f ca="1">IFERROR(__xludf.DUMMYFUNCTION("""COMPUTED_VALUE"""),"Cost per period")</f>
        <v>Cost per period</v>
      </c>
      <c r="M766" s="3"/>
      <c r="N766" s="3"/>
      <c r="O766" s="3" t="str">
        <f ca="1">IFERROR(__xludf.DUMMYFUNCTION("""COMPUTED_VALUE"""),"970")</f>
        <v>970</v>
      </c>
      <c r="P766" s="3" t="str">
        <f ca="1">IFERROR(__xludf.DUMMYFUNCTION("""COMPUTED_VALUE"""),"250")</f>
        <v>250</v>
      </c>
      <c r="Q766" s="3" t="str">
        <f ca="1">IFERROR(__xludf.DUMMYFUNCTION("""COMPUTED_VALUE"""),"970x250")</f>
        <v>970x250</v>
      </c>
      <c r="R766" s="3"/>
      <c r="S766" s="3" t="str">
        <f ca="1">IFERROR(__xludf.DUMMYFUNCTION("""COMPUTED_VALUE"""),"100 (200 - HTML5)")</f>
        <v>100 (200 - HTML5)</v>
      </c>
      <c r="T766" s="3"/>
      <c r="U766" s="3" t="str">
        <f ca="1">IFERROR(__xludf.DUMMYFUNCTION("""COMPUTED_VALUE"""),"banner standard")</f>
        <v>banner standard</v>
      </c>
      <c r="V766" s="3"/>
      <c r="W766" s="4" t="str">
        <f ca="1">IFERROR(__xludf.DUMMYFUNCTION("""COMPUTED_VALUE"""),"https://reklama.cncenter.cz/Online/billboard-bottom")</f>
        <v>https://reklama.cncenter.cz/Online/billboard-bottom</v>
      </c>
      <c r="X766" s="3"/>
      <c r="Y766" s="3"/>
      <c r="Z766" s="3" t="str">
        <f ca="1">IFERROR(__xludf.DUMMYFUNCTION("""COMPUTED_VALUE"""),"podklady@cncenter.cz")</f>
        <v>podklady@cncenter.cz</v>
      </c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 t="str">
        <f ca="1">IFERROR(__xludf.DUMMYFUNCTION("""COMPUTED_VALUE"""),"desktop")</f>
        <v>desktop</v>
      </c>
      <c r="AO766" s="3"/>
      <c r="AP766" s="3"/>
      <c r="AQ766" s="3"/>
      <c r="AR766" s="3"/>
      <c r="AS766" s="3"/>
      <c r="AT766" s="3"/>
      <c r="AU766" s="3" t="str">
        <f ca="1">IFERROR(__xludf.DUMMYFUNCTION("""COMPUTED_VALUE"""),"cílený billboard bottom")</f>
        <v>cílený billboard bottom</v>
      </c>
    </row>
    <row r="767" spans="1:47" x14ac:dyDescent="0.3">
      <c r="A767" s="3">
        <f ca="1"/>
        <v>2346826</v>
      </c>
      <c r="B767" s="3" t="str">
        <f ca="1"/>
        <v>CZECH NEWS CENTER a. s.</v>
      </c>
      <c r="C767" s="3" t="str">
        <f ca="1">IFERROR(__xludf.DUMMYFUNCTION("""COMPUTED_VALUE"""),"Mimibazar")</f>
        <v>Mimibazar</v>
      </c>
      <c r="D767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7" s="3" t="str">
        <f ca="1">IFERROR(__xludf.DUMMYFUNCTION("""COMPUTED_VALUE"""),"celý web")</f>
        <v>celý web</v>
      </c>
      <c r="F767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7" s="3" t="str">
        <f ca="1">IFERROR(__xludf.DUMMYFUNCTION("""COMPUTED_VALUE"""),"cílený branding cross-device low season")</f>
        <v>cílený branding cross-device low season</v>
      </c>
      <c r="H767" s="3">
        <f ca="1">IFERROR(__xludf.DUMMYFUNCTION("""COMPUTED_VALUE"""),7)</f>
        <v>7</v>
      </c>
      <c r="I767" s="5">
        <f ca="1">IFERROR(__xludf.DUMMYFUNCTION("""COMPUTED_VALUE"""),1000)</f>
        <v>1000</v>
      </c>
      <c r="J767" s="5">
        <f ca="1">IFERROR(__xludf.DUMMYFUNCTION("""COMPUTED_VALUE"""),360)</f>
        <v>360</v>
      </c>
      <c r="K767" s="3"/>
      <c r="L767" s="3" t="str">
        <f ca="1">IFERROR(__xludf.DUMMYFUNCTION("""COMPUTED_VALUE"""),"Cost per period")</f>
        <v>Cost per period</v>
      </c>
      <c r="M767" s="3"/>
      <c r="N767" s="3"/>
      <c r="O767" s="3" t="str">
        <f ca="1">IFERROR(__xludf.DUMMYFUNCTION("""COMPUTED_VALUE"""),"2000")</f>
        <v>2000</v>
      </c>
      <c r="P767" s="3" t="str">
        <f ca="1">IFERROR(__xludf.DUMMYFUNCTION("""COMPUTED_VALUE"""),"1400")</f>
        <v>1400</v>
      </c>
      <c r="Q767" s="3" t="str">
        <f ca="1">IFERROR(__xludf.DUMMYFUNCTION("""COMPUTED_VALUE"""),"2000x1400 + 600x1080")</f>
        <v>2000x1400 + 600x1080</v>
      </c>
      <c r="R767" s="3"/>
      <c r="S767" s="3" t="str">
        <f ca="1">IFERROR(__xludf.DUMMYFUNCTION("""COMPUTED_VALUE"""),"500 (600 - HTLM5)")</f>
        <v>500 (600 - HTLM5)</v>
      </c>
      <c r="T767" s="3"/>
      <c r="U767" s="3" t="str">
        <f ca="1">IFERROR(__xludf.DUMMYFUNCTION("""COMPUTED_VALUE"""),"banner standard")</f>
        <v>banner standard</v>
      </c>
      <c r="V767" s="3"/>
      <c r="W767" s="4" t="str">
        <f ca="1">IFERROR(__xludf.DUMMYFUNCTION("""COMPUTED_VALUE"""),"https://reklama.cncenter.cz/Online/branding-cross-device")</f>
        <v>https://reklama.cncenter.cz/Online/branding-cross-device</v>
      </c>
      <c r="X767" s="3"/>
      <c r="Y767" s="3"/>
      <c r="Z767" s="3" t="str">
        <f ca="1">IFERROR(__xludf.DUMMYFUNCTION("""COMPUTED_VALUE"""),"podklady@cncenter.cz")</f>
        <v>podklady@cncenter.cz</v>
      </c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 t="str">
        <f ca="1">IFERROR(__xludf.DUMMYFUNCTION("""COMPUTED_VALUE"""),"cross-device")</f>
        <v>cross-device</v>
      </c>
      <c r="AO767" s="3"/>
      <c r="AP767" s="3"/>
      <c r="AQ767" s="3"/>
      <c r="AR767" s="3"/>
      <c r="AS767" s="3"/>
      <c r="AT767" s="3"/>
      <c r="AU767" s="3" t="str">
        <f ca="1">IFERROR(__xludf.DUMMYFUNCTION("""COMPUTED_VALUE"""),"cílený branding cross-device")</f>
        <v>cílený branding cross-device</v>
      </c>
    </row>
    <row r="768" spans="1:47" x14ac:dyDescent="0.3">
      <c r="A768" s="3">
        <f ca="1"/>
        <v>2346826</v>
      </c>
      <c r="B768" s="3" t="str">
        <f ca="1"/>
        <v>CZECH NEWS CENTER a. s.</v>
      </c>
      <c r="C768" s="3" t="str">
        <f ca="1">IFERROR(__xludf.DUMMYFUNCTION("""COMPUTED_VALUE"""),"Mimibazar")</f>
        <v>Mimibazar</v>
      </c>
      <c r="D768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8" s="3" t="str">
        <f ca="1">IFERROR(__xludf.DUMMYFUNCTION("""COMPUTED_VALUE"""),"celý web")</f>
        <v>celý web</v>
      </c>
      <c r="F768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8" s="3" t="str">
        <f ca="1">IFERROR(__xludf.DUMMYFUNCTION("""COMPUTED_VALUE"""),"cílený branding low season")</f>
        <v>cílený branding low season</v>
      </c>
      <c r="H768" s="3">
        <f ca="1">IFERROR(__xludf.DUMMYFUNCTION("""COMPUTED_VALUE"""),7)</f>
        <v>7</v>
      </c>
      <c r="I768" s="5">
        <f ca="1">IFERROR(__xludf.DUMMYFUNCTION("""COMPUTED_VALUE"""),1000)</f>
        <v>1000</v>
      </c>
      <c r="J768" s="5">
        <f ca="1">IFERROR(__xludf.DUMMYFUNCTION("""COMPUTED_VALUE"""),588)</f>
        <v>588</v>
      </c>
      <c r="K768" s="3"/>
      <c r="L768" s="3" t="str">
        <f ca="1">IFERROR(__xludf.DUMMYFUNCTION("""COMPUTED_VALUE"""),"Cost per period")</f>
        <v>Cost per period</v>
      </c>
      <c r="M768" s="3"/>
      <c r="N768" s="3"/>
      <c r="O768" s="3" t="str">
        <f ca="1">IFERROR(__xludf.DUMMYFUNCTION("""COMPUTED_VALUE"""),"2000")</f>
        <v>2000</v>
      </c>
      <c r="P768" s="3" t="str">
        <f ca="1">IFERROR(__xludf.DUMMYFUNCTION("""COMPUTED_VALUE"""),"1400")</f>
        <v>1400</v>
      </c>
      <c r="Q768" s="3" t="str">
        <f ca="1">IFERROR(__xludf.DUMMYFUNCTION("""COMPUTED_VALUE"""),"2000x1400")</f>
        <v>2000x1400</v>
      </c>
      <c r="R768" s="3"/>
      <c r="S768" s="3" t="str">
        <f ca="1">IFERROR(__xludf.DUMMYFUNCTION("""COMPUTED_VALUE"""),"500 + 200 (600+200 HTML5)")</f>
        <v>500 + 200 (600+200 HTML5)</v>
      </c>
      <c r="T768" s="3"/>
      <c r="U768" s="3" t="str">
        <f ca="1">IFERROR(__xludf.DUMMYFUNCTION("""COMPUTED_VALUE"""),"banner standard")</f>
        <v>banner standard</v>
      </c>
      <c r="V768" s="3"/>
      <c r="W768" s="4" t="str">
        <f ca="1">IFERROR(__xludf.DUMMYFUNCTION("""COMPUTED_VALUE"""),"https://reklama.cncenter.cz/Online/branding")</f>
        <v>https://reklama.cncenter.cz/Online/branding</v>
      </c>
      <c r="X768" s="3"/>
      <c r="Y768" s="3"/>
      <c r="Z768" s="3" t="str">
        <f ca="1">IFERROR(__xludf.DUMMYFUNCTION("""COMPUTED_VALUE"""),"podklady@cncenter.cz")</f>
        <v>podklady@cncenter.cz</v>
      </c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 t="str">
        <f ca="1">IFERROR(__xludf.DUMMYFUNCTION("""COMPUTED_VALUE"""),"desktop")</f>
        <v>desktop</v>
      </c>
      <c r="AO768" s="3"/>
      <c r="AP768" s="3"/>
      <c r="AQ768" s="3"/>
      <c r="AR768" s="3"/>
      <c r="AS768" s="3"/>
      <c r="AT768" s="3"/>
      <c r="AU768" s="3" t="str">
        <f ca="1">IFERROR(__xludf.DUMMYFUNCTION("""COMPUTED_VALUE"""),"cílený branding")</f>
        <v>cílený branding</v>
      </c>
    </row>
    <row r="769" spans="1:47" x14ac:dyDescent="0.3">
      <c r="A769" s="3">
        <f ca="1"/>
        <v>2346826</v>
      </c>
      <c r="B769" s="3" t="str">
        <f ca="1"/>
        <v>CZECH NEWS CENTER a. s.</v>
      </c>
      <c r="C769" s="3" t="str">
        <f ca="1">IFERROR(__xludf.DUMMYFUNCTION("""COMPUTED_VALUE"""),"Mimibazar")</f>
        <v>Mimibazar</v>
      </c>
      <c r="D769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9" s="3" t="str">
        <f ca="1">IFERROR(__xludf.DUMMYFUNCTION("""COMPUTED_VALUE"""),"celý web")</f>
        <v>celý web</v>
      </c>
      <c r="F769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9" s="3" t="str">
        <f ca="1">IFERROR(__xludf.DUMMYFUNCTION("""COMPUTED_VALUE"""),"cílený double skyscraper low season")</f>
        <v>cílený double skyscraper low season</v>
      </c>
      <c r="H769" s="3">
        <f ca="1">IFERROR(__xludf.DUMMYFUNCTION("""COMPUTED_VALUE"""),7)</f>
        <v>7</v>
      </c>
      <c r="I769" s="5">
        <f ca="1">IFERROR(__xludf.DUMMYFUNCTION("""COMPUTED_VALUE"""),1000)</f>
        <v>1000</v>
      </c>
      <c r="J769" s="5">
        <f ca="1">IFERROR(__xludf.DUMMYFUNCTION("""COMPUTED_VALUE"""),228)</f>
        <v>228</v>
      </c>
      <c r="K769" s="3"/>
      <c r="L769" s="3" t="str">
        <f ca="1">IFERROR(__xludf.DUMMYFUNCTION("""COMPUTED_VALUE"""),"Cost per period")</f>
        <v>Cost per period</v>
      </c>
      <c r="M769" s="3"/>
      <c r="N769" s="3"/>
      <c r="O769" s="3" t="str">
        <f ca="1">IFERROR(__xludf.DUMMYFUNCTION("""COMPUTED_VALUE"""),"300")</f>
        <v>300</v>
      </c>
      <c r="P769" s="3" t="str">
        <f ca="1">IFERROR(__xludf.DUMMYFUNCTION("""COMPUTED_VALUE"""),"600")</f>
        <v>600</v>
      </c>
      <c r="Q769" s="3" t="str">
        <f ca="1">IFERROR(__xludf.DUMMYFUNCTION("""COMPUTED_VALUE"""),"300x600")</f>
        <v>300x600</v>
      </c>
      <c r="R769" s="3"/>
      <c r="S769" s="3" t="str">
        <f ca="1">IFERROR(__xludf.DUMMYFUNCTION("""COMPUTED_VALUE"""),"100 (200 - HTML5)")</f>
        <v>100 (200 - HTML5)</v>
      </c>
      <c r="T769" s="3"/>
      <c r="U769" s="3" t="str">
        <f ca="1">IFERROR(__xludf.DUMMYFUNCTION("""COMPUTED_VALUE"""),"banner standard")</f>
        <v>banner standard</v>
      </c>
      <c r="V769" s="3"/>
      <c r="W769" s="4" t="str">
        <f ca="1">IFERROR(__xludf.DUMMYFUNCTION("""COMPUTED_VALUE"""),"https://reklama.cncenter.cz/Online/double-skyscraper")</f>
        <v>https://reklama.cncenter.cz/Online/double-skyscraper</v>
      </c>
      <c r="X769" s="3"/>
      <c r="Y769" s="3"/>
      <c r="Z769" s="3" t="str">
        <f ca="1">IFERROR(__xludf.DUMMYFUNCTION("""COMPUTED_VALUE"""),"podklady@cncenter.cz")</f>
        <v>podklady@cncenter.cz</v>
      </c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 t="str">
        <f ca="1">IFERROR(__xludf.DUMMYFUNCTION("""COMPUTED_VALUE"""),"desktop")</f>
        <v>desktop</v>
      </c>
      <c r="AO769" s="3"/>
      <c r="AP769" s="3"/>
      <c r="AQ769" s="3"/>
      <c r="AR769" s="3"/>
      <c r="AS769" s="3"/>
      <c r="AT769" s="3"/>
      <c r="AU769" s="3" t="str">
        <f ca="1">IFERROR(__xludf.DUMMYFUNCTION("""COMPUTED_VALUE"""),"cílený double skyscraper")</f>
        <v>cílený double skyscraper</v>
      </c>
    </row>
    <row r="770" spans="1:47" x14ac:dyDescent="0.3">
      <c r="A770" s="3">
        <f ca="1"/>
        <v>2346826</v>
      </c>
      <c r="B770" s="3" t="str">
        <f ca="1"/>
        <v>CZECH NEWS CENTER a. s.</v>
      </c>
      <c r="C770" s="3" t="str">
        <f ca="1">IFERROR(__xludf.DUMMYFUNCTION("""COMPUTED_VALUE"""),"Mimibazar")</f>
        <v>Mimibazar</v>
      </c>
      <c r="D770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0" s="3" t="str">
        <f ca="1">IFERROR(__xludf.DUMMYFUNCTION("""COMPUTED_VALUE"""),"celý web")</f>
        <v>celý web</v>
      </c>
      <c r="F770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0" s="3" t="str">
        <f ca="1">IFERROR(__xludf.DUMMYFUNCTION("""COMPUTED_VALUE"""),"cílený mobilní interscroller low season")</f>
        <v>cílený mobilní interscroller low season</v>
      </c>
      <c r="H770" s="3">
        <f ca="1">IFERROR(__xludf.DUMMYFUNCTION("""COMPUTED_VALUE"""),7)</f>
        <v>7</v>
      </c>
      <c r="I770" s="5">
        <f ca="1">IFERROR(__xludf.DUMMYFUNCTION("""COMPUTED_VALUE"""),1000)</f>
        <v>1000</v>
      </c>
      <c r="J770" s="5">
        <f ca="1">IFERROR(__xludf.DUMMYFUNCTION("""COMPUTED_VALUE"""),300)</f>
        <v>300</v>
      </c>
      <c r="K770" s="3"/>
      <c r="L770" s="3" t="str">
        <f ca="1">IFERROR(__xludf.DUMMYFUNCTION("""COMPUTED_VALUE"""),"Cost per period")</f>
        <v>Cost per period</v>
      </c>
      <c r="M770" s="3"/>
      <c r="N770" s="3"/>
      <c r="O770" s="3" t="str">
        <f ca="1">IFERROR(__xludf.DUMMYFUNCTION("""COMPUTED_VALUE"""),"600")</f>
        <v>600</v>
      </c>
      <c r="P770" s="3" t="str">
        <f ca="1">IFERROR(__xludf.DUMMYFUNCTION("""COMPUTED_VALUE"""),"1080")</f>
        <v>1080</v>
      </c>
      <c r="Q770" s="3" t="str">
        <f ca="1">IFERROR(__xludf.DUMMYFUNCTION("""COMPUTED_VALUE"""),"600x1080")</f>
        <v>600x1080</v>
      </c>
      <c r="R770" s="3"/>
      <c r="S770" s="3" t="str">
        <f ca="1">IFERROR(__xludf.DUMMYFUNCTION("""COMPUTED_VALUE"""),"200")</f>
        <v>200</v>
      </c>
      <c r="T770" s="3"/>
      <c r="U770" s="3" t="str">
        <f ca="1">IFERROR(__xludf.DUMMYFUNCTION("""COMPUTED_VALUE"""),"banner standard")</f>
        <v>banner standard</v>
      </c>
      <c r="V770" s="3"/>
      <c r="W770" s="4" t="str">
        <f ca="1">IFERROR(__xludf.DUMMYFUNCTION("""COMPUTED_VALUE"""),"https://reklama.cncenter.cz/Online/mobilni-interscroller")</f>
        <v>https://reklama.cncenter.cz/Online/mobilni-interscroller</v>
      </c>
      <c r="X770" s="3"/>
      <c r="Y770" s="3"/>
      <c r="Z770" s="3" t="str">
        <f ca="1">IFERROR(__xludf.DUMMYFUNCTION("""COMPUTED_VALUE"""),"podklady@cncenter.cz")</f>
        <v>podklady@cncenter.cz</v>
      </c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 t="str">
        <f ca="1">IFERROR(__xludf.DUMMYFUNCTION("""COMPUTED_VALUE"""),"mobile")</f>
        <v>mobile</v>
      </c>
      <c r="AO770" s="3"/>
      <c r="AP770" s="3"/>
      <c r="AQ770" s="3"/>
      <c r="AR770" s="3"/>
      <c r="AS770" s="3"/>
      <c r="AT770" s="3"/>
      <c r="AU770" s="3" t="str">
        <f ca="1">IFERROR(__xludf.DUMMYFUNCTION("""COMPUTED_VALUE"""),"cílený mobilní interscroller")</f>
        <v>cílený mobilní interscroller</v>
      </c>
    </row>
    <row r="771" spans="1:47" x14ac:dyDescent="0.3">
      <c r="A771" s="3">
        <f ca="1"/>
        <v>2346826</v>
      </c>
      <c r="B771" s="3" t="str">
        <f ca="1"/>
        <v>CZECH NEWS CENTER a. s.</v>
      </c>
      <c r="C771" s="3" t="str">
        <f ca="1">IFERROR(__xludf.DUMMYFUNCTION("""COMPUTED_VALUE"""),"Mimibazar")</f>
        <v>Mimibazar</v>
      </c>
      <c r="D771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1" s="3" t="str">
        <f ca="1">IFERROR(__xludf.DUMMYFUNCTION("""COMPUTED_VALUE"""),"celý web")</f>
        <v>celý web</v>
      </c>
      <c r="F771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1" s="3" t="str">
        <f ca="1">IFERROR(__xludf.DUMMYFUNCTION("""COMPUTED_VALUE"""),"cílený mobilní slide-up low season")</f>
        <v>cílený mobilní slide-up low season</v>
      </c>
      <c r="H771" s="3">
        <f ca="1">IFERROR(__xludf.DUMMYFUNCTION("""COMPUTED_VALUE"""),7)</f>
        <v>7</v>
      </c>
      <c r="I771" s="5">
        <f ca="1">IFERROR(__xludf.DUMMYFUNCTION("""COMPUTED_VALUE"""),1000)</f>
        <v>1000</v>
      </c>
      <c r="J771" s="5">
        <f ca="1">IFERROR(__xludf.DUMMYFUNCTION("""COMPUTED_VALUE"""),612)</f>
        <v>612</v>
      </c>
      <c r="K771" s="3"/>
      <c r="L771" s="3" t="str">
        <f ca="1">IFERROR(__xludf.DUMMYFUNCTION("""COMPUTED_VALUE"""),"Cost per period")</f>
        <v>Cost per period</v>
      </c>
      <c r="M771" s="3"/>
      <c r="N771" s="3"/>
      <c r="O771" s="3" t="str">
        <f ca="1">IFERROR(__xludf.DUMMYFUNCTION("""COMPUTED_VALUE"""),"300")</f>
        <v>300</v>
      </c>
      <c r="P771" s="3" t="str">
        <f ca="1">IFERROR(__xludf.DUMMYFUNCTION("""COMPUTED_VALUE"""),"120")</f>
        <v>120</v>
      </c>
      <c r="Q771" s="3" t="str">
        <f ca="1">IFERROR(__xludf.DUMMYFUNCTION("""COMPUTED_VALUE"""),"300x120")</f>
        <v>300x120</v>
      </c>
      <c r="R771" s="3"/>
      <c r="S771" s="3" t="str">
        <f ca="1">IFERROR(__xludf.DUMMYFUNCTION("""COMPUTED_VALUE"""),"100")</f>
        <v>100</v>
      </c>
      <c r="T771" s="3"/>
      <c r="U771" s="3" t="str">
        <f ca="1">IFERROR(__xludf.DUMMYFUNCTION("""COMPUTED_VALUE"""),"banner standard")</f>
        <v>banner standard</v>
      </c>
      <c r="V771" s="3"/>
      <c r="W771" s="4" t="str">
        <f ca="1">IFERROR(__xludf.DUMMYFUNCTION("""COMPUTED_VALUE"""),"https://reklama.cncenter.cz/Online/mobilni-slide-up")</f>
        <v>https://reklama.cncenter.cz/Online/mobilni-slide-up</v>
      </c>
      <c r="X771" s="3"/>
      <c r="Y771" s="3"/>
      <c r="Z771" s="3" t="str">
        <f ca="1">IFERROR(__xludf.DUMMYFUNCTION("""COMPUTED_VALUE"""),"podklady@cncenter.cz")</f>
        <v>podklady@cncenter.cz</v>
      </c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 t="str">
        <f ca="1">IFERROR(__xludf.DUMMYFUNCTION("""COMPUTED_VALUE"""),"mobile")</f>
        <v>mobile</v>
      </c>
      <c r="AO771" s="3"/>
      <c r="AP771" s="3"/>
      <c r="AQ771" s="3"/>
      <c r="AR771" s="3"/>
      <c r="AS771" s="3"/>
      <c r="AT771" s="3"/>
      <c r="AU771" s="3" t="str">
        <f ca="1">IFERROR(__xludf.DUMMYFUNCTION("""COMPUTED_VALUE"""),"cílený mobilní slide-up")</f>
        <v>cílený mobilní slide-up</v>
      </c>
    </row>
    <row r="772" spans="1:47" x14ac:dyDescent="0.3">
      <c r="A772" s="3">
        <f ca="1"/>
        <v>2346826</v>
      </c>
      <c r="B772" s="3" t="str">
        <f ca="1"/>
        <v>CZECH NEWS CENTER a. s.</v>
      </c>
      <c r="C772" s="3" t="str">
        <f ca="1">IFERROR(__xludf.DUMMYFUNCTION("""COMPUTED_VALUE"""),"Mimibazar")</f>
        <v>Mimibazar</v>
      </c>
      <c r="D772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2" s="3" t="str">
        <f ca="1">IFERROR(__xludf.DUMMYFUNCTION("""COMPUTED_VALUE"""),"celý web")</f>
        <v>celý web</v>
      </c>
      <c r="F772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2" s="3" t="str">
        <f ca="1">IFERROR(__xludf.DUMMYFUNCTION("""COMPUTED_VALUE"""),"cílený mobilní viněta low season")</f>
        <v>cílený mobilní viněta low season</v>
      </c>
      <c r="H772" s="3">
        <f ca="1">IFERROR(__xludf.DUMMYFUNCTION("""COMPUTED_VALUE"""),7)</f>
        <v>7</v>
      </c>
      <c r="I772" s="5">
        <f ca="1">IFERROR(__xludf.DUMMYFUNCTION("""COMPUTED_VALUE"""),1000)</f>
        <v>1000</v>
      </c>
      <c r="J772" s="5">
        <f ca="1">IFERROR(__xludf.DUMMYFUNCTION("""COMPUTED_VALUE"""),1056)</f>
        <v>1056</v>
      </c>
      <c r="K772" s="3"/>
      <c r="L772" s="3" t="str">
        <f ca="1">IFERROR(__xludf.DUMMYFUNCTION("""COMPUTED_VALUE"""),"Cost per period")</f>
        <v>Cost per period</v>
      </c>
      <c r="M772" s="3"/>
      <c r="N772" s="3"/>
      <c r="O772" s="3" t="str">
        <f ca="1">IFERROR(__xludf.DUMMYFUNCTION("""COMPUTED_VALUE"""),"600")</f>
        <v>600</v>
      </c>
      <c r="P772" s="3" t="str">
        <f ca="1">IFERROR(__xludf.DUMMYFUNCTION("""COMPUTED_VALUE"""),"800")</f>
        <v>800</v>
      </c>
      <c r="Q772" s="3" t="str">
        <f ca="1">IFERROR(__xludf.DUMMYFUNCTION("""COMPUTED_VALUE"""),"300x250 nebo 600x800")</f>
        <v>300x250 nebo 600x800</v>
      </c>
      <c r="R772" s="3"/>
      <c r="S772" s="3" t="str">
        <f ca="1">IFERROR(__xludf.DUMMYFUNCTION("""COMPUTED_VALUE"""),"100")</f>
        <v>100</v>
      </c>
      <c r="T772" s="3"/>
      <c r="U772" s="3" t="str">
        <f ca="1">IFERROR(__xludf.DUMMYFUNCTION("""COMPUTED_VALUE"""),"banner standard")</f>
        <v>banner standard</v>
      </c>
      <c r="V772" s="3"/>
      <c r="W772" s="4" t="str">
        <f ca="1">IFERROR(__xludf.DUMMYFUNCTION("""COMPUTED_VALUE"""),"https://reklama.cncenter.cz/Online/mobilni-vineta")</f>
        <v>https://reklama.cncenter.cz/Online/mobilni-vineta</v>
      </c>
      <c r="X772" s="3"/>
      <c r="Y772" s="3"/>
      <c r="Z772" s="3" t="str">
        <f ca="1">IFERROR(__xludf.DUMMYFUNCTION("""COMPUTED_VALUE"""),"podklady@cncenter.cz")</f>
        <v>podklady@cncenter.cz</v>
      </c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 t="str">
        <f ca="1">IFERROR(__xludf.DUMMYFUNCTION("""COMPUTED_VALUE"""),"mobile")</f>
        <v>mobile</v>
      </c>
      <c r="AO772" s="3"/>
      <c r="AP772" s="3"/>
      <c r="AQ772" s="3"/>
      <c r="AR772" s="3"/>
      <c r="AS772" s="3"/>
      <c r="AT772" s="3"/>
      <c r="AU772" s="3" t="str">
        <f ca="1">IFERROR(__xludf.DUMMYFUNCTION("""COMPUTED_VALUE"""),"cílený mobilní viněta")</f>
        <v>cílený mobilní viněta</v>
      </c>
    </row>
    <row r="773" spans="1:47" x14ac:dyDescent="0.3">
      <c r="A773" s="3">
        <f ca="1"/>
        <v>2346826</v>
      </c>
      <c r="B773" s="3" t="str">
        <f ca="1"/>
        <v>CZECH NEWS CENTER a. s.</v>
      </c>
      <c r="C773" s="3" t="str">
        <f ca="1">IFERROR(__xludf.DUMMYFUNCTION("""COMPUTED_VALUE"""),"Mimibazar")</f>
        <v>Mimibazar</v>
      </c>
      <c r="D773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3" s="3" t="str">
        <f ca="1">IFERROR(__xludf.DUMMYFUNCTION("""COMPUTED_VALUE"""),"celý web")</f>
        <v>celý web</v>
      </c>
      <c r="F773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3" s="3" t="str">
        <f ca="1">IFERROR(__xludf.DUMMYFUNCTION("""COMPUTED_VALUE"""),"cílený nativní rectangle cross-device low season")</f>
        <v>cílený nativní rectangle cross-device low season</v>
      </c>
      <c r="H773" s="3">
        <f ca="1">IFERROR(__xludf.DUMMYFUNCTION("""COMPUTED_VALUE"""),7)</f>
        <v>7</v>
      </c>
      <c r="I773" s="5">
        <f ca="1">IFERROR(__xludf.DUMMYFUNCTION("""COMPUTED_VALUE"""),1000)</f>
        <v>1000</v>
      </c>
      <c r="J773" s="5">
        <f ca="1">IFERROR(__xludf.DUMMYFUNCTION("""COMPUTED_VALUE"""),240)</f>
        <v>240</v>
      </c>
      <c r="K773" s="3"/>
      <c r="L773" s="3" t="str">
        <f ca="1">IFERROR(__xludf.DUMMYFUNCTION("""COMPUTED_VALUE"""),"Cost per period")</f>
        <v>Cost per period</v>
      </c>
      <c r="M773" s="3"/>
      <c r="N773" s="3"/>
      <c r="O773" s="3" t="str">
        <f ca="1">IFERROR(__xludf.DUMMYFUNCTION("""COMPUTED_VALUE"""),"640")</f>
        <v>640</v>
      </c>
      <c r="P773" s="3" t="str">
        <f ca="1">IFERROR(__xludf.DUMMYFUNCTION("""COMPUTED_VALUE"""),"335, 640")</f>
        <v>335, 640</v>
      </c>
      <c r="Q773" s="3" t="str">
        <f ca="1">IFERROR(__xludf.DUMMYFUNCTION("""COMPUTED_VALUE"""),"640x640 a 640x335 + text + logo")</f>
        <v>640x640 a 640x335 + text + logo</v>
      </c>
      <c r="R773" s="3"/>
      <c r="S773" s="3" t="str">
        <f ca="1">IFERROR(__xludf.DUMMYFUNCTION("""COMPUTED_VALUE"""),"45")</f>
        <v>45</v>
      </c>
      <c r="T773" s="3"/>
      <c r="U773" s="3" t="str">
        <f ca="1">IFERROR(__xludf.DUMMYFUNCTION("""COMPUTED_VALUE"""),"nativní reklama")</f>
        <v>nativní reklama</v>
      </c>
      <c r="V773" s="3"/>
      <c r="W773" s="4" t="str">
        <f ca="1">IFERROR(__xludf.DUMMYFUNCTION("""COMPUTED_VALUE"""),"https://reklama.cncenter.cz/Online/nativni-rectangle-cross-device")</f>
        <v>https://reklama.cncenter.cz/Online/nativni-rectangle-cross-device</v>
      </c>
      <c r="X773" s="3"/>
      <c r="Y773" s="3"/>
      <c r="Z773" s="3" t="str">
        <f ca="1">IFERROR(__xludf.DUMMYFUNCTION("""COMPUTED_VALUE"""),"podklady@cncenter.cz")</f>
        <v>podklady@cncenter.cz</v>
      </c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 t="str">
        <f ca="1">IFERROR(__xludf.DUMMYFUNCTION("""COMPUTED_VALUE"""),"cross-device")</f>
        <v>cross-device</v>
      </c>
      <c r="AO773" s="3"/>
      <c r="AP773" s="3"/>
      <c r="AQ773" s="3"/>
      <c r="AR773" s="3"/>
      <c r="AS773" s="3"/>
      <c r="AT773" s="3"/>
      <c r="AU773" s="3" t="str">
        <f ca="1">IFERROR(__xludf.DUMMYFUNCTION("""COMPUTED_VALUE"""),"cílený nativní rectangle cross-device")</f>
        <v>cílený nativní rectangle cross-device</v>
      </c>
    </row>
    <row r="774" spans="1:47" x14ac:dyDescent="0.3">
      <c r="A774" s="3">
        <f ca="1"/>
        <v>2346826</v>
      </c>
      <c r="B774" s="3" t="str">
        <f ca="1"/>
        <v>CZECH NEWS CENTER a. s.</v>
      </c>
      <c r="C774" s="3" t="str">
        <f ca="1">IFERROR(__xludf.DUMMYFUNCTION("""COMPUTED_VALUE"""),"Mimibazar")</f>
        <v>Mimibazar</v>
      </c>
      <c r="D774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4" s="3" t="str">
        <f ca="1">IFERROR(__xludf.DUMMYFUNCTION("""COMPUTED_VALUE"""),"celý web")</f>
        <v>celý web</v>
      </c>
      <c r="F774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4" s="3" t="str">
        <f ca="1">IFERROR(__xludf.DUMMYFUNCTION("""COMPUTED_VALUE"""),"cílený outstream low season")</f>
        <v>cílený outstream low season</v>
      </c>
      <c r="H774" s="3">
        <f ca="1">IFERROR(__xludf.DUMMYFUNCTION("""COMPUTED_VALUE"""),7)</f>
        <v>7</v>
      </c>
      <c r="I774" s="5">
        <f ca="1">IFERROR(__xludf.DUMMYFUNCTION("""COMPUTED_VALUE"""),1000)</f>
        <v>1000</v>
      </c>
      <c r="J774" s="5">
        <f ca="1">IFERROR(__xludf.DUMMYFUNCTION("""COMPUTED_VALUE"""),300)</f>
        <v>300</v>
      </c>
      <c r="K774" s="3"/>
      <c r="L774" s="3" t="str">
        <f ca="1">IFERROR(__xludf.DUMMYFUNCTION("""COMPUTED_VALUE"""),"Cost per period")</f>
        <v>Cost per period</v>
      </c>
      <c r="M774" s="3"/>
      <c r="N774" s="3"/>
      <c r="O774" s="3" t="str">
        <f ca="1">IFERROR(__xludf.DUMMYFUNCTION("""COMPUTED_VALUE"""),"1280")</f>
        <v>1280</v>
      </c>
      <c r="P774" s="3" t="str">
        <f ca="1">IFERROR(__xludf.DUMMYFUNCTION("""COMPUTED_VALUE"""),"720")</f>
        <v>720</v>
      </c>
      <c r="Q774" s="3" t="str">
        <f ca="1">IFERROR(__xludf.DUMMYFUNCTION("""COMPUTED_VALUE"""),"16:9")</f>
        <v>16:9</v>
      </c>
      <c r="R774" s="3"/>
      <c r="S774" s="3" t="str">
        <f ca="1">IFERROR(__xludf.DUMMYFUNCTION("""COMPUTED_VALUE"""),"100")</f>
        <v>100</v>
      </c>
      <c r="T774" s="3"/>
      <c r="U774" s="3" t="str">
        <f ca="1">IFERROR(__xludf.DUMMYFUNCTION("""COMPUTED_VALUE"""),"videospot")</f>
        <v>videospot</v>
      </c>
      <c r="V774" s="3"/>
      <c r="W774" s="4" t="str">
        <f ca="1">IFERROR(__xludf.DUMMYFUNCTION("""COMPUTED_VALUE"""),"https://reklama.cncenter.cz/Online/Outstream")</f>
        <v>https://reklama.cncenter.cz/Online/Outstream</v>
      </c>
      <c r="X774" s="3"/>
      <c r="Y774" s="3"/>
      <c r="Z774" s="3" t="str">
        <f ca="1">IFERROR(__xludf.DUMMYFUNCTION("""COMPUTED_VALUE"""),"podklady@cncenter.cz")</f>
        <v>podklady@cncenter.cz</v>
      </c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 t="str">
        <f ca="1">IFERROR(__xludf.DUMMYFUNCTION("""COMPUTED_VALUE"""),"cross-device")</f>
        <v>cross-device</v>
      </c>
      <c r="AO774" s="3"/>
      <c r="AP774" s="3"/>
      <c r="AQ774" s="3"/>
      <c r="AR774" s="3"/>
      <c r="AS774" s="3"/>
      <c r="AT774" s="3"/>
      <c r="AU774" s="3" t="str">
        <f ca="1">IFERROR(__xludf.DUMMYFUNCTION("""COMPUTED_VALUE"""),"cílený outstream")</f>
        <v>cílený outstream</v>
      </c>
    </row>
    <row r="775" spans="1:47" x14ac:dyDescent="0.3">
      <c r="A775" s="3">
        <f ca="1"/>
        <v>2346826</v>
      </c>
      <c r="B775" s="3" t="str">
        <f ca="1"/>
        <v>CZECH NEWS CENTER a. s.</v>
      </c>
      <c r="C775" s="3" t="str">
        <f ca="1">IFERROR(__xludf.DUMMYFUNCTION("""COMPUTED_VALUE"""),"Mimibazar")</f>
        <v>Mimibazar</v>
      </c>
      <c r="D775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5" s="3" t="str">
        <f ca="1">IFERROR(__xludf.DUMMYFUNCTION("""COMPUTED_VALUE"""),"celý web")</f>
        <v>celý web</v>
      </c>
      <c r="F775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5" s="3" t="str">
        <f ca="1">IFERROR(__xludf.DUMMYFUNCTION("""COMPUTED_VALUE"""),"cílený videospot - max. 30 sec. / bumper low season")</f>
        <v>cílený videospot - max. 30 sec. / bumper low season</v>
      </c>
      <c r="H775" s="3">
        <f ca="1">IFERROR(__xludf.DUMMYFUNCTION("""COMPUTED_VALUE"""),7)</f>
        <v>7</v>
      </c>
      <c r="I775" s="5">
        <f ca="1">IFERROR(__xludf.DUMMYFUNCTION("""COMPUTED_VALUE"""),1000)</f>
        <v>1000</v>
      </c>
      <c r="J775" s="5">
        <f ca="1">IFERROR(__xludf.DUMMYFUNCTION("""COMPUTED_VALUE"""),888)</f>
        <v>888</v>
      </c>
      <c r="K775" s="3"/>
      <c r="L775" s="3" t="str">
        <f ca="1">IFERROR(__xludf.DUMMYFUNCTION("""COMPUTED_VALUE"""),"Cost per period")</f>
        <v>Cost per period</v>
      </c>
      <c r="M775" s="3"/>
      <c r="N775" s="3"/>
      <c r="O775" s="3" t="str">
        <f ca="1">IFERROR(__xludf.DUMMYFUNCTION("""COMPUTED_VALUE"""),"1280")</f>
        <v>1280</v>
      </c>
      <c r="P775" s="3" t="str">
        <f ca="1">IFERROR(__xludf.DUMMYFUNCTION("""COMPUTED_VALUE"""),"720")</f>
        <v>720</v>
      </c>
      <c r="Q775" s="3" t="str">
        <f ca="1">IFERROR(__xludf.DUMMYFUNCTION("""COMPUTED_VALUE"""),"16:9 / umístění po domluvě dle možností")</f>
        <v>16:9 / umístění po domluvě dle možností</v>
      </c>
      <c r="R775" s="3" t="str">
        <f ca="1">IFERROR(__xludf.DUMMYFUNCTION("""COMPUTED_VALUE"""),"přeskočení po 7 sekundách")</f>
        <v>přeskočení po 7 sekundách</v>
      </c>
      <c r="S775" s="3" t="str">
        <f ca="1">IFERROR(__xludf.DUMMYFUNCTION("""COMPUTED_VALUE"""),"100")</f>
        <v>100</v>
      </c>
      <c r="T775" s="3"/>
      <c r="U775" s="3" t="str">
        <f ca="1">IFERROR(__xludf.DUMMYFUNCTION("""COMPUTED_VALUE"""),"videospot")</f>
        <v>videospot</v>
      </c>
      <c r="V775" s="3"/>
      <c r="W775" s="4" t="str">
        <f ca="1">IFERROR(__xludf.DUMMYFUNCTION("""COMPUTED_VALUE"""),"https://reklama.cncenter.cz/Online/Bumper")</f>
        <v>https://reklama.cncenter.cz/Online/Bumper</v>
      </c>
      <c r="X775" s="3"/>
      <c r="Y775" s="3"/>
      <c r="Z775" s="3" t="str">
        <f ca="1">IFERROR(__xludf.DUMMYFUNCTION("""COMPUTED_VALUE"""),"podklady@cncenter.cz")</f>
        <v>podklady@cncenter.cz</v>
      </c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 t="str">
        <f ca="1">IFERROR(__xludf.DUMMYFUNCTION("""COMPUTED_VALUE"""),"cross-device")</f>
        <v>cross-device</v>
      </c>
      <c r="AO775" s="3"/>
      <c r="AP775" s="3"/>
      <c r="AQ775" s="3"/>
      <c r="AR775" s="3"/>
      <c r="AS775" s="3"/>
      <c r="AT775" s="3"/>
      <c r="AU775" s="3" t="str">
        <f ca="1">IFERROR(__xludf.DUMMYFUNCTION("""COMPUTED_VALUE"""),"cílený videospot - max. 30 sec. / bumper")</f>
        <v>cílený videospot - max. 30 sec. / bumper</v>
      </c>
    </row>
    <row r="776" spans="1:47" x14ac:dyDescent="0.3">
      <c r="A776" s="3">
        <f ca="1"/>
        <v>2346826</v>
      </c>
      <c r="B776" s="3" t="str">
        <f ca="1"/>
        <v>CZECH NEWS CENTER a. s.</v>
      </c>
      <c r="C776" s="3" t="str">
        <f ca="1">IFERROR(__xludf.DUMMYFUNCTION("""COMPUTED_VALUE"""),"Mimibazar")</f>
        <v>Mimibazar</v>
      </c>
      <c r="D776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6" s="3" t="str">
        <f ca="1">IFERROR(__xludf.DUMMYFUNCTION("""COMPUTED_VALUE"""),"celý web")</f>
        <v>celý web</v>
      </c>
      <c r="F776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6" s="3" t="str">
        <f ca="1">IFERROR(__xludf.DUMMYFUNCTION("""COMPUTED_VALUE"""),"dokoupení proma o 2 týdny - 10 000 PV *** low season")</f>
        <v>dokoupení proma o 2 týdny - 10 000 PV *** low season</v>
      </c>
      <c r="H776" s="3">
        <f ca="1">IFERROR(__xludf.DUMMYFUNCTION("""COMPUTED_VALUE"""),1)</f>
        <v>1</v>
      </c>
      <c r="I776" s="5">
        <f ca="1">IFERROR(__xludf.DUMMYFUNCTION("""COMPUTED_VALUE"""),1)</f>
        <v>1</v>
      </c>
      <c r="J776" s="5">
        <f ca="1">IFERROR(__xludf.DUMMYFUNCTION("""COMPUTED_VALUE"""),60000)</f>
        <v>60000</v>
      </c>
      <c r="K776" s="3"/>
      <c r="L776" s="3" t="str">
        <f ca="1">IFERROR(__xludf.DUMMYFUNCTION("""COMPUTED_VALUE"""),"Cost per instance")</f>
        <v>Cost per instance</v>
      </c>
      <c r="M776" s="3"/>
      <c r="N776" s="3"/>
      <c r="O776" s="3"/>
      <c r="P776" s="3"/>
      <c r="Q776" s="3"/>
      <c r="R776" s="3"/>
      <c r="S776" s="3" t="str">
        <f ca="1">IFERROR(__xludf.DUMMYFUNCTION("""COMPUTED_VALUE"""),"100")</f>
        <v>100</v>
      </c>
      <c r="T776" s="3"/>
      <c r="U776" s="3" t="str">
        <f ca="1">IFERROR(__xludf.DUMMYFUNCTION("""COMPUTED_VALUE"""),"microsite")</f>
        <v>microsite</v>
      </c>
      <c r="V776" s="3"/>
      <c r="W776" s="3"/>
      <c r="X776" s="3"/>
      <c r="Y776" s="3"/>
      <c r="Z776" s="3" t="str">
        <f ca="1">IFERROR(__xludf.DUMMYFUNCTION("""COMPUTED_VALUE"""),"podklady@cncenter.cz")</f>
        <v>podklady@cncenter.cz</v>
      </c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 t="str">
        <f ca="1">IFERROR(__xludf.DUMMYFUNCTION("""COMPUTED_VALUE"""),"cross-device")</f>
        <v>cross-device</v>
      </c>
      <c r="AO776" s="3"/>
      <c r="AP776" s="3"/>
      <c r="AQ776" s="3"/>
      <c r="AR776" s="3"/>
      <c r="AS776" s="3"/>
      <c r="AT776" s="3"/>
      <c r="AU776" s="3" t="str">
        <f ca="1">IFERROR(__xludf.DUMMYFUNCTION("""COMPUTED_VALUE"""),"dokoupení proma o 2 týdny - 10 000 PV ***")</f>
        <v>dokoupení proma o 2 týdny - 10 000 PV ***</v>
      </c>
    </row>
    <row r="777" spans="1:47" x14ac:dyDescent="0.3">
      <c r="A777" s="3">
        <f ca="1"/>
        <v>2346826</v>
      </c>
      <c r="B777" s="3" t="str">
        <f ca="1"/>
        <v>CZECH NEWS CENTER a. s.</v>
      </c>
      <c r="C777" s="3" t="str">
        <f ca="1">IFERROR(__xludf.DUMMYFUNCTION("""COMPUTED_VALUE"""),"Mimibazar")</f>
        <v>Mimibazar</v>
      </c>
      <c r="D777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7" s="3" t="str">
        <f ca="1">IFERROR(__xludf.DUMMYFUNCTION("""COMPUTED_VALUE"""),"celý web")</f>
        <v>celý web</v>
      </c>
      <c r="F777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7" s="3" t="str">
        <f ca="1">IFERROR(__xludf.DUMMYFUNCTION("""COMPUTED_VALUE"""),"double skyscraper low season")</f>
        <v>double skyscraper low season</v>
      </c>
      <c r="H777" s="3">
        <f ca="1">IFERROR(__xludf.DUMMYFUNCTION("""COMPUTED_VALUE"""),7)</f>
        <v>7</v>
      </c>
      <c r="I777" s="5">
        <f ca="1">IFERROR(__xludf.DUMMYFUNCTION("""COMPUTED_VALUE"""),1000)</f>
        <v>1000</v>
      </c>
      <c r="J777" s="5">
        <f ca="1">IFERROR(__xludf.DUMMYFUNCTION("""COMPUTED_VALUE"""),190)</f>
        <v>190</v>
      </c>
      <c r="K777" s="3"/>
      <c r="L777" s="3" t="str">
        <f ca="1">IFERROR(__xludf.DUMMYFUNCTION("""COMPUTED_VALUE"""),"Cost per period")</f>
        <v>Cost per period</v>
      </c>
      <c r="M777" s="3"/>
      <c r="N777" s="3"/>
      <c r="O777" s="3" t="str">
        <f ca="1">IFERROR(__xludf.DUMMYFUNCTION("""COMPUTED_VALUE"""),"300")</f>
        <v>300</v>
      </c>
      <c r="P777" s="3" t="str">
        <f ca="1">IFERROR(__xludf.DUMMYFUNCTION("""COMPUTED_VALUE"""),"600")</f>
        <v>600</v>
      </c>
      <c r="Q777" s="3" t="str">
        <f ca="1">IFERROR(__xludf.DUMMYFUNCTION("""COMPUTED_VALUE"""),"300x600")</f>
        <v>300x600</v>
      </c>
      <c r="R777" s="3"/>
      <c r="S777" s="3" t="str">
        <f ca="1">IFERROR(__xludf.DUMMYFUNCTION("""COMPUTED_VALUE"""),"100 (200 - HTML5)")</f>
        <v>100 (200 - HTML5)</v>
      </c>
      <c r="T777" s="3"/>
      <c r="U777" s="3" t="str">
        <f ca="1">IFERROR(__xludf.DUMMYFUNCTION("""COMPUTED_VALUE"""),"banner standard")</f>
        <v>banner standard</v>
      </c>
      <c r="V777" s="3"/>
      <c r="W777" s="4" t="str">
        <f ca="1">IFERROR(__xludf.DUMMYFUNCTION("""COMPUTED_VALUE"""),"https://reklama.cncenter.cz/Online/double-skyscraper")</f>
        <v>https://reklama.cncenter.cz/Online/double-skyscraper</v>
      </c>
      <c r="X777" s="3"/>
      <c r="Y777" s="3"/>
      <c r="Z777" s="3" t="str">
        <f ca="1">IFERROR(__xludf.DUMMYFUNCTION("""COMPUTED_VALUE"""),"podklady@cncenter.cz")</f>
        <v>podklady@cncenter.cz</v>
      </c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 t="str">
        <f ca="1">IFERROR(__xludf.DUMMYFUNCTION("""COMPUTED_VALUE"""),"desktop")</f>
        <v>desktop</v>
      </c>
      <c r="AO777" s="3"/>
      <c r="AP777" s="3"/>
      <c r="AQ777" s="3"/>
      <c r="AR777" s="3"/>
      <c r="AS777" s="3"/>
      <c r="AT777" s="3"/>
      <c r="AU777" s="3" t="str">
        <f ca="1">IFERROR(__xludf.DUMMYFUNCTION("""COMPUTED_VALUE"""),"double skyscraper")</f>
        <v>double skyscraper</v>
      </c>
    </row>
    <row r="778" spans="1:47" x14ac:dyDescent="0.3">
      <c r="A778" s="3">
        <f ca="1"/>
        <v>2346826</v>
      </c>
      <c r="B778" s="3" t="str">
        <f ca="1"/>
        <v>CZECH NEWS CENTER a. s.</v>
      </c>
      <c r="C778" s="3" t="str">
        <f ca="1">IFERROR(__xludf.DUMMYFUNCTION("""COMPUTED_VALUE"""),"Mimibazar")</f>
        <v>Mimibazar</v>
      </c>
      <c r="D778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8" s="3" t="str">
        <f ca="1">IFERROR(__xludf.DUMMYFUNCTION("""COMPUTED_VALUE"""),"celý web")</f>
        <v>celý web</v>
      </c>
      <c r="F778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8" s="3" t="str">
        <f ca="1">IFERROR(__xludf.DUMMYFUNCTION("""COMPUTED_VALUE"""),"mobilní interscroller low season")</f>
        <v>mobilní interscroller low season</v>
      </c>
      <c r="H778" s="3">
        <f ca="1">IFERROR(__xludf.DUMMYFUNCTION("""COMPUTED_VALUE"""),7)</f>
        <v>7</v>
      </c>
      <c r="I778" s="5">
        <f ca="1">IFERROR(__xludf.DUMMYFUNCTION("""COMPUTED_VALUE"""),1000)</f>
        <v>1000</v>
      </c>
      <c r="J778" s="5">
        <f ca="1">IFERROR(__xludf.DUMMYFUNCTION("""COMPUTED_VALUE"""),250)</f>
        <v>250</v>
      </c>
      <c r="K778" s="3"/>
      <c r="L778" s="3" t="str">
        <f ca="1">IFERROR(__xludf.DUMMYFUNCTION("""COMPUTED_VALUE"""),"Cost per period")</f>
        <v>Cost per period</v>
      </c>
      <c r="M778" s="3"/>
      <c r="N778" s="3"/>
      <c r="O778" s="3" t="str">
        <f ca="1">IFERROR(__xludf.DUMMYFUNCTION("""COMPUTED_VALUE"""),"600")</f>
        <v>600</v>
      </c>
      <c r="P778" s="3" t="str">
        <f ca="1">IFERROR(__xludf.DUMMYFUNCTION("""COMPUTED_VALUE"""),"1080")</f>
        <v>1080</v>
      </c>
      <c r="Q778" s="3" t="str">
        <f ca="1">IFERROR(__xludf.DUMMYFUNCTION("""COMPUTED_VALUE"""),"600x1080")</f>
        <v>600x1080</v>
      </c>
      <c r="R778" s="3"/>
      <c r="S778" s="3" t="str">
        <f ca="1">IFERROR(__xludf.DUMMYFUNCTION("""COMPUTED_VALUE"""),"200")</f>
        <v>200</v>
      </c>
      <c r="T778" s="3"/>
      <c r="U778" s="3" t="str">
        <f ca="1">IFERROR(__xludf.DUMMYFUNCTION("""COMPUTED_VALUE"""),"banner standard")</f>
        <v>banner standard</v>
      </c>
      <c r="V778" s="3"/>
      <c r="W778" s="4" t="str">
        <f ca="1">IFERROR(__xludf.DUMMYFUNCTION("""COMPUTED_VALUE"""),"https://reklama.cncenter.cz/Online/mobilni-interscroller")</f>
        <v>https://reklama.cncenter.cz/Online/mobilni-interscroller</v>
      </c>
      <c r="X778" s="3"/>
      <c r="Y778" s="3"/>
      <c r="Z778" s="3" t="str">
        <f ca="1">IFERROR(__xludf.DUMMYFUNCTION("""COMPUTED_VALUE"""),"podklady@cncenter.cz")</f>
        <v>podklady@cncenter.cz</v>
      </c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 t="str">
        <f ca="1">IFERROR(__xludf.DUMMYFUNCTION("""COMPUTED_VALUE"""),"mobile")</f>
        <v>mobile</v>
      </c>
      <c r="AO778" s="3"/>
      <c r="AP778" s="3"/>
      <c r="AQ778" s="3"/>
      <c r="AR778" s="3"/>
      <c r="AS778" s="3"/>
      <c r="AT778" s="3"/>
      <c r="AU778" s="3" t="str">
        <f ca="1">IFERROR(__xludf.DUMMYFUNCTION("""COMPUTED_VALUE"""),"mobilní interscroller")</f>
        <v>mobilní interscroller</v>
      </c>
    </row>
    <row r="779" spans="1:47" x14ac:dyDescent="0.3">
      <c r="A779" s="3">
        <f ca="1"/>
        <v>2346826</v>
      </c>
      <c r="B779" s="3" t="str">
        <f ca="1"/>
        <v>CZECH NEWS CENTER a. s.</v>
      </c>
      <c r="C779" s="3" t="str">
        <f ca="1">IFERROR(__xludf.DUMMYFUNCTION("""COMPUTED_VALUE"""),"Mimibazar")</f>
        <v>Mimibazar</v>
      </c>
      <c r="D779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9" s="3" t="str">
        <f ca="1">IFERROR(__xludf.DUMMYFUNCTION("""COMPUTED_VALUE"""),"celý web")</f>
        <v>celý web</v>
      </c>
      <c r="F779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9" s="3" t="str">
        <f ca="1">IFERROR(__xludf.DUMMYFUNCTION("""COMPUTED_VALUE"""),"mobilní slide-up low season")</f>
        <v>mobilní slide-up low season</v>
      </c>
      <c r="H779" s="3">
        <f ca="1">IFERROR(__xludf.DUMMYFUNCTION("""COMPUTED_VALUE"""),7)</f>
        <v>7</v>
      </c>
      <c r="I779" s="5">
        <f ca="1">IFERROR(__xludf.DUMMYFUNCTION("""COMPUTED_VALUE"""),1000)</f>
        <v>1000</v>
      </c>
      <c r="J779" s="5">
        <f ca="1">IFERROR(__xludf.DUMMYFUNCTION("""COMPUTED_VALUE"""),510)</f>
        <v>510</v>
      </c>
      <c r="K779" s="3"/>
      <c r="L779" s="3" t="str">
        <f ca="1">IFERROR(__xludf.DUMMYFUNCTION("""COMPUTED_VALUE"""),"Cost per period")</f>
        <v>Cost per period</v>
      </c>
      <c r="M779" s="3"/>
      <c r="N779" s="3"/>
      <c r="O779" s="3" t="str">
        <f ca="1">IFERROR(__xludf.DUMMYFUNCTION("""COMPUTED_VALUE"""),"300")</f>
        <v>300</v>
      </c>
      <c r="P779" s="3" t="str">
        <f ca="1">IFERROR(__xludf.DUMMYFUNCTION("""COMPUTED_VALUE"""),"120")</f>
        <v>120</v>
      </c>
      <c r="Q779" s="3" t="str">
        <f ca="1">IFERROR(__xludf.DUMMYFUNCTION("""COMPUTED_VALUE"""),"300x120")</f>
        <v>300x120</v>
      </c>
      <c r="R779" s="3"/>
      <c r="S779" s="3" t="str">
        <f ca="1">IFERROR(__xludf.DUMMYFUNCTION("""COMPUTED_VALUE"""),"100")</f>
        <v>100</v>
      </c>
      <c r="T779" s="3"/>
      <c r="U779" s="3" t="str">
        <f ca="1">IFERROR(__xludf.DUMMYFUNCTION("""COMPUTED_VALUE"""),"banner standard")</f>
        <v>banner standard</v>
      </c>
      <c r="V779" s="3"/>
      <c r="W779" s="4" t="str">
        <f ca="1">IFERROR(__xludf.DUMMYFUNCTION("""COMPUTED_VALUE"""),"https://reklama.cncenter.cz/Online/mobilni-slide-up")</f>
        <v>https://reklama.cncenter.cz/Online/mobilni-slide-up</v>
      </c>
      <c r="X779" s="3"/>
      <c r="Y779" s="3"/>
      <c r="Z779" s="3" t="str">
        <f ca="1">IFERROR(__xludf.DUMMYFUNCTION("""COMPUTED_VALUE"""),"podklady@cncenter.cz")</f>
        <v>podklady@cncenter.cz</v>
      </c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 t="str">
        <f ca="1">IFERROR(__xludf.DUMMYFUNCTION("""COMPUTED_VALUE"""),"mobile")</f>
        <v>mobile</v>
      </c>
      <c r="AO779" s="3"/>
      <c r="AP779" s="3"/>
      <c r="AQ779" s="3"/>
      <c r="AR779" s="3"/>
      <c r="AS779" s="3"/>
      <c r="AT779" s="3"/>
      <c r="AU779" s="3" t="str">
        <f ca="1">IFERROR(__xludf.DUMMYFUNCTION("""COMPUTED_VALUE"""),"mobilní slide-up")</f>
        <v>mobilní slide-up</v>
      </c>
    </row>
    <row r="780" spans="1:47" x14ac:dyDescent="0.3">
      <c r="A780" s="3">
        <f ca="1"/>
        <v>2346826</v>
      </c>
      <c r="B780" s="3" t="str">
        <f ca="1"/>
        <v>CZECH NEWS CENTER a. s.</v>
      </c>
      <c r="C780" s="3" t="str">
        <f ca="1">IFERROR(__xludf.DUMMYFUNCTION("""COMPUTED_VALUE"""),"Mimibazar")</f>
        <v>Mimibazar</v>
      </c>
      <c r="D780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0" s="3" t="str">
        <f ca="1">IFERROR(__xludf.DUMMYFUNCTION("""COMPUTED_VALUE"""),"celý web")</f>
        <v>celý web</v>
      </c>
      <c r="F780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0" s="3" t="str">
        <f ca="1">IFERROR(__xludf.DUMMYFUNCTION("""COMPUTED_VALUE"""),"mobilní viněta low season")</f>
        <v>mobilní viněta low season</v>
      </c>
      <c r="H780" s="3">
        <f ca="1">IFERROR(__xludf.DUMMYFUNCTION("""COMPUTED_VALUE"""),7)</f>
        <v>7</v>
      </c>
      <c r="I780" s="5">
        <f ca="1">IFERROR(__xludf.DUMMYFUNCTION("""COMPUTED_VALUE"""),1000)</f>
        <v>1000</v>
      </c>
      <c r="J780" s="5">
        <f ca="1">IFERROR(__xludf.DUMMYFUNCTION("""COMPUTED_VALUE"""),880)</f>
        <v>880</v>
      </c>
      <c r="K780" s="3"/>
      <c r="L780" s="3" t="str">
        <f ca="1">IFERROR(__xludf.DUMMYFUNCTION("""COMPUTED_VALUE"""),"Cost per period")</f>
        <v>Cost per period</v>
      </c>
      <c r="M780" s="3"/>
      <c r="N780" s="3"/>
      <c r="O780" s="3" t="str">
        <f ca="1">IFERROR(__xludf.DUMMYFUNCTION("""COMPUTED_VALUE"""),"600")</f>
        <v>600</v>
      </c>
      <c r="P780" s="3" t="str">
        <f ca="1">IFERROR(__xludf.DUMMYFUNCTION("""COMPUTED_VALUE"""),"800")</f>
        <v>800</v>
      </c>
      <c r="Q780" s="3" t="str">
        <f ca="1">IFERROR(__xludf.DUMMYFUNCTION("""COMPUTED_VALUE"""),"300x250 nebo 600x800")</f>
        <v>300x250 nebo 600x800</v>
      </c>
      <c r="R780" s="3"/>
      <c r="S780" s="3" t="str">
        <f ca="1">IFERROR(__xludf.DUMMYFUNCTION("""COMPUTED_VALUE"""),"100")</f>
        <v>100</v>
      </c>
      <c r="T780" s="3"/>
      <c r="U780" s="3" t="str">
        <f ca="1">IFERROR(__xludf.DUMMYFUNCTION("""COMPUTED_VALUE"""),"banner standard")</f>
        <v>banner standard</v>
      </c>
      <c r="V780" s="3"/>
      <c r="W780" s="4" t="str">
        <f ca="1">IFERROR(__xludf.DUMMYFUNCTION("""COMPUTED_VALUE"""),"https://reklama.cncenter.cz/Online/mobilni-vineta")</f>
        <v>https://reklama.cncenter.cz/Online/mobilni-vineta</v>
      </c>
      <c r="X780" s="3"/>
      <c r="Y780" s="3"/>
      <c r="Z780" s="3" t="str">
        <f ca="1">IFERROR(__xludf.DUMMYFUNCTION("""COMPUTED_VALUE"""),"podklady@cncenter.cz")</f>
        <v>podklady@cncenter.cz</v>
      </c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 t="str">
        <f ca="1">IFERROR(__xludf.DUMMYFUNCTION("""COMPUTED_VALUE"""),"mobile")</f>
        <v>mobile</v>
      </c>
      <c r="AO780" s="3"/>
      <c r="AP780" s="3"/>
      <c r="AQ780" s="3"/>
      <c r="AR780" s="3"/>
      <c r="AS780" s="3"/>
      <c r="AT780" s="3"/>
      <c r="AU780" s="3" t="str">
        <f ca="1">IFERROR(__xludf.DUMMYFUNCTION("""COMPUTED_VALUE"""),"mobilní viněta")</f>
        <v>mobilní viněta</v>
      </c>
    </row>
    <row r="781" spans="1:47" x14ac:dyDescent="0.3">
      <c r="A781" s="3">
        <f ca="1"/>
        <v>2346826</v>
      </c>
      <c r="B781" s="3" t="str">
        <f ca="1"/>
        <v>CZECH NEWS CENTER a. s.</v>
      </c>
      <c r="C781" s="3" t="str">
        <f ca="1">IFERROR(__xludf.DUMMYFUNCTION("""COMPUTED_VALUE"""),"Mimibazar")</f>
        <v>Mimibazar</v>
      </c>
      <c r="D781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1" s="3" t="str">
        <f ca="1">IFERROR(__xludf.DUMMYFUNCTION("""COMPUTED_VALUE"""),"celý web")</f>
        <v>celý web</v>
      </c>
      <c r="F781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1" s="3" t="str">
        <f ca="1">IFERROR(__xludf.DUMMYFUNCTION("""COMPUTED_VALUE"""),"Native Standard low season")</f>
        <v>Native Standard low season</v>
      </c>
      <c r="H781" s="3">
        <f ca="1">IFERROR(__xludf.DUMMYFUNCTION("""COMPUTED_VALUE"""),1)</f>
        <v>1</v>
      </c>
      <c r="I781" s="5">
        <f ca="1">IFERROR(__xludf.DUMMYFUNCTION("""COMPUTED_VALUE"""),1)</f>
        <v>1</v>
      </c>
      <c r="J781" s="5">
        <f ca="1">IFERROR(__xludf.DUMMYFUNCTION("""COMPUTED_VALUE"""),330000)</f>
        <v>330000</v>
      </c>
      <c r="K781" s="3"/>
      <c r="L781" s="3" t="str">
        <f ca="1">IFERROR(__xludf.DUMMYFUNCTION("""COMPUTED_VALUE"""),"Cost per instance")</f>
        <v>Cost per instance</v>
      </c>
      <c r="M781" s="3"/>
      <c r="N781" s="3"/>
      <c r="O781" s="3"/>
      <c r="P781" s="3"/>
      <c r="Q781" s="3"/>
      <c r="R781" s="3"/>
      <c r="S781" s="3" t="str">
        <f ca="1">IFERROR(__xludf.DUMMYFUNCTION("""COMPUTED_VALUE"""),"100")</f>
        <v>100</v>
      </c>
      <c r="T781" s="3"/>
      <c r="U781" s="3" t="str">
        <f ca="1">IFERROR(__xludf.DUMMYFUNCTION("""COMPUTED_VALUE"""),"microsite")</f>
        <v>microsite</v>
      </c>
      <c r="V781" s="3"/>
      <c r="W781" s="3"/>
      <c r="X781" s="3"/>
      <c r="Y781" s="3"/>
      <c r="Z781" s="3" t="str">
        <f ca="1">IFERROR(__xludf.DUMMYFUNCTION("""COMPUTED_VALUE"""),"podklady@cncenter.cz")</f>
        <v>podklady@cncenter.cz</v>
      </c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 t="str">
        <f ca="1">IFERROR(__xludf.DUMMYFUNCTION("""COMPUTED_VALUE"""),"cross-device")</f>
        <v>cross-device</v>
      </c>
      <c r="AO781" s="3"/>
      <c r="AP781" s="3"/>
      <c r="AQ781" s="3"/>
      <c r="AR781" s="3"/>
      <c r="AS781" s="3"/>
      <c r="AT781" s="3"/>
      <c r="AU781" s="3" t="str">
        <f ca="1">IFERROR(__xludf.DUMMYFUNCTION("""COMPUTED_VALUE"""),"Native Standard")</f>
        <v>Native Standard</v>
      </c>
    </row>
    <row r="782" spans="1:47" x14ac:dyDescent="0.3">
      <c r="A782" s="3">
        <f ca="1"/>
        <v>2346826</v>
      </c>
      <c r="B782" s="3" t="str">
        <f ca="1"/>
        <v>CZECH NEWS CENTER a. s.</v>
      </c>
      <c r="C782" s="3" t="str">
        <f ca="1">IFERROR(__xludf.DUMMYFUNCTION("""COMPUTED_VALUE"""),"Mimibazar")</f>
        <v>Mimibazar</v>
      </c>
      <c r="D782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2" s="3" t="str">
        <f ca="1">IFERROR(__xludf.DUMMYFUNCTION("""COMPUTED_VALUE"""),"celý web")</f>
        <v>celý web</v>
      </c>
      <c r="F782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2" s="3" t="str">
        <f ca="1">IFERROR(__xludf.DUMMYFUNCTION("""COMPUTED_VALUE"""),"nativní rectangle cross-device low season")</f>
        <v>nativní rectangle cross-device low season</v>
      </c>
      <c r="H782" s="3">
        <f ca="1">IFERROR(__xludf.DUMMYFUNCTION("""COMPUTED_VALUE"""),7)</f>
        <v>7</v>
      </c>
      <c r="I782" s="5">
        <f ca="1">IFERROR(__xludf.DUMMYFUNCTION("""COMPUTED_VALUE"""),1000)</f>
        <v>1000</v>
      </c>
      <c r="J782" s="5">
        <f ca="1">IFERROR(__xludf.DUMMYFUNCTION("""COMPUTED_VALUE"""),200)</f>
        <v>200</v>
      </c>
      <c r="K782" s="3"/>
      <c r="L782" s="3" t="str">
        <f ca="1">IFERROR(__xludf.DUMMYFUNCTION("""COMPUTED_VALUE"""),"Cost per period")</f>
        <v>Cost per period</v>
      </c>
      <c r="M782" s="3"/>
      <c r="N782" s="3"/>
      <c r="O782" s="3" t="str">
        <f ca="1">IFERROR(__xludf.DUMMYFUNCTION("""COMPUTED_VALUE"""),"640")</f>
        <v>640</v>
      </c>
      <c r="P782" s="3" t="str">
        <f ca="1">IFERROR(__xludf.DUMMYFUNCTION("""COMPUTED_VALUE"""),"335, 640")</f>
        <v>335, 640</v>
      </c>
      <c r="Q782" s="3" t="str">
        <f ca="1">IFERROR(__xludf.DUMMYFUNCTION("""COMPUTED_VALUE"""),"640x640 a 640x335 + text + logo")</f>
        <v>640x640 a 640x335 + text + logo</v>
      </c>
      <c r="R782" s="3"/>
      <c r="S782" s="3" t="str">
        <f ca="1">IFERROR(__xludf.DUMMYFUNCTION("""COMPUTED_VALUE"""),"45")</f>
        <v>45</v>
      </c>
      <c r="T782" s="3"/>
      <c r="U782" s="3" t="str">
        <f ca="1">IFERROR(__xludf.DUMMYFUNCTION("""COMPUTED_VALUE"""),"nativní reklama")</f>
        <v>nativní reklama</v>
      </c>
      <c r="V782" s="3"/>
      <c r="W782" s="4" t="str">
        <f ca="1">IFERROR(__xludf.DUMMYFUNCTION("""COMPUTED_VALUE"""),"https://reklama.cncenter.cz/Online/nativni-rectangle-cross-device")</f>
        <v>https://reklama.cncenter.cz/Online/nativni-rectangle-cross-device</v>
      </c>
      <c r="X782" s="3"/>
      <c r="Y782" s="3"/>
      <c r="Z782" s="3" t="str">
        <f ca="1">IFERROR(__xludf.DUMMYFUNCTION("""COMPUTED_VALUE"""),"podklady@cncenter.cz")</f>
        <v>podklady@cncenter.cz</v>
      </c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 t="str">
        <f ca="1">IFERROR(__xludf.DUMMYFUNCTION("""COMPUTED_VALUE"""),"cross-device")</f>
        <v>cross-device</v>
      </c>
      <c r="AO782" s="3"/>
      <c r="AP782" s="3"/>
      <c r="AQ782" s="3"/>
      <c r="AR782" s="3"/>
      <c r="AS782" s="3"/>
      <c r="AT782" s="3"/>
      <c r="AU782" s="3" t="str">
        <f ca="1">IFERROR(__xludf.DUMMYFUNCTION("""COMPUTED_VALUE"""),"nativní rectangle cross-device")</f>
        <v>nativní rectangle cross-device</v>
      </c>
    </row>
    <row r="783" spans="1:47" x14ac:dyDescent="0.3">
      <c r="A783" s="3">
        <f ca="1"/>
        <v>2346826</v>
      </c>
      <c r="B783" s="3" t="str">
        <f ca="1"/>
        <v>CZECH NEWS CENTER a. s.</v>
      </c>
      <c r="C783" s="3" t="str">
        <f ca="1">IFERROR(__xludf.DUMMYFUNCTION("""COMPUTED_VALUE"""),"Mimibazar")</f>
        <v>Mimibazar</v>
      </c>
      <c r="D783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3" s="3" t="str">
        <f ca="1">IFERROR(__xludf.DUMMYFUNCTION("""COMPUTED_VALUE"""),"celý web")</f>
        <v>celý web</v>
      </c>
      <c r="F783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3" s="3" t="str">
        <f ca="1">IFERROR(__xludf.DUMMYFUNCTION("""COMPUTED_VALUE"""),"outstream low season")</f>
        <v>outstream low season</v>
      </c>
      <c r="H783" s="3">
        <f ca="1">IFERROR(__xludf.DUMMYFUNCTION("""COMPUTED_VALUE"""),7)</f>
        <v>7</v>
      </c>
      <c r="I783" s="5">
        <f ca="1">IFERROR(__xludf.DUMMYFUNCTION("""COMPUTED_VALUE"""),1000)</f>
        <v>1000</v>
      </c>
      <c r="J783" s="5">
        <f ca="1">IFERROR(__xludf.DUMMYFUNCTION("""COMPUTED_VALUE"""),250)</f>
        <v>250</v>
      </c>
      <c r="K783" s="3"/>
      <c r="L783" s="3" t="str">
        <f ca="1">IFERROR(__xludf.DUMMYFUNCTION("""COMPUTED_VALUE"""),"Cost per period")</f>
        <v>Cost per period</v>
      </c>
      <c r="M783" s="3"/>
      <c r="N783" s="3"/>
      <c r="O783" s="3" t="str">
        <f ca="1">IFERROR(__xludf.DUMMYFUNCTION("""COMPUTED_VALUE"""),"1280")</f>
        <v>1280</v>
      </c>
      <c r="P783" s="3" t="str">
        <f ca="1">IFERROR(__xludf.DUMMYFUNCTION("""COMPUTED_VALUE"""),"720")</f>
        <v>720</v>
      </c>
      <c r="Q783" s="3" t="str">
        <f ca="1">IFERROR(__xludf.DUMMYFUNCTION("""COMPUTED_VALUE"""),"16:9")</f>
        <v>16:9</v>
      </c>
      <c r="R783" s="3"/>
      <c r="S783" s="3" t="str">
        <f ca="1">IFERROR(__xludf.DUMMYFUNCTION("""COMPUTED_VALUE"""),"100")</f>
        <v>100</v>
      </c>
      <c r="T783" s="3"/>
      <c r="U783" s="3" t="str">
        <f ca="1">IFERROR(__xludf.DUMMYFUNCTION("""COMPUTED_VALUE"""),"videospot")</f>
        <v>videospot</v>
      </c>
      <c r="V783" s="3"/>
      <c r="W783" s="4" t="str">
        <f ca="1">IFERROR(__xludf.DUMMYFUNCTION("""COMPUTED_VALUE"""),"https://reklama.cncenter.cz/Online/Outstream")</f>
        <v>https://reklama.cncenter.cz/Online/Outstream</v>
      </c>
      <c r="X783" s="3"/>
      <c r="Y783" s="3"/>
      <c r="Z783" s="3" t="str">
        <f ca="1">IFERROR(__xludf.DUMMYFUNCTION("""COMPUTED_VALUE"""),"podklady@cncenter.cz")</f>
        <v>podklady@cncenter.cz</v>
      </c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 t="str">
        <f ca="1">IFERROR(__xludf.DUMMYFUNCTION("""COMPUTED_VALUE"""),"cross-device")</f>
        <v>cross-device</v>
      </c>
      <c r="AO783" s="3"/>
      <c r="AP783" s="3"/>
      <c r="AQ783" s="3"/>
      <c r="AR783" s="3"/>
      <c r="AS783" s="3"/>
      <c r="AT783" s="3"/>
      <c r="AU783" s="3" t="str">
        <f ca="1">IFERROR(__xludf.DUMMYFUNCTION("""COMPUTED_VALUE"""),"outstream")</f>
        <v>outstream</v>
      </c>
    </row>
    <row r="784" spans="1:47" x14ac:dyDescent="0.3">
      <c r="A784" s="3">
        <f ca="1"/>
        <v>2346826</v>
      </c>
      <c r="B784" s="3" t="str">
        <f ca="1"/>
        <v>CZECH NEWS CENTER a. s.</v>
      </c>
      <c r="C784" s="3" t="str">
        <f ca="1">IFERROR(__xludf.DUMMYFUNCTION("""COMPUTED_VALUE"""),"Mimibazar")</f>
        <v>Mimibazar</v>
      </c>
      <c r="D784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4" s="3" t="str">
        <f ca="1">IFERROR(__xludf.DUMMYFUNCTION("""COMPUTED_VALUE"""),"celý web")</f>
        <v>celý web</v>
      </c>
      <c r="F784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4" s="3" t="str">
        <f ca="1">IFERROR(__xludf.DUMMYFUNCTION("""COMPUTED_VALUE"""),"PR článek low season")</f>
        <v>PR článek low season</v>
      </c>
      <c r="H784" s="3">
        <f ca="1">IFERROR(__xludf.DUMMYFUNCTION("""COMPUTED_VALUE"""),1)</f>
        <v>1</v>
      </c>
      <c r="I784" s="5">
        <f ca="1">IFERROR(__xludf.DUMMYFUNCTION("""COMPUTED_VALUE"""),1)</f>
        <v>1</v>
      </c>
      <c r="J784" s="5">
        <f ca="1">IFERROR(__xludf.DUMMYFUNCTION("""COMPUTED_VALUE"""),20000)</f>
        <v>20000</v>
      </c>
      <c r="K784" s="3"/>
      <c r="L784" s="3" t="str">
        <f ca="1">IFERROR(__xludf.DUMMYFUNCTION("""COMPUTED_VALUE"""),"Cost per instance")</f>
        <v>Cost per instance</v>
      </c>
      <c r="M784" s="3"/>
      <c r="N784" s="3"/>
      <c r="O784" s="3"/>
      <c r="P784" s="3"/>
      <c r="Q784" s="3"/>
      <c r="R784" s="3"/>
      <c r="S784" s="3" t="str">
        <f ca="1">IFERROR(__xludf.DUMMYFUNCTION("""COMPUTED_VALUE"""),"100")</f>
        <v>100</v>
      </c>
      <c r="T784" s="3"/>
      <c r="U784" s="3" t="str">
        <f ca="1">IFERROR(__xludf.DUMMYFUNCTION("""COMPUTED_VALUE"""),"pr článek")</f>
        <v>pr článek</v>
      </c>
      <c r="V784" s="3"/>
      <c r="W784" s="4" t="str">
        <f ca="1">IFERROR(__xludf.DUMMYFUNCTION("""COMPUTED_VALUE"""),"https://reklama.cncenter.cz/?ads=PR%2520%25C4%258Dl%25C3%25A1nky")</f>
        <v>https://reklama.cncenter.cz/?ads=PR%2520%25C4%258Dl%25C3%25A1nky</v>
      </c>
      <c r="X784" s="3"/>
      <c r="Y784" s="3"/>
      <c r="Z784" s="3" t="str">
        <f ca="1">IFERROR(__xludf.DUMMYFUNCTION("""COMPUTED_VALUE"""),"podklady@cncenter.cz")</f>
        <v>podklady@cncenter.cz</v>
      </c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 t="str">
        <f ca="1">IFERROR(__xludf.DUMMYFUNCTION("""COMPUTED_VALUE"""),"cross-device")</f>
        <v>cross-device</v>
      </c>
      <c r="AO784" s="3"/>
      <c r="AP784" s="3"/>
      <c r="AQ784" s="3"/>
      <c r="AR784" s="3"/>
      <c r="AS784" s="3"/>
      <c r="AT784" s="3"/>
      <c r="AU784" s="3" t="str">
        <f ca="1">IFERROR(__xludf.DUMMYFUNCTION("""COMPUTED_VALUE"""),"PR článek")</f>
        <v>PR článek</v>
      </c>
    </row>
    <row r="785" spans="1:47" x14ac:dyDescent="0.3">
      <c r="A785" s="3">
        <f ca="1"/>
        <v>2346826</v>
      </c>
      <c r="B785" s="3" t="str">
        <f ca="1"/>
        <v>CZECH NEWS CENTER a. s.</v>
      </c>
      <c r="C785" s="3" t="str">
        <f ca="1">IFERROR(__xludf.DUMMYFUNCTION("""COMPUTED_VALUE"""),"Mimibazar")</f>
        <v>Mimibazar</v>
      </c>
      <c r="D785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5" s="3" t="str">
        <f ca="1">IFERROR(__xludf.DUMMYFUNCTION("""COMPUTED_VALUE"""),"celý web")</f>
        <v>celý web</v>
      </c>
      <c r="F785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5" s="3" t="str">
        <f ca="1">IFERROR(__xludf.DUMMYFUNCTION("""COMPUTED_VALUE"""),"Prodloužení existující microsite, bez úprav low season")</f>
        <v>Prodloužení existující microsite, bez úprav low season</v>
      </c>
      <c r="H785" s="3">
        <f ca="1">IFERROR(__xludf.DUMMYFUNCTION("""COMPUTED_VALUE"""),1)</f>
        <v>1</v>
      </c>
      <c r="I785" s="5">
        <f ca="1">IFERROR(__xludf.DUMMYFUNCTION("""COMPUTED_VALUE"""),1)</f>
        <v>1</v>
      </c>
      <c r="J785" s="5">
        <f ca="1">IFERROR(__xludf.DUMMYFUNCTION("""COMPUTED_VALUE"""),15000)</f>
        <v>15000</v>
      </c>
      <c r="K785" s="3"/>
      <c r="L785" s="3" t="str">
        <f ca="1">IFERROR(__xludf.DUMMYFUNCTION("""COMPUTED_VALUE"""),"Cost per instance")</f>
        <v>Cost per instance</v>
      </c>
      <c r="M785" s="3"/>
      <c r="N785" s="3"/>
      <c r="O785" s="3"/>
      <c r="P785" s="3"/>
      <c r="Q785" s="3"/>
      <c r="R785" s="3"/>
      <c r="S785" s="3" t="str">
        <f ca="1">IFERROR(__xludf.DUMMYFUNCTION("""COMPUTED_VALUE"""),"100")</f>
        <v>100</v>
      </c>
      <c r="T785" s="3"/>
      <c r="U785" s="3" t="str">
        <f ca="1">IFERROR(__xludf.DUMMYFUNCTION("""COMPUTED_VALUE"""),"microsite")</f>
        <v>microsite</v>
      </c>
      <c r="V785" s="3"/>
      <c r="W785" s="3"/>
      <c r="X785" s="3"/>
      <c r="Y785" s="3"/>
      <c r="Z785" s="3" t="str">
        <f ca="1">IFERROR(__xludf.DUMMYFUNCTION("""COMPUTED_VALUE"""),"podklady@cncenter.cz")</f>
        <v>podklady@cncenter.cz</v>
      </c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 t="str">
        <f ca="1">IFERROR(__xludf.DUMMYFUNCTION("""COMPUTED_VALUE"""),"cross-device")</f>
        <v>cross-device</v>
      </c>
      <c r="AO785" s="3"/>
      <c r="AP785" s="3"/>
      <c r="AQ785" s="3"/>
      <c r="AR785" s="3"/>
      <c r="AS785" s="3"/>
      <c r="AT785" s="3"/>
      <c r="AU785" s="3" t="str">
        <f ca="1">IFERROR(__xludf.DUMMYFUNCTION("""COMPUTED_VALUE"""),"Prodloužení existující microsite, bez úprav")</f>
        <v>Prodloužení existující microsite, bez úprav</v>
      </c>
    </row>
    <row r="786" spans="1:47" x14ac:dyDescent="0.3">
      <c r="A786" s="3">
        <f ca="1"/>
        <v>2346826</v>
      </c>
      <c r="B786" s="3" t="str">
        <f ca="1"/>
        <v>CZECH NEWS CENTER a. s.</v>
      </c>
      <c r="C786" s="3" t="str">
        <f ca="1">IFERROR(__xludf.DUMMYFUNCTION("""COMPUTED_VALUE"""),"Mimibazar")</f>
        <v>Mimibazar</v>
      </c>
      <c r="D786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6" s="3" t="str">
        <f ca="1">IFERROR(__xludf.DUMMYFUNCTION("""COMPUTED_VALUE"""),"celý web")</f>
        <v>celý web</v>
      </c>
      <c r="F786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6" s="3" t="str">
        <f ca="1">IFERROR(__xludf.DUMMYFUNCTION("""COMPUTED_VALUE"""),"Prodloužení existující microsite, bez úprav low season")</f>
        <v>Prodloužení existující microsite, bez úprav low season</v>
      </c>
      <c r="H786" s="3">
        <f ca="1">IFERROR(__xludf.DUMMYFUNCTION("""COMPUTED_VALUE"""),1)</f>
        <v>1</v>
      </c>
      <c r="I786" s="5">
        <f ca="1">IFERROR(__xludf.DUMMYFUNCTION("""COMPUTED_VALUE"""),1)</f>
        <v>1</v>
      </c>
      <c r="J786" s="5">
        <f ca="1">IFERROR(__xludf.DUMMYFUNCTION("""COMPUTED_VALUE"""),15000)</f>
        <v>15000</v>
      </c>
      <c r="K786" s="3"/>
      <c r="L786" s="3" t="str">
        <f ca="1">IFERROR(__xludf.DUMMYFUNCTION("""COMPUTED_VALUE"""),"Cost per instance")</f>
        <v>Cost per instance</v>
      </c>
      <c r="M786" s="3"/>
      <c r="N786" s="3"/>
      <c r="O786" s="3"/>
      <c r="P786" s="3"/>
      <c r="Q786" s="3"/>
      <c r="R786" s="3"/>
      <c r="S786" s="3" t="str">
        <f ca="1">IFERROR(__xludf.DUMMYFUNCTION("""COMPUTED_VALUE"""),"100")</f>
        <v>100</v>
      </c>
      <c r="T786" s="3"/>
      <c r="U786" s="3" t="str">
        <f ca="1">IFERROR(__xludf.DUMMYFUNCTION("""COMPUTED_VALUE"""),"microsite")</f>
        <v>microsite</v>
      </c>
      <c r="V786" s="3"/>
      <c r="W786" s="3"/>
      <c r="X786" s="3"/>
      <c r="Y786" s="3"/>
      <c r="Z786" s="3" t="str">
        <f ca="1">IFERROR(__xludf.DUMMYFUNCTION("""COMPUTED_VALUE"""),"podklady@cncenter.cz")</f>
        <v>podklady@cncenter.cz</v>
      </c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 t="str">
        <f ca="1">IFERROR(__xludf.DUMMYFUNCTION("""COMPUTED_VALUE"""),"cross-device")</f>
        <v>cross-device</v>
      </c>
      <c r="AO786" s="3"/>
      <c r="AP786" s="3"/>
      <c r="AQ786" s="3"/>
      <c r="AR786" s="3"/>
      <c r="AS786" s="3"/>
      <c r="AT786" s="3"/>
      <c r="AU786" s="3" t="str">
        <f ca="1">IFERROR(__xludf.DUMMYFUNCTION("""COMPUTED_VALUE"""),"Prodloužení existující microsite, bez úprav")</f>
        <v>Prodloužení existující microsite, bez úprav</v>
      </c>
    </row>
    <row r="787" spans="1:47" x14ac:dyDescent="0.3">
      <c r="A787" s="3">
        <f ca="1"/>
        <v>2346826</v>
      </c>
      <c r="B787" s="3" t="str">
        <f ca="1"/>
        <v>CZECH NEWS CENTER a. s.</v>
      </c>
      <c r="C787" s="3" t="str">
        <f ca="1">IFERROR(__xludf.DUMMYFUNCTION("""COMPUTED_VALUE"""),"Mimibazar")</f>
        <v>Mimibazar</v>
      </c>
      <c r="D787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7" s="3" t="str">
        <f ca="1">IFERROR(__xludf.DUMMYFUNCTION("""COMPUTED_VALUE"""),"celý web")</f>
        <v>celý web</v>
      </c>
      <c r="F787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7" s="3" t="str">
        <f ca="1">IFERROR(__xludf.DUMMYFUNCTION("""COMPUTED_VALUE"""),"Prodloužení existující microsite, bez úprav low season")</f>
        <v>Prodloužení existující microsite, bez úprav low season</v>
      </c>
      <c r="H787" s="3">
        <f ca="1">IFERROR(__xludf.DUMMYFUNCTION("""COMPUTED_VALUE"""),1)</f>
        <v>1</v>
      </c>
      <c r="I787" s="5">
        <f ca="1">IFERROR(__xludf.DUMMYFUNCTION("""COMPUTED_VALUE"""),1)</f>
        <v>1</v>
      </c>
      <c r="J787" s="5">
        <f ca="1">IFERROR(__xludf.DUMMYFUNCTION("""COMPUTED_VALUE"""),15000)</f>
        <v>15000</v>
      </c>
      <c r="K787" s="3"/>
      <c r="L787" s="3" t="str">
        <f ca="1">IFERROR(__xludf.DUMMYFUNCTION("""COMPUTED_VALUE"""),"Cost per instance")</f>
        <v>Cost per instance</v>
      </c>
      <c r="M787" s="3"/>
      <c r="N787" s="3"/>
      <c r="O787" s="3"/>
      <c r="P787" s="3"/>
      <c r="Q787" s="3"/>
      <c r="R787" s="3"/>
      <c r="S787" s="3" t="str">
        <f ca="1">IFERROR(__xludf.DUMMYFUNCTION("""COMPUTED_VALUE"""),"100")</f>
        <v>100</v>
      </c>
      <c r="T787" s="3"/>
      <c r="U787" s="3" t="str">
        <f ca="1">IFERROR(__xludf.DUMMYFUNCTION("""COMPUTED_VALUE"""),"microsite")</f>
        <v>microsite</v>
      </c>
      <c r="V787" s="3"/>
      <c r="W787" s="3"/>
      <c r="X787" s="3"/>
      <c r="Y787" s="3"/>
      <c r="Z787" s="3" t="str">
        <f ca="1">IFERROR(__xludf.DUMMYFUNCTION("""COMPUTED_VALUE"""),"podklady@cncenter.cz")</f>
        <v>podklady@cncenter.cz</v>
      </c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 t="str">
        <f ca="1">IFERROR(__xludf.DUMMYFUNCTION("""COMPUTED_VALUE"""),"cross-device")</f>
        <v>cross-device</v>
      </c>
      <c r="AO787" s="3"/>
      <c r="AP787" s="3"/>
      <c r="AQ787" s="3"/>
      <c r="AR787" s="3"/>
      <c r="AS787" s="3"/>
      <c r="AT787" s="3"/>
      <c r="AU787" s="3" t="str">
        <f ca="1">IFERROR(__xludf.DUMMYFUNCTION("""COMPUTED_VALUE"""),"Prodloužení existující microsite, bez úprav")</f>
        <v>Prodloužení existující microsite, bez úprav</v>
      </c>
    </row>
    <row r="788" spans="1:47" x14ac:dyDescent="0.3">
      <c r="A788" s="3">
        <f ca="1"/>
        <v>2346826</v>
      </c>
      <c r="B788" s="3" t="str">
        <f ca="1"/>
        <v>CZECH NEWS CENTER a. s.</v>
      </c>
      <c r="C788" s="3" t="str">
        <f ca="1">IFERROR(__xludf.DUMMYFUNCTION("""COMPUTED_VALUE"""),"Mimibazar")</f>
        <v>Mimibazar</v>
      </c>
      <c r="D788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8" s="3" t="str">
        <f ca="1">IFERROR(__xludf.DUMMYFUNCTION("""COMPUTED_VALUE"""),"celý web")</f>
        <v>celý web</v>
      </c>
      <c r="F788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8" s="3" t="str">
        <f ca="1">IFERROR(__xludf.DUMMYFUNCTION("""COMPUTED_VALUE"""),"videospot - max. 30 sec. / bumper low season")</f>
        <v>videospot - max. 30 sec. / bumper low season</v>
      </c>
      <c r="H788" s="3">
        <f ca="1">IFERROR(__xludf.DUMMYFUNCTION("""COMPUTED_VALUE"""),7)</f>
        <v>7</v>
      </c>
      <c r="I788" s="5">
        <f ca="1">IFERROR(__xludf.DUMMYFUNCTION("""COMPUTED_VALUE"""),1000)</f>
        <v>1000</v>
      </c>
      <c r="J788" s="5">
        <f ca="1">IFERROR(__xludf.DUMMYFUNCTION("""COMPUTED_VALUE"""),740)</f>
        <v>740</v>
      </c>
      <c r="K788" s="3"/>
      <c r="L788" s="3" t="str">
        <f ca="1">IFERROR(__xludf.DUMMYFUNCTION("""COMPUTED_VALUE"""),"Cost per period")</f>
        <v>Cost per period</v>
      </c>
      <c r="M788" s="3"/>
      <c r="N788" s="3"/>
      <c r="O788" s="3" t="str">
        <f ca="1">IFERROR(__xludf.DUMMYFUNCTION("""COMPUTED_VALUE"""),"1280")</f>
        <v>1280</v>
      </c>
      <c r="P788" s="3" t="str">
        <f ca="1">IFERROR(__xludf.DUMMYFUNCTION("""COMPUTED_VALUE"""),"720")</f>
        <v>720</v>
      </c>
      <c r="Q788" s="3" t="str">
        <f ca="1">IFERROR(__xludf.DUMMYFUNCTION("""COMPUTED_VALUE"""),"16:9 / umístění po domluvě dle možností")</f>
        <v>16:9 / umístění po domluvě dle možností</v>
      </c>
      <c r="R788" s="3" t="str">
        <f ca="1">IFERROR(__xludf.DUMMYFUNCTION("""COMPUTED_VALUE"""),"přeskočení po 7 sekundách")</f>
        <v>přeskočení po 7 sekundách</v>
      </c>
      <c r="S788" s="3" t="str">
        <f ca="1">IFERROR(__xludf.DUMMYFUNCTION("""COMPUTED_VALUE"""),"100")</f>
        <v>100</v>
      </c>
      <c r="T788" s="3"/>
      <c r="U788" s="3" t="str">
        <f ca="1">IFERROR(__xludf.DUMMYFUNCTION("""COMPUTED_VALUE"""),"videospot")</f>
        <v>videospot</v>
      </c>
      <c r="V788" s="3"/>
      <c r="W788" s="4" t="str">
        <f ca="1">IFERROR(__xludf.DUMMYFUNCTION("""COMPUTED_VALUE"""),"https://reklama.cncenter.cz/Online/Bumper")</f>
        <v>https://reklama.cncenter.cz/Online/Bumper</v>
      </c>
      <c r="X788" s="3"/>
      <c r="Y788" s="3"/>
      <c r="Z788" s="3" t="str">
        <f ca="1">IFERROR(__xludf.DUMMYFUNCTION("""COMPUTED_VALUE"""),"podklady@cncenter.cz")</f>
        <v>podklady@cncenter.cz</v>
      </c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 t="str">
        <f ca="1">IFERROR(__xludf.DUMMYFUNCTION("""COMPUTED_VALUE"""),"cross-device")</f>
        <v>cross-device</v>
      </c>
      <c r="AO788" s="3"/>
      <c r="AP788" s="3"/>
      <c r="AQ788" s="3"/>
      <c r="AR788" s="3"/>
      <c r="AS788" s="3"/>
      <c r="AT788" s="3"/>
      <c r="AU788" s="3" t="str">
        <f ca="1">IFERROR(__xludf.DUMMYFUNCTION("""COMPUTED_VALUE"""),"videospot - max. 30 sec. / bumper")</f>
        <v>videospot - max. 30 sec. / bumper</v>
      </c>
    </row>
    <row r="789" spans="1:47" x14ac:dyDescent="0.3">
      <c r="A789" s="3">
        <f ca="1"/>
        <v>2346826</v>
      </c>
      <c r="B789" s="3" t="str">
        <f ca="1"/>
        <v>CZECH NEWS CENTER a. s.</v>
      </c>
      <c r="C789" s="3" t="str">
        <f ca="1">IFERROR(__xludf.DUMMYFUNCTION("""COMPUTED_VALUE"""),"Mobilmania")</f>
        <v>Mobilmania</v>
      </c>
      <c r="D789" s="4" t="str">
        <f ca="1">IFERROR(__xludf.DUMMYFUNCTION("""COMPUTED_VALUE"""),"https://mobilmania.cz")</f>
        <v>https://mobilmania.cz</v>
      </c>
      <c r="E789" s="3" t="str">
        <f ca="1">IFERROR(__xludf.DUMMYFUNCTION("""COMPUTED_VALUE"""),"celý web")</f>
        <v>celý web</v>
      </c>
      <c r="F789" s="4" t="str">
        <f ca="1">IFERROR(__xludf.DUMMYFUNCTION("""COMPUTED_VALUE"""),"https://mobilmania.cz")</f>
        <v>https://mobilmania.cz</v>
      </c>
      <c r="G789" s="3" t="str">
        <f ca="1">IFERROR(__xludf.DUMMYFUNCTION("""COMPUTED_VALUE"""),"Advertorial low season")</f>
        <v>Advertorial low season</v>
      </c>
      <c r="H789" s="3">
        <f ca="1">IFERROR(__xludf.DUMMYFUNCTION("""COMPUTED_VALUE"""),1)</f>
        <v>1</v>
      </c>
      <c r="I789" s="5">
        <f ca="1">IFERROR(__xludf.DUMMYFUNCTION("""COMPUTED_VALUE"""),1)</f>
        <v>1</v>
      </c>
      <c r="J789" s="5">
        <f ca="1">IFERROR(__xludf.DUMMYFUNCTION("""COMPUTED_VALUE"""),90000)</f>
        <v>90000</v>
      </c>
      <c r="K789" s="3"/>
      <c r="L789" s="3" t="str">
        <f ca="1">IFERROR(__xludf.DUMMYFUNCTION("""COMPUTED_VALUE"""),"Cost per instance")</f>
        <v>Cost per instance</v>
      </c>
      <c r="M789" s="3"/>
      <c r="N789" s="3"/>
      <c r="O789" s="3"/>
      <c r="P789" s="3"/>
      <c r="Q789" s="3"/>
      <c r="R789" s="3"/>
      <c r="S789" s="3" t="str">
        <f ca="1">IFERROR(__xludf.DUMMYFUNCTION("""COMPUTED_VALUE"""),"100")</f>
        <v>100</v>
      </c>
      <c r="T789" s="3"/>
      <c r="U789" s="3" t="str">
        <f ca="1">IFERROR(__xludf.DUMMYFUNCTION("""COMPUTED_VALUE"""),"pr článek")</f>
        <v>pr článek</v>
      </c>
      <c r="V789" s="3"/>
      <c r="W789" s="3"/>
      <c r="X789" s="3"/>
      <c r="Y789" s="3"/>
      <c r="Z789" s="3" t="str">
        <f ca="1">IFERROR(__xludf.DUMMYFUNCTION("""COMPUTED_VALUE"""),"podklady@cncenter.cz")</f>
        <v>podklady@cncenter.cz</v>
      </c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 t="str">
        <f ca="1">IFERROR(__xludf.DUMMYFUNCTION("""COMPUTED_VALUE"""),"cross-device")</f>
        <v>cross-device</v>
      </c>
      <c r="AO789" s="3"/>
      <c r="AP789" s="3"/>
      <c r="AQ789" s="3"/>
      <c r="AR789" s="3"/>
      <c r="AS789" s="3"/>
      <c r="AT789" s="3"/>
      <c r="AU789" s="3" t="str">
        <f ca="1">IFERROR(__xludf.DUMMYFUNCTION("""COMPUTED_VALUE"""),"Advertorial")</f>
        <v>Advertorial</v>
      </c>
    </row>
    <row r="790" spans="1:47" x14ac:dyDescent="0.3">
      <c r="A790" s="3">
        <f ca="1"/>
        <v>2346826</v>
      </c>
      <c r="B790" s="3" t="str">
        <f ca="1"/>
        <v>CZECH NEWS CENTER a. s.</v>
      </c>
      <c r="C790" s="3" t="str">
        <f ca="1">IFERROR(__xludf.DUMMYFUNCTION("""COMPUTED_VALUE"""),"Mobilmania")</f>
        <v>Mobilmania</v>
      </c>
      <c r="D790" s="4" t="str">
        <f ca="1">IFERROR(__xludf.DUMMYFUNCTION("""COMPUTED_VALUE"""),"https://mobilmania.cz")</f>
        <v>https://mobilmania.cz</v>
      </c>
      <c r="E790" s="3" t="str">
        <f ca="1">IFERROR(__xludf.DUMMYFUNCTION("""COMPUTED_VALUE"""),"celý web")</f>
        <v>celý web</v>
      </c>
      <c r="F790" s="4" t="str">
        <f ca="1">IFERROR(__xludf.DUMMYFUNCTION("""COMPUTED_VALUE"""),"https://mobilmania.cz")</f>
        <v>https://mobilmania.cz</v>
      </c>
      <c r="G790" s="3" t="str">
        <f ca="1">IFERROR(__xludf.DUMMYFUNCTION("""COMPUTED_VALUE"""),"billboard bottom low season")</f>
        <v>billboard bottom low season</v>
      </c>
      <c r="H790" s="3">
        <f ca="1">IFERROR(__xludf.DUMMYFUNCTION("""COMPUTED_VALUE"""),7)</f>
        <v>7</v>
      </c>
      <c r="I790" s="5">
        <f ca="1">IFERROR(__xludf.DUMMYFUNCTION("""COMPUTED_VALUE"""),1000)</f>
        <v>1000</v>
      </c>
      <c r="J790" s="5">
        <f ca="1">IFERROR(__xludf.DUMMYFUNCTION("""COMPUTED_VALUE"""),240)</f>
        <v>240</v>
      </c>
      <c r="K790" s="3"/>
      <c r="L790" s="3" t="str">
        <f ca="1">IFERROR(__xludf.DUMMYFUNCTION("""COMPUTED_VALUE"""),"Cost per period")</f>
        <v>Cost per period</v>
      </c>
      <c r="M790" s="3"/>
      <c r="N790" s="3"/>
      <c r="O790" s="3" t="str">
        <f ca="1">IFERROR(__xludf.DUMMYFUNCTION("""COMPUTED_VALUE"""),"970")</f>
        <v>970</v>
      </c>
      <c r="P790" s="3" t="str">
        <f ca="1">IFERROR(__xludf.DUMMYFUNCTION("""COMPUTED_VALUE"""),"250")</f>
        <v>250</v>
      </c>
      <c r="Q790" s="3" t="str">
        <f ca="1">IFERROR(__xludf.DUMMYFUNCTION("""COMPUTED_VALUE"""),"970x250")</f>
        <v>970x250</v>
      </c>
      <c r="R790" s="3"/>
      <c r="S790" s="3" t="str">
        <f ca="1">IFERROR(__xludf.DUMMYFUNCTION("""COMPUTED_VALUE"""),"100 (200 - HTML5)")</f>
        <v>100 (200 - HTML5)</v>
      </c>
      <c r="T790" s="3"/>
      <c r="U790" s="3" t="str">
        <f ca="1">IFERROR(__xludf.DUMMYFUNCTION("""COMPUTED_VALUE"""),"banner standard")</f>
        <v>banner standard</v>
      </c>
      <c r="V790" s="3"/>
      <c r="W790" s="4" t="str">
        <f ca="1">IFERROR(__xludf.DUMMYFUNCTION("""COMPUTED_VALUE"""),"https://reklama.cncenter.cz/Online/billboard-bottom")</f>
        <v>https://reklama.cncenter.cz/Online/billboard-bottom</v>
      </c>
      <c r="X790" s="3"/>
      <c r="Y790" s="3"/>
      <c r="Z790" s="3" t="str">
        <f ca="1">IFERROR(__xludf.DUMMYFUNCTION("""COMPUTED_VALUE"""),"podklady@cncenter.cz")</f>
        <v>podklady@cncenter.cz</v>
      </c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 t="str">
        <f ca="1">IFERROR(__xludf.DUMMYFUNCTION("""COMPUTED_VALUE"""),"desktop")</f>
        <v>desktop</v>
      </c>
      <c r="AO790" s="3"/>
      <c r="AP790" s="3"/>
      <c r="AQ790" s="3"/>
      <c r="AR790" s="3"/>
      <c r="AS790" s="3"/>
      <c r="AT790" s="3"/>
      <c r="AU790" s="3" t="str">
        <f ca="1">IFERROR(__xludf.DUMMYFUNCTION("""COMPUTED_VALUE"""),"billboard bottom")</f>
        <v>billboard bottom</v>
      </c>
    </row>
    <row r="791" spans="1:47" x14ac:dyDescent="0.3">
      <c r="A791" s="3">
        <f ca="1"/>
        <v>2346826</v>
      </c>
      <c r="B791" s="3" t="str">
        <f ca="1"/>
        <v>CZECH NEWS CENTER a. s.</v>
      </c>
      <c r="C791" s="3" t="str">
        <f ca="1">IFERROR(__xludf.DUMMYFUNCTION("""COMPUTED_VALUE"""),"Mobilmania")</f>
        <v>Mobilmania</v>
      </c>
      <c r="D791" s="4" t="str">
        <f ca="1">IFERROR(__xludf.DUMMYFUNCTION("""COMPUTED_VALUE"""),"https://mobilmania.cz")</f>
        <v>https://mobilmania.cz</v>
      </c>
      <c r="E791" s="3" t="str">
        <f ca="1">IFERROR(__xludf.DUMMYFUNCTION("""COMPUTED_VALUE"""),"celý web")</f>
        <v>celý web</v>
      </c>
      <c r="F791" s="4" t="str">
        <f ca="1">IFERROR(__xludf.DUMMYFUNCTION("""COMPUTED_VALUE"""),"https://mobilmania.cz")</f>
        <v>https://mobilmania.cz</v>
      </c>
      <c r="G791" s="3" t="str">
        <f ca="1">IFERROR(__xludf.DUMMYFUNCTION("""COMPUTED_VALUE"""),"branding cross-device low season")</f>
        <v>branding cross-device low season</v>
      </c>
      <c r="H791" s="3">
        <f ca="1">IFERROR(__xludf.DUMMYFUNCTION("""COMPUTED_VALUE"""),7)</f>
        <v>7</v>
      </c>
      <c r="I791" s="5">
        <f ca="1">IFERROR(__xludf.DUMMYFUNCTION("""COMPUTED_VALUE"""),1000)</f>
        <v>1000</v>
      </c>
      <c r="J791" s="5">
        <f ca="1">IFERROR(__xludf.DUMMYFUNCTION("""COMPUTED_VALUE"""),300)</f>
        <v>300</v>
      </c>
      <c r="K791" s="3"/>
      <c r="L791" s="3" t="str">
        <f ca="1">IFERROR(__xludf.DUMMYFUNCTION("""COMPUTED_VALUE"""),"Cost per period")</f>
        <v>Cost per period</v>
      </c>
      <c r="M791" s="3"/>
      <c r="N791" s="3"/>
      <c r="O791" s="3" t="str">
        <f ca="1">IFERROR(__xludf.DUMMYFUNCTION("""COMPUTED_VALUE"""),"2000")</f>
        <v>2000</v>
      </c>
      <c r="P791" s="3" t="str">
        <f ca="1">IFERROR(__xludf.DUMMYFUNCTION("""COMPUTED_VALUE"""),"1400")</f>
        <v>1400</v>
      </c>
      <c r="Q791" s="3" t="str">
        <f ca="1">IFERROR(__xludf.DUMMYFUNCTION("""COMPUTED_VALUE"""),"2000x1400 + 600x1080")</f>
        <v>2000x1400 + 600x1080</v>
      </c>
      <c r="R791" s="3"/>
      <c r="S791" s="3" t="str">
        <f ca="1">IFERROR(__xludf.DUMMYFUNCTION("""COMPUTED_VALUE"""),"500 (600 - HTLM5)")</f>
        <v>500 (600 - HTLM5)</v>
      </c>
      <c r="T791" s="3"/>
      <c r="U791" s="3" t="str">
        <f ca="1">IFERROR(__xludf.DUMMYFUNCTION("""COMPUTED_VALUE"""),"banner standard")</f>
        <v>banner standard</v>
      </c>
      <c r="V791" s="3"/>
      <c r="W791" s="4" t="str">
        <f ca="1">IFERROR(__xludf.DUMMYFUNCTION("""COMPUTED_VALUE"""),"https://reklama.cncenter.cz/Online/branding-cross-device")</f>
        <v>https://reklama.cncenter.cz/Online/branding-cross-device</v>
      </c>
      <c r="X791" s="3"/>
      <c r="Y791" s="3"/>
      <c r="Z791" s="3" t="str">
        <f ca="1">IFERROR(__xludf.DUMMYFUNCTION("""COMPUTED_VALUE"""),"podklady@cncenter.cz")</f>
        <v>podklady@cncenter.cz</v>
      </c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 t="str">
        <f ca="1">IFERROR(__xludf.DUMMYFUNCTION("""COMPUTED_VALUE"""),"cross-device")</f>
        <v>cross-device</v>
      </c>
      <c r="AO791" s="3"/>
      <c r="AP791" s="3"/>
      <c r="AQ791" s="3"/>
      <c r="AR791" s="3"/>
      <c r="AS791" s="3"/>
      <c r="AT791" s="3"/>
      <c r="AU791" s="3" t="str">
        <f ca="1">IFERROR(__xludf.DUMMYFUNCTION("""COMPUTED_VALUE"""),"branding cross-device")</f>
        <v>branding cross-device</v>
      </c>
    </row>
    <row r="792" spans="1:47" x14ac:dyDescent="0.3">
      <c r="A792" s="3">
        <f ca="1"/>
        <v>2346826</v>
      </c>
      <c r="B792" s="3" t="str">
        <f ca="1"/>
        <v>CZECH NEWS CENTER a. s.</v>
      </c>
      <c r="C792" s="3" t="str">
        <f ca="1">IFERROR(__xludf.DUMMYFUNCTION("""COMPUTED_VALUE"""),"Mobilmania")</f>
        <v>Mobilmania</v>
      </c>
      <c r="D792" s="4" t="str">
        <f ca="1">IFERROR(__xludf.DUMMYFUNCTION("""COMPUTED_VALUE"""),"https://mobilmania.cz")</f>
        <v>https://mobilmania.cz</v>
      </c>
      <c r="E792" s="3" t="str">
        <f ca="1">IFERROR(__xludf.DUMMYFUNCTION("""COMPUTED_VALUE"""),"celý web")</f>
        <v>celý web</v>
      </c>
      <c r="F792" s="4" t="str">
        <f ca="1">IFERROR(__xludf.DUMMYFUNCTION("""COMPUTED_VALUE"""),"https://mobilmania.cz")</f>
        <v>https://mobilmania.cz</v>
      </c>
      <c r="G792" s="3" t="str">
        <f ca="1">IFERROR(__xludf.DUMMYFUNCTION("""COMPUTED_VALUE"""),"branding low season")</f>
        <v>branding low season</v>
      </c>
      <c r="H792" s="3">
        <f ca="1">IFERROR(__xludf.DUMMYFUNCTION("""COMPUTED_VALUE"""),7)</f>
        <v>7</v>
      </c>
      <c r="I792" s="5">
        <f ca="1">IFERROR(__xludf.DUMMYFUNCTION("""COMPUTED_VALUE"""),1000)</f>
        <v>1000</v>
      </c>
      <c r="J792" s="5">
        <f ca="1">IFERROR(__xludf.DUMMYFUNCTION("""COMPUTED_VALUE"""),490)</f>
        <v>490</v>
      </c>
      <c r="K792" s="3"/>
      <c r="L792" s="3" t="str">
        <f ca="1">IFERROR(__xludf.DUMMYFUNCTION("""COMPUTED_VALUE"""),"Cost per period")</f>
        <v>Cost per period</v>
      </c>
      <c r="M792" s="3"/>
      <c r="N792" s="3"/>
      <c r="O792" s="3" t="str">
        <f ca="1">IFERROR(__xludf.DUMMYFUNCTION("""COMPUTED_VALUE"""),"2000")</f>
        <v>2000</v>
      </c>
      <c r="P792" s="3" t="str">
        <f ca="1">IFERROR(__xludf.DUMMYFUNCTION("""COMPUTED_VALUE"""),"1400")</f>
        <v>1400</v>
      </c>
      <c r="Q792" s="3" t="str">
        <f ca="1">IFERROR(__xludf.DUMMYFUNCTION("""COMPUTED_VALUE"""),"2000x1400")</f>
        <v>2000x1400</v>
      </c>
      <c r="R792" s="3"/>
      <c r="S792" s="3" t="str">
        <f ca="1">IFERROR(__xludf.DUMMYFUNCTION("""COMPUTED_VALUE"""),"500 + 200 (600+200 HTML5)")</f>
        <v>500 + 200 (600+200 HTML5)</v>
      </c>
      <c r="T792" s="3"/>
      <c r="U792" s="3" t="str">
        <f ca="1">IFERROR(__xludf.DUMMYFUNCTION("""COMPUTED_VALUE"""),"banner standard")</f>
        <v>banner standard</v>
      </c>
      <c r="V792" s="3"/>
      <c r="W792" s="4" t="str">
        <f ca="1">IFERROR(__xludf.DUMMYFUNCTION("""COMPUTED_VALUE"""),"https://reklama.cncenter.cz/Online/branding")</f>
        <v>https://reklama.cncenter.cz/Online/branding</v>
      </c>
      <c r="X792" s="3"/>
      <c r="Y792" s="3"/>
      <c r="Z792" s="3" t="str">
        <f ca="1">IFERROR(__xludf.DUMMYFUNCTION("""COMPUTED_VALUE"""),"podklady@cncenter.cz")</f>
        <v>podklady@cncenter.cz</v>
      </c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 t="str">
        <f ca="1">IFERROR(__xludf.DUMMYFUNCTION("""COMPUTED_VALUE"""),"desktop")</f>
        <v>desktop</v>
      </c>
      <c r="AO792" s="3"/>
      <c r="AP792" s="3"/>
      <c r="AQ792" s="3"/>
      <c r="AR792" s="3"/>
      <c r="AS792" s="3"/>
      <c r="AT792" s="3"/>
      <c r="AU792" s="3" t="str">
        <f ca="1">IFERROR(__xludf.DUMMYFUNCTION("""COMPUTED_VALUE"""),"branding")</f>
        <v>branding</v>
      </c>
    </row>
    <row r="793" spans="1:47" x14ac:dyDescent="0.3">
      <c r="A793" s="3">
        <f ca="1"/>
        <v>2346826</v>
      </c>
      <c r="B793" s="3" t="str">
        <f ca="1"/>
        <v>CZECH NEWS CENTER a. s.</v>
      </c>
      <c r="C793" s="3" t="str">
        <f ca="1">IFERROR(__xludf.DUMMYFUNCTION("""COMPUTED_VALUE"""),"Mobilmania")</f>
        <v>Mobilmania</v>
      </c>
      <c r="D793" s="4" t="str">
        <f ca="1">IFERROR(__xludf.DUMMYFUNCTION("""COMPUTED_VALUE"""),"https://mobilmania.cz")</f>
        <v>https://mobilmania.cz</v>
      </c>
      <c r="E793" s="3" t="str">
        <f ca="1">IFERROR(__xludf.DUMMYFUNCTION("""COMPUTED_VALUE"""),"celý web")</f>
        <v>celý web</v>
      </c>
      <c r="F793" s="4" t="str">
        <f ca="1">IFERROR(__xludf.DUMMYFUNCTION("""COMPUTED_VALUE"""),"https://mobilmania.cz")</f>
        <v>https://mobilmania.cz</v>
      </c>
      <c r="G793" s="3" t="str">
        <f ca="1">IFERROR(__xludf.DUMMYFUNCTION("""COMPUTED_VALUE"""),"cílený billboard bottom low season")</f>
        <v>cílený billboard bottom low season</v>
      </c>
      <c r="H793" s="3">
        <f ca="1">IFERROR(__xludf.DUMMYFUNCTION("""COMPUTED_VALUE"""),7)</f>
        <v>7</v>
      </c>
      <c r="I793" s="5">
        <f ca="1">IFERROR(__xludf.DUMMYFUNCTION("""COMPUTED_VALUE"""),1000)</f>
        <v>1000</v>
      </c>
      <c r="J793" s="5">
        <f ca="1">IFERROR(__xludf.DUMMYFUNCTION("""COMPUTED_VALUE"""),288)</f>
        <v>288</v>
      </c>
      <c r="K793" s="3"/>
      <c r="L793" s="3" t="str">
        <f ca="1">IFERROR(__xludf.DUMMYFUNCTION("""COMPUTED_VALUE"""),"Cost per period")</f>
        <v>Cost per period</v>
      </c>
      <c r="M793" s="3"/>
      <c r="N793" s="3"/>
      <c r="O793" s="3" t="str">
        <f ca="1">IFERROR(__xludf.DUMMYFUNCTION("""COMPUTED_VALUE"""),"970")</f>
        <v>970</v>
      </c>
      <c r="P793" s="3" t="str">
        <f ca="1">IFERROR(__xludf.DUMMYFUNCTION("""COMPUTED_VALUE"""),"250")</f>
        <v>250</v>
      </c>
      <c r="Q793" s="3" t="str">
        <f ca="1">IFERROR(__xludf.DUMMYFUNCTION("""COMPUTED_VALUE"""),"970x250")</f>
        <v>970x250</v>
      </c>
      <c r="R793" s="3"/>
      <c r="S793" s="3" t="str">
        <f ca="1">IFERROR(__xludf.DUMMYFUNCTION("""COMPUTED_VALUE"""),"100 (200 - HTML5)")</f>
        <v>100 (200 - HTML5)</v>
      </c>
      <c r="T793" s="3"/>
      <c r="U793" s="3" t="str">
        <f ca="1">IFERROR(__xludf.DUMMYFUNCTION("""COMPUTED_VALUE"""),"banner standard")</f>
        <v>banner standard</v>
      </c>
      <c r="V793" s="3"/>
      <c r="W793" s="4" t="str">
        <f ca="1">IFERROR(__xludf.DUMMYFUNCTION("""COMPUTED_VALUE"""),"https://reklama.cncenter.cz/Online/billboard-bottom")</f>
        <v>https://reklama.cncenter.cz/Online/billboard-bottom</v>
      </c>
      <c r="X793" s="3"/>
      <c r="Y793" s="3"/>
      <c r="Z793" s="3" t="str">
        <f ca="1">IFERROR(__xludf.DUMMYFUNCTION("""COMPUTED_VALUE"""),"podklady@cncenter.cz")</f>
        <v>podklady@cncenter.cz</v>
      </c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 t="str">
        <f ca="1">IFERROR(__xludf.DUMMYFUNCTION("""COMPUTED_VALUE"""),"desktop")</f>
        <v>desktop</v>
      </c>
      <c r="AO793" s="3"/>
      <c r="AP793" s="3"/>
      <c r="AQ793" s="3"/>
      <c r="AR793" s="3"/>
      <c r="AS793" s="3"/>
      <c r="AT793" s="3"/>
      <c r="AU793" s="3" t="str">
        <f ca="1">IFERROR(__xludf.DUMMYFUNCTION("""COMPUTED_VALUE"""),"cílený billboard bottom")</f>
        <v>cílený billboard bottom</v>
      </c>
    </row>
    <row r="794" spans="1:47" x14ac:dyDescent="0.3">
      <c r="A794" s="3">
        <f ca="1"/>
        <v>2346826</v>
      </c>
      <c r="B794" s="3" t="str">
        <f ca="1"/>
        <v>CZECH NEWS CENTER a. s.</v>
      </c>
      <c r="C794" s="3" t="str">
        <f ca="1">IFERROR(__xludf.DUMMYFUNCTION("""COMPUTED_VALUE"""),"Mobilmania")</f>
        <v>Mobilmania</v>
      </c>
      <c r="D794" s="4" t="str">
        <f ca="1">IFERROR(__xludf.DUMMYFUNCTION("""COMPUTED_VALUE"""),"https://mobilmania.cz")</f>
        <v>https://mobilmania.cz</v>
      </c>
      <c r="E794" s="3" t="str">
        <f ca="1">IFERROR(__xludf.DUMMYFUNCTION("""COMPUTED_VALUE"""),"celý web")</f>
        <v>celý web</v>
      </c>
      <c r="F794" s="4" t="str">
        <f ca="1">IFERROR(__xludf.DUMMYFUNCTION("""COMPUTED_VALUE"""),"https://mobilmania.cz")</f>
        <v>https://mobilmania.cz</v>
      </c>
      <c r="G794" s="3" t="str">
        <f ca="1">IFERROR(__xludf.DUMMYFUNCTION("""COMPUTED_VALUE"""),"cílený branding cross-device low season")</f>
        <v>cílený branding cross-device low season</v>
      </c>
      <c r="H794" s="3">
        <f ca="1">IFERROR(__xludf.DUMMYFUNCTION("""COMPUTED_VALUE"""),7)</f>
        <v>7</v>
      </c>
      <c r="I794" s="5">
        <f ca="1">IFERROR(__xludf.DUMMYFUNCTION("""COMPUTED_VALUE"""),1000)</f>
        <v>1000</v>
      </c>
      <c r="J794" s="5">
        <f ca="1">IFERROR(__xludf.DUMMYFUNCTION("""COMPUTED_VALUE"""),360)</f>
        <v>360</v>
      </c>
      <c r="K794" s="3"/>
      <c r="L794" s="3" t="str">
        <f ca="1">IFERROR(__xludf.DUMMYFUNCTION("""COMPUTED_VALUE"""),"Cost per period")</f>
        <v>Cost per period</v>
      </c>
      <c r="M794" s="3"/>
      <c r="N794" s="3"/>
      <c r="O794" s="3" t="str">
        <f ca="1">IFERROR(__xludf.DUMMYFUNCTION("""COMPUTED_VALUE"""),"2000")</f>
        <v>2000</v>
      </c>
      <c r="P794" s="3" t="str">
        <f ca="1">IFERROR(__xludf.DUMMYFUNCTION("""COMPUTED_VALUE"""),"1400")</f>
        <v>1400</v>
      </c>
      <c r="Q794" s="3" t="str">
        <f ca="1">IFERROR(__xludf.DUMMYFUNCTION("""COMPUTED_VALUE"""),"2000x1400 + 600x1080")</f>
        <v>2000x1400 + 600x1080</v>
      </c>
      <c r="R794" s="3"/>
      <c r="S794" s="3" t="str">
        <f ca="1">IFERROR(__xludf.DUMMYFUNCTION("""COMPUTED_VALUE"""),"500 (600 - HTLM5)")</f>
        <v>500 (600 - HTLM5)</v>
      </c>
      <c r="T794" s="3"/>
      <c r="U794" s="3" t="str">
        <f ca="1">IFERROR(__xludf.DUMMYFUNCTION("""COMPUTED_VALUE"""),"banner standard")</f>
        <v>banner standard</v>
      </c>
      <c r="V794" s="3"/>
      <c r="W794" s="4" t="str">
        <f ca="1">IFERROR(__xludf.DUMMYFUNCTION("""COMPUTED_VALUE"""),"https://reklama.cncenter.cz/Online/branding-cross-device")</f>
        <v>https://reklama.cncenter.cz/Online/branding-cross-device</v>
      </c>
      <c r="X794" s="3"/>
      <c r="Y794" s="3"/>
      <c r="Z794" s="3" t="str">
        <f ca="1">IFERROR(__xludf.DUMMYFUNCTION("""COMPUTED_VALUE"""),"podklady@cncenter.cz")</f>
        <v>podklady@cncenter.cz</v>
      </c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 t="str">
        <f ca="1">IFERROR(__xludf.DUMMYFUNCTION("""COMPUTED_VALUE"""),"cross-device")</f>
        <v>cross-device</v>
      </c>
      <c r="AO794" s="3"/>
      <c r="AP794" s="3"/>
      <c r="AQ794" s="3"/>
      <c r="AR794" s="3"/>
      <c r="AS794" s="3"/>
      <c r="AT794" s="3"/>
      <c r="AU794" s="3" t="str">
        <f ca="1">IFERROR(__xludf.DUMMYFUNCTION("""COMPUTED_VALUE"""),"cílený branding cross-device")</f>
        <v>cílený branding cross-device</v>
      </c>
    </row>
    <row r="795" spans="1:47" x14ac:dyDescent="0.3">
      <c r="A795" s="3">
        <f ca="1"/>
        <v>2346826</v>
      </c>
      <c r="B795" s="3" t="str">
        <f ca="1"/>
        <v>CZECH NEWS CENTER a. s.</v>
      </c>
      <c r="C795" s="3" t="str">
        <f ca="1">IFERROR(__xludf.DUMMYFUNCTION("""COMPUTED_VALUE"""),"Mobilmania")</f>
        <v>Mobilmania</v>
      </c>
      <c r="D795" s="4" t="str">
        <f ca="1">IFERROR(__xludf.DUMMYFUNCTION("""COMPUTED_VALUE"""),"https://mobilmania.cz")</f>
        <v>https://mobilmania.cz</v>
      </c>
      <c r="E795" s="3" t="str">
        <f ca="1">IFERROR(__xludf.DUMMYFUNCTION("""COMPUTED_VALUE"""),"celý web")</f>
        <v>celý web</v>
      </c>
      <c r="F795" s="4" t="str">
        <f ca="1">IFERROR(__xludf.DUMMYFUNCTION("""COMPUTED_VALUE"""),"https://mobilmania.cz")</f>
        <v>https://mobilmania.cz</v>
      </c>
      <c r="G795" s="3" t="str">
        <f ca="1">IFERROR(__xludf.DUMMYFUNCTION("""COMPUTED_VALUE"""),"cílený branding low season")</f>
        <v>cílený branding low season</v>
      </c>
      <c r="H795" s="3">
        <f ca="1">IFERROR(__xludf.DUMMYFUNCTION("""COMPUTED_VALUE"""),7)</f>
        <v>7</v>
      </c>
      <c r="I795" s="5">
        <f ca="1">IFERROR(__xludf.DUMMYFUNCTION("""COMPUTED_VALUE"""),1000)</f>
        <v>1000</v>
      </c>
      <c r="J795" s="5">
        <f ca="1">IFERROR(__xludf.DUMMYFUNCTION("""COMPUTED_VALUE"""),588)</f>
        <v>588</v>
      </c>
      <c r="K795" s="3"/>
      <c r="L795" s="3" t="str">
        <f ca="1">IFERROR(__xludf.DUMMYFUNCTION("""COMPUTED_VALUE"""),"Cost per period")</f>
        <v>Cost per period</v>
      </c>
      <c r="M795" s="3"/>
      <c r="N795" s="3"/>
      <c r="O795" s="3" t="str">
        <f ca="1">IFERROR(__xludf.DUMMYFUNCTION("""COMPUTED_VALUE"""),"2000")</f>
        <v>2000</v>
      </c>
      <c r="P795" s="3" t="str">
        <f ca="1">IFERROR(__xludf.DUMMYFUNCTION("""COMPUTED_VALUE"""),"1400")</f>
        <v>1400</v>
      </c>
      <c r="Q795" s="3" t="str">
        <f ca="1">IFERROR(__xludf.DUMMYFUNCTION("""COMPUTED_VALUE"""),"2000x1400")</f>
        <v>2000x1400</v>
      </c>
      <c r="R795" s="3"/>
      <c r="S795" s="3" t="str">
        <f ca="1">IFERROR(__xludf.DUMMYFUNCTION("""COMPUTED_VALUE"""),"500 + 200 (600+200 HTML5)")</f>
        <v>500 + 200 (600+200 HTML5)</v>
      </c>
      <c r="T795" s="3"/>
      <c r="U795" s="3" t="str">
        <f ca="1">IFERROR(__xludf.DUMMYFUNCTION("""COMPUTED_VALUE"""),"banner standard")</f>
        <v>banner standard</v>
      </c>
      <c r="V795" s="3"/>
      <c r="W795" s="4" t="str">
        <f ca="1">IFERROR(__xludf.DUMMYFUNCTION("""COMPUTED_VALUE"""),"https://reklama.cncenter.cz/Online/branding")</f>
        <v>https://reklama.cncenter.cz/Online/branding</v>
      </c>
      <c r="X795" s="3"/>
      <c r="Y795" s="3"/>
      <c r="Z795" s="3" t="str">
        <f ca="1">IFERROR(__xludf.DUMMYFUNCTION("""COMPUTED_VALUE"""),"podklady@cncenter.cz")</f>
        <v>podklady@cncenter.cz</v>
      </c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 t="str">
        <f ca="1">IFERROR(__xludf.DUMMYFUNCTION("""COMPUTED_VALUE"""),"desktop")</f>
        <v>desktop</v>
      </c>
      <c r="AO795" s="3"/>
      <c r="AP795" s="3"/>
      <c r="AQ795" s="3"/>
      <c r="AR795" s="3"/>
      <c r="AS795" s="3"/>
      <c r="AT795" s="3"/>
      <c r="AU795" s="3" t="str">
        <f ca="1">IFERROR(__xludf.DUMMYFUNCTION("""COMPUTED_VALUE"""),"cílený branding")</f>
        <v>cílený branding</v>
      </c>
    </row>
    <row r="796" spans="1:47" x14ac:dyDescent="0.3">
      <c r="A796" s="3">
        <f ca="1"/>
        <v>2346826</v>
      </c>
      <c r="B796" s="3" t="str">
        <f ca="1"/>
        <v>CZECH NEWS CENTER a. s.</v>
      </c>
      <c r="C796" s="3" t="str">
        <f ca="1">IFERROR(__xludf.DUMMYFUNCTION("""COMPUTED_VALUE"""),"Mobilmania")</f>
        <v>Mobilmania</v>
      </c>
      <c r="D796" s="4" t="str">
        <f ca="1">IFERROR(__xludf.DUMMYFUNCTION("""COMPUTED_VALUE"""),"https://mobilmania.cz")</f>
        <v>https://mobilmania.cz</v>
      </c>
      <c r="E796" s="3" t="str">
        <f ca="1">IFERROR(__xludf.DUMMYFUNCTION("""COMPUTED_VALUE"""),"celý web")</f>
        <v>celý web</v>
      </c>
      <c r="F796" s="4" t="str">
        <f ca="1">IFERROR(__xludf.DUMMYFUNCTION("""COMPUTED_VALUE"""),"https://mobilmania.cz")</f>
        <v>https://mobilmania.cz</v>
      </c>
      <c r="G796" s="3" t="str">
        <f ca="1">IFERROR(__xludf.DUMMYFUNCTION("""COMPUTED_VALUE"""),"cílený double skyscraper low season")</f>
        <v>cílený double skyscraper low season</v>
      </c>
      <c r="H796" s="3">
        <f ca="1">IFERROR(__xludf.DUMMYFUNCTION("""COMPUTED_VALUE"""),7)</f>
        <v>7</v>
      </c>
      <c r="I796" s="5">
        <f ca="1">IFERROR(__xludf.DUMMYFUNCTION("""COMPUTED_VALUE"""),1000)</f>
        <v>1000</v>
      </c>
      <c r="J796" s="5">
        <f ca="1">IFERROR(__xludf.DUMMYFUNCTION("""COMPUTED_VALUE"""),228)</f>
        <v>228</v>
      </c>
      <c r="K796" s="3"/>
      <c r="L796" s="3" t="str">
        <f ca="1">IFERROR(__xludf.DUMMYFUNCTION("""COMPUTED_VALUE"""),"Cost per period")</f>
        <v>Cost per period</v>
      </c>
      <c r="M796" s="3"/>
      <c r="N796" s="3"/>
      <c r="O796" s="3" t="str">
        <f ca="1">IFERROR(__xludf.DUMMYFUNCTION("""COMPUTED_VALUE"""),"300")</f>
        <v>300</v>
      </c>
      <c r="P796" s="3" t="str">
        <f ca="1">IFERROR(__xludf.DUMMYFUNCTION("""COMPUTED_VALUE"""),"600")</f>
        <v>600</v>
      </c>
      <c r="Q796" s="3" t="str">
        <f ca="1">IFERROR(__xludf.DUMMYFUNCTION("""COMPUTED_VALUE"""),"300x600")</f>
        <v>300x600</v>
      </c>
      <c r="R796" s="3"/>
      <c r="S796" s="3" t="str">
        <f ca="1">IFERROR(__xludf.DUMMYFUNCTION("""COMPUTED_VALUE"""),"100 (200 - HTML5)")</f>
        <v>100 (200 - HTML5)</v>
      </c>
      <c r="T796" s="3"/>
      <c r="U796" s="3" t="str">
        <f ca="1">IFERROR(__xludf.DUMMYFUNCTION("""COMPUTED_VALUE"""),"banner standard")</f>
        <v>banner standard</v>
      </c>
      <c r="V796" s="3"/>
      <c r="W796" s="4" t="str">
        <f ca="1">IFERROR(__xludf.DUMMYFUNCTION("""COMPUTED_VALUE"""),"https://reklama.cncenter.cz/Online/double-skyscraper")</f>
        <v>https://reklama.cncenter.cz/Online/double-skyscraper</v>
      </c>
      <c r="X796" s="3"/>
      <c r="Y796" s="3"/>
      <c r="Z796" s="3" t="str">
        <f ca="1">IFERROR(__xludf.DUMMYFUNCTION("""COMPUTED_VALUE"""),"podklady@cncenter.cz")</f>
        <v>podklady@cncenter.cz</v>
      </c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 t="str">
        <f ca="1">IFERROR(__xludf.DUMMYFUNCTION("""COMPUTED_VALUE"""),"desktop")</f>
        <v>desktop</v>
      </c>
      <c r="AO796" s="3"/>
      <c r="AP796" s="3"/>
      <c r="AQ796" s="3"/>
      <c r="AR796" s="3"/>
      <c r="AS796" s="3"/>
      <c r="AT796" s="3"/>
      <c r="AU796" s="3" t="str">
        <f ca="1">IFERROR(__xludf.DUMMYFUNCTION("""COMPUTED_VALUE"""),"cílený double skyscraper")</f>
        <v>cílený double skyscraper</v>
      </c>
    </row>
    <row r="797" spans="1:47" x14ac:dyDescent="0.3">
      <c r="A797" s="3">
        <f ca="1"/>
        <v>2346826</v>
      </c>
      <c r="B797" s="3" t="str">
        <f ca="1"/>
        <v>CZECH NEWS CENTER a. s.</v>
      </c>
      <c r="C797" s="3" t="str">
        <f ca="1">IFERROR(__xludf.DUMMYFUNCTION("""COMPUTED_VALUE"""),"Mobilmania")</f>
        <v>Mobilmania</v>
      </c>
      <c r="D797" s="4" t="str">
        <f ca="1">IFERROR(__xludf.DUMMYFUNCTION("""COMPUTED_VALUE"""),"https://mobilmania.cz")</f>
        <v>https://mobilmania.cz</v>
      </c>
      <c r="E797" s="3" t="str">
        <f ca="1">IFERROR(__xludf.DUMMYFUNCTION("""COMPUTED_VALUE"""),"celý web")</f>
        <v>celý web</v>
      </c>
      <c r="F797" s="4" t="str">
        <f ca="1">IFERROR(__xludf.DUMMYFUNCTION("""COMPUTED_VALUE"""),"https://mobilmania.cz")</f>
        <v>https://mobilmania.cz</v>
      </c>
      <c r="G797" s="3" t="str">
        <f ca="1">IFERROR(__xludf.DUMMYFUNCTION("""COMPUTED_VALUE"""),"cílený mobilní interscroller low season")</f>
        <v>cílený mobilní interscroller low season</v>
      </c>
      <c r="H797" s="3">
        <f ca="1">IFERROR(__xludf.DUMMYFUNCTION("""COMPUTED_VALUE"""),7)</f>
        <v>7</v>
      </c>
      <c r="I797" s="5">
        <f ca="1">IFERROR(__xludf.DUMMYFUNCTION("""COMPUTED_VALUE"""),1000)</f>
        <v>1000</v>
      </c>
      <c r="J797" s="5">
        <f ca="1">IFERROR(__xludf.DUMMYFUNCTION("""COMPUTED_VALUE"""),300)</f>
        <v>300</v>
      </c>
      <c r="K797" s="3"/>
      <c r="L797" s="3" t="str">
        <f ca="1">IFERROR(__xludf.DUMMYFUNCTION("""COMPUTED_VALUE"""),"Cost per period")</f>
        <v>Cost per period</v>
      </c>
      <c r="M797" s="3"/>
      <c r="N797" s="3"/>
      <c r="O797" s="3" t="str">
        <f ca="1">IFERROR(__xludf.DUMMYFUNCTION("""COMPUTED_VALUE"""),"600")</f>
        <v>600</v>
      </c>
      <c r="P797" s="3" t="str">
        <f ca="1">IFERROR(__xludf.DUMMYFUNCTION("""COMPUTED_VALUE"""),"1080")</f>
        <v>1080</v>
      </c>
      <c r="Q797" s="3" t="str">
        <f ca="1">IFERROR(__xludf.DUMMYFUNCTION("""COMPUTED_VALUE"""),"600x1080")</f>
        <v>600x1080</v>
      </c>
      <c r="R797" s="3"/>
      <c r="S797" s="3" t="str">
        <f ca="1">IFERROR(__xludf.DUMMYFUNCTION("""COMPUTED_VALUE"""),"200")</f>
        <v>200</v>
      </c>
      <c r="T797" s="3"/>
      <c r="U797" s="3" t="str">
        <f ca="1">IFERROR(__xludf.DUMMYFUNCTION("""COMPUTED_VALUE"""),"banner standard")</f>
        <v>banner standard</v>
      </c>
      <c r="V797" s="3"/>
      <c r="W797" s="4" t="str">
        <f ca="1">IFERROR(__xludf.DUMMYFUNCTION("""COMPUTED_VALUE"""),"https://reklama.cncenter.cz/Online/mobilni-interscroller")</f>
        <v>https://reklama.cncenter.cz/Online/mobilni-interscroller</v>
      </c>
      <c r="X797" s="3"/>
      <c r="Y797" s="3"/>
      <c r="Z797" s="3" t="str">
        <f ca="1">IFERROR(__xludf.DUMMYFUNCTION("""COMPUTED_VALUE"""),"podklady@cncenter.cz")</f>
        <v>podklady@cncenter.cz</v>
      </c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 t="str">
        <f ca="1">IFERROR(__xludf.DUMMYFUNCTION("""COMPUTED_VALUE"""),"mobile")</f>
        <v>mobile</v>
      </c>
      <c r="AO797" s="3"/>
      <c r="AP797" s="3"/>
      <c r="AQ797" s="3"/>
      <c r="AR797" s="3"/>
      <c r="AS797" s="3"/>
      <c r="AT797" s="3"/>
      <c r="AU797" s="3" t="str">
        <f ca="1">IFERROR(__xludf.DUMMYFUNCTION("""COMPUTED_VALUE"""),"cílený mobilní interscroller")</f>
        <v>cílený mobilní interscroller</v>
      </c>
    </row>
    <row r="798" spans="1:47" x14ac:dyDescent="0.3">
      <c r="A798" s="3">
        <f ca="1"/>
        <v>2346826</v>
      </c>
      <c r="B798" s="3" t="str">
        <f ca="1"/>
        <v>CZECH NEWS CENTER a. s.</v>
      </c>
      <c r="C798" s="3" t="str">
        <f ca="1">IFERROR(__xludf.DUMMYFUNCTION("""COMPUTED_VALUE"""),"Mobilmania")</f>
        <v>Mobilmania</v>
      </c>
      <c r="D798" s="4" t="str">
        <f ca="1">IFERROR(__xludf.DUMMYFUNCTION("""COMPUTED_VALUE"""),"https://mobilmania.cz")</f>
        <v>https://mobilmania.cz</v>
      </c>
      <c r="E798" s="3" t="str">
        <f ca="1">IFERROR(__xludf.DUMMYFUNCTION("""COMPUTED_VALUE"""),"celý web")</f>
        <v>celý web</v>
      </c>
      <c r="F798" s="4" t="str">
        <f ca="1">IFERROR(__xludf.DUMMYFUNCTION("""COMPUTED_VALUE"""),"https://mobilmania.cz")</f>
        <v>https://mobilmania.cz</v>
      </c>
      <c r="G798" s="3" t="str">
        <f ca="1">IFERROR(__xludf.DUMMYFUNCTION("""COMPUTED_VALUE"""),"cílený mobilní slide-up low season")</f>
        <v>cílený mobilní slide-up low season</v>
      </c>
      <c r="H798" s="3">
        <f ca="1">IFERROR(__xludf.DUMMYFUNCTION("""COMPUTED_VALUE"""),7)</f>
        <v>7</v>
      </c>
      <c r="I798" s="5">
        <f ca="1">IFERROR(__xludf.DUMMYFUNCTION("""COMPUTED_VALUE"""),1000)</f>
        <v>1000</v>
      </c>
      <c r="J798" s="5">
        <f ca="1">IFERROR(__xludf.DUMMYFUNCTION("""COMPUTED_VALUE"""),612)</f>
        <v>612</v>
      </c>
      <c r="K798" s="3"/>
      <c r="L798" s="3" t="str">
        <f ca="1">IFERROR(__xludf.DUMMYFUNCTION("""COMPUTED_VALUE"""),"Cost per period")</f>
        <v>Cost per period</v>
      </c>
      <c r="M798" s="3"/>
      <c r="N798" s="3"/>
      <c r="O798" s="3" t="str">
        <f ca="1">IFERROR(__xludf.DUMMYFUNCTION("""COMPUTED_VALUE"""),"300")</f>
        <v>300</v>
      </c>
      <c r="P798" s="3" t="str">
        <f ca="1">IFERROR(__xludf.DUMMYFUNCTION("""COMPUTED_VALUE"""),"120")</f>
        <v>120</v>
      </c>
      <c r="Q798" s="3" t="str">
        <f ca="1">IFERROR(__xludf.DUMMYFUNCTION("""COMPUTED_VALUE"""),"300x120")</f>
        <v>300x120</v>
      </c>
      <c r="R798" s="3"/>
      <c r="S798" s="3" t="str">
        <f ca="1">IFERROR(__xludf.DUMMYFUNCTION("""COMPUTED_VALUE"""),"100")</f>
        <v>100</v>
      </c>
      <c r="T798" s="3"/>
      <c r="U798" s="3" t="str">
        <f ca="1">IFERROR(__xludf.DUMMYFUNCTION("""COMPUTED_VALUE"""),"banner standard")</f>
        <v>banner standard</v>
      </c>
      <c r="V798" s="3"/>
      <c r="W798" s="4" t="str">
        <f ca="1">IFERROR(__xludf.DUMMYFUNCTION("""COMPUTED_VALUE"""),"https://reklama.cncenter.cz/Online/mobilni-slide-up")</f>
        <v>https://reklama.cncenter.cz/Online/mobilni-slide-up</v>
      </c>
      <c r="X798" s="3"/>
      <c r="Y798" s="3"/>
      <c r="Z798" s="3" t="str">
        <f ca="1">IFERROR(__xludf.DUMMYFUNCTION("""COMPUTED_VALUE"""),"podklady@cncenter.cz")</f>
        <v>podklady@cncenter.cz</v>
      </c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 t="str">
        <f ca="1">IFERROR(__xludf.DUMMYFUNCTION("""COMPUTED_VALUE"""),"mobile")</f>
        <v>mobile</v>
      </c>
      <c r="AO798" s="3"/>
      <c r="AP798" s="3"/>
      <c r="AQ798" s="3"/>
      <c r="AR798" s="3"/>
      <c r="AS798" s="3"/>
      <c r="AT798" s="3"/>
      <c r="AU798" s="3" t="str">
        <f ca="1">IFERROR(__xludf.DUMMYFUNCTION("""COMPUTED_VALUE"""),"cílený mobilní slide-up")</f>
        <v>cílený mobilní slide-up</v>
      </c>
    </row>
    <row r="799" spans="1:47" x14ac:dyDescent="0.3">
      <c r="A799" s="3">
        <f ca="1"/>
        <v>2346826</v>
      </c>
      <c r="B799" s="3" t="str">
        <f ca="1"/>
        <v>CZECH NEWS CENTER a. s.</v>
      </c>
      <c r="C799" s="3" t="str">
        <f ca="1">IFERROR(__xludf.DUMMYFUNCTION("""COMPUTED_VALUE"""),"Mobilmania")</f>
        <v>Mobilmania</v>
      </c>
      <c r="D799" s="4" t="str">
        <f ca="1">IFERROR(__xludf.DUMMYFUNCTION("""COMPUTED_VALUE"""),"https://mobilmania.cz")</f>
        <v>https://mobilmania.cz</v>
      </c>
      <c r="E799" s="3" t="str">
        <f ca="1">IFERROR(__xludf.DUMMYFUNCTION("""COMPUTED_VALUE"""),"celý web")</f>
        <v>celý web</v>
      </c>
      <c r="F799" s="4" t="str">
        <f ca="1">IFERROR(__xludf.DUMMYFUNCTION("""COMPUTED_VALUE"""),"https://mobilmania.cz")</f>
        <v>https://mobilmania.cz</v>
      </c>
      <c r="G799" s="3" t="str">
        <f ca="1">IFERROR(__xludf.DUMMYFUNCTION("""COMPUTED_VALUE"""),"cílený mobilní viněta low season")</f>
        <v>cílený mobilní viněta low season</v>
      </c>
      <c r="H799" s="3">
        <f ca="1">IFERROR(__xludf.DUMMYFUNCTION("""COMPUTED_VALUE"""),7)</f>
        <v>7</v>
      </c>
      <c r="I799" s="5">
        <f ca="1">IFERROR(__xludf.DUMMYFUNCTION("""COMPUTED_VALUE"""),1000)</f>
        <v>1000</v>
      </c>
      <c r="J799" s="5">
        <f ca="1">IFERROR(__xludf.DUMMYFUNCTION("""COMPUTED_VALUE"""),1056)</f>
        <v>1056</v>
      </c>
      <c r="K799" s="3"/>
      <c r="L799" s="3" t="str">
        <f ca="1">IFERROR(__xludf.DUMMYFUNCTION("""COMPUTED_VALUE"""),"Cost per period")</f>
        <v>Cost per period</v>
      </c>
      <c r="M799" s="3"/>
      <c r="N799" s="3"/>
      <c r="O799" s="3" t="str">
        <f ca="1">IFERROR(__xludf.DUMMYFUNCTION("""COMPUTED_VALUE"""),"600")</f>
        <v>600</v>
      </c>
      <c r="P799" s="3" t="str">
        <f ca="1">IFERROR(__xludf.DUMMYFUNCTION("""COMPUTED_VALUE"""),"800")</f>
        <v>800</v>
      </c>
      <c r="Q799" s="3" t="str">
        <f ca="1">IFERROR(__xludf.DUMMYFUNCTION("""COMPUTED_VALUE"""),"300x250 nebo 600x800")</f>
        <v>300x250 nebo 600x800</v>
      </c>
      <c r="R799" s="3"/>
      <c r="S799" s="3" t="str">
        <f ca="1">IFERROR(__xludf.DUMMYFUNCTION("""COMPUTED_VALUE"""),"100")</f>
        <v>100</v>
      </c>
      <c r="T799" s="3"/>
      <c r="U799" s="3" t="str">
        <f ca="1">IFERROR(__xludf.DUMMYFUNCTION("""COMPUTED_VALUE"""),"banner standard")</f>
        <v>banner standard</v>
      </c>
      <c r="V799" s="3"/>
      <c r="W799" s="4" t="str">
        <f ca="1">IFERROR(__xludf.DUMMYFUNCTION("""COMPUTED_VALUE"""),"https://reklama.cncenter.cz/Online/mobilni-vineta")</f>
        <v>https://reklama.cncenter.cz/Online/mobilni-vineta</v>
      </c>
      <c r="X799" s="3"/>
      <c r="Y799" s="3"/>
      <c r="Z799" s="3" t="str">
        <f ca="1">IFERROR(__xludf.DUMMYFUNCTION("""COMPUTED_VALUE"""),"podklady@cncenter.cz")</f>
        <v>podklady@cncenter.cz</v>
      </c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 t="str">
        <f ca="1">IFERROR(__xludf.DUMMYFUNCTION("""COMPUTED_VALUE"""),"mobile")</f>
        <v>mobile</v>
      </c>
      <c r="AO799" s="3"/>
      <c r="AP799" s="3"/>
      <c r="AQ799" s="3"/>
      <c r="AR799" s="3"/>
      <c r="AS799" s="3"/>
      <c r="AT799" s="3"/>
      <c r="AU799" s="3" t="str">
        <f ca="1">IFERROR(__xludf.DUMMYFUNCTION("""COMPUTED_VALUE"""),"cílený mobilní viněta")</f>
        <v>cílený mobilní viněta</v>
      </c>
    </row>
    <row r="800" spans="1:47" x14ac:dyDescent="0.3">
      <c r="A800" s="3">
        <f ca="1"/>
        <v>2346826</v>
      </c>
      <c r="B800" s="3" t="str">
        <f ca="1"/>
        <v>CZECH NEWS CENTER a. s.</v>
      </c>
      <c r="C800" s="3" t="str">
        <f ca="1">IFERROR(__xludf.DUMMYFUNCTION("""COMPUTED_VALUE"""),"Mobilmania")</f>
        <v>Mobilmania</v>
      </c>
      <c r="D800" s="4" t="str">
        <f ca="1">IFERROR(__xludf.DUMMYFUNCTION("""COMPUTED_VALUE"""),"https://mobilmania.cz")</f>
        <v>https://mobilmania.cz</v>
      </c>
      <c r="E800" s="3" t="str">
        <f ca="1">IFERROR(__xludf.DUMMYFUNCTION("""COMPUTED_VALUE"""),"celý web")</f>
        <v>celý web</v>
      </c>
      <c r="F800" s="4" t="str">
        <f ca="1">IFERROR(__xludf.DUMMYFUNCTION("""COMPUTED_VALUE"""),"https://mobilmania.cz")</f>
        <v>https://mobilmania.cz</v>
      </c>
      <c r="G800" s="3" t="str">
        <f ca="1">IFERROR(__xludf.DUMMYFUNCTION("""COMPUTED_VALUE"""),"cílený nativní pr premium low season")</f>
        <v>cílený nativní pr premium low season</v>
      </c>
      <c r="H800" s="3">
        <f ca="1">IFERROR(__xludf.DUMMYFUNCTION("""COMPUTED_VALUE"""),7)</f>
        <v>7</v>
      </c>
      <c r="I800" s="5">
        <f ca="1">IFERROR(__xludf.DUMMYFUNCTION("""COMPUTED_VALUE"""),1000)</f>
        <v>1000</v>
      </c>
      <c r="J800" s="5">
        <f ca="1">IFERROR(__xludf.DUMMYFUNCTION("""COMPUTED_VALUE"""),120)</f>
        <v>120</v>
      </c>
      <c r="K800" s="3"/>
      <c r="L800" s="3" t="str">
        <f ca="1">IFERROR(__xludf.DUMMYFUNCTION("""COMPUTED_VALUE"""),"Cost per period")</f>
        <v>Cost per period</v>
      </c>
      <c r="M800" s="3"/>
      <c r="N800" s="3"/>
      <c r="O800" s="3" t="str">
        <f ca="1">IFERROR(__xludf.DUMMYFUNCTION("""COMPUTED_VALUE"""),"640")</f>
        <v>640</v>
      </c>
      <c r="P800" s="3" t="str">
        <f ca="1">IFERROR(__xludf.DUMMYFUNCTION("""COMPUTED_VALUE"""),"335, 640")</f>
        <v>335, 640</v>
      </c>
      <c r="Q800" s="3" t="str">
        <f ca="1">IFERROR(__xludf.DUMMYFUNCTION("""COMPUTED_VALUE"""),"640x640 a 640x335 + text + logo")</f>
        <v>640x640 a 640x335 + text + logo</v>
      </c>
      <c r="R800" s="3" t="str">
        <f ca="1">IFERROR(__xludf.DUMMYFUNCTION("""COMPUTED_VALUE"""),"detailní specifikace na URL odkaze")</f>
        <v>detailní specifikace na URL odkaze</v>
      </c>
      <c r="S800" s="3" t="str">
        <f ca="1">IFERROR(__xludf.DUMMYFUNCTION("""COMPUTED_VALUE"""),"100")</f>
        <v>100</v>
      </c>
      <c r="T800" s="3"/>
      <c r="U800" s="3" t="str">
        <f ca="1">IFERROR(__xludf.DUMMYFUNCTION("""COMPUTED_VALUE"""),"nativní reklama")</f>
        <v>nativní reklama</v>
      </c>
      <c r="V800" s="3"/>
      <c r="W800" s="4" t="str">
        <f ca="1">IFERROR(__xludf.DUMMYFUNCTION("""COMPUTED_VALUE"""),"https://reklama.cncenter.cz/Online/nativni-PR-premium")</f>
        <v>https://reklama.cncenter.cz/Online/nativni-PR-premium</v>
      </c>
      <c r="X800" s="3"/>
      <c r="Y800" s="3"/>
      <c r="Z800" s="3" t="str">
        <f ca="1">IFERROR(__xludf.DUMMYFUNCTION("""COMPUTED_VALUE"""),"podklady@cncenter.cz")</f>
        <v>podklady@cncenter.cz</v>
      </c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 t="str">
        <f ca="1">IFERROR(__xludf.DUMMYFUNCTION("""COMPUTED_VALUE"""),"cross-device")</f>
        <v>cross-device</v>
      </c>
      <c r="AO800" s="3"/>
      <c r="AP800" s="3"/>
      <c r="AQ800" s="3"/>
      <c r="AR800" s="3"/>
      <c r="AS800" s="3"/>
      <c r="AT800" s="3"/>
      <c r="AU800" s="3" t="str">
        <f ca="1">IFERROR(__xludf.DUMMYFUNCTION("""COMPUTED_VALUE"""),"cílený nativní pr premium")</f>
        <v>cílený nativní pr premium</v>
      </c>
    </row>
    <row r="801" spans="1:47" x14ac:dyDescent="0.3">
      <c r="A801" s="3">
        <f ca="1"/>
        <v>2346826</v>
      </c>
      <c r="B801" s="3" t="str">
        <f ca="1"/>
        <v>CZECH NEWS CENTER a. s.</v>
      </c>
      <c r="C801" s="3" t="str">
        <f ca="1">IFERROR(__xludf.DUMMYFUNCTION("""COMPUTED_VALUE"""),"Mobilmania")</f>
        <v>Mobilmania</v>
      </c>
      <c r="D801" s="4" t="str">
        <f ca="1">IFERROR(__xludf.DUMMYFUNCTION("""COMPUTED_VALUE"""),"https://mobilmania.cz")</f>
        <v>https://mobilmania.cz</v>
      </c>
      <c r="E801" s="3" t="str">
        <f ca="1">IFERROR(__xludf.DUMMYFUNCTION("""COMPUTED_VALUE"""),"celý web")</f>
        <v>celý web</v>
      </c>
      <c r="F801" s="4" t="str">
        <f ca="1">IFERROR(__xludf.DUMMYFUNCTION("""COMPUTED_VALUE"""),"https://mobilmania.cz")</f>
        <v>https://mobilmania.cz</v>
      </c>
      <c r="G801" s="3" t="str">
        <f ca="1">IFERROR(__xludf.DUMMYFUNCTION("""COMPUTED_VALUE"""),"cílený nativní rectangle cross-device low season")</f>
        <v>cílený nativní rectangle cross-device low season</v>
      </c>
      <c r="H801" s="3">
        <f ca="1">IFERROR(__xludf.DUMMYFUNCTION("""COMPUTED_VALUE"""),7)</f>
        <v>7</v>
      </c>
      <c r="I801" s="5">
        <f ca="1">IFERROR(__xludf.DUMMYFUNCTION("""COMPUTED_VALUE"""),1000)</f>
        <v>1000</v>
      </c>
      <c r="J801" s="5">
        <f ca="1">IFERROR(__xludf.DUMMYFUNCTION("""COMPUTED_VALUE"""),240)</f>
        <v>240</v>
      </c>
      <c r="K801" s="3"/>
      <c r="L801" s="3" t="str">
        <f ca="1">IFERROR(__xludf.DUMMYFUNCTION("""COMPUTED_VALUE"""),"Cost per period")</f>
        <v>Cost per period</v>
      </c>
      <c r="M801" s="3"/>
      <c r="N801" s="3"/>
      <c r="O801" s="3" t="str">
        <f ca="1">IFERROR(__xludf.DUMMYFUNCTION("""COMPUTED_VALUE"""),"640")</f>
        <v>640</v>
      </c>
      <c r="P801" s="3" t="str">
        <f ca="1">IFERROR(__xludf.DUMMYFUNCTION("""COMPUTED_VALUE"""),"335, 640")</f>
        <v>335, 640</v>
      </c>
      <c r="Q801" s="3" t="str">
        <f ca="1">IFERROR(__xludf.DUMMYFUNCTION("""COMPUTED_VALUE"""),"640x640 a 640x335 + text + logo")</f>
        <v>640x640 a 640x335 + text + logo</v>
      </c>
      <c r="R801" s="3"/>
      <c r="S801" s="3" t="str">
        <f ca="1">IFERROR(__xludf.DUMMYFUNCTION("""COMPUTED_VALUE"""),"45")</f>
        <v>45</v>
      </c>
      <c r="T801" s="3"/>
      <c r="U801" s="3" t="str">
        <f ca="1">IFERROR(__xludf.DUMMYFUNCTION("""COMPUTED_VALUE"""),"nativní reklama")</f>
        <v>nativní reklama</v>
      </c>
      <c r="V801" s="3"/>
      <c r="W801" s="4" t="str">
        <f ca="1">IFERROR(__xludf.DUMMYFUNCTION("""COMPUTED_VALUE"""),"https://reklama.cncenter.cz/Online/nativni-rectangle-cross-device")</f>
        <v>https://reklama.cncenter.cz/Online/nativni-rectangle-cross-device</v>
      </c>
      <c r="X801" s="3"/>
      <c r="Y801" s="3"/>
      <c r="Z801" s="3" t="str">
        <f ca="1">IFERROR(__xludf.DUMMYFUNCTION("""COMPUTED_VALUE"""),"podklady@cncenter.cz")</f>
        <v>podklady@cncenter.cz</v>
      </c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 t="str">
        <f ca="1">IFERROR(__xludf.DUMMYFUNCTION("""COMPUTED_VALUE"""),"cross-device")</f>
        <v>cross-device</v>
      </c>
      <c r="AO801" s="3"/>
      <c r="AP801" s="3"/>
      <c r="AQ801" s="3"/>
      <c r="AR801" s="3"/>
      <c r="AS801" s="3"/>
      <c r="AT801" s="3"/>
      <c r="AU801" s="3" t="str">
        <f ca="1">IFERROR(__xludf.DUMMYFUNCTION("""COMPUTED_VALUE"""),"cílený nativní rectangle cross-device")</f>
        <v>cílený nativní rectangle cross-device</v>
      </c>
    </row>
    <row r="802" spans="1:47" x14ac:dyDescent="0.3">
      <c r="A802" s="3">
        <f ca="1"/>
        <v>2346826</v>
      </c>
      <c r="B802" s="3" t="str">
        <f ca="1"/>
        <v>CZECH NEWS CENTER a. s.</v>
      </c>
      <c r="C802" s="3" t="str">
        <f ca="1">IFERROR(__xludf.DUMMYFUNCTION("""COMPUTED_VALUE"""),"Mobilmania")</f>
        <v>Mobilmania</v>
      </c>
      <c r="D802" s="4" t="str">
        <f ca="1">IFERROR(__xludf.DUMMYFUNCTION("""COMPUTED_VALUE"""),"https://mobilmania.cz")</f>
        <v>https://mobilmania.cz</v>
      </c>
      <c r="E802" s="3" t="str">
        <f ca="1">IFERROR(__xludf.DUMMYFUNCTION("""COMPUTED_VALUE"""),"celý web")</f>
        <v>celý web</v>
      </c>
      <c r="F802" s="4" t="str">
        <f ca="1">IFERROR(__xludf.DUMMYFUNCTION("""COMPUTED_VALUE"""),"https://mobilmania.cz")</f>
        <v>https://mobilmania.cz</v>
      </c>
      <c r="G802" s="3" t="str">
        <f ca="1">IFERROR(__xludf.DUMMYFUNCTION("""COMPUTED_VALUE"""),"cílený outstream low season")</f>
        <v>cílený outstream low season</v>
      </c>
      <c r="H802" s="3">
        <f ca="1">IFERROR(__xludf.DUMMYFUNCTION("""COMPUTED_VALUE"""),7)</f>
        <v>7</v>
      </c>
      <c r="I802" s="5">
        <f ca="1">IFERROR(__xludf.DUMMYFUNCTION("""COMPUTED_VALUE"""),1000)</f>
        <v>1000</v>
      </c>
      <c r="J802" s="5">
        <f ca="1">IFERROR(__xludf.DUMMYFUNCTION("""COMPUTED_VALUE"""),300)</f>
        <v>300</v>
      </c>
      <c r="K802" s="3"/>
      <c r="L802" s="3" t="str">
        <f ca="1">IFERROR(__xludf.DUMMYFUNCTION("""COMPUTED_VALUE"""),"Cost per period")</f>
        <v>Cost per period</v>
      </c>
      <c r="M802" s="3"/>
      <c r="N802" s="3"/>
      <c r="O802" s="3" t="str">
        <f ca="1">IFERROR(__xludf.DUMMYFUNCTION("""COMPUTED_VALUE"""),"1280")</f>
        <v>1280</v>
      </c>
      <c r="P802" s="3" t="str">
        <f ca="1">IFERROR(__xludf.DUMMYFUNCTION("""COMPUTED_VALUE"""),"720")</f>
        <v>720</v>
      </c>
      <c r="Q802" s="3" t="str">
        <f ca="1">IFERROR(__xludf.DUMMYFUNCTION("""COMPUTED_VALUE"""),"16:9")</f>
        <v>16:9</v>
      </c>
      <c r="R802" s="3"/>
      <c r="S802" s="3" t="str">
        <f ca="1">IFERROR(__xludf.DUMMYFUNCTION("""COMPUTED_VALUE"""),"100")</f>
        <v>100</v>
      </c>
      <c r="T802" s="3"/>
      <c r="U802" s="3" t="str">
        <f ca="1">IFERROR(__xludf.DUMMYFUNCTION("""COMPUTED_VALUE"""),"videospot")</f>
        <v>videospot</v>
      </c>
      <c r="V802" s="3"/>
      <c r="W802" s="4" t="str">
        <f ca="1">IFERROR(__xludf.DUMMYFUNCTION("""COMPUTED_VALUE"""),"https://reklama.cncenter.cz/Online/Outstream")</f>
        <v>https://reklama.cncenter.cz/Online/Outstream</v>
      </c>
      <c r="X802" s="3"/>
      <c r="Y802" s="3"/>
      <c r="Z802" s="3" t="str">
        <f ca="1">IFERROR(__xludf.DUMMYFUNCTION("""COMPUTED_VALUE"""),"podklady@cncenter.cz")</f>
        <v>podklady@cncenter.cz</v>
      </c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 t="str">
        <f ca="1">IFERROR(__xludf.DUMMYFUNCTION("""COMPUTED_VALUE"""),"cross-device")</f>
        <v>cross-device</v>
      </c>
      <c r="AO802" s="3"/>
      <c r="AP802" s="3"/>
      <c r="AQ802" s="3"/>
      <c r="AR802" s="3"/>
      <c r="AS802" s="3"/>
      <c r="AT802" s="3"/>
      <c r="AU802" s="3" t="str">
        <f ca="1">IFERROR(__xludf.DUMMYFUNCTION("""COMPUTED_VALUE"""),"cílený outstream")</f>
        <v>cílený outstream</v>
      </c>
    </row>
    <row r="803" spans="1:47" x14ac:dyDescent="0.3">
      <c r="A803" s="3">
        <f ca="1"/>
        <v>2346826</v>
      </c>
      <c r="B803" s="3" t="str">
        <f ca="1"/>
        <v>CZECH NEWS CENTER a. s.</v>
      </c>
      <c r="C803" s="3" t="str">
        <f ca="1">IFERROR(__xludf.DUMMYFUNCTION("""COMPUTED_VALUE"""),"Mobilmania")</f>
        <v>Mobilmania</v>
      </c>
      <c r="D803" s="4" t="str">
        <f ca="1">IFERROR(__xludf.DUMMYFUNCTION("""COMPUTED_VALUE"""),"https://mobilmania.cz")</f>
        <v>https://mobilmania.cz</v>
      </c>
      <c r="E803" s="3" t="str">
        <f ca="1">IFERROR(__xludf.DUMMYFUNCTION("""COMPUTED_VALUE"""),"celý web")</f>
        <v>celý web</v>
      </c>
      <c r="F803" s="4" t="str">
        <f ca="1">IFERROR(__xludf.DUMMYFUNCTION("""COMPUTED_VALUE"""),"https://mobilmania.cz")</f>
        <v>https://mobilmania.cz</v>
      </c>
      <c r="G803" s="3" t="str">
        <f ca="1">IFERROR(__xludf.DUMMYFUNCTION("""COMPUTED_VALUE"""),"cílený videospot - max. 30 sec. / bumper low season")</f>
        <v>cílený videospot - max. 30 sec. / bumper low season</v>
      </c>
      <c r="H803" s="3">
        <f ca="1">IFERROR(__xludf.DUMMYFUNCTION("""COMPUTED_VALUE"""),7)</f>
        <v>7</v>
      </c>
      <c r="I803" s="5">
        <f ca="1">IFERROR(__xludf.DUMMYFUNCTION("""COMPUTED_VALUE"""),1000)</f>
        <v>1000</v>
      </c>
      <c r="J803" s="5">
        <f ca="1">IFERROR(__xludf.DUMMYFUNCTION("""COMPUTED_VALUE"""),888)</f>
        <v>888</v>
      </c>
      <c r="K803" s="3"/>
      <c r="L803" s="3" t="str">
        <f ca="1">IFERROR(__xludf.DUMMYFUNCTION("""COMPUTED_VALUE"""),"Cost per period")</f>
        <v>Cost per period</v>
      </c>
      <c r="M803" s="3"/>
      <c r="N803" s="3"/>
      <c r="O803" s="3" t="str">
        <f ca="1">IFERROR(__xludf.DUMMYFUNCTION("""COMPUTED_VALUE"""),"1280")</f>
        <v>1280</v>
      </c>
      <c r="P803" s="3" t="str">
        <f ca="1">IFERROR(__xludf.DUMMYFUNCTION("""COMPUTED_VALUE"""),"720")</f>
        <v>720</v>
      </c>
      <c r="Q803" s="3" t="str">
        <f ca="1">IFERROR(__xludf.DUMMYFUNCTION("""COMPUTED_VALUE"""),"16:9 / umístění po domluvě dle možností")</f>
        <v>16:9 / umístění po domluvě dle možností</v>
      </c>
      <c r="R803" s="3" t="str">
        <f ca="1">IFERROR(__xludf.DUMMYFUNCTION("""COMPUTED_VALUE"""),"přeskočení po 7 sekundách")</f>
        <v>přeskočení po 7 sekundách</v>
      </c>
      <c r="S803" s="3" t="str">
        <f ca="1">IFERROR(__xludf.DUMMYFUNCTION("""COMPUTED_VALUE"""),"100")</f>
        <v>100</v>
      </c>
      <c r="T803" s="3"/>
      <c r="U803" s="3" t="str">
        <f ca="1">IFERROR(__xludf.DUMMYFUNCTION("""COMPUTED_VALUE"""),"videospot")</f>
        <v>videospot</v>
      </c>
      <c r="V803" s="3"/>
      <c r="W803" s="4" t="str">
        <f ca="1">IFERROR(__xludf.DUMMYFUNCTION("""COMPUTED_VALUE"""),"https://reklama.cncenter.cz/Online/Bumper")</f>
        <v>https://reklama.cncenter.cz/Online/Bumper</v>
      </c>
      <c r="X803" s="3"/>
      <c r="Y803" s="3"/>
      <c r="Z803" s="3" t="str">
        <f ca="1">IFERROR(__xludf.DUMMYFUNCTION("""COMPUTED_VALUE"""),"podklady@cncenter.cz")</f>
        <v>podklady@cncenter.cz</v>
      </c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 t="str">
        <f ca="1">IFERROR(__xludf.DUMMYFUNCTION("""COMPUTED_VALUE"""),"cross-device")</f>
        <v>cross-device</v>
      </c>
      <c r="AO803" s="3"/>
      <c r="AP803" s="3"/>
      <c r="AQ803" s="3"/>
      <c r="AR803" s="3"/>
      <c r="AS803" s="3"/>
      <c r="AT803" s="3"/>
      <c r="AU803" s="3" t="str">
        <f ca="1">IFERROR(__xludf.DUMMYFUNCTION("""COMPUTED_VALUE"""),"cílený videospot - max. 30 sec. / bumper")</f>
        <v>cílený videospot - max. 30 sec. / bumper</v>
      </c>
    </row>
    <row r="804" spans="1:47" x14ac:dyDescent="0.3">
      <c r="A804" s="3">
        <f ca="1"/>
        <v>2346826</v>
      </c>
      <c r="B804" s="3" t="str">
        <f ca="1"/>
        <v>CZECH NEWS CENTER a. s.</v>
      </c>
      <c r="C804" s="3" t="str">
        <f ca="1">IFERROR(__xludf.DUMMYFUNCTION("""COMPUTED_VALUE"""),"Mobilmania")</f>
        <v>Mobilmania</v>
      </c>
      <c r="D804" s="4" t="str">
        <f ca="1">IFERROR(__xludf.DUMMYFUNCTION("""COMPUTED_VALUE"""),"https://mobilmania.cz")</f>
        <v>https://mobilmania.cz</v>
      </c>
      <c r="E804" s="3" t="str">
        <f ca="1">IFERROR(__xludf.DUMMYFUNCTION("""COMPUTED_VALUE"""),"celý web")</f>
        <v>celý web</v>
      </c>
      <c r="F804" s="4" t="str">
        <f ca="1">IFERROR(__xludf.DUMMYFUNCTION("""COMPUTED_VALUE"""),"https://mobilmania.cz")</f>
        <v>https://mobilmania.cz</v>
      </c>
      <c r="G804" s="3" t="str">
        <f ca="1">IFERROR(__xludf.DUMMYFUNCTION("""COMPUTED_VALUE"""),"dokoupení proma o 2 týdny - 10 000 PV *** low season")</f>
        <v>dokoupení proma o 2 týdny - 10 000 PV *** low season</v>
      </c>
      <c r="H804" s="3">
        <f ca="1">IFERROR(__xludf.DUMMYFUNCTION("""COMPUTED_VALUE"""),1)</f>
        <v>1</v>
      </c>
      <c r="I804" s="5">
        <f ca="1">IFERROR(__xludf.DUMMYFUNCTION("""COMPUTED_VALUE"""),1)</f>
        <v>1</v>
      </c>
      <c r="J804" s="5">
        <f ca="1">IFERROR(__xludf.DUMMYFUNCTION("""COMPUTED_VALUE"""),60000)</f>
        <v>60000</v>
      </c>
      <c r="K804" s="3"/>
      <c r="L804" s="3" t="str">
        <f ca="1">IFERROR(__xludf.DUMMYFUNCTION("""COMPUTED_VALUE"""),"Cost per instance")</f>
        <v>Cost per instance</v>
      </c>
      <c r="M804" s="3"/>
      <c r="N804" s="3"/>
      <c r="O804" s="3"/>
      <c r="P804" s="3"/>
      <c r="Q804" s="3"/>
      <c r="R804" s="3"/>
      <c r="S804" s="3" t="str">
        <f ca="1">IFERROR(__xludf.DUMMYFUNCTION("""COMPUTED_VALUE"""),"100")</f>
        <v>100</v>
      </c>
      <c r="T804" s="3"/>
      <c r="U804" s="3" t="str">
        <f ca="1">IFERROR(__xludf.DUMMYFUNCTION("""COMPUTED_VALUE"""),"microsite")</f>
        <v>microsite</v>
      </c>
      <c r="V804" s="3"/>
      <c r="W804" s="3"/>
      <c r="X804" s="3"/>
      <c r="Y804" s="3"/>
      <c r="Z804" s="3" t="str">
        <f ca="1">IFERROR(__xludf.DUMMYFUNCTION("""COMPUTED_VALUE"""),"podklady@cncenter.cz")</f>
        <v>podklady@cncenter.cz</v>
      </c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 t="str">
        <f ca="1">IFERROR(__xludf.DUMMYFUNCTION("""COMPUTED_VALUE"""),"cross-device")</f>
        <v>cross-device</v>
      </c>
      <c r="AO804" s="3"/>
      <c r="AP804" s="3"/>
      <c r="AQ804" s="3"/>
      <c r="AR804" s="3"/>
      <c r="AS804" s="3"/>
      <c r="AT804" s="3"/>
      <c r="AU804" s="3" t="str">
        <f ca="1">IFERROR(__xludf.DUMMYFUNCTION("""COMPUTED_VALUE"""),"dokoupení proma o 2 týdny - 10 000 PV ***")</f>
        <v>dokoupení proma o 2 týdny - 10 000 PV ***</v>
      </c>
    </row>
    <row r="805" spans="1:47" x14ac:dyDescent="0.3">
      <c r="A805" s="3">
        <f ca="1"/>
        <v>2346826</v>
      </c>
      <c r="B805" s="3" t="str">
        <f ca="1"/>
        <v>CZECH NEWS CENTER a. s.</v>
      </c>
      <c r="C805" s="3" t="str">
        <f ca="1">IFERROR(__xludf.DUMMYFUNCTION("""COMPUTED_VALUE"""),"Mobilmania")</f>
        <v>Mobilmania</v>
      </c>
      <c r="D805" s="4" t="str">
        <f ca="1">IFERROR(__xludf.DUMMYFUNCTION("""COMPUTED_VALUE"""),"https://mobilmania.cz")</f>
        <v>https://mobilmania.cz</v>
      </c>
      <c r="E805" s="3" t="str">
        <f ca="1">IFERROR(__xludf.DUMMYFUNCTION("""COMPUTED_VALUE"""),"celý web")</f>
        <v>celý web</v>
      </c>
      <c r="F805" s="4" t="str">
        <f ca="1">IFERROR(__xludf.DUMMYFUNCTION("""COMPUTED_VALUE"""),"https://mobilmania.cz")</f>
        <v>https://mobilmania.cz</v>
      </c>
      <c r="G805" s="3" t="str">
        <f ca="1">IFERROR(__xludf.DUMMYFUNCTION("""COMPUTED_VALUE"""),"double skyscraper low season")</f>
        <v>double skyscraper low season</v>
      </c>
      <c r="H805" s="3">
        <f ca="1">IFERROR(__xludf.DUMMYFUNCTION("""COMPUTED_VALUE"""),7)</f>
        <v>7</v>
      </c>
      <c r="I805" s="5">
        <f ca="1">IFERROR(__xludf.DUMMYFUNCTION("""COMPUTED_VALUE"""),1000)</f>
        <v>1000</v>
      </c>
      <c r="J805" s="5">
        <f ca="1">IFERROR(__xludf.DUMMYFUNCTION("""COMPUTED_VALUE"""),190)</f>
        <v>190</v>
      </c>
      <c r="K805" s="3"/>
      <c r="L805" s="3" t="str">
        <f ca="1">IFERROR(__xludf.DUMMYFUNCTION("""COMPUTED_VALUE"""),"Cost per period")</f>
        <v>Cost per period</v>
      </c>
      <c r="M805" s="3"/>
      <c r="N805" s="3"/>
      <c r="O805" s="3" t="str">
        <f ca="1">IFERROR(__xludf.DUMMYFUNCTION("""COMPUTED_VALUE"""),"300")</f>
        <v>300</v>
      </c>
      <c r="P805" s="3" t="str">
        <f ca="1">IFERROR(__xludf.DUMMYFUNCTION("""COMPUTED_VALUE"""),"600")</f>
        <v>600</v>
      </c>
      <c r="Q805" s="3" t="str">
        <f ca="1">IFERROR(__xludf.DUMMYFUNCTION("""COMPUTED_VALUE"""),"300x600")</f>
        <v>300x600</v>
      </c>
      <c r="R805" s="3"/>
      <c r="S805" s="3" t="str">
        <f ca="1">IFERROR(__xludf.DUMMYFUNCTION("""COMPUTED_VALUE"""),"100 (200 - HTML5)")</f>
        <v>100 (200 - HTML5)</v>
      </c>
      <c r="T805" s="3"/>
      <c r="U805" s="3" t="str">
        <f ca="1">IFERROR(__xludf.DUMMYFUNCTION("""COMPUTED_VALUE"""),"banner standard")</f>
        <v>banner standard</v>
      </c>
      <c r="V805" s="3"/>
      <c r="W805" s="4" t="str">
        <f ca="1">IFERROR(__xludf.DUMMYFUNCTION("""COMPUTED_VALUE"""),"https://reklama.cncenter.cz/Online/double-skyscraper")</f>
        <v>https://reklama.cncenter.cz/Online/double-skyscraper</v>
      </c>
      <c r="X805" s="3"/>
      <c r="Y805" s="3"/>
      <c r="Z805" s="3" t="str">
        <f ca="1">IFERROR(__xludf.DUMMYFUNCTION("""COMPUTED_VALUE"""),"podklady@cncenter.cz")</f>
        <v>podklady@cncenter.cz</v>
      </c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 t="str">
        <f ca="1">IFERROR(__xludf.DUMMYFUNCTION("""COMPUTED_VALUE"""),"desktop")</f>
        <v>desktop</v>
      </c>
      <c r="AO805" s="3"/>
      <c r="AP805" s="3"/>
      <c r="AQ805" s="3"/>
      <c r="AR805" s="3"/>
      <c r="AS805" s="3"/>
      <c r="AT805" s="3"/>
      <c r="AU805" s="3" t="str">
        <f ca="1">IFERROR(__xludf.DUMMYFUNCTION("""COMPUTED_VALUE"""),"double skyscraper")</f>
        <v>double skyscraper</v>
      </c>
    </row>
    <row r="806" spans="1:47" x14ac:dyDescent="0.3">
      <c r="A806" s="3">
        <f ca="1"/>
        <v>2346826</v>
      </c>
      <c r="B806" s="3" t="str">
        <f ca="1"/>
        <v>CZECH NEWS CENTER a. s.</v>
      </c>
      <c r="C806" s="3" t="str">
        <f ca="1">IFERROR(__xludf.DUMMYFUNCTION("""COMPUTED_VALUE"""),"Mobilmania")</f>
        <v>Mobilmania</v>
      </c>
      <c r="D806" s="4" t="str">
        <f ca="1">IFERROR(__xludf.DUMMYFUNCTION("""COMPUTED_VALUE"""),"https://mobilmania.cz")</f>
        <v>https://mobilmania.cz</v>
      </c>
      <c r="E806" s="3" t="str">
        <f ca="1">IFERROR(__xludf.DUMMYFUNCTION("""COMPUTED_VALUE"""),"celý web")</f>
        <v>celý web</v>
      </c>
      <c r="F806" s="4" t="str">
        <f ca="1">IFERROR(__xludf.DUMMYFUNCTION("""COMPUTED_VALUE"""),"https://mobilmania.cz")</f>
        <v>https://mobilmania.cz</v>
      </c>
      <c r="G806" s="3" t="str">
        <f ca="1">IFERROR(__xludf.DUMMYFUNCTION("""COMPUTED_VALUE"""),"mobilní interscroller low season")</f>
        <v>mobilní interscroller low season</v>
      </c>
      <c r="H806" s="3">
        <f ca="1">IFERROR(__xludf.DUMMYFUNCTION("""COMPUTED_VALUE"""),7)</f>
        <v>7</v>
      </c>
      <c r="I806" s="5">
        <f ca="1">IFERROR(__xludf.DUMMYFUNCTION("""COMPUTED_VALUE"""),1000)</f>
        <v>1000</v>
      </c>
      <c r="J806" s="5">
        <f ca="1">IFERROR(__xludf.DUMMYFUNCTION("""COMPUTED_VALUE"""),250)</f>
        <v>250</v>
      </c>
      <c r="K806" s="3"/>
      <c r="L806" s="3" t="str">
        <f ca="1">IFERROR(__xludf.DUMMYFUNCTION("""COMPUTED_VALUE"""),"Cost per period")</f>
        <v>Cost per period</v>
      </c>
      <c r="M806" s="3"/>
      <c r="N806" s="3"/>
      <c r="O806" s="3" t="str">
        <f ca="1">IFERROR(__xludf.DUMMYFUNCTION("""COMPUTED_VALUE"""),"600")</f>
        <v>600</v>
      </c>
      <c r="P806" s="3" t="str">
        <f ca="1">IFERROR(__xludf.DUMMYFUNCTION("""COMPUTED_VALUE"""),"1080")</f>
        <v>1080</v>
      </c>
      <c r="Q806" s="3" t="str">
        <f ca="1">IFERROR(__xludf.DUMMYFUNCTION("""COMPUTED_VALUE"""),"600x1080")</f>
        <v>600x1080</v>
      </c>
      <c r="R806" s="3"/>
      <c r="S806" s="3" t="str">
        <f ca="1">IFERROR(__xludf.DUMMYFUNCTION("""COMPUTED_VALUE"""),"200")</f>
        <v>200</v>
      </c>
      <c r="T806" s="3"/>
      <c r="U806" s="3" t="str">
        <f ca="1">IFERROR(__xludf.DUMMYFUNCTION("""COMPUTED_VALUE"""),"banner standard")</f>
        <v>banner standard</v>
      </c>
      <c r="V806" s="3"/>
      <c r="W806" s="4" t="str">
        <f ca="1">IFERROR(__xludf.DUMMYFUNCTION("""COMPUTED_VALUE"""),"https://reklama.cncenter.cz/Online/mobilni-interscroller")</f>
        <v>https://reklama.cncenter.cz/Online/mobilni-interscroller</v>
      </c>
      <c r="X806" s="3"/>
      <c r="Y806" s="3"/>
      <c r="Z806" s="3" t="str">
        <f ca="1">IFERROR(__xludf.DUMMYFUNCTION("""COMPUTED_VALUE"""),"podklady@cncenter.cz")</f>
        <v>podklady@cncenter.cz</v>
      </c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 t="str">
        <f ca="1">IFERROR(__xludf.DUMMYFUNCTION("""COMPUTED_VALUE"""),"mobile")</f>
        <v>mobile</v>
      </c>
      <c r="AO806" s="3"/>
      <c r="AP806" s="3"/>
      <c r="AQ806" s="3"/>
      <c r="AR806" s="3"/>
      <c r="AS806" s="3"/>
      <c r="AT806" s="3"/>
      <c r="AU806" s="3" t="str">
        <f ca="1">IFERROR(__xludf.DUMMYFUNCTION("""COMPUTED_VALUE"""),"mobilní interscroller")</f>
        <v>mobilní interscroller</v>
      </c>
    </row>
    <row r="807" spans="1:47" x14ac:dyDescent="0.3">
      <c r="A807" s="3">
        <f ca="1"/>
        <v>2346826</v>
      </c>
      <c r="B807" s="3" t="str">
        <f ca="1"/>
        <v>CZECH NEWS CENTER a. s.</v>
      </c>
      <c r="C807" s="3" t="str">
        <f ca="1">IFERROR(__xludf.DUMMYFUNCTION("""COMPUTED_VALUE"""),"Mobilmania")</f>
        <v>Mobilmania</v>
      </c>
      <c r="D807" s="4" t="str">
        <f ca="1">IFERROR(__xludf.DUMMYFUNCTION("""COMPUTED_VALUE"""),"https://mobilmania.cz")</f>
        <v>https://mobilmania.cz</v>
      </c>
      <c r="E807" s="3" t="str">
        <f ca="1">IFERROR(__xludf.DUMMYFUNCTION("""COMPUTED_VALUE"""),"celý web")</f>
        <v>celý web</v>
      </c>
      <c r="F807" s="4" t="str">
        <f ca="1">IFERROR(__xludf.DUMMYFUNCTION("""COMPUTED_VALUE"""),"https://mobilmania.cz")</f>
        <v>https://mobilmania.cz</v>
      </c>
      <c r="G807" s="3" t="str">
        <f ca="1">IFERROR(__xludf.DUMMYFUNCTION("""COMPUTED_VALUE"""),"mobilní slide-up low season")</f>
        <v>mobilní slide-up low season</v>
      </c>
      <c r="H807" s="3">
        <f ca="1">IFERROR(__xludf.DUMMYFUNCTION("""COMPUTED_VALUE"""),7)</f>
        <v>7</v>
      </c>
      <c r="I807" s="5">
        <f ca="1">IFERROR(__xludf.DUMMYFUNCTION("""COMPUTED_VALUE"""),1000)</f>
        <v>1000</v>
      </c>
      <c r="J807" s="5">
        <f ca="1">IFERROR(__xludf.DUMMYFUNCTION("""COMPUTED_VALUE"""),510)</f>
        <v>510</v>
      </c>
      <c r="K807" s="3"/>
      <c r="L807" s="3" t="str">
        <f ca="1">IFERROR(__xludf.DUMMYFUNCTION("""COMPUTED_VALUE"""),"Cost per period")</f>
        <v>Cost per period</v>
      </c>
      <c r="M807" s="3"/>
      <c r="N807" s="3"/>
      <c r="O807" s="3" t="str">
        <f ca="1">IFERROR(__xludf.DUMMYFUNCTION("""COMPUTED_VALUE"""),"300")</f>
        <v>300</v>
      </c>
      <c r="P807" s="3" t="str">
        <f ca="1">IFERROR(__xludf.DUMMYFUNCTION("""COMPUTED_VALUE"""),"120")</f>
        <v>120</v>
      </c>
      <c r="Q807" s="3" t="str">
        <f ca="1">IFERROR(__xludf.DUMMYFUNCTION("""COMPUTED_VALUE"""),"300x120")</f>
        <v>300x120</v>
      </c>
      <c r="R807" s="3"/>
      <c r="S807" s="3" t="str">
        <f ca="1">IFERROR(__xludf.DUMMYFUNCTION("""COMPUTED_VALUE"""),"100")</f>
        <v>100</v>
      </c>
      <c r="T807" s="3"/>
      <c r="U807" s="3" t="str">
        <f ca="1">IFERROR(__xludf.DUMMYFUNCTION("""COMPUTED_VALUE"""),"banner standard")</f>
        <v>banner standard</v>
      </c>
      <c r="V807" s="3"/>
      <c r="W807" s="4" t="str">
        <f ca="1">IFERROR(__xludf.DUMMYFUNCTION("""COMPUTED_VALUE"""),"https://reklama.cncenter.cz/Online/mobilni-slide-up")</f>
        <v>https://reklama.cncenter.cz/Online/mobilni-slide-up</v>
      </c>
      <c r="X807" s="3"/>
      <c r="Y807" s="3"/>
      <c r="Z807" s="3" t="str">
        <f ca="1">IFERROR(__xludf.DUMMYFUNCTION("""COMPUTED_VALUE"""),"podklady@cncenter.cz")</f>
        <v>podklady@cncenter.cz</v>
      </c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 t="str">
        <f ca="1">IFERROR(__xludf.DUMMYFUNCTION("""COMPUTED_VALUE"""),"mobile")</f>
        <v>mobile</v>
      </c>
      <c r="AO807" s="3"/>
      <c r="AP807" s="3"/>
      <c r="AQ807" s="3"/>
      <c r="AR807" s="3"/>
      <c r="AS807" s="3"/>
      <c r="AT807" s="3"/>
      <c r="AU807" s="3" t="str">
        <f ca="1">IFERROR(__xludf.DUMMYFUNCTION("""COMPUTED_VALUE"""),"mobilní slide-up")</f>
        <v>mobilní slide-up</v>
      </c>
    </row>
    <row r="808" spans="1:47" x14ac:dyDescent="0.3">
      <c r="A808" s="3">
        <f ca="1"/>
        <v>2346826</v>
      </c>
      <c r="B808" s="3" t="str">
        <f ca="1"/>
        <v>CZECH NEWS CENTER a. s.</v>
      </c>
      <c r="C808" s="3" t="str">
        <f ca="1">IFERROR(__xludf.DUMMYFUNCTION("""COMPUTED_VALUE"""),"Mobilmania")</f>
        <v>Mobilmania</v>
      </c>
      <c r="D808" s="4" t="str">
        <f ca="1">IFERROR(__xludf.DUMMYFUNCTION("""COMPUTED_VALUE"""),"https://mobilmania.cz")</f>
        <v>https://mobilmania.cz</v>
      </c>
      <c r="E808" s="3" t="str">
        <f ca="1">IFERROR(__xludf.DUMMYFUNCTION("""COMPUTED_VALUE"""),"celý web")</f>
        <v>celý web</v>
      </c>
      <c r="F808" s="4" t="str">
        <f ca="1">IFERROR(__xludf.DUMMYFUNCTION("""COMPUTED_VALUE"""),"https://mobilmania.cz")</f>
        <v>https://mobilmania.cz</v>
      </c>
      <c r="G808" s="3" t="str">
        <f ca="1">IFERROR(__xludf.DUMMYFUNCTION("""COMPUTED_VALUE"""),"mobilní viněta low season")</f>
        <v>mobilní viněta low season</v>
      </c>
      <c r="H808" s="3">
        <f ca="1">IFERROR(__xludf.DUMMYFUNCTION("""COMPUTED_VALUE"""),7)</f>
        <v>7</v>
      </c>
      <c r="I808" s="5">
        <f ca="1">IFERROR(__xludf.DUMMYFUNCTION("""COMPUTED_VALUE"""),1000)</f>
        <v>1000</v>
      </c>
      <c r="J808" s="5">
        <f ca="1">IFERROR(__xludf.DUMMYFUNCTION("""COMPUTED_VALUE"""),880)</f>
        <v>880</v>
      </c>
      <c r="K808" s="3"/>
      <c r="L808" s="3" t="str">
        <f ca="1">IFERROR(__xludf.DUMMYFUNCTION("""COMPUTED_VALUE"""),"Cost per period")</f>
        <v>Cost per period</v>
      </c>
      <c r="M808" s="3"/>
      <c r="N808" s="3"/>
      <c r="O808" s="3" t="str">
        <f ca="1">IFERROR(__xludf.DUMMYFUNCTION("""COMPUTED_VALUE"""),"600")</f>
        <v>600</v>
      </c>
      <c r="P808" s="3" t="str">
        <f ca="1">IFERROR(__xludf.DUMMYFUNCTION("""COMPUTED_VALUE"""),"800")</f>
        <v>800</v>
      </c>
      <c r="Q808" s="3" t="str">
        <f ca="1">IFERROR(__xludf.DUMMYFUNCTION("""COMPUTED_VALUE"""),"300x250 nebo 600x800")</f>
        <v>300x250 nebo 600x800</v>
      </c>
      <c r="R808" s="3"/>
      <c r="S808" s="3" t="str">
        <f ca="1">IFERROR(__xludf.DUMMYFUNCTION("""COMPUTED_VALUE"""),"100")</f>
        <v>100</v>
      </c>
      <c r="T808" s="3"/>
      <c r="U808" s="3" t="str">
        <f ca="1">IFERROR(__xludf.DUMMYFUNCTION("""COMPUTED_VALUE"""),"banner standard")</f>
        <v>banner standard</v>
      </c>
      <c r="V808" s="3"/>
      <c r="W808" s="4" t="str">
        <f ca="1">IFERROR(__xludf.DUMMYFUNCTION("""COMPUTED_VALUE"""),"https://reklama.cncenter.cz/Online/mobilni-vineta")</f>
        <v>https://reklama.cncenter.cz/Online/mobilni-vineta</v>
      </c>
      <c r="X808" s="3"/>
      <c r="Y808" s="3"/>
      <c r="Z808" s="3" t="str">
        <f ca="1">IFERROR(__xludf.DUMMYFUNCTION("""COMPUTED_VALUE"""),"podklady@cncenter.cz")</f>
        <v>podklady@cncenter.cz</v>
      </c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 t="str">
        <f ca="1">IFERROR(__xludf.DUMMYFUNCTION("""COMPUTED_VALUE"""),"mobile")</f>
        <v>mobile</v>
      </c>
      <c r="AO808" s="3"/>
      <c r="AP808" s="3"/>
      <c r="AQ808" s="3"/>
      <c r="AR808" s="3"/>
      <c r="AS808" s="3"/>
      <c r="AT808" s="3"/>
      <c r="AU808" s="3" t="str">
        <f ca="1">IFERROR(__xludf.DUMMYFUNCTION("""COMPUTED_VALUE"""),"mobilní viněta")</f>
        <v>mobilní viněta</v>
      </c>
    </row>
    <row r="809" spans="1:47" x14ac:dyDescent="0.3">
      <c r="A809" s="3">
        <f ca="1"/>
        <v>2346826</v>
      </c>
      <c r="B809" s="3" t="str">
        <f ca="1"/>
        <v>CZECH NEWS CENTER a. s.</v>
      </c>
      <c r="C809" s="3" t="str">
        <f ca="1">IFERROR(__xludf.DUMMYFUNCTION("""COMPUTED_VALUE"""),"Mobilmania")</f>
        <v>Mobilmania</v>
      </c>
      <c r="D809" s="4" t="str">
        <f ca="1">IFERROR(__xludf.DUMMYFUNCTION("""COMPUTED_VALUE"""),"https://mobilmania.cz")</f>
        <v>https://mobilmania.cz</v>
      </c>
      <c r="E809" s="3" t="str">
        <f ca="1">IFERROR(__xludf.DUMMYFUNCTION("""COMPUTED_VALUE"""),"celý web")</f>
        <v>celý web</v>
      </c>
      <c r="F809" s="4" t="str">
        <f ca="1">IFERROR(__xludf.DUMMYFUNCTION("""COMPUTED_VALUE"""),"https://mobilmania.cz")</f>
        <v>https://mobilmania.cz</v>
      </c>
      <c r="G809" s="3" t="str">
        <f ca="1">IFERROR(__xludf.DUMMYFUNCTION("""COMPUTED_VALUE"""),"Native Standard low season")</f>
        <v>Native Standard low season</v>
      </c>
      <c r="H809" s="3">
        <f ca="1">IFERROR(__xludf.DUMMYFUNCTION("""COMPUTED_VALUE"""),1)</f>
        <v>1</v>
      </c>
      <c r="I809" s="5">
        <f ca="1">IFERROR(__xludf.DUMMYFUNCTION("""COMPUTED_VALUE"""),1)</f>
        <v>1</v>
      </c>
      <c r="J809" s="5">
        <f ca="1">IFERROR(__xludf.DUMMYFUNCTION("""COMPUTED_VALUE"""),330000)</f>
        <v>330000</v>
      </c>
      <c r="K809" s="3"/>
      <c r="L809" s="3" t="str">
        <f ca="1">IFERROR(__xludf.DUMMYFUNCTION("""COMPUTED_VALUE"""),"Cost per instance")</f>
        <v>Cost per instance</v>
      </c>
      <c r="M809" s="3"/>
      <c r="N809" s="3"/>
      <c r="O809" s="3"/>
      <c r="P809" s="3"/>
      <c r="Q809" s="3"/>
      <c r="R809" s="3"/>
      <c r="S809" s="3" t="str">
        <f ca="1">IFERROR(__xludf.DUMMYFUNCTION("""COMPUTED_VALUE"""),"100")</f>
        <v>100</v>
      </c>
      <c r="T809" s="3"/>
      <c r="U809" s="3" t="str">
        <f ca="1">IFERROR(__xludf.DUMMYFUNCTION("""COMPUTED_VALUE"""),"microsite")</f>
        <v>microsite</v>
      </c>
      <c r="V809" s="3"/>
      <c r="W809" s="3"/>
      <c r="X809" s="3"/>
      <c r="Y809" s="3"/>
      <c r="Z809" s="3" t="str">
        <f ca="1">IFERROR(__xludf.DUMMYFUNCTION("""COMPUTED_VALUE"""),"podklady@cncenter.cz")</f>
        <v>podklady@cncenter.cz</v>
      </c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 t="str">
        <f ca="1">IFERROR(__xludf.DUMMYFUNCTION("""COMPUTED_VALUE"""),"cross-device")</f>
        <v>cross-device</v>
      </c>
      <c r="AO809" s="3"/>
      <c r="AP809" s="3"/>
      <c r="AQ809" s="3"/>
      <c r="AR809" s="3"/>
      <c r="AS809" s="3"/>
      <c r="AT809" s="3"/>
      <c r="AU809" s="3" t="str">
        <f ca="1">IFERROR(__xludf.DUMMYFUNCTION("""COMPUTED_VALUE"""),"Native Standard")</f>
        <v>Native Standard</v>
      </c>
    </row>
    <row r="810" spans="1:47" x14ac:dyDescent="0.3">
      <c r="A810" s="3">
        <f ca="1"/>
        <v>2346826</v>
      </c>
      <c r="B810" s="3" t="str">
        <f ca="1"/>
        <v>CZECH NEWS CENTER a. s.</v>
      </c>
      <c r="C810" s="3" t="str">
        <f ca="1">IFERROR(__xludf.DUMMYFUNCTION("""COMPUTED_VALUE"""),"Mobilmania")</f>
        <v>Mobilmania</v>
      </c>
      <c r="D810" s="4" t="str">
        <f ca="1">IFERROR(__xludf.DUMMYFUNCTION("""COMPUTED_VALUE"""),"https://mobilmania.cz")</f>
        <v>https://mobilmania.cz</v>
      </c>
      <c r="E810" s="3" t="str">
        <f ca="1">IFERROR(__xludf.DUMMYFUNCTION("""COMPUTED_VALUE"""),"celý web")</f>
        <v>celý web</v>
      </c>
      <c r="F810" s="4" t="str">
        <f ca="1">IFERROR(__xludf.DUMMYFUNCTION("""COMPUTED_VALUE"""),"https://mobilmania.cz")</f>
        <v>https://mobilmania.cz</v>
      </c>
      <c r="G810" s="3" t="str">
        <f ca="1">IFERROR(__xludf.DUMMYFUNCTION("""COMPUTED_VALUE"""),"nativní pr premium low season")</f>
        <v>nativní pr premium low season</v>
      </c>
      <c r="H810" s="3">
        <f ca="1">IFERROR(__xludf.DUMMYFUNCTION("""COMPUTED_VALUE"""),7)</f>
        <v>7</v>
      </c>
      <c r="I810" s="5">
        <f ca="1">IFERROR(__xludf.DUMMYFUNCTION("""COMPUTED_VALUE"""),1000)</f>
        <v>1000</v>
      </c>
      <c r="J810" s="5">
        <f ca="1">IFERROR(__xludf.DUMMYFUNCTION("""COMPUTED_VALUE"""),100)</f>
        <v>100</v>
      </c>
      <c r="K810" s="3"/>
      <c r="L810" s="3" t="str">
        <f ca="1">IFERROR(__xludf.DUMMYFUNCTION("""COMPUTED_VALUE"""),"Cost per period")</f>
        <v>Cost per period</v>
      </c>
      <c r="M810" s="3"/>
      <c r="N810" s="3"/>
      <c r="O810" s="3" t="str">
        <f ca="1">IFERROR(__xludf.DUMMYFUNCTION("""COMPUTED_VALUE"""),"640")</f>
        <v>640</v>
      </c>
      <c r="P810" s="3" t="str">
        <f ca="1">IFERROR(__xludf.DUMMYFUNCTION("""COMPUTED_VALUE"""),"335, 640")</f>
        <v>335, 640</v>
      </c>
      <c r="Q810" s="3" t="str">
        <f ca="1">IFERROR(__xludf.DUMMYFUNCTION("""COMPUTED_VALUE"""),"640x640 a 640x335 + text + logo")</f>
        <v>640x640 a 640x335 + text + logo</v>
      </c>
      <c r="R810" s="3" t="str">
        <f ca="1">IFERROR(__xludf.DUMMYFUNCTION("""COMPUTED_VALUE"""),"detailní specifikace na URL odkaze")</f>
        <v>detailní specifikace na URL odkaze</v>
      </c>
      <c r="S810" s="3" t="str">
        <f ca="1">IFERROR(__xludf.DUMMYFUNCTION("""COMPUTED_VALUE"""),"100")</f>
        <v>100</v>
      </c>
      <c r="T810" s="3"/>
      <c r="U810" s="3" t="str">
        <f ca="1">IFERROR(__xludf.DUMMYFUNCTION("""COMPUTED_VALUE"""),"nativní reklama")</f>
        <v>nativní reklama</v>
      </c>
      <c r="V810" s="3"/>
      <c r="W810" s="4" t="str">
        <f ca="1">IFERROR(__xludf.DUMMYFUNCTION("""COMPUTED_VALUE"""),"https://reklama.cncenter.cz/Online/nativni-PR-premium")</f>
        <v>https://reklama.cncenter.cz/Online/nativni-PR-premium</v>
      </c>
      <c r="X810" s="3"/>
      <c r="Y810" s="3"/>
      <c r="Z810" s="3" t="str">
        <f ca="1">IFERROR(__xludf.DUMMYFUNCTION("""COMPUTED_VALUE"""),"podklady@cncenter.cz")</f>
        <v>podklady@cncenter.cz</v>
      </c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 t="str">
        <f ca="1">IFERROR(__xludf.DUMMYFUNCTION("""COMPUTED_VALUE"""),"cross-device")</f>
        <v>cross-device</v>
      </c>
      <c r="AO810" s="3"/>
      <c r="AP810" s="3"/>
      <c r="AQ810" s="3"/>
      <c r="AR810" s="3"/>
      <c r="AS810" s="3"/>
      <c r="AT810" s="3"/>
      <c r="AU810" s="3" t="str">
        <f ca="1">IFERROR(__xludf.DUMMYFUNCTION("""COMPUTED_VALUE"""),"nativní pr premium")</f>
        <v>nativní pr premium</v>
      </c>
    </row>
    <row r="811" spans="1:47" x14ac:dyDescent="0.3">
      <c r="A811" s="3">
        <f ca="1"/>
        <v>2346826</v>
      </c>
      <c r="B811" s="3" t="str">
        <f ca="1"/>
        <v>CZECH NEWS CENTER a. s.</v>
      </c>
      <c r="C811" s="3" t="str">
        <f ca="1">IFERROR(__xludf.DUMMYFUNCTION("""COMPUTED_VALUE"""),"Mobilmania")</f>
        <v>Mobilmania</v>
      </c>
      <c r="D811" s="4" t="str">
        <f ca="1">IFERROR(__xludf.DUMMYFUNCTION("""COMPUTED_VALUE"""),"https://mobilmania.cz")</f>
        <v>https://mobilmania.cz</v>
      </c>
      <c r="E811" s="3" t="str">
        <f ca="1">IFERROR(__xludf.DUMMYFUNCTION("""COMPUTED_VALUE"""),"celý web")</f>
        <v>celý web</v>
      </c>
      <c r="F811" s="4" t="str">
        <f ca="1">IFERROR(__xludf.DUMMYFUNCTION("""COMPUTED_VALUE"""),"https://mobilmania.cz")</f>
        <v>https://mobilmania.cz</v>
      </c>
      <c r="G811" s="3" t="str">
        <f ca="1">IFERROR(__xludf.DUMMYFUNCTION("""COMPUTED_VALUE"""),"nativní rectangle cross-device low season")</f>
        <v>nativní rectangle cross-device low season</v>
      </c>
      <c r="H811" s="3">
        <f ca="1">IFERROR(__xludf.DUMMYFUNCTION("""COMPUTED_VALUE"""),7)</f>
        <v>7</v>
      </c>
      <c r="I811" s="5">
        <f ca="1">IFERROR(__xludf.DUMMYFUNCTION("""COMPUTED_VALUE"""),1000)</f>
        <v>1000</v>
      </c>
      <c r="J811" s="5">
        <f ca="1">IFERROR(__xludf.DUMMYFUNCTION("""COMPUTED_VALUE"""),200)</f>
        <v>200</v>
      </c>
      <c r="K811" s="3"/>
      <c r="L811" s="3" t="str">
        <f ca="1">IFERROR(__xludf.DUMMYFUNCTION("""COMPUTED_VALUE"""),"Cost per period")</f>
        <v>Cost per period</v>
      </c>
      <c r="M811" s="3"/>
      <c r="N811" s="3"/>
      <c r="O811" s="3" t="str">
        <f ca="1">IFERROR(__xludf.DUMMYFUNCTION("""COMPUTED_VALUE"""),"640")</f>
        <v>640</v>
      </c>
      <c r="P811" s="3" t="str">
        <f ca="1">IFERROR(__xludf.DUMMYFUNCTION("""COMPUTED_VALUE"""),"335, 640")</f>
        <v>335, 640</v>
      </c>
      <c r="Q811" s="3" t="str">
        <f ca="1">IFERROR(__xludf.DUMMYFUNCTION("""COMPUTED_VALUE"""),"640x640 a 640x335 + text + logo")</f>
        <v>640x640 a 640x335 + text + logo</v>
      </c>
      <c r="R811" s="3"/>
      <c r="S811" s="3" t="str">
        <f ca="1">IFERROR(__xludf.DUMMYFUNCTION("""COMPUTED_VALUE"""),"45")</f>
        <v>45</v>
      </c>
      <c r="T811" s="3"/>
      <c r="U811" s="3" t="str">
        <f ca="1">IFERROR(__xludf.DUMMYFUNCTION("""COMPUTED_VALUE"""),"nativní reklama")</f>
        <v>nativní reklama</v>
      </c>
      <c r="V811" s="3"/>
      <c r="W811" s="4" t="str">
        <f ca="1">IFERROR(__xludf.DUMMYFUNCTION("""COMPUTED_VALUE"""),"https://reklama.cncenter.cz/Online/nativni-rectangle-cross-device")</f>
        <v>https://reklama.cncenter.cz/Online/nativni-rectangle-cross-device</v>
      </c>
      <c r="X811" s="3"/>
      <c r="Y811" s="3"/>
      <c r="Z811" s="3" t="str">
        <f ca="1">IFERROR(__xludf.DUMMYFUNCTION("""COMPUTED_VALUE"""),"podklady@cncenter.cz")</f>
        <v>podklady@cncenter.cz</v>
      </c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 t="str">
        <f ca="1">IFERROR(__xludf.DUMMYFUNCTION("""COMPUTED_VALUE"""),"cross-device")</f>
        <v>cross-device</v>
      </c>
      <c r="AO811" s="3"/>
      <c r="AP811" s="3"/>
      <c r="AQ811" s="3"/>
      <c r="AR811" s="3"/>
      <c r="AS811" s="3"/>
      <c r="AT811" s="3"/>
      <c r="AU811" s="3" t="str">
        <f ca="1">IFERROR(__xludf.DUMMYFUNCTION("""COMPUTED_VALUE"""),"nativní rectangle cross-device")</f>
        <v>nativní rectangle cross-device</v>
      </c>
    </row>
    <row r="812" spans="1:47" x14ac:dyDescent="0.3">
      <c r="A812" s="3">
        <f ca="1"/>
        <v>2346826</v>
      </c>
      <c r="B812" s="3" t="str">
        <f ca="1"/>
        <v>CZECH NEWS CENTER a. s.</v>
      </c>
      <c r="C812" s="3" t="str">
        <f ca="1">IFERROR(__xludf.DUMMYFUNCTION("""COMPUTED_VALUE"""),"Mobilmania")</f>
        <v>Mobilmania</v>
      </c>
      <c r="D812" s="4" t="str">
        <f ca="1">IFERROR(__xludf.DUMMYFUNCTION("""COMPUTED_VALUE"""),"https://mobilmania.cz")</f>
        <v>https://mobilmania.cz</v>
      </c>
      <c r="E812" s="3" t="str">
        <f ca="1">IFERROR(__xludf.DUMMYFUNCTION("""COMPUTED_VALUE"""),"celý web")</f>
        <v>celý web</v>
      </c>
      <c r="F812" s="4" t="str">
        <f ca="1">IFERROR(__xludf.DUMMYFUNCTION("""COMPUTED_VALUE"""),"https://mobilmania.cz")</f>
        <v>https://mobilmania.cz</v>
      </c>
      <c r="G812" s="3" t="str">
        <f ca="1">IFERROR(__xludf.DUMMYFUNCTION("""COMPUTED_VALUE"""),"outstream low season")</f>
        <v>outstream low season</v>
      </c>
      <c r="H812" s="3">
        <f ca="1">IFERROR(__xludf.DUMMYFUNCTION("""COMPUTED_VALUE"""),7)</f>
        <v>7</v>
      </c>
      <c r="I812" s="5">
        <f ca="1">IFERROR(__xludf.DUMMYFUNCTION("""COMPUTED_VALUE"""),1000)</f>
        <v>1000</v>
      </c>
      <c r="J812" s="5">
        <f ca="1">IFERROR(__xludf.DUMMYFUNCTION("""COMPUTED_VALUE"""),250)</f>
        <v>250</v>
      </c>
      <c r="K812" s="3"/>
      <c r="L812" s="3" t="str">
        <f ca="1">IFERROR(__xludf.DUMMYFUNCTION("""COMPUTED_VALUE"""),"Cost per period")</f>
        <v>Cost per period</v>
      </c>
      <c r="M812" s="3"/>
      <c r="N812" s="3"/>
      <c r="O812" s="3" t="str">
        <f ca="1">IFERROR(__xludf.DUMMYFUNCTION("""COMPUTED_VALUE"""),"1280")</f>
        <v>1280</v>
      </c>
      <c r="P812" s="3" t="str">
        <f ca="1">IFERROR(__xludf.DUMMYFUNCTION("""COMPUTED_VALUE"""),"720")</f>
        <v>720</v>
      </c>
      <c r="Q812" s="3" t="str">
        <f ca="1">IFERROR(__xludf.DUMMYFUNCTION("""COMPUTED_VALUE"""),"16:9")</f>
        <v>16:9</v>
      </c>
      <c r="R812" s="3"/>
      <c r="S812" s="3" t="str">
        <f ca="1">IFERROR(__xludf.DUMMYFUNCTION("""COMPUTED_VALUE"""),"100")</f>
        <v>100</v>
      </c>
      <c r="T812" s="3"/>
      <c r="U812" s="3" t="str">
        <f ca="1">IFERROR(__xludf.DUMMYFUNCTION("""COMPUTED_VALUE"""),"videospot")</f>
        <v>videospot</v>
      </c>
      <c r="V812" s="3"/>
      <c r="W812" s="4" t="str">
        <f ca="1">IFERROR(__xludf.DUMMYFUNCTION("""COMPUTED_VALUE"""),"https://reklama.cncenter.cz/Online/Outstream")</f>
        <v>https://reklama.cncenter.cz/Online/Outstream</v>
      </c>
      <c r="X812" s="3"/>
      <c r="Y812" s="3"/>
      <c r="Z812" s="3" t="str">
        <f ca="1">IFERROR(__xludf.DUMMYFUNCTION("""COMPUTED_VALUE"""),"podklady@cncenter.cz")</f>
        <v>podklady@cncenter.cz</v>
      </c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 t="str">
        <f ca="1">IFERROR(__xludf.DUMMYFUNCTION("""COMPUTED_VALUE"""),"cross-device")</f>
        <v>cross-device</v>
      </c>
      <c r="AO812" s="3"/>
      <c r="AP812" s="3"/>
      <c r="AQ812" s="3"/>
      <c r="AR812" s="3"/>
      <c r="AS812" s="3"/>
      <c r="AT812" s="3"/>
      <c r="AU812" s="3" t="str">
        <f ca="1">IFERROR(__xludf.DUMMYFUNCTION("""COMPUTED_VALUE"""),"outstream")</f>
        <v>outstream</v>
      </c>
    </row>
    <row r="813" spans="1:47" x14ac:dyDescent="0.3">
      <c r="A813" s="3">
        <f ca="1"/>
        <v>2346826</v>
      </c>
      <c r="B813" s="3" t="str">
        <f ca="1"/>
        <v>CZECH NEWS CENTER a. s.</v>
      </c>
      <c r="C813" s="3" t="str">
        <f ca="1">IFERROR(__xludf.DUMMYFUNCTION("""COMPUTED_VALUE"""),"Mobilmania")</f>
        <v>Mobilmania</v>
      </c>
      <c r="D813" s="4" t="str">
        <f ca="1">IFERROR(__xludf.DUMMYFUNCTION("""COMPUTED_VALUE"""),"https://mobilmania.cz")</f>
        <v>https://mobilmania.cz</v>
      </c>
      <c r="E813" s="3" t="str">
        <f ca="1">IFERROR(__xludf.DUMMYFUNCTION("""COMPUTED_VALUE"""),"celý web")</f>
        <v>celý web</v>
      </c>
      <c r="F813" s="4" t="str">
        <f ca="1">IFERROR(__xludf.DUMMYFUNCTION("""COMPUTED_VALUE"""),"https://mobilmania.cz")</f>
        <v>https://mobilmania.cz</v>
      </c>
      <c r="G813" s="3" t="str">
        <f ca="1">IFERROR(__xludf.DUMMYFUNCTION("""COMPUTED_VALUE"""),"PR článek low season")</f>
        <v>PR článek low season</v>
      </c>
      <c r="H813" s="3">
        <f ca="1">IFERROR(__xludf.DUMMYFUNCTION("""COMPUTED_VALUE"""),1)</f>
        <v>1</v>
      </c>
      <c r="I813" s="5">
        <f ca="1">IFERROR(__xludf.DUMMYFUNCTION("""COMPUTED_VALUE"""),1)</f>
        <v>1</v>
      </c>
      <c r="J813" s="5">
        <f ca="1">IFERROR(__xludf.DUMMYFUNCTION("""COMPUTED_VALUE"""),50000)</f>
        <v>50000</v>
      </c>
      <c r="K813" s="3"/>
      <c r="L813" s="3" t="str">
        <f ca="1">IFERROR(__xludf.DUMMYFUNCTION("""COMPUTED_VALUE"""),"Cost per instance")</f>
        <v>Cost per instance</v>
      </c>
      <c r="M813" s="3"/>
      <c r="N813" s="3"/>
      <c r="O813" s="3"/>
      <c r="P813" s="3"/>
      <c r="Q813" s="3"/>
      <c r="R813" s="3"/>
      <c r="S813" s="3" t="str">
        <f ca="1">IFERROR(__xludf.DUMMYFUNCTION("""COMPUTED_VALUE"""),"100")</f>
        <v>100</v>
      </c>
      <c r="T813" s="3"/>
      <c r="U813" s="3" t="str">
        <f ca="1">IFERROR(__xludf.DUMMYFUNCTION("""COMPUTED_VALUE"""),"pr článek")</f>
        <v>pr článek</v>
      </c>
      <c r="V813" s="3"/>
      <c r="W813" s="4" t="str">
        <f ca="1">IFERROR(__xludf.DUMMYFUNCTION("""COMPUTED_VALUE"""),"https://reklama.cncenter.cz/?ads=PR%2520%25C4%258Dl%25C3%25A1nky")</f>
        <v>https://reklama.cncenter.cz/?ads=PR%2520%25C4%258Dl%25C3%25A1nky</v>
      </c>
      <c r="X813" s="3"/>
      <c r="Y813" s="3"/>
      <c r="Z813" s="3" t="str">
        <f ca="1">IFERROR(__xludf.DUMMYFUNCTION("""COMPUTED_VALUE"""),"podklady@cncenter.cz")</f>
        <v>podklady@cncenter.cz</v>
      </c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 t="str">
        <f ca="1">IFERROR(__xludf.DUMMYFUNCTION("""COMPUTED_VALUE"""),"cross-device")</f>
        <v>cross-device</v>
      </c>
      <c r="AO813" s="3"/>
      <c r="AP813" s="3"/>
      <c r="AQ813" s="3"/>
      <c r="AR813" s="3"/>
      <c r="AS813" s="3"/>
      <c r="AT813" s="3"/>
      <c r="AU813" s="3" t="str">
        <f ca="1">IFERROR(__xludf.DUMMYFUNCTION("""COMPUTED_VALUE"""),"PR článek")</f>
        <v>PR článek</v>
      </c>
    </row>
    <row r="814" spans="1:47" x14ac:dyDescent="0.3">
      <c r="A814" s="3">
        <f ca="1"/>
        <v>2346826</v>
      </c>
      <c r="B814" s="3" t="str">
        <f ca="1"/>
        <v>CZECH NEWS CENTER a. s.</v>
      </c>
      <c r="C814" s="3" t="str">
        <f ca="1">IFERROR(__xludf.DUMMYFUNCTION("""COMPUTED_VALUE"""),"Mobilmania")</f>
        <v>Mobilmania</v>
      </c>
      <c r="D814" s="4" t="str">
        <f ca="1">IFERROR(__xludf.DUMMYFUNCTION("""COMPUTED_VALUE"""),"https://mobilmania.cz")</f>
        <v>https://mobilmania.cz</v>
      </c>
      <c r="E814" s="3" t="str">
        <f ca="1">IFERROR(__xludf.DUMMYFUNCTION("""COMPUTED_VALUE"""),"celý web")</f>
        <v>celý web</v>
      </c>
      <c r="F814" s="4" t="str">
        <f ca="1">IFERROR(__xludf.DUMMYFUNCTION("""COMPUTED_VALUE"""),"https://mobilmania.cz")</f>
        <v>https://mobilmania.cz</v>
      </c>
      <c r="G814" s="3" t="str">
        <f ca="1">IFERROR(__xludf.DUMMYFUNCTION("""COMPUTED_VALUE"""),"Prodloužení existující microsite, bez úprav low season")</f>
        <v>Prodloužení existující microsite, bez úprav low season</v>
      </c>
      <c r="H814" s="3">
        <f ca="1">IFERROR(__xludf.DUMMYFUNCTION("""COMPUTED_VALUE"""),1)</f>
        <v>1</v>
      </c>
      <c r="I814" s="5">
        <f ca="1">IFERROR(__xludf.DUMMYFUNCTION("""COMPUTED_VALUE"""),1)</f>
        <v>1</v>
      </c>
      <c r="J814" s="5">
        <f ca="1">IFERROR(__xludf.DUMMYFUNCTION("""COMPUTED_VALUE"""),15000)</f>
        <v>15000</v>
      </c>
      <c r="K814" s="3"/>
      <c r="L814" s="3" t="str">
        <f ca="1">IFERROR(__xludf.DUMMYFUNCTION("""COMPUTED_VALUE"""),"Cost per instance")</f>
        <v>Cost per instance</v>
      </c>
      <c r="M814" s="3"/>
      <c r="N814" s="3"/>
      <c r="O814" s="3"/>
      <c r="P814" s="3"/>
      <c r="Q814" s="3"/>
      <c r="R814" s="3"/>
      <c r="S814" s="3" t="str">
        <f ca="1">IFERROR(__xludf.DUMMYFUNCTION("""COMPUTED_VALUE"""),"100")</f>
        <v>100</v>
      </c>
      <c r="T814" s="3"/>
      <c r="U814" s="3" t="str">
        <f ca="1">IFERROR(__xludf.DUMMYFUNCTION("""COMPUTED_VALUE"""),"microsite")</f>
        <v>microsite</v>
      </c>
      <c r="V814" s="3"/>
      <c r="W814" s="3"/>
      <c r="X814" s="3"/>
      <c r="Y814" s="3"/>
      <c r="Z814" s="3" t="str">
        <f ca="1">IFERROR(__xludf.DUMMYFUNCTION("""COMPUTED_VALUE"""),"podklady@cncenter.cz")</f>
        <v>podklady@cncenter.cz</v>
      </c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 t="str">
        <f ca="1">IFERROR(__xludf.DUMMYFUNCTION("""COMPUTED_VALUE"""),"cross-device")</f>
        <v>cross-device</v>
      </c>
      <c r="AO814" s="3"/>
      <c r="AP814" s="3"/>
      <c r="AQ814" s="3"/>
      <c r="AR814" s="3"/>
      <c r="AS814" s="3"/>
      <c r="AT814" s="3"/>
      <c r="AU814" s="3" t="str">
        <f ca="1">IFERROR(__xludf.DUMMYFUNCTION("""COMPUTED_VALUE"""),"Prodloužení existující microsite, bez úprav")</f>
        <v>Prodloužení existující microsite, bez úprav</v>
      </c>
    </row>
    <row r="815" spans="1:47" x14ac:dyDescent="0.3">
      <c r="A815" s="3">
        <f ca="1"/>
        <v>2346826</v>
      </c>
      <c r="B815" s="3" t="str">
        <f ca="1"/>
        <v>CZECH NEWS CENTER a. s.</v>
      </c>
      <c r="C815" s="3" t="str">
        <f ca="1">IFERROR(__xludf.DUMMYFUNCTION("""COMPUTED_VALUE"""),"Mobilmania")</f>
        <v>Mobilmania</v>
      </c>
      <c r="D815" s="4" t="str">
        <f ca="1">IFERROR(__xludf.DUMMYFUNCTION("""COMPUTED_VALUE"""),"https://mobilmania.cz")</f>
        <v>https://mobilmania.cz</v>
      </c>
      <c r="E815" s="3" t="str">
        <f ca="1">IFERROR(__xludf.DUMMYFUNCTION("""COMPUTED_VALUE"""),"celý web")</f>
        <v>celý web</v>
      </c>
      <c r="F815" s="4" t="str">
        <f ca="1">IFERROR(__xludf.DUMMYFUNCTION("""COMPUTED_VALUE"""),"https://mobilmania.cz")</f>
        <v>https://mobilmania.cz</v>
      </c>
      <c r="G815" s="3" t="str">
        <f ca="1">IFERROR(__xludf.DUMMYFUNCTION("""COMPUTED_VALUE"""),"Prodloužení existující microsite, bez úprav low season")</f>
        <v>Prodloužení existující microsite, bez úprav low season</v>
      </c>
      <c r="H815" s="3">
        <f ca="1">IFERROR(__xludf.DUMMYFUNCTION("""COMPUTED_VALUE"""),1)</f>
        <v>1</v>
      </c>
      <c r="I815" s="5">
        <f ca="1">IFERROR(__xludf.DUMMYFUNCTION("""COMPUTED_VALUE"""),1)</f>
        <v>1</v>
      </c>
      <c r="J815" s="5">
        <f ca="1">IFERROR(__xludf.DUMMYFUNCTION("""COMPUTED_VALUE"""),15000)</f>
        <v>15000</v>
      </c>
      <c r="K815" s="3"/>
      <c r="L815" s="3" t="str">
        <f ca="1">IFERROR(__xludf.DUMMYFUNCTION("""COMPUTED_VALUE"""),"Cost per instance")</f>
        <v>Cost per instance</v>
      </c>
      <c r="M815" s="3"/>
      <c r="N815" s="3"/>
      <c r="O815" s="3"/>
      <c r="P815" s="3"/>
      <c r="Q815" s="3"/>
      <c r="R815" s="3"/>
      <c r="S815" s="3" t="str">
        <f ca="1">IFERROR(__xludf.DUMMYFUNCTION("""COMPUTED_VALUE"""),"100")</f>
        <v>100</v>
      </c>
      <c r="T815" s="3"/>
      <c r="U815" s="3" t="str">
        <f ca="1">IFERROR(__xludf.DUMMYFUNCTION("""COMPUTED_VALUE"""),"microsite")</f>
        <v>microsite</v>
      </c>
      <c r="V815" s="3"/>
      <c r="W815" s="3"/>
      <c r="X815" s="3"/>
      <c r="Y815" s="3"/>
      <c r="Z815" s="3" t="str">
        <f ca="1">IFERROR(__xludf.DUMMYFUNCTION("""COMPUTED_VALUE"""),"podklady@cncenter.cz")</f>
        <v>podklady@cncenter.cz</v>
      </c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 t="str">
        <f ca="1">IFERROR(__xludf.DUMMYFUNCTION("""COMPUTED_VALUE"""),"cross-device")</f>
        <v>cross-device</v>
      </c>
      <c r="AO815" s="3"/>
      <c r="AP815" s="3"/>
      <c r="AQ815" s="3"/>
      <c r="AR815" s="3"/>
      <c r="AS815" s="3"/>
      <c r="AT815" s="3"/>
      <c r="AU815" s="3" t="str">
        <f ca="1">IFERROR(__xludf.DUMMYFUNCTION("""COMPUTED_VALUE"""),"Prodloužení existující microsite, bez úprav")</f>
        <v>Prodloužení existující microsite, bez úprav</v>
      </c>
    </row>
    <row r="816" spans="1:47" x14ac:dyDescent="0.3">
      <c r="A816" s="3">
        <f ca="1"/>
        <v>2346826</v>
      </c>
      <c r="B816" s="3" t="str">
        <f ca="1"/>
        <v>CZECH NEWS CENTER a. s.</v>
      </c>
      <c r="C816" s="3" t="str">
        <f ca="1">IFERROR(__xludf.DUMMYFUNCTION("""COMPUTED_VALUE"""),"Mobilmania")</f>
        <v>Mobilmania</v>
      </c>
      <c r="D816" s="4" t="str">
        <f ca="1">IFERROR(__xludf.DUMMYFUNCTION("""COMPUTED_VALUE"""),"https://mobilmania.cz")</f>
        <v>https://mobilmania.cz</v>
      </c>
      <c r="E816" s="3" t="str">
        <f ca="1">IFERROR(__xludf.DUMMYFUNCTION("""COMPUTED_VALUE"""),"celý web")</f>
        <v>celý web</v>
      </c>
      <c r="F816" s="4" t="str">
        <f ca="1">IFERROR(__xludf.DUMMYFUNCTION("""COMPUTED_VALUE"""),"https://mobilmania.cz")</f>
        <v>https://mobilmania.cz</v>
      </c>
      <c r="G816" s="3" t="str">
        <f ca="1">IFERROR(__xludf.DUMMYFUNCTION("""COMPUTED_VALUE"""),"Prodloužení existující microsite, bez úprav low season")</f>
        <v>Prodloužení existující microsite, bez úprav low season</v>
      </c>
      <c r="H816" s="3">
        <f ca="1">IFERROR(__xludf.DUMMYFUNCTION("""COMPUTED_VALUE"""),1)</f>
        <v>1</v>
      </c>
      <c r="I816" s="5">
        <f ca="1">IFERROR(__xludf.DUMMYFUNCTION("""COMPUTED_VALUE"""),1)</f>
        <v>1</v>
      </c>
      <c r="J816" s="5">
        <f ca="1">IFERROR(__xludf.DUMMYFUNCTION("""COMPUTED_VALUE"""),15000)</f>
        <v>15000</v>
      </c>
      <c r="K816" s="3"/>
      <c r="L816" s="3" t="str">
        <f ca="1">IFERROR(__xludf.DUMMYFUNCTION("""COMPUTED_VALUE"""),"Cost per instance")</f>
        <v>Cost per instance</v>
      </c>
      <c r="M816" s="3"/>
      <c r="N816" s="3"/>
      <c r="O816" s="3"/>
      <c r="P816" s="3"/>
      <c r="Q816" s="3"/>
      <c r="R816" s="3"/>
      <c r="S816" s="3" t="str">
        <f ca="1">IFERROR(__xludf.DUMMYFUNCTION("""COMPUTED_VALUE"""),"100")</f>
        <v>100</v>
      </c>
      <c r="T816" s="3"/>
      <c r="U816" s="3" t="str">
        <f ca="1">IFERROR(__xludf.DUMMYFUNCTION("""COMPUTED_VALUE"""),"microsite")</f>
        <v>microsite</v>
      </c>
      <c r="V816" s="3"/>
      <c r="W816" s="3"/>
      <c r="X816" s="3"/>
      <c r="Y816" s="3"/>
      <c r="Z816" s="3" t="str">
        <f ca="1">IFERROR(__xludf.DUMMYFUNCTION("""COMPUTED_VALUE"""),"podklady@cncenter.cz")</f>
        <v>podklady@cncenter.cz</v>
      </c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 t="str">
        <f ca="1">IFERROR(__xludf.DUMMYFUNCTION("""COMPUTED_VALUE"""),"cross-device")</f>
        <v>cross-device</v>
      </c>
      <c r="AO816" s="3"/>
      <c r="AP816" s="3"/>
      <c r="AQ816" s="3"/>
      <c r="AR816" s="3"/>
      <c r="AS816" s="3"/>
      <c r="AT816" s="3"/>
      <c r="AU816" s="3" t="str">
        <f ca="1">IFERROR(__xludf.DUMMYFUNCTION("""COMPUTED_VALUE"""),"Prodloužení existující microsite, bez úprav")</f>
        <v>Prodloužení existující microsite, bez úprav</v>
      </c>
    </row>
    <row r="817" spans="1:47" x14ac:dyDescent="0.3">
      <c r="A817" s="3">
        <f ca="1"/>
        <v>2346826</v>
      </c>
      <c r="B817" s="3" t="str">
        <f ca="1"/>
        <v>CZECH NEWS CENTER a. s.</v>
      </c>
      <c r="C817" s="3" t="str">
        <f ca="1">IFERROR(__xludf.DUMMYFUNCTION("""COMPUTED_VALUE"""),"Mobilmania")</f>
        <v>Mobilmania</v>
      </c>
      <c r="D817" s="4" t="str">
        <f ca="1">IFERROR(__xludf.DUMMYFUNCTION("""COMPUTED_VALUE"""),"https://mobilmania.cz")</f>
        <v>https://mobilmania.cz</v>
      </c>
      <c r="E817" s="3" t="str">
        <f ca="1">IFERROR(__xludf.DUMMYFUNCTION("""COMPUTED_VALUE"""),"celý web")</f>
        <v>celý web</v>
      </c>
      <c r="F817" s="4" t="str">
        <f ca="1">IFERROR(__xludf.DUMMYFUNCTION("""COMPUTED_VALUE"""),"https://mobilmania.cz")</f>
        <v>https://mobilmania.cz</v>
      </c>
      <c r="G817" s="3" t="str">
        <f ca="1">IFERROR(__xludf.DUMMYFUNCTION("""COMPUTED_VALUE"""),"videospot - max. 30 sec. / bumper low season")</f>
        <v>videospot - max. 30 sec. / bumper low season</v>
      </c>
      <c r="H817" s="3">
        <f ca="1">IFERROR(__xludf.DUMMYFUNCTION("""COMPUTED_VALUE"""),7)</f>
        <v>7</v>
      </c>
      <c r="I817" s="5">
        <f ca="1">IFERROR(__xludf.DUMMYFUNCTION("""COMPUTED_VALUE"""),1000)</f>
        <v>1000</v>
      </c>
      <c r="J817" s="5">
        <f ca="1">IFERROR(__xludf.DUMMYFUNCTION("""COMPUTED_VALUE"""),740)</f>
        <v>740</v>
      </c>
      <c r="K817" s="3"/>
      <c r="L817" s="3" t="str">
        <f ca="1">IFERROR(__xludf.DUMMYFUNCTION("""COMPUTED_VALUE"""),"Cost per period")</f>
        <v>Cost per period</v>
      </c>
      <c r="M817" s="3"/>
      <c r="N817" s="3"/>
      <c r="O817" s="3" t="str">
        <f ca="1">IFERROR(__xludf.DUMMYFUNCTION("""COMPUTED_VALUE"""),"1280")</f>
        <v>1280</v>
      </c>
      <c r="P817" s="3" t="str">
        <f ca="1">IFERROR(__xludf.DUMMYFUNCTION("""COMPUTED_VALUE"""),"720")</f>
        <v>720</v>
      </c>
      <c r="Q817" s="3" t="str">
        <f ca="1">IFERROR(__xludf.DUMMYFUNCTION("""COMPUTED_VALUE"""),"16:9 / umístění po domluvě dle možností")</f>
        <v>16:9 / umístění po domluvě dle možností</v>
      </c>
      <c r="R817" s="3" t="str">
        <f ca="1">IFERROR(__xludf.DUMMYFUNCTION("""COMPUTED_VALUE"""),"přeskočení po 7 sekundách")</f>
        <v>přeskočení po 7 sekundách</v>
      </c>
      <c r="S817" s="3" t="str">
        <f ca="1">IFERROR(__xludf.DUMMYFUNCTION("""COMPUTED_VALUE"""),"100")</f>
        <v>100</v>
      </c>
      <c r="T817" s="3"/>
      <c r="U817" s="3" t="str">
        <f ca="1">IFERROR(__xludf.DUMMYFUNCTION("""COMPUTED_VALUE"""),"videospot")</f>
        <v>videospot</v>
      </c>
      <c r="V817" s="3"/>
      <c r="W817" s="4" t="str">
        <f ca="1">IFERROR(__xludf.DUMMYFUNCTION("""COMPUTED_VALUE"""),"https://reklama.cncenter.cz/Online/Bumper")</f>
        <v>https://reklama.cncenter.cz/Online/Bumper</v>
      </c>
      <c r="X817" s="3"/>
      <c r="Y817" s="3"/>
      <c r="Z817" s="3" t="str">
        <f ca="1">IFERROR(__xludf.DUMMYFUNCTION("""COMPUTED_VALUE"""),"podklady@cncenter.cz")</f>
        <v>podklady@cncenter.cz</v>
      </c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 t="str">
        <f ca="1">IFERROR(__xludf.DUMMYFUNCTION("""COMPUTED_VALUE"""),"cross-device")</f>
        <v>cross-device</v>
      </c>
      <c r="AO817" s="3"/>
      <c r="AP817" s="3"/>
      <c r="AQ817" s="3"/>
      <c r="AR817" s="3"/>
      <c r="AS817" s="3"/>
      <c r="AT817" s="3"/>
      <c r="AU817" s="3" t="str">
        <f ca="1">IFERROR(__xludf.DUMMYFUNCTION("""COMPUTED_VALUE"""),"videospot - max. 30 sec. / bumper")</f>
        <v>videospot - max. 30 sec. / bumper</v>
      </c>
    </row>
    <row r="818" spans="1:47" x14ac:dyDescent="0.3">
      <c r="A818" s="3">
        <f ca="1"/>
        <v>2346826</v>
      </c>
      <c r="B818" s="3" t="str">
        <f ca="1"/>
        <v>CZECH NEWS CENTER a. s.</v>
      </c>
      <c r="C818" s="3" t="str">
        <f ca="1">IFERROR(__xludf.DUMMYFUNCTION("""COMPUTED_VALUE"""),"Moje zdraví")</f>
        <v>Moje zdraví</v>
      </c>
      <c r="D818" s="4" t="str">
        <f ca="1">IFERROR(__xludf.DUMMYFUNCTION("""COMPUTED_VALUE"""),"https://mojezdravi.cz")</f>
        <v>https://mojezdravi.cz</v>
      </c>
      <c r="E818" s="3" t="str">
        <f ca="1">IFERROR(__xludf.DUMMYFUNCTION("""COMPUTED_VALUE"""),"celý web")</f>
        <v>celý web</v>
      </c>
      <c r="F818" s="4" t="str">
        <f ca="1">IFERROR(__xludf.DUMMYFUNCTION("""COMPUTED_VALUE"""),"https://mojezdravi.cz")</f>
        <v>https://mojezdravi.cz</v>
      </c>
      <c r="G818" s="3" t="str">
        <f ca="1">IFERROR(__xludf.DUMMYFUNCTION("""COMPUTED_VALUE"""),"Advertorial low season")</f>
        <v>Advertorial low season</v>
      </c>
      <c r="H818" s="3">
        <f ca="1">IFERROR(__xludf.DUMMYFUNCTION("""COMPUTED_VALUE"""),1)</f>
        <v>1</v>
      </c>
      <c r="I818" s="5">
        <f ca="1">IFERROR(__xludf.DUMMYFUNCTION("""COMPUTED_VALUE"""),1)</f>
        <v>1</v>
      </c>
      <c r="J818" s="5">
        <f ca="1">IFERROR(__xludf.DUMMYFUNCTION("""COMPUTED_VALUE"""),90000)</f>
        <v>90000</v>
      </c>
      <c r="K818" s="3"/>
      <c r="L818" s="3" t="str">
        <f ca="1">IFERROR(__xludf.DUMMYFUNCTION("""COMPUTED_VALUE"""),"Cost per instance")</f>
        <v>Cost per instance</v>
      </c>
      <c r="M818" s="3"/>
      <c r="N818" s="3"/>
      <c r="O818" s="3"/>
      <c r="P818" s="3"/>
      <c r="Q818" s="3"/>
      <c r="R818" s="3"/>
      <c r="S818" s="3" t="str">
        <f ca="1">IFERROR(__xludf.DUMMYFUNCTION("""COMPUTED_VALUE"""),"100")</f>
        <v>100</v>
      </c>
      <c r="T818" s="3"/>
      <c r="U818" s="3" t="str">
        <f ca="1">IFERROR(__xludf.DUMMYFUNCTION("""COMPUTED_VALUE"""),"pr článek")</f>
        <v>pr článek</v>
      </c>
      <c r="V818" s="3"/>
      <c r="W818" s="3"/>
      <c r="X818" s="3"/>
      <c r="Y818" s="3"/>
      <c r="Z818" s="3" t="str">
        <f ca="1">IFERROR(__xludf.DUMMYFUNCTION("""COMPUTED_VALUE"""),"podklady@cncenter.cz")</f>
        <v>podklady@cncenter.cz</v>
      </c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 t="str">
        <f ca="1">IFERROR(__xludf.DUMMYFUNCTION("""COMPUTED_VALUE"""),"cross-device")</f>
        <v>cross-device</v>
      </c>
      <c r="AO818" s="3"/>
      <c r="AP818" s="3"/>
      <c r="AQ818" s="3"/>
      <c r="AR818" s="3"/>
      <c r="AS818" s="3"/>
      <c r="AT818" s="3"/>
      <c r="AU818" s="3" t="str">
        <f ca="1">IFERROR(__xludf.DUMMYFUNCTION("""COMPUTED_VALUE"""),"Advertorial")</f>
        <v>Advertorial</v>
      </c>
    </row>
    <row r="819" spans="1:47" x14ac:dyDescent="0.3">
      <c r="A819" s="3">
        <f ca="1"/>
        <v>2346826</v>
      </c>
      <c r="B819" s="3" t="str">
        <f ca="1"/>
        <v>CZECH NEWS CENTER a. s.</v>
      </c>
      <c r="C819" s="3" t="str">
        <f ca="1">IFERROR(__xludf.DUMMYFUNCTION("""COMPUTED_VALUE"""),"Moje zdraví")</f>
        <v>Moje zdraví</v>
      </c>
      <c r="D819" s="4" t="str">
        <f ca="1">IFERROR(__xludf.DUMMYFUNCTION("""COMPUTED_VALUE"""),"https://mojezdravi.cz")</f>
        <v>https://mojezdravi.cz</v>
      </c>
      <c r="E819" s="3" t="str">
        <f ca="1">IFERROR(__xludf.DUMMYFUNCTION("""COMPUTED_VALUE"""),"celý web")</f>
        <v>celý web</v>
      </c>
      <c r="F819" s="4" t="str">
        <f ca="1">IFERROR(__xludf.DUMMYFUNCTION("""COMPUTED_VALUE"""),"https://mojezdravi.cz")</f>
        <v>https://mojezdravi.cz</v>
      </c>
      <c r="G819" s="3" t="str">
        <f ca="1">IFERROR(__xludf.DUMMYFUNCTION("""COMPUTED_VALUE"""),"billboard bottom low season")</f>
        <v>billboard bottom low season</v>
      </c>
      <c r="H819" s="3">
        <f ca="1">IFERROR(__xludf.DUMMYFUNCTION("""COMPUTED_VALUE"""),7)</f>
        <v>7</v>
      </c>
      <c r="I819" s="5">
        <f ca="1">IFERROR(__xludf.DUMMYFUNCTION("""COMPUTED_VALUE"""),1000)</f>
        <v>1000</v>
      </c>
      <c r="J819" s="5">
        <f ca="1">IFERROR(__xludf.DUMMYFUNCTION("""COMPUTED_VALUE"""),240)</f>
        <v>240</v>
      </c>
      <c r="K819" s="3"/>
      <c r="L819" s="3" t="str">
        <f ca="1">IFERROR(__xludf.DUMMYFUNCTION("""COMPUTED_VALUE"""),"Cost per period")</f>
        <v>Cost per period</v>
      </c>
      <c r="M819" s="3"/>
      <c r="N819" s="3"/>
      <c r="O819" s="3" t="str">
        <f ca="1">IFERROR(__xludf.DUMMYFUNCTION("""COMPUTED_VALUE"""),"970")</f>
        <v>970</v>
      </c>
      <c r="P819" s="3" t="str">
        <f ca="1">IFERROR(__xludf.DUMMYFUNCTION("""COMPUTED_VALUE"""),"250")</f>
        <v>250</v>
      </c>
      <c r="Q819" s="3" t="str">
        <f ca="1">IFERROR(__xludf.DUMMYFUNCTION("""COMPUTED_VALUE"""),"970x250")</f>
        <v>970x250</v>
      </c>
      <c r="R819" s="3"/>
      <c r="S819" s="3" t="str">
        <f ca="1">IFERROR(__xludf.DUMMYFUNCTION("""COMPUTED_VALUE"""),"100 (200 - HTML5)")</f>
        <v>100 (200 - HTML5)</v>
      </c>
      <c r="T819" s="3"/>
      <c r="U819" s="3" t="str">
        <f ca="1">IFERROR(__xludf.DUMMYFUNCTION("""COMPUTED_VALUE"""),"banner standard")</f>
        <v>banner standard</v>
      </c>
      <c r="V819" s="3"/>
      <c r="W819" s="4" t="str">
        <f ca="1">IFERROR(__xludf.DUMMYFUNCTION("""COMPUTED_VALUE"""),"https://reklama.cncenter.cz/Online/billboard-bottom")</f>
        <v>https://reklama.cncenter.cz/Online/billboard-bottom</v>
      </c>
      <c r="X819" s="3"/>
      <c r="Y819" s="3"/>
      <c r="Z819" s="3" t="str">
        <f ca="1">IFERROR(__xludf.DUMMYFUNCTION("""COMPUTED_VALUE"""),"podklady@cncenter.cz")</f>
        <v>podklady@cncenter.cz</v>
      </c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 t="str">
        <f ca="1">IFERROR(__xludf.DUMMYFUNCTION("""COMPUTED_VALUE"""),"desktop")</f>
        <v>desktop</v>
      </c>
      <c r="AO819" s="3"/>
      <c r="AP819" s="3"/>
      <c r="AQ819" s="3"/>
      <c r="AR819" s="3"/>
      <c r="AS819" s="3"/>
      <c r="AT819" s="3"/>
      <c r="AU819" s="3" t="str">
        <f ca="1">IFERROR(__xludf.DUMMYFUNCTION("""COMPUTED_VALUE"""),"billboard bottom")</f>
        <v>billboard bottom</v>
      </c>
    </row>
    <row r="820" spans="1:47" x14ac:dyDescent="0.3">
      <c r="A820" s="3">
        <f ca="1"/>
        <v>2346826</v>
      </c>
      <c r="B820" s="3" t="str">
        <f ca="1"/>
        <v>CZECH NEWS CENTER a. s.</v>
      </c>
      <c r="C820" s="3" t="str">
        <f ca="1">IFERROR(__xludf.DUMMYFUNCTION("""COMPUTED_VALUE"""),"Moje zdraví")</f>
        <v>Moje zdraví</v>
      </c>
      <c r="D820" s="4" t="str">
        <f ca="1">IFERROR(__xludf.DUMMYFUNCTION("""COMPUTED_VALUE"""),"https://mojezdravi.cz")</f>
        <v>https://mojezdravi.cz</v>
      </c>
      <c r="E820" s="3" t="str">
        <f ca="1">IFERROR(__xludf.DUMMYFUNCTION("""COMPUTED_VALUE"""),"celý web")</f>
        <v>celý web</v>
      </c>
      <c r="F820" s="4" t="str">
        <f ca="1">IFERROR(__xludf.DUMMYFUNCTION("""COMPUTED_VALUE"""),"https://mojezdravi.cz")</f>
        <v>https://mojezdravi.cz</v>
      </c>
      <c r="G820" s="3" t="str">
        <f ca="1">IFERROR(__xludf.DUMMYFUNCTION("""COMPUTED_VALUE"""),"branding cross-device low season")</f>
        <v>branding cross-device low season</v>
      </c>
      <c r="H820" s="3">
        <f ca="1">IFERROR(__xludf.DUMMYFUNCTION("""COMPUTED_VALUE"""),7)</f>
        <v>7</v>
      </c>
      <c r="I820" s="5">
        <f ca="1">IFERROR(__xludf.DUMMYFUNCTION("""COMPUTED_VALUE"""),1000)</f>
        <v>1000</v>
      </c>
      <c r="J820" s="5">
        <f ca="1">IFERROR(__xludf.DUMMYFUNCTION("""COMPUTED_VALUE"""),300)</f>
        <v>300</v>
      </c>
      <c r="K820" s="3"/>
      <c r="L820" s="3" t="str">
        <f ca="1">IFERROR(__xludf.DUMMYFUNCTION("""COMPUTED_VALUE"""),"Cost per period")</f>
        <v>Cost per period</v>
      </c>
      <c r="M820" s="3"/>
      <c r="N820" s="3"/>
      <c r="O820" s="3" t="str">
        <f ca="1">IFERROR(__xludf.DUMMYFUNCTION("""COMPUTED_VALUE"""),"2000")</f>
        <v>2000</v>
      </c>
      <c r="P820" s="3" t="str">
        <f ca="1">IFERROR(__xludf.DUMMYFUNCTION("""COMPUTED_VALUE"""),"1400")</f>
        <v>1400</v>
      </c>
      <c r="Q820" s="3" t="str">
        <f ca="1">IFERROR(__xludf.DUMMYFUNCTION("""COMPUTED_VALUE"""),"2000x1400 + 600x1080")</f>
        <v>2000x1400 + 600x1080</v>
      </c>
      <c r="R820" s="3"/>
      <c r="S820" s="3" t="str">
        <f ca="1">IFERROR(__xludf.DUMMYFUNCTION("""COMPUTED_VALUE"""),"500 (600 - HTLM5)")</f>
        <v>500 (600 - HTLM5)</v>
      </c>
      <c r="T820" s="3"/>
      <c r="U820" s="3" t="str">
        <f ca="1">IFERROR(__xludf.DUMMYFUNCTION("""COMPUTED_VALUE"""),"banner standard")</f>
        <v>banner standard</v>
      </c>
      <c r="V820" s="3"/>
      <c r="W820" s="4" t="str">
        <f ca="1">IFERROR(__xludf.DUMMYFUNCTION("""COMPUTED_VALUE"""),"https://reklama.cncenter.cz/Online/branding-cross-device")</f>
        <v>https://reklama.cncenter.cz/Online/branding-cross-device</v>
      </c>
      <c r="X820" s="3"/>
      <c r="Y820" s="3"/>
      <c r="Z820" s="3" t="str">
        <f ca="1">IFERROR(__xludf.DUMMYFUNCTION("""COMPUTED_VALUE"""),"podklady@cncenter.cz")</f>
        <v>podklady@cncenter.cz</v>
      </c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 t="str">
        <f ca="1">IFERROR(__xludf.DUMMYFUNCTION("""COMPUTED_VALUE"""),"cross-device")</f>
        <v>cross-device</v>
      </c>
      <c r="AO820" s="3"/>
      <c r="AP820" s="3"/>
      <c r="AQ820" s="3"/>
      <c r="AR820" s="3"/>
      <c r="AS820" s="3"/>
      <c r="AT820" s="3"/>
      <c r="AU820" s="3" t="str">
        <f ca="1">IFERROR(__xludf.DUMMYFUNCTION("""COMPUTED_VALUE"""),"branding cross-device")</f>
        <v>branding cross-device</v>
      </c>
    </row>
    <row r="821" spans="1:47" x14ac:dyDescent="0.3">
      <c r="A821" s="3">
        <f ca="1"/>
        <v>2346826</v>
      </c>
      <c r="B821" s="3" t="str">
        <f ca="1"/>
        <v>CZECH NEWS CENTER a. s.</v>
      </c>
      <c r="C821" s="3" t="str">
        <f ca="1">IFERROR(__xludf.DUMMYFUNCTION("""COMPUTED_VALUE"""),"Moje zdraví")</f>
        <v>Moje zdraví</v>
      </c>
      <c r="D821" s="4" t="str">
        <f ca="1">IFERROR(__xludf.DUMMYFUNCTION("""COMPUTED_VALUE"""),"https://mojezdravi.cz")</f>
        <v>https://mojezdravi.cz</v>
      </c>
      <c r="E821" s="3" t="str">
        <f ca="1">IFERROR(__xludf.DUMMYFUNCTION("""COMPUTED_VALUE"""),"celý web")</f>
        <v>celý web</v>
      </c>
      <c r="F821" s="4" t="str">
        <f ca="1">IFERROR(__xludf.DUMMYFUNCTION("""COMPUTED_VALUE"""),"https://mojezdravi.cz")</f>
        <v>https://mojezdravi.cz</v>
      </c>
      <c r="G821" s="3" t="str">
        <f ca="1">IFERROR(__xludf.DUMMYFUNCTION("""COMPUTED_VALUE"""),"branding low season")</f>
        <v>branding low season</v>
      </c>
      <c r="H821" s="3">
        <f ca="1">IFERROR(__xludf.DUMMYFUNCTION("""COMPUTED_VALUE"""),7)</f>
        <v>7</v>
      </c>
      <c r="I821" s="5">
        <f ca="1">IFERROR(__xludf.DUMMYFUNCTION("""COMPUTED_VALUE"""),1000)</f>
        <v>1000</v>
      </c>
      <c r="J821" s="5">
        <f ca="1">IFERROR(__xludf.DUMMYFUNCTION("""COMPUTED_VALUE"""),490)</f>
        <v>490</v>
      </c>
      <c r="K821" s="3"/>
      <c r="L821" s="3" t="str">
        <f ca="1">IFERROR(__xludf.DUMMYFUNCTION("""COMPUTED_VALUE"""),"Cost per period")</f>
        <v>Cost per period</v>
      </c>
      <c r="M821" s="3"/>
      <c r="N821" s="3"/>
      <c r="O821" s="3" t="str">
        <f ca="1">IFERROR(__xludf.DUMMYFUNCTION("""COMPUTED_VALUE"""),"2000")</f>
        <v>2000</v>
      </c>
      <c r="P821" s="3" t="str">
        <f ca="1">IFERROR(__xludf.DUMMYFUNCTION("""COMPUTED_VALUE"""),"1400")</f>
        <v>1400</v>
      </c>
      <c r="Q821" s="3" t="str">
        <f ca="1">IFERROR(__xludf.DUMMYFUNCTION("""COMPUTED_VALUE"""),"2000x1400")</f>
        <v>2000x1400</v>
      </c>
      <c r="R821" s="3"/>
      <c r="S821" s="3" t="str">
        <f ca="1">IFERROR(__xludf.DUMMYFUNCTION("""COMPUTED_VALUE"""),"500 + 200 (600+200 HTML5)")</f>
        <v>500 + 200 (600+200 HTML5)</v>
      </c>
      <c r="T821" s="3"/>
      <c r="U821" s="3" t="str">
        <f ca="1">IFERROR(__xludf.DUMMYFUNCTION("""COMPUTED_VALUE"""),"banner standard")</f>
        <v>banner standard</v>
      </c>
      <c r="V821" s="3"/>
      <c r="W821" s="4" t="str">
        <f ca="1">IFERROR(__xludf.DUMMYFUNCTION("""COMPUTED_VALUE"""),"https://reklama.cncenter.cz/Online/branding")</f>
        <v>https://reklama.cncenter.cz/Online/branding</v>
      </c>
      <c r="X821" s="3"/>
      <c r="Y821" s="3"/>
      <c r="Z821" s="3" t="str">
        <f ca="1">IFERROR(__xludf.DUMMYFUNCTION("""COMPUTED_VALUE"""),"podklady@cncenter.cz")</f>
        <v>podklady@cncenter.cz</v>
      </c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 t="str">
        <f ca="1">IFERROR(__xludf.DUMMYFUNCTION("""COMPUTED_VALUE"""),"desktop")</f>
        <v>desktop</v>
      </c>
      <c r="AO821" s="3"/>
      <c r="AP821" s="3"/>
      <c r="AQ821" s="3"/>
      <c r="AR821" s="3"/>
      <c r="AS821" s="3"/>
      <c r="AT821" s="3"/>
      <c r="AU821" s="3" t="str">
        <f ca="1">IFERROR(__xludf.DUMMYFUNCTION("""COMPUTED_VALUE"""),"branding")</f>
        <v>branding</v>
      </c>
    </row>
    <row r="822" spans="1:47" x14ac:dyDescent="0.3">
      <c r="A822" s="3">
        <f ca="1"/>
        <v>2346826</v>
      </c>
      <c r="B822" s="3" t="str">
        <f ca="1"/>
        <v>CZECH NEWS CENTER a. s.</v>
      </c>
      <c r="C822" s="3" t="str">
        <f ca="1">IFERROR(__xludf.DUMMYFUNCTION("""COMPUTED_VALUE"""),"Moje zdraví")</f>
        <v>Moje zdraví</v>
      </c>
      <c r="D822" s="4" t="str">
        <f ca="1">IFERROR(__xludf.DUMMYFUNCTION("""COMPUTED_VALUE"""),"https://mojezdravi.cz")</f>
        <v>https://mojezdravi.cz</v>
      </c>
      <c r="E822" s="3" t="str">
        <f ca="1">IFERROR(__xludf.DUMMYFUNCTION("""COMPUTED_VALUE"""),"celý web")</f>
        <v>celý web</v>
      </c>
      <c r="F822" s="4" t="str">
        <f ca="1">IFERROR(__xludf.DUMMYFUNCTION("""COMPUTED_VALUE"""),"https://mojezdravi.cz")</f>
        <v>https://mojezdravi.cz</v>
      </c>
      <c r="G822" s="3" t="str">
        <f ca="1">IFERROR(__xludf.DUMMYFUNCTION("""COMPUTED_VALUE"""),"cílený billboard bottom low season")</f>
        <v>cílený billboard bottom low season</v>
      </c>
      <c r="H822" s="3">
        <f ca="1">IFERROR(__xludf.DUMMYFUNCTION("""COMPUTED_VALUE"""),7)</f>
        <v>7</v>
      </c>
      <c r="I822" s="5">
        <f ca="1">IFERROR(__xludf.DUMMYFUNCTION("""COMPUTED_VALUE"""),1000)</f>
        <v>1000</v>
      </c>
      <c r="J822" s="5">
        <f ca="1">IFERROR(__xludf.DUMMYFUNCTION("""COMPUTED_VALUE"""),288)</f>
        <v>288</v>
      </c>
      <c r="K822" s="3"/>
      <c r="L822" s="3" t="str">
        <f ca="1">IFERROR(__xludf.DUMMYFUNCTION("""COMPUTED_VALUE"""),"Cost per period")</f>
        <v>Cost per period</v>
      </c>
      <c r="M822" s="3"/>
      <c r="N822" s="3"/>
      <c r="O822" s="3" t="str">
        <f ca="1">IFERROR(__xludf.DUMMYFUNCTION("""COMPUTED_VALUE"""),"970")</f>
        <v>970</v>
      </c>
      <c r="P822" s="3" t="str">
        <f ca="1">IFERROR(__xludf.DUMMYFUNCTION("""COMPUTED_VALUE"""),"250")</f>
        <v>250</v>
      </c>
      <c r="Q822" s="3" t="str">
        <f ca="1">IFERROR(__xludf.DUMMYFUNCTION("""COMPUTED_VALUE"""),"970x250")</f>
        <v>970x250</v>
      </c>
      <c r="R822" s="3"/>
      <c r="S822" s="3" t="str">
        <f ca="1">IFERROR(__xludf.DUMMYFUNCTION("""COMPUTED_VALUE"""),"100 (200 - HTML5)")</f>
        <v>100 (200 - HTML5)</v>
      </c>
      <c r="T822" s="3"/>
      <c r="U822" s="3" t="str">
        <f ca="1">IFERROR(__xludf.DUMMYFUNCTION("""COMPUTED_VALUE"""),"banner standard")</f>
        <v>banner standard</v>
      </c>
      <c r="V822" s="3"/>
      <c r="W822" s="4" t="str">
        <f ca="1">IFERROR(__xludf.DUMMYFUNCTION("""COMPUTED_VALUE"""),"https://reklama.cncenter.cz/Online/billboard-bottom")</f>
        <v>https://reklama.cncenter.cz/Online/billboard-bottom</v>
      </c>
      <c r="X822" s="3"/>
      <c r="Y822" s="3"/>
      <c r="Z822" s="3" t="str">
        <f ca="1">IFERROR(__xludf.DUMMYFUNCTION("""COMPUTED_VALUE"""),"podklady@cncenter.cz")</f>
        <v>podklady@cncenter.cz</v>
      </c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 t="str">
        <f ca="1">IFERROR(__xludf.DUMMYFUNCTION("""COMPUTED_VALUE"""),"desktop")</f>
        <v>desktop</v>
      </c>
      <c r="AO822" s="3"/>
      <c r="AP822" s="3"/>
      <c r="AQ822" s="3"/>
      <c r="AR822" s="3"/>
      <c r="AS822" s="3"/>
      <c r="AT822" s="3"/>
      <c r="AU822" s="3" t="str">
        <f ca="1">IFERROR(__xludf.DUMMYFUNCTION("""COMPUTED_VALUE"""),"cílený billboard bottom")</f>
        <v>cílený billboard bottom</v>
      </c>
    </row>
    <row r="823" spans="1:47" x14ac:dyDescent="0.3">
      <c r="A823" s="3">
        <f ca="1"/>
        <v>2346826</v>
      </c>
      <c r="B823" s="3" t="str">
        <f ca="1"/>
        <v>CZECH NEWS CENTER a. s.</v>
      </c>
      <c r="C823" s="3" t="str">
        <f ca="1">IFERROR(__xludf.DUMMYFUNCTION("""COMPUTED_VALUE"""),"Moje zdraví")</f>
        <v>Moje zdraví</v>
      </c>
      <c r="D823" s="4" t="str">
        <f ca="1">IFERROR(__xludf.DUMMYFUNCTION("""COMPUTED_VALUE"""),"https://mojezdravi.cz")</f>
        <v>https://mojezdravi.cz</v>
      </c>
      <c r="E823" s="3" t="str">
        <f ca="1">IFERROR(__xludf.DUMMYFUNCTION("""COMPUTED_VALUE"""),"celý web")</f>
        <v>celý web</v>
      </c>
      <c r="F823" s="4" t="str">
        <f ca="1">IFERROR(__xludf.DUMMYFUNCTION("""COMPUTED_VALUE"""),"https://mojezdravi.cz")</f>
        <v>https://mojezdravi.cz</v>
      </c>
      <c r="G823" s="3" t="str">
        <f ca="1">IFERROR(__xludf.DUMMYFUNCTION("""COMPUTED_VALUE"""),"cílený branding cross-device low season")</f>
        <v>cílený branding cross-device low season</v>
      </c>
      <c r="H823" s="3">
        <f ca="1">IFERROR(__xludf.DUMMYFUNCTION("""COMPUTED_VALUE"""),7)</f>
        <v>7</v>
      </c>
      <c r="I823" s="5">
        <f ca="1">IFERROR(__xludf.DUMMYFUNCTION("""COMPUTED_VALUE"""),1000)</f>
        <v>1000</v>
      </c>
      <c r="J823" s="5">
        <f ca="1">IFERROR(__xludf.DUMMYFUNCTION("""COMPUTED_VALUE"""),360)</f>
        <v>360</v>
      </c>
      <c r="K823" s="3"/>
      <c r="L823" s="3" t="str">
        <f ca="1">IFERROR(__xludf.DUMMYFUNCTION("""COMPUTED_VALUE"""),"Cost per period")</f>
        <v>Cost per period</v>
      </c>
      <c r="M823" s="3"/>
      <c r="N823" s="3"/>
      <c r="O823" s="3" t="str">
        <f ca="1">IFERROR(__xludf.DUMMYFUNCTION("""COMPUTED_VALUE"""),"2000")</f>
        <v>2000</v>
      </c>
      <c r="P823" s="3" t="str">
        <f ca="1">IFERROR(__xludf.DUMMYFUNCTION("""COMPUTED_VALUE"""),"1400")</f>
        <v>1400</v>
      </c>
      <c r="Q823" s="3" t="str">
        <f ca="1">IFERROR(__xludf.DUMMYFUNCTION("""COMPUTED_VALUE"""),"2000x1400 + 600x1080")</f>
        <v>2000x1400 + 600x1080</v>
      </c>
      <c r="R823" s="3"/>
      <c r="S823" s="3" t="str">
        <f ca="1">IFERROR(__xludf.DUMMYFUNCTION("""COMPUTED_VALUE"""),"500 (600 - HTLM5)")</f>
        <v>500 (600 - HTLM5)</v>
      </c>
      <c r="T823" s="3"/>
      <c r="U823" s="3" t="str">
        <f ca="1">IFERROR(__xludf.DUMMYFUNCTION("""COMPUTED_VALUE"""),"banner standard")</f>
        <v>banner standard</v>
      </c>
      <c r="V823" s="3"/>
      <c r="W823" s="4" t="str">
        <f ca="1">IFERROR(__xludf.DUMMYFUNCTION("""COMPUTED_VALUE"""),"https://reklama.cncenter.cz/Online/branding-cross-device")</f>
        <v>https://reklama.cncenter.cz/Online/branding-cross-device</v>
      </c>
      <c r="X823" s="3"/>
      <c r="Y823" s="3"/>
      <c r="Z823" s="3" t="str">
        <f ca="1">IFERROR(__xludf.DUMMYFUNCTION("""COMPUTED_VALUE"""),"podklady@cncenter.cz")</f>
        <v>podklady@cncenter.cz</v>
      </c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 t="str">
        <f ca="1">IFERROR(__xludf.DUMMYFUNCTION("""COMPUTED_VALUE"""),"cross-device")</f>
        <v>cross-device</v>
      </c>
      <c r="AO823" s="3"/>
      <c r="AP823" s="3"/>
      <c r="AQ823" s="3"/>
      <c r="AR823" s="3"/>
      <c r="AS823" s="3"/>
      <c r="AT823" s="3"/>
      <c r="AU823" s="3" t="str">
        <f ca="1">IFERROR(__xludf.DUMMYFUNCTION("""COMPUTED_VALUE"""),"cílený branding cross-device")</f>
        <v>cílený branding cross-device</v>
      </c>
    </row>
    <row r="824" spans="1:47" x14ac:dyDescent="0.3">
      <c r="A824" s="3">
        <f ca="1"/>
        <v>2346826</v>
      </c>
      <c r="B824" s="3" t="str">
        <f ca="1"/>
        <v>CZECH NEWS CENTER a. s.</v>
      </c>
      <c r="C824" s="3" t="str">
        <f ca="1">IFERROR(__xludf.DUMMYFUNCTION("""COMPUTED_VALUE"""),"Moje zdraví")</f>
        <v>Moje zdraví</v>
      </c>
      <c r="D824" s="4" t="str">
        <f ca="1">IFERROR(__xludf.DUMMYFUNCTION("""COMPUTED_VALUE"""),"https://mojezdravi.cz")</f>
        <v>https://mojezdravi.cz</v>
      </c>
      <c r="E824" s="3" t="str">
        <f ca="1">IFERROR(__xludf.DUMMYFUNCTION("""COMPUTED_VALUE"""),"celý web")</f>
        <v>celý web</v>
      </c>
      <c r="F824" s="4" t="str">
        <f ca="1">IFERROR(__xludf.DUMMYFUNCTION("""COMPUTED_VALUE"""),"https://mojezdravi.cz")</f>
        <v>https://mojezdravi.cz</v>
      </c>
      <c r="G824" s="3" t="str">
        <f ca="1">IFERROR(__xludf.DUMMYFUNCTION("""COMPUTED_VALUE"""),"cílený branding low season")</f>
        <v>cílený branding low season</v>
      </c>
      <c r="H824" s="3">
        <f ca="1">IFERROR(__xludf.DUMMYFUNCTION("""COMPUTED_VALUE"""),7)</f>
        <v>7</v>
      </c>
      <c r="I824" s="5">
        <f ca="1">IFERROR(__xludf.DUMMYFUNCTION("""COMPUTED_VALUE"""),1000)</f>
        <v>1000</v>
      </c>
      <c r="J824" s="5">
        <f ca="1">IFERROR(__xludf.DUMMYFUNCTION("""COMPUTED_VALUE"""),588)</f>
        <v>588</v>
      </c>
      <c r="K824" s="3"/>
      <c r="L824" s="3" t="str">
        <f ca="1">IFERROR(__xludf.DUMMYFUNCTION("""COMPUTED_VALUE"""),"Cost per period")</f>
        <v>Cost per period</v>
      </c>
      <c r="M824" s="3"/>
      <c r="N824" s="3"/>
      <c r="O824" s="3" t="str">
        <f ca="1">IFERROR(__xludf.DUMMYFUNCTION("""COMPUTED_VALUE"""),"2000")</f>
        <v>2000</v>
      </c>
      <c r="P824" s="3" t="str">
        <f ca="1">IFERROR(__xludf.DUMMYFUNCTION("""COMPUTED_VALUE"""),"1400")</f>
        <v>1400</v>
      </c>
      <c r="Q824" s="3" t="str">
        <f ca="1">IFERROR(__xludf.DUMMYFUNCTION("""COMPUTED_VALUE"""),"2000x1400")</f>
        <v>2000x1400</v>
      </c>
      <c r="R824" s="3"/>
      <c r="S824" s="3" t="str">
        <f ca="1">IFERROR(__xludf.DUMMYFUNCTION("""COMPUTED_VALUE"""),"500 + 200 (600+200 HTML5)")</f>
        <v>500 + 200 (600+200 HTML5)</v>
      </c>
      <c r="T824" s="3"/>
      <c r="U824" s="3" t="str">
        <f ca="1">IFERROR(__xludf.DUMMYFUNCTION("""COMPUTED_VALUE"""),"banner standard")</f>
        <v>banner standard</v>
      </c>
      <c r="V824" s="3"/>
      <c r="W824" s="4" t="str">
        <f ca="1">IFERROR(__xludf.DUMMYFUNCTION("""COMPUTED_VALUE"""),"https://reklama.cncenter.cz/Online/branding")</f>
        <v>https://reklama.cncenter.cz/Online/branding</v>
      </c>
      <c r="X824" s="3"/>
      <c r="Y824" s="3"/>
      <c r="Z824" s="3" t="str">
        <f ca="1">IFERROR(__xludf.DUMMYFUNCTION("""COMPUTED_VALUE"""),"podklady@cncenter.cz")</f>
        <v>podklady@cncenter.cz</v>
      </c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 t="str">
        <f ca="1">IFERROR(__xludf.DUMMYFUNCTION("""COMPUTED_VALUE"""),"desktop")</f>
        <v>desktop</v>
      </c>
      <c r="AO824" s="3"/>
      <c r="AP824" s="3"/>
      <c r="AQ824" s="3"/>
      <c r="AR824" s="3"/>
      <c r="AS824" s="3"/>
      <c r="AT824" s="3"/>
      <c r="AU824" s="3" t="str">
        <f ca="1">IFERROR(__xludf.DUMMYFUNCTION("""COMPUTED_VALUE"""),"cílený branding")</f>
        <v>cílený branding</v>
      </c>
    </row>
    <row r="825" spans="1:47" x14ac:dyDescent="0.3">
      <c r="A825" s="3">
        <f ca="1"/>
        <v>2346826</v>
      </c>
      <c r="B825" s="3" t="str">
        <f ca="1"/>
        <v>CZECH NEWS CENTER a. s.</v>
      </c>
      <c r="C825" s="3" t="str">
        <f ca="1">IFERROR(__xludf.DUMMYFUNCTION("""COMPUTED_VALUE"""),"Moje zdraví")</f>
        <v>Moje zdraví</v>
      </c>
      <c r="D825" s="4" t="str">
        <f ca="1">IFERROR(__xludf.DUMMYFUNCTION("""COMPUTED_VALUE"""),"https://mojezdravi.cz")</f>
        <v>https://mojezdravi.cz</v>
      </c>
      <c r="E825" s="3" t="str">
        <f ca="1">IFERROR(__xludf.DUMMYFUNCTION("""COMPUTED_VALUE"""),"celý web")</f>
        <v>celý web</v>
      </c>
      <c r="F825" s="4" t="str">
        <f ca="1">IFERROR(__xludf.DUMMYFUNCTION("""COMPUTED_VALUE"""),"https://mojezdravi.cz")</f>
        <v>https://mojezdravi.cz</v>
      </c>
      <c r="G825" s="3" t="str">
        <f ca="1">IFERROR(__xludf.DUMMYFUNCTION("""COMPUTED_VALUE"""),"cílený double skyscraper low season")</f>
        <v>cílený double skyscraper low season</v>
      </c>
      <c r="H825" s="3">
        <f ca="1">IFERROR(__xludf.DUMMYFUNCTION("""COMPUTED_VALUE"""),7)</f>
        <v>7</v>
      </c>
      <c r="I825" s="5">
        <f ca="1">IFERROR(__xludf.DUMMYFUNCTION("""COMPUTED_VALUE"""),1000)</f>
        <v>1000</v>
      </c>
      <c r="J825" s="5">
        <f ca="1">IFERROR(__xludf.DUMMYFUNCTION("""COMPUTED_VALUE"""),228)</f>
        <v>228</v>
      </c>
      <c r="K825" s="3"/>
      <c r="L825" s="3" t="str">
        <f ca="1">IFERROR(__xludf.DUMMYFUNCTION("""COMPUTED_VALUE"""),"Cost per period")</f>
        <v>Cost per period</v>
      </c>
      <c r="M825" s="3"/>
      <c r="N825" s="3"/>
      <c r="O825" s="3" t="str">
        <f ca="1">IFERROR(__xludf.DUMMYFUNCTION("""COMPUTED_VALUE"""),"300")</f>
        <v>300</v>
      </c>
      <c r="P825" s="3" t="str">
        <f ca="1">IFERROR(__xludf.DUMMYFUNCTION("""COMPUTED_VALUE"""),"600")</f>
        <v>600</v>
      </c>
      <c r="Q825" s="3" t="str">
        <f ca="1">IFERROR(__xludf.DUMMYFUNCTION("""COMPUTED_VALUE"""),"300x600")</f>
        <v>300x600</v>
      </c>
      <c r="R825" s="3"/>
      <c r="S825" s="3" t="str">
        <f ca="1">IFERROR(__xludf.DUMMYFUNCTION("""COMPUTED_VALUE"""),"100 (200 - HTML5)")</f>
        <v>100 (200 - HTML5)</v>
      </c>
      <c r="T825" s="3"/>
      <c r="U825" s="3" t="str">
        <f ca="1">IFERROR(__xludf.DUMMYFUNCTION("""COMPUTED_VALUE"""),"banner standard")</f>
        <v>banner standard</v>
      </c>
      <c r="V825" s="3"/>
      <c r="W825" s="4" t="str">
        <f ca="1">IFERROR(__xludf.DUMMYFUNCTION("""COMPUTED_VALUE"""),"https://reklama.cncenter.cz/Online/double-skyscraper")</f>
        <v>https://reklama.cncenter.cz/Online/double-skyscraper</v>
      </c>
      <c r="X825" s="3"/>
      <c r="Y825" s="3"/>
      <c r="Z825" s="3" t="str">
        <f ca="1">IFERROR(__xludf.DUMMYFUNCTION("""COMPUTED_VALUE"""),"podklady@cncenter.cz")</f>
        <v>podklady@cncenter.cz</v>
      </c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 t="str">
        <f ca="1">IFERROR(__xludf.DUMMYFUNCTION("""COMPUTED_VALUE"""),"desktop")</f>
        <v>desktop</v>
      </c>
      <c r="AO825" s="3"/>
      <c r="AP825" s="3"/>
      <c r="AQ825" s="3"/>
      <c r="AR825" s="3"/>
      <c r="AS825" s="3"/>
      <c r="AT825" s="3"/>
      <c r="AU825" s="3" t="str">
        <f ca="1">IFERROR(__xludf.DUMMYFUNCTION("""COMPUTED_VALUE"""),"cílený double skyscraper")</f>
        <v>cílený double skyscraper</v>
      </c>
    </row>
    <row r="826" spans="1:47" x14ac:dyDescent="0.3">
      <c r="A826" s="3">
        <f ca="1"/>
        <v>2346826</v>
      </c>
      <c r="B826" s="3" t="str">
        <f ca="1"/>
        <v>CZECH NEWS CENTER a. s.</v>
      </c>
      <c r="C826" s="3" t="str">
        <f ca="1">IFERROR(__xludf.DUMMYFUNCTION("""COMPUTED_VALUE"""),"Moje zdraví")</f>
        <v>Moje zdraví</v>
      </c>
      <c r="D826" s="4" t="str">
        <f ca="1">IFERROR(__xludf.DUMMYFUNCTION("""COMPUTED_VALUE"""),"https://mojezdravi.cz")</f>
        <v>https://mojezdravi.cz</v>
      </c>
      <c r="E826" s="3" t="str">
        <f ca="1">IFERROR(__xludf.DUMMYFUNCTION("""COMPUTED_VALUE"""),"celý web")</f>
        <v>celý web</v>
      </c>
      <c r="F826" s="4" t="str">
        <f ca="1">IFERROR(__xludf.DUMMYFUNCTION("""COMPUTED_VALUE"""),"https://mojezdravi.cz")</f>
        <v>https://mojezdravi.cz</v>
      </c>
      <c r="G826" s="3" t="str">
        <f ca="1">IFERROR(__xludf.DUMMYFUNCTION("""COMPUTED_VALUE"""),"cílený mini videospot - max. 30 sec. low season")</f>
        <v>cílený mini videospot - max. 30 sec. low season</v>
      </c>
      <c r="H826" s="3">
        <f ca="1">IFERROR(__xludf.DUMMYFUNCTION("""COMPUTED_VALUE"""),7)</f>
        <v>7</v>
      </c>
      <c r="I826" s="5">
        <f ca="1">IFERROR(__xludf.DUMMYFUNCTION("""COMPUTED_VALUE"""),1000)</f>
        <v>1000</v>
      </c>
      <c r="J826" s="5">
        <f ca="1">IFERROR(__xludf.DUMMYFUNCTION("""COMPUTED_VALUE"""),168)</f>
        <v>168</v>
      </c>
      <c r="K826" s="3"/>
      <c r="L826" s="3" t="str">
        <f ca="1">IFERROR(__xludf.DUMMYFUNCTION("""COMPUTED_VALUE"""),"Cost per period")</f>
        <v>Cost per period</v>
      </c>
      <c r="M826" s="3"/>
      <c r="N826" s="3"/>
      <c r="O826" s="3"/>
      <c r="P826" s="3"/>
      <c r="Q826" s="3" t="str">
        <f ca="1">IFERROR(__xludf.DUMMYFUNCTION("""COMPUTED_VALUE"""),"16:9 / umístění po domluvě dle možností")</f>
        <v>16:9 / umístění po domluvě dle možností</v>
      </c>
      <c r="R826" s="3" t="str">
        <f ca="1">IFERROR(__xludf.DUMMYFUNCTION("""COMPUTED_VALUE"""),"přeskočení po 7 sekundách")</f>
        <v>přeskočení po 7 sekundách</v>
      </c>
      <c r="S826" s="3" t="str">
        <f ca="1">IFERROR(__xludf.DUMMYFUNCTION("""COMPUTED_VALUE"""),"100")</f>
        <v>100</v>
      </c>
      <c r="T826" s="3"/>
      <c r="U826" s="3" t="str">
        <f ca="1">IFERROR(__xludf.DUMMYFUNCTION("""COMPUTED_VALUE"""),"videospot")</f>
        <v>videospot</v>
      </c>
      <c r="V826" s="3"/>
      <c r="W826" s="4" t="str">
        <f ca="1">IFERROR(__xludf.DUMMYFUNCTION("""COMPUTED_VALUE"""),"https://reklama.cncenter.cz/Online/Videospot")</f>
        <v>https://reklama.cncenter.cz/Online/Videospot</v>
      </c>
      <c r="X826" s="3"/>
      <c r="Y826" s="3"/>
      <c r="Z826" s="3" t="str">
        <f ca="1">IFERROR(__xludf.DUMMYFUNCTION("""COMPUTED_VALUE"""),"podklady@cncenter.cz")</f>
        <v>podklady@cncenter.cz</v>
      </c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 t="str">
        <f ca="1">IFERROR(__xludf.DUMMYFUNCTION("""COMPUTED_VALUE"""),"desktop")</f>
        <v>desktop</v>
      </c>
      <c r="AO826" s="3"/>
      <c r="AP826" s="3"/>
      <c r="AQ826" s="3"/>
      <c r="AR826" s="3"/>
      <c r="AS826" s="3"/>
      <c r="AT826" s="3"/>
      <c r="AU826" s="3" t="str">
        <f ca="1">IFERROR(__xludf.DUMMYFUNCTION("""COMPUTED_VALUE"""),"cílený mini videospot - max. 30 sec.")</f>
        <v>cílený mini videospot - max. 30 sec.</v>
      </c>
    </row>
    <row r="827" spans="1:47" x14ac:dyDescent="0.3">
      <c r="A827" s="3">
        <f ca="1"/>
        <v>2346826</v>
      </c>
      <c r="B827" s="3" t="str">
        <f ca="1"/>
        <v>CZECH NEWS CENTER a. s.</v>
      </c>
      <c r="C827" s="3" t="str">
        <f ca="1">IFERROR(__xludf.DUMMYFUNCTION("""COMPUTED_VALUE"""),"Moje zdraví")</f>
        <v>Moje zdraví</v>
      </c>
      <c r="D827" s="4" t="str">
        <f ca="1">IFERROR(__xludf.DUMMYFUNCTION("""COMPUTED_VALUE"""),"https://mojezdravi.cz")</f>
        <v>https://mojezdravi.cz</v>
      </c>
      <c r="E827" s="3" t="str">
        <f ca="1">IFERROR(__xludf.DUMMYFUNCTION("""COMPUTED_VALUE"""),"celý web")</f>
        <v>celý web</v>
      </c>
      <c r="F827" s="4" t="str">
        <f ca="1">IFERROR(__xludf.DUMMYFUNCTION("""COMPUTED_VALUE"""),"https://mojezdravi.cz")</f>
        <v>https://mojezdravi.cz</v>
      </c>
      <c r="G827" s="3" t="str">
        <f ca="1">IFERROR(__xludf.DUMMYFUNCTION("""COMPUTED_VALUE"""),"cílený mobilní interscroller low season")</f>
        <v>cílený mobilní interscroller low season</v>
      </c>
      <c r="H827" s="3">
        <f ca="1">IFERROR(__xludf.DUMMYFUNCTION("""COMPUTED_VALUE"""),7)</f>
        <v>7</v>
      </c>
      <c r="I827" s="5">
        <f ca="1">IFERROR(__xludf.DUMMYFUNCTION("""COMPUTED_VALUE"""),1000)</f>
        <v>1000</v>
      </c>
      <c r="J827" s="5">
        <f ca="1">IFERROR(__xludf.DUMMYFUNCTION("""COMPUTED_VALUE"""),300)</f>
        <v>300</v>
      </c>
      <c r="K827" s="3"/>
      <c r="L827" s="3" t="str">
        <f ca="1">IFERROR(__xludf.DUMMYFUNCTION("""COMPUTED_VALUE"""),"Cost per period")</f>
        <v>Cost per period</v>
      </c>
      <c r="M827" s="3"/>
      <c r="N827" s="3"/>
      <c r="O827" s="3" t="str">
        <f ca="1">IFERROR(__xludf.DUMMYFUNCTION("""COMPUTED_VALUE"""),"600")</f>
        <v>600</v>
      </c>
      <c r="P827" s="3" t="str">
        <f ca="1">IFERROR(__xludf.DUMMYFUNCTION("""COMPUTED_VALUE"""),"1080")</f>
        <v>1080</v>
      </c>
      <c r="Q827" s="3" t="str">
        <f ca="1">IFERROR(__xludf.DUMMYFUNCTION("""COMPUTED_VALUE"""),"600x1080")</f>
        <v>600x1080</v>
      </c>
      <c r="R827" s="3"/>
      <c r="S827" s="3" t="str">
        <f ca="1">IFERROR(__xludf.DUMMYFUNCTION("""COMPUTED_VALUE"""),"200")</f>
        <v>200</v>
      </c>
      <c r="T827" s="3"/>
      <c r="U827" s="3" t="str">
        <f ca="1">IFERROR(__xludf.DUMMYFUNCTION("""COMPUTED_VALUE"""),"banner standard")</f>
        <v>banner standard</v>
      </c>
      <c r="V827" s="3"/>
      <c r="W827" s="4" t="str">
        <f ca="1">IFERROR(__xludf.DUMMYFUNCTION("""COMPUTED_VALUE"""),"https://reklama.cncenter.cz/Online/mobilni-interscroller")</f>
        <v>https://reklama.cncenter.cz/Online/mobilni-interscroller</v>
      </c>
      <c r="X827" s="3"/>
      <c r="Y827" s="3"/>
      <c r="Z827" s="3" t="str">
        <f ca="1">IFERROR(__xludf.DUMMYFUNCTION("""COMPUTED_VALUE"""),"podklady@cncenter.cz")</f>
        <v>podklady@cncenter.cz</v>
      </c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 t="str">
        <f ca="1">IFERROR(__xludf.DUMMYFUNCTION("""COMPUTED_VALUE"""),"mobile")</f>
        <v>mobile</v>
      </c>
      <c r="AO827" s="3"/>
      <c r="AP827" s="3"/>
      <c r="AQ827" s="3"/>
      <c r="AR827" s="3"/>
      <c r="AS827" s="3"/>
      <c r="AT827" s="3"/>
      <c r="AU827" s="3" t="str">
        <f ca="1">IFERROR(__xludf.DUMMYFUNCTION("""COMPUTED_VALUE"""),"cílený mobilní interscroller")</f>
        <v>cílený mobilní interscroller</v>
      </c>
    </row>
    <row r="828" spans="1:47" x14ac:dyDescent="0.3">
      <c r="A828" s="3">
        <f ca="1"/>
        <v>2346826</v>
      </c>
      <c r="B828" s="3" t="str">
        <f ca="1"/>
        <v>CZECH NEWS CENTER a. s.</v>
      </c>
      <c r="C828" s="3" t="str">
        <f ca="1">IFERROR(__xludf.DUMMYFUNCTION("""COMPUTED_VALUE"""),"Moje zdraví")</f>
        <v>Moje zdraví</v>
      </c>
      <c r="D828" s="4" t="str">
        <f ca="1">IFERROR(__xludf.DUMMYFUNCTION("""COMPUTED_VALUE"""),"https://mojezdravi.cz")</f>
        <v>https://mojezdravi.cz</v>
      </c>
      <c r="E828" s="3" t="str">
        <f ca="1">IFERROR(__xludf.DUMMYFUNCTION("""COMPUTED_VALUE"""),"celý web")</f>
        <v>celý web</v>
      </c>
      <c r="F828" s="4" t="str">
        <f ca="1">IFERROR(__xludf.DUMMYFUNCTION("""COMPUTED_VALUE"""),"https://mojezdravi.cz")</f>
        <v>https://mojezdravi.cz</v>
      </c>
      <c r="G828" s="3" t="str">
        <f ca="1">IFERROR(__xludf.DUMMYFUNCTION("""COMPUTED_VALUE"""),"cílený mobilní slide-up low season")</f>
        <v>cílený mobilní slide-up low season</v>
      </c>
      <c r="H828" s="3">
        <f ca="1">IFERROR(__xludf.DUMMYFUNCTION("""COMPUTED_VALUE"""),7)</f>
        <v>7</v>
      </c>
      <c r="I828" s="5">
        <f ca="1">IFERROR(__xludf.DUMMYFUNCTION("""COMPUTED_VALUE"""),1000)</f>
        <v>1000</v>
      </c>
      <c r="J828" s="5">
        <f ca="1">IFERROR(__xludf.DUMMYFUNCTION("""COMPUTED_VALUE"""),612)</f>
        <v>612</v>
      </c>
      <c r="K828" s="3"/>
      <c r="L828" s="3" t="str">
        <f ca="1">IFERROR(__xludf.DUMMYFUNCTION("""COMPUTED_VALUE"""),"Cost per period")</f>
        <v>Cost per period</v>
      </c>
      <c r="M828" s="3"/>
      <c r="N828" s="3"/>
      <c r="O828" s="3" t="str">
        <f ca="1">IFERROR(__xludf.DUMMYFUNCTION("""COMPUTED_VALUE"""),"300")</f>
        <v>300</v>
      </c>
      <c r="P828" s="3" t="str">
        <f ca="1">IFERROR(__xludf.DUMMYFUNCTION("""COMPUTED_VALUE"""),"120")</f>
        <v>120</v>
      </c>
      <c r="Q828" s="3" t="str">
        <f ca="1">IFERROR(__xludf.DUMMYFUNCTION("""COMPUTED_VALUE"""),"300x120")</f>
        <v>300x120</v>
      </c>
      <c r="R828" s="3"/>
      <c r="S828" s="3" t="str">
        <f ca="1">IFERROR(__xludf.DUMMYFUNCTION("""COMPUTED_VALUE"""),"100")</f>
        <v>100</v>
      </c>
      <c r="T828" s="3"/>
      <c r="U828" s="3" t="str">
        <f ca="1">IFERROR(__xludf.DUMMYFUNCTION("""COMPUTED_VALUE"""),"banner standard")</f>
        <v>banner standard</v>
      </c>
      <c r="V828" s="3"/>
      <c r="W828" s="4" t="str">
        <f ca="1">IFERROR(__xludf.DUMMYFUNCTION("""COMPUTED_VALUE"""),"https://reklama.cncenter.cz/Online/mobilni-slide-up")</f>
        <v>https://reklama.cncenter.cz/Online/mobilni-slide-up</v>
      </c>
      <c r="X828" s="3"/>
      <c r="Y828" s="3"/>
      <c r="Z828" s="3" t="str">
        <f ca="1">IFERROR(__xludf.DUMMYFUNCTION("""COMPUTED_VALUE"""),"podklady@cncenter.cz")</f>
        <v>podklady@cncenter.cz</v>
      </c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 t="str">
        <f ca="1">IFERROR(__xludf.DUMMYFUNCTION("""COMPUTED_VALUE"""),"mobile")</f>
        <v>mobile</v>
      </c>
      <c r="AO828" s="3"/>
      <c r="AP828" s="3"/>
      <c r="AQ828" s="3"/>
      <c r="AR828" s="3"/>
      <c r="AS828" s="3"/>
      <c r="AT828" s="3"/>
      <c r="AU828" s="3" t="str">
        <f ca="1">IFERROR(__xludf.DUMMYFUNCTION("""COMPUTED_VALUE"""),"cílený mobilní slide-up")</f>
        <v>cílený mobilní slide-up</v>
      </c>
    </row>
    <row r="829" spans="1:47" x14ac:dyDescent="0.3">
      <c r="A829" s="3">
        <f ca="1"/>
        <v>2346826</v>
      </c>
      <c r="B829" s="3" t="str">
        <f ca="1"/>
        <v>CZECH NEWS CENTER a. s.</v>
      </c>
      <c r="C829" s="3" t="str">
        <f ca="1">IFERROR(__xludf.DUMMYFUNCTION("""COMPUTED_VALUE"""),"Moje zdraví")</f>
        <v>Moje zdraví</v>
      </c>
      <c r="D829" s="4" t="str">
        <f ca="1">IFERROR(__xludf.DUMMYFUNCTION("""COMPUTED_VALUE"""),"https://mojezdravi.cz")</f>
        <v>https://mojezdravi.cz</v>
      </c>
      <c r="E829" s="3" t="str">
        <f ca="1">IFERROR(__xludf.DUMMYFUNCTION("""COMPUTED_VALUE"""),"celý web")</f>
        <v>celý web</v>
      </c>
      <c r="F829" s="4" t="str">
        <f ca="1">IFERROR(__xludf.DUMMYFUNCTION("""COMPUTED_VALUE"""),"https://mojezdravi.cz")</f>
        <v>https://mojezdravi.cz</v>
      </c>
      <c r="G829" s="3" t="str">
        <f ca="1">IFERROR(__xludf.DUMMYFUNCTION("""COMPUTED_VALUE"""),"cílený mobilní viněta low season")</f>
        <v>cílený mobilní viněta low season</v>
      </c>
      <c r="H829" s="3">
        <f ca="1">IFERROR(__xludf.DUMMYFUNCTION("""COMPUTED_VALUE"""),7)</f>
        <v>7</v>
      </c>
      <c r="I829" s="5">
        <f ca="1">IFERROR(__xludf.DUMMYFUNCTION("""COMPUTED_VALUE"""),1000)</f>
        <v>1000</v>
      </c>
      <c r="J829" s="5">
        <f ca="1">IFERROR(__xludf.DUMMYFUNCTION("""COMPUTED_VALUE"""),1056)</f>
        <v>1056</v>
      </c>
      <c r="K829" s="3"/>
      <c r="L829" s="3" t="str">
        <f ca="1">IFERROR(__xludf.DUMMYFUNCTION("""COMPUTED_VALUE"""),"Cost per period")</f>
        <v>Cost per period</v>
      </c>
      <c r="M829" s="3"/>
      <c r="N829" s="3"/>
      <c r="O829" s="3" t="str">
        <f ca="1">IFERROR(__xludf.DUMMYFUNCTION("""COMPUTED_VALUE"""),"600")</f>
        <v>600</v>
      </c>
      <c r="P829" s="3" t="str">
        <f ca="1">IFERROR(__xludf.DUMMYFUNCTION("""COMPUTED_VALUE"""),"800")</f>
        <v>800</v>
      </c>
      <c r="Q829" s="3" t="str">
        <f ca="1">IFERROR(__xludf.DUMMYFUNCTION("""COMPUTED_VALUE"""),"300x250 nebo 600x800")</f>
        <v>300x250 nebo 600x800</v>
      </c>
      <c r="R829" s="3"/>
      <c r="S829" s="3" t="str">
        <f ca="1">IFERROR(__xludf.DUMMYFUNCTION("""COMPUTED_VALUE"""),"100")</f>
        <v>100</v>
      </c>
      <c r="T829" s="3"/>
      <c r="U829" s="3" t="str">
        <f ca="1">IFERROR(__xludf.DUMMYFUNCTION("""COMPUTED_VALUE"""),"banner standard")</f>
        <v>banner standard</v>
      </c>
      <c r="V829" s="3"/>
      <c r="W829" s="4" t="str">
        <f ca="1">IFERROR(__xludf.DUMMYFUNCTION("""COMPUTED_VALUE"""),"https://reklama.cncenter.cz/Online/mobilni-vineta")</f>
        <v>https://reklama.cncenter.cz/Online/mobilni-vineta</v>
      </c>
      <c r="X829" s="3"/>
      <c r="Y829" s="3"/>
      <c r="Z829" s="3" t="str">
        <f ca="1">IFERROR(__xludf.DUMMYFUNCTION("""COMPUTED_VALUE"""),"podklady@cncenter.cz")</f>
        <v>podklady@cncenter.cz</v>
      </c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 t="str">
        <f ca="1">IFERROR(__xludf.DUMMYFUNCTION("""COMPUTED_VALUE"""),"mobile")</f>
        <v>mobile</v>
      </c>
      <c r="AO829" s="3"/>
      <c r="AP829" s="3"/>
      <c r="AQ829" s="3"/>
      <c r="AR829" s="3"/>
      <c r="AS829" s="3"/>
      <c r="AT829" s="3"/>
      <c r="AU829" s="3" t="str">
        <f ca="1">IFERROR(__xludf.DUMMYFUNCTION("""COMPUTED_VALUE"""),"cílený mobilní viněta")</f>
        <v>cílený mobilní viněta</v>
      </c>
    </row>
    <row r="830" spans="1:47" x14ac:dyDescent="0.3">
      <c r="A830" s="3">
        <f ca="1"/>
        <v>2346826</v>
      </c>
      <c r="B830" s="3" t="str">
        <f ca="1"/>
        <v>CZECH NEWS CENTER a. s.</v>
      </c>
      <c r="C830" s="3" t="str">
        <f ca="1">IFERROR(__xludf.DUMMYFUNCTION("""COMPUTED_VALUE"""),"Moje zdraví")</f>
        <v>Moje zdraví</v>
      </c>
      <c r="D830" s="4" t="str">
        <f ca="1">IFERROR(__xludf.DUMMYFUNCTION("""COMPUTED_VALUE"""),"https://mojezdravi.cz")</f>
        <v>https://mojezdravi.cz</v>
      </c>
      <c r="E830" s="3" t="str">
        <f ca="1">IFERROR(__xludf.DUMMYFUNCTION("""COMPUTED_VALUE"""),"celý web")</f>
        <v>celý web</v>
      </c>
      <c r="F830" s="4" t="str">
        <f ca="1">IFERROR(__xludf.DUMMYFUNCTION("""COMPUTED_VALUE"""),"https://mojezdravi.cz")</f>
        <v>https://mojezdravi.cz</v>
      </c>
      <c r="G830" s="3" t="str">
        <f ca="1">IFERROR(__xludf.DUMMYFUNCTION("""COMPUTED_VALUE"""),"cílený nativní rectangle cross-device low season")</f>
        <v>cílený nativní rectangle cross-device low season</v>
      </c>
      <c r="H830" s="3">
        <f ca="1">IFERROR(__xludf.DUMMYFUNCTION("""COMPUTED_VALUE"""),7)</f>
        <v>7</v>
      </c>
      <c r="I830" s="5">
        <f ca="1">IFERROR(__xludf.DUMMYFUNCTION("""COMPUTED_VALUE"""),1000)</f>
        <v>1000</v>
      </c>
      <c r="J830" s="5">
        <f ca="1">IFERROR(__xludf.DUMMYFUNCTION("""COMPUTED_VALUE"""),240)</f>
        <v>240</v>
      </c>
      <c r="K830" s="3"/>
      <c r="L830" s="3" t="str">
        <f ca="1">IFERROR(__xludf.DUMMYFUNCTION("""COMPUTED_VALUE"""),"Cost per period")</f>
        <v>Cost per period</v>
      </c>
      <c r="M830" s="3"/>
      <c r="N830" s="3"/>
      <c r="O830" s="3" t="str">
        <f ca="1">IFERROR(__xludf.DUMMYFUNCTION("""COMPUTED_VALUE"""),"640")</f>
        <v>640</v>
      </c>
      <c r="P830" s="3" t="str">
        <f ca="1">IFERROR(__xludf.DUMMYFUNCTION("""COMPUTED_VALUE"""),"335, 640")</f>
        <v>335, 640</v>
      </c>
      <c r="Q830" s="3" t="str">
        <f ca="1">IFERROR(__xludf.DUMMYFUNCTION("""COMPUTED_VALUE"""),"640x640 a 640x335 + text + logo")</f>
        <v>640x640 a 640x335 + text + logo</v>
      </c>
      <c r="R830" s="3"/>
      <c r="S830" s="3" t="str">
        <f ca="1">IFERROR(__xludf.DUMMYFUNCTION("""COMPUTED_VALUE"""),"45")</f>
        <v>45</v>
      </c>
      <c r="T830" s="3"/>
      <c r="U830" s="3" t="str">
        <f ca="1">IFERROR(__xludf.DUMMYFUNCTION("""COMPUTED_VALUE"""),"nativní reklama")</f>
        <v>nativní reklama</v>
      </c>
      <c r="V830" s="3"/>
      <c r="W830" s="4" t="str">
        <f ca="1">IFERROR(__xludf.DUMMYFUNCTION("""COMPUTED_VALUE"""),"https://reklama.cncenter.cz/Online/nativni-rectangle-cross-device")</f>
        <v>https://reklama.cncenter.cz/Online/nativni-rectangle-cross-device</v>
      </c>
      <c r="X830" s="3"/>
      <c r="Y830" s="3"/>
      <c r="Z830" s="3" t="str">
        <f ca="1">IFERROR(__xludf.DUMMYFUNCTION("""COMPUTED_VALUE"""),"podklady@cncenter.cz")</f>
        <v>podklady@cncenter.cz</v>
      </c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 t="str">
        <f ca="1">IFERROR(__xludf.DUMMYFUNCTION("""COMPUTED_VALUE"""),"cross-device")</f>
        <v>cross-device</v>
      </c>
      <c r="AO830" s="3"/>
      <c r="AP830" s="3"/>
      <c r="AQ830" s="3"/>
      <c r="AR830" s="3"/>
      <c r="AS830" s="3"/>
      <c r="AT830" s="3"/>
      <c r="AU830" s="3" t="str">
        <f ca="1">IFERROR(__xludf.DUMMYFUNCTION("""COMPUTED_VALUE"""),"cílený nativní rectangle cross-device")</f>
        <v>cílený nativní rectangle cross-device</v>
      </c>
    </row>
    <row r="831" spans="1:47" x14ac:dyDescent="0.3">
      <c r="A831" s="3">
        <f ca="1"/>
        <v>2346826</v>
      </c>
      <c r="B831" s="3" t="str">
        <f ca="1"/>
        <v>CZECH NEWS CENTER a. s.</v>
      </c>
      <c r="C831" s="3" t="str">
        <f ca="1">IFERROR(__xludf.DUMMYFUNCTION("""COMPUTED_VALUE"""),"Moje zdraví")</f>
        <v>Moje zdraví</v>
      </c>
      <c r="D831" s="4" t="str">
        <f ca="1">IFERROR(__xludf.DUMMYFUNCTION("""COMPUTED_VALUE"""),"https://mojezdravi.cz")</f>
        <v>https://mojezdravi.cz</v>
      </c>
      <c r="E831" s="3" t="str">
        <f ca="1">IFERROR(__xludf.DUMMYFUNCTION("""COMPUTED_VALUE"""),"celý web")</f>
        <v>celý web</v>
      </c>
      <c r="F831" s="4" t="str">
        <f ca="1">IFERROR(__xludf.DUMMYFUNCTION("""COMPUTED_VALUE"""),"https://mojezdravi.cz")</f>
        <v>https://mojezdravi.cz</v>
      </c>
      <c r="G831" s="3" t="str">
        <f ca="1">IFERROR(__xludf.DUMMYFUNCTION("""COMPUTED_VALUE"""),"cílený outstream low season")</f>
        <v>cílený outstream low season</v>
      </c>
      <c r="H831" s="3">
        <f ca="1">IFERROR(__xludf.DUMMYFUNCTION("""COMPUTED_VALUE"""),7)</f>
        <v>7</v>
      </c>
      <c r="I831" s="5">
        <f ca="1">IFERROR(__xludf.DUMMYFUNCTION("""COMPUTED_VALUE"""),1000)</f>
        <v>1000</v>
      </c>
      <c r="J831" s="5">
        <f ca="1">IFERROR(__xludf.DUMMYFUNCTION("""COMPUTED_VALUE"""),300)</f>
        <v>300</v>
      </c>
      <c r="K831" s="3"/>
      <c r="L831" s="3" t="str">
        <f ca="1">IFERROR(__xludf.DUMMYFUNCTION("""COMPUTED_VALUE"""),"Cost per period")</f>
        <v>Cost per period</v>
      </c>
      <c r="M831" s="3"/>
      <c r="N831" s="3"/>
      <c r="O831" s="3" t="str">
        <f ca="1">IFERROR(__xludf.DUMMYFUNCTION("""COMPUTED_VALUE"""),"1280")</f>
        <v>1280</v>
      </c>
      <c r="P831" s="3" t="str">
        <f ca="1">IFERROR(__xludf.DUMMYFUNCTION("""COMPUTED_VALUE"""),"720")</f>
        <v>720</v>
      </c>
      <c r="Q831" s="3" t="str">
        <f ca="1">IFERROR(__xludf.DUMMYFUNCTION("""COMPUTED_VALUE"""),"16:9")</f>
        <v>16:9</v>
      </c>
      <c r="R831" s="3"/>
      <c r="S831" s="3" t="str">
        <f ca="1">IFERROR(__xludf.DUMMYFUNCTION("""COMPUTED_VALUE"""),"100")</f>
        <v>100</v>
      </c>
      <c r="T831" s="3"/>
      <c r="U831" s="3" t="str">
        <f ca="1">IFERROR(__xludf.DUMMYFUNCTION("""COMPUTED_VALUE"""),"videospot")</f>
        <v>videospot</v>
      </c>
      <c r="V831" s="3"/>
      <c r="W831" s="4" t="str">
        <f ca="1">IFERROR(__xludf.DUMMYFUNCTION("""COMPUTED_VALUE"""),"https://reklama.cncenter.cz/Online/Outstream")</f>
        <v>https://reklama.cncenter.cz/Online/Outstream</v>
      </c>
      <c r="X831" s="3"/>
      <c r="Y831" s="3"/>
      <c r="Z831" s="3" t="str">
        <f ca="1">IFERROR(__xludf.DUMMYFUNCTION("""COMPUTED_VALUE"""),"podklady@cncenter.cz")</f>
        <v>podklady@cncenter.cz</v>
      </c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 t="str">
        <f ca="1">IFERROR(__xludf.DUMMYFUNCTION("""COMPUTED_VALUE"""),"cross-device")</f>
        <v>cross-device</v>
      </c>
      <c r="AO831" s="3"/>
      <c r="AP831" s="3"/>
      <c r="AQ831" s="3"/>
      <c r="AR831" s="3"/>
      <c r="AS831" s="3"/>
      <c r="AT831" s="3"/>
      <c r="AU831" s="3" t="str">
        <f ca="1">IFERROR(__xludf.DUMMYFUNCTION("""COMPUTED_VALUE"""),"cílený outstream")</f>
        <v>cílený outstream</v>
      </c>
    </row>
    <row r="832" spans="1:47" x14ac:dyDescent="0.3">
      <c r="A832" s="3">
        <f ca="1"/>
        <v>2346826</v>
      </c>
      <c r="B832" s="3" t="str">
        <f ca="1"/>
        <v>CZECH NEWS CENTER a. s.</v>
      </c>
      <c r="C832" s="3" t="str">
        <f ca="1">IFERROR(__xludf.DUMMYFUNCTION("""COMPUTED_VALUE"""),"Moje zdraví")</f>
        <v>Moje zdraví</v>
      </c>
      <c r="D832" s="4" t="str">
        <f ca="1">IFERROR(__xludf.DUMMYFUNCTION("""COMPUTED_VALUE"""),"https://mojezdravi.cz")</f>
        <v>https://mojezdravi.cz</v>
      </c>
      <c r="E832" s="3" t="str">
        <f ca="1">IFERROR(__xludf.DUMMYFUNCTION("""COMPUTED_VALUE"""),"celý web")</f>
        <v>celý web</v>
      </c>
      <c r="F832" s="4" t="str">
        <f ca="1">IFERROR(__xludf.DUMMYFUNCTION("""COMPUTED_VALUE"""),"https://mojezdravi.cz")</f>
        <v>https://mojezdravi.cz</v>
      </c>
      <c r="G832" s="3" t="str">
        <f ca="1">IFERROR(__xludf.DUMMYFUNCTION("""COMPUTED_VALUE"""),"cílený videospot - max. 30 sec. / bumper low season")</f>
        <v>cílený videospot - max. 30 sec. / bumper low season</v>
      </c>
      <c r="H832" s="3">
        <f ca="1">IFERROR(__xludf.DUMMYFUNCTION("""COMPUTED_VALUE"""),7)</f>
        <v>7</v>
      </c>
      <c r="I832" s="5">
        <f ca="1">IFERROR(__xludf.DUMMYFUNCTION("""COMPUTED_VALUE"""),1000)</f>
        <v>1000</v>
      </c>
      <c r="J832" s="5">
        <f ca="1">IFERROR(__xludf.DUMMYFUNCTION("""COMPUTED_VALUE"""),888)</f>
        <v>888</v>
      </c>
      <c r="K832" s="3"/>
      <c r="L832" s="3" t="str">
        <f ca="1">IFERROR(__xludf.DUMMYFUNCTION("""COMPUTED_VALUE"""),"Cost per period")</f>
        <v>Cost per period</v>
      </c>
      <c r="M832" s="3"/>
      <c r="N832" s="3"/>
      <c r="O832" s="3" t="str">
        <f ca="1">IFERROR(__xludf.DUMMYFUNCTION("""COMPUTED_VALUE"""),"1280")</f>
        <v>1280</v>
      </c>
      <c r="P832" s="3" t="str">
        <f ca="1">IFERROR(__xludf.DUMMYFUNCTION("""COMPUTED_VALUE"""),"720")</f>
        <v>720</v>
      </c>
      <c r="Q832" s="3" t="str">
        <f ca="1">IFERROR(__xludf.DUMMYFUNCTION("""COMPUTED_VALUE"""),"16:9 / umístění po domluvě dle možností")</f>
        <v>16:9 / umístění po domluvě dle možností</v>
      </c>
      <c r="R832" s="3" t="str">
        <f ca="1">IFERROR(__xludf.DUMMYFUNCTION("""COMPUTED_VALUE"""),"přeskočení po 7 sekundách")</f>
        <v>přeskočení po 7 sekundách</v>
      </c>
      <c r="S832" s="3" t="str">
        <f ca="1">IFERROR(__xludf.DUMMYFUNCTION("""COMPUTED_VALUE"""),"100")</f>
        <v>100</v>
      </c>
      <c r="T832" s="3"/>
      <c r="U832" s="3" t="str">
        <f ca="1">IFERROR(__xludf.DUMMYFUNCTION("""COMPUTED_VALUE"""),"videospot")</f>
        <v>videospot</v>
      </c>
      <c r="V832" s="3"/>
      <c r="W832" s="4" t="str">
        <f ca="1">IFERROR(__xludf.DUMMYFUNCTION("""COMPUTED_VALUE"""),"https://reklama.cncenter.cz/Online/Bumper")</f>
        <v>https://reklama.cncenter.cz/Online/Bumper</v>
      </c>
      <c r="X832" s="3"/>
      <c r="Y832" s="3"/>
      <c r="Z832" s="3" t="str">
        <f ca="1">IFERROR(__xludf.DUMMYFUNCTION("""COMPUTED_VALUE"""),"podklady@cncenter.cz")</f>
        <v>podklady@cncenter.cz</v>
      </c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 t="str">
        <f ca="1">IFERROR(__xludf.DUMMYFUNCTION("""COMPUTED_VALUE"""),"cross-device")</f>
        <v>cross-device</v>
      </c>
      <c r="AO832" s="3"/>
      <c r="AP832" s="3"/>
      <c r="AQ832" s="3"/>
      <c r="AR832" s="3"/>
      <c r="AS832" s="3"/>
      <c r="AT832" s="3"/>
      <c r="AU832" s="3" t="str">
        <f ca="1">IFERROR(__xludf.DUMMYFUNCTION("""COMPUTED_VALUE"""),"cílený videospot - max. 30 sec. / bumper")</f>
        <v>cílený videospot - max. 30 sec. / bumper</v>
      </c>
    </row>
    <row r="833" spans="1:47" x14ac:dyDescent="0.3">
      <c r="A833" s="3">
        <f ca="1"/>
        <v>2346826</v>
      </c>
      <c r="B833" s="3" t="str">
        <f ca="1"/>
        <v>CZECH NEWS CENTER a. s.</v>
      </c>
      <c r="C833" s="3" t="str">
        <f ca="1">IFERROR(__xludf.DUMMYFUNCTION("""COMPUTED_VALUE"""),"Moje zdraví")</f>
        <v>Moje zdraví</v>
      </c>
      <c r="D833" s="4" t="str">
        <f ca="1">IFERROR(__xludf.DUMMYFUNCTION("""COMPUTED_VALUE"""),"https://mojezdravi.cz")</f>
        <v>https://mojezdravi.cz</v>
      </c>
      <c r="E833" s="3" t="str">
        <f ca="1">IFERROR(__xludf.DUMMYFUNCTION("""COMPUTED_VALUE"""),"celý web")</f>
        <v>celý web</v>
      </c>
      <c r="F833" s="4" t="str">
        <f ca="1">IFERROR(__xludf.DUMMYFUNCTION("""COMPUTED_VALUE"""),"https://mojezdravi.cz")</f>
        <v>https://mojezdravi.cz</v>
      </c>
      <c r="G833" s="3" t="str">
        <f ca="1">IFERROR(__xludf.DUMMYFUNCTION("""COMPUTED_VALUE"""),"dokoupení proma o 2 týdny - 10 000 PV *** low season")</f>
        <v>dokoupení proma o 2 týdny - 10 000 PV *** low season</v>
      </c>
      <c r="H833" s="3">
        <f ca="1">IFERROR(__xludf.DUMMYFUNCTION("""COMPUTED_VALUE"""),1)</f>
        <v>1</v>
      </c>
      <c r="I833" s="5">
        <f ca="1">IFERROR(__xludf.DUMMYFUNCTION("""COMPUTED_VALUE"""),1)</f>
        <v>1</v>
      </c>
      <c r="J833" s="5">
        <f ca="1">IFERROR(__xludf.DUMMYFUNCTION("""COMPUTED_VALUE"""),60000)</f>
        <v>60000</v>
      </c>
      <c r="K833" s="3"/>
      <c r="L833" s="3" t="str">
        <f ca="1">IFERROR(__xludf.DUMMYFUNCTION("""COMPUTED_VALUE"""),"Cost per instance")</f>
        <v>Cost per instance</v>
      </c>
      <c r="M833" s="3"/>
      <c r="N833" s="3"/>
      <c r="O833" s="3"/>
      <c r="P833" s="3"/>
      <c r="Q833" s="3"/>
      <c r="R833" s="3"/>
      <c r="S833" s="3" t="str">
        <f ca="1">IFERROR(__xludf.DUMMYFUNCTION("""COMPUTED_VALUE"""),"100")</f>
        <v>100</v>
      </c>
      <c r="T833" s="3"/>
      <c r="U833" s="3" t="str">
        <f ca="1">IFERROR(__xludf.DUMMYFUNCTION("""COMPUTED_VALUE"""),"microsite")</f>
        <v>microsite</v>
      </c>
      <c r="V833" s="3"/>
      <c r="W833" s="3"/>
      <c r="X833" s="3"/>
      <c r="Y833" s="3"/>
      <c r="Z833" s="3" t="str">
        <f ca="1">IFERROR(__xludf.DUMMYFUNCTION("""COMPUTED_VALUE"""),"podklady@cncenter.cz")</f>
        <v>podklady@cncenter.cz</v>
      </c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 t="str">
        <f ca="1">IFERROR(__xludf.DUMMYFUNCTION("""COMPUTED_VALUE"""),"cross-device")</f>
        <v>cross-device</v>
      </c>
      <c r="AO833" s="3"/>
      <c r="AP833" s="3"/>
      <c r="AQ833" s="3"/>
      <c r="AR833" s="3"/>
      <c r="AS833" s="3"/>
      <c r="AT833" s="3"/>
      <c r="AU833" s="3" t="str">
        <f ca="1">IFERROR(__xludf.DUMMYFUNCTION("""COMPUTED_VALUE"""),"dokoupení proma o 2 týdny - 10 000 PV ***")</f>
        <v>dokoupení proma o 2 týdny - 10 000 PV ***</v>
      </c>
    </row>
    <row r="834" spans="1:47" x14ac:dyDescent="0.3">
      <c r="A834" s="3">
        <f ca="1"/>
        <v>2346826</v>
      </c>
      <c r="B834" s="3" t="str">
        <f ca="1"/>
        <v>CZECH NEWS CENTER a. s.</v>
      </c>
      <c r="C834" s="3" t="str">
        <f ca="1">IFERROR(__xludf.DUMMYFUNCTION("""COMPUTED_VALUE"""),"Moje zdraví")</f>
        <v>Moje zdraví</v>
      </c>
      <c r="D834" s="4" t="str">
        <f ca="1">IFERROR(__xludf.DUMMYFUNCTION("""COMPUTED_VALUE"""),"https://mojezdravi.cz")</f>
        <v>https://mojezdravi.cz</v>
      </c>
      <c r="E834" s="3" t="str">
        <f ca="1">IFERROR(__xludf.DUMMYFUNCTION("""COMPUTED_VALUE"""),"celý web")</f>
        <v>celý web</v>
      </c>
      <c r="F834" s="4" t="str">
        <f ca="1">IFERROR(__xludf.DUMMYFUNCTION("""COMPUTED_VALUE"""),"https://mojezdravi.cz")</f>
        <v>https://mojezdravi.cz</v>
      </c>
      <c r="G834" s="3" t="str">
        <f ca="1">IFERROR(__xludf.DUMMYFUNCTION("""COMPUTED_VALUE"""),"double skyscraper low season")</f>
        <v>double skyscraper low season</v>
      </c>
      <c r="H834" s="3">
        <f ca="1">IFERROR(__xludf.DUMMYFUNCTION("""COMPUTED_VALUE"""),7)</f>
        <v>7</v>
      </c>
      <c r="I834" s="5">
        <f ca="1">IFERROR(__xludf.DUMMYFUNCTION("""COMPUTED_VALUE"""),1000)</f>
        <v>1000</v>
      </c>
      <c r="J834" s="5">
        <f ca="1">IFERROR(__xludf.DUMMYFUNCTION("""COMPUTED_VALUE"""),190)</f>
        <v>190</v>
      </c>
      <c r="K834" s="3"/>
      <c r="L834" s="3" t="str">
        <f ca="1">IFERROR(__xludf.DUMMYFUNCTION("""COMPUTED_VALUE"""),"Cost per period")</f>
        <v>Cost per period</v>
      </c>
      <c r="M834" s="3"/>
      <c r="N834" s="3"/>
      <c r="O834" s="3" t="str">
        <f ca="1">IFERROR(__xludf.DUMMYFUNCTION("""COMPUTED_VALUE"""),"300")</f>
        <v>300</v>
      </c>
      <c r="P834" s="3" t="str">
        <f ca="1">IFERROR(__xludf.DUMMYFUNCTION("""COMPUTED_VALUE"""),"600")</f>
        <v>600</v>
      </c>
      <c r="Q834" s="3" t="str">
        <f ca="1">IFERROR(__xludf.DUMMYFUNCTION("""COMPUTED_VALUE"""),"300x600")</f>
        <v>300x600</v>
      </c>
      <c r="R834" s="3"/>
      <c r="S834" s="3" t="str">
        <f ca="1">IFERROR(__xludf.DUMMYFUNCTION("""COMPUTED_VALUE"""),"100 (200 - HTML5)")</f>
        <v>100 (200 - HTML5)</v>
      </c>
      <c r="T834" s="3"/>
      <c r="U834" s="3" t="str">
        <f ca="1">IFERROR(__xludf.DUMMYFUNCTION("""COMPUTED_VALUE"""),"banner standard")</f>
        <v>banner standard</v>
      </c>
      <c r="V834" s="3"/>
      <c r="W834" s="4" t="str">
        <f ca="1">IFERROR(__xludf.DUMMYFUNCTION("""COMPUTED_VALUE"""),"https://reklama.cncenter.cz/Online/double-skyscraper")</f>
        <v>https://reklama.cncenter.cz/Online/double-skyscraper</v>
      </c>
      <c r="X834" s="3"/>
      <c r="Y834" s="3"/>
      <c r="Z834" s="3" t="str">
        <f ca="1">IFERROR(__xludf.DUMMYFUNCTION("""COMPUTED_VALUE"""),"podklady@cncenter.cz")</f>
        <v>podklady@cncenter.cz</v>
      </c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 t="str">
        <f ca="1">IFERROR(__xludf.DUMMYFUNCTION("""COMPUTED_VALUE"""),"desktop")</f>
        <v>desktop</v>
      </c>
      <c r="AO834" s="3"/>
      <c r="AP834" s="3"/>
      <c r="AQ834" s="3"/>
      <c r="AR834" s="3"/>
      <c r="AS834" s="3"/>
      <c r="AT834" s="3"/>
      <c r="AU834" s="3" t="str">
        <f ca="1">IFERROR(__xludf.DUMMYFUNCTION("""COMPUTED_VALUE"""),"double skyscraper")</f>
        <v>double skyscraper</v>
      </c>
    </row>
    <row r="835" spans="1:47" x14ac:dyDescent="0.3">
      <c r="A835" s="3">
        <f ca="1"/>
        <v>2346826</v>
      </c>
      <c r="B835" s="3" t="str">
        <f ca="1"/>
        <v>CZECH NEWS CENTER a. s.</v>
      </c>
      <c r="C835" s="3" t="str">
        <f ca="1">IFERROR(__xludf.DUMMYFUNCTION("""COMPUTED_VALUE"""),"Moje zdraví")</f>
        <v>Moje zdraví</v>
      </c>
      <c r="D835" s="4" t="str">
        <f ca="1">IFERROR(__xludf.DUMMYFUNCTION("""COMPUTED_VALUE"""),"https://mojezdravi.cz")</f>
        <v>https://mojezdravi.cz</v>
      </c>
      <c r="E835" s="3" t="str">
        <f ca="1">IFERROR(__xludf.DUMMYFUNCTION("""COMPUTED_VALUE"""),"celý web")</f>
        <v>celý web</v>
      </c>
      <c r="F835" s="4" t="str">
        <f ca="1">IFERROR(__xludf.DUMMYFUNCTION("""COMPUTED_VALUE"""),"https://mojezdravi.cz")</f>
        <v>https://mojezdravi.cz</v>
      </c>
      <c r="G835" s="3" t="str">
        <f ca="1">IFERROR(__xludf.DUMMYFUNCTION("""COMPUTED_VALUE"""),"mini videospot - max. 30 sec. low season")</f>
        <v>mini videospot - max. 30 sec. low season</v>
      </c>
      <c r="H835" s="3">
        <f ca="1">IFERROR(__xludf.DUMMYFUNCTION("""COMPUTED_VALUE"""),7)</f>
        <v>7</v>
      </c>
      <c r="I835" s="5">
        <f ca="1">IFERROR(__xludf.DUMMYFUNCTION("""COMPUTED_VALUE"""),1000)</f>
        <v>1000</v>
      </c>
      <c r="J835" s="5">
        <f ca="1">IFERROR(__xludf.DUMMYFUNCTION("""COMPUTED_VALUE"""),140)</f>
        <v>140</v>
      </c>
      <c r="K835" s="3"/>
      <c r="L835" s="3" t="str">
        <f ca="1">IFERROR(__xludf.DUMMYFUNCTION("""COMPUTED_VALUE"""),"Cost per period")</f>
        <v>Cost per period</v>
      </c>
      <c r="M835" s="3"/>
      <c r="N835" s="3"/>
      <c r="O835" s="3"/>
      <c r="P835" s="3"/>
      <c r="Q835" s="3" t="str">
        <f ca="1">IFERROR(__xludf.DUMMYFUNCTION("""COMPUTED_VALUE"""),"16:9 / umístění po domluvě dle možností")</f>
        <v>16:9 / umístění po domluvě dle možností</v>
      </c>
      <c r="R835" s="3" t="str">
        <f ca="1">IFERROR(__xludf.DUMMYFUNCTION("""COMPUTED_VALUE"""),"přeskočení po 7 sekundách")</f>
        <v>přeskočení po 7 sekundách</v>
      </c>
      <c r="S835" s="3" t="str">
        <f ca="1">IFERROR(__xludf.DUMMYFUNCTION("""COMPUTED_VALUE"""),"100")</f>
        <v>100</v>
      </c>
      <c r="T835" s="3"/>
      <c r="U835" s="3" t="str">
        <f ca="1">IFERROR(__xludf.DUMMYFUNCTION("""COMPUTED_VALUE"""),"videospot")</f>
        <v>videospot</v>
      </c>
      <c r="V835" s="3"/>
      <c r="W835" s="4" t="str">
        <f ca="1">IFERROR(__xludf.DUMMYFUNCTION("""COMPUTED_VALUE"""),"https://reklama.cncenter.cz/Online/Videospot")</f>
        <v>https://reklama.cncenter.cz/Online/Videospot</v>
      </c>
      <c r="X835" s="3"/>
      <c r="Y835" s="3"/>
      <c r="Z835" s="3" t="str">
        <f ca="1">IFERROR(__xludf.DUMMYFUNCTION("""COMPUTED_VALUE"""),"podklady@cncenter.cz")</f>
        <v>podklady@cncenter.cz</v>
      </c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 t="str">
        <f ca="1">IFERROR(__xludf.DUMMYFUNCTION("""COMPUTED_VALUE"""),"desktop")</f>
        <v>desktop</v>
      </c>
      <c r="AO835" s="3"/>
      <c r="AP835" s="3"/>
      <c r="AQ835" s="3"/>
      <c r="AR835" s="3"/>
      <c r="AS835" s="3"/>
      <c r="AT835" s="3"/>
      <c r="AU835" s="3" t="str">
        <f ca="1">IFERROR(__xludf.DUMMYFUNCTION("""COMPUTED_VALUE"""),"mini videospot - max. 30 sec.")</f>
        <v>mini videospot - max. 30 sec.</v>
      </c>
    </row>
    <row r="836" spans="1:47" x14ac:dyDescent="0.3">
      <c r="A836" s="3">
        <f ca="1"/>
        <v>2346826</v>
      </c>
      <c r="B836" s="3" t="str">
        <f ca="1"/>
        <v>CZECH NEWS CENTER a. s.</v>
      </c>
      <c r="C836" s="3" t="str">
        <f ca="1">IFERROR(__xludf.DUMMYFUNCTION("""COMPUTED_VALUE"""),"Moje zdraví")</f>
        <v>Moje zdraví</v>
      </c>
      <c r="D836" s="4" t="str">
        <f ca="1">IFERROR(__xludf.DUMMYFUNCTION("""COMPUTED_VALUE"""),"https://mojezdravi.cz")</f>
        <v>https://mojezdravi.cz</v>
      </c>
      <c r="E836" s="3" t="str">
        <f ca="1">IFERROR(__xludf.DUMMYFUNCTION("""COMPUTED_VALUE"""),"celý web")</f>
        <v>celý web</v>
      </c>
      <c r="F836" s="4" t="str">
        <f ca="1">IFERROR(__xludf.DUMMYFUNCTION("""COMPUTED_VALUE"""),"https://mojezdravi.cz")</f>
        <v>https://mojezdravi.cz</v>
      </c>
      <c r="G836" s="3" t="str">
        <f ca="1">IFERROR(__xludf.DUMMYFUNCTION("""COMPUTED_VALUE"""),"mobilní interscroller low season")</f>
        <v>mobilní interscroller low season</v>
      </c>
      <c r="H836" s="3">
        <f ca="1">IFERROR(__xludf.DUMMYFUNCTION("""COMPUTED_VALUE"""),7)</f>
        <v>7</v>
      </c>
      <c r="I836" s="5">
        <f ca="1">IFERROR(__xludf.DUMMYFUNCTION("""COMPUTED_VALUE"""),1000)</f>
        <v>1000</v>
      </c>
      <c r="J836" s="5">
        <f ca="1">IFERROR(__xludf.DUMMYFUNCTION("""COMPUTED_VALUE"""),250)</f>
        <v>250</v>
      </c>
      <c r="K836" s="3"/>
      <c r="L836" s="3" t="str">
        <f ca="1">IFERROR(__xludf.DUMMYFUNCTION("""COMPUTED_VALUE"""),"Cost per period")</f>
        <v>Cost per period</v>
      </c>
      <c r="M836" s="3"/>
      <c r="N836" s="3"/>
      <c r="O836" s="3" t="str">
        <f ca="1">IFERROR(__xludf.DUMMYFUNCTION("""COMPUTED_VALUE"""),"600")</f>
        <v>600</v>
      </c>
      <c r="P836" s="3" t="str">
        <f ca="1">IFERROR(__xludf.DUMMYFUNCTION("""COMPUTED_VALUE"""),"1080")</f>
        <v>1080</v>
      </c>
      <c r="Q836" s="3" t="str">
        <f ca="1">IFERROR(__xludf.DUMMYFUNCTION("""COMPUTED_VALUE"""),"600x1080")</f>
        <v>600x1080</v>
      </c>
      <c r="R836" s="3"/>
      <c r="S836" s="3" t="str">
        <f ca="1">IFERROR(__xludf.DUMMYFUNCTION("""COMPUTED_VALUE"""),"200")</f>
        <v>200</v>
      </c>
      <c r="T836" s="3"/>
      <c r="U836" s="3" t="str">
        <f ca="1">IFERROR(__xludf.DUMMYFUNCTION("""COMPUTED_VALUE"""),"banner standard")</f>
        <v>banner standard</v>
      </c>
      <c r="V836" s="3"/>
      <c r="W836" s="4" t="str">
        <f ca="1">IFERROR(__xludf.DUMMYFUNCTION("""COMPUTED_VALUE"""),"https://reklama.cncenter.cz/Online/mobilni-interscroller")</f>
        <v>https://reklama.cncenter.cz/Online/mobilni-interscroller</v>
      </c>
      <c r="X836" s="3"/>
      <c r="Y836" s="3"/>
      <c r="Z836" s="3" t="str">
        <f ca="1">IFERROR(__xludf.DUMMYFUNCTION("""COMPUTED_VALUE"""),"podklady@cncenter.cz")</f>
        <v>podklady@cncenter.cz</v>
      </c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 t="str">
        <f ca="1">IFERROR(__xludf.DUMMYFUNCTION("""COMPUTED_VALUE"""),"mobile")</f>
        <v>mobile</v>
      </c>
      <c r="AO836" s="3"/>
      <c r="AP836" s="3"/>
      <c r="AQ836" s="3"/>
      <c r="AR836" s="3"/>
      <c r="AS836" s="3"/>
      <c r="AT836" s="3"/>
      <c r="AU836" s="3" t="str">
        <f ca="1">IFERROR(__xludf.DUMMYFUNCTION("""COMPUTED_VALUE"""),"mobilní interscroller")</f>
        <v>mobilní interscroller</v>
      </c>
    </row>
    <row r="837" spans="1:47" x14ac:dyDescent="0.3">
      <c r="A837" s="3">
        <f ca="1"/>
        <v>2346826</v>
      </c>
      <c r="B837" s="3" t="str">
        <f ca="1"/>
        <v>CZECH NEWS CENTER a. s.</v>
      </c>
      <c r="C837" s="3" t="str">
        <f ca="1">IFERROR(__xludf.DUMMYFUNCTION("""COMPUTED_VALUE"""),"Moje zdraví")</f>
        <v>Moje zdraví</v>
      </c>
      <c r="D837" s="4" t="str">
        <f ca="1">IFERROR(__xludf.DUMMYFUNCTION("""COMPUTED_VALUE"""),"https://mojezdravi.cz")</f>
        <v>https://mojezdravi.cz</v>
      </c>
      <c r="E837" s="3" t="str">
        <f ca="1">IFERROR(__xludf.DUMMYFUNCTION("""COMPUTED_VALUE"""),"celý web")</f>
        <v>celý web</v>
      </c>
      <c r="F837" s="4" t="str">
        <f ca="1">IFERROR(__xludf.DUMMYFUNCTION("""COMPUTED_VALUE"""),"https://mojezdravi.cz")</f>
        <v>https://mojezdravi.cz</v>
      </c>
      <c r="G837" s="3" t="str">
        <f ca="1">IFERROR(__xludf.DUMMYFUNCTION("""COMPUTED_VALUE"""),"mobilní slide-up low season")</f>
        <v>mobilní slide-up low season</v>
      </c>
      <c r="H837" s="3">
        <f ca="1">IFERROR(__xludf.DUMMYFUNCTION("""COMPUTED_VALUE"""),7)</f>
        <v>7</v>
      </c>
      <c r="I837" s="5">
        <f ca="1">IFERROR(__xludf.DUMMYFUNCTION("""COMPUTED_VALUE"""),1000)</f>
        <v>1000</v>
      </c>
      <c r="J837" s="5">
        <f ca="1">IFERROR(__xludf.DUMMYFUNCTION("""COMPUTED_VALUE"""),510)</f>
        <v>510</v>
      </c>
      <c r="K837" s="3"/>
      <c r="L837" s="3" t="str">
        <f ca="1">IFERROR(__xludf.DUMMYFUNCTION("""COMPUTED_VALUE"""),"Cost per period")</f>
        <v>Cost per period</v>
      </c>
      <c r="M837" s="3"/>
      <c r="N837" s="3"/>
      <c r="O837" s="3" t="str">
        <f ca="1">IFERROR(__xludf.DUMMYFUNCTION("""COMPUTED_VALUE"""),"300")</f>
        <v>300</v>
      </c>
      <c r="P837" s="3" t="str">
        <f ca="1">IFERROR(__xludf.DUMMYFUNCTION("""COMPUTED_VALUE"""),"120")</f>
        <v>120</v>
      </c>
      <c r="Q837" s="3" t="str">
        <f ca="1">IFERROR(__xludf.DUMMYFUNCTION("""COMPUTED_VALUE"""),"300x120")</f>
        <v>300x120</v>
      </c>
      <c r="R837" s="3"/>
      <c r="S837" s="3" t="str">
        <f ca="1">IFERROR(__xludf.DUMMYFUNCTION("""COMPUTED_VALUE"""),"100")</f>
        <v>100</v>
      </c>
      <c r="T837" s="3"/>
      <c r="U837" s="3" t="str">
        <f ca="1">IFERROR(__xludf.DUMMYFUNCTION("""COMPUTED_VALUE"""),"banner standard")</f>
        <v>banner standard</v>
      </c>
      <c r="V837" s="3"/>
      <c r="W837" s="4" t="str">
        <f ca="1">IFERROR(__xludf.DUMMYFUNCTION("""COMPUTED_VALUE"""),"https://reklama.cncenter.cz/Online/mobilni-slide-up")</f>
        <v>https://reklama.cncenter.cz/Online/mobilni-slide-up</v>
      </c>
      <c r="X837" s="3"/>
      <c r="Y837" s="3"/>
      <c r="Z837" s="3" t="str">
        <f ca="1">IFERROR(__xludf.DUMMYFUNCTION("""COMPUTED_VALUE"""),"podklady@cncenter.cz")</f>
        <v>podklady@cncenter.cz</v>
      </c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 t="str">
        <f ca="1">IFERROR(__xludf.DUMMYFUNCTION("""COMPUTED_VALUE"""),"mobile")</f>
        <v>mobile</v>
      </c>
      <c r="AO837" s="3"/>
      <c r="AP837" s="3"/>
      <c r="AQ837" s="3"/>
      <c r="AR837" s="3"/>
      <c r="AS837" s="3"/>
      <c r="AT837" s="3"/>
      <c r="AU837" s="3" t="str">
        <f ca="1">IFERROR(__xludf.DUMMYFUNCTION("""COMPUTED_VALUE"""),"mobilní slide-up")</f>
        <v>mobilní slide-up</v>
      </c>
    </row>
    <row r="838" spans="1:47" x14ac:dyDescent="0.3">
      <c r="A838" s="3">
        <f ca="1"/>
        <v>2346826</v>
      </c>
      <c r="B838" s="3" t="str">
        <f ca="1"/>
        <v>CZECH NEWS CENTER a. s.</v>
      </c>
      <c r="C838" s="3" t="str">
        <f ca="1">IFERROR(__xludf.DUMMYFUNCTION("""COMPUTED_VALUE"""),"Moje zdraví")</f>
        <v>Moje zdraví</v>
      </c>
      <c r="D838" s="4" t="str">
        <f ca="1">IFERROR(__xludf.DUMMYFUNCTION("""COMPUTED_VALUE"""),"https://mojezdravi.cz")</f>
        <v>https://mojezdravi.cz</v>
      </c>
      <c r="E838" s="3" t="str">
        <f ca="1">IFERROR(__xludf.DUMMYFUNCTION("""COMPUTED_VALUE"""),"celý web")</f>
        <v>celý web</v>
      </c>
      <c r="F838" s="4" t="str">
        <f ca="1">IFERROR(__xludf.DUMMYFUNCTION("""COMPUTED_VALUE"""),"https://mojezdravi.cz")</f>
        <v>https://mojezdravi.cz</v>
      </c>
      <c r="G838" s="3" t="str">
        <f ca="1">IFERROR(__xludf.DUMMYFUNCTION("""COMPUTED_VALUE"""),"mobilní viněta low season")</f>
        <v>mobilní viněta low season</v>
      </c>
      <c r="H838" s="3">
        <f ca="1">IFERROR(__xludf.DUMMYFUNCTION("""COMPUTED_VALUE"""),7)</f>
        <v>7</v>
      </c>
      <c r="I838" s="5">
        <f ca="1">IFERROR(__xludf.DUMMYFUNCTION("""COMPUTED_VALUE"""),1000)</f>
        <v>1000</v>
      </c>
      <c r="J838" s="5">
        <f ca="1">IFERROR(__xludf.DUMMYFUNCTION("""COMPUTED_VALUE"""),880)</f>
        <v>880</v>
      </c>
      <c r="K838" s="3"/>
      <c r="L838" s="3" t="str">
        <f ca="1">IFERROR(__xludf.DUMMYFUNCTION("""COMPUTED_VALUE"""),"Cost per period")</f>
        <v>Cost per period</v>
      </c>
      <c r="M838" s="3"/>
      <c r="N838" s="3"/>
      <c r="O838" s="3" t="str">
        <f ca="1">IFERROR(__xludf.DUMMYFUNCTION("""COMPUTED_VALUE"""),"600")</f>
        <v>600</v>
      </c>
      <c r="P838" s="3" t="str">
        <f ca="1">IFERROR(__xludf.DUMMYFUNCTION("""COMPUTED_VALUE"""),"800")</f>
        <v>800</v>
      </c>
      <c r="Q838" s="3" t="str">
        <f ca="1">IFERROR(__xludf.DUMMYFUNCTION("""COMPUTED_VALUE"""),"300x250 nebo 600x800")</f>
        <v>300x250 nebo 600x800</v>
      </c>
      <c r="R838" s="3"/>
      <c r="S838" s="3" t="str">
        <f ca="1">IFERROR(__xludf.DUMMYFUNCTION("""COMPUTED_VALUE"""),"100")</f>
        <v>100</v>
      </c>
      <c r="T838" s="3"/>
      <c r="U838" s="3" t="str">
        <f ca="1">IFERROR(__xludf.DUMMYFUNCTION("""COMPUTED_VALUE"""),"banner standard")</f>
        <v>banner standard</v>
      </c>
      <c r="V838" s="3"/>
      <c r="W838" s="4" t="str">
        <f ca="1">IFERROR(__xludf.DUMMYFUNCTION("""COMPUTED_VALUE"""),"https://reklama.cncenter.cz/Online/mobilni-vineta")</f>
        <v>https://reklama.cncenter.cz/Online/mobilni-vineta</v>
      </c>
      <c r="X838" s="3"/>
      <c r="Y838" s="3"/>
      <c r="Z838" s="3" t="str">
        <f ca="1">IFERROR(__xludf.DUMMYFUNCTION("""COMPUTED_VALUE"""),"podklady@cncenter.cz")</f>
        <v>podklady@cncenter.cz</v>
      </c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 t="str">
        <f ca="1">IFERROR(__xludf.DUMMYFUNCTION("""COMPUTED_VALUE"""),"mobile")</f>
        <v>mobile</v>
      </c>
      <c r="AO838" s="3"/>
      <c r="AP838" s="3"/>
      <c r="AQ838" s="3"/>
      <c r="AR838" s="3"/>
      <c r="AS838" s="3"/>
      <c r="AT838" s="3"/>
      <c r="AU838" s="3" t="str">
        <f ca="1">IFERROR(__xludf.DUMMYFUNCTION("""COMPUTED_VALUE"""),"mobilní viněta")</f>
        <v>mobilní viněta</v>
      </c>
    </row>
    <row r="839" spans="1:47" x14ac:dyDescent="0.3">
      <c r="A839" s="3">
        <f ca="1"/>
        <v>2346826</v>
      </c>
      <c r="B839" s="3" t="str">
        <f ca="1"/>
        <v>CZECH NEWS CENTER a. s.</v>
      </c>
      <c r="C839" s="3" t="str">
        <f ca="1">IFERROR(__xludf.DUMMYFUNCTION("""COMPUTED_VALUE"""),"Moje zdraví")</f>
        <v>Moje zdraví</v>
      </c>
      <c r="D839" s="4" t="str">
        <f ca="1">IFERROR(__xludf.DUMMYFUNCTION("""COMPUTED_VALUE"""),"https://mojezdravi.cz")</f>
        <v>https://mojezdravi.cz</v>
      </c>
      <c r="E839" s="3" t="str">
        <f ca="1">IFERROR(__xludf.DUMMYFUNCTION("""COMPUTED_VALUE"""),"celý web")</f>
        <v>celý web</v>
      </c>
      <c r="F839" s="4" t="str">
        <f ca="1">IFERROR(__xludf.DUMMYFUNCTION("""COMPUTED_VALUE"""),"https://mojezdravi.cz")</f>
        <v>https://mojezdravi.cz</v>
      </c>
      <c r="G839" s="3" t="str">
        <f ca="1">IFERROR(__xludf.DUMMYFUNCTION("""COMPUTED_VALUE"""),"Native Standard low season")</f>
        <v>Native Standard low season</v>
      </c>
      <c r="H839" s="3">
        <f ca="1">IFERROR(__xludf.DUMMYFUNCTION("""COMPUTED_VALUE"""),1)</f>
        <v>1</v>
      </c>
      <c r="I839" s="5">
        <f ca="1">IFERROR(__xludf.DUMMYFUNCTION("""COMPUTED_VALUE"""),1)</f>
        <v>1</v>
      </c>
      <c r="J839" s="5">
        <f ca="1">IFERROR(__xludf.DUMMYFUNCTION("""COMPUTED_VALUE"""),330000)</f>
        <v>330000</v>
      </c>
      <c r="K839" s="3"/>
      <c r="L839" s="3" t="str">
        <f ca="1">IFERROR(__xludf.DUMMYFUNCTION("""COMPUTED_VALUE"""),"Cost per instance")</f>
        <v>Cost per instance</v>
      </c>
      <c r="M839" s="3"/>
      <c r="N839" s="3"/>
      <c r="O839" s="3"/>
      <c r="P839" s="3"/>
      <c r="Q839" s="3"/>
      <c r="R839" s="3"/>
      <c r="S839" s="3" t="str">
        <f ca="1">IFERROR(__xludf.DUMMYFUNCTION("""COMPUTED_VALUE"""),"100")</f>
        <v>100</v>
      </c>
      <c r="T839" s="3"/>
      <c r="U839" s="3" t="str">
        <f ca="1">IFERROR(__xludf.DUMMYFUNCTION("""COMPUTED_VALUE"""),"microsite")</f>
        <v>microsite</v>
      </c>
      <c r="V839" s="3"/>
      <c r="W839" s="3"/>
      <c r="X839" s="3"/>
      <c r="Y839" s="3"/>
      <c r="Z839" s="3" t="str">
        <f ca="1">IFERROR(__xludf.DUMMYFUNCTION("""COMPUTED_VALUE"""),"podklady@cncenter.cz")</f>
        <v>podklady@cncenter.cz</v>
      </c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 t="str">
        <f ca="1">IFERROR(__xludf.DUMMYFUNCTION("""COMPUTED_VALUE"""),"cross-device")</f>
        <v>cross-device</v>
      </c>
      <c r="AO839" s="3"/>
      <c r="AP839" s="3"/>
      <c r="AQ839" s="3"/>
      <c r="AR839" s="3"/>
      <c r="AS839" s="3"/>
      <c r="AT839" s="3"/>
      <c r="AU839" s="3" t="str">
        <f ca="1">IFERROR(__xludf.DUMMYFUNCTION("""COMPUTED_VALUE"""),"Native Standard")</f>
        <v>Native Standard</v>
      </c>
    </row>
    <row r="840" spans="1:47" x14ac:dyDescent="0.3">
      <c r="A840" s="3">
        <f ca="1"/>
        <v>2346826</v>
      </c>
      <c r="B840" s="3" t="str">
        <f ca="1"/>
        <v>CZECH NEWS CENTER a. s.</v>
      </c>
      <c r="C840" s="3" t="str">
        <f ca="1">IFERROR(__xludf.DUMMYFUNCTION("""COMPUTED_VALUE"""),"Moje zdraví")</f>
        <v>Moje zdraví</v>
      </c>
      <c r="D840" s="4" t="str">
        <f ca="1">IFERROR(__xludf.DUMMYFUNCTION("""COMPUTED_VALUE"""),"https://mojezdravi.cz")</f>
        <v>https://mojezdravi.cz</v>
      </c>
      <c r="E840" s="3" t="str">
        <f ca="1">IFERROR(__xludf.DUMMYFUNCTION("""COMPUTED_VALUE"""),"celý web")</f>
        <v>celý web</v>
      </c>
      <c r="F840" s="4" t="str">
        <f ca="1">IFERROR(__xludf.DUMMYFUNCTION("""COMPUTED_VALUE"""),"https://mojezdravi.cz")</f>
        <v>https://mojezdravi.cz</v>
      </c>
      <c r="G840" s="3" t="str">
        <f ca="1">IFERROR(__xludf.DUMMYFUNCTION("""COMPUTED_VALUE"""),"nativní rectangle cross-device low season")</f>
        <v>nativní rectangle cross-device low season</v>
      </c>
      <c r="H840" s="3">
        <f ca="1">IFERROR(__xludf.DUMMYFUNCTION("""COMPUTED_VALUE"""),7)</f>
        <v>7</v>
      </c>
      <c r="I840" s="5">
        <f ca="1">IFERROR(__xludf.DUMMYFUNCTION("""COMPUTED_VALUE"""),1000)</f>
        <v>1000</v>
      </c>
      <c r="J840" s="5">
        <f ca="1">IFERROR(__xludf.DUMMYFUNCTION("""COMPUTED_VALUE"""),200)</f>
        <v>200</v>
      </c>
      <c r="K840" s="3"/>
      <c r="L840" s="3" t="str">
        <f ca="1">IFERROR(__xludf.DUMMYFUNCTION("""COMPUTED_VALUE"""),"Cost per period")</f>
        <v>Cost per period</v>
      </c>
      <c r="M840" s="3"/>
      <c r="N840" s="3"/>
      <c r="O840" s="3" t="str">
        <f ca="1">IFERROR(__xludf.DUMMYFUNCTION("""COMPUTED_VALUE"""),"640")</f>
        <v>640</v>
      </c>
      <c r="P840" s="3" t="str">
        <f ca="1">IFERROR(__xludf.DUMMYFUNCTION("""COMPUTED_VALUE"""),"335, 640")</f>
        <v>335, 640</v>
      </c>
      <c r="Q840" s="3" t="str">
        <f ca="1">IFERROR(__xludf.DUMMYFUNCTION("""COMPUTED_VALUE"""),"640x640 a 640x335 + text + logo")</f>
        <v>640x640 a 640x335 + text + logo</v>
      </c>
      <c r="R840" s="3"/>
      <c r="S840" s="3" t="str">
        <f ca="1">IFERROR(__xludf.DUMMYFUNCTION("""COMPUTED_VALUE"""),"45")</f>
        <v>45</v>
      </c>
      <c r="T840" s="3"/>
      <c r="U840" s="3" t="str">
        <f ca="1">IFERROR(__xludf.DUMMYFUNCTION("""COMPUTED_VALUE"""),"nativní reklama")</f>
        <v>nativní reklama</v>
      </c>
      <c r="V840" s="3"/>
      <c r="W840" s="4" t="str">
        <f ca="1">IFERROR(__xludf.DUMMYFUNCTION("""COMPUTED_VALUE"""),"https://reklama.cncenter.cz/Online/nativni-rectangle-cross-device")</f>
        <v>https://reklama.cncenter.cz/Online/nativni-rectangle-cross-device</v>
      </c>
      <c r="X840" s="3"/>
      <c r="Y840" s="3"/>
      <c r="Z840" s="3" t="str">
        <f ca="1">IFERROR(__xludf.DUMMYFUNCTION("""COMPUTED_VALUE"""),"podklady@cncenter.cz")</f>
        <v>podklady@cncenter.cz</v>
      </c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 t="str">
        <f ca="1">IFERROR(__xludf.DUMMYFUNCTION("""COMPUTED_VALUE"""),"cross-device")</f>
        <v>cross-device</v>
      </c>
      <c r="AO840" s="3"/>
      <c r="AP840" s="3"/>
      <c r="AQ840" s="3"/>
      <c r="AR840" s="3"/>
      <c r="AS840" s="3"/>
      <c r="AT840" s="3"/>
      <c r="AU840" s="3" t="str">
        <f ca="1">IFERROR(__xludf.DUMMYFUNCTION("""COMPUTED_VALUE"""),"nativní rectangle cross-device")</f>
        <v>nativní rectangle cross-device</v>
      </c>
    </row>
    <row r="841" spans="1:47" x14ac:dyDescent="0.3">
      <c r="A841" s="3">
        <f ca="1"/>
        <v>2346826</v>
      </c>
      <c r="B841" s="3" t="str">
        <f ca="1"/>
        <v>CZECH NEWS CENTER a. s.</v>
      </c>
      <c r="C841" s="3" t="str">
        <f ca="1">IFERROR(__xludf.DUMMYFUNCTION("""COMPUTED_VALUE"""),"Moje zdraví")</f>
        <v>Moje zdraví</v>
      </c>
      <c r="D841" s="4" t="str">
        <f ca="1">IFERROR(__xludf.DUMMYFUNCTION("""COMPUTED_VALUE"""),"https://mojezdravi.cz")</f>
        <v>https://mojezdravi.cz</v>
      </c>
      <c r="E841" s="3" t="str">
        <f ca="1">IFERROR(__xludf.DUMMYFUNCTION("""COMPUTED_VALUE"""),"celý web")</f>
        <v>celý web</v>
      </c>
      <c r="F841" s="4" t="str">
        <f ca="1">IFERROR(__xludf.DUMMYFUNCTION("""COMPUTED_VALUE"""),"https://mojezdravi.cz")</f>
        <v>https://mojezdravi.cz</v>
      </c>
      <c r="G841" s="3" t="str">
        <f ca="1">IFERROR(__xludf.DUMMYFUNCTION("""COMPUTED_VALUE"""),"outstream low season")</f>
        <v>outstream low season</v>
      </c>
      <c r="H841" s="3">
        <f ca="1">IFERROR(__xludf.DUMMYFUNCTION("""COMPUTED_VALUE"""),7)</f>
        <v>7</v>
      </c>
      <c r="I841" s="5">
        <f ca="1">IFERROR(__xludf.DUMMYFUNCTION("""COMPUTED_VALUE"""),1000)</f>
        <v>1000</v>
      </c>
      <c r="J841" s="5">
        <f ca="1">IFERROR(__xludf.DUMMYFUNCTION("""COMPUTED_VALUE"""),250)</f>
        <v>250</v>
      </c>
      <c r="K841" s="3"/>
      <c r="L841" s="3" t="str">
        <f ca="1">IFERROR(__xludf.DUMMYFUNCTION("""COMPUTED_VALUE"""),"Cost per period")</f>
        <v>Cost per period</v>
      </c>
      <c r="M841" s="3"/>
      <c r="N841" s="3"/>
      <c r="O841" s="3" t="str">
        <f ca="1">IFERROR(__xludf.DUMMYFUNCTION("""COMPUTED_VALUE"""),"1280")</f>
        <v>1280</v>
      </c>
      <c r="P841" s="3" t="str">
        <f ca="1">IFERROR(__xludf.DUMMYFUNCTION("""COMPUTED_VALUE"""),"720")</f>
        <v>720</v>
      </c>
      <c r="Q841" s="3" t="str">
        <f ca="1">IFERROR(__xludf.DUMMYFUNCTION("""COMPUTED_VALUE"""),"16:9")</f>
        <v>16:9</v>
      </c>
      <c r="R841" s="3"/>
      <c r="S841" s="3" t="str">
        <f ca="1">IFERROR(__xludf.DUMMYFUNCTION("""COMPUTED_VALUE"""),"100")</f>
        <v>100</v>
      </c>
      <c r="T841" s="3"/>
      <c r="U841" s="3" t="str">
        <f ca="1">IFERROR(__xludf.DUMMYFUNCTION("""COMPUTED_VALUE"""),"videospot")</f>
        <v>videospot</v>
      </c>
      <c r="V841" s="3"/>
      <c r="W841" s="4" t="str">
        <f ca="1">IFERROR(__xludf.DUMMYFUNCTION("""COMPUTED_VALUE"""),"https://reklama.cncenter.cz/Online/Outstream")</f>
        <v>https://reklama.cncenter.cz/Online/Outstream</v>
      </c>
      <c r="X841" s="3"/>
      <c r="Y841" s="3"/>
      <c r="Z841" s="3" t="str">
        <f ca="1">IFERROR(__xludf.DUMMYFUNCTION("""COMPUTED_VALUE"""),"podklady@cncenter.cz")</f>
        <v>podklady@cncenter.cz</v>
      </c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 t="str">
        <f ca="1">IFERROR(__xludf.DUMMYFUNCTION("""COMPUTED_VALUE"""),"cross-device")</f>
        <v>cross-device</v>
      </c>
      <c r="AO841" s="3"/>
      <c r="AP841" s="3"/>
      <c r="AQ841" s="3"/>
      <c r="AR841" s="3"/>
      <c r="AS841" s="3"/>
      <c r="AT841" s="3"/>
      <c r="AU841" s="3" t="str">
        <f ca="1">IFERROR(__xludf.DUMMYFUNCTION("""COMPUTED_VALUE"""),"outstream")</f>
        <v>outstream</v>
      </c>
    </row>
    <row r="842" spans="1:47" x14ac:dyDescent="0.3">
      <c r="A842" s="3">
        <f ca="1"/>
        <v>2346826</v>
      </c>
      <c r="B842" s="3" t="str">
        <f ca="1"/>
        <v>CZECH NEWS CENTER a. s.</v>
      </c>
      <c r="C842" s="3" t="str">
        <f ca="1">IFERROR(__xludf.DUMMYFUNCTION("""COMPUTED_VALUE"""),"Moje zdraví")</f>
        <v>Moje zdraví</v>
      </c>
      <c r="D842" s="4" t="str">
        <f ca="1">IFERROR(__xludf.DUMMYFUNCTION("""COMPUTED_VALUE"""),"https://mojezdravi.cz")</f>
        <v>https://mojezdravi.cz</v>
      </c>
      <c r="E842" s="3" t="str">
        <f ca="1">IFERROR(__xludf.DUMMYFUNCTION("""COMPUTED_VALUE"""),"celý web")</f>
        <v>celý web</v>
      </c>
      <c r="F842" s="4" t="str">
        <f ca="1">IFERROR(__xludf.DUMMYFUNCTION("""COMPUTED_VALUE"""),"https://mojezdravi.cz")</f>
        <v>https://mojezdravi.cz</v>
      </c>
      <c r="G842" s="3" t="str">
        <f ca="1">IFERROR(__xludf.DUMMYFUNCTION("""COMPUTED_VALUE"""),"PR článek low season")</f>
        <v>PR článek low season</v>
      </c>
      <c r="H842" s="3">
        <f ca="1">IFERROR(__xludf.DUMMYFUNCTION("""COMPUTED_VALUE"""),1)</f>
        <v>1</v>
      </c>
      <c r="I842" s="5">
        <f ca="1">IFERROR(__xludf.DUMMYFUNCTION("""COMPUTED_VALUE"""),1)</f>
        <v>1</v>
      </c>
      <c r="J842" s="5">
        <f ca="1">IFERROR(__xludf.DUMMYFUNCTION("""COMPUTED_VALUE"""),25000)</f>
        <v>25000</v>
      </c>
      <c r="K842" s="3"/>
      <c r="L842" s="3" t="str">
        <f ca="1">IFERROR(__xludf.DUMMYFUNCTION("""COMPUTED_VALUE"""),"Cost per instance")</f>
        <v>Cost per instance</v>
      </c>
      <c r="M842" s="3"/>
      <c r="N842" s="3"/>
      <c r="O842" s="3"/>
      <c r="P842" s="3"/>
      <c r="Q842" s="3"/>
      <c r="R842" s="3"/>
      <c r="S842" s="3" t="str">
        <f ca="1">IFERROR(__xludf.DUMMYFUNCTION("""COMPUTED_VALUE"""),"100")</f>
        <v>100</v>
      </c>
      <c r="T842" s="3"/>
      <c r="U842" s="3" t="str">
        <f ca="1">IFERROR(__xludf.DUMMYFUNCTION("""COMPUTED_VALUE"""),"pr článek")</f>
        <v>pr článek</v>
      </c>
      <c r="V842" s="3"/>
      <c r="W842" s="4" t="str">
        <f ca="1">IFERROR(__xludf.DUMMYFUNCTION("""COMPUTED_VALUE"""),"https://reklama.cncenter.cz/?ads=PR%2520%25C4%258Dl%25C3%25A1nky")</f>
        <v>https://reklama.cncenter.cz/?ads=PR%2520%25C4%258Dl%25C3%25A1nky</v>
      </c>
      <c r="X842" s="3"/>
      <c r="Y842" s="3"/>
      <c r="Z842" s="3" t="str">
        <f ca="1">IFERROR(__xludf.DUMMYFUNCTION("""COMPUTED_VALUE"""),"podklady@cncenter.cz")</f>
        <v>podklady@cncenter.cz</v>
      </c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 t="str">
        <f ca="1">IFERROR(__xludf.DUMMYFUNCTION("""COMPUTED_VALUE"""),"cross-device")</f>
        <v>cross-device</v>
      </c>
      <c r="AO842" s="3"/>
      <c r="AP842" s="3"/>
      <c r="AQ842" s="3"/>
      <c r="AR842" s="3"/>
      <c r="AS842" s="3"/>
      <c r="AT842" s="3"/>
      <c r="AU842" s="3" t="str">
        <f ca="1">IFERROR(__xludf.DUMMYFUNCTION("""COMPUTED_VALUE"""),"PR článek")</f>
        <v>PR článek</v>
      </c>
    </row>
    <row r="843" spans="1:47" x14ac:dyDescent="0.3">
      <c r="A843" s="3">
        <f ca="1"/>
        <v>2346826</v>
      </c>
      <c r="B843" s="3" t="str">
        <f ca="1"/>
        <v>CZECH NEWS CENTER a. s.</v>
      </c>
      <c r="C843" s="3" t="str">
        <f ca="1">IFERROR(__xludf.DUMMYFUNCTION("""COMPUTED_VALUE"""),"Moje zdraví")</f>
        <v>Moje zdraví</v>
      </c>
      <c r="D843" s="4" t="str">
        <f ca="1">IFERROR(__xludf.DUMMYFUNCTION("""COMPUTED_VALUE"""),"https://mojezdravi.cz")</f>
        <v>https://mojezdravi.cz</v>
      </c>
      <c r="E843" s="3" t="str">
        <f ca="1">IFERROR(__xludf.DUMMYFUNCTION("""COMPUTED_VALUE"""),"celý web")</f>
        <v>celý web</v>
      </c>
      <c r="F843" s="4" t="str">
        <f ca="1">IFERROR(__xludf.DUMMYFUNCTION("""COMPUTED_VALUE"""),"https://mojezdravi.cz")</f>
        <v>https://mojezdravi.cz</v>
      </c>
      <c r="G843" s="3" t="str">
        <f ca="1">IFERROR(__xludf.DUMMYFUNCTION("""COMPUTED_VALUE"""),"Prodloužení existující microsite, bez úprav low season")</f>
        <v>Prodloužení existující microsite, bez úprav low season</v>
      </c>
      <c r="H843" s="3">
        <f ca="1">IFERROR(__xludf.DUMMYFUNCTION("""COMPUTED_VALUE"""),1)</f>
        <v>1</v>
      </c>
      <c r="I843" s="5">
        <f ca="1">IFERROR(__xludf.DUMMYFUNCTION("""COMPUTED_VALUE"""),1)</f>
        <v>1</v>
      </c>
      <c r="J843" s="5">
        <f ca="1">IFERROR(__xludf.DUMMYFUNCTION("""COMPUTED_VALUE"""),15000)</f>
        <v>15000</v>
      </c>
      <c r="K843" s="3"/>
      <c r="L843" s="3" t="str">
        <f ca="1">IFERROR(__xludf.DUMMYFUNCTION("""COMPUTED_VALUE"""),"Cost per instance")</f>
        <v>Cost per instance</v>
      </c>
      <c r="M843" s="3"/>
      <c r="N843" s="3"/>
      <c r="O843" s="3"/>
      <c r="P843" s="3"/>
      <c r="Q843" s="3"/>
      <c r="R843" s="3"/>
      <c r="S843" s="3" t="str">
        <f ca="1">IFERROR(__xludf.DUMMYFUNCTION("""COMPUTED_VALUE"""),"100")</f>
        <v>100</v>
      </c>
      <c r="T843" s="3"/>
      <c r="U843" s="3" t="str">
        <f ca="1">IFERROR(__xludf.DUMMYFUNCTION("""COMPUTED_VALUE"""),"microsite")</f>
        <v>microsite</v>
      </c>
      <c r="V843" s="3"/>
      <c r="W843" s="3"/>
      <c r="X843" s="3"/>
      <c r="Y843" s="3"/>
      <c r="Z843" s="3" t="str">
        <f ca="1">IFERROR(__xludf.DUMMYFUNCTION("""COMPUTED_VALUE"""),"podklady@cncenter.cz")</f>
        <v>podklady@cncenter.cz</v>
      </c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 t="str">
        <f ca="1">IFERROR(__xludf.DUMMYFUNCTION("""COMPUTED_VALUE"""),"cross-device")</f>
        <v>cross-device</v>
      </c>
      <c r="AO843" s="3"/>
      <c r="AP843" s="3"/>
      <c r="AQ843" s="3"/>
      <c r="AR843" s="3"/>
      <c r="AS843" s="3"/>
      <c r="AT843" s="3"/>
      <c r="AU843" s="3" t="str">
        <f ca="1">IFERROR(__xludf.DUMMYFUNCTION("""COMPUTED_VALUE"""),"Prodloužení existující microsite, bez úprav")</f>
        <v>Prodloužení existující microsite, bez úprav</v>
      </c>
    </row>
    <row r="844" spans="1:47" x14ac:dyDescent="0.3">
      <c r="A844" s="3">
        <f ca="1"/>
        <v>2346826</v>
      </c>
      <c r="B844" s="3" t="str">
        <f ca="1"/>
        <v>CZECH NEWS CENTER a. s.</v>
      </c>
      <c r="C844" s="3" t="str">
        <f ca="1">IFERROR(__xludf.DUMMYFUNCTION("""COMPUTED_VALUE"""),"Moje zdraví")</f>
        <v>Moje zdraví</v>
      </c>
      <c r="D844" s="4" t="str">
        <f ca="1">IFERROR(__xludf.DUMMYFUNCTION("""COMPUTED_VALUE"""),"https://mojezdravi.cz")</f>
        <v>https://mojezdravi.cz</v>
      </c>
      <c r="E844" s="3" t="str">
        <f ca="1">IFERROR(__xludf.DUMMYFUNCTION("""COMPUTED_VALUE"""),"celý web")</f>
        <v>celý web</v>
      </c>
      <c r="F844" s="4" t="str">
        <f ca="1">IFERROR(__xludf.DUMMYFUNCTION("""COMPUTED_VALUE"""),"https://mojezdravi.cz")</f>
        <v>https://mojezdravi.cz</v>
      </c>
      <c r="G844" s="3" t="str">
        <f ca="1">IFERROR(__xludf.DUMMYFUNCTION("""COMPUTED_VALUE"""),"Prodloužení existující microsite, bez úprav low season")</f>
        <v>Prodloužení existující microsite, bez úprav low season</v>
      </c>
      <c r="H844" s="3">
        <f ca="1">IFERROR(__xludf.DUMMYFUNCTION("""COMPUTED_VALUE"""),1)</f>
        <v>1</v>
      </c>
      <c r="I844" s="5">
        <f ca="1">IFERROR(__xludf.DUMMYFUNCTION("""COMPUTED_VALUE"""),1)</f>
        <v>1</v>
      </c>
      <c r="J844" s="5">
        <f ca="1">IFERROR(__xludf.DUMMYFUNCTION("""COMPUTED_VALUE"""),15000)</f>
        <v>15000</v>
      </c>
      <c r="K844" s="3"/>
      <c r="L844" s="3" t="str">
        <f ca="1">IFERROR(__xludf.DUMMYFUNCTION("""COMPUTED_VALUE"""),"Cost per instance")</f>
        <v>Cost per instance</v>
      </c>
      <c r="M844" s="3"/>
      <c r="N844" s="3"/>
      <c r="O844" s="3"/>
      <c r="P844" s="3"/>
      <c r="Q844" s="3"/>
      <c r="R844" s="3"/>
      <c r="S844" s="3" t="str">
        <f ca="1">IFERROR(__xludf.DUMMYFUNCTION("""COMPUTED_VALUE"""),"100")</f>
        <v>100</v>
      </c>
      <c r="T844" s="3"/>
      <c r="U844" s="3" t="str">
        <f ca="1">IFERROR(__xludf.DUMMYFUNCTION("""COMPUTED_VALUE"""),"microsite")</f>
        <v>microsite</v>
      </c>
      <c r="V844" s="3"/>
      <c r="W844" s="3"/>
      <c r="X844" s="3"/>
      <c r="Y844" s="3"/>
      <c r="Z844" s="3" t="str">
        <f ca="1">IFERROR(__xludf.DUMMYFUNCTION("""COMPUTED_VALUE"""),"podklady@cncenter.cz")</f>
        <v>podklady@cncenter.cz</v>
      </c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 t="str">
        <f ca="1">IFERROR(__xludf.DUMMYFUNCTION("""COMPUTED_VALUE"""),"cross-device")</f>
        <v>cross-device</v>
      </c>
      <c r="AO844" s="3"/>
      <c r="AP844" s="3"/>
      <c r="AQ844" s="3"/>
      <c r="AR844" s="3"/>
      <c r="AS844" s="3"/>
      <c r="AT844" s="3"/>
      <c r="AU844" s="3" t="str">
        <f ca="1">IFERROR(__xludf.DUMMYFUNCTION("""COMPUTED_VALUE"""),"Prodloužení existující microsite, bez úprav")</f>
        <v>Prodloužení existující microsite, bez úprav</v>
      </c>
    </row>
    <row r="845" spans="1:47" x14ac:dyDescent="0.3">
      <c r="A845" s="3">
        <f ca="1"/>
        <v>2346826</v>
      </c>
      <c r="B845" s="3" t="str">
        <f ca="1"/>
        <v>CZECH NEWS CENTER a. s.</v>
      </c>
      <c r="C845" s="3" t="str">
        <f ca="1">IFERROR(__xludf.DUMMYFUNCTION("""COMPUTED_VALUE"""),"Moje zdraví")</f>
        <v>Moje zdraví</v>
      </c>
      <c r="D845" s="4" t="str">
        <f ca="1">IFERROR(__xludf.DUMMYFUNCTION("""COMPUTED_VALUE"""),"https://mojezdravi.cz")</f>
        <v>https://mojezdravi.cz</v>
      </c>
      <c r="E845" s="3" t="str">
        <f ca="1">IFERROR(__xludf.DUMMYFUNCTION("""COMPUTED_VALUE"""),"celý web")</f>
        <v>celý web</v>
      </c>
      <c r="F845" s="4" t="str">
        <f ca="1">IFERROR(__xludf.DUMMYFUNCTION("""COMPUTED_VALUE"""),"https://mojezdravi.cz")</f>
        <v>https://mojezdravi.cz</v>
      </c>
      <c r="G845" s="3" t="str">
        <f ca="1">IFERROR(__xludf.DUMMYFUNCTION("""COMPUTED_VALUE"""),"Prodloužení existující microsite, bez úprav low season")</f>
        <v>Prodloužení existující microsite, bez úprav low season</v>
      </c>
      <c r="H845" s="3">
        <f ca="1">IFERROR(__xludf.DUMMYFUNCTION("""COMPUTED_VALUE"""),1)</f>
        <v>1</v>
      </c>
      <c r="I845" s="5">
        <f ca="1">IFERROR(__xludf.DUMMYFUNCTION("""COMPUTED_VALUE"""),1)</f>
        <v>1</v>
      </c>
      <c r="J845" s="5">
        <f ca="1">IFERROR(__xludf.DUMMYFUNCTION("""COMPUTED_VALUE"""),15000)</f>
        <v>15000</v>
      </c>
      <c r="K845" s="3"/>
      <c r="L845" s="3" t="str">
        <f ca="1">IFERROR(__xludf.DUMMYFUNCTION("""COMPUTED_VALUE"""),"Cost per instance")</f>
        <v>Cost per instance</v>
      </c>
      <c r="M845" s="3"/>
      <c r="N845" s="3"/>
      <c r="O845" s="3"/>
      <c r="P845" s="3"/>
      <c r="Q845" s="3"/>
      <c r="R845" s="3"/>
      <c r="S845" s="3" t="str">
        <f ca="1">IFERROR(__xludf.DUMMYFUNCTION("""COMPUTED_VALUE"""),"100")</f>
        <v>100</v>
      </c>
      <c r="T845" s="3"/>
      <c r="U845" s="3" t="str">
        <f ca="1">IFERROR(__xludf.DUMMYFUNCTION("""COMPUTED_VALUE"""),"microsite")</f>
        <v>microsite</v>
      </c>
      <c r="V845" s="3"/>
      <c r="W845" s="3"/>
      <c r="X845" s="3"/>
      <c r="Y845" s="3"/>
      <c r="Z845" s="3" t="str">
        <f ca="1">IFERROR(__xludf.DUMMYFUNCTION("""COMPUTED_VALUE"""),"podklady@cncenter.cz")</f>
        <v>podklady@cncenter.cz</v>
      </c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 t="str">
        <f ca="1">IFERROR(__xludf.DUMMYFUNCTION("""COMPUTED_VALUE"""),"cross-device")</f>
        <v>cross-device</v>
      </c>
      <c r="AO845" s="3"/>
      <c r="AP845" s="3"/>
      <c r="AQ845" s="3"/>
      <c r="AR845" s="3"/>
      <c r="AS845" s="3"/>
      <c r="AT845" s="3"/>
      <c r="AU845" s="3" t="str">
        <f ca="1">IFERROR(__xludf.DUMMYFUNCTION("""COMPUTED_VALUE"""),"Prodloužení existující microsite, bez úprav")</f>
        <v>Prodloužení existující microsite, bez úprav</v>
      </c>
    </row>
    <row r="846" spans="1:47" x14ac:dyDescent="0.3">
      <c r="A846" s="3">
        <f ca="1"/>
        <v>2346826</v>
      </c>
      <c r="B846" s="3" t="str">
        <f ca="1"/>
        <v>CZECH NEWS CENTER a. s.</v>
      </c>
      <c r="C846" s="3" t="str">
        <f ca="1">IFERROR(__xludf.DUMMYFUNCTION("""COMPUTED_VALUE"""),"Moje zdraví")</f>
        <v>Moje zdraví</v>
      </c>
      <c r="D846" s="4" t="str">
        <f ca="1">IFERROR(__xludf.DUMMYFUNCTION("""COMPUTED_VALUE"""),"https://mojezdravi.cz")</f>
        <v>https://mojezdravi.cz</v>
      </c>
      <c r="E846" s="3" t="str">
        <f ca="1">IFERROR(__xludf.DUMMYFUNCTION("""COMPUTED_VALUE"""),"celý web")</f>
        <v>celý web</v>
      </c>
      <c r="F846" s="4" t="str">
        <f ca="1">IFERROR(__xludf.DUMMYFUNCTION("""COMPUTED_VALUE"""),"https://mojezdravi.cz")</f>
        <v>https://mojezdravi.cz</v>
      </c>
      <c r="G846" s="3" t="str">
        <f ca="1">IFERROR(__xludf.DUMMYFUNCTION("""COMPUTED_VALUE"""),"videospot - max. 30 sec. / bumper low season")</f>
        <v>videospot - max. 30 sec. / bumper low season</v>
      </c>
      <c r="H846" s="3">
        <f ca="1">IFERROR(__xludf.DUMMYFUNCTION("""COMPUTED_VALUE"""),7)</f>
        <v>7</v>
      </c>
      <c r="I846" s="5">
        <f ca="1">IFERROR(__xludf.DUMMYFUNCTION("""COMPUTED_VALUE"""),1000)</f>
        <v>1000</v>
      </c>
      <c r="J846" s="5">
        <f ca="1">IFERROR(__xludf.DUMMYFUNCTION("""COMPUTED_VALUE"""),740)</f>
        <v>740</v>
      </c>
      <c r="K846" s="3"/>
      <c r="L846" s="3" t="str">
        <f ca="1">IFERROR(__xludf.DUMMYFUNCTION("""COMPUTED_VALUE"""),"Cost per period")</f>
        <v>Cost per period</v>
      </c>
      <c r="M846" s="3"/>
      <c r="N846" s="3"/>
      <c r="O846" s="3" t="str">
        <f ca="1">IFERROR(__xludf.DUMMYFUNCTION("""COMPUTED_VALUE"""),"1280")</f>
        <v>1280</v>
      </c>
      <c r="P846" s="3" t="str">
        <f ca="1">IFERROR(__xludf.DUMMYFUNCTION("""COMPUTED_VALUE"""),"720")</f>
        <v>720</v>
      </c>
      <c r="Q846" s="3" t="str">
        <f ca="1">IFERROR(__xludf.DUMMYFUNCTION("""COMPUTED_VALUE"""),"16:9 / umístění po domluvě dle možností")</f>
        <v>16:9 / umístění po domluvě dle možností</v>
      </c>
      <c r="R846" s="3" t="str">
        <f ca="1">IFERROR(__xludf.DUMMYFUNCTION("""COMPUTED_VALUE"""),"přeskočení po 7 sekundách")</f>
        <v>přeskočení po 7 sekundách</v>
      </c>
      <c r="S846" s="3" t="str">
        <f ca="1">IFERROR(__xludf.DUMMYFUNCTION("""COMPUTED_VALUE"""),"100")</f>
        <v>100</v>
      </c>
      <c r="T846" s="3"/>
      <c r="U846" s="3" t="str">
        <f ca="1">IFERROR(__xludf.DUMMYFUNCTION("""COMPUTED_VALUE"""),"videospot")</f>
        <v>videospot</v>
      </c>
      <c r="V846" s="3"/>
      <c r="W846" s="4" t="str">
        <f ca="1">IFERROR(__xludf.DUMMYFUNCTION("""COMPUTED_VALUE"""),"https://reklama.cncenter.cz/Online/Bumper")</f>
        <v>https://reklama.cncenter.cz/Online/Bumper</v>
      </c>
      <c r="X846" s="3"/>
      <c r="Y846" s="3"/>
      <c r="Z846" s="3" t="str">
        <f ca="1">IFERROR(__xludf.DUMMYFUNCTION("""COMPUTED_VALUE"""),"podklady@cncenter.cz")</f>
        <v>podklady@cncenter.cz</v>
      </c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 t="str">
        <f ca="1">IFERROR(__xludf.DUMMYFUNCTION("""COMPUTED_VALUE"""),"cross-device")</f>
        <v>cross-device</v>
      </c>
      <c r="AO846" s="3"/>
      <c r="AP846" s="3"/>
      <c r="AQ846" s="3"/>
      <c r="AR846" s="3"/>
      <c r="AS846" s="3"/>
      <c r="AT846" s="3"/>
      <c r="AU846" s="3" t="str">
        <f ca="1">IFERROR(__xludf.DUMMYFUNCTION("""COMPUTED_VALUE"""),"videospot - max. 30 sec. / bumper")</f>
        <v>videospot - max. 30 sec. / bumper</v>
      </c>
    </row>
    <row r="847" spans="1:47" x14ac:dyDescent="0.3">
      <c r="A847" s="3">
        <f ca="1"/>
        <v>2346826</v>
      </c>
      <c r="B847" s="3" t="str">
        <f ca="1"/>
        <v>CZECH NEWS CENTER a. s.</v>
      </c>
      <c r="C847" s="3" t="str">
        <f ca="1">IFERROR(__xludf.DUMMYFUNCTION("""COMPUTED_VALUE"""),"Moto GP sport")</f>
        <v>Moto GP sport</v>
      </c>
      <c r="D847" s="4" t="str">
        <f ca="1">IFERROR(__xludf.DUMMYFUNCTION("""COMPUTED_VALUE"""),"https://motogpsport.cz")</f>
        <v>https://motogpsport.cz</v>
      </c>
      <c r="E847" s="3" t="str">
        <f ca="1">IFERROR(__xludf.DUMMYFUNCTION("""COMPUTED_VALUE"""),"celý web")</f>
        <v>celý web</v>
      </c>
      <c r="F847" s="4" t="str">
        <f ca="1">IFERROR(__xludf.DUMMYFUNCTION("""COMPUTED_VALUE"""),"https://motogpsport.cz")</f>
        <v>https://motogpsport.cz</v>
      </c>
      <c r="G847" s="3" t="str">
        <f ca="1">IFERROR(__xludf.DUMMYFUNCTION("""COMPUTED_VALUE"""),"Advertorial low season")</f>
        <v>Advertorial low season</v>
      </c>
      <c r="H847" s="3">
        <f ca="1">IFERROR(__xludf.DUMMYFUNCTION("""COMPUTED_VALUE"""),1)</f>
        <v>1</v>
      </c>
      <c r="I847" s="5">
        <f ca="1">IFERROR(__xludf.DUMMYFUNCTION("""COMPUTED_VALUE"""),1)</f>
        <v>1</v>
      </c>
      <c r="J847" s="5">
        <f ca="1">IFERROR(__xludf.DUMMYFUNCTION("""COMPUTED_VALUE"""),90000)</f>
        <v>90000</v>
      </c>
      <c r="K847" s="3"/>
      <c r="L847" s="3" t="str">
        <f ca="1">IFERROR(__xludf.DUMMYFUNCTION("""COMPUTED_VALUE"""),"Cost per instance")</f>
        <v>Cost per instance</v>
      </c>
      <c r="M847" s="3"/>
      <c r="N847" s="3"/>
      <c r="O847" s="3"/>
      <c r="P847" s="3"/>
      <c r="Q847" s="3"/>
      <c r="R847" s="3"/>
      <c r="S847" s="3" t="str">
        <f ca="1">IFERROR(__xludf.DUMMYFUNCTION("""COMPUTED_VALUE"""),"100")</f>
        <v>100</v>
      </c>
      <c r="T847" s="3"/>
      <c r="U847" s="3" t="str">
        <f ca="1">IFERROR(__xludf.DUMMYFUNCTION("""COMPUTED_VALUE"""),"pr článek")</f>
        <v>pr článek</v>
      </c>
      <c r="V847" s="3"/>
      <c r="W847" s="3"/>
      <c r="X847" s="3"/>
      <c r="Y847" s="3"/>
      <c r="Z847" s="3" t="str">
        <f ca="1">IFERROR(__xludf.DUMMYFUNCTION("""COMPUTED_VALUE"""),"podklady@cncenter.cz")</f>
        <v>podklady@cncenter.cz</v>
      </c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 t="str">
        <f ca="1">IFERROR(__xludf.DUMMYFUNCTION("""COMPUTED_VALUE"""),"cross-device")</f>
        <v>cross-device</v>
      </c>
      <c r="AO847" s="3"/>
      <c r="AP847" s="3"/>
      <c r="AQ847" s="3"/>
      <c r="AR847" s="3"/>
      <c r="AS847" s="3"/>
      <c r="AT847" s="3"/>
      <c r="AU847" s="3" t="str">
        <f ca="1">IFERROR(__xludf.DUMMYFUNCTION("""COMPUTED_VALUE"""),"Advertorial")</f>
        <v>Advertorial</v>
      </c>
    </row>
    <row r="848" spans="1:47" x14ac:dyDescent="0.3">
      <c r="A848" s="3">
        <f ca="1"/>
        <v>2346826</v>
      </c>
      <c r="B848" s="3" t="str">
        <f ca="1"/>
        <v>CZECH NEWS CENTER a. s.</v>
      </c>
      <c r="C848" s="3" t="str">
        <f ca="1">IFERROR(__xludf.DUMMYFUNCTION("""COMPUTED_VALUE"""),"Moto GP sport")</f>
        <v>Moto GP sport</v>
      </c>
      <c r="D848" s="4" t="str">
        <f ca="1">IFERROR(__xludf.DUMMYFUNCTION("""COMPUTED_VALUE"""),"https://motogpsport.cz")</f>
        <v>https://motogpsport.cz</v>
      </c>
      <c r="E848" s="3" t="str">
        <f ca="1">IFERROR(__xludf.DUMMYFUNCTION("""COMPUTED_VALUE"""),"celý web")</f>
        <v>celý web</v>
      </c>
      <c r="F848" s="4" t="str">
        <f ca="1">IFERROR(__xludf.DUMMYFUNCTION("""COMPUTED_VALUE"""),"https://motogpsport.cz")</f>
        <v>https://motogpsport.cz</v>
      </c>
      <c r="G848" s="3" t="str">
        <f ca="1">IFERROR(__xludf.DUMMYFUNCTION("""COMPUTED_VALUE"""),"billboard bottom low season")</f>
        <v>billboard bottom low season</v>
      </c>
      <c r="H848" s="3">
        <f ca="1">IFERROR(__xludf.DUMMYFUNCTION("""COMPUTED_VALUE"""),7)</f>
        <v>7</v>
      </c>
      <c r="I848" s="5">
        <f ca="1">IFERROR(__xludf.DUMMYFUNCTION("""COMPUTED_VALUE"""),1000)</f>
        <v>1000</v>
      </c>
      <c r="J848" s="5">
        <f ca="1">IFERROR(__xludf.DUMMYFUNCTION("""COMPUTED_VALUE"""),240)</f>
        <v>240</v>
      </c>
      <c r="K848" s="3"/>
      <c r="L848" s="3" t="str">
        <f ca="1">IFERROR(__xludf.DUMMYFUNCTION("""COMPUTED_VALUE"""),"Cost per period")</f>
        <v>Cost per period</v>
      </c>
      <c r="M848" s="3"/>
      <c r="N848" s="3"/>
      <c r="O848" s="3" t="str">
        <f ca="1">IFERROR(__xludf.DUMMYFUNCTION("""COMPUTED_VALUE"""),"970")</f>
        <v>970</v>
      </c>
      <c r="P848" s="3" t="str">
        <f ca="1">IFERROR(__xludf.DUMMYFUNCTION("""COMPUTED_VALUE"""),"250")</f>
        <v>250</v>
      </c>
      <c r="Q848" s="3" t="str">
        <f ca="1">IFERROR(__xludf.DUMMYFUNCTION("""COMPUTED_VALUE"""),"970x250")</f>
        <v>970x250</v>
      </c>
      <c r="R848" s="3"/>
      <c r="S848" s="3" t="str">
        <f ca="1">IFERROR(__xludf.DUMMYFUNCTION("""COMPUTED_VALUE"""),"100 (200 - HTML5)")</f>
        <v>100 (200 - HTML5)</v>
      </c>
      <c r="T848" s="3"/>
      <c r="U848" s="3" t="str">
        <f ca="1">IFERROR(__xludf.DUMMYFUNCTION("""COMPUTED_VALUE"""),"banner standard")</f>
        <v>banner standard</v>
      </c>
      <c r="V848" s="3"/>
      <c r="W848" s="4" t="str">
        <f ca="1">IFERROR(__xludf.DUMMYFUNCTION("""COMPUTED_VALUE"""),"https://reklama.cncenter.cz/Online/billboard-bottom")</f>
        <v>https://reklama.cncenter.cz/Online/billboard-bottom</v>
      </c>
      <c r="X848" s="3"/>
      <c r="Y848" s="3"/>
      <c r="Z848" s="3" t="str">
        <f ca="1">IFERROR(__xludf.DUMMYFUNCTION("""COMPUTED_VALUE"""),"podklady@cncenter.cz")</f>
        <v>podklady@cncenter.cz</v>
      </c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 t="str">
        <f ca="1">IFERROR(__xludf.DUMMYFUNCTION("""COMPUTED_VALUE"""),"desktop")</f>
        <v>desktop</v>
      </c>
      <c r="AO848" s="3"/>
      <c r="AP848" s="3"/>
      <c r="AQ848" s="3"/>
      <c r="AR848" s="3"/>
      <c r="AS848" s="3"/>
      <c r="AT848" s="3"/>
      <c r="AU848" s="3" t="str">
        <f ca="1">IFERROR(__xludf.DUMMYFUNCTION("""COMPUTED_VALUE"""),"billboard bottom")</f>
        <v>billboard bottom</v>
      </c>
    </row>
    <row r="849" spans="1:47" x14ac:dyDescent="0.3">
      <c r="A849" s="3">
        <f ca="1"/>
        <v>2346826</v>
      </c>
      <c r="B849" s="3" t="str">
        <f ca="1"/>
        <v>CZECH NEWS CENTER a. s.</v>
      </c>
      <c r="C849" s="3" t="str">
        <f ca="1">IFERROR(__xludf.DUMMYFUNCTION("""COMPUTED_VALUE"""),"Moto GP sport")</f>
        <v>Moto GP sport</v>
      </c>
      <c r="D849" s="4" t="str">
        <f ca="1">IFERROR(__xludf.DUMMYFUNCTION("""COMPUTED_VALUE"""),"https://motogpsport.cz")</f>
        <v>https://motogpsport.cz</v>
      </c>
      <c r="E849" s="3" t="str">
        <f ca="1">IFERROR(__xludf.DUMMYFUNCTION("""COMPUTED_VALUE"""),"celý web")</f>
        <v>celý web</v>
      </c>
      <c r="F849" s="4" t="str">
        <f ca="1">IFERROR(__xludf.DUMMYFUNCTION("""COMPUTED_VALUE"""),"https://motogpsport.cz")</f>
        <v>https://motogpsport.cz</v>
      </c>
      <c r="G849" s="3" t="str">
        <f ca="1">IFERROR(__xludf.DUMMYFUNCTION("""COMPUTED_VALUE"""),"branding cross-device low season")</f>
        <v>branding cross-device low season</v>
      </c>
      <c r="H849" s="3">
        <f ca="1">IFERROR(__xludf.DUMMYFUNCTION("""COMPUTED_VALUE"""),7)</f>
        <v>7</v>
      </c>
      <c r="I849" s="5">
        <f ca="1">IFERROR(__xludf.DUMMYFUNCTION("""COMPUTED_VALUE"""),1000)</f>
        <v>1000</v>
      </c>
      <c r="J849" s="5">
        <f ca="1">IFERROR(__xludf.DUMMYFUNCTION("""COMPUTED_VALUE"""),300)</f>
        <v>300</v>
      </c>
      <c r="K849" s="3"/>
      <c r="L849" s="3" t="str">
        <f ca="1">IFERROR(__xludf.DUMMYFUNCTION("""COMPUTED_VALUE"""),"Cost per period")</f>
        <v>Cost per period</v>
      </c>
      <c r="M849" s="3"/>
      <c r="N849" s="3"/>
      <c r="O849" s="3" t="str">
        <f ca="1">IFERROR(__xludf.DUMMYFUNCTION("""COMPUTED_VALUE"""),"2000")</f>
        <v>2000</v>
      </c>
      <c r="P849" s="3" t="str">
        <f ca="1">IFERROR(__xludf.DUMMYFUNCTION("""COMPUTED_VALUE"""),"1400")</f>
        <v>1400</v>
      </c>
      <c r="Q849" s="3" t="str">
        <f ca="1">IFERROR(__xludf.DUMMYFUNCTION("""COMPUTED_VALUE"""),"2000x1400 + 600x1080")</f>
        <v>2000x1400 + 600x1080</v>
      </c>
      <c r="R849" s="3"/>
      <c r="S849" s="3" t="str">
        <f ca="1">IFERROR(__xludf.DUMMYFUNCTION("""COMPUTED_VALUE"""),"500 (600 - HTLM5)")</f>
        <v>500 (600 - HTLM5)</v>
      </c>
      <c r="T849" s="3"/>
      <c r="U849" s="3" t="str">
        <f ca="1">IFERROR(__xludf.DUMMYFUNCTION("""COMPUTED_VALUE"""),"banner standard")</f>
        <v>banner standard</v>
      </c>
      <c r="V849" s="3"/>
      <c r="W849" s="4" t="str">
        <f ca="1">IFERROR(__xludf.DUMMYFUNCTION("""COMPUTED_VALUE"""),"https://reklama.cncenter.cz/Online/branding-cross-device")</f>
        <v>https://reklama.cncenter.cz/Online/branding-cross-device</v>
      </c>
      <c r="X849" s="3"/>
      <c r="Y849" s="3"/>
      <c r="Z849" s="3" t="str">
        <f ca="1">IFERROR(__xludf.DUMMYFUNCTION("""COMPUTED_VALUE"""),"podklady@cncenter.cz")</f>
        <v>podklady@cncenter.cz</v>
      </c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 t="str">
        <f ca="1">IFERROR(__xludf.DUMMYFUNCTION("""COMPUTED_VALUE"""),"cross-device")</f>
        <v>cross-device</v>
      </c>
      <c r="AO849" s="3"/>
      <c r="AP849" s="3"/>
      <c r="AQ849" s="3"/>
      <c r="AR849" s="3"/>
      <c r="AS849" s="3"/>
      <c r="AT849" s="3"/>
      <c r="AU849" s="3" t="str">
        <f ca="1">IFERROR(__xludf.DUMMYFUNCTION("""COMPUTED_VALUE"""),"branding cross-device")</f>
        <v>branding cross-device</v>
      </c>
    </row>
    <row r="850" spans="1:47" x14ac:dyDescent="0.3">
      <c r="A850" s="3">
        <f ca="1"/>
        <v>2346826</v>
      </c>
      <c r="B850" s="3" t="str">
        <f ca="1"/>
        <v>CZECH NEWS CENTER a. s.</v>
      </c>
      <c r="C850" s="3" t="str">
        <f ca="1">IFERROR(__xludf.DUMMYFUNCTION("""COMPUTED_VALUE"""),"Moto GP sport")</f>
        <v>Moto GP sport</v>
      </c>
      <c r="D850" s="4" t="str">
        <f ca="1">IFERROR(__xludf.DUMMYFUNCTION("""COMPUTED_VALUE"""),"https://motogpsport.cz")</f>
        <v>https://motogpsport.cz</v>
      </c>
      <c r="E850" s="3" t="str">
        <f ca="1">IFERROR(__xludf.DUMMYFUNCTION("""COMPUTED_VALUE"""),"celý web")</f>
        <v>celý web</v>
      </c>
      <c r="F850" s="4" t="str">
        <f ca="1">IFERROR(__xludf.DUMMYFUNCTION("""COMPUTED_VALUE"""),"https://motogpsport.cz")</f>
        <v>https://motogpsport.cz</v>
      </c>
      <c r="G850" s="3" t="str">
        <f ca="1">IFERROR(__xludf.DUMMYFUNCTION("""COMPUTED_VALUE"""),"branding low season")</f>
        <v>branding low season</v>
      </c>
      <c r="H850" s="3">
        <f ca="1">IFERROR(__xludf.DUMMYFUNCTION("""COMPUTED_VALUE"""),7)</f>
        <v>7</v>
      </c>
      <c r="I850" s="5">
        <f ca="1">IFERROR(__xludf.DUMMYFUNCTION("""COMPUTED_VALUE"""),1000)</f>
        <v>1000</v>
      </c>
      <c r="J850" s="5">
        <f ca="1">IFERROR(__xludf.DUMMYFUNCTION("""COMPUTED_VALUE"""),490)</f>
        <v>490</v>
      </c>
      <c r="K850" s="3"/>
      <c r="L850" s="3" t="str">
        <f ca="1">IFERROR(__xludf.DUMMYFUNCTION("""COMPUTED_VALUE"""),"Cost per period")</f>
        <v>Cost per period</v>
      </c>
      <c r="M850" s="3"/>
      <c r="N850" s="3"/>
      <c r="O850" s="3" t="str">
        <f ca="1">IFERROR(__xludf.DUMMYFUNCTION("""COMPUTED_VALUE"""),"2000")</f>
        <v>2000</v>
      </c>
      <c r="P850" s="3" t="str">
        <f ca="1">IFERROR(__xludf.DUMMYFUNCTION("""COMPUTED_VALUE"""),"1400")</f>
        <v>1400</v>
      </c>
      <c r="Q850" s="3" t="str">
        <f ca="1">IFERROR(__xludf.DUMMYFUNCTION("""COMPUTED_VALUE"""),"2000x1400")</f>
        <v>2000x1400</v>
      </c>
      <c r="R850" s="3"/>
      <c r="S850" s="3" t="str">
        <f ca="1">IFERROR(__xludf.DUMMYFUNCTION("""COMPUTED_VALUE"""),"500 + 200 (600+200 HTML5)")</f>
        <v>500 + 200 (600+200 HTML5)</v>
      </c>
      <c r="T850" s="3"/>
      <c r="U850" s="3" t="str">
        <f ca="1">IFERROR(__xludf.DUMMYFUNCTION("""COMPUTED_VALUE"""),"banner standard")</f>
        <v>banner standard</v>
      </c>
      <c r="V850" s="3"/>
      <c r="W850" s="4" t="str">
        <f ca="1">IFERROR(__xludf.DUMMYFUNCTION("""COMPUTED_VALUE"""),"https://reklama.cncenter.cz/Online/branding")</f>
        <v>https://reklama.cncenter.cz/Online/branding</v>
      </c>
      <c r="X850" s="3"/>
      <c r="Y850" s="3"/>
      <c r="Z850" s="3" t="str">
        <f ca="1">IFERROR(__xludf.DUMMYFUNCTION("""COMPUTED_VALUE"""),"podklady@cncenter.cz")</f>
        <v>podklady@cncenter.cz</v>
      </c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 t="str">
        <f ca="1">IFERROR(__xludf.DUMMYFUNCTION("""COMPUTED_VALUE"""),"desktop")</f>
        <v>desktop</v>
      </c>
      <c r="AO850" s="3"/>
      <c r="AP850" s="3"/>
      <c r="AQ850" s="3"/>
      <c r="AR850" s="3"/>
      <c r="AS850" s="3"/>
      <c r="AT850" s="3"/>
      <c r="AU850" s="3" t="str">
        <f ca="1">IFERROR(__xludf.DUMMYFUNCTION("""COMPUTED_VALUE"""),"branding")</f>
        <v>branding</v>
      </c>
    </row>
    <row r="851" spans="1:47" x14ac:dyDescent="0.3">
      <c r="A851" s="3">
        <f ca="1"/>
        <v>2346826</v>
      </c>
      <c r="B851" s="3" t="str">
        <f ca="1"/>
        <v>CZECH NEWS CENTER a. s.</v>
      </c>
      <c r="C851" s="3" t="str">
        <f ca="1">IFERROR(__xludf.DUMMYFUNCTION("""COMPUTED_VALUE"""),"Moto GP sport")</f>
        <v>Moto GP sport</v>
      </c>
      <c r="D851" s="4" t="str">
        <f ca="1">IFERROR(__xludf.DUMMYFUNCTION("""COMPUTED_VALUE"""),"https://motogpsport.cz")</f>
        <v>https://motogpsport.cz</v>
      </c>
      <c r="E851" s="3" t="str">
        <f ca="1">IFERROR(__xludf.DUMMYFUNCTION("""COMPUTED_VALUE"""),"celý web")</f>
        <v>celý web</v>
      </c>
      <c r="F851" s="4" t="str">
        <f ca="1">IFERROR(__xludf.DUMMYFUNCTION("""COMPUTED_VALUE"""),"https://motogpsport.cz")</f>
        <v>https://motogpsport.cz</v>
      </c>
      <c r="G851" s="3" t="str">
        <f ca="1">IFERROR(__xludf.DUMMYFUNCTION("""COMPUTED_VALUE"""),"cílený billboard bottom low season")</f>
        <v>cílený billboard bottom low season</v>
      </c>
      <c r="H851" s="3">
        <f ca="1">IFERROR(__xludf.DUMMYFUNCTION("""COMPUTED_VALUE"""),7)</f>
        <v>7</v>
      </c>
      <c r="I851" s="5">
        <f ca="1">IFERROR(__xludf.DUMMYFUNCTION("""COMPUTED_VALUE"""),1000)</f>
        <v>1000</v>
      </c>
      <c r="J851" s="5">
        <f ca="1">IFERROR(__xludf.DUMMYFUNCTION("""COMPUTED_VALUE"""),288)</f>
        <v>288</v>
      </c>
      <c r="K851" s="3"/>
      <c r="L851" s="3" t="str">
        <f ca="1">IFERROR(__xludf.DUMMYFUNCTION("""COMPUTED_VALUE"""),"Cost per period")</f>
        <v>Cost per period</v>
      </c>
      <c r="M851" s="3"/>
      <c r="N851" s="3"/>
      <c r="O851" s="3" t="str">
        <f ca="1">IFERROR(__xludf.DUMMYFUNCTION("""COMPUTED_VALUE"""),"970")</f>
        <v>970</v>
      </c>
      <c r="P851" s="3" t="str">
        <f ca="1">IFERROR(__xludf.DUMMYFUNCTION("""COMPUTED_VALUE"""),"250")</f>
        <v>250</v>
      </c>
      <c r="Q851" s="3" t="str">
        <f ca="1">IFERROR(__xludf.DUMMYFUNCTION("""COMPUTED_VALUE"""),"970x250")</f>
        <v>970x250</v>
      </c>
      <c r="R851" s="3"/>
      <c r="S851" s="3" t="str">
        <f ca="1">IFERROR(__xludf.DUMMYFUNCTION("""COMPUTED_VALUE"""),"100 (200 - HTML5)")</f>
        <v>100 (200 - HTML5)</v>
      </c>
      <c r="T851" s="3"/>
      <c r="U851" s="3" t="str">
        <f ca="1">IFERROR(__xludf.DUMMYFUNCTION("""COMPUTED_VALUE"""),"banner standard")</f>
        <v>banner standard</v>
      </c>
      <c r="V851" s="3"/>
      <c r="W851" s="4" t="str">
        <f ca="1">IFERROR(__xludf.DUMMYFUNCTION("""COMPUTED_VALUE"""),"https://reklama.cncenter.cz/Online/billboard-bottom")</f>
        <v>https://reklama.cncenter.cz/Online/billboard-bottom</v>
      </c>
      <c r="X851" s="3"/>
      <c r="Y851" s="3"/>
      <c r="Z851" s="3" t="str">
        <f ca="1">IFERROR(__xludf.DUMMYFUNCTION("""COMPUTED_VALUE"""),"podklady@cncenter.cz")</f>
        <v>podklady@cncenter.cz</v>
      </c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 t="str">
        <f ca="1">IFERROR(__xludf.DUMMYFUNCTION("""COMPUTED_VALUE"""),"desktop")</f>
        <v>desktop</v>
      </c>
      <c r="AO851" s="3"/>
      <c r="AP851" s="3"/>
      <c r="AQ851" s="3"/>
      <c r="AR851" s="3"/>
      <c r="AS851" s="3"/>
      <c r="AT851" s="3"/>
      <c r="AU851" s="3" t="str">
        <f ca="1">IFERROR(__xludf.DUMMYFUNCTION("""COMPUTED_VALUE"""),"cílený billboard bottom")</f>
        <v>cílený billboard bottom</v>
      </c>
    </row>
    <row r="852" spans="1:47" x14ac:dyDescent="0.3">
      <c r="A852" s="3">
        <f ca="1"/>
        <v>2346826</v>
      </c>
      <c r="B852" s="3" t="str">
        <f ca="1"/>
        <v>CZECH NEWS CENTER a. s.</v>
      </c>
      <c r="C852" s="3" t="str">
        <f ca="1">IFERROR(__xludf.DUMMYFUNCTION("""COMPUTED_VALUE"""),"Moto GP sport")</f>
        <v>Moto GP sport</v>
      </c>
      <c r="D852" s="4" t="str">
        <f ca="1">IFERROR(__xludf.DUMMYFUNCTION("""COMPUTED_VALUE"""),"https://motogpsport.cz")</f>
        <v>https://motogpsport.cz</v>
      </c>
      <c r="E852" s="3" t="str">
        <f ca="1">IFERROR(__xludf.DUMMYFUNCTION("""COMPUTED_VALUE"""),"celý web")</f>
        <v>celý web</v>
      </c>
      <c r="F852" s="4" t="str">
        <f ca="1">IFERROR(__xludf.DUMMYFUNCTION("""COMPUTED_VALUE"""),"https://motogpsport.cz")</f>
        <v>https://motogpsport.cz</v>
      </c>
      <c r="G852" s="3" t="str">
        <f ca="1">IFERROR(__xludf.DUMMYFUNCTION("""COMPUTED_VALUE"""),"cílený branding cross-device low season")</f>
        <v>cílený branding cross-device low season</v>
      </c>
      <c r="H852" s="3">
        <f ca="1">IFERROR(__xludf.DUMMYFUNCTION("""COMPUTED_VALUE"""),7)</f>
        <v>7</v>
      </c>
      <c r="I852" s="5">
        <f ca="1">IFERROR(__xludf.DUMMYFUNCTION("""COMPUTED_VALUE"""),1000)</f>
        <v>1000</v>
      </c>
      <c r="J852" s="5">
        <f ca="1">IFERROR(__xludf.DUMMYFUNCTION("""COMPUTED_VALUE"""),360)</f>
        <v>360</v>
      </c>
      <c r="K852" s="3"/>
      <c r="L852" s="3" t="str">
        <f ca="1">IFERROR(__xludf.DUMMYFUNCTION("""COMPUTED_VALUE"""),"Cost per period")</f>
        <v>Cost per period</v>
      </c>
      <c r="M852" s="3"/>
      <c r="N852" s="3"/>
      <c r="O852" s="3" t="str">
        <f ca="1">IFERROR(__xludf.DUMMYFUNCTION("""COMPUTED_VALUE"""),"2000")</f>
        <v>2000</v>
      </c>
      <c r="P852" s="3" t="str">
        <f ca="1">IFERROR(__xludf.DUMMYFUNCTION("""COMPUTED_VALUE"""),"1400")</f>
        <v>1400</v>
      </c>
      <c r="Q852" s="3" t="str">
        <f ca="1">IFERROR(__xludf.DUMMYFUNCTION("""COMPUTED_VALUE"""),"2000x1400 + 600x1080")</f>
        <v>2000x1400 + 600x1080</v>
      </c>
      <c r="R852" s="3"/>
      <c r="S852" s="3" t="str">
        <f ca="1">IFERROR(__xludf.DUMMYFUNCTION("""COMPUTED_VALUE"""),"500 (600 - HTLM5)")</f>
        <v>500 (600 - HTLM5)</v>
      </c>
      <c r="T852" s="3"/>
      <c r="U852" s="3" t="str">
        <f ca="1">IFERROR(__xludf.DUMMYFUNCTION("""COMPUTED_VALUE"""),"banner standard")</f>
        <v>banner standard</v>
      </c>
      <c r="V852" s="3"/>
      <c r="W852" s="4" t="str">
        <f ca="1">IFERROR(__xludf.DUMMYFUNCTION("""COMPUTED_VALUE"""),"https://reklama.cncenter.cz/Online/branding-cross-device")</f>
        <v>https://reklama.cncenter.cz/Online/branding-cross-device</v>
      </c>
      <c r="X852" s="3"/>
      <c r="Y852" s="3"/>
      <c r="Z852" s="3" t="str">
        <f ca="1">IFERROR(__xludf.DUMMYFUNCTION("""COMPUTED_VALUE"""),"podklady@cncenter.cz")</f>
        <v>podklady@cncenter.cz</v>
      </c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 t="str">
        <f ca="1">IFERROR(__xludf.DUMMYFUNCTION("""COMPUTED_VALUE"""),"cross-device")</f>
        <v>cross-device</v>
      </c>
      <c r="AO852" s="3"/>
      <c r="AP852" s="3"/>
      <c r="AQ852" s="3"/>
      <c r="AR852" s="3"/>
      <c r="AS852" s="3"/>
      <c r="AT852" s="3"/>
      <c r="AU852" s="3" t="str">
        <f ca="1">IFERROR(__xludf.DUMMYFUNCTION("""COMPUTED_VALUE"""),"cílený branding cross-device")</f>
        <v>cílený branding cross-device</v>
      </c>
    </row>
    <row r="853" spans="1:47" x14ac:dyDescent="0.3">
      <c r="A853" s="3">
        <f ca="1"/>
        <v>2346826</v>
      </c>
      <c r="B853" s="3" t="str">
        <f ca="1"/>
        <v>CZECH NEWS CENTER a. s.</v>
      </c>
      <c r="C853" s="3" t="str">
        <f ca="1">IFERROR(__xludf.DUMMYFUNCTION("""COMPUTED_VALUE"""),"Moto GP sport")</f>
        <v>Moto GP sport</v>
      </c>
      <c r="D853" s="4" t="str">
        <f ca="1">IFERROR(__xludf.DUMMYFUNCTION("""COMPUTED_VALUE"""),"https://motogpsport.cz")</f>
        <v>https://motogpsport.cz</v>
      </c>
      <c r="E853" s="3" t="str">
        <f ca="1">IFERROR(__xludf.DUMMYFUNCTION("""COMPUTED_VALUE"""),"celý web")</f>
        <v>celý web</v>
      </c>
      <c r="F853" s="4" t="str">
        <f ca="1">IFERROR(__xludf.DUMMYFUNCTION("""COMPUTED_VALUE"""),"https://motogpsport.cz")</f>
        <v>https://motogpsport.cz</v>
      </c>
      <c r="G853" s="3" t="str">
        <f ca="1">IFERROR(__xludf.DUMMYFUNCTION("""COMPUTED_VALUE"""),"cílený branding low season")</f>
        <v>cílený branding low season</v>
      </c>
      <c r="H853" s="3">
        <f ca="1">IFERROR(__xludf.DUMMYFUNCTION("""COMPUTED_VALUE"""),7)</f>
        <v>7</v>
      </c>
      <c r="I853" s="5">
        <f ca="1">IFERROR(__xludf.DUMMYFUNCTION("""COMPUTED_VALUE"""),1000)</f>
        <v>1000</v>
      </c>
      <c r="J853" s="5">
        <f ca="1">IFERROR(__xludf.DUMMYFUNCTION("""COMPUTED_VALUE"""),588)</f>
        <v>588</v>
      </c>
      <c r="K853" s="3"/>
      <c r="L853" s="3" t="str">
        <f ca="1">IFERROR(__xludf.DUMMYFUNCTION("""COMPUTED_VALUE"""),"Cost per period")</f>
        <v>Cost per period</v>
      </c>
      <c r="M853" s="3"/>
      <c r="N853" s="3"/>
      <c r="O853" s="3" t="str">
        <f ca="1">IFERROR(__xludf.DUMMYFUNCTION("""COMPUTED_VALUE"""),"2000")</f>
        <v>2000</v>
      </c>
      <c r="P853" s="3" t="str">
        <f ca="1">IFERROR(__xludf.DUMMYFUNCTION("""COMPUTED_VALUE"""),"1400")</f>
        <v>1400</v>
      </c>
      <c r="Q853" s="3" t="str">
        <f ca="1">IFERROR(__xludf.DUMMYFUNCTION("""COMPUTED_VALUE"""),"2000x1400")</f>
        <v>2000x1400</v>
      </c>
      <c r="R853" s="3"/>
      <c r="S853" s="3" t="str">
        <f ca="1">IFERROR(__xludf.DUMMYFUNCTION("""COMPUTED_VALUE"""),"500 + 200 (600+200 HTML5)")</f>
        <v>500 + 200 (600+200 HTML5)</v>
      </c>
      <c r="T853" s="3"/>
      <c r="U853" s="3" t="str">
        <f ca="1">IFERROR(__xludf.DUMMYFUNCTION("""COMPUTED_VALUE"""),"banner standard")</f>
        <v>banner standard</v>
      </c>
      <c r="V853" s="3"/>
      <c r="W853" s="4" t="str">
        <f ca="1">IFERROR(__xludf.DUMMYFUNCTION("""COMPUTED_VALUE"""),"https://reklama.cncenter.cz/Online/branding")</f>
        <v>https://reklama.cncenter.cz/Online/branding</v>
      </c>
      <c r="X853" s="3"/>
      <c r="Y853" s="3"/>
      <c r="Z853" s="3" t="str">
        <f ca="1">IFERROR(__xludf.DUMMYFUNCTION("""COMPUTED_VALUE"""),"podklady@cncenter.cz")</f>
        <v>podklady@cncenter.cz</v>
      </c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 t="str">
        <f ca="1">IFERROR(__xludf.DUMMYFUNCTION("""COMPUTED_VALUE"""),"desktop")</f>
        <v>desktop</v>
      </c>
      <c r="AO853" s="3"/>
      <c r="AP853" s="3"/>
      <c r="AQ853" s="3"/>
      <c r="AR853" s="3"/>
      <c r="AS853" s="3"/>
      <c r="AT853" s="3"/>
      <c r="AU853" s="3" t="str">
        <f ca="1">IFERROR(__xludf.DUMMYFUNCTION("""COMPUTED_VALUE"""),"cílený branding")</f>
        <v>cílený branding</v>
      </c>
    </row>
    <row r="854" spans="1:47" x14ac:dyDescent="0.3">
      <c r="A854" s="3">
        <f ca="1"/>
        <v>2346826</v>
      </c>
      <c r="B854" s="3" t="str">
        <f ca="1"/>
        <v>CZECH NEWS CENTER a. s.</v>
      </c>
      <c r="C854" s="3" t="str">
        <f ca="1">IFERROR(__xludf.DUMMYFUNCTION("""COMPUTED_VALUE"""),"Moto GP sport")</f>
        <v>Moto GP sport</v>
      </c>
      <c r="D854" s="4" t="str">
        <f ca="1">IFERROR(__xludf.DUMMYFUNCTION("""COMPUTED_VALUE"""),"https://motogpsport.cz")</f>
        <v>https://motogpsport.cz</v>
      </c>
      <c r="E854" s="3" t="str">
        <f ca="1">IFERROR(__xludf.DUMMYFUNCTION("""COMPUTED_VALUE"""),"celý web")</f>
        <v>celý web</v>
      </c>
      <c r="F854" s="4" t="str">
        <f ca="1">IFERROR(__xludf.DUMMYFUNCTION("""COMPUTED_VALUE"""),"https://motogpsport.cz")</f>
        <v>https://motogpsport.cz</v>
      </c>
      <c r="G854" s="3" t="str">
        <f ca="1">IFERROR(__xludf.DUMMYFUNCTION("""COMPUTED_VALUE"""),"cílený double skyscraper low season")</f>
        <v>cílený double skyscraper low season</v>
      </c>
      <c r="H854" s="3">
        <f ca="1">IFERROR(__xludf.DUMMYFUNCTION("""COMPUTED_VALUE"""),7)</f>
        <v>7</v>
      </c>
      <c r="I854" s="5">
        <f ca="1">IFERROR(__xludf.DUMMYFUNCTION("""COMPUTED_VALUE"""),1000)</f>
        <v>1000</v>
      </c>
      <c r="J854" s="5">
        <f ca="1">IFERROR(__xludf.DUMMYFUNCTION("""COMPUTED_VALUE"""),228)</f>
        <v>228</v>
      </c>
      <c r="K854" s="3"/>
      <c r="L854" s="3" t="str">
        <f ca="1">IFERROR(__xludf.DUMMYFUNCTION("""COMPUTED_VALUE"""),"Cost per period")</f>
        <v>Cost per period</v>
      </c>
      <c r="M854" s="3"/>
      <c r="N854" s="3"/>
      <c r="O854" s="3" t="str">
        <f ca="1">IFERROR(__xludf.DUMMYFUNCTION("""COMPUTED_VALUE"""),"300")</f>
        <v>300</v>
      </c>
      <c r="P854" s="3" t="str">
        <f ca="1">IFERROR(__xludf.DUMMYFUNCTION("""COMPUTED_VALUE"""),"600")</f>
        <v>600</v>
      </c>
      <c r="Q854" s="3" t="str">
        <f ca="1">IFERROR(__xludf.DUMMYFUNCTION("""COMPUTED_VALUE"""),"300x600")</f>
        <v>300x600</v>
      </c>
      <c r="R854" s="3"/>
      <c r="S854" s="3" t="str">
        <f ca="1">IFERROR(__xludf.DUMMYFUNCTION("""COMPUTED_VALUE"""),"100 (200 - HTML5)")</f>
        <v>100 (200 - HTML5)</v>
      </c>
      <c r="T854" s="3"/>
      <c r="U854" s="3" t="str">
        <f ca="1">IFERROR(__xludf.DUMMYFUNCTION("""COMPUTED_VALUE"""),"banner standard")</f>
        <v>banner standard</v>
      </c>
      <c r="V854" s="3"/>
      <c r="W854" s="4" t="str">
        <f ca="1">IFERROR(__xludf.DUMMYFUNCTION("""COMPUTED_VALUE"""),"https://reklama.cncenter.cz/Online/double-skyscraper")</f>
        <v>https://reklama.cncenter.cz/Online/double-skyscraper</v>
      </c>
      <c r="X854" s="3"/>
      <c r="Y854" s="3"/>
      <c r="Z854" s="3" t="str">
        <f ca="1">IFERROR(__xludf.DUMMYFUNCTION("""COMPUTED_VALUE"""),"podklady@cncenter.cz")</f>
        <v>podklady@cncenter.cz</v>
      </c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 t="str">
        <f ca="1">IFERROR(__xludf.DUMMYFUNCTION("""COMPUTED_VALUE"""),"desktop")</f>
        <v>desktop</v>
      </c>
      <c r="AO854" s="3"/>
      <c r="AP854" s="3"/>
      <c r="AQ854" s="3"/>
      <c r="AR854" s="3"/>
      <c r="AS854" s="3"/>
      <c r="AT854" s="3"/>
      <c r="AU854" s="3" t="str">
        <f ca="1">IFERROR(__xludf.DUMMYFUNCTION("""COMPUTED_VALUE"""),"cílený double skyscraper")</f>
        <v>cílený double skyscraper</v>
      </c>
    </row>
    <row r="855" spans="1:47" x14ac:dyDescent="0.3">
      <c r="A855" s="3">
        <f ca="1"/>
        <v>2346826</v>
      </c>
      <c r="B855" s="3" t="str">
        <f ca="1"/>
        <v>CZECH NEWS CENTER a. s.</v>
      </c>
      <c r="C855" s="3" t="str">
        <f ca="1">IFERROR(__xludf.DUMMYFUNCTION("""COMPUTED_VALUE"""),"Moto GP sport")</f>
        <v>Moto GP sport</v>
      </c>
      <c r="D855" s="4" t="str">
        <f ca="1">IFERROR(__xludf.DUMMYFUNCTION("""COMPUTED_VALUE"""),"https://motogpsport.cz")</f>
        <v>https://motogpsport.cz</v>
      </c>
      <c r="E855" s="3" t="str">
        <f ca="1">IFERROR(__xludf.DUMMYFUNCTION("""COMPUTED_VALUE"""),"celý web")</f>
        <v>celý web</v>
      </c>
      <c r="F855" s="4" t="str">
        <f ca="1">IFERROR(__xludf.DUMMYFUNCTION("""COMPUTED_VALUE"""),"https://motogpsport.cz")</f>
        <v>https://motogpsport.cz</v>
      </c>
      <c r="G855" s="3" t="str">
        <f ca="1">IFERROR(__xludf.DUMMYFUNCTION("""COMPUTED_VALUE"""),"cílený mobilní interscroller low season")</f>
        <v>cílený mobilní interscroller low season</v>
      </c>
      <c r="H855" s="3">
        <f ca="1">IFERROR(__xludf.DUMMYFUNCTION("""COMPUTED_VALUE"""),7)</f>
        <v>7</v>
      </c>
      <c r="I855" s="5">
        <f ca="1">IFERROR(__xludf.DUMMYFUNCTION("""COMPUTED_VALUE"""),1000)</f>
        <v>1000</v>
      </c>
      <c r="J855" s="5">
        <f ca="1">IFERROR(__xludf.DUMMYFUNCTION("""COMPUTED_VALUE"""),300)</f>
        <v>300</v>
      </c>
      <c r="K855" s="3"/>
      <c r="L855" s="3" t="str">
        <f ca="1">IFERROR(__xludf.DUMMYFUNCTION("""COMPUTED_VALUE"""),"Cost per period")</f>
        <v>Cost per period</v>
      </c>
      <c r="M855" s="3"/>
      <c r="N855" s="3"/>
      <c r="O855" s="3" t="str">
        <f ca="1">IFERROR(__xludf.DUMMYFUNCTION("""COMPUTED_VALUE"""),"600")</f>
        <v>600</v>
      </c>
      <c r="P855" s="3" t="str">
        <f ca="1">IFERROR(__xludf.DUMMYFUNCTION("""COMPUTED_VALUE"""),"1080")</f>
        <v>1080</v>
      </c>
      <c r="Q855" s="3" t="str">
        <f ca="1">IFERROR(__xludf.DUMMYFUNCTION("""COMPUTED_VALUE"""),"600x1080")</f>
        <v>600x1080</v>
      </c>
      <c r="R855" s="3"/>
      <c r="S855" s="3" t="str">
        <f ca="1">IFERROR(__xludf.DUMMYFUNCTION("""COMPUTED_VALUE"""),"200")</f>
        <v>200</v>
      </c>
      <c r="T855" s="3"/>
      <c r="U855" s="3" t="str">
        <f ca="1">IFERROR(__xludf.DUMMYFUNCTION("""COMPUTED_VALUE"""),"banner standard")</f>
        <v>banner standard</v>
      </c>
      <c r="V855" s="3"/>
      <c r="W855" s="4" t="str">
        <f ca="1">IFERROR(__xludf.DUMMYFUNCTION("""COMPUTED_VALUE"""),"https://reklama.cncenter.cz/Online/mobilni-interscroller")</f>
        <v>https://reklama.cncenter.cz/Online/mobilni-interscroller</v>
      </c>
      <c r="X855" s="3"/>
      <c r="Y855" s="3"/>
      <c r="Z855" s="3" t="str">
        <f ca="1">IFERROR(__xludf.DUMMYFUNCTION("""COMPUTED_VALUE"""),"podklady@cncenter.cz")</f>
        <v>podklady@cncenter.cz</v>
      </c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 t="str">
        <f ca="1">IFERROR(__xludf.DUMMYFUNCTION("""COMPUTED_VALUE"""),"mobile")</f>
        <v>mobile</v>
      </c>
      <c r="AO855" s="3"/>
      <c r="AP855" s="3"/>
      <c r="AQ855" s="3"/>
      <c r="AR855" s="3"/>
      <c r="AS855" s="3"/>
      <c r="AT855" s="3"/>
      <c r="AU855" s="3" t="str">
        <f ca="1">IFERROR(__xludf.DUMMYFUNCTION("""COMPUTED_VALUE"""),"cílený mobilní interscroller")</f>
        <v>cílený mobilní interscroller</v>
      </c>
    </row>
    <row r="856" spans="1:47" x14ac:dyDescent="0.3">
      <c r="A856" s="3">
        <f ca="1"/>
        <v>2346826</v>
      </c>
      <c r="B856" s="3" t="str">
        <f ca="1"/>
        <v>CZECH NEWS CENTER a. s.</v>
      </c>
      <c r="C856" s="3" t="str">
        <f ca="1">IFERROR(__xludf.DUMMYFUNCTION("""COMPUTED_VALUE"""),"Moto GP sport")</f>
        <v>Moto GP sport</v>
      </c>
      <c r="D856" s="4" t="str">
        <f ca="1">IFERROR(__xludf.DUMMYFUNCTION("""COMPUTED_VALUE"""),"https://motogpsport.cz")</f>
        <v>https://motogpsport.cz</v>
      </c>
      <c r="E856" s="3" t="str">
        <f ca="1">IFERROR(__xludf.DUMMYFUNCTION("""COMPUTED_VALUE"""),"celý web")</f>
        <v>celý web</v>
      </c>
      <c r="F856" s="4" t="str">
        <f ca="1">IFERROR(__xludf.DUMMYFUNCTION("""COMPUTED_VALUE"""),"https://motogpsport.cz")</f>
        <v>https://motogpsport.cz</v>
      </c>
      <c r="G856" s="3" t="str">
        <f ca="1">IFERROR(__xludf.DUMMYFUNCTION("""COMPUTED_VALUE"""),"cílený mobilní slide-up low season")</f>
        <v>cílený mobilní slide-up low season</v>
      </c>
      <c r="H856" s="3">
        <f ca="1">IFERROR(__xludf.DUMMYFUNCTION("""COMPUTED_VALUE"""),7)</f>
        <v>7</v>
      </c>
      <c r="I856" s="5">
        <f ca="1">IFERROR(__xludf.DUMMYFUNCTION("""COMPUTED_VALUE"""),1000)</f>
        <v>1000</v>
      </c>
      <c r="J856" s="5">
        <f ca="1">IFERROR(__xludf.DUMMYFUNCTION("""COMPUTED_VALUE"""),612)</f>
        <v>612</v>
      </c>
      <c r="K856" s="3"/>
      <c r="L856" s="3" t="str">
        <f ca="1">IFERROR(__xludf.DUMMYFUNCTION("""COMPUTED_VALUE"""),"Cost per period")</f>
        <v>Cost per period</v>
      </c>
      <c r="M856" s="3"/>
      <c r="N856" s="3"/>
      <c r="O856" s="3" t="str">
        <f ca="1">IFERROR(__xludf.DUMMYFUNCTION("""COMPUTED_VALUE"""),"300")</f>
        <v>300</v>
      </c>
      <c r="P856" s="3" t="str">
        <f ca="1">IFERROR(__xludf.DUMMYFUNCTION("""COMPUTED_VALUE"""),"120")</f>
        <v>120</v>
      </c>
      <c r="Q856" s="3" t="str">
        <f ca="1">IFERROR(__xludf.DUMMYFUNCTION("""COMPUTED_VALUE"""),"300x120")</f>
        <v>300x120</v>
      </c>
      <c r="R856" s="3"/>
      <c r="S856" s="3" t="str">
        <f ca="1">IFERROR(__xludf.DUMMYFUNCTION("""COMPUTED_VALUE"""),"100")</f>
        <v>100</v>
      </c>
      <c r="T856" s="3"/>
      <c r="U856" s="3" t="str">
        <f ca="1">IFERROR(__xludf.DUMMYFUNCTION("""COMPUTED_VALUE"""),"banner standard")</f>
        <v>banner standard</v>
      </c>
      <c r="V856" s="3"/>
      <c r="W856" s="4" t="str">
        <f ca="1">IFERROR(__xludf.DUMMYFUNCTION("""COMPUTED_VALUE"""),"https://reklama.cncenter.cz/Online/mobilni-slide-up")</f>
        <v>https://reklama.cncenter.cz/Online/mobilni-slide-up</v>
      </c>
      <c r="X856" s="3"/>
      <c r="Y856" s="3"/>
      <c r="Z856" s="3" t="str">
        <f ca="1">IFERROR(__xludf.DUMMYFUNCTION("""COMPUTED_VALUE"""),"podklady@cncenter.cz")</f>
        <v>podklady@cncenter.cz</v>
      </c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 t="str">
        <f ca="1">IFERROR(__xludf.DUMMYFUNCTION("""COMPUTED_VALUE"""),"mobile")</f>
        <v>mobile</v>
      </c>
      <c r="AO856" s="3"/>
      <c r="AP856" s="3"/>
      <c r="AQ856" s="3"/>
      <c r="AR856" s="3"/>
      <c r="AS856" s="3"/>
      <c r="AT856" s="3"/>
      <c r="AU856" s="3" t="str">
        <f ca="1">IFERROR(__xludf.DUMMYFUNCTION("""COMPUTED_VALUE"""),"cílený mobilní slide-up")</f>
        <v>cílený mobilní slide-up</v>
      </c>
    </row>
    <row r="857" spans="1:47" x14ac:dyDescent="0.3">
      <c r="A857" s="3">
        <f ca="1"/>
        <v>2346826</v>
      </c>
      <c r="B857" s="3" t="str">
        <f ca="1"/>
        <v>CZECH NEWS CENTER a. s.</v>
      </c>
      <c r="C857" s="3" t="str">
        <f ca="1">IFERROR(__xludf.DUMMYFUNCTION("""COMPUTED_VALUE"""),"Moto GP sport")</f>
        <v>Moto GP sport</v>
      </c>
      <c r="D857" s="4" t="str">
        <f ca="1">IFERROR(__xludf.DUMMYFUNCTION("""COMPUTED_VALUE"""),"https://motogpsport.cz")</f>
        <v>https://motogpsport.cz</v>
      </c>
      <c r="E857" s="3" t="str">
        <f ca="1">IFERROR(__xludf.DUMMYFUNCTION("""COMPUTED_VALUE"""),"celý web")</f>
        <v>celý web</v>
      </c>
      <c r="F857" s="4" t="str">
        <f ca="1">IFERROR(__xludf.DUMMYFUNCTION("""COMPUTED_VALUE"""),"https://motogpsport.cz")</f>
        <v>https://motogpsport.cz</v>
      </c>
      <c r="G857" s="3" t="str">
        <f ca="1">IFERROR(__xludf.DUMMYFUNCTION("""COMPUTED_VALUE"""),"cílený mobilní viněta low season")</f>
        <v>cílený mobilní viněta low season</v>
      </c>
      <c r="H857" s="3">
        <f ca="1">IFERROR(__xludf.DUMMYFUNCTION("""COMPUTED_VALUE"""),7)</f>
        <v>7</v>
      </c>
      <c r="I857" s="5">
        <f ca="1">IFERROR(__xludf.DUMMYFUNCTION("""COMPUTED_VALUE"""),1000)</f>
        <v>1000</v>
      </c>
      <c r="J857" s="5">
        <f ca="1">IFERROR(__xludf.DUMMYFUNCTION("""COMPUTED_VALUE"""),1056)</f>
        <v>1056</v>
      </c>
      <c r="K857" s="3"/>
      <c r="L857" s="3" t="str">
        <f ca="1">IFERROR(__xludf.DUMMYFUNCTION("""COMPUTED_VALUE"""),"Cost per period")</f>
        <v>Cost per period</v>
      </c>
      <c r="M857" s="3"/>
      <c r="N857" s="3"/>
      <c r="O857" s="3" t="str">
        <f ca="1">IFERROR(__xludf.DUMMYFUNCTION("""COMPUTED_VALUE"""),"600")</f>
        <v>600</v>
      </c>
      <c r="P857" s="3" t="str">
        <f ca="1">IFERROR(__xludf.DUMMYFUNCTION("""COMPUTED_VALUE"""),"800")</f>
        <v>800</v>
      </c>
      <c r="Q857" s="3" t="str">
        <f ca="1">IFERROR(__xludf.DUMMYFUNCTION("""COMPUTED_VALUE"""),"300x250 nebo 600x800")</f>
        <v>300x250 nebo 600x800</v>
      </c>
      <c r="R857" s="3"/>
      <c r="S857" s="3" t="str">
        <f ca="1">IFERROR(__xludf.DUMMYFUNCTION("""COMPUTED_VALUE"""),"100")</f>
        <v>100</v>
      </c>
      <c r="T857" s="3"/>
      <c r="U857" s="3" t="str">
        <f ca="1">IFERROR(__xludf.DUMMYFUNCTION("""COMPUTED_VALUE"""),"banner standard")</f>
        <v>banner standard</v>
      </c>
      <c r="V857" s="3"/>
      <c r="W857" s="4" t="str">
        <f ca="1">IFERROR(__xludf.DUMMYFUNCTION("""COMPUTED_VALUE"""),"https://reklama.cncenter.cz/Online/mobilni-vineta")</f>
        <v>https://reklama.cncenter.cz/Online/mobilni-vineta</v>
      </c>
      <c r="X857" s="3"/>
      <c r="Y857" s="3"/>
      <c r="Z857" s="3" t="str">
        <f ca="1">IFERROR(__xludf.DUMMYFUNCTION("""COMPUTED_VALUE"""),"podklady@cncenter.cz")</f>
        <v>podklady@cncenter.cz</v>
      </c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 t="str">
        <f ca="1">IFERROR(__xludf.DUMMYFUNCTION("""COMPUTED_VALUE"""),"mobile")</f>
        <v>mobile</v>
      </c>
      <c r="AO857" s="3"/>
      <c r="AP857" s="3"/>
      <c r="AQ857" s="3"/>
      <c r="AR857" s="3"/>
      <c r="AS857" s="3"/>
      <c r="AT857" s="3"/>
      <c r="AU857" s="3" t="str">
        <f ca="1">IFERROR(__xludf.DUMMYFUNCTION("""COMPUTED_VALUE"""),"cílený mobilní viněta")</f>
        <v>cílený mobilní viněta</v>
      </c>
    </row>
    <row r="858" spans="1:47" x14ac:dyDescent="0.3">
      <c r="A858" s="3">
        <f ca="1"/>
        <v>2346826</v>
      </c>
      <c r="B858" s="3" t="str">
        <f ca="1"/>
        <v>CZECH NEWS CENTER a. s.</v>
      </c>
      <c r="C858" s="3" t="str">
        <f ca="1">IFERROR(__xludf.DUMMYFUNCTION("""COMPUTED_VALUE"""),"Moto GP sport")</f>
        <v>Moto GP sport</v>
      </c>
      <c r="D858" s="4" t="str">
        <f ca="1">IFERROR(__xludf.DUMMYFUNCTION("""COMPUTED_VALUE"""),"https://motogpsport.cz")</f>
        <v>https://motogpsport.cz</v>
      </c>
      <c r="E858" s="3" t="str">
        <f ca="1">IFERROR(__xludf.DUMMYFUNCTION("""COMPUTED_VALUE"""),"celý web")</f>
        <v>celý web</v>
      </c>
      <c r="F858" s="4" t="str">
        <f ca="1">IFERROR(__xludf.DUMMYFUNCTION("""COMPUTED_VALUE"""),"https://motogpsport.cz")</f>
        <v>https://motogpsport.cz</v>
      </c>
      <c r="G858" s="3" t="str">
        <f ca="1">IFERROR(__xludf.DUMMYFUNCTION("""COMPUTED_VALUE"""),"cílený nativní rectangle cross-device low season")</f>
        <v>cílený nativní rectangle cross-device low season</v>
      </c>
      <c r="H858" s="3">
        <f ca="1">IFERROR(__xludf.DUMMYFUNCTION("""COMPUTED_VALUE"""),7)</f>
        <v>7</v>
      </c>
      <c r="I858" s="5">
        <f ca="1">IFERROR(__xludf.DUMMYFUNCTION("""COMPUTED_VALUE"""),1000)</f>
        <v>1000</v>
      </c>
      <c r="J858" s="5">
        <f ca="1">IFERROR(__xludf.DUMMYFUNCTION("""COMPUTED_VALUE"""),240)</f>
        <v>240</v>
      </c>
      <c r="K858" s="3"/>
      <c r="L858" s="3" t="str">
        <f ca="1">IFERROR(__xludf.DUMMYFUNCTION("""COMPUTED_VALUE"""),"Cost per period")</f>
        <v>Cost per period</v>
      </c>
      <c r="M858" s="3"/>
      <c r="N858" s="3"/>
      <c r="O858" s="3" t="str">
        <f ca="1">IFERROR(__xludf.DUMMYFUNCTION("""COMPUTED_VALUE"""),"640")</f>
        <v>640</v>
      </c>
      <c r="P858" s="3" t="str">
        <f ca="1">IFERROR(__xludf.DUMMYFUNCTION("""COMPUTED_VALUE"""),"335, 640")</f>
        <v>335, 640</v>
      </c>
      <c r="Q858" s="3" t="str">
        <f ca="1">IFERROR(__xludf.DUMMYFUNCTION("""COMPUTED_VALUE"""),"640x640 a 640x335 + text + logo")</f>
        <v>640x640 a 640x335 + text + logo</v>
      </c>
      <c r="R858" s="3"/>
      <c r="S858" s="3" t="str">
        <f ca="1">IFERROR(__xludf.DUMMYFUNCTION("""COMPUTED_VALUE"""),"45")</f>
        <v>45</v>
      </c>
      <c r="T858" s="3"/>
      <c r="U858" s="3" t="str">
        <f ca="1">IFERROR(__xludf.DUMMYFUNCTION("""COMPUTED_VALUE"""),"nativní reklama")</f>
        <v>nativní reklama</v>
      </c>
      <c r="V858" s="3"/>
      <c r="W858" s="4" t="str">
        <f ca="1">IFERROR(__xludf.DUMMYFUNCTION("""COMPUTED_VALUE"""),"https://reklama.cncenter.cz/Online/nativni-rectangle-cross-device")</f>
        <v>https://reklama.cncenter.cz/Online/nativni-rectangle-cross-device</v>
      </c>
      <c r="X858" s="3"/>
      <c r="Y858" s="3"/>
      <c r="Z858" s="3" t="str">
        <f ca="1">IFERROR(__xludf.DUMMYFUNCTION("""COMPUTED_VALUE"""),"podklady@cncenter.cz")</f>
        <v>podklady@cncenter.cz</v>
      </c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 t="str">
        <f ca="1">IFERROR(__xludf.DUMMYFUNCTION("""COMPUTED_VALUE"""),"cross-device")</f>
        <v>cross-device</v>
      </c>
      <c r="AO858" s="3"/>
      <c r="AP858" s="3"/>
      <c r="AQ858" s="3"/>
      <c r="AR858" s="3"/>
      <c r="AS858" s="3"/>
      <c r="AT858" s="3"/>
      <c r="AU858" s="3" t="str">
        <f ca="1">IFERROR(__xludf.DUMMYFUNCTION("""COMPUTED_VALUE"""),"cílený nativní rectangle cross-device")</f>
        <v>cílený nativní rectangle cross-device</v>
      </c>
    </row>
    <row r="859" spans="1:47" x14ac:dyDescent="0.3">
      <c r="A859" s="3">
        <f ca="1"/>
        <v>2346826</v>
      </c>
      <c r="B859" s="3" t="str">
        <f ca="1"/>
        <v>CZECH NEWS CENTER a. s.</v>
      </c>
      <c r="C859" s="3" t="str">
        <f ca="1">IFERROR(__xludf.DUMMYFUNCTION("""COMPUTED_VALUE"""),"Moto GP sport")</f>
        <v>Moto GP sport</v>
      </c>
      <c r="D859" s="4" t="str">
        <f ca="1">IFERROR(__xludf.DUMMYFUNCTION("""COMPUTED_VALUE"""),"https://motogpsport.cz")</f>
        <v>https://motogpsport.cz</v>
      </c>
      <c r="E859" s="3" t="str">
        <f ca="1">IFERROR(__xludf.DUMMYFUNCTION("""COMPUTED_VALUE"""),"celý web")</f>
        <v>celý web</v>
      </c>
      <c r="F859" s="4" t="str">
        <f ca="1">IFERROR(__xludf.DUMMYFUNCTION("""COMPUTED_VALUE"""),"https://motogpsport.cz")</f>
        <v>https://motogpsport.cz</v>
      </c>
      <c r="G859" s="3" t="str">
        <f ca="1">IFERROR(__xludf.DUMMYFUNCTION("""COMPUTED_VALUE"""),"cílený outstream low season")</f>
        <v>cílený outstream low season</v>
      </c>
      <c r="H859" s="3">
        <f ca="1">IFERROR(__xludf.DUMMYFUNCTION("""COMPUTED_VALUE"""),7)</f>
        <v>7</v>
      </c>
      <c r="I859" s="5">
        <f ca="1">IFERROR(__xludf.DUMMYFUNCTION("""COMPUTED_VALUE"""),1000)</f>
        <v>1000</v>
      </c>
      <c r="J859" s="5">
        <f ca="1">IFERROR(__xludf.DUMMYFUNCTION("""COMPUTED_VALUE"""),300)</f>
        <v>300</v>
      </c>
      <c r="K859" s="3"/>
      <c r="L859" s="3" t="str">
        <f ca="1">IFERROR(__xludf.DUMMYFUNCTION("""COMPUTED_VALUE"""),"Cost per period")</f>
        <v>Cost per period</v>
      </c>
      <c r="M859" s="3"/>
      <c r="N859" s="3"/>
      <c r="O859" s="3" t="str">
        <f ca="1">IFERROR(__xludf.DUMMYFUNCTION("""COMPUTED_VALUE"""),"1280")</f>
        <v>1280</v>
      </c>
      <c r="P859" s="3" t="str">
        <f ca="1">IFERROR(__xludf.DUMMYFUNCTION("""COMPUTED_VALUE"""),"720")</f>
        <v>720</v>
      </c>
      <c r="Q859" s="3" t="str">
        <f ca="1">IFERROR(__xludf.DUMMYFUNCTION("""COMPUTED_VALUE"""),"16:9")</f>
        <v>16:9</v>
      </c>
      <c r="R859" s="3"/>
      <c r="S859" s="3" t="str">
        <f ca="1">IFERROR(__xludf.DUMMYFUNCTION("""COMPUTED_VALUE"""),"100")</f>
        <v>100</v>
      </c>
      <c r="T859" s="3"/>
      <c r="U859" s="3" t="str">
        <f ca="1">IFERROR(__xludf.DUMMYFUNCTION("""COMPUTED_VALUE"""),"videospot")</f>
        <v>videospot</v>
      </c>
      <c r="V859" s="3"/>
      <c r="W859" s="4" t="str">
        <f ca="1">IFERROR(__xludf.DUMMYFUNCTION("""COMPUTED_VALUE"""),"https://reklama.cncenter.cz/Online/Outstream")</f>
        <v>https://reklama.cncenter.cz/Online/Outstream</v>
      </c>
      <c r="X859" s="3"/>
      <c r="Y859" s="3"/>
      <c r="Z859" s="3" t="str">
        <f ca="1">IFERROR(__xludf.DUMMYFUNCTION("""COMPUTED_VALUE"""),"podklady@cncenter.cz")</f>
        <v>podklady@cncenter.cz</v>
      </c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 t="str">
        <f ca="1">IFERROR(__xludf.DUMMYFUNCTION("""COMPUTED_VALUE"""),"cross-device")</f>
        <v>cross-device</v>
      </c>
      <c r="AO859" s="3"/>
      <c r="AP859" s="3"/>
      <c r="AQ859" s="3"/>
      <c r="AR859" s="3"/>
      <c r="AS859" s="3"/>
      <c r="AT859" s="3"/>
      <c r="AU859" s="3" t="str">
        <f ca="1">IFERROR(__xludf.DUMMYFUNCTION("""COMPUTED_VALUE"""),"cílený outstream")</f>
        <v>cílený outstream</v>
      </c>
    </row>
    <row r="860" spans="1:47" x14ac:dyDescent="0.3">
      <c r="A860" s="3">
        <f ca="1"/>
        <v>2346826</v>
      </c>
      <c r="B860" s="3" t="str">
        <f ca="1"/>
        <v>CZECH NEWS CENTER a. s.</v>
      </c>
      <c r="C860" s="3" t="str">
        <f ca="1">IFERROR(__xludf.DUMMYFUNCTION("""COMPUTED_VALUE"""),"Moto GP sport")</f>
        <v>Moto GP sport</v>
      </c>
      <c r="D860" s="4" t="str">
        <f ca="1">IFERROR(__xludf.DUMMYFUNCTION("""COMPUTED_VALUE"""),"https://motogpsport.cz")</f>
        <v>https://motogpsport.cz</v>
      </c>
      <c r="E860" s="3" t="str">
        <f ca="1">IFERROR(__xludf.DUMMYFUNCTION("""COMPUTED_VALUE"""),"celý web")</f>
        <v>celý web</v>
      </c>
      <c r="F860" s="4" t="str">
        <f ca="1">IFERROR(__xludf.DUMMYFUNCTION("""COMPUTED_VALUE"""),"https://motogpsport.cz")</f>
        <v>https://motogpsport.cz</v>
      </c>
      <c r="G860" s="3" t="str">
        <f ca="1">IFERROR(__xludf.DUMMYFUNCTION("""COMPUTED_VALUE"""),"dokoupení proma o 2 týdny - 10 000 PV *** low season")</f>
        <v>dokoupení proma o 2 týdny - 10 000 PV *** low season</v>
      </c>
      <c r="H860" s="3">
        <f ca="1">IFERROR(__xludf.DUMMYFUNCTION("""COMPUTED_VALUE"""),1)</f>
        <v>1</v>
      </c>
      <c r="I860" s="5">
        <f ca="1">IFERROR(__xludf.DUMMYFUNCTION("""COMPUTED_VALUE"""),1)</f>
        <v>1</v>
      </c>
      <c r="J860" s="5">
        <f ca="1">IFERROR(__xludf.DUMMYFUNCTION("""COMPUTED_VALUE"""),60000)</f>
        <v>60000</v>
      </c>
      <c r="K860" s="3"/>
      <c r="L860" s="3" t="str">
        <f ca="1">IFERROR(__xludf.DUMMYFUNCTION("""COMPUTED_VALUE"""),"Cost per instance")</f>
        <v>Cost per instance</v>
      </c>
      <c r="M860" s="3"/>
      <c r="N860" s="3"/>
      <c r="O860" s="3"/>
      <c r="P860" s="3"/>
      <c r="Q860" s="3"/>
      <c r="R860" s="3"/>
      <c r="S860" s="3" t="str">
        <f ca="1">IFERROR(__xludf.DUMMYFUNCTION("""COMPUTED_VALUE"""),"100")</f>
        <v>100</v>
      </c>
      <c r="T860" s="3"/>
      <c r="U860" s="3" t="str">
        <f ca="1">IFERROR(__xludf.DUMMYFUNCTION("""COMPUTED_VALUE"""),"microsite")</f>
        <v>microsite</v>
      </c>
      <c r="V860" s="3"/>
      <c r="W860" s="3"/>
      <c r="X860" s="3"/>
      <c r="Y860" s="3"/>
      <c r="Z860" s="3" t="str">
        <f ca="1">IFERROR(__xludf.DUMMYFUNCTION("""COMPUTED_VALUE"""),"podklady@cncenter.cz")</f>
        <v>podklady@cncenter.cz</v>
      </c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 t="str">
        <f ca="1">IFERROR(__xludf.DUMMYFUNCTION("""COMPUTED_VALUE"""),"cross-device")</f>
        <v>cross-device</v>
      </c>
      <c r="AO860" s="3"/>
      <c r="AP860" s="3"/>
      <c r="AQ860" s="3"/>
      <c r="AR860" s="3"/>
      <c r="AS860" s="3"/>
      <c r="AT860" s="3"/>
      <c r="AU860" s="3" t="str">
        <f ca="1">IFERROR(__xludf.DUMMYFUNCTION("""COMPUTED_VALUE"""),"dokoupení proma o 2 týdny - 10 000 PV ***")</f>
        <v>dokoupení proma o 2 týdny - 10 000 PV ***</v>
      </c>
    </row>
    <row r="861" spans="1:47" x14ac:dyDescent="0.3">
      <c r="A861" s="3">
        <f ca="1"/>
        <v>2346826</v>
      </c>
      <c r="B861" s="3" t="str">
        <f ca="1"/>
        <v>CZECH NEWS CENTER a. s.</v>
      </c>
      <c r="C861" s="3" t="str">
        <f ca="1">IFERROR(__xludf.DUMMYFUNCTION("""COMPUTED_VALUE"""),"Moto GP sport")</f>
        <v>Moto GP sport</v>
      </c>
      <c r="D861" s="4" t="str">
        <f ca="1">IFERROR(__xludf.DUMMYFUNCTION("""COMPUTED_VALUE"""),"https://motogpsport.cz")</f>
        <v>https://motogpsport.cz</v>
      </c>
      <c r="E861" s="3" t="str">
        <f ca="1">IFERROR(__xludf.DUMMYFUNCTION("""COMPUTED_VALUE"""),"celý web")</f>
        <v>celý web</v>
      </c>
      <c r="F861" s="4" t="str">
        <f ca="1">IFERROR(__xludf.DUMMYFUNCTION("""COMPUTED_VALUE"""),"https://motogpsport.cz")</f>
        <v>https://motogpsport.cz</v>
      </c>
      <c r="G861" s="3" t="str">
        <f ca="1">IFERROR(__xludf.DUMMYFUNCTION("""COMPUTED_VALUE"""),"double skyscraper low season")</f>
        <v>double skyscraper low season</v>
      </c>
      <c r="H861" s="3">
        <f ca="1">IFERROR(__xludf.DUMMYFUNCTION("""COMPUTED_VALUE"""),7)</f>
        <v>7</v>
      </c>
      <c r="I861" s="5">
        <f ca="1">IFERROR(__xludf.DUMMYFUNCTION("""COMPUTED_VALUE"""),1000)</f>
        <v>1000</v>
      </c>
      <c r="J861" s="5">
        <f ca="1">IFERROR(__xludf.DUMMYFUNCTION("""COMPUTED_VALUE"""),190)</f>
        <v>190</v>
      </c>
      <c r="K861" s="3"/>
      <c r="L861" s="3" t="str">
        <f ca="1">IFERROR(__xludf.DUMMYFUNCTION("""COMPUTED_VALUE"""),"Cost per period")</f>
        <v>Cost per period</v>
      </c>
      <c r="M861" s="3"/>
      <c r="N861" s="3"/>
      <c r="O861" s="3" t="str">
        <f ca="1">IFERROR(__xludf.DUMMYFUNCTION("""COMPUTED_VALUE"""),"300")</f>
        <v>300</v>
      </c>
      <c r="P861" s="3" t="str">
        <f ca="1">IFERROR(__xludf.DUMMYFUNCTION("""COMPUTED_VALUE"""),"600")</f>
        <v>600</v>
      </c>
      <c r="Q861" s="3" t="str">
        <f ca="1">IFERROR(__xludf.DUMMYFUNCTION("""COMPUTED_VALUE"""),"300x600")</f>
        <v>300x600</v>
      </c>
      <c r="R861" s="3"/>
      <c r="S861" s="3" t="str">
        <f ca="1">IFERROR(__xludf.DUMMYFUNCTION("""COMPUTED_VALUE"""),"100 (200 - HTML5)")</f>
        <v>100 (200 - HTML5)</v>
      </c>
      <c r="T861" s="3"/>
      <c r="U861" s="3" t="str">
        <f ca="1">IFERROR(__xludf.DUMMYFUNCTION("""COMPUTED_VALUE"""),"banner standard")</f>
        <v>banner standard</v>
      </c>
      <c r="V861" s="3"/>
      <c r="W861" s="4" t="str">
        <f ca="1">IFERROR(__xludf.DUMMYFUNCTION("""COMPUTED_VALUE"""),"https://reklama.cncenter.cz/Online/double-skyscraper")</f>
        <v>https://reklama.cncenter.cz/Online/double-skyscraper</v>
      </c>
      <c r="X861" s="3"/>
      <c r="Y861" s="3"/>
      <c r="Z861" s="3" t="str">
        <f ca="1">IFERROR(__xludf.DUMMYFUNCTION("""COMPUTED_VALUE"""),"podklady@cncenter.cz")</f>
        <v>podklady@cncenter.cz</v>
      </c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 t="str">
        <f ca="1">IFERROR(__xludf.DUMMYFUNCTION("""COMPUTED_VALUE"""),"desktop")</f>
        <v>desktop</v>
      </c>
      <c r="AO861" s="3"/>
      <c r="AP861" s="3"/>
      <c r="AQ861" s="3"/>
      <c r="AR861" s="3"/>
      <c r="AS861" s="3"/>
      <c r="AT861" s="3"/>
      <c r="AU861" s="3" t="str">
        <f ca="1">IFERROR(__xludf.DUMMYFUNCTION("""COMPUTED_VALUE"""),"double skyscraper")</f>
        <v>double skyscraper</v>
      </c>
    </row>
    <row r="862" spans="1:47" x14ac:dyDescent="0.3">
      <c r="A862" s="3">
        <f ca="1"/>
        <v>2346826</v>
      </c>
      <c r="B862" s="3" t="str">
        <f ca="1"/>
        <v>CZECH NEWS CENTER a. s.</v>
      </c>
      <c r="C862" s="3" t="str">
        <f ca="1">IFERROR(__xludf.DUMMYFUNCTION("""COMPUTED_VALUE"""),"Moto GP sport")</f>
        <v>Moto GP sport</v>
      </c>
      <c r="D862" s="4" t="str">
        <f ca="1">IFERROR(__xludf.DUMMYFUNCTION("""COMPUTED_VALUE"""),"https://motogpsport.cz")</f>
        <v>https://motogpsport.cz</v>
      </c>
      <c r="E862" s="3" t="str">
        <f ca="1">IFERROR(__xludf.DUMMYFUNCTION("""COMPUTED_VALUE"""),"celý web")</f>
        <v>celý web</v>
      </c>
      <c r="F862" s="4" t="str">
        <f ca="1">IFERROR(__xludf.DUMMYFUNCTION("""COMPUTED_VALUE"""),"https://motogpsport.cz")</f>
        <v>https://motogpsport.cz</v>
      </c>
      <c r="G862" s="3" t="str">
        <f ca="1">IFERROR(__xludf.DUMMYFUNCTION("""COMPUTED_VALUE"""),"mobilní interscroller low season")</f>
        <v>mobilní interscroller low season</v>
      </c>
      <c r="H862" s="3">
        <f ca="1">IFERROR(__xludf.DUMMYFUNCTION("""COMPUTED_VALUE"""),7)</f>
        <v>7</v>
      </c>
      <c r="I862" s="5">
        <f ca="1">IFERROR(__xludf.DUMMYFUNCTION("""COMPUTED_VALUE"""),1000)</f>
        <v>1000</v>
      </c>
      <c r="J862" s="5">
        <f ca="1">IFERROR(__xludf.DUMMYFUNCTION("""COMPUTED_VALUE"""),250)</f>
        <v>250</v>
      </c>
      <c r="K862" s="3"/>
      <c r="L862" s="3" t="str">
        <f ca="1">IFERROR(__xludf.DUMMYFUNCTION("""COMPUTED_VALUE"""),"Cost per period")</f>
        <v>Cost per period</v>
      </c>
      <c r="M862" s="3"/>
      <c r="N862" s="3"/>
      <c r="O862" s="3" t="str">
        <f ca="1">IFERROR(__xludf.DUMMYFUNCTION("""COMPUTED_VALUE"""),"600")</f>
        <v>600</v>
      </c>
      <c r="P862" s="3" t="str">
        <f ca="1">IFERROR(__xludf.DUMMYFUNCTION("""COMPUTED_VALUE"""),"1080")</f>
        <v>1080</v>
      </c>
      <c r="Q862" s="3" t="str">
        <f ca="1">IFERROR(__xludf.DUMMYFUNCTION("""COMPUTED_VALUE"""),"600x1080")</f>
        <v>600x1080</v>
      </c>
      <c r="R862" s="3"/>
      <c r="S862" s="3" t="str">
        <f ca="1">IFERROR(__xludf.DUMMYFUNCTION("""COMPUTED_VALUE"""),"200")</f>
        <v>200</v>
      </c>
      <c r="T862" s="3"/>
      <c r="U862" s="3" t="str">
        <f ca="1">IFERROR(__xludf.DUMMYFUNCTION("""COMPUTED_VALUE"""),"banner standard")</f>
        <v>banner standard</v>
      </c>
      <c r="V862" s="3"/>
      <c r="W862" s="4" t="str">
        <f ca="1">IFERROR(__xludf.DUMMYFUNCTION("""COMPUTED_VALUE"""),"https://reklama.cncenter.cz/Online/mobilni-interscroller")</f>
        <v>https://reklama.cncenter.cz/Online/mobilni-interscroller</v>
      </c>
      <c r="X862" s="3"/>
      <c r="Y862" s="3"/>
      <c r="Z862" s="3" t="str">
        <f ca="1">IFERROR(__xludf.DUMMYFUNCTION("""COMPUTED_VALUE"""),"podklady@cncenter.cz")</f>
        <v>podklady@cncenter.cz</v>
      </c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 t="str">
        <f ca="1">IFERROR(__xludf.DUMMYFUNCTION("""COMPUTED_VALUE"""),"mobile")</f>
        <v>mobile</v>
      </c>
      <c r="AO862" s="3"/>
      <c r="AP862" s="3"/>
      <c r="AQ862" s="3"/>
      <c r="AR862" s="3"/>
      <c r="AS862" s="3"/>
      <c r="AT862" s="3"/>
      <c r="AU862" s="3" t="str">
        <f ca="1">IFERROR(__xludf.DUMMYFUNCTION("""COMPUTED_VALUE"""),"mobilní interscroller")</f>
        <v>mobilní interscroller</v>
      </c>
    </row>
    <row r="863" spans="1:47" x14ac:dyDescent="0.3">
      <c r="A863" s="3">
        <f ca="1"/>
        <v>2346826</v>
      </c>
      <c r="B863" s="3" t="str">
        <f ca="1"/>
        <v>CZECH NEWS CENTER a. s.</v>
      </c>
      <c r="C863" s="3" t="str">
        <f ca="1">IFERROR(__xludf.DUMMYFUNCTION("""COMPUTED_VALUE"""),"Moto GP sport")</f>
        <v>Moto GP sport</v>
      </c>
      <c r="D863" s="4" t="str">
        <f ca="1">IFERROR(__xludf.DUMMYFUNCTION("""COMPUTED_VALUE"""),"https://motogpsport.cz")</f>
        <v>https://motogpsport.cz</v>
      </c>
      <c r="E863" s="3" t="str">
        <f ca="1">IFERROR(__xludf.DUMMYFUNCTION("""COMPUTED_VALUE"""),"celý web")</f>
        <v>celý web</v>
      </c>
      <c r="F863" s="4" t="str">
        <f ca="1">IFERROR(__xludf.DUMMYFUNCTION("""COMPUTED_VALUE"""),"https://motogpsport.cz")</f>
        <v>https://motogpsport.cz</v>
      </c>
      <c r="G863" s="3" t="str">
        <f ca="1">IFERROR(__xludf.DUMMYFUNCTION("""COMPUTED_VALUE"""),"mobilní slide-up low season")</f>
        <v>mobilní slide-up low season</v>
      </c>
      <c r="H863" s="3">
        <f ca="1">IFERROR(__xludf.DUMMYFUNCTION("""COMPUTED_VALUE"""),7)</f>
        <v>7</v>
      </c>
      <c r="I863" s="5">
        <f ca="1">IFERROR(__xludf.DUMMYFUNCTION("""COMPUTED_VALUE"""),1000)</f>
        <v>1000</v>
      </c>
      <c r="J863" s="5">
        <f ca="1">IFERROR(__xludf.DUMMYFUNCTION("""COMPUTED_VALUE"""),510)</f>
        <v>510</v>
      </c>
      <c r="K863" s="3"/>
      <c r="L863" s="3" t="str">
        <f ca="1">IFERROR(__xludf.DUMMYFUNCTION("""COMPUTED_VALUE"""),"Cost per period")</f>
        <v>Cost per period</v>
      </c>
      <c r="M863" s="3"/>
      <c r="N863" s="3"/>
      <c r="O863" s="3" t="str">
        <f ca="1">IFERROR(__xludf.DUMMYFUNCTION("""COMPUTED_VALUE"""),"300")</f>
        <v>300</v>
      </c>
      <c r="P863" s="3" t="str">
        <f ca="1">IFERROR(__xludf.DUMMYFUNCTION("""COMPUTED_VALUE"""),"120")</f>
        <v>120</v>
      </c>
      <c r="Q863" s="3" t="str">
        <f ca="1">IFERROR(__xludf.DUMMYFUNCTION("""COMPUTED_VALUE"""),"300x120")</f>
        <v>300x120</v>
      </c>
      <c r="R863" s="3"/>
      <c r="S863" s="3" t="str">
        <f ca="1">IFERROR(__xludf.DUMMYFUNCTION("""COMPUTED_VALUE"""),"100")</f>
        <v>100</v>
      </c>
      <c r="T863" s="3"/>
      <c r="U863" s="3" t="str">
        <f ca="1">IFERROR(__xludf.DUMMYFUNCTION("""COMPUTED_VALUE"""),"banner standard")</f>
        <v>banner standard</v>
      </c>
      <c r="V863" s="3"/>
      <c r="W863" s="4" t="str">
        <f ca="1">IFERROR(__xludf.DUMMYFUNCTION("""COMPUTED_VALUE"""),"https://reklama.cncenter.cz/Online/mobilni-slide-up")</f>
        <v>https://reklama.cncenter.cz/Online/mobilni-slide-up</v>
      </c>
      <c r="X863" s="3"/>
      <c r="Y863" s="3"/>
      <c r="Z863" s="3" t="str">
        <f ca="1">IFERROR(__xludf.DUMMYFUNCTION("""COMPUTED_VALUE"""),"podklady@cncenter.cz")</f>
        <v>podklady@cncenter.cz</v>
      </c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 t="str">
        <f ca="1">IFERROR(__xludf.DUMMYFUNCTION("""COMPUTED_VALUE"""),"mobile")</f>
        <v>mobile</v>
      </c>
      <c r="AO863" s="3"/>
      <c r="AP863" s="3"/>
      <c r="AQ863" s="3"/>
      <c r="AR863" s="3"/>
      <c r="AS863" s="3"/>
      <c r="AT863" s="3"/>
      <c r="AU863" s="3" t="str">
        <f ca="1">IFERROR(__xludf.DUMMYFUNCTION("""COMPUTED_VALUE"""),"mobilní slide-up")</f>
        <v>mobilní slide-up</v>
      </c>
    </row>
    <row r="864" spans="1:47" x14ac:dyDescent="0.3">
      <c r="A864" s="3">
        <f ca="1"/>
        <v>2346826</v>
      </c>
      <c r="B864" s="3" t="str">
        <f ca="1"/>
        <v>CZECH NEWS CENTER a. s.</v>
      </c>
      <c r="C864" s="3" t="str">
        <f ca="1">IFERROR(__xludf.DUMMYFUNCTION("""COMPUTED_VALUE"""),"Moto GP sport")</f>
        <v>Moto GP sport</v>
      </c>
      <c r="D864" s="4" t="str">
        <f ca="1">IFERROR(__xludf.DUMMYFUNCTION("""COMPUTED_VALUE"""),"https://motogpsport.cz")</f>
        <v>https://motogpsport.cz</v>
      </c>
      <c r="E864" s="3" t="str">
        <f ca="1">IFERROR(__xludf.DUMMYFUNCTION("""COMPUTED_VALUE"""),"celý web")</f>
        <v>celý web</v>
      </c>
      <c r="F864" s="4" t="str">
        <f ca="1">IFERROR(__xludf.DUMMYFUNCTION("""COMPUTED_VALUE"""),"https://motogpsport.cz")</f>
        <v>https://motogpsport.cz</v>
      </c>
      <c r="G864" s="3" t="str">
        <f ca="1">IFERROR(__xludf.DUMMYFUNCTION("""COMPUTED_VALUE"""),"mobilní viněta low season")</f>
        <v>mobilní viněta low season</v>
      </c>
      <c r="H864" s="3">
        <f ca="1">IFERROR(__xludf.DUMMYFUNCTION("""COMPUTED_VALUE"""),7)</f>
        <v>7</v>
      </c>
      <c r="I864" s="5">
        <f ca="1">IFERROR(__xludf.DUMMYFUNCTION("""COMPUTED_VALUE"""),1000)</f>
        <v>1000</v>
      </c>
      <c r="J864" s="5">
        <f ca="1">IFERROR(__xludf.DUMMYFUNCTION("""COMPUTED_VALUE"""),880)</f>
        <v>880</v>
      </c>
      <c r="K864" s="3"/>
      <c r="L864" s="3" t="str">
        <f ca="1">IFERROR(__xludf.DUMMYFUNCTION("""COMPUTED_VALUE"""),"Cost per period")</f>
        <v>Cost per period</v>
      </c>
      <c r="M864" s="3"/>
      <c r="N864" s="3"/>
      <c r="O864" s="3" t="str">
        <f ca="1">IFERROR(__xludf.DUMMYFUNCTION("""COMPUTED_VALUE"""),"600")</f>
        <v>600</v>
      </c>
      <c r="P864" s="3" t="str">
        <f ca="1">IFERROR(__xludf.DUMMYFUNCTION("""COMPUTED_VALUE"""),"800")</f>
        <v>800</v>
      </c>
      <c r="Q864" s="3" t="str">
        <f ca="1">IFERROR(__xludf.DUMMYFUNCTION("""COMPUTED_VALUE"""),"300x250 nebo 600x800")</f>
        <v>300x250 nebo 600x800</v>
      </c>
      <c r="R864" s="3"/>
      <c r="S864" s="3" t="str">
        <f ca="1">IFERROR(__xludf.DUMMYFUNCTION("""COMPUTED_VALUE"""),"100")</f>
        <v>100</v>
      </c>
      <c r="T864" s="3"/>
      <c r="U864" s="3" t="str">
        <f ca="1">IFERROR(__xludf.DUMMYFUNCTION("""COMPUTED_VALUE"""),"banner standard")</f>
        <v>banner standard</v>
      </c>
      <c r="V864" s="3"/>
      <c r="W864" s="4" t="str">
        <f ca="1">IFERROR(__xludf.DUMMYFUNCTION("""COMPUTED_VALUE"""),"https://reklama.cncenter.cz/Online/mobilni-vineta")</f>
        <v>https://reklama.cncenter.cz/Online/mobilni-vineta</v>
      </c>
      <c r="X864" s="3"/>
      <c r="Y864" s="3"/>
      <c r="Z864" s="3" t="str">
        <f ca="1">IFERROR(__xludf.DUMMYFUNCTION("""COMPUTED_VALUE"""),"podklady@cncenter.cz")</f>
        <v>podklady@cncenter.cz</v>
      </c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 t="str">
        <f ca="1">IFERROR(__xludf.DUMMYFUNCTION("""COMPUTED_VALUE"""),"mobile")</f>
        <v>mobile</v>
      </c>
      <c r="AO864" s="3"/>
      <c r="AP864" s="3"/>
      <c r="AQ864" s="3"/>
      <c r="AR864" s="3"/>
      <c r="AS864" s="3"/>
      <c r="AT864" s="3"/>
      <c r="AU864" s="3" t="str">
        <f ca="1">IFERROR(__xludf.DUMMYFUNCTION("""COMPUTED_VALUE"""),"mobilní viněta")</f>
        <v>mobilní viněta</v>
      </c>
    </row>
    <row r="865" spans="1:47" x14ac:dyDescent="0.3">
      <c r="A865" s="3">
        <f ca="1"/>
        <v>2346826</v>
      </c>
      <c r="B865" s="3" t="str">
        <f ca="1"/>
        <v>CZECH NEWS CENTER a. s.</v>
      </c>
      <c r="C865" s="3" t="str">
        <f ca="1">IFERROR(__xludf.DUMMYFUNCTION("""COMPUTED_VALUE"""),"Moto GP sport")</f>
        <v>Moto GP sport</v>
      </c>
      <c r="D865" s="4" t="str">
        <f ca="1">IFERROR(__xludf.DUMMYFUNCTION("""COMPUTED_VALUE"""),"https://motogpsport.cz")</f>
        <v>https://motogpsport.cz</v>
      </c>
      <c r="E865" s="3" t="str">
        <f ca="1">IFERROR(__xludf.DUMMYFUNCTION("""COMPUTED_VALUE"""),"celý web")</f>
        <v>celý web</v>
      </c>
      <c r="F865" s="4" t="str">
        <f ca="1">IFERROR(__xludf.DUMMYFUNCTION("""COMPUTED_VALUE"""),"https://motogpsport.cz")</f>
        <v>https://motogpsport.cz</v>
      </c>
      <c r="G865" s="3" t="str">
        <f ca="1">IFERROR(__xludf.DUMMYFUNCTION("""COMPUTED_VALUE"""),"Native Standard low season")</f>
        <v>Native Standard low season</v>
      </c>
      <c r="H865" s="3">
        <f ca="1">IFERROR(__xludf.DUMMYFUNCTION("""COMPUTED_VALUE"""),1)</f>
        <v>1</v>
      </c>
      <c r="I865" s="5">
        <f ca="1">IFERROR(__xludf.DUMMYFUNCTION("""COMPUTED_VALUE"""),1)</f>
        <v>1</v>
      </c>
      <c r="J865" s="5">
        <f ca="1">IFERROR(__xludf.DUMMYFUNCTION("""COMPUTED_VALUE"""),330000)</f>
        <v>330000</v>
      </c>
      <c r="K865" s="3"/>
      <c r="L865" s="3" t="str">
        <f ca="1">IFERROR(__xludf.DUMMYFUNCTION("""COMPUTED_VALUE"""),"Cost per instance")</f>
        <v>Cost per instance</v>
      </c>
      <c r="M865" s="3"/>
      <c r="N865" s="3"/>
      <c r="O865" s="3"/>
      <c r="P865" s="3"/>
      <c r="Q865" s="3"/>
      <c r="R865" s="3"/>
      <c r="S865" s="3" t="str">
        <f ca="1">IFERROR(__xludf.DUMMYFUNCTION("""COMPUTED_VALUE"""),"100")</f>
        <v>100</v>
      </c>
      <c r="T865" s="3"/>
      <c r="U865" s="3" t="str">
        <f ca="1">IFERROR(__xludf.DUMMYFUNCTION("""COMPUTED_VALUE"""),"microsite")</f>
        <v>microsite</v>
      </c>
      <c r="V865" s="3"/>
      <c r="W865" s="3"/>
      <c r="X865" s="3"/>
      <c r="Y865" s="3"/>
      <c r="Z865" s="3" t="str">
        <f ca="1">IFERROR(__xludf.DUMMYFUNCTION("""COMPUTED_VALUE"""),"podklady@cncenter.cz")</f>
        <v>podklady@cncenter.cz</v>
      </c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 t="str">
        <f ca="1">IFERROR(__xludf.DUMMYFUNCTION("""COMPUTED_VALUE"""),"cross-device")</f>
        <v>cross-device</v>
      </c>
      <c r="AO865" s="3"/>
      <c r="AP865" s="3"/>
      <c r="AQ865" s="3"/>
      <c r="AR865" s="3"/>
      <c r="AS865" s="3"/>
      <c r="AT865" s="3"/>
      <c r="AU865" s="3" t="str">
        <f ca="1">IFERROR(__xludf.DUMMYFUNCTION("""COMPUTED_VALUE"""),"Native Standard")</f>
        <v>Native Standard</v>
      </c>
    </row>
    <row r="866" spans="1:47" x14ac:dyDescent="0.3">
      <c r="A866" s="3">
        <f ca="1"/>
        <v>2346826</v>
      </c>
      <c r="B866" s="3" t="str">
        <f ca="1"/>
        <v>CZECH NEWS CENTER a. s.</v>
      </c>
      <c r="C866" s="3" t="str">
        <f ca="1">IFERROR(__xludf.DUMMYFUNCTION("""COMPUTED_VALUE"""),"Moto GP sport")</f>
        <v>Moto GP sport</v>
      </c>
      <c r="D866" s="4" t="str">
        <f ca="1">IFERROR(__xludf.DUMMYFUNCTION("""COMPUTED_VALUE"""),"https://motogpsport.cz")</f>
        <v>https://motogpsport.cz</v>
      </c>
      <c r="E866" s="3" t="str">
        <f ca="1">IFERROR(__xludf.DUMMYFUNCTION("""COMPUTED_VALUE"""),"celý web")</f>
        <v>celý web</v>
      </c>
      <c r="F866" s="4" t="str">
        <f ca="1">IFERROR(__xludf.DUMMYFUNCTION("""COMPUTED_VALUE"""),"https://motogpsport.cz")</f>
        <v>https://motogpsport.cz</v>
      </c>
      <c r="G866" s="3" t="str">
        <f ca="1">IFERROR(__xludf.DUMMYFUNCTION("""COMPUTED_VALUE"""),"nativní rectangle cross-device low season")</f>
        <v>nativní rectangle cross-device low season</v>
      </c>
      <c r="H866" s="3">
        <f ca="1">IFERROR(__xludf.DUMMYFUNCTION("""COMPUTED_VALUE"""),7)</f>
        <v>7</v>
      </c>
      <c r="I866" s="5">
        <f ca="1">IFERROR(__xludf.DUMMYFUNCTION("""COMPUTED_VALUE"""),1000)</f>
        <v>1000</v>
      </c>
      <c r="J866" s="5">
        <f ca="1">IFERROR(__xludf.DUMMYFUNCTION("""COMPUTED_VALUE"""),200)</f>
        <v>200</v>
      </c>
      <c r="K866" s="3"/>
      <c r="L866" s="3" t="str">
        <f ca="1">IFERROR(__xludf.DUMMYFUNCTION("""COMPUTED_VALUE"""),"Cost per period")</f>
        <v>Cost per period</v>
      </c>
      <c r="M866" s="3"/>
      <c r="N866" s="3"/>
      <c r="O866" s="3" t="str">
        <f ca="1">IFERROR(__xludf.DUMMYFUNCTION("""COMPUTED_VALUE"""),"640")</f>
        <v>640</v>
      </c>
      <c r="P866" s="3" t="str">
        <f ca="1">IFERROR(__xludf.DUMMYFUNCTION("""COMPUTED_VALUE"""),"335, 640")</f>
        <v>335, 640</v>
      </c>
      <c r="Q866" s="3" t="str">
        <f ca="1">IFERROR(__xludf.DUMMYFUNCTION("""COMPUTED_VALUE"""),"640x640 a 640x335 + text + logo")</f>
        <v>640x640 a 640x335 + text + logo</v>
      </c>
      <c r="R866" s="3"/>
      <c r="S866" s="3" t="str">
        <f ca="1">IFERROR(__xludf.DUMMYFUNCTION("""COMPUTED_VALUE"""),"45")</f>
        <v>45</v>
      </c>
      <c r="T866" s="3"/>
      <c r="U866" s="3" t="str">
        <f ca="1">IFERROR(__xludf.DUMMYFUNCTION("""COMPUTED_VALUE"""),"nativní reklama")</f>
        <v>nativní reklama</v>
      </c>
      <c r="V866" s="3"/>
      <c r="W866" s="4" t="str">
        <f ca="1">IFERROR(__xludf.DUMMYFUNCTION("""COMPUTED_VALUE"""),"https://reklama.cncenter.cz/Online/nativni-rectangle-cross-device")</f>
        <v>https://reklama.cncenter.cz/Online/nativni-rectangle-cross-device</v>
      </c>
      <c r="X866" s="3"/>
      <c r="Y866" s="3"/>
      <c r="Z866" s="3" t="str">
        <f ca="1">IFERROR(__xludf.DUMMYFUNCTION("""COMPUTED_VALUE"""),"podklady@cncenter.cz")</f>
        <v>podklady@cncenter.cz</v>
      </c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 t="str">
        <f ca="1">IFERROR(__xludf.DUMMYFUNCTION("""COMPUTED_VALUE"""),"cross-device")</f>
        <v>cross-device</v>
      </c>
      <c r="AO866" s="3"/>
      <c r="AP866" s="3"/>
      <c r="AQ866" s="3"/>
      <c r="AR866" s="3"/>
      <c r="AS866" s="3"/>
      <c r="AT866" s="3"/>
      <c r="AU866" s="3" t="str">
        <f ca="1">IFERROR(__xludf.DUMMYFUNCTION("""COMPUTED_VALUE"""),"nativní rectangle cross-device")</f>
        <v>nativní rectangle cross-device</v>
      </c>
    </row>
    <row r="867" spans="1:47" x14ac:dyDescent="0.3">
      <c r="A867" s="3">
        <f ca="1"/>
        <v>2346826</v>
      </c>
      <c r="B867" s="3" t="str">
        <f ca="1"/>
        <v>CZECH NEWS CENTER a. s.</v>
      </c>
      <c r="C867" s="3" t="str">
        <f ca="1">IFERROR(__xludf.DUMMYFUNCTION("""COMPUTED_VALUE"""),"Moto GP sport")</f>
        <v>Moto GP sport</v>
      </c>
      <c r="D867" s="4" t="str">
        <f ca="1">IFERROR(__xludf.DUMMYFUNCTION("""COMPUTED_VALUE"""),"https://motogpsport.cz")</f>
        <v>https://motogpsport.cz</v>
      </c>
      <c r="E867" s="3" t="str">
        <f ca="1">IFERROR(__xludf.DUMMYFUNCTION("""COMPUTED_VALUE"""),"celý web")</f>
        <v>celý web</v>
      </c>
      <c r="F867" s="4" t="str">
        <f ca="1">IFERROR(__xludf.DUMMYFUNCTION("""COMPUTED_VALUE"""),"https://motogpsport.cz")</f>
        <v>https://motogpsport.cz</v>
      </c>
      <c r="G867" s="3" t="str">
        <f ca="1">IFERROR(__xludf.DUMMYFUNCTION("""COMPUTED_VALUE"""),"outstream low season")</f>
        <v>outstream low season</v>
      </c>
      <c r="H867" s="3">
        <f ca="1">IFERROR(__xludf.DUMMYFUNCTION("""COMPUTED_VALUE"""),7)</f>
        <v>7</v>
      </c>
      <c r="I867" s="5">
        <f ca="1">IFERROR(__xludf.DUMMYFUNCTION("""COMPUTED_VALUE"""),1000)</f>
        <v>1000</v>
      </c>
      <c r="J867" s="5">
        <f ca="1">IFERROR(__xludf.DUMMYFUNCTION("""COMPUTED_VALUE"""),250)</f>
        <v>250</v>
      </c>
      <c r="K867" s="3"/>
      <c r="L867" s="3" t="str">
        <f ca="1">IFERROR(__xludf.DUMMYFUNCTION("""COMPUTED_VALUE"""),"Cost per period")</f>
        <v>Cost per period</v>
      </c>
      <c r="M867" s="3"/>
      <c r="N867" s="3"/>
      <c r="O867" s="3" t="str">
        <f ca="1">IFERROR(__xludf.DUMMYFUNCTION("""COMPUTED_VALUE"""),"1280")</f>
        <v>1280</v>
      </c>
      <c r="P867" s="3" t="str">
        <f ca="1">IFERROR(__xludf.DUMMYFUNCTION("""COMPUTED_VALUE"""),"720")</f>
        <v>720</v>
      </c>
      <c r="Q867" s="3" t="str">
        <f ca="1">IFERROR(__xludf.DUMMYFUNCTION("""COMPUTED_VALUE"""),"16:9")</f>
        <v>16:9</v>
      </c>
      <c r="R867" s="3"/>
      <c r="S867" s="3" t="str">
        <f ca="1">IFERROR(__xludf.DUMMYFUNCTION("""COMPUTED_VALUE"""),"100")</f>
        <v>100</v>
      </c>
      <c r="T867" s="3"/>
      <c r="U867" s="3" t="str">
        <f ca="1">IFERROR(__xludf.DUMMYFUNCTION("""COMPUTED_VALUE"""),"videospot")</f>
        <v>videospot</v>
      </c>
      <c r="V867" s="3"/>
      <c r="W867" s="4" t="str">
        <f ca="1">IFERROR(__xludf.DUMMYFUNCTION("""COMPUTED_VALUE"""),"https://reklama.cncenter.cz/Online/Outstream")</f>
        <v>https://reklama.cncenter.cz/Online/Outstream</v>
      </c>
      <c r="X867" s="3"/>
      <c r="Y867" s="3"/>
      <c r="Z867" s="3" t="str">
        <f ca="1">IFERROR(__xludf.DUMMYFUNCTION("""COMPUTED_VALUE"""),"podklady@cncenter.cz")</f>
        <v>podklady@cncenter.cz</v>
      </c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 t="str">
        <f ca="1">IFERROR(__xludf.DUMMYFUNCTION("""COMPUTED_VALUE"""),"cross-device")</f>
        <v>cross-device</v>
      </c>
      <c r="AO867" s="3"/>
      <c r="AP867" s="3"/>
      <c r="AQ867" s="3"/>
      <c r="AR867" s="3"/>
      <c r="AS867" s="3"/>
      <c r="AT867" s="3"/>
      <c r="AU867" s="3" t="str">
        <f ca="1">IFERROR(__xludf.DUMMYFUNCTION("""COMPUTED_VALUE"""),"outstream")</f>
        <v>outstream</v>
      </c>
    </row>
    <row r="868" spans="1:47" x14ac:dyDescent="0.3">
      <c r="A868" s="3">
        <f ca="1"/>
        <v>2346826</v>
      </c>
      <c r="B868" s="3" t="str">
        <f ca="1"/>
        <v>CZECH NEWS CENTER a. s.</v>
      </c>
      <c r="C868" s="3" t="str">
        <f ca="1">IFERROR(__xludf.DUMMYFUNCTION("""COMPUTED_VALUE"""),"Moto GP sport")</f>
        <v>Moto GP sport</v>
      </c>
      <c r="D868" s="4" t="str">
        <f ca="1">IFERROR(__xludf.DUMMYFUNCTION("""COMPUTED_VALUE"""),"https://motogpsport.cz")</f>
        <v>https://motogpsport.cz</v>
      </c>
      <c r="E868" s="3" t="str">
        <f ca="1">IFERROR(__xludf.DUMMYFUNCTION("""COMPUTED_VALUE"""),"celý web")</f>
        <v>celý web</v>
      </c>
      <c r="F868" s="4" t="str">
        <f ca="1">IFERROR(__xludf.DUMMYFUNCTION("""COMPUTED_VALUE"""),"https://motogpsport.cz")</f>
        <v>https://motogpsport.cz</v>
      </c>
      <c r="G868" s="3" t="str">
        <f ca="1">IFERROR(__xludf.DUMMYFUNCTION("""COMPUTED_VALUE"""),"PR článek low season")</f>
        <v>PR článek low season</v>
      </c>
      <c r="H868" s="3">
        <f ca="1">IFERROR(__xludf.DUMMYFUNCTION("""COMPUTED_VALUE"""),1)</f>
        <v>1</v>
      </c>
      <c r="I868" s="5">
        <f ca="1">IFERROR(__xludf.DUMMYFUNCTION("""COMPUTED_VALUE"""),1)</f>
        <v>1</v>
      </c>
      <c r="J868" s="5">
        <f ca="1">IFERROR(__xludf.DUMMYFUNCTION("""COMPUTED_VALUE"""),25000)</f>
        <v>25000</v>
      </c>
      <c r="K868" s="3"/>
      <c r="L868" s="3" t="str">
        <f ca="1">IFERROR(__xludf.DUMMYFUNCTION("""COMPUTED_VALUE"""),"Cost per instance")</f>
        <v>Cost per instance</v>
      </c>
      <c r="M868" s="3"/>
      <c r="N868" s="3"/>
      <c r="O868" s="3"/>
      <c r="P868" s="3"/>
      <c r="Q868" s="3"/>
      <c r="R868" s="3"/>
      <c r="S868" s="3" t="str">
        <f ca="1">IFERROR(__xludf.DUMMYFUNCTION("""COMPUTED_VALUE"""),"100")</f>
        <v>100</v>
      </c>
      <c r="T868" s="3"/>
      <c r="U868" s="3" t="str">
        <f ca="1">IFERROR(__xludf.DUMMYFUNCTION("""COMPUTED_VALUE"""),"pr článek")</f>
        <v>pr článek</v>
      </c>
      <c r="V868" s="3"/>
      <c r="W868" s="4" t="str">
        <f ca="1">IFERROR(__xludf.DUMMYFUNCTION("""COMPUTED_VALUE"""),"https://reklama.cncenter.cz/?ads=PR%2520%25C4%258Dl%25C3%25A1nky")</f>
        <v>https://reklama.cncenter.cz/?ads=PR%2520%25C4%258Dl%25C3%25A1nky</v>
      </c>
      <c r="X868" s="3"/>
      <c r="Y868" s="3"/>
      <c r="Z868" s="3" t="str">
        <f ca="1">IFERROR(__xludf.DUMMYFUNCTION("""COMPUTED_VALUE"""),"podklady@cncenter.cz")</f>
        <v>podklady@cncenter.cz</v>
      </c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 t="str">
        <f ca="1">IFERROR(__xludf.DUMMYFUNCTION("""COMPUTED_VALUE"""),"cross-device")</f>
        <v>cross-device</v>
      </c>
      <c r="AO868" s="3"/>
      <c r="AP868" s="3"/>
      <c r="AQ868" s="3"/>
      <c r="AR868" s="3"/>
      <c r="AS868" s="3"/>
      <c r="AT868" s="3"/>
      <c r="AU868" s="3" t="str">
        <f ca="1">IFERROR(__xludf.DUMMYFUNCTION("""COMPUTED_VALUE"""),"PR článek")</f>
        <v>PR článek</v>
      </c>
    </row>
    <row r="869" spans="1:47" x14ac:dyDescent="0.3">
      <c r="A869" s="3">
        <f ca="1"/>
        <v>2346826</v>
      </c>
      <c r="B869" s="3" t="str">
        <f ca="1"/>
        <v>CZECH NEWS CENTER a. s.</v>
      </c>
      <c r="C869" s="3" t="str">
        <f ca="1">IFERROR(__xludf.DUMMYFUNCTION("""COMPUTED_VALUE"""),"Moto GP sport")</f>
        <v>Moto GP sport</v>
      </c>
      <c r="D869" s="4" t="str">
        <f ca="1">IFERROR(__xludf.DUMMYFUNCTION("""COMPUTED_VALUE"""),"https://motogpsport.cz")</f>
        <v>https://motogpsport.cz</v>
      </c>
      <c r="E869" s="3" t="str">
        <f ca="1">IFERROR(__xludf.DUMMYFUNCTION("""COMPUTED_VALUE"""),"celý web")</f>
        <v>celý web</v>
      </c>
      <c r="F869" s="4" t="str">
        <f ca="1">IFERROR(__xludf.DUMMYFUNCTION("""COMPUTED_VALUE"""),"https://motogpsport.cz")</f>
        <v>https://motogpsport.cz</v>
      </c>
      <c r="G869" s="3" t="str">
        <f ca="1">IFERROR(__xludf.DUMMYFUNCTION("""COMPUTED_VALUE"""),"Prodloužení existující microsite, bez úprav low season")</f>
        <v>Prodloužení existující microsite, bez úprav low season</v>
      </c>
      <c r="H869" s="3">
        <f ca="1">IFERROR(__xludf.DUMMYFUNCTION("""COMPUTED_VALUE"""),1)</f>
        <v>1</v>
      </c>
      <c r="I869" s="5">
        <f ca="1">IFERROR(__xludf.DUMMYFUNCTION("""COMPUTED_VALUE"""),1)</f>
        <v>1</v>
      </c>
      <c r="J869" s="5">
        <f ca="1">IFERROR(__xludf.DUMMYFUNCTION("""COMPUTED_VALUE"""),15000)</f>
        <v>15000</v>
      </c>
      <c r="K869" s="3"/>
      <c r="L869" s="3" t="str">
        <f ca="1">IFERROR(__xludf.DUMMYFUNCTION("""COMPUTED_VALUE"""),"Cost per instance")</f>
        <v>Cost per instance</v>
      </c>
      <c r="M869" s="3"/>
      <c r="N869" s="3"/>
      <c r="O869" s="3"/>
      <c r="P869" s="3"/>
      <c r="Q869" s="3"/>
      <c r="R869" s="3"/>
      <c r="S869" s="3" t="str">
        <f ca="1">IFERROR(__xludf.DUMMYFUNCTION("""COMPUTED_VALUE"""),"100")</f>
        <v>100</v>
      </c>
      <c r="T869" s="3"/>
      <c r="U869" s="3" t="str">
        <f ca="1">IFERROR(__xludf.DUMMYFUNCTION("""COMPUTED_VALUE"""),"microsite")</f>
        <v>microsite</v>
      </c>
      <c r="V869" s="3"/>
      <c r="W869" s="3"/>
      <c r="X869" s="3"/>
      <c r="Y869" s="3"/>
      <c r="Z869" s="3" t="str">
        <f ca="1">IFERROR(__xludf.DUMMYFUNCTION("""COMPUTED_VALUE"""),"podklady@cncenter.cz")</f>
        <v>podklady@cncenter.cz</v>
      </c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 t="str">
        <f ca="1">IFERROR(__xludf.DUMMYFUNCTION("""COMPUTED_VALUE"""),"cross-device")</f>
        <v>cross-device</v>
      </c>
      <c r="AO869" s="3"/>
      <c r="AP869" s="3"/>
      <c r="AQ869" s="3"/>
      <c r="AR869" s="3"/>
      <c r="AS869" s="3"/>
      <c r="AT869" s="3"/>
      <c r="AU869" s="3" t="str">
        <f ca="1">IFERROR(__xludf.DUMMYFUNCTION("""COMPUTED_VALUE"""),"Prodloužení existující microsite, bez úprav")</f>
        <v>Prodloužení existující microsite, bez úprav</v>
      </c>
    </row>
    <row r="870" spans="1:47" x14ac:dyDescent="0.3">
      <c r="A870" s="3">
        <f ca="1"/>
        <v>2346826</v>
      </c>
      <c r="B870" s="3" t="str">
        <f ca="1"/>
        <v>CZECH NEWS CENTER a. s.</v>
      </c>
      <c r="C870" s="3" t="str">
        <f ca="1">IFERROR(__xludf.DUMMYFUNCTION("""COMPUTED_VALUE"""),"Moto GP sport")</f>
        <v>Moto GP sport</v>
      </c>
      <c r="D870" s="4" t="str">
        <f ca="1">IFERROR(__xludf.DUMMYFUNCTION("""COMPUTED_VALUE"""),"https://motogpsport.cz")</f>
        <v>https://motogpsport.cz</v>
      </c>
      <c r="E870" s="3" t="str">
        <f ca="1">IFERROR(__xludf.DUMMYFUNCTION("""COMPUTED_VALUE"""),"celý web")</f>
        <v>celý web</v>
      </c>
      <c r="F870" s="4" t="str">
        <f ca="1">IFERROR(__xludf.DUMMYFUNCTION("""COMPUTED_VALUE"""),"https://motogpsport.cz")</f>
        <v>https://motogpsport.cz</v>
      </c>
      <c r="G870" s="3" t="str">
        <f ca="1">IFERROR(__xludf.DUMMYFUNCTION("""COMPUTED_VALUE"""),"Prodloužení existující microsite, bez úprav low season")</f>
        <v>Prodloužení existující microsite, bez úprav low season</v>
      </c>
      <c r="H870" s="3">
        <f ca="1">IFERROR(__xludf.DUMMYFUNCTION("""COMPUTED_VALUE"""),1)</f>
        <v>1</v>
      </c>
      <c r="I870" s="5">
        <f ca="1">IFERROR(__xludf.DUMMYFUNCTION("""COMPUTED_VALUE"""),1)</f>
        <v>1</v>
      </c>
      <c r="J870" s="5">
        <f ca="1">IFERROR(__xludf.DUMMYFUNCTION("""COMPUTED_VALUE"""),15000)</f>
        <v>15000</v>
      </c>
      <c r="K870" s="3"/>
      <c r="L870" s="3" t="str">
        <f ca="1">IFERROR(__xludf.DUMMYFUNCTION("""COMPUTED_VALUE"""),"Cost per instance")</f>
        <v>Cost per instance</v>
      </c>
      <c r="M870" s="3"/>
      <c r="N870" s="3"/>
      <c r="O870" s="3"/>
      <c r="P870" s="3"/>
      <c r="Q870" s="3"/>
      <c r="R870" s="3"/>
      <c r="S870" s="3" t="str">
        <f ca="1">IFERROR(__xludf.DUMMYFUNCTION("""COMPUTED_VALUE"""),"100")</f>
        <v>100</v>
      </c>
      <c r="T870" s="3"/>
      <c r="U870" s="3" t="str">
        <f ca="1">IFERROR(__xludf.DUMMYFUNCTION("""COMPUTED_VALUE"""),"microsite")</f>
        <v>microsite</v>
      </c>
      <c r="V870" s="3"/>
      <c r="W870" s="3"/>
      <c r="X870" s="3"/>
      <c r="Y870" s="3"/>
      <c r="Z870" s="3" t="str">
        <f ca="1">IFERROR(__xludf.DUMMYFUNCTION("""COMPUTED_VALUE"""),"podklady@cncenter.cz")</f>
        <v>podklady@cncenter.cz</v>
      </c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 t="str">
        <f ca="1">IFERROR(__xludf.DUMMYFUNCTION("""COMPUTED_VALUE"""),"cross-device")</f>
        <v>cross-device</v>
      </c>
      <c r="AO870" s="3"/>
      <c r="AP870" s="3"/>
      <c r="AQ870" s="3"/>
      <c r="AR870" s="3"/>
      <c r="AS870" s="3"/>
      <c r="AT870" s="3"/>
      <c r="AU870" s="3" t="str">
        <f ca="1">IFERROR(__xludf.DUMMYFUNCTION("""COMPUTED_VALUE"""),"Prodloužení existující microsite, bez úprav")</f>
        <v>Prodloužení existující microsite, bez úprav</v>
      </c>
    </row>
    <row r="871" spans="1:47" x14ac:dyDescent="0.3">
      <c r="A871" s="3">
        <f ca="1"/>
        <v>2346826</v>
      </c>
      <c r="B871" s="3" t="str">
        <f ca="1"/>
        <v>CZECH NEWS CENTER a. s.</v>
      </c>
      <c r="C871" s="3" t="str">
        <f ca="1">IFERROR(__xludf.DUMMYFUNCTION("""COMPUTED_VALUE"""),"Moto GP sport")</f>
        <v>Moto GP sport</v>
      </c>
      <c r="D871" s="4" t="str">
        <f ca="1">IFERROR(__xludf.DUMMYFUNCTION("""COMPUTED_VALUE"""),"https://motogpsport.cz")</f>
        <v>https://motogpsport.cz</v>
      </c>
      <c r="E871" s="3" t="str">
        <f ca="1">IFERROR(__xludf.DUMMYFUNCTION("""COMPUTED_VALUE"""),"celý web")</f>
        <v>celý web</v>
      </c>
      <c r="F871" s="4" t="str">
        <f ca="1">IFERROR(__xludf.DUMMYFUNCTION("""COMPUTED_VALUE"""),"https://motogpsport.cz")</f>
        <v>https://motogpsport.cz</v>
      </c>
      <c r="G871" s="3" t="str">
        <f ca="1">IFERROR(__xludf.DUMMYFUNCTION("""COMPUTED_VALUE"""),"Prodloužení existující microsite, bez úprav low season")</f>
        <v>Prodloužení existující microsite, bez úprav low season</v>
      </c>
      <c r="H871" s="3">
        <f ca="1">IFERROR(__xludf.DUMMYFUNCTION("""COMPUTED_VALUE"""),1)</f>
        <v>1</v>
      </c>
      <c r="I871" s="5">
        <f ca="1">IFERROR(__xludf.DUMMYFUNCTION("""COMPUTED_VALUE"""),1)</f>
        <v>1</v>
      </c>
      <c r="J871" s="5">
        <f ca="1">IFERROR(__xludf.DUMMYFUNCTION("""COMPUTED_VALUE"""),15000)</f>
        <v>15000</v>
      </c>
      <c r="K871" s="3"/>
      <c r="L871" s="3" t="str">
        <f ca="1">IFERROR(__xludf.DUMMYFUNCTION("""COMPUTED_VALUE"""),"Cost per instance")</f>
        <v>Cost per instance</v>
      </c>
      <c r="M871" s="3"/>
      <c r="N871" s="3"/>
      <c r="O871" s="3"/>
      <c r="P871" s="3"/>
      <c r="Q871" s="3"/>
      <c r="R871" s="3"/>
      <c r="S871" s="3" t="str">
        <f ca="1">IFERROR(__xludf.DUMMYFUNCTION("""COMPUTED_VALUE"""),"100")</f>
        <v>100</v>
      </c>
      <c r="T871" s="3"/>
      <c r="U871" s="3" t="str">
        <f ca="1">IFERROR(__xludf.DUMMYFUNCTION("""COMPUTED_VALUE"""),"microsite")</f>
        <v>microsite</v>
      </c>
      <c r="V871" s="3"/>
      <c r="W871" s="3"/>
      <c r="X871" s="3"/>
      <c r="Y871" s="3"/>
      <c r="Z871" s="3" t="str">
        <f ca="1">IFERROR(__xludf.DUMMYFUNCTION("""COMPUTED_VALUE"""),"podklady@cncenter.cz")</f>
        <v>podklady@cncenter.cz</v>
      </c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 t="str">
        <f ca="1">IFERROR(__xludf.DUMMYFUNCTION("""COMPUTED_VALUE"""),"cross-device")</f>
        <v>cross-device</v>
      </c>
      <c r="AO871" s="3"/>
      <c r="AP871" s="3"/>
      <c r="AQ871" s="3"/>
      <c r="AR871" s="3"/>
      <c r="AS871" s="3"/>
      <c r="AT871" s="3"/>
      <c r="AU871" s="3" t="str">
        <f ca="1">IFERROR(__xludf.DUMMYFUNCTION("""COMPUTED_VALUE"""),"Prodloužení existující microsite, bez úprav")</f>
        <v>Prodloužení existující microsite, bez úprav</v>
      </c>
    </row>
    <row r="872" spans="1:47" x14ac:dyDescent="0.3">
      <c r="A872" s="3">
        <f ca="1"/>
        <v>2346826</v>
      </c>
      <c r="B872" s="3" t="str">
        <f ca="1"/>
        <v>CZECH NEWS CENTER a. s.</v>
      </c>
      <c r="C872" s="4" t="str">
        <f ca="1">IFERROR(__xludf.DUMMYFUNCTION("""COMPUTED_VALUE"""),"nemovitosti.blesk.cz")</f>
        <v>nemovitosti.blesk.cz</v>
      </c>
      <c r="D872" s="4" t="str">
        <f ca="1">IFERROR(__xludf.DUMMYFUNCTION("""COMPUTED_VALUE"""),"https://nemovitosti.blesk.cz")</f>
        <v>https://nemovitosti.blesk.cz</v>
      </c>
      <c r="E872" s="3" t="str">
        <f ca="1">IFERROR(__xludf.DUMMYFUNCTION("""COMPUTED_VALUE"""),"celý web")</f>
        <v>celý web</v>
      </c>
      <c r="F872" s="4" t="str">
        <f ca="1">IFERROR(__xludf.DUMMYFUNCTION("""COMPUTED_VALUE"""),"https://nemovitosti.blesk.cz")</f>
        <v>https://nemovitosti.blesk.cz</v>
      </c>
      <c r="G872" s="3" t="str">
        <f ca="1">IFERROR(__xludf.DUMMYFUNCTION("""COMPUTED_VALUE"""),"Advertorial low season")</f>
        <v>Advertorial low season</v>
      </c>
      <c r="H872" s="3">
        <f ca="1">IFERROR(__xludf.DUMMYFUNCTION("""COMPUTED_VALUE"""),1)</f>
        <v>1</v>
      </c>
      <c r="I872" s="5">
        <f ca="1">IFERROR(__xludf.DUMMYFUNCTION("""COMPUTED_VALUE"""),1)</f>
        <v>1</v>
      </c>
      <c r="J872" s="5">
        <f ca="1">IFERROR(__xludf.DUMMYFUNCTION("""COMPUTED_VALUE"""),90000)</f>
        <v>90000</v>
      </c>
      <c r="K872" s="3"/>
      <c r="L872" s="3" t="str">
        <f ca="1">IFERROR(__xludf.DUMMYFUNCTION("""COMPUTED_VALUE"""),"Cost per instance")</f>
        <v>Cost per instance</v>
      </c>
      <c r="M872" s="3"/>
      <c r="N872" s="3"/>
      <c r="O872" s="3"/>
      <c r="P872" s="3"/>
      <c r="Q872" s="3"/>
      <c r="R872" s="3"/>
      <c r="S872" s="3" t="str">
        <f ca="1">IFERROR(__xludf.DUMMYFUNCTION("""COMPUTED_VALUE"""),"100")</f>
        <v>100</v>
      </c>
      <c r="T872" s="3"/>
      <c r="U872" s="3" t="str">
        <f ca="1">IFERROR(__xludf.DUMMYFUNCTION("""COMPUTED_VALUE"""),"pr článek")</f>
        <v>pr článek</v>
      </c>
      <c r="V872" s="3"/>
      <c r="W872" s="3"/>
      <c r="X872" s="3"/>
      <c r="Y872" s="3"/>
      <c r="Z872" s="3" t="str">
        <f ca="1">IFERROR(__xludf.DUMMYFUNCTION("""COMPUTED_VALUE"""),"podklady@cncenter.cz")</f>
        <v>podklady@cncenter.cz</v>
      </c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 t="str">
        <f ca="1">IFERROR(__xludf.DUMMYFUNCTION("""COMPUTED_VALUE"""),"cross-device")</f>
        <v>cross-device</v>
      </c>
      <c r="AO872" s="3"/>
      <c r="AP872" s="3"/>
      <c r="AQ872" s="3"/>
      <c r="AR872" s="3"/>
      <c r="AS872" s="3"/>
      <c r="AT872" s="3"/>
      <c r="AU872" s="3" t="str">
        <f ca="1">IFERROR(__xludf.DUMMYFUNCTION("""COMPUTED_VALUE"""),"Advertorial")</f>
        <v>Advertorial</v>
      </c>
    </row>
    <row r="873" spans="1:47" x14ac:dyDescent="0.3">
      <c r="A873" s="3">
        <f ca="1"/>
        <v>2346826</v>
      </c>
      <c r="B873" s="3" t="str">
        <f ca="1"/>
        <v>CZECH NEWS CENTER a. s.</v>
      </c>
      <c r="C873" s="4" t="str">
        <f ca="1">IFERROR(__xludf.DUMMYFUNCTION("""COMPUTED_VALUE"""),"nemovitosti.blesk.cz")</f>
        <v>nemovitosti.blesk.cz</v>
      </c>
      <c r="D873" s="4" t="str">
        <f ca="1">IFERROR(__xludf.DUMMYFUNCTION("""COMPUTED_VALUE"""),"https://nemovitosti.blesk.cz")</f>
        <v>https://nemovitosti.blesk.cz</v>
      </c>
      <c r="E873" s="3" t="str">
        <f ca="1">IFERROR(__xludf.DUMMYFUNCTION("""COMPUTED_VALUE"""),"celý web")</f>
        <v>celý web</v>
      </c>
      <c r="F873" s="4" t="str">
        <f ca="1">IFERROR(__xludf.DUMMYFUNCTION("""COMPUTED_VALUE"""),"https://nemovitosti.blesk.cz")</f>
        <v>https://nemovitosti.blesk.cz</v>
      </c>
      <c r="G873" s="3" t="str">
        <f ca="1">IFERROR(__xludf.DUMMYFUNCTION("""COMPUTED_VALUE"""),"billboard bottom low season")</f>
        <v>billboard bottom low season</v>
      </c>
      <c r="H873" s="3">
        <f ca="1">IFERROR(__xludf.DUMMYFUNCTION("""COMPUTED_VALUE"""),7)</f>
        <v>7</v>
      </c>
      <c r="I873" s="5">
        <f ca="1">IFERROR(__xludf.DUMMYFUNCTION("""COMPUTED_VALUE"""),1000)</f>
        <v>1000</v>
      </c>
      <c r="J873" s="5">
        <f ca="1">IFERROR(__xludf.DUMMYFUNCTION("""COMPUTED_VALUE"""),240)</f>
        <v>240</v>
      </c>
      <c r="K873" s="3"/>
      <c r="L873" s="3" t="str">
        <f ca="1">IFERROR(__xludf.DUMMYFUNCTION("""COMPUTED_VALUE"""),"Cost per period")</f>
        <v>Cost per period</v>
      </c>
      <c r="M873" s="3"/>
      <c r="N873" s="3"/>
      <c r="O873" s="3" t="str">
        <f ca="1">IFERROR(__xludf.DUMMYFUNCTION("""COMPUTED_VALUE"""),"970")</f>
        <v>970</v>
      </c>
      <c r="P873" s="3" t="str">
        <f ca="1">IFERROR(__xludf.DUMMYFUNCTION("""COMPUTED_VALUE"""),"250")</f>
        <v>250</v>
      </c>
      <c r="Q873" s="3" t="str">
        <f ca="1">IFERROR(__xludf.DUMMYFUNCTION("""COMPUTED_VALUE"""),"970x250")</f>
        <v>970x250</v>
      </c>
      <c r="R873" s="3"/>
      <c r="S873" s="3" t="str">
        <f ca="1">IFERROR(__xludf.DUMMYFUNCTION("""COMPUTED_VALUE"""),"100 (200 - HTML5)")</f>
        <v>100 (200 - HTML5)</v>
      </c>
      <c r="T873" s="3"/>
      <c r="U873" s="3" t="str">
        <f ca="1">IFERROR(__xludf.DUMMYFUNCTION("""COMPUTED_VALUE"""),"banner standard")</f>
        <v>banner standard</v>
      </c>
      <c r="V873" s="3"/>
      <c r="W873" s="4" t="str">
        <f ca="1">IFERROR(__xludf.DUMMYFUNCTION("""COMPUTED_VALUE"""),"https://reklama.cncenter.cz/Online/billboard-bottom")</f>
        <v>https://reklama.cncenter.cz/Online/billboard-bottom</v>
      </c>
      <c r="X873" s="3"/>
      <c r="Y873" s="3"/>
      <c r="Z873" s="3" t="str">
        <f ca="1">IFERROR(__xludf.DUMMYFUNCTION("""COMPUTED_VALUE"""),"podklady@cncenter.cz")</f>
        <v>podklady@cncenter.cz</v>
      </c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 t="str">
        <f ca="1">IFERROR(__xludf.DUMMYFUNCTION("""COMPUTED_VALUE"""),"desktop")</f>
        <v>desktop</v>
      </c>
      <c r="AO873" s="3"/>
      <c r="AP873" s="3"/>
      <c r="AQ873" s="3"/>
      <c r="AR873" s="3"/>
      <c r="AS873" s="3"/>
      <c r="AT873" s="3"/>
      <c r="AU873" s="3" t="str">
        <f ca="1">IFERROR(__xludf.DUMMYFUNCTION("""COMPUTED_VALUE"""),"billboard bottom")</f>
        <v>billboard bottom</v>
      </c>
    </row>
    <row r="874" spans="1:47" x14ac:dyDescent="0.3">
      <c r="A874" s="3">
        <f ca="1"/>
        <v>2346826</v>
      </c>
      <c r="B874" s="3" t="str">
        <f ca="1"/>
        <v>CZECH NEWS CENTER a. s.</v>
      </c>
      <c r="C874" s="4" t="str">
        <f ca="1">IFERROR(__xludf.DUMMYFUNCTION("""COMPUTED_VALUE"""),"nemovitosti.blesk.cz")</f>
        <v>nemovitosti.blesk.cz</v>
      </c>
      <c r="D874" s="4" t="str">
        <f ca="1">IFERROR(__xludf.DUMMYFUNCTION("""COMPUTED_VALUE"""),"https://nemovitosti.blesk.cz")</f>
        <v>https://nemovitosti.blesk.cz</v>
      </c>
      <c r="E874" s="3" t="str">
        <f ca="1">IFERROR(__xludf.DUMMYFUNCTION("""COMPUTED_VALUE"""),"celý web")</f>
        <v>celý web</v>
      </c>
      <c r="F874" s="4" t="str">
        <f ca="1">IFERROR(__xludf.DUMMYFUNCTION("""COMPUTED_VALUE"""),"https://nemovitosti.blesk.cz")</f>
        <v>https://nemovitosti.blesk.cz</v>
      </c>
      <c r="G874" s="3" t="str">
        <f ca="1">IFERROR(__xludf.DUMMYFUNCTION("""COMPUTED_VALUE"""),"branding cross-device low season")</f>
        <v>branding cross-device low season</v>
      </c>
      <c r="H874" s="3">
        <f ca="1">IFERROR(__xludf.DUMMYFUNCTION("""COMPUTED_VALUE"""),7)</f>
        <v>7</v>
      </c>
      <c r="I874" s="5">
        <f ca="1">IFERROR(__xludf.DUMMYFUNCTION("""COMPUTED_VALUE"""),1000)</f>
        <v>1000</v>
      </c>
      <c r="J874" s="5">
        <f ca="1">IFERROR(__xludf.DUMMYFUNCTION("""COMPUTED_VALUE"""),300)</f>
        <v>300</v>
      </c>
      <c r="K874" s="3"/>
      <c r="L874" s="3" t="str">
        <f ca="1">IFERROR(__xludf.DUMMYFUNCTION("""COMPUTED_VALUE"""),"Cost per period")</f>
        <v>Cost per period</v>
      </c>
      <c r="M874" s="3"/>
      <c r="N874" s="3"/>
      <c r="O874" s="3" t="str">
        <f ca="1">IFERROR(__xludf.DUMMYFUNCTION("""COMPUTED_VALUE"""),"2000")</f>
        <v>2000</v>
      </c>
      <c r="P874" s="3" t="str">
        <f ca="1">IFERROR(__xludf.DUMMYFUNCTION("""COMPUTED_VALUE"""),"1400")</f>
        <v>1400</v>
      </c>
      <c r="Q874" s="3" t="str">
        <f ca="1">IFERROR(__xludf.DUMMYFUNCTION("""COMPUTED_VALUE"""),"2000x1400 + 600x1080")</f>
        <v>2000x1400 + 600x1080</v>
      </c>
      <c r="R874" s="3"/>
      <c r="S874" s="3" t="str">
        <f ca="1">IFERROR(__xludf.DUMMYFUNCTION("""COMPUTED_VALUE"""),"500 (600 - HTLM5)")</f>
        <v>500 (600 - HTLM5)</v>
      </c>
      <c r="T874" s="3"/>
      <c r="U874" s="3" t="str">
        <f ca="1">IFERROR(__xludf.DUMMYFUNCTION("""COMPUTED_VALUE"""),"banner standard")</f>
        <v>banner standard</v>
      </c>
      <c r="V874" s="3"/>
      <c r="W874" s="4" t="str">
        <f ca="1">IFERROR(__xludf.DUMMYFUNCTION("""COMPUTED_VALUE"""),"https://reklama.cncenter.cz/Online/branding-cross-device")</f>
        <v>https://reklama.cncenter.cz/Online/branding-cross-device</v>
      </c>
      <c r="X874" s="3"/>
      <c r="Y874" s="3"/>
      <c r="Z874" s="3" t="str">
        <f ca="1">IFERROR(__xludf.DUMMYFUNCTION("""COMPUTED_VALUE"""),"podklady@cncenter.cz")</f>
        <v>podklady@cncenter.cz</v>
      </c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 t="str">
        <f ca="1">IFERROR(__xludf.DUMMYFUNCTION("""COMPUTED_VALUE"""),"cross-device")</f>
        <v>cross-device</v>
      </c>
      <c r="AO874" s="3"/>
      <c r="AP874" s="3"/>
      <c r="AQ874" s="3"/>
      <c r="AR874" s="3"/>
      <c r="AS874" s="3"/>
      <c r="AT874" s="3"/>
      <c r="AU874" s="3" t="str">
        <f ca="1">IFERROR(__xludf.DUMMYFUNCTION("""COMPUTED_VALUE"""),"branding cross-device")</f>
        <v>branding cross-device</v>
      </c>
    </row>
    <row r="875" spans="1:47" x14ac:dyDescent="0.3">
      <c r="A875" s="3">
        <f ca="1"/>
        <v>2346826</v>
      </c>
      <c r="B875" s="3" t="str">
        <f ca="1"/>
        <v>CZECH NEWS CENTER a. s.</v>
      </c>
      <c r="C875" s="4" t="str">
        <f ca="1">IFERROR(__xludf.DUMMYFUNCTION("""COMPUTED_VALUE"""),"nemovitosti.blesk.cz")</f>
        <v>nemovitosti.blesk.cz</v>
      </c>
      <c r="D875" s="4" t="str">
        <f ca="1">IFERROR(__xludf.DUMMYFUNCTION("""COMPUTED_VALUE"""),"https://nemovitosti.blesk.cz")</f>
        <v>https://nemovitosti.blesk.cz</v>
      </c>
      <c r="E875" s="3" t="str">
        <f ca="1">IFERROR(__xludf.DUMMYFUNCTION("""COMPUTED_VALUE"""),"celý web")</f>
        <v>celý web</v>
      </c>
      <c r="F875" s="4" t="str">
        <f ca="1">IFERROR(__xludf.DUMMYFUNCTION("""COMPUTED_VALUE"""),"https://nemovitosti.blesk.cz")</f>
        <v>https://nemovitosti.blesk.cz</v>
      </c>
      <c r="G875" s="3" t="str">
        <f ca="1">IFERROR(__xludf.DUMMYFUNCTION("""COMPUTED_VALUE"""),"branding low season")</f>
        <v>branding low season</v>
      </c>
      <c r="H875" s="3">
        <f ca="1">IFERROR(__xludf.DUMMYFUNCTION("""COMPUTED_VALUE"""),7)</f>
        <v>7</v>
      </c>
      <c r="I875" s="5">
        <f ca="1">IFERROR(__xludf.DUMMYFUNCTION("""COMPUTED_VALUE"""),1000)</f>
        <v>1000</v>
      </c>
      <c r="J875" s="5">
        <f ca="1">IFERROR(__xludf.DUMMYFUNCTION("""COMPUTED_VALUE"""),490)</f>
        <v>490</v>
      </c>
      <c r="K875" s="3"/>
      <c r="L875" s="3" t="str">
        <f ca="1">IFERROR(__xludf.DUMMYFUNCTION("""COMPUTED_VALUE"""),"Cost per period")</f>
        <v>Cost per period</v>
      </c>
      <c r="M875" s="3"/>
      <c r="N875" s="3"/>
      <c r="O875" s="3" t="str">
        <f ca="1">IFERROR(__xludf.DUMMYFUNCTION("""COMPUTED_VALUE"""),"2000")</f>
        <v>2000</v>
      </c>
      <c r="P875" s="3" t="str">
        <f ca="1">IFERROR(__xludf.DUMMYFUNCTION("""COMPUTED_VALUE"""),"1400")</f>
        <v>1400</v>
      </c>
      <c r="Q875" s="3" t="str">
        <f ca="1">IFERROR(__xludf.DUMMYFUNCTION("""COMPUTED_VALUE"""),"2000x1400")</f>
        <v>2000x1400</v>
      </c>
      <c r="R875" s="3"/>
      <c r="S875" s="3" t="str">
        <f ca="1">IFERROR(__xludf.DUMMYFUNCTION("""COMPUTED_VALUE"""),"500 + 200 (600+200 HTML5)")</f>
        <v>500 + 200 (600+200 HTML5)</v>
      </c>
      <c r="T875" s="3"/>
      <c r="U875" s="3" t="str">
        <f ca="1">IFERROR(__xludf.DUMMYFUNCTION("""COMPUTED_VALUE"""),"banner standard")</f>
        <v>banner standard</v>
      </c>
      <c r="V875" s="3"/>
      <c r="W875" s="4" t="str">
        <f ca="1">IFERROR(__xludf.DUMMYFUNCTION("""COMPUTED_VALUE"""),"https://reklama.cncenter.cz/Online/branding")</f>
        <v>https://reklama.cncenter.cz/Online/branding</v>
      </c>
      <c r="X875" s="3"/>
      <c r="Y875" s="3"/>
      <c r="Z875" s="3" t="str">
        <f ca="1">IFERROR(__xludf.DUMMYFUNCTION("""COMPUTED_VALUE"""),"podklady@cncenter.cz")</f>
        <v>podklady@cncenter.cz</v>
      </c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 t="str">
        <f ca="1">IFERROR(__xludf.DUMMYFUNCTION("""COMPUTED_VALUE"""),"desktop")</f>
        <v>desktop</v>
      </c>
      <c r="AO875" s="3"/>
      <c r="AP875" s="3"/>
      <c r="AQ875" s="3"/>
      <c r="AR875" s="3"/>
      <c r="AS875" s="3"/>
      <c r="AT875" s="3"/>
      <c r="AU875" s="3" t="str">
        <f ca="1">IFERROR(__xludf.DUMMYFUNCTION("""COMPUTED_VALUE"""),"branding")</f>
        <v>branding</v>
      </c>
    </row>
    <row r="876" spans="1:47" x14ac:dyDescent="0.3">
      <c r="A876" s="3">
        <f ca="1"/>
        <v>2346826</v>
      </c>
      <c r="B876" s="3" t="str">
        <f ca="1"/>
        <v>CZECH NEWS CENTER a. s.</v>
      </c>
      <c r="C876" s="4" t="str">
        <f ca="1">IFERROR(__xludf.DUMMYFUNCTION("""COMPUTED_VALUE"""),"nemovitosti.blesk.cz")</f>
        <v>nemovitosti.blesk.cz</v>
      </c>
      <c r="D876" s="4" t="str">
        <f ca="1">IFERROR(__xludf.DUMMYFUNCTION("""COMPUTED_VALUE"""),"https://nemovitosti.blesk.cz")</f>
        <v>https://nemovitosti.blesk.cz</v>
      </c>
      <c r="E876" s="3" t="str">
        <f ca="1">IFERROR(__xludf.DUMMYFUNCTION("""COMPUTED_VALUE"""),"celý web")</f>
        <v>celý web</v>
      </c>
      <c r="F876" s="4" t="str">
        <f ca="1">IFERROR(__xludf.DUMMYFUNCTION("""COMPUTED_VALUE"""),"https://nemovitosti.blesk.cz")</f>
        <v>https://nemovitosti.blesk.cz</v>
      </c>
      <c r="G876" s="3" t="str">
        <f ca="1">IFERROR(__xludf.DUMMYFUNCTION("""COMPUTED_VALUE"""),"cílený billboard bottom low season")</f>
        <v>cílený billboard bottom low season</v>
      </c>
      <c r="H876" s="3">
        <f ca="1">IFERROR(__xludf.DUMMYFUNCTION("""COMPUTED_VALUE"""),7)</f>
        <v>7</v>
      </c>
      <c r="I876" s="5">
        <f ca="1">IFERROR(__xludf.DUMMYFUNCTION("""COMPUTED_VALUE"""),1000)</f>
        <v>1000</v>
      </c>
      <c r="J876" s="5">
        <f ca="1">IFERROR(__xludf.DUMMYFUNCTION("""COMPUTED_VALUE"""),288)</f>
        <v>288</v>
      </c>
      <c r="K876" s="3"/>
      <c r="L876" s="3" t="str">
        <f ca="1">IFERROR(__xludf.DUMMYFUNCTION("""COMPUTED_VALUE"""),"Cost per period")</f>
        <v>Cost per period</v>
      </c>
      <c r="M876" s="3"/>
      <c r="N876" s="3"/>
      <c r="O876" s="3" t="str">
        <f ca="1">IFERROR(__xludf.DUMMYFUNCTION("""COMPUTED_VALUE"""),"970")</f>
        <v>970</v>
      </c>
      <c r="P876" s="3" t="str">
        <f ca="1">IFERROR(__xludf.DUMMYFUNCTION("""COMPUTED_VALUE"""),"250")</f>
        <v>250</v>
      </c>
      <c r="Q876" s="3" t="str">
        <f ca="1">IFERROR(__xludf.DUMMYFUNCTION("""COMPUTED_VALUE"""),"970x250")</f>
        <v>970x250</v>
      </c>
      <c r="R876" s="3"/>
      <c r="S876" s="3" t="str">
        <f ca="1">IFERROR(__xludf.DUMMYFUNCTION("""COMPUTED_VALUE"""),"100 (200 - HTML5)")</f>
        <v>100 (200 - HTML5)</v>
      </c>
      <c r="T876" s="3"/>
      <c r="U876" s="3" t="str">
        <f ca="1">IFERROR(__xludf.DUMMYFUNCTION("""COMPUTED_VALUE"""),"banner standard")</f>
        <v>banner standard</v>
      </c>
      <c r="V876" s="3"/>
      <c r="W876" s="4" t="str">
        <f ca="1">IFERROR(__xludf.DUMMYFUNCTION("""COMPUTED_VALUE"""),"https://reklama.cncenter.cz/Online/billboard-bottom")</f>
        <v>https://reklama.cncenter.cz/Online/billboard-bottom</v>
      </c>
      <c r="X876" s="3"/>
      <c r="Y876" s="3"/>
      <c r="Z876" s="3" t="str">
        <f ca="1">IFERROR(__xludf.DUMMYFUNCTION("""COMPUTED_VALUE"""),"podklady@cncenter.cz")</f>
        <v>podklady@cncenter.cz</v>
      </c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 t="str">
        <f ca="1">IFERROR(__xludf.DUMMYFUNCTION("""COMPUTED_VALUE"""),"desktop")</f>
        <v>desktop</v>
      </c>
      <c r="AO876" s="3"/>
      <c r="AP876" s="3"/>
      <c r="AQ876" s="3"/>
      <c r="AR876" s="3"/>
      <c r="AS876" s="3"/>
      <c r="AT876" s="3"/>
      <c r="AU876" s="3" t="str">
        <f ca="1">IFERROR(__xludf.DUMMYFUNCTION("""COMPUTED_VALUE"""),"cílený billboard bottom")</f>
        <v>cílený billboard bottom</v>
      </c>
    </row>
    <row r="877" spans="1:47" x14ac:dyDescent="0.3">
      <c r="A877" s="3">
        <f ca="1"/>
        <v>2346826</v>
      </c>
      <c r="B877" s="3" t="str">
        <f ca="1"/>
        <v>CZECH NEWS CENTER a. s.</v>
      </c>
      <c r="C877" s="4" t="str">
        <f ca="1">IFERROR(__xludf.DUMMYFUNCTION("""COMPUTED_VALUE"""),"nemovitosti.blesk.cz")</f>
        <v>nemovitosti.blesk.cz</v>
      </c>
      <c r="D877" s="4" t="str">
        <f ca="1">IFERROR(__xludf.DUMMYFUNCTION("""COMPUTED_VALUE"""),"https://nemovitosti.blesk.cz")</f>
        <v>https://nemovitosti.blesk.cz</v>
      </c>
      <c r="E877" s="3" t="str">
        <f ca="1">IFERROR(__xludf.DUMMYFUNCTION("""COMPUTED_VALUE"""),"celý web")</f>
        <v>celý web</v>
      </c>
      <c r="F877" s="4" t="str">
        <f ca="1">IFERROR(__xludf.DUMMYFUNCTION("""COMPUTED_VALUE"""),"https://nemovitosti.blesk.cz")</f>
        <v>https://nemovitosti.blesk.cz</v>
      </c>
      <c r="G877" s="3" t="str">
        <f ca="1">IFERROR(__xludf.DUMMYFUNCTION("""COMPUTED_VALUE"""),"cílený branding cross-device low season")</f>
        <v>cílený branding cross-device low season</v>
      </c>
      <c r="H877" s="3">
        <f ca="1">IFERROR(__xludf.DUMMYFUNCTION("""COMPUTED_VALUE"""),7)</f>
        <v>7</v>
      </c>
      <c r="I877" s="5">
        <f ca="1">IFERROR(__xludf.DUMMYFUNCTION("""COMPUTED_VALUE"""),1000)</f>
        <v>1000</v>
      </c>
      <c r="J877" s="5">
        <f ca="1">IFERROR(__xludf.DUMMYFUNCTION("""COMPUTED_VALUE"""),360)</f>
        <v>360</v>
      </c>
      <c r="K877" s="3"/>
      <c r="L877" s="3" t="str">
        <f ca="1">IFERROR(__xludf.DUMMYFUNCTION("""COMPUTED_VALUE"""),"Cost per period")</f>
        <v>Cost per period</v>
      </c>
      <c r="M877" s="3"/>
      <c r="N877" s="3"/>
      <c r="O877" s="3" t="str">
        <f ca="1">IFERROR(__xludf.DUMMYFUNCTION("""COMPUTED_VALUE"""),"2000")</f>
        <v>2000</v>
      </c>
      <c r="P877" s="3" t="str">
        <f ca="1">IFERROR(__xludf.DUMMYFUNCTION("""COMPUTED_VALUE"""),"1400")</f>
        <v>1400</v>
      </c>
      <c r="Q877" s="3" t="str">
        <f ca="1">IFERROR(__xludf.DUMMYFUNCTION("""COMPUTED_VALUE"""),"2000x1400 + 600x1080")</f>
        <v>2000x1400 + 600x1080</v>
      </c>
      <c r="R877" s="3"/>
      <c r="S877" s="3" t="str">
        <f ca="1">IFERROR(__xludf.DUMMYFUNCTION("""COMPUTED_VALUE"""),"500 (600 - HTLM5)")</f>
        <v>500 (600 - HTLM5)</v>
      </c>
      <c r="T877" s="3"/>
      <c r="U877" s="3" t="str">
        <f ca="1">IFERROR(__xludf.DUMMYFUNCTION("""COMPUTED_VALUE"""),"banner standard")</f>
        <v>banner standard</v>
      </c>
      <c r="V877" s="3"/>
      <c r="W877" s="4" t="str">
        <f ca="1">IFERROR(__xludf.DUMMYFUNCTION("""COMPUTED_VALUE"""),"https://reklama.cncenter.cz/Online/branding-cross-device")</f>
        <v>https://reklama.cncenter.cz/Online/branding-cross-device</v>
      </c>
      <c r="X877" s="3"/>
      <c r="Y877" s="3"/>
      <c r="Z877" s="3" t="str">
        <f ca="1">IFERROR(__xludf.DUMMYFUNCTION("""COMPUTED_VALUE"""),"podklady@cncenter.cz")</f>
        <v>podklady@cncenter.cz</v>
      </c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 t="str">
        <f ca="1">IFERROR(__xludf.DUMMYFUNCTION("""COMPUTED_VALUE"""),"cross-device")</f>
        <v>cross-device</v>
      </c>
      <c r="AO877" s="3"/>
      <c r="AP877" s="3"/>
      <c r="AQ877" s="3"/>
      <c r="AR877" s="3"/>
      <c r="AS877" s="3"/>
      <c r="AT877" s="3"/>
      <c r="AU877" s="3" t="str">
        <f ca="1">IFERROR(__xludf.DUMMYFUNCTION("""COMPUTED_VALUE"""),"cílený branding cross-device")</f>
        <v>cílený branding cross-device</v>
      </c>
    </row>
    <row r="878" spans="1:47" x14ac:dyDescent="0.3">
      <c r="A878" s="3">
        <f ca="1"/>
        <v>2346826</v>
      </c>
      <c r="B878" s="3" t="str">
        <f ca="1"/>
        <v>CZECH NEWS CENTER a. s.</v>
      </c>
      <c r="C878" s="4" t="str">
        <f ca="1">IFERROR(__xludf.DUMMYFUNCTION("""COMPUTED_VALUE"""),"nemovitosti.blesk.cz")</f>
        <v>nemovitosti.blesk.cz</v>
      </c>
      <c r="D878" s="4" t="str">
        <f ca="1">IFERROR(__xludf.DUMMYFUNCTION("""COMPUTED_VALUE"""),"https://nemovitosti.blesk.cz")</f>
        <v>https://nemovitosti.blesk.cz</v>
      </c>
      <c r="E878" s="3" t="str">
        <f ca="1">IFERROR(__xludf.DUMMYFUNCTION("""COMPUTED_VALUE"""),"celý web")</f>
        <v>celý web</v>
      </c>
      <c r="F878" s="4" t="str">
        <f ca="1">IFERROR(__xludf.DUMMYFUNCTION("""COMPUTED_VALUE"""),"https://nemovitosti.blesk.cz")</f>
        <v>https://nemovitosti.blesk.cz</v>
      </c>
      <c r="G878" s="3" t="str">
        <f ca="1">IFERROR(__xludf.DUMMYFUNCTION("""COMPUTED_VALUE"""),"cílený branding low season")</f>
        <v>cílený branding low season</v>
      </c>
      <c r="H878" s="3">
        <f ca="1">IFERROR(__xludf.DUMMYFUNCTION("""COMPUTED_VALUE"""),7)</f>
        <v>7</v>
      </c>
      <c r="I878" s="5">
        <f ca="1">IFERROR(__xludf.DUMMYFUNCTION("""COMPUTED_VALUE"""),1000)</f>
        <v>1000</v>
      </c>
      <c r="J878" s="5">
        <f ca="1">IFERROR(__xludf.DUMMYFUNCTION("""COMPUTED_VALUE"""),588)</f>
        <v>588</v>
      </c>
      <c r="K878" s="3"/>
      <c r="L878" s="3" t="str">
        <f ca="1">IFERROR(__xludf.DUMMYFUNCTION("""COMPUTED_VALUE"""),"Cost per period")</f>
        <v>Cost per period</v>
      </c>
      <c r="M878" s="3"/>
      <c r="N878" s="3"/>
      <c r="O878" s="3" t="str">
        <f ca="1">IFERROR(__xludf.DUMMYFUNCTION("""COMPUTED_VALUE"""),"2000")</f>
        <v>2000</v>
      </c>
      <c r="P878" s="3" t="str">
        <f ca="1">IFERROR(__xludf.DUMMYFUNCTION("""COMPUTED_VALUE"""),"1400")</f>
        <v>1400</v>
      </c>
      <c r="Q878" s="3" t="str">
        <f ca="1">IFERROR(__xludf.DUMMYFUNCTION("""COMPUTED_VALUE"""),"2000x1400")</f>
        <v>2000x1400</v>
      </c>
      <c r="R878" s="3"/>
      <c r="S878" s="3" t="str">
        <f ca="1">IFERROR(__xludf.DUMMYFUNCTION("""COMPUTED_VALUE"""),"500 + 200 (600+200 HTML5)")</f>
        <v>500 + 200 (600+200 HTML5)</v>
      </c>
      <c r="T878" s="3"/>
      <c r="U878" s="3" t="str">
        <f ca="1">IFERROR(__xludf.DUMMYFUNCTION("""COMPUTED_VALUE"""),"banner standard")</f>
        <v>banner standard</v>
      </c>
      <c r="V878" s="3"/>
      <c r="W878" s="4" t="str">
        <f ca="1">IFERROR(__xludf.DUMMYFUNCTION("""COMPUTED_VALUE"""),"https://reklama.cncenter.cz/Online/branding")</f>
        <v>https://reklama.cncenter.cz/Online/branding</v>
      </c>
      <c r="X878" s="3"/>
      <c r="Y878" s="3"/>
      <c r="Z878" s="3" t="str">
        <f ca="1">IFERROR(__xludf.DUMMYFUNCTION("""COMPUTED_VALUE"""),"podklady@cncenter.cz")</f>
        <v>podklady@cncenter.cz</v>
      </c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 t="str">
        <f ca="1">IFERROR(__xludf.DUMMYFUNCTION("""COMPUTED_VALUE"""),"desktop")</f>
        <v>desktop</v>
      </c>
      <c r="AO878" s="3"/>
      <c r="AP878" s="3"/>
      <c r="AQ878" s="3"/>
      <c r="AR878" s="3"/>
      <c r="AS878" s="3"/>
      <c r="AT878" s="3"/>
      <c r="AU878" s="3" t="str">
        <f ca="1">IFERROR(__xludf.DUMMYFUNCTION("""COMPUTED_VALUE"""),"cílený branding")</f>
        <v>cílený branding</v>
      </c>
    </row>
    <row r="879" spans="1:47" x14ac:dyDescent="0.3">
      <c r="A879" s="3">
        <f ca="1"/>
        <v>2346826</v>
      </c>
      <c r="B879" s="3" t="str">
        <f ca="1"/>
        <v>CZECH NEWS CENTER a. s.</v>
      </c>
      <c r="C879" s="4" t="str">
        <f ca="1">IFERROR(__xludf.DUMMYFUNCTION("""COMPUTED_VALUE"""),"nemovitosti.blesk.cz")</f>
        <v>nemovitosti.blesk.cz</v>
      </c>
      <c r="D879" s="4" t="str">
        <f ca="1">IFERROR(__xludf.DUMMYFUNCTION("""COMPUTED_VALUE"""),"https://nemovitosti.blesk.cz")</f>
        <v>https://nemovitosti.blesk.cz</v>
      </c>
      <c r="E879" s="3" t="str">
        <f ca="1">IFERROR(__xludf.DUMMYFUNCTION("""COMPUTED_VALUE"""),"celý web")</f>
        <v>celý web</v>
      </c>
      <c r="F879" s="4" t="str">
        <f ca="1">IFERROR(__xludf.DUMMYFUNCTION("""COMPUTED_VALUE"""),"https://nemovitosti.blesk.cz")</f>
        <v>https://nemovitosti.blesk.cz</v>
      </c>
      <c r="G879" s="3" t="str">
        <f ca="1">IFERROR(__xludf.DUMMYFUNCTION("""COMPUTED_VALUE"""),"cílený double skyscraper low season")</f>
        <v>cílený double skyscraper low season</v>
      </c>
      <c r="H879" s="3">
        <f ca="1">IFERROR(__xludf.DUMMYFUNCTION("""COMPUTED_VALUE"""),7)</f>
        <v>7</v>
      </c>
      <c r="I879" s="5">
        <f ca="1">IFERROR(__xludf.DUMMYFUNCTION("""COMPUTED_VALUE"""),1000)</f>
        <v>1000</v>
      </c>
      <c r="J879" s="5">
        <f ca="1">IFERROR(__xludf.DUMMYFUNCTION("""COMPUTED_VALUE"""),228)</f>
        <v>228</v>
      </c>
      <c r="K879" s="3"/>
      <c r="L879" s="3" t="str">
        <f ca="1">IFERROR(__xludf.DUMMYFUNCTION("""COMPUTED_VALUE"""),"Cost per period")</f>
        <v>Cost per period</v>
      </c>
      <c r="M879" s="3"/>
      <c r="N879" s="3"/>
      <c r="O879" s="3" t="str">
        <f ca="1">IFERROR(__xludf.DUMMYFUNCTION("""COMPUTED_VALUE"""),"300")</f>
        <v>300</v>
      </c>
      <c r="P879" s="3" t="str">
        <f ca="1">IFERROR(__xludf.DUMMYFUNCTION("""COMPUTED_VALUE"""),"600")</f>
        <v>600</v>
      </c>
      <c r="Q879" s="3" t="str">
        <f ca="1">IFERROR(__xludf.DUMMYFUNCTION("""COMPUTED_VALUE"""),"300x600")</f>
        <v>300x600</v>
      </c>
      <c r="R879" s="3"/>
      <c r="S879" s="3" t="str">
        <f ca="1">IFERROR(__xludf.DUMMYFUNCTION("""COMPUTED_VALUE"""),"100 (200 - HTML5)")</f>
        <v>100 (200 - HTML5)</v>
      </c>
      <c r="T879" s="3"/>
      <c r="U879" s="3" t="str">
        <f ca="1">IFERROR(__xludf.DUMMYFUNCTION("""COMPUTED_VALUE"""),"banner standard")</f>
        <v>banner standard</v>
      </c>
      <c r="V879" s="3"/>
      <c r="W879" s="4" t="str">
        <f ca="1">IFERROR(__xludf.DUMMYFUNCTION("""COMPUTED_VALUE"""),"https://reklama.cncenter.cz/Online/double-skyscraper")</f>
        <v>https://reklama.cncenter.cz/Online/double-skyscraper</v>
      </c>
      <c r="X879" s="3"/>
      <c r="Y879" s="3"/>
      <c r="Z879" s="3" t="str">
        <f ca="1">IFERROR(__xludf.DUMMYFUNCTION("""COMPUTED_VALUE"""),"podklady@cncenter.cz")</f>
        <v>podklady@cncenter.cz</v>
      </c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 t="str">
        <f ca="1">IFERROR(__xludf.DUMMYFUNCTION("""COMPUTED_VALUE"""),"desktop")</f>
        <v>desktop</v>
      </c>
      <c r="AO879" s="3"/>
      <c r="AP879" s="3"/>
      <c r="AQ879" s="3"/>
      <c r="AR879" s="3"/>
      <c r="AS879" s="3"/>
      <c r="AT879" s="3"/>
      <c r="AU879" s="3" t="str">
        <f ca="1">IFERROR(__xludf.DUMMYFUNCTION("""COMPUTED_VALUE"""),"cílený double skyscraper")</f>
        <v>cílený double skyscraper</v>
      </c>
    </row>
    <row r="880" spans="1:47" x14ac:dyDescent="0.3">
      <c r="A880" s="3">
        <f ca="1"/>
        <v>2346826</v>
      </c>
      <c r="B880" s="3" t="str">
        <f ca="1"/>
        <v>CZECH NEWS CENTER a. s.</v>
      </c>
      <c r="C880" s="4" t="str">
        <f ca="1">IFERROR(__xludf.DUMMYFUNCTION("""COMPUTED_VALUE"""),"nemovitosti.blesk.cz")</f>
        <v>nemovitosti.blesk.cz</v>
      </c>
      <c r="D880" s="4" t="str">
        <f ca="1">IFERROR(__xludf.DUMMYFUNCTION("""COMPUTED_VALUE"""),"https://nemovitosti.blesk.cz")</f>
        <v>https://nemovitosti.blesk.cz</v>
      </c>
      <c r="E880" s="3" t="str">
        <f ca="1">IFERROR(__xludf.DUMMYFUNCTION("""COMPUTED_VALUE"""),"celý web")</f>
        <v>celý web</v>
      </c>
      <c r="F880" s="4" t="str">
        <f ca="1">IFERROR(__xludf.DUMMYFUNCTION("""COMPUTED_VALUE"""),"https://nemovitosti.blesk.cz")</f>
        <v>https://nemovitosti.blesk.cz</v>
      </c>
      <c r="G880" s="3" t="str">
        <f ca="1">IFERROR(__xludf.DUMMYFUNCTION("""COMPUTED_VALUE"""),"cílený mobilní interscroller low season")</f>
        <v>cílený mobilní interscroller low season</v>
      </c>
      <c r="H880" s="3">
        <f ca="1">IFERROR(__xludf.DUMMYFUNCTION("""COMPUTED_VALUE"""),7)</f>
        <v>7</v>
      </c>
      <c r="I880" s="5">
        <f ca="1">IFERROR(__xludf.DUMMYFUNCTION("""COMPUTED_VALUE"""),1000)</f>
        <v>1000</v>
      </c>
      <c r="J880" s="5">
        <f ca="1">IFERROR(__xludf.DUMMYFUNCTION("""COMPUTED_VALUE"""),300)</f>
        <v>300</v>
      </c>
      <c r="K880" s="3"/>
      <c r="L880" s="3" t="str">
        <f ca="1">IFERROR(__xludf.DUMMYFUNCTION("""COMPUTED_VALUE"""),"Cost per period")</f>
        <v>Cost per period</v>
      </c>
      <c r="M880" s="3"/>
      <c r="N880" s="3"/>
      <c r="O880" s="3" t="str">
        <f ca="1">IFERROR(__xludf.DUMMYFUNCTION("""COMPUTED_VALUE"""),"600")</f>
        <v>600</v>
      </c>
      <c r="P880" s="3" t="str">
        <f ca="1">IFERROR(__xludf.DUMMYFUNCTION("""COMPUTED_VALUE"""),"1080")</f>
        <v>1080</v>
      </c>
      <c r="Q880" s="3" t="str">
        <f ca="1">IFERROR(__xludf.DUMMYFUNCTION("""COMPUTED_VALUE"""),"600x1080")</f>
        <v>600x1080</v>
      </c>
      <c r="R880" s="3"/>
      <c r="S880" s="3" t="str">
        <f ca="1">IFERROR(__xludf.DUMMYFUNCTION("""COMPUTED_VALUE"""),"200")</f>
        <v>200</v>
      </c>
      <c r="T880" s="3"/>
      <c r="U880" s="3" t="str">
        <f ca="1">IFERROR(__xludf.DUMMYFUNCTION("""COMPUTED_VALUE"""),"banner standard")</f>
        <v>banner standard</v>
      </c>
      <c r="V880" s="3"/>
      <c r="W880" s="4" t="str">
        <f ca="1">IFERROR(__xludf.DUMMYFUNCTION("""COMPUTED_VALUE"""),"https://reklama.cncenter.cz/Online/mobilni-interscroller")</f>
        <v>https://reklama.cncenter.cz/Online/mobilni-interscroller</v>
      </c>
      <c r="X880" s="3"/>
      <c r="Y880" s="3"/>
      <c r="Z880" s="3" t="str">
        <f ca="1">IFERROR(__xludf.DUMMYFUNCTION("""COMPUTED_VALUE"""),"podklady@cncenter.cz")</f>
        <v>podklady@cncenter.cz</v>
      </c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 t="str">
        <f ca="1">IFERROR(__xludf.DUMMYFUNCTION("""COMPUTED_VALUE"""),"mobile")</f>
        <v>mobile</v>
      </c>
      <c r="AO880" s="3"/>
      <c r="AP880" s="3"/>
      <c r="AQ880" s="3"/>
      <c r="AR880" s="3"/>
      <c r="AS880" s="3"/>
      <c r="AT880" s="3"/>
      <c r="AU880" s="3" t="str">
        <f ca="1">IFERROR(__xludf.DUMMYFUNCTION("""COMPUTED_VALUE"""),"cílený mobilní interscroller")</f>
        <v>cílený mobilní interscroller</v>
      </c>
    </row>
    <row r="881" spans="1:47" x14ac:dyDescent="0.3">
      <c r="A881" s="3">
        <f ca="1"/>
        <v>2346826</v>
      </c>
      <c r="B881" s="3" t="str">
        <f ca="1"/>
        <v>CZECH NEWS CENTER a. s.</v>
      </c>
      <c r="C881" s="4" t="str">
        <f ca="1">IFERROR(__xludf.DUMMYFUNCTION("""COMPUTED_VALUE"""),"nemovitosti.blesk.cz")</f>
        <v>nemovitosti.blesk.cz</v>
      </c>
      <c r="D881" s="4" t="str">
        <f ca="1">IFERROR(__xludf.DUMMYFUNCTION("""COMPUTED_VALUE"""),"https://nemovitosti.blesk.cz")</f>
        <v>https://nemovitosti.blesk.cz</v>
      </c>
      <c r="E881" s="3" t="str">
        <f ca="1">IFERROR(__xludf.DUMMYFUNCTION("""COMPUTED_VALUE"""),"celý web")</f>
        <v>celý web</v>
      </c>
      <c r="F881" s="4" t="str">
        <f ca="1">IFERROR(__xludf.DUMMYFUNCTION("""COMPUTED_VALUE"""),"https://nemovitosti.blesk.cz")</f>
        <v>https://nemovitosti.blesk.cz</v>
      </c>
      <c r="G881" s="3" t="str">
        <f ca="1">IFERROR(__xludf.DUMMYFUNCTION("""COMPUTED_VALUE"""),"cílený nativní pr premium low season")</f>
        <v>cílený nativní pr premium low season</v>
      </c>
      <c r="H881" s="3">
        <f ca="1">IFERROR(__xludf.DUMMYFUNCTION("""COMPUTED_VALUE"""),7)</f>
        <v>7</v>
      </c>
      <c r="I881" s="5">
        <f ca="1">IFERROR(__xludf.DUMMYFUNCTION("""COMPUTED_VALUE"""),1000)</f>
        <v>1000</v>
      </c>
      <c r="J881" s="5">
        <f ca="1">IFERROR(__xludf.DUMMYFUNCTION("""COMPUTED_VALUE"""),120)</f>
        <v>120</v>
      </c>
      <c r="K881" s="3"/>
      <c r="L881" s="3" t="str">
        <f ca="1">IFERROR(__xludf.DUMMYFUNCTION("""COMPUTED_VALUE"""),"Cost per period")</f>
        <v>Cost per period</v>
      </c>
      <c r="M881" s="3"/>
      <c r="N881" s="3"/>
      <c r="O881" s="3" t="str">
        <f ca="1">IFERROR(__xludf.DUMMYFUNCTION("""COMPUTED_VALUE"""),"640")</f>
        <v>640</v>
      </c>
      <c r="P881" s="3" t="str">
        <f ca="1">IFERROR(__xludf.DUMMYFUNCTION("""COMPUTED_VALUE"""),"335, 640")</f>
        <v>335, 640</v>
      </c>
      <c r="Q881" s="3" t="str">
        <f ca="1">IFERROR(__xludf.DUMMYFUNCTION("""COMPUTED_VALUE"""),"640x640 a 640x335 + text + logo")</f>
        <v>640x640 a 640x335 + text + logo</v>
      </c>
      <c r="R881" s="3" t="str">
        <f ca="1">IFERROR(__xludf.DUMMYFUNCTION("""COMPUTED_VALUE"""),"detailní specifikace na URL odkaze")</f>
        <v>detailní specifikace na URL odkaze</v>
      </c>
      <c r="S881" s="3" t="str">
        <f ca="1">IFERROR(__xludf.DUMMYFUNCTION("""COMPUTED_VALUE"""),"100")</f>
        <v>100</v>
      </c>
      <c r="T881" s="3"/>
      <c r="U881" s="3" t="str">
        <f ca="1">IFERROR(__xludf.DUMMYFUNCTION("""COMPUTED_VALUE"""),"nativní reklama")</f>
        <v>nativní reklama</v>
      </c>
      <c r="V881" s="3"/>
      <c r="W881" s="4" t="str">
        <f ca="1">IFERROR(__xludf.DUMMYFUNCTION("""COMPUTED_VALUE"""),"https://reklama.cncenter.cz/Online/nativni-PR-premium")</f>
        <v>https://reklama.cncenter.cz/Online/nativni-PR-premium</v>
      </c>
      <c r="X881" s="3"/>
      <c r="Y881" s="3"/>
      <c r="Z881" s="3" t="str">
        <f ca="1">IFERROR(__xludf.DUMMYFUNCTION("""COMPUTED_VALUE"""),"podklady@cncenter.cz")</f>
        <v>podklady@cncenter.cz</v>
      </c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 t="str">
        <f ca="1">IFERROR(__xludf.DUMMYFUNCTION("""COMPUTED_VALUE"""),"cross-device")</f>
        <v>cross-device</v>
      </c>
      <c r="AO881" s="3"/>
      <c r="AP881" s="3"/>
      <c r="AQ881" s="3"/>
      <c r="AR881" s="3"/>
      <c r="AS881" s="3"/>
      <c r="AT881" s="3"/>
      <c r="AU881" s="3" t="str">
        <f ca="1">IFERROR(__xludf.DUMMYFUNCTION("""COMPUTED_VALUE"""),"cílený nativní pr premium")</f>
        <v>cílený nativní pr premium</v>
      </c>
    </row>
    <row r="882" spans="1:47" x14ac:dyDescent="0.3">
      <c r="A882" s="3">
        <f ca="1"/>
        <v>2346826</v>
      </c>
      <c r="B882" s="3" t="str">
        <f ca="1"/>
        <v>CZECH NEWS CENTER a. s.</v>
      </c>
      <c r="C882" s="4" t="str">
        <f ca="1">IFERROR(__xludf.DUMMYFUNCTION("""COMPUTED_VALUE"""),"nemovitosti.blesk.cz")</f>
        <v>nemovitosti.blesk.cz</v>
      </c>
      <c r="D882" s="4" t="str">
        <f ca="1">IFERROR(__xludf.DUMMYFUNCTION("""COMPUTED_VALUE"""),"https://nemovitosti.blesk.cz")</f>
        <v>https://nemovitosti.blesk.cz</v>
      </c>
      <c r="E882" s="3" t="str">
        <f ca="1">IFERROR(__xludf.DUMMYFUNCTION("""COMPUTED_VALUE"""),"celý web")</f>
        <v>celý web</v>
      </c>
      <c r="F882" s="4" t="str">
        <f ca="1">IFERROR(__xludf.DUMMYFUNCTION("""COMPUTED_VALUE"""),"https://nemovitosti.blesk.cz")</f>
        <v>https://nemovitosti.blesk.cz</v>
      </c>
      <c r="G882" s="3" t="str">
        <f ca="1">IFERROR(__xludf.DUMMYFUNCTION("""COMPUTED_VALUE"""),"cílený nativní rectangle cross-device low season")</f>
        <v>cílený nativní rectangle cross-device low season</v>
      </c>
      <c r="H882" s="3">
        <f ca="1">IFERROR(__xludf.DUMMYFUNCTION("""COMPUTED_VALUE"""),7)</f>
        <v>7</v>
      </c>
      <c r="I882" s="5">
        <f ca="1">IFERROR(__xludf.DUMMYFUNCTION("""COMPUTED_VALUE"""),1000)</f>
        <v>1000</v>
      </c>
      <c r="J882" s="5">
        <f ca="1">IFERROR(__xludf.DUMMYFUNCTION("""COMPUTED_VALUE"""),240)</f>
        <v>240</v>
      </c>
      <c r="K882" s="3"/>
      <c r="L882" s="3" t="str">
        <f ca="1">IFERROR(__xludf.DUMMYFUNCTION("""COMPUTED_VALUE"""),"Cost per period")</f>
        <v>Cost per period</v>
      </c>
      <c r="M882" s="3"/>
      <c r="N882" s="3"/>
      <c r="O882" s="3" t="str">
        <f ca="1">IFERROR(__xludf.DUMMYFUNCTION("""COMPUTED_VALUE"""),"640")</f>
        <v>640</v>
      </c>
      <c r="P882" s="3" t="str">
        <f ca="1">IFERROR(__xludf.DUMMYFUNCTION("""COMPUTED_VALUE"""),"335, 640")</f>
        <v>335, 640</v>
      </c>
      <c r="Q882" s="3" t="str">
        <f ca="1">IFERROR(__xludf.DUMMYFUNCTION("""COMPUTED_VALUE"""),"640x640 a 640x335 + text + logo")</f>
        <v>640x640 a 640x335 + text + logo</v>
      </c>
      <c r="R882" s="3"/>
      <c r="S882" s="3" t="str">
        <f ca="1">IFERROR(__xludf.DUMMYFUNCTION("""COMPUTED_VALUE"""),"45")</f>
        <v>45</v>
      </c>
      <c r="T882" s="3"/>
      <c r="U882" s="3" t="str">
        <f ca="1">IFERROR(__xludf.DUMMYFUNCTION("""COMPUTED_VALUE"""),"nativní reklama")</f>
        <v>nativní reklama</v>
      </c>
      <c r="V882" s="3"/>
      <c r="W882" s="4" t="str">
        <f ca="1">IFERROR(__xludf.DUMMYFUNCTION("""COMPUTED_VALUE"""),"https://reklama.cncenter.cz/Online/nativni-rectangle-cross-device")</f>
        <v>https://reklama.cncenter.cz/Online/nativni-rectangle-cross-device</v>
      </c>
      <c r="X882" s="3"/>
      <c r="Y882" s="3"/>
      <c r="Z882" s="3" t="str">
        <f ca="1">IFERROR(__xludf.DUMMYFUNCTION("""COMPUTED_VALUE"""),"podklady@cncenter.cz")</f>
        <v>podklady@cncenter.cz</v>
      </c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 t="str">
        <f ca="1">IFERROR(__xludf.DUMMYFUNCTION("""COMPUTED_VALUE"""),"cross-device")</f>
        <v>cross-device</v>
      </c>
      <c r="AO882" s="3"/>
      <c r="AP882" s="3"/>
      <c r="AQ882" s="3"/>
      <c r="AR882" s="3"/>
      <c r="AS882" s="3"/>
      <c r="AT882" s="3"/>
      <c r="AU882" s="3" t="str">
        <f ca="1">IFERROR(__xludf.DUMMYFUNCTION("""COMPUTED_VALUE"""),"cílený nativní rectangle cross-device")</f>
        <v>cílený nativní rectangle cross-device</v>
      </c>
    </row>
    <row r="883" spans="1:47" x14ac:dyDescent="0.3">
      <c r="A883" s="3">
        <f ca="1"/>
        <v>2346826</v>
      </c>
      <c r="B883" s="3" t="str">
        <f ca="1"/>
        <v>CZECH NEWS CENTER a. s.</v>
      </c>
      <c r="C883" s="4" t="str">
        <f ca="1">IFERROR(__xludf.DUMMYFUNCTION("""COMPUTED_VALUE"""),"nemovitosti.blesk.cz")</f>
        <v>nemovitosti.blesk.cz</v>
      </c>
      <c r="D883" s="4" t="str">
        <f ca="1">IFERROR(__xludf.DUMMYFUNCTION("""COMPUTED_VALUE"""),"https://nemovitosti.blesk.cz")</f>
        <v>https://nemovitosti.blesk.cz</v>
      </c>
      <c r="E883" s="3" t="str">
        <f ca="1">IFERROR(__xludf.DUMMYFUNCTION("""COMPUTED_VALUE"""),"celý web")</f>
        <v>celý web</v>
      </c>
      <c r="F883" s="4" t="str">
        <f ca="1">IFERROR(__xludf.DUMMYFUNCTION("""COMPUTED_VALUE"""),"https://nemovitosti.blesk.cz")</f>
        <v>https://nemovitosti.blesk.cz</v>
      </c>
      <c r="G883" s="3" t="str">
        <f ca="1">IFERROR(__xludf.DUMMYFUNCTION("""COMPUTED_VALUE"""),"cílený outstream low season")</f>
        <v>cílený outstream low season</v>
      </c>
      <c r="H883" s="3">
        <f ca="1">IFERROR(__xludf.DUMMYFUNCTION("""COMPUTED_VALUE"""),7)</f>
        <v>7</v>
      </c>
      <c r="I883" s="5">
        <f ca="1">IFERROR(__xludf.DUMMYFUNCTION("""COMPUTED_VALUE"""),1000)</f>
        <v>1000</v>
      </c>
      <c r="J883" s="5">
        <f ca="1">IFERROR(__xludf.DUMMYFUNCTION("""COMPUTED_VALUE"""),300)</f>
        <v>300</v>
      </c>
      <c r="K883" s="3"/>
      <c r="L883" s="3" t="str">
        <f ca="1">IFERROR(__xludf.DUMMYFUNCTION("""COMPUTED_VALUE"""),"Cost per period")</f>
        <v>Cost per period</v>
      </c>
      <c r="M883" s="3"/>
      <c r="N883" s="3"/>
      <c r="O883" s="3" t="str">
        <f ca="1">IFERROR(__xludf.DUMMYFUNCTION("""COMPUTED_VALUE"""),"1280")</f>
        <v>1280</v>
      </c>
      <c r="P883" s="3" t="str">
        <f ca="1">IFERROR(__xludf.DUMMYFUNCTION("""COMPUTED_VALUE"""),"720")</f>
        <v>720</v>
      </c>
      <c r="Q883" s="3" t="str">
        <f ca="1">IFERROR(__xludf.DUMMYFUNCTION("""COMPUTED_VALUE"""),"16:9")</f>
        <v>16:9</v>
      </c>
      <c r="R883" s="3"/>
      <c r="S883" s="3" t="str">
        <f ca="1">IFERROR(__xludf.DUMMYFUNCTION("""COMPUTED_VALUE"""),"100")</f>
        <v>100</v>
      </c>
      <c r="T883" s="3"/>
      <c r="U883" s="3" t="str">
        <f ca="1">IFERROR(__xludf.DUMMYFUNCTION("""COMPUTED_VALUE"""),"videospot")</f>
        <v>videospot</v>
      </c>
      <c r="V883" s="3"/>
      <c r="W883" s="4" t="str">
        <f ca="1">IFERROR(__xludf.DUMMYFUNCTION("""COMPUTED_VALUE"""),"https://reklama.cncenter.cz/Online/Outstream")</f>
        <v>https://reklama.cncenter.cz/Online/Outstream</v>
      </c>
      <c r="X883" s="3"/>
      <c r="Y883" s="3"/>
      <c r="Z883" s="3" t="str">
        <f ca="1">IFERROR(__xludf.DUMMYFUNCTION("""COMPUTED_VALUE"""),"podklady@cncenter.cz")</f>
        <v>podklady@cncenter.cz</v>
      </c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 t="str">
        <f ca="1">IFERROR(__xludf.DUMMYFUNCTION("""COMPUTED_VALUE"""),"cross-device")</f>
        <v>cross-device</v>
      </c>
      <c r="AO883" s="3"/>
      <c r="AP883" s="3"/>
      <c r="AQ883" s="3"/>
      <c r="AR883" s="3"/>
      <c r="AS883" s="3"/>
      <c r="AT883" s="3"/>
      <c r="AU883" s="3" t="str">
        <f ca="1">IFERROR(__xludf.DUMMYFUNCTION("""COMPUTED_VALUE"""),"cílený outstream")</f>
        <v>cílený outstream</v>
      </c>
    </row>
    <row r="884" spans="1:47" x14ac:dyDescent="0.3">
      <c r="A884" s="3">
        <f ca="1"/>
        <v>2346826</v>
      </c>
      <c r="B884" s="3" t="str">
        <f ca="1"/>
        <v>CZECH NEWS CENTER a. s.</v>
      </c>
      <c r="C884" s="4" t="str">
        <f ca="1">IFERROR(__xludf.DUMMYFUNCTION("""COMPUTED_VALUE"""),"nemovitosti.blesk.cz")</f>
        <v>nemovitosti.blesk.cz</v>
      </c>
      <c r="D884" s="4" t="str">
        <f ca="1">IFERROR(__xludf.DUMMYFUNCTION("""COMPUTED_VALUE"""),"https://nemovitosti.blesk.cz")</f>
        <v>https://nemovitosti.blesk.cz</v>
      </c>
      <c r="E884" s="3" t="str">
        <f ca="1">IFERROR(__xludf.DUMMYFUNCTION("""COMPUTED_VALUE"""),"celý web")</f>
        <v>celý web</v>
      </c>
      <c r="F884" s="4" t="str">
        <f ca="1">IFERROR(__xludf.DUMMYFUNCTION("""COMPUTED_VALUE"""),"https://nemovitosti.blesk.cz")</f>
        <v>https://nemovitosti.blesk.cz</v>
      </c>
      <c r="G884" s="3" t="str">
        <f ca="1">IFERROR(__xludf.DUMMYFUNCTION("""COMPUTED_VALUE"""),"dokoupení proma o 2 týdny - 10 000 PV *** low season")</f>
        <v>dokoupení proma o 2 týdny - 10 000 PV *** low season</v>
      </c>
      <c r="H884" s="3">
        <f ca="1">IFERROR(__xludf.DUMMYFUNCTION("""COMPUTED_VALUE"""),1)</f>
        <v>1</v>
      </c>
      <c r="I884" s="5">
        <f ca="1">IFERROR(__xludf.DUMMYFUNCTION("""COMPUTED_VALUE"""),1)</f>
        <v>1</v>
      </c>
      <c r="J884" s="5">
        <f ca="1">IFERROR(__xludf.DUMMYFUNCTION("""COMPUTED_VALUE"""),60000)</f>
        <v>60000</v>
      </c>
      <c r="K884" s="3"/>
      <c r="L884" s="3" t="str">
        <f ca="1">IFERROR(__xludf.DUMMYFUNCTION("""COMPUTED_VALUE"""),"Cost per instance")</f>
        <v>Cost per instance</v>
      </c>
      <c r="M884" s="3"/>
      <c r="N884" s="3"/>
      <c r="O884" s="3"/>
      <c r="P884" s="3"/>
      <c r="Q884" s="3"/>
      <c r="R884" s="3"/>
      <c r="S884" s="3" t="str">
        <f ca="1">IFERROR(__xludf.DUMMYFUNCTION("""COMPUTED_VALUE"""),"100")</f>
        <v>100</v>
      </c>
      <c r="T884" s="3"/>
      <c r="U884" s="3" t="str">
        <f ca="1">IFERROR(__xludf.DUMMYFUNCTION("""COMPUTED_VALUE"""),"microsite")</f>
        <v>microsite</v>
      </c>
      <c r="V884" s="3"/>
      <c r="W884" s="3"/>
      <c r="X884" s="3"/>
      <c r="Y884" s="3"/>
      <c r="Z884" s="3" t="str">
        <f ca="1">IFERROR(__xludf.DUMMYFUNCTION("""COMPUTED_VALUE"""),"podklady@cncenter.cz")</f>
        <v>podklady@cncenter.cz</v>
      </c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 t="str">
        <f ca="1">IFERROR(__xludf.DUMMYFUNCTION("""COMPUTED_VALUE"""),"cross-device")</f>
        <v>cross-device</v>
      </c>
      <c r="AO884" s="3"/>
      <c r="AP884" s="3"/>
      <c r="AQ884" s="3"/>
      <c r="AR884" s="3"/>
      <c r="AS884" s="3"/>
      <c r="AT884" s="3"/>
      <c r="AU884" s="3" t="str">
        <f ca="1">IFERROR(__xludf.DUMMYFUNCTION("""COMPUTED_VALUE"""),"dokoupení proma o 2 týdny - 10 000 PV ***")</f>
        <v>dokoupení proma o 2 týdny - 10 000 PV ***</v>
      </c>
    </row>
    <row r="885" spans="1:47" x14ac:dyDescent="0.3">
      <c r="A885" s="3">
        <f ca="1"/>
        <v>2346826</v>
      </c>
      <c r="B885" s="3" t="str">
        <f ca="1"/>
        <v>CZECH NEWS CENTER a. s.</v>
      </c>
      <c r="C885" s="4" t="str">
        <f ca="1">IFERROR(__xludf.DUMMYFUNCTION("""COMPUTED_VALUE"""),"nemovitosti.blesk.cz")</f>
        <v>nemovitosti.blesk.cz</v>
      </c>
      <c r="D885" s="4" t="str">
        <f ca="1">IFERROR(__xludf.DUMMYFUNCTION("""COMPUTED_VALUE"""),"https://nemovitosti.blesk.cz")</f>
        <v>https://nemovitosti.blesk.cz</v>
      </c>
      <c r="E885" s="3" t="str">
        <f ca="1">IFERROR(__xludf.DUMMYFUNCTION("""COMPUTED_VALUE"""),"celý web")</f>
        <v>celý web</v>
      </c>
      <c r="F885" s="4" t="str">
        <f ca="1">IFERROR(__xludf.DUMMYFUNCTION("""COMPUTED_VALUE"""),"https://nemovitosti.blesk.cz")</f>
        <v>https://nemovitosti.blesk.cz</v>
      </c>
      <c r="G885" s="3" t="str">
        <f ca="1">IFERROR(__xludf.DUMMYFUNCTION("""COMPUTED_VALUE"""),"double skyscraper low season")</f>
        <v>double skyscraper low season</v>
      </c>
      <c r="H885" s="3">
        <f ca="1">IFERROR(__xludf.DUMMYFUNCTION("""COMPUTED_VALUE"""),7)</f>
        <v>7</v>
      </c>
      <c r="I885" s="5">
        <f ca="1">IFERROR(__xludf.DUMMYFUNCTION("""COMPUTED_VALUE"""),1000)</f>
        <v>1000</v>
      </c>
      <c r="J885" s="5">
        <f ca="1">IFERROR(__xludf.DUMMYFUNCTION("""COMPUTED_VALUE"""),190)</f>
        <v>190</v>
      </c>
      <c r="K885" s="3"/>
      <c r="L885" s="3" t="str">
        <f ca="1">IFERROR(__xludf.DUMMYFUNCTION("""COMPUTED_VALUE"""),"Cost per period")</f>
        <v>Cost per period</v>
      </c>
      <c r="M885" s="3"/>
      <c r="N885" s="3"/>
      <c r="O885" s="3" t="str">
        <f ca="1">IFERROR(__xludf.DUMMYFUNCTION("""COMPUTED_VALUE"""),"300")</f>
        <v>300</v>
      </c>
      <c r="P885" s="3" t="str">
        <f ca="1">IFERROR(__xludf.DUMMYFUNCTION("""COMPUTED_VALUE"""),"600")</f>
        <v>600</v>
      </c>
      <c r="Q885" s="3" t="str">
        <f ca="1">IFERROR(__xludf.DUMMYFUNCTION("""COMPUTED_VALUE"""),"300x600")</f>
        <v>300x600</v>
      </c>
      <c r="R885" s="3"/>
      <c r="S885" s="3" t="str">
        <f ca="1">IFERROR(__xludf.DUMMYFUNCTION("""COMPUTED_VALUE"""),"100 (200 - HTML5)")</f>
        <v>100 (200 - HTML5)</v>
      </c>
      <c r="T885" s="3"/>
      <c r="U885" s="3" t="str">
        <f ca="1">IFERROR(__xludf.DUMMYFUNCTION("""COMPUTED_VALUE"""),"banner standard")</f>
        <v>banner standard</v>
      </c>
      <c r="V885" s="3"/>
      <c r="W885" s="4" t="str">
        <f ca="1">IFERROR(__xludf.DUMMYFUNCTION("""COMPUTED_VALUE"""),"https://reklama.cncenter.cz/Online/double-skyscraper")</f>
        <v>https://reklama.cncenter.cz/Online/double-skyscraper</v>
      </c>
      <c r="X885" s="3"/>
      <c r="Y885" s="3"/>
      <c r="Z885" s="3" t="str">
        <f ca="1">IFERROR(__xludf.DUMMYFUNCTION("""COMPUTED_VALUE"""),"podklady@cncenter.cz")</f>
        <v>podklady@cncenter.cz</v>
      </c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 t="str">
        <f ca="1">IFERROR(__xludf.DUMMYFUNCTION("""COMPUTED_VALUE"""),"desktop")</f>
        <v>desktop</v>
      </c>
      <c r="AO885" s="3"/>
      <c r="AP885" s="3"/>
      <c r="AQ885" s="3"/>
      <c r="AR885" s="3"/>
      <c r="AS885" s="3"/>
      <c r="AT885" s="3"/>
      <c r="AU885" s="3" t="str">
        <f ca="1">IFERROR(__xludf.DUMMYFUNCTION("""COMPUTED_VALUE"""),"double skyscraper")</f>
        <v>double skyscraper</v>
      </c>
    </row>
    <row r="886" spans="1:47" x14ac:dyDescent="0.3">
      <c r="A886" s="3">
        <f ca="1"/>
        <v>2346826</v>
      </c>
      <c r="B886" s="3" t="str">
        <f ca="1"/>
        <v>CZECH NEWS CENTER a. s.</v>
      </c>
      <c r="C886" s="4" t="str">
        <f ca="1">IFERROR(__xludf.DUMMYFUNCTION("""COMPUTED_VALUE"""),"nemovitosti.blesk.cz")</f>
        <v>nemovitosti.blesk.cz</v>
      </c>
      <c r="D886" s="4" t="str">
        <f ca="1">IFERROR(__xludf.DUMMYFUNCTION("""COMPUTED_VALUE"""),"https://nemovitosti.blesk.cz")</f>
        <v>https://nemovitosti.blesk.cz</v>
      </c>
      <c r="E886" s="3" t="str">
        <f ca="1">IFERROR(__xludf.DUMMYFUNCTION("""COMPUTED_VALUE"""),"celý web")</f>
        <v>celý web</v>
      </c>
      <c r="F886" s="4" t="str">
        <f ca="1">IFERROR(__xludf.DUMMYFUNCTION("""COMPUTED_VALUE"""),"https://nemovitosti.blesk.cz")</f>
        <v>https://nemovitosti.blesk.cz</v>
      </c>
      <c r="G886" s="3" t="str">
        <f ca="1">IFERROR(__xludf.DUMMYFUNCTION("""COMPUTED_VALUE"""),"mobilní interscroller low season")</f>
        <v>mobilní interscroller low season</v>
      </c>
      <c r="H886" s="3">
        <f ca="1">IFERROR(__xludf.DUMMYFUNCTION("""COMPUTED_VALUE"""),7)</f>
        <v>7</v>
      </c>
      <c r="I886" s="5">
        <f ca="1">IFERROR(__xludf.DUMMYFUNCTION("""COMPUTED_VALUE"""),1000)</f>
        <v>1000</v>
      </c>
      <c r="J886" s="5">
        <f ca="1">IFERROR(__xludf.DUMMYFUNCTION("""COMPUTED_VALUE"""),250)</f>
        <v>250</v>
      </c>
      <c r="K886" s="3"/>
      <c r="L886" s="3" t="str">
        <f ca="1">IFERROR(__xludf.DUMMYFUNCTION("""COMPUTED_VALUE"""),"Cost per period")</f>
        <v>Cost per period</v>
      </c>
      <c r="M886" s="3"/>
      <c r="N886" s="3"/>
      <c r="O886" s="3" t="str">
        <f ca="1">IFERROR(__xludf.DUMMYFUNCTION("""COMPUTED_VALUE"""),"600")</f>
        <v>600</v>
      </c>
      <c r="P886" s="3" t="str">
        <f ca="1">IFERROR(__xludf.DUMMYFUNCTION("""COMPUTED_VALUE"""),"1080")</f>
        <v>1080</v>
      </c>
      <c r="Q886" s="3" t="str">
        <f ca="1">IFERROR(__xludf.DUMMYFUNCTION("""COMPUTED_VALUE"""),"600x1080")</f>
        <v>600x1080</v>
      </c>
      <c r="R886" s="3"/>
      <c r="S886" s="3" t="str">
        <f ca="1">IFERROR(__xludf.DUMMYFUNCTION("""COMPUTED_VALUE"""),"200")</f>
        <v>200</v>
      </c>
      <c r="T886" s="3"/>
      <c r="U886" s="3" t="str">
        <f ca="1">IFERROR(__xludf.DUMMYFUNCTION("""COMPUTED_VALUE"""),"banner standard")</f>
        <v>banner standard</v>
      </c>
      <c r="V886" s="3"/>
      <c r="W886" s="4" t="str">
        <f ca="1">IFERROR(__xludf.DUMMYFUNCTION("""COMPUTED_VALUE"""),"https://reklama.cncenter.cz/Online/mobilni-interscroller")</f>
        <v>https://reklama.cncenter.cz/Online/mobilni-interscroller</v>
      </c>
      <c r="X886" s="3"/>
      <c r="Y886" s="3"/>
      <c r="Z886" s="3" t="str">
        <f ca="1">IFERROR(__xludf.DUMMYFUNCTION("""COMPUTED_VALUE"""),"podklady@cncenter.cz")</f>
        <v>podklady@cncenter.cz</v>
      </c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 t="str">
        <f ca="1">IFERROR(__xludf.DUMMYFUNCTION("""COMPUTED_VALUE"""),"mobile")</f>
        <v>mobile</v>
      </c>
      <c r="AO886" s="3"/>
      <c r="AP886" s="3"/>
      <c r="AQ886" s="3"/>
      <c r="AR886" s="3"/>
      <c r="AS886" s="3"/>
      <c r="AT886" s="3"/>
      <c r="AU886" s="3" t="str">
        <f ca="1">IFERROR(__xludf.DUMMYFUNCTION("""COMPUTED_VALUE"""),"mobilní interscroller")</f>
        <v>mobilní interscroller</v>
      </c>
    </row>
    <row r="887" spans="1:47" x14ac:dyDescent="0.3">
      <c r="A887" s="3">
        <f ca="1"/>
        <v>2346826</v>
      </c>
      <c r="B887" s="3" t="str">
        <f ca="1"/>
        <v>CZECH NEWS CENTER a. s.</v>
      </c>
      <c r="C887" s="4" t="str">
        <f ca="1">IFERROR(__xludf.DUMMYFUNCTION("""COMPUTED_VALUE"""),"nemovitosti.blesk.cz")</f>
        <v>nemovitosti.blesk.cz</v>
      </c>
      <c r="D887" s="4" t="str">
        <f ca="1">IFERROR(__xludf.DUMMYFUNCTION("""COMPUTED_VALUE"""),"https://nemovitosti.blesk.cz")</f>
        <v>https://nemovitosti.blesk.cz</v>
      </c>
      <c r="E887" s="3" t="str">
        <f ca="1">IFERROR(__xludf.DUMMYFUNCTION("""COMPUTED_VALUE"""),"celý web")</f>
        <v>celý web</v>
      </c>
      <c r="F887" s="4" t="str">
        <f ca="1">IFERROR(__xludf.DUMMYFUNCTION("""COMPUTED_VALUE"""),"https://nemovitosti.blesk.cz")</f>
        <v>https://nemovitosti.blesk.cz</v>
      </c>
      <c r="G887" s="3" t="str">
        <f ca="1">IFERROR(__xludf.DUMMYFUNCTION("""COMPUTED_VALUE"""),"Native Premium low season")</f>
        <v>Native Premium low season</v>
      </c>
      <c r="H887" s="3">
        <f ca="1">IFERROR(__xludf.DUMMYFUNCTION("""COMPUTED_VALUE"""),1)</f>
        <v>1</v>
      </c>
      <c r="I887" s="5">
        <f ca="1">IFERROR(__xludf.DUMMYFUNCTION("""COMPUTED_VALUE"""),1)</f>
        <v>1</v>
      </c>
      <c r="J887" s="5">
        <f ca="1">IFERROR(__xludf.DUMMYFUNCTION("""COMPUTED_VALUE"""),740000)</f>
        <v>740000</v>
      </c>
      <c r="K887" s="3"/>
      <c r="L887" s="3" t="str">
        <f ca="1">IFERROR(__xludf.DUMMYFUNCTION("""COMPUTED_VALUE"""),"Cost per instance")</f>
        <v>Cost per instance</v>
      </c>
      <c r="M887" s="3"/>
      <c r="N887" s="3"/>
      <c r="O887" s="3"/>
      <c r="P887" s="3"/>
      <c r="Q887" s="3"/>
      <c r="R887" s="3"/>
      <c r="S887" s="3" t="str">
        <f ca="1">IFERROR(__xludf.DUMMYFUNCTION("""COMPUTED_VALUE"""),"100")</f>
        <v>100</v>
      </c>
      <c r="T887" s="3"/>
      <c r="U887" s="3" t="str">
        <f ca="1">IFERROR(__xludf.DUMMYFUNCTION("""COMPUTED_VALUE"""),"microsite")</f>
        <v>microsite</v>
      </c>
      <c r="V887" s="3"/>
      <c r="W887" s="3"/>
      <c r="X887" s="3"/>
      <c r="Y887" s="3"/>
      <c r="Z887" s="3" t="str">
        <f ca="1">IFERROR(__xludf.DUMMYFUNCTION("""COMPUTED_VALUE"""),"podklady@cncenter.cz")</f>
        <v>podklady@cncenter.cz</v>
      </c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 t="str">
        <f ca="1">IFERROR(__xludf.DUMMYFUNCTION("""COMPUTED_VALUE"""),"cross-device")</f>
        <v>cross-device</v>
      </c>
      <c r="AO887" s="3"/>
      <c r="AP887" s="3"/>
      <c r="AQ887" s="3"/>
      <c r="AR887" s="3"/>
      <c r="AS887" s="3"/>
      <c r="AT887" s="3"/>
      <c r="AU887" s="3" t="str">
        <f ca="1">IFERROR(__xludf.DUMMYFUNCTION("""COMPUTED_VALUE"""),"Native Premium")</f>
        <v>Native Premium</v>
      </c>
    </row>
    <row r="888" spans="1:47" x14ac:dyDescent="0.3">
      <c r="A888" s="3">
        <f ca="1"/>
        <v>2346826</v>
      </c>
      <c r="B888" s="3" t="str">
        <f ca="1"/>
        <v>CZECH NEWS CENTER a. s.</v>
      </c>
      <c r="C888" s="4" t="str">
        <f ca="1">IFERROR(__xludf.DUMMYFUNCTION("""COMPUTED_VALUE"""),"nemovitosti.blesk.cz")</f>
        <v>nemovitosti.blesk.cz</v>
      </c>
      <c r="D888" s="4" t="str">
        <f ca="1">IFERROR(__xludf.DUMMYFUNCTION("""COMPUTED_VALUE"""),"https://nemovitosti.blesk.cz")</f>
        <v>https://nemovitosti.blesk.cz</v>
      </c>
      <c r="E888" s="3" t="str">
        <f ca="1">IFERROR(__xludf.DUMMYFUNCTION("""COMPUTED_VALUE"""),"celý web")</f>
        <v>celý web</v>
      </c>
      <c r="F888" s="4" t="str">
        <f ca="1">IFERROR(__xludf.DUMMYFUNCTION("""COMPUTED_VALUE"""),"https://nemovitosti.blesk.cz")</f>
        <v>https://nemovitosti.blesk.cz</v>
      </c>
      <c r="G888" s="3" t="str">
        <f ca="1">IFERROR(__xludf.DUMMYFUNCTION("""COMPUTED_VALUE"""),"Native Standard + low season")</f>
        <v>Native Standard + low season</v>
      </c>
      <c r="H888" s="3">
        <f ca="1">IFERROR(__xludf.DUMMYFUNCTION("""COMPUTED_VALUE"""),1)</f>
        <v>1</v>
      </c>
      <c r="I888" s="5">
        <f ca="1">IFERROR(__xludf.DUMMYFUNCTION("""COMPUTED_VALUE"""),1)</f>
        <v>1</v>
      </c>
      <c r="J888" s="5">
        <f ca="1">IFERROR(__xludf.DUMMYFUNCTION("""COMPUTED_VALUE"""),420000)</f>
        <v>420000</v>
      </c>
      <c r="K888" s="3"/>
      <c r="L888" s="3" t="str">
        <f ca="1">IFERROR(__xludf.DUMMYFUNCTION("""COMPUTED_VALUE"""),"Cost per instance")</f>
        <v>Cost per instance</v>
      </c>
      <c r="M888" s="3"/>
      <c r="N888" s="3"/>
      <c r="O888" s="3"/>
      <c r="P888" s="3"/>
      <c r="Q888" s="3"/>
      <c r="R888" s="3"/>
      <c r="S888" s="3" t="str">
        <f ca="1">IFERROR(__xludf.DUMMYFUNCTION("""COMPUTED_VALUE"""),"100")</f>
        <v>100</v>
      </c>
      <c r="T888" s="3"/>
      <c r="U888" s="3" t="str">
        <f ca="1">IFERROR(__xludf.DUMMYFUNCTION("""COMPUTED_VALUE"""),"microsite")</f>
        <v>microsite</v>
      </c>
      <c r="V888" s="3"/>
      <c r="W888" s="3"/>
      <c r="X888" s="3"/>
      <c r="Y888" s="3"/>
      <c r="Z888" s="3" t="str">
        <f ca="1">IFERROR(__xludf.DUMMYFUNCTION("""COMPUTED_VALUE"""),"podklady@cncenter.cz")</f>
        <v>podklady@cncenter.cz</v>
      </c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 t="str">
        <f ca="1">IFERROR(__xludf.DUMMYFUNCTION("""COMPUTED_VALUE"""),"cross-device")</f>
        <v>cross-device</v>
      </c>
      <c r="AO888" s="3"/>
      <c r="AP888" s="3"/>
      <c r="AQ888" s="3"/>
      <c r="AR888" s="3"/>
      <c r="AS888" s="3"/>
      <c r="AT888" s="3"/>
      <c r="AU888" s="3" t="str">
        <f ca="1">IFERROR(__xludf.DUMMYFUNCTION("""COMPUTED_VALUE"""),"Native Standard +")</f>
        <v>Native Standard +</v>
      </c>
    </row>
    <row r="889" spans="1:47" x14ac:dyDescent="0.3">
      <c r="A889" s="3">
        <f ca="1"/>
        <v>2346826</v>
      </c>
      <c r="B889" s="3" t="str">
        <f ca="1"/>
        <v>CZECH NEWS CENTER a. s.</v>
      </c>
      <c r="C889" s="4" t="str">
        <f ca="1">IFERROR(__xludf.DUMMYFUNCTION("""COMPUTED_VALUE"""),"nemovitosti.blesk.cz")</f>
        <v>nemovitosti.blesk.cz</v>
      </c>
      <c r="D889" s="4" t="str">
        <f ca="1">IFERROR(__xludf.DUMMYFUNCTION("""COMPUTED_VALUE"""),"https://nemovitosti.blesk.cz")</f>
        <v>https://nemovitosti.blesk.cz</v>
      </c>
      <c r="E889" s="3" t="str">
        <f ca="1">IFERROR(__xludf.DUMMYFUNCTION("""COMPUTED_VALUE"""),"celý web")</f>
        <v>celý web</v>
      </c>
      <c r="F889" s="4" t="str">
        <f ca="1">IFERROR(__xludf.DUMMYFUNCTION("""COMPUTED_VALUE"""),"https://nemovitosti.blesk.cz")</f>
        <v>https://nemovitosti.blesk.cz</v>
      </c>
      <c r="G889" s="3" t="str">
        <f ca="1">IFERROR(__xludf.DUMMYFUNCTION("""COMPUTED_VALUE"""),"Native Standard low season")</f>
        <v>Native Standard low season</v>
      </c>
      <c r="H889" s="3">
        <f ca="1">IFERROR(__xludf.DUMMYFUNCTION("""COMPUTED_VALUE"""),1)</f>
        <v>1</v>
      </c>
      <c r="I889" s="5">
        <f ca="1">IFERROR(__xludf.DUMMYFUNCTION("""COMPUTED_VALUE"""),1)</f>
        <v>1</v>
      </c>
      <c r="J889" s="5">
        <f ca="1">IFERROR(__xludf.DUMMYFUNCTION("""COMPUTED_VALUE"""),330000)</f>
        <v>330000</v>
      </c>
      <c r="K889" s="3"/>
      <c r="L889" s="3" t="str">
        <f ca="1">IFERROR(__xludf.DUMMYFUNCTION("""COMPUTED_VALUE"""),"Cost per instance")</f>
        <v>Cost per instance</v>
      </c>
      <c r="M889" s="3"/>
      <c r="N889" s="3"/>
      <c r="O889" s="3"/>
      <c r="P889" s="3"/>
      <c r="Q889" s="3"/>
      <c r="R889" s="3"/>
      <c r="S889" s="3" t="str">
        <f ca="1">IFERROR(__xludf.DUMMYFUNCTION("""COMPUTED_VALUE"""),"100")</f>
        <v>100</v>
      </c>
      <c r="T889" s="3"/>
      <c r="U889" s="3" t="str">
        <f ca="1">IFERROR(__xludf.DUMMYFUNCTION("""COMPUTED_VALUE"""),"microsite")</f>
        <v>microsite</v>
      </c>
      <c r="V889" s="3"/>
      <c r="W889" s="3"/>
      <c r="X889" s="3"/>
      <c r="Y889" s="3"/>
      <c r="Z889" s="3" t="str">
        <f ca="1">IFERROR(__xludf.DUMMYFUNCTION("""COMPUTED_VALUE"""),"podklady@cncenter.cz")</f>
        <v>podklady@cncenter.cz</v>
      </c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 t="str">
        <f ca="1">IFERROR(__xludf.DUMMYFUNCTION("""COMPUTED_VALUE"""),"cross-device")</f>
        <v>cross-device</v>
      </c>
      <c r="AO889" s="3"/>
      <c r="AP889" s="3"/>
      <c r="AQ889" s="3"/>
      <c r="AR889" s="3"/>
      <c r="AS889" s="3"/>
      <c r="AT889" s="3"/>
      <c r="AU889" s="3" t="str">
        <f ca="1">IFERROR(__xludf.DUMMYFUNCTION("""COMPUTED_VALUE"""),"Native Standard")</f>
        <v>Native Standard</v>
      </c>
    </row>
    <row r="890" spans="1:47" x14ac:dyDescent="0.3">
      <c r="A890" s="3">
        <f ca="1"/>
        <v>2346826</v>
      </c>
      <c r="B890" s="3" t="str">
        <f ca="1"/>
        <v>CZECH NEWS CENTER a. s.</v>
      </c>
      <c r="C890" s="4" t="str">
        <f ca="1">IFERROR(__xludf.DUMMYFUNCTION("""COMPUTED_VALUE"""),"nemovitosti.blesk.cz")</f>
        <v>nemovitosti.blesk.cz</v>
      </c>
      <c r="D890" s="4" t="str">
        <f ca="1">IFERROR(__xludf.DUMMYFUNCTION("""COMPUTED_VALUE"""),"https://nemovitosti.blesk.cz")</f>
        <v>https://nemovitosti.blesk.cz</v>
      </c>
      <c r="E890" s="3" t="str">
        <f ca="1">IFERROR(__xludf.DUMMYFUNCTION("""COMPUTED_VALUE"""),"celý web")</f>
        <v>celý web</v>
      </c>
      <c r="F890" s="4" t="str">
        <f ca="1">IFERROR(__xludf.DUMMYFUNCTION("""COMPUTED_VALUE"""),"https://nemovitosti.blesk.cz")</f>
        <v>https://nemovitosti.blesk.cz</v>
      </c>
      <c r="G890" s="3" t="str">
        <f ca="1">IFERROR(__xludf.DUMMYFUNCTION("""COMPUTED_VALUE"""),"nativní pr premium low season")</f>
        <v>nativní pr premium low season</v>
      </c>
      <c r="H890" s="3">
        <f ca="1">IFERROR(__xludf.DUMMYFUNCTION("""COMPUTED_VALUE"""),7)</f>
        <v>7</v>
      </c>
      <c r="I890" s="5">
        <f ca="1">IFERROR(__xludf.DUMMYFUNCTION("""COMPUTED_VALUE"""),1000)</f>
        <v>1000</v>
      </c>
      <c r="J890" s="5">
        <f ca="1">IFERROR(__xludf.DUMMYFUNCTION("""COMPUTED_VALUE"""),100)</f>
        <v>100</v>
      </c>
      <c r="K890" s="3"/>
      <c r="L890" s="3" t="str">
        <f ca="1">IFERROR(__xludf.DUMMYFUNCTION("""COMPUTED_VALUE"""),"Cost per period")</f>
        <v>Cost per period</v>
      </c>
      <c r="M890" s="3"/>
      <c r="N890" s="3"/>
      <c r="O890" s="3" t="str">
        <f ca="1">IFERROR(__xludf.DUMMYFUNCTION("""COMPUTED_VALUE"""),"640")</f>
        <v>640</v>
      </c>
      <c r="P890" s="3" t="str">
        <f ca="1">IFERROR(__xludf.DUMMYFUNCTION("""COMPUTED_VALUE"""),"335, 640")</f>
        <v>335, 640</v>
      </c>
      <c r="Q890" s="3" t="str">
        <f ca="1">IFERROR(__xludf.DUMMYFUNCTION("""COMPUTED_VALUE"""),"640x640 a 640x335 + text + logo")</f>
        <v>640x640 a 640x335 + text + logo</v>
      </c>
      <c r="R890" s="3" t="str">
        <f ca="1">IFERROR(__xludf.DUMMYFUNCTION("""COMPUTED_VALUE"""),"detailní specifikace na URL odkaze")</f>
        <v>detailní specifikace na URL odkaze</v>
      </c>
      <c r="S890" s="3" t="str">
        <f ca="1">IFERROR(__xludf.DUMMYFUNCTION("""COMPUTED_VALUE"""),"100")</f>
        <v>100</v>
      </c>
      <c r="T890" s="3"/>
      <c r="U890" s="3" t="str">
        <f ca="1">IFERROR(__xludf.DUMMYFUNCTION("""COMPUTED_VALUE"""),"nativní reklama")</f>
        <v>nativní reklama</v>
      </c>
      <c r="V890" s="3"/>
      <c r="W890" s="4" t="str">
        <f ca="1">IFERROR(__xludf.DUMMYFUNCTION("""COMPUTED_VALUE"""),"https://reklama.cncenter.cz/Online/nativni-PR-premium")</f>
        <v>https://reklama.cncenter.cz/Online/nativni-PR-premium</v>
      </c>
      <c r="X890" s="3"/>
      <c r="Y890" s="3"/>
      <c r="Z890" s="3" t="str">
        <f ca="1">IFERROR(__xludf.DUMMYFUNCTION("""COMPUTED_VALUE"""),"podklady@cncenter.cz")</f>
        <v>podklady@cncenter.cz</v>
      </c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 t="str">
        <f ca="1">IFERROR(__xludf.DUMMYFUNCTION("""COMPUTED_VALUE"""),"cross-device")</f>
        <v>cross-device</v>
      </c>
      <c r="AO890" s="3"/>
      <c r="AP890" s="3"/>
      <c r="AQ890" s="3"/>
      <c r="AR890" s="3"/>
      <c r="AS890" s="3"/>
      <c r="AT890" s="3"/>
      <c r="AU890" s="3" t="str">
        <f ca="1">IFERROR(__xludf.DUMMYFUNCTION("""COMPUTED_VALUE"""),"nativní pr premium")</f>
        <v>nativní pr premium</v>
      </c>
    </row>
    <row r="891" spans="1:47" x14ac:dyDescent="0.3">
      <c r="A891" s="3">
        <f ca="1"/>
        <v>2346826</v>
      </c>
      <c r="B891" s="3" t="str">
        <f ca="1"/>
        <v>CZECH NEWS CENTER a. s.</v>
      </c>
      <c r="C891" s="4" t="str">
        <f ca="1">IFERROR(__xludf.DUMMYFUNCTION("""COMPUTED_VALUE"""),"nemovitosti.blesk.cz")</f>
        <v>nemovitosti.blesk.cz</v>
      </c>
      <c r="D891" s="4" t="str">
        <f ca="1">IFERROR(__xludf.DUMMYFUNCTION("""COMPUTED_VALUE"""),"https://nemovitosti.blesk.cz")</f>
        <v>https://nemovitosti.blesk.cz</v>
      </c>
      <c r="E891" s="3" t="str">
        <f ca="1">IFERROR(__xludf.DUMMYFUNCTION("""COMPUTED_VALUE"""),"celý web")</f>
        <v>celý web</v>
      </c>
      <c r="F891" s="4" t="str">
        <f ca="1">IFERROR(__xludf.DUMMYFUNCTION("""COMPUTED_VALUE"""),"https://nemovitosti.blesk.cz")</f>
        <v>https://nemovitosti.blesk.cz</v>
      </c>
      <c r="G891" s="3" t="str">
        <f ca="1">IFERROR(__xludf.DUMMYFUNCTION("""COMPUTED_VALUE"""),"nativní rectangle cross-device low season")</f>
        <v>nativní rectangle cross-device low season</v>
      </c>
      <c r="H891" s="3">
        <f ca="1">IFERROR(__xludf.DUMMYFUNCTION("""COMPUTED_VALUE"""),7)</f>
        <v>7</v>
      </c>
      <c r="I891" s="5">
        <f ca="1">IFERROR(__xludf.DUMMYFUNCTION("""COMPUTED_VALUE"""),1000)</f>
        <v>1000</v>
      </c>
      <c r="J891" s="5">
        <f ca="1">IFERROR(__xludf.DUMMYFUNCTION("""COMPUTED_VALUE"""),200)</f>
        <v>200</v>
      </c>
      <c r="K891" s="3"/>
      <c r="L891" s="3" t="str">
        <f ca="1">IFERROR(__xludf.DUMMYFUNCTION("""COMPUTED_VALUE"""),"Cost per period")</f>
        <v>Cost per period</v>
      </c>
      <c r="M891" s="3"/>
      <c r="N891" s="3"/>
      <c r="O891" s="3" t="str">
        <f ca="1">IFERROR(__xludf.DUMMYFUNCTION("""COMPUTED_VALUE"""),"640")</f>
        <v>640</v>
      </c>
      <c r="P891" s="3" t="str">
        <f ca="1">IFERROR(__xludf.DUMMYFUNCTION("""COMPUTED_VALUE"""),"335, 640")</f>
        <v>335, 640</v>
      </c>
      <c r="Q891" s="3" t="str">
        <f ca="1">IFERROR(__xludf.DUMMYFUNCTION("""COMPUTED_VALUE"""),"640x640 a 640x335 + text + logo")</f>
        <v>640x640 a 640x335 + text + logo</v>
      </c>
      <c r="R891" s="3"/>
      <c r="S891" s="3" t="str">
        <f ca="1">IFERROR(__xludf.DUMMYFUNCTION("""COMPUTED_VALUE"""),"45")</f>
        <v>45</v>
      </c>
      <c r="T891" s="3"/>
      <c r="U891" s="3" t="str">
        <f ca="1">IFERROR(__xludf.DUMMYFUNCTION("""COMPUTED_VALUE"""),"nativní reklama")</f>
        <v>nativní reklama</v>
      </c>
      <c r="V891" s="3"/>
      <c r="W891" s="4" t="str">
        <f ca="1">IFERROR(__xludf.DUMMYFUNCTION("""COMPUTED_VALUE"""),"https://reklama.cncenter.cz/Online/nativni-rectangle-cross-device")</f>
        <v>https://reklama.cncenter.cz/Online/nativni-rectangle-cross-device</v>
      </c>
      <c r="X891" s="3"/>
      <c r="Y891" s="3"/>
      <c r="Z891" s="3" t="str">
        <f ca="1">IFERROR(__xludf.DUMMYFUNCTION("""COMPUTED_VALUE"""),"podklady@cncenter.cz")</f>
        <v>podklady@cncenter.cz</v>
      </c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 t="str">
        <f ca="1">IFERROR(__xludf.DUMMYFUNCTION("""COMPUTED_VALUE"""),"cross-device")</f>
        <v>cross-device</v>
      </c>
      <c r="AO891" s="3"/>
      <c r="AP891" s="3"/>
      <c r="AQ891" s="3"/>
      <c r="AR891" s="3"/>
      <c r="AS891" s="3"/>
      <c r="AT891" s="3"/>
      <c r="AU891" s="3" t="str">
        <f ca="1">IFERROR(__xludf.DUMMYFUNCTION("""COMPUTED_VALUE"""),"nativní rectangle cross-device")</f>
        <v>nativní rectangle cross-device</v>
      </c>
    </row>
    <row r="892" spans="1:47" x14ac:dyDescent="0.3">
      <c r="A892" s="3">
        <f ca="1"/>
        <v>2346826</v>
      </c>
      <c r="B892" s="3" t="str">
        <f ca="1"/>
        <v>CZECH NEWS CENTER a. s.</v>
      </c>
      <c r="C892" s="4" t="str">
        <f ca="1">IFERROR(__xludf.DUMMYFUNCTION("""COMPUTED_VALUE"""),"nemovitosti.blesk.cz")</f>
        <v>nemovitosti.blesk.cz</v>
      </c>
      <c r="D892" s="4" t="str">
        <f ca="1">IFERROR(__xludf.DUMMYFUNCTION("""COMPUTED_VALUE"""),"https://nemovitosti.blesk.cz")</f>
        <v>https://nemovitosti.blesk.cz</v>
      </c>
      <c r="E892" s="3" t="str">
        <f ca="1">IFERROR(__xludf.DUMMYFUNCTION("""COMPUTED_VALUE"""),"celý web")</f>
        <v>celý web</v>
      </c>
      <c r="F892" s="4" t="str">
        <f ca="1">IFERROR(__xludf.DUMMYFUNCTION("""COMPUTED_VALUE"""),"https://nemovitosti.blesk.cz")</f>
        <v>https://nemovitosti.blesk.cz</v>
      </c>
      <c r="G892" s="3" t="str">
        <f ca="1">IFERROR(__xludf.DUMMYFUNCTION("""COMPUTED_VALUE"""),"outstream low season")</f>
        <v>outstream low season</v>
      </c>
      <c r="H892" s="3">
        <f ca="1">IFERROR(__xludf.DUMMYFUNCTION("""COMPUTED_VALUE"""),7)</f>
        <v>7</v>
      </c>
      <c r="I892" s="5">
        <f ca="1">IFERROR(__xludf.DUMMYFUNCTION("""COMPUTED_VALUE"""),1000)</f>
        <v>1000</v>
      </c>
      <c r="J892" s="5">
        <f ca="1">IFERROR(__xludf.DUMMYFUNCTION("""COMPUTED_VALUE"""),250)</f>
        <v>250</v>
      </c>
      <c r="K892" s="3"/>
      <c r="L892" s="3" t="str">
        <f ca="1">IFERROR(__xludf.DUMMYFUNCTION("""COMPUTED_VALUE"""),"Cost per period")</f>
        <v>Cost per period</v>
      </c>
      <c r="M892" s="3"/>
      <c r="N892" s="3"/>
      <c r="O892" s="3" t="str">
        <f ca="1">IFERROR(__xludf.DUMMYFUNCTION("""COMPUTED_VALUE"""),"1280")</f>
        <v>1280</v>
      </c>
      <c r="P892" s="3" t="str">
        <f ca="1">IFERROR(__xludf.DUMMYFUNCTION("""COMPUTED_VALUE"""),"720")</f>
        <v>720</v>
      </c>
      <c r="Q892" s="3" t="str">
        <f ca="1">IFERROR(__xludf.DUMMYFUNCTION("""COMPUTED_VALUE"""),"16:9")</f>
        <v>16:9</v>
      </c>
      <c r="R892" s="3"/>
      <c r="S892" s="3" t="str">
        <f ca="1">IFERROR(__xludf.DUMMYFUNCTION("""COMPUTED_VALUE"""),"100")</f>
        <v>100</v>
      </c>
      <c r="T892" s="3"/>
      <c r="U892" s="3" t="str">
        <f ca="1">IFERROR(__xludf.DUMMYFUNCTION("""COMPUTED_VALUE"""),"videospot")</f>
        <v>videospot</v>
      </c>
      <c r="V892" s="3"/>
      <c r="W892" s="4" t="str">
        <f ca="1">IFERROR(__xludf.DUMMYFUNCTION("""COMPUTED_VALUE"""),"https://reklama.cncenter.cz/Online/Outstream")</f>
        <v>https://reklama.cncenter.cz/Online/Outstream</v>
      </c>
      <c r="X892" s="3"/>
      <c r="Y892" s="3"/>
      <c r="Z892" s="3" t="str">
        <f ca="1">IFERROR(__xludf.DUMMYFUNCTION("""COMPUTED_VALUE"""),"podklady@cncenter.cz")</f>
        <v>podklady@cncenter.cz</v>
      </c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 t="str">
        <f ca="1">IFERROR(__xludf.DUMMYFUNCTION("""COMPUTED_VALUE"""),"cross-device")</f>
        <v>cross-device</v>
      </c>
      <c r="AO892" s="3"/>
      <c r="AP892" s="3"/>
      <c r="AQ892" s="3"/>
      <c r="AR892" s="3"/>
      <c r="AS892" s="3"/>
      <c r="AT892" s="3"/>
      <c r="AU892" s="3" t="str">
        <f ca="1">IFERROR(__xludf.DUMMYFUNCTION("""COMPUTED_VALUE"""),"outstream")</f>
        <v>outstream</v>
      </c>
    </row>
    <row r="893" spans="1:47" x14ac:dyDescent="0.3">
      <c r="A893" s="3">
        <f ca="1"/>
        <v>2346826</v>
      </c>
      <c r="B893" s="3" t="str">
        <f ca="1"/>
        <v>CZECH NEWS CENTER a. s.</v>
      </c>
      <c r="C893" s="4" t="str">
        <f ca="1">IFERROR(__xludf.DUMMYFUNCTION("""COMPUTED_VALUE"""),"nemovitosti.blesk.cz")</f>
        <v>nemovitosti.blesk.cz</v>
      </c>
      <c r="D893" s="4" t="str">
        <f ca="1">IFERROR(__xludf.DUMMYFUNCTION("""COMPUTED_VALUE"""),"https://nemovitosti.blesk.cz")</f>
        <v>https://nemovitosti.blesk.cz</v>
      </c>
      <c r="E893" s="3" t="str">
        <f ca="1">IFERROR(__xludf.DUMMYFUNCTION("""COMPUTED_VALUE"""),"celý web")</f>
        <v>celý web</v>
      </c>
      <c r="F893" s="4" t="str">
        <f ca="1">IFERROR(__xludf.DUMMYFUNCTION("""COMPUTED_VALUE"""),"https://nemovitosti.blesk.cz")</f>
        <v>https://nemovitosti.blesk.cz</v>
      </c>
      <c r="G893" s="3" t="str">
        <f ca="1">IFERROR(__xludf.DUMMYFUNCTION("""COMPUTED_VALUE"""),"PR článek low season")</f>
        <v>PR článek low season</v>
      </c>
      <c r="H893" s="3">
        <f ca="1">IFERROR(__xludf.DUMMYFUNCTION("""COMPUTED_VALUE"""),1)</f>
        <v>1</v>
      </c>
      <c r="I893" s="5">
        <f ca="1">IFERROR(__xludf.DUMMYFUNCTION("""COMPUTED_VALUE"""),1)</f>
        <v>1</v>
      </c>
      <c r="J893" s="5">
        <f ca="1">IFERROR(__xludf.DUMMYFUNCTION("""COMPUTED_VALUE"""),33000)</f>
        <v>33000</v>
      </c>
      <c r="K893" s="3"/>
      <c r="L893" s="3" t="str">
        <f ca="1">IFERROR(__xludf.DUMMYFUNCTION("""COMPUTED_VALUE"""),"Cost per instance")</f>
        <v>Cost per instance</v>
      </c>
      <c r="M893" s="3"/>
      <c r="N893" s="3"/>
      <c r="O893" s="3"/>
      <c r="P893" s="3"/>
      <c r="Q893" s="3"/>
      <c r="R893" s="3"/>
      <c r="S893" s="3" t="str">
        <f ca="1">IFERROR(__xludf.DUMMYFUNCTION("""COMPUTED_VALUE"""),"100")</f>
        <v>100</v>
      </c>
      <c r="T893" s="3"/>
      <c r="U893" s="3" t="str">
        <f ca="1">IFERROR(__xludf.DUMMYFUNCTION("""COMPUTED_VALUE"""),"pr článek")</f>
        <v>pr článek</v>
      </c>
      <c r="V893" s="3"/>
      <c r="W893" s="4" t="str">
        <f ca="1">IFERROR(__xludf.DUMMYFUNCTION("""COMPUTED_VALUE"""),"https://reklama.cncenter.cz/?ads=PR%2520%25C4%258Dl%25C3%25A1nky")</f>
        <v>https://reklama.cncenter.cz/?ads=PR%2520%25C4%258Dl%25C3%25A1nky</v>
      </c>
      <c r="X893" s="3"/>
      <c r="Y893" s="3"/>
      <c r="Z893" s="3" t="str">
        <f ca="1">IFERROR(__xludf.DUMMYFUNCTION("""COMPUTED_VALUE"""),"podklady@cncenter.cz")</f>
        <v>podklady@cncenter.cz</v>
      </c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 t="str">
        <f ca="1">IFERROR(__xludf.DUMMYFUNCTION("""COMPUTED_VALUE"""),"cross-device")</f>
        <v>cross-device</v>
      </c>
      <c r="AO893" s="3"/>
      <c r="AP893" s="3"/>
      <c r="AQ893" s="3"/>
      <c r="AR893" s="3"/>
      <c r="AS893" s="3"/>
      <c r="AT893" s="3"/>
      <c r="AU893" s="3" t="str">
        <f ca="1">IFERROR(__xludf.DUMMYFUNCTION("""COMPUTED_VALUE"""),"PR článek")</f>
        <v>PR článek</v>
      </c>
    </row>
    <row r="894" spans="1:47" x14ac:dyDescent="0.3">
      <c r="A894" s="3">
        <f ca="1"/>
        <v>2346826</v>
      </c>
      <c r="B894" s="3" t="str">
        <f ca="1"/>
        <v>CZECH NEWS CENTER a. s.</v>
      </c>
      <c r="C894" s="4" t="str">
        <f ca="1">IFERROR(__xludf.DUMMYFUNCTION("""COMPUTED_VALUE"""),"nemovitosti.blesk.cz")</f>
        <v>nemovitosti.blesk.cz</v>
      </c>
      <c r="D894" s="4" t="str">
        <f ca="1">IFERROR(__xludf.DUMMYFUNCTION("""COMPUTED_VALUE"""),"https://nemovitosti.blesk.cz")</f>
        <v>https://nemovitosti.blesk.cz</v>
      </c>
      <c r="E894" s="3" t="str">
        <f ca="1">IFERROR(__xludf.DUMMYFUNCTION("""COMPUTED_VALUE"""),"celý web")</f>
        <v>celý web</v>
      </c>
      <c r="F894" s="4" t="str">
        <f ca="1">IFERROR(__xludf.DUMMYFUNCTION("""COMPUTED_VALUE"""),"https://nemovitosti.blesk.cz")</f>
        <v>https://nemovitosti.blesk.cz</v>
      </c>
      <c r="G894" s="3" t="str">
        <f ca="1">IFERROR(__xludf.DUMMYFUNCTION("""COMPUTED_VALUE"""),"Prodloužení existující microsite, bez úprav low season")</f>
        <v>Prodloužení existující microsite, bez úprav low season</v>
      </c>
      <c r="H894" s="3">
        <f ca="1">IFERROR(__xludf.DUMMYFUNCTION("""COMPUTED_VALUE"""),1)</f>
        <v>1</v>
      </c>
      <c r="I894" s="5">
        <f ca="1">IFERROR(__xludf.DUMMYFUNCTION("""COMPUTED_VALUE"""),1)</f>
        <v>1</v>
      </c>
      <c r="J894" s="5">
        <f ca="1">IFERROR(__xludf.DUMMYFUNCTION("""COMPUTED_VALUE"""),15000)</f>
        <v>15000</v>
      </c>
      <c r="K894" s="3"/>
      <c r="L894" s="3" t="str">
        <f ca="1">IFERROR(__xludf.DUMMYFUNCTION("""COMPUTED_VALUE"""),"Cost per instance")</f>
        <v>Cost per instance</v>
      </c>
      <c r="M894" s="3"/>
      <c r="N894" s="3"/>
      <c r="O894" s="3"/>
      <c r="P894" s="3"/>
      <c r="Q894" s="3"/>
      <c r="R894" s="3"/>
      <c r="S894" s="3" t="str">
        <f ca="1">IFERROR(__xludf.DUMMYFUNCTION("""COMPUTED_VALUE"""),"100")</f>
        <v>100</v>
      </c>
      <c r="T894" s="3"/>
      <c r="U894" s="3" t="str">
        <f ca="1">IFERROR(__xludf.DUMMYFUNCTION("""COMPUTED_VALUE"""),"microsite")</f>
        <v>microsite</v>
      </c>
      <c r="V894" s="3"/>
      <c r="W894" s="3"/>
      <c r="X894" s="3"/>
      <c r="Y894" s="3"/>
      <c r="Z894" s="3" t="str">
        <f ca="1">IFERROR(__xludf.DUMMYFUNCTION("""COMPUTED_VALUE"""),"podklady@cncenter.cz")</f>
        <v>podklady@cncenter.cz</v>
      </c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 t="str">
        <f ca="1">IFERROR(__xludf.DUMMYFUNCTION("""COMPUTED_VALUE"""),"cross-device")</f>
        <v>cross-device</v>
      </c>
      <c r="AO894" s="3"/>
      <c r="AP894" s="3"/>
      <c r="AQ894" s="3"/>
      <c r="AR894" s="3"/>
      <c r="AS894" s="3"/>
      <c r="AT894" s="3"/>
      <c r="AU894" s="3" t="str">
        <f ca="1">IFERROR(__xludf.DUMMYFUNCTION("""COMPUTED_VALUE"""),"Prodloužení existující microsite, bez úprav")</f>
        <v>Prodloužení existující microsite, bez úprav</v>
      </c>
    </row>
    <row r="895" spans="1:47" x14ac:dyDescent="0.3">
      <c r="A895" s="3">
        <f ca="1"/>
        <v>2346826</v>
      </c>
      <c r="B895" s="3" t="str">
        <f ca="1"/>
        <v>CZECH NEWS CENTER a. s.</v>
      </c>
      <c r="C895" s="4" t="str">
        <f ca="1">IFERROR(__xludf.DUMMYFUNCTION("""COMPUTED_VALUE"""),"nemovitosti.blesk.cz")</f>
        <v>nemovitosti.blesk.cz</v>
      </c>
      <c r="D895" s="4" t="str">
        <f ca="1">IFERROR(__xludf.DUMMYFUNCTION("""COMPUTED_VALUE"""),"https://nemovitosti.blesk.cz")</f>
        <v>https://nemovitosti.blesk.cz</v>
      </c>
      <c r="E895" s="3" t="str">
        <f ca="1">IFERROR(__xludf.DUMMYFUNCTION("""COMPUTED_VALUE"""),"celý web")</f>
        <v>celý web</v>
      </c>
      <c r="F895" s="4" t="str">
        <f ca="1">IFERROR(__xludf.DUMMYFUNCTION("""COMPUTED_VALUE"""),"https://nemovitosti.blesk.cz")</f>
        <v>https://nemovitosti.blesk.cz</v>
      </c>
      <c r="G895" s="3" t="str">
        <f ca="1">IFERROR(__xludf.DUMMYFUNCTION("""COMPUTED_VALUE"""),"Prodloužení existující microsite, bez úprav low season")</f>
        <v>Prodloužení existující microsite, bez úprav low season</v>
      </c>
      <c r="H895" s="3">
        <f ca="1">IFERROR(__xludf.DUMMYFUNCTION("""COMPUTED_VALUE"""),1)</f>
        <v>1</v>
      </c>
      <c r="I895" s="5">
        <f ca="1">IFERROR(__xludf.DUMMYFUNCTION("""COMPUTED_VALUE"""),1)</f>
        <v>1</v>
      </c>
      <c r="J895" s="5">
        <f ca="1">IFERROR(__xludf.DUMMYFUNCTION("""COMPUTED_VALUE"""),15000)</f>
        <v>15000</v>
      </c>
      <c r="K895" s="3"/>
      <c r="L895" s="3" t="str">
        <f ca="1">IFERROR(__xludf.DUMMYFUNCTION("""COMPUTED_VALUE"""),"Cost per instance")</f>
        <v>Cost per instance</v>
      </c>
      <c r="M895" s="3"/>
      <c r="N895" s="3"/>
      <c r="O895" s="3"/>
      <c r="P895" s="3"/>
      <c r="Q895" s="3"/>
      <c r="R895" s="3"/>
      <c r="S895" s="3" t="str">
        <f ca="1">IFERROR(__xludf.DUMMYFUNCTION("""COMPUTED_VALUE"""),"100")</f>
        <v>100</v>
      </c>
      <c r="T895" s="3"/>
      <c r="U895" s="3" t="str">
        <f ca="1">IFERROR(__xludf.DUMMYFUNCTION("""COMPUTED_VALUE"""),"microsite")</f>
        <v>microsite</v>
      </c>
      <c r="V895" s="3"/>
      <c r="W895" s="3"/>
      <c r="X895" s="3"/>
      <c r="Y895" s="3"/>
      <c r="Z895" s="3" t="str">
        <f ca="1">IFERROR(__xludf.DUMMYFUNCTION("""COMPUTED_VALUE"""),"podklady@cncenter.cz")</f>
        <v>podklady@cncenter.cz</v>
      </c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 t="str">
        <f ca="1">IFERROR(__xludf.DUMMYFUNCTION("""COMPUTED_VALUE"""),"cross-device")</f>
        <v>cross-device</v>
      </c>
      <c r="AO895" s="3"/>
      <c r="AP895" s="3"/>
      <c r="AQ895" s="3"/>
      <c r="AR895" s="3"/>
      <c r="AS895" s="3"/>
      <c r="AT895" s="3"/>
      <c r="AU895" s="3" t="str">
        <f ca="1">IFERROR(__xludf.DUMMYFUNCTION("""COMPUTED_VALUE"""),"Prodloužení existující microsite, bez úprav")</f>
        <v>Prodloužení existující microsite, bez úprav</v>
      </c>
    </row>
    <row r="896" spans="1:47" x14ac:dyDescent="0.3">
      <c r="A896" s="3">
        <f ca="1"/>
        <v>2346826</v>
      </c>
      <c r="B896" s="3" t="str">
        <f ca="1"/>
        <v>CZECH NEWS CENTER a. s.</v>
      </c>
      <c r="C896" s="4" t="str">
        <f ca="1">IFERROR(__xludf.DUMMYFUNCTION("""COMPUTED_VALUE"""),"nemovitosti.blesk.cz")</f>
        <v>nemovitosti.blesk.cz</v>
      </c>
      <c r="D896" s="4" t="str">
        <f ca="1">IFERROR(__xludf.DUMMYFUNCTION("""COMPUTED_VALUE"""),"https://nemovitosti.blesk.cz")</f>
        <v>https://nemovitosti.blesk.cz</v>
      </c>
      <c r="E896" s="3" t="str">
        <f ca="1">IFERROR(__xludf.DUMMYFUNCTION("""COMPUTED_VALUE"""),"celý web")</f>
        <v>celý web</v>
      </c>
      <c r="F896" s="4" t="str">
        <f ca="1">IFERROR(__xludf.DUMMYFUNCTION("""COMPUTED_VALUE"""),"https://nemovitosti.blesk.cz")</f>
        <v>https://nemovitosti.blesk.cz</v>
      </c>
      <c r="G896" s="3" t="str">
        <f ca="1">IFERROR(__xludf.DUMMYFUNCTION("""COMPUTED_VALUE"""),"Prodloužení existující microsite, bez úprav low season")</f>
        <v>Prodloužení existující microsite, bez úprav low season</v>
      </c>
      <c r="H896" s="3">
        <f ca="1">IFERROR(__xludf.DUMMYFUNCTION("""COMPUTED_VALUE"""),1)</f>
        <v>1</v>
      </c>
      <c r="I896" s="5">
        <f ca="1">IFERROR(__xludf.DUMMYFUNCTION("""COMPUTED_VALUE"""),1)</f>
        <v>1</v>
      </c>
      <c r="J896" s="5">
        <f ca="1">IFERROR(__xludf.DUMMYFUNCTION("""COMPUTED_VALUE"""),15000)</f>
        <v>15000</v>
      </c>
      <c r="K896" s="3"/>
      <c r="L896" s="3" t="str">
        <f ca="1">IFERROR(__xludf.DUMMYFUNCTION("""COMPUTED_VALUE"""),"Cost per instance")</f>
        <v>Cost per instance</v>
      </c>
      <c r="M896" s="3"/>
      <c r="N896" s="3"/>
      <c r="O896" s="3"/>
      <c r="P896" s="3"/>
      <c r="Q896" s="3"/>
      <c r="R896" s="3"/>
      <c r="S896" s="3" t="str">
        <f ca="1">IFERROR(__xludf.DUMMYFUNCTION("""COMPUTED_VALUE"""),"100")</f>
        <v>100</v>
      </c>
      <c r="T896" s="3"/>
      <c r="U896" s="3" t="str">
        <f ca="1">IFERROR(__xludf.DUMMYFUNCTION("""COMPUTED_VALUE"""),"microsite")</f>
        <v>microsite</v>
      </c>
      <c r="V896" s="3"/>
      <c r="W896" s="3"/>
      <c r="X896" s="3"/>
      <c r="Y896" s="3"/>
      <c r="Z896" s="3" t="str">
        <f ca="1">IFERROR(__xludf.DUMMYFUNCTION("""COMPUTED_VALUE"""),"podklady@cncenter.cz")</f>
        <v>podklady@cncenter.cz</v>
      </c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 t="str">
        <f ca="1">IFERROR(__xludf.DUMMYFUNCTION("""COMPUTED_VALUE"""),"cross-device")</f>
        <v>cross-device</v>
      </c>
      <c r="AO896" s="3"/>
      <c r="AP896" s="3"/>
      <c r="AQ896" s="3"/>
      <c r="AR896" s="3"/>
      <c r="AS896" s="3"/>
      <c r="AT896" s="3"/>
      <c r="AU896" s="3" t="str">
        <f ca="1">IFERROR(__xludf.DUMMYFUNCTION("""COMPUTED_VALUE"""),"Prodloužení existující microsite, bez úprav")</f>
        <v>Prodloužení existující microsite, bez úprav</v>
      </c>
    </row>
    <row r="897" spans="1:47" x14ac:dyDescent="0.3">
      <c r="A897" s="3">
        <f ca="1"/>
        <v>2346826</v>
      </c>
      <c r="B897" s="3" t="str">
        <f ca="1"/>
        <v>CZECH NEWS CENTER a. s.</v>
      </c>
      <c r="C897" s="3" t="str">
        <f ca="1">IFERROR(__xludf.DUMMYFUNCTION("""COMPUTED_VALUE"""),"Poggers")</f>
        <v>Poggers</v>
      </c>
      <c r="D897" s="4" t="str">
        <f ca="1">IFERROR(__xludf.DUMMYFUNCTION("""COMPUTED_VALUE"""),"https://www.poggers.cz")</f>
        <v>https://www.poggers.cz</v>
      </c>
      <c r="E897" s="3" t="str">
        <f ca="1">IFERROR(__xludf.DUMMYFUNCTION("""COMPUTED_VALUE"""),"celý web")</f>
        <v>celý web</v>
      </c>
      <c r="F897" s="4" t="str">
        <f ca="1">IFERROR(__xludf.DUMMYFUNCTION("""COMPUTED_VALUE"""),"https://www.poggers.cz")</f>
        <v>https://www.poggers.cz</v>
      </c>
      <c r="G897" s="3" t="str">
        <f ca="1">IFERROR(__xludf.DUMMYFUNCTION("""COMPUTED_VALUE"""),"branding cross-device low season")</f>
        <v>branding cross-device low season</v>
      </c>
      <c r="H897" s="3">
        <f ca="1">IFERROR(__xludf.DUMMYFUNCTION("""COMPUTED_VALUE"""),7)</f>
        <v>7</v>
      </c>
      <c r="I897" s="5">
        <f ca="1">IFERROR(__xludf.DUMMYFUNCTION("""COMPUTED_VALUE"""),1000)</f>
        <v>1000</v>
      </c>
      <c r="J897" s="5">
        <f ca="1">IFERROR(__xludf.DUMMYFUNCTION("""COMPUTED_VALUE"""),66667)</f>
        <v>66667</v>
      </c>
      <c r="K897" s="3"/>
      <c r="L897" s="3" t="str">
        <f ca="1">IFERROR(__xludf.DUMMYFUNCTION("""COMPUTED_VALUE"""),"Cost per period")</f>
        <v>Cost per period</v>
      </c>
      <c r="M897" s="3"/>
      <c r="N897" s="3"/>
      <c r="O897" s="3" t="str">
        <f ca="1">IFERROR(__xludf.DUMMYFUNCTION("""COMPUTED_VALUE"""),"2000")</f>
        <v>2000</v>
      </c>
      <c r="P897" s="3" t="str">
        <f ca="1">IFERROR(__xludf.DUMMYFUNCTION("""COMPUTED_VALUE"""),"1400")</f>
        <v>1400</v>
      </c>
      <c r="Q897" s="3" t="str">
        <f ca="1">IFERROR(__xludf.DUMMYFUNCTION("""COMPUTED_VALUE"""),"2000x1400 + 600x1080")</f>
        <v>2000x1400 + 600x1080</v>
      </c>
      <c r="R897" s="3"/>
      <c r="S897" s="3" t="str">
        <f ca="1">IFERROR(__xludf.DUMMYFUNCTION("""COMPUTED_VALUE"""),"500 (600 - HTLM5)")</f>
        <v>500 (600 - HTLM5)</v>
      </c>
      <c r="T897" s="3"/>
      <c r="U897" s="3" t="str">
        <f ca="1">IFERROR(__xludf.DUMMYFUNCTION("""COMPUTED_VALUE"""),"banner standard")</f>
        <v>banner standard</v>
      </c>
      <c r="V897" s="3"/>
      <c r="W897" s="4" t="str">
        <f ca="1">IFERROR(__xludf.DUMMYFUNCTION("""COMPUTED_VALUE"""),"https://reklama.cncenter.cz/Online/branding-cross-device")</f>
        <v>https://reklama.cncenter.cz/Online/branding-cross-device</v>
      </c>
      <c r="X897" s="3"/>
      <c r="Y897" s="3"/>
      <c r="Z897" s="3" t="str">
        <f ca="1">IFERROR(__xludf.DUMMYFUNCTION("""COMPUTED_VALUE"""),"podklady@cncenter.cz")</f>
        <v>podklady@cncenter.cz</v>
      </c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 t="str">
        <f ca="1">IFERROR(__xludf.DUMMYFUNCTION("""COMPUTED_VALUE"""),"cross-device")</f>
        <v>cross-device</v>
      </c>
      <c r="AO897" s="3"/>
      <c r="AP897" s="3"/>
      <c r="AQ897" s="3"/>
      <c r="AR897" s="3"/>
      <c r="AS897" s="3"/>
      <c r="AT897" s="3"/>
      <c r="AU897" s="3" t="str">
        <f ca="1">IFERROR(__xludf.DUMMYFUNCTION("""COMPUTED_VALUE"""),"branding cross-device")</f>
        <v>branding cross-device</v>
      </c>
    </row>
    <row r="898" spans="1:47" x14ac:dyDescent="0.3">
      <c r="A898" s="3">
        <f ca="1"/>
        <v>2346826</v>
      </c>
      <c r="B898" s="3" t="str">
        <f ca="1"/>
        <v>CZECH NEWS CENTER a. s.</v>
      </c>
      <c r="C898" s="3" t="str">
        <f ca="1">IFERROR(__xludf.DUMMYFUNCTION("""COMPUTED_VALUE"""),"Poggers")</f>
        <v>Poggers</v>
      </c>
      <c r="D898" s="4" t="str">
        <f ca="1">IFERROR(__xludf.DUMMYFUNCTION("""COMPUTED_VALUE"""),"https://www.poggers.cz")</f>
        <v>https://www.poggers.cz</v>
      </c>
      <c r="E898" s="3" t="str">
        <f ca="1">IFERROR(__xludf.DUMMYFUNCTION("""COMPUTED_VALUE"""),"celý web")</f>
        <v>celý web</v>
      </c>
      <c r="F898" s="4" t="str">
        <f ca="1">IFERROR(__xludf.DUMMYFUNCTION("""COMPUTED_VALUE"""),"https://www.poggers.cz")</f>
        <v>https://www.poggers.cz</v>
      </c>
      <c r="G898" s="3" t="str">
        <f ca="1">IFERROR(__xludf.DUMMYFUNCTION("""COMPUTED_VALUE"""),"double skyscraper low season")</f>
        <v>double skyscraper low season</v>
      </c>
      <c r="H898" s="3">
        <f ca="1">IFERROR(__xludf.DUMMYFUNCTION("""COMPUTED_VALUE"""),7)</f>
        <v>7</v>
      </c>
      <c r="I898" s="5">
        <f ca="1">IFERROR(__xludf.DUMMYFUNCTION("""COMPUTED_VALUE"""),1000)</f>
        <v>1000</v>
      </c>
      <c r="J898" s="5">
        <f ca="1">IFERROR(__xludf.DUMMYFUNCTION("""COMPUTED_VALUE"""),50000)</f>
        <v>50000</v>
      </c>
      <c r="K898" s="3"/>
      <c r="L898" s="3" t="str">
        <f ca="1">IFERROR(__xludf.DUMMYFUNCTION("""COMPUTED_VALUE"""),"Cost per period")</f>
        <v>Cost per period</v>
      </c>
      <c r="M898" s="3"/>
      <c r="N898" s="3"/>
      <c r="O898" s="3" t="str">
        <f ca="1">IFERROR(__xludf.DUMMYFUNCTION("""COMPUTED_VALUE"""),"300")</f>
        <v>300</v>
      </c>
      <c r="P898" s="3" t="str">
        <f ca="1">IFERROR(__xludf.DUMMYFUNCTION("""COMPUTED_VALUE"""),"600")</f>
        <v>600</v>
      </c>
      <c r="Q898" s="3" t="str">
        <f ca="1">IFERROR(__xludf.DUMMYFUNCTION("""COMPUTED_VALUE"""),"300x600")</f>
        <v>300x600</v>
      </c>
      <c r="R898" s="3"/>
      <c r="S898" s="3" t="str">
        <f ca="1">IFERROR(__xludf.DUMMYFUNCTION("""COMPUTED_VALUE"""),"100 (200 - HTML5)")</f>
        <v>100 (200 - HTML5)</v>
      </c>
      <c r="T898" s="3"/>
      <c r="U898" s="3" t="str">
        <f ca="1">IFERROR(__xludf.DUMMYFUNCTION("""COMPUTED_VALUE"""),"banner standard")</f>
        <v>banner standard</v>
      </c>
      <c r="V898" s="3"/>
      <c r="W898" s="4" t="str">
        <f ca="1">IFERROR(__xludf.DUMMYFUNCTION("""COMPUTED_VALUE"""),"https://reklama.cncenter.cz/Online/double-skyscraper")</f>
        <v>https://reklama.cncenter.cz/Online/double-skyscraper</v>
      </c>
      <c r="X898" s="3"/>
      <c r="Y898" s="3"/>
      <c r="Z898" s="3" t="str">
        <f ca="1">IFERROR(__xludf.DUMMYFUNCTION("""COMPUTED_VALUE"""),"podklady@cncenter.cz")</f>
        <v>podklady@cncenter.cz</v>
      </c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 t="str">
        <f ca="1">IFERROR(__xludf.DUMMYFUNCTION("""COMPUTED_VALUE"""),"desktop")</f>
        <v>desktop</v>
      </c>
      <c r="AO898" s="3"/>
      <c r="AP898" s="3"/>
      <c r="AQ898" s="3"/>
      <c r="AR898" s="3"/>
      <c r="AS898" s="3"/>
      <c r="AT898" s="3"/>
      <c r="AU898" s="3" t="str">
        <f ca="1">IFERROR(__xludf.DUMMYFUNCTION("""COMPUTED_VALUE"""),"double skyscraper")</f>
        <v>double skyscraper</v>
      </c>
    </row>
    <row r="899" spans="1:47" x14ac:dyDescent="0.3">
      <c r="A899" s="3">
        <f ca="1"/>
        <v>2346826</v>
      </c>
      <c r="B899" s="3" t="str">
        <f ca="1"/>
        <v>CZECH NEWS CENTER a. s.</v>
      </c>
      <c r="C899" s="3" t="str">
        <f ca="1">IFERROR(__xludf.DUMMYFUNCTION("""COMPUTED_VALUE"""),"Poggers")</f>
        <v>Poggers</v>
      </c>
      <c r="D899" s="4" t="str">
        <f ca="1">IFERROR(__xludf.DUMMYFUNCTION("""COMPUTED_VALUE"""),"https://www.poggers.cz")</f>
        <v>https://www.poggers.cz</v>
      </c>
      <c r="E899" s="3" t="str">
        <f ca="1">IFERROR(__xludf.DUMMYFUNCTION("""COMPUTED_VALUE"""),"celý web")</f>
        <v>celý web</v>
      </c>
      <c r="F899" s="4" t="str">
        <f ca="1">IFERROR(__xludf.DUMMYFUNCTION("""COMPUTED_VALUE"""),"https://www.poggers.cz")</f>
        <v>https://www.poggers.cz</v>
      </c>
      <c r="G899" s="3" t="str">
        <f ca="1">IFERROR(__xludf.DUMMYFUNCTION("""COMPUTED_VALUE"""),"nativní rectangle cross-device low season")</f>
        <v>nativní rectangle cross-device low season</v>
      </c>
      <c r="H899" s="3">
        <f ca="1">IFERROR(__xludf.DUMMYFUNCTION("""COMPUTED_VALUE"""),7)</f>
        <v>7</v>
      </c>
      <c r="I899" s="5">
        <f ca="1">IFERROR(__xludf.DUMMYFUNCTION("""COMPUTED_VALUE"""),1000)</f>
        <v>1000</v>
      </c>
      <c r="J899" s="5">
        <f ca="1">IFERROR(__xludf.DUMMYFUNCTION("""COMPUTED_VALUE"""),50000)</f>
        <v>50000</v>
      </c>
      <c r="K899" s="3"/>
      <c r="L899" s="3" t="str">
        <f ca="1">IFERROR(__xludf.DUMMYFUNCTION("""COMPUTED_VALUE"""),"Cost per period")</f>
        <v>Cost per period</v>
      </c>
      <c r="M899" s="3"/>
      <c r="N899" s="3"/>
      <c r="O899" s="3" t="str">
        <f ca="1">IFERROR(__xludf.DUMMYFUNCTION("""COMPUTED_VALUE"""),"640")</f>
        <v>640</v>
      </c>
      <c r="P899" s="3" t="str">
        <f ca="1">IFERROR(__xludf.DUMMYFUNCTION("""COMPUTED_VALUE"""),"335, 640")</f>
        <v>335, 640</v>
      </c>
      <c r="Q899" s="3" t="str">
        <f ca="1">IFERROR(__xludf.DUMMYFUNCTION("""COMPUTED_VALUE"""),"640x640 a 640x335 + text + logo")</f>
        <v>640x640 a 640x335 + text + logo</v>
      </c>
      <c r="R899" s="3"/>
      <c r="S899" s="3" t="str">
        <f ca="1">IFERROR(__xludf.DUMMYFUNCTION("""COMPUTED_VALUE"""),"45")</f>
        <v>45</v>
      </c>
      <c r="T899" s="3"/>
      <c r="U899" s="3" t="str">
        <f ca="1">IFERROR(__xludf.DUMMYFUNCTION("""COMPUTED_VALUE"""),"nativní reklama")</f>
        <v>nativní reklama</v>
      </c>
      <c r="V899" s="3"/>
      <c r="W899" s="4" t="str">
        <f ca="1">IFERROR(__xludf.DUMMYFUNCTION("""COMPUTED_VALUE"""),"https://reklama.cncenter.cz/Online/nativni-rectangle-cross-device")</f>
        <v>https://reklama.cncenter.cz/Online/nativni-rectangle-cross-device</v>
      </c>
      <c r="X899" s="3"/>
      <c r="Y899" s="3"/>
      <c r="Z899" s="3" t="str">
        <f ca="1">IFERROR(__xludf.DUMMYFUNCTION("""COMPUTED_VALUE"""),"podklady@cncenter.cz")</f>
        <v>podklady@cncenter.cz</v>
      </c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 t="str">
        <f ca="1">IFERROR(__xludf.DUMMYFUNCTION("""COMPUTED_VALUE"""),"cross-device")</f>
        <v>cross-device</v>
      </c>
      <c r="AO899" s="3"/>
      <c r="AP899" s="3"/>
      <c r="AQ899" s="3"/>
      <c r="AR899" s="3"/>
      <c r="AS899" s="3"/>
      <c r="AT899" s="3"/>
      <c r="AU899" s="3" t="str">
        <f ca="1">IFERROR(__xludf.DUMMYFUNCTION("""COMPUTED_VALUE"""),"nativní rectangle cross-device")</f>
        <v>nativní rectangle cross-device</v>
      </c>
    </row>
    <row r="900" spans="1:47" x14ac:dyDescent="0.3">
      <c r="A900" s="3">
        <f ca="1"/>
        <v>2346826</v>
      </c>
      <c r="B900" s="3" t="str">
        <f ca="1"/>
        <v>CZECH NEWS CENTER a. s.</v>
      </c>
      <c r="C900" s="3" t="str">
        <f ca="1">IFERROR(__xludf.DUMMYFUNCTION("""COMPUTED_VALUE"""),"Realitní trh")</f>
        <v>Realitní trh</v>
      </c>
      <c r="D900" s="4" t="str">
        <f ca="1">IFERROR(__xludf.DUMMYFUNCTION("""COMPUTED_VALUE"""),"https://www.realitnitrh.cz")</f>
        <v>https://www.realitnitrh.cz</v>
      </c>
      <c r="E900" s="3" t="str">
        <f ca="1">IFERROR(__xludf.DUMMYFUNCTION("""COMPUTED_VALUE"""),"celý web")</f>
        <v>celý web</v>
      </c>
      <c r="F900" s="4" t="str">
        <f ca="1">IFERROR(__xludf.DUMMYFUNCTION("""COMPUTED_VALUE"""),"https://www.realitnitrh.cz")</f>
        <v>https://www.realitnitrh.cz</v>
      </c>
      <c r="G900" s="3" t="str">
        <f ca="1">IFERROR(__xludf.DUMMYFUNCTION("""COMPUTED_VALUE"""),"Advertorial low season")</f>
        <v>Advertorial low season</v>
      </c>
      <c r="H900" s="3">
        <f ca="1">IFERROR(__xludf.DUMMYFUNCTION("""COMPUTED_VALUE"""),1)</f>
        <v>1</v>
      </c>
      <c r="I900" s="5">
        <f ca="1">IFERROR(__xludf.DUMMYFUNCTION("""COMPUTED_VALUE"""),1)</f>
        <v>1</v>
      </c>
      <c r="J900" s="5">
        <f ca="1">IFERROR(__xludf.DUMMYFUNCTION("""COMPUTED_VALUE"""),90000)</f>
        <v>90000</v>
      </c>
      <c r="K900" s="3"/>
      <c r="L900" s="3" t="str">
        <f ca="1">IFERROR(__xludf.DUMMYFUNCTION("""COMPUTED_VALUE"""),"Cost per instance")</f>
        <v>Cost per instance</v>
      </c>
      <c r="M900" s="3"/>
      <c r="N900" s="3"/>
      <c r="O900" s="3"/>
      <c r="P900" s="3"/>
      <c r="Q900" s="3"/>
      <c r="R900" s="3"/>
      <c r="S900" s="3" t="str">
        <f ca="1">IFERROR(__xludf.DUMMYFUNCTION("""COMPUTED_VALUE"""),"100")</f>
        <v>100</v>
      </c>
      <c r="T900" s="3"/>
      <c r="U900" s="3" t="str">
        <f ca="1">IFERROR(__xludf.DUMMYFUNCTION("""COMPUTED_VALUE"""),"pr článek")</f>
        <v>pr článek</v>
      </c>
      <c r="V900" s="3"/>
      <c r="W900" s="3"/>
      <c r="X900" s="3"/>
      <c r="Y900" s="3"/>
      <c r="Z900" s="3" t="str">
        <f ca="1">IFERROR(__xludf.DUMMYFUNCTION("""COMPUTED_VALUE"""),"podklady@cncenter.cz")</f>
        <v>podklady@cncenter.cz</v>
      </c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 t="str">
        <f ca="1">IFERROR(__xludf.DUMMYFUNCTION("""COMPUTED_VALUE"""),"cross-device")</f>
        <v>cross-device</v>
      </c>
      <c r="AO900" s="3"/>
      <c r="AP900" s="3"/>
      <c r="AQ900" s="3"/>
      <c r="AR900" s="3"/>
      <c r="AS900" s="3"/>
      <c r="AT900" s="3"/>
      <c r="AU900" s="3" t="str">
        <f ca="1">IFERROR(__xludf.DUMMYFUNCTION("""COMPUTED_VALUE"""),"Advertorial")</f>
        <v>Advertorial</v>
      </c>
    </row>
    <row r="901" spans="1:47" x14ac:dyDescent="0.3">
      <c r="A901" s="3">
        <f ca="1"/>
        <v>2346826</v>
      </c>
      <c r="B901" s="3" t="str">
        <f ca="1"/>
        <v>CZECH NEWS CENTER a. s.</v>
      </c>
      <c r="C901" s="3" t="str">
        <f ca="1">IFERROR(__xludf.DUMMYFUNCTION("""COMPUTED_VALUE"""),"Realitní trh")</f>
        <v>Realitní trh</v>
      </c>
      <c r="D901" s="4" t="str">
        <f ca="1">IFERROR(__xludf.DUMMYFUNCTION("""COMPUTED_VALUE"""),"https://www.realitnitrh.cz")</f>
        <v>https://www.realitnitrh.cz</v>
      </c>
      <c r="E901" s="3" t="str">
        <f ca="1">IFERROR(__xludf.DUMMYFUNCTION("""COMPUTED_VALUE"""),"celý web")</f>
        <v>celý web</v>
      </c>
      <c r="F901" s="4" t="str">
        <f ca="1">IFERROR(__xludf.DUMMYFUNCTION("""COMPUTED_VALUE"""),"https://www.realitnitrh.cz")</f>
        <v>https://www.realitnitrh.cz</v>
      </c>
      <c r="G901" s="3" t="str">
        <f ca="1">IFERROR(__xludf.DUMMYFUNCTION("""COMPUTED_VALUE"""),"billboard bottom low season")</f>
        <v>billboard bottom low season</v>
      </c>
      <c r="H901" s="3">
        <f ca="1">IFERROR(__xludf.DUMMYFUNCTION("""COMPUTED_VALUE"""),7)</f>
        <v>7</v>
      </c>
      <c r="I901" s="5">
        <f ca="1">IFERROR(__xludf.DUMMYFUNCTION("""COMPUTED_VALUE"""),1000)</f>
        <v>1000</v>
      </c>
      <c r="J901" s="5">
        <f ca="1">IFERROR(__xludf.DUMMYFUNCTION("""COMPUTED_VALUE"""),240)</f>
        <v>240</v>
      </c>
      <c r="K901" s="3"/>
      <c r="L901" s="3" t="str">
        <f ca="1">IFERROR(__xludf.DUMMYFUNCTION("""COMPUTED_VALUE"""),"Cost per period")</f>
        <v>Cost per period</v>
      </c>
      <c r="M901" s="3"/>
      <c r="N901" s="3"/>
      <c r="O901" s="3" t="str">
        <f ca="1">IFERROR(__xludf.DUMMYFUNCTION("""COMPUTED_VALUE"""),"970")</f>
        <v>970</v>
      </c>
      <c r="P901" s="3" t="str">
        <f ca="1">IFERROR(__xludf.DUMMYFUNCTION("""COMPUTED_VALUE"""),"250")</f>
        <v>250</v>
      </c>
      <c r="Q901" s="3" t="str">
        <f ca="1">IFERROR(__xludf.DUMMYFUNCTION("""COMPUTED_VALUE"""),"970x250")</f>
        <v>970x250</v>
      </c>
      <c r="R901" s="3"/>
      <c r="S901" s="3" t="str">
        <f ca="1">IFERROR(__xludf.DUMMYFUNCTION("""COMPUTED_VALUE"""),"100 (200 - HTML5)")</f>
        <v>100 (200 - HTML5)</v>
      </c>
      <c r="T901" s="3"/>
      <c r="U901" s="3" t="str">
        <f ca="1">IFERROR(__xludf.DUMMYFUNCTION("""COMPUTED_VALUE"""),"banner standard")</f>
        <v>banner standard</v>
      </c>
      <c r="V901" s="3"/>
      <c r="W901" s="4" t="str">
        <f ca="1">IFERROR(__xludf.DUMMYFUNCTION("""COMPUTED_VALUE"""),"https://reklama.cncenter.cz/Online/billboard-bottom")</f>
        <v>https://reklama.cncenter.cz/Online/billboard-bottom</v>
      </c>
      <c r="X901" s="3"/>
      <c r="Y901" s="3"/>
      <c r="Z901" s="3" t="str">
        <f ca="1">IFERROR(__xludf.DUMMYFUNCTION("""COMPUTED_VALUE"""),"podklady@cncenter.cz")</f>
        <v>podklady@cncenter.cz</v>
      </c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 t="str">
        <f ca="1">IFERROR(__xludf.DUMMYFUNCTION("""COMPUTED_VALUE"""),"desktop")</f>
        <v>desktop</v>
      </c>
      <c r="AO901" s="3"/>
      <c r="AP901" s="3"/>
      <c r="AQ901" s="3"/>
      <c r="AR901" s="3"/>
      <c r="AS901" s="3"/>
      <c r="AT901" s="3"/>
      <c r="AU901" s="3" t="str">
        <f ca="1">IFERROR(__xludf.DUMMYFUNCTION("""COMPUTED_VALUE"""),"billboard bottom")</f>
        <v>billboard bottom</v>
      </c>
    </row>
    <row r="902" spans="1:47" x14ac:dyDescent="0.3">
      <c r="A902" s="3">
        <f ca="1"/>
        <v>2346826</v>
      </c>
      <c r="B902" s="3" t="str">
        <f ca="1"/>
        <v>CZECH NEWS CENTER a. s.</v>
      </c>
      <c r="C902" s="3" t="str">
        <f ca="1">IFERROR(__xludf.DUMMYFUNCTION("""COMPUTED_VALUE"""),"Realitní trh")</f>
        <v>Realitní trh</v>
      </c>
      <c r="D902" s="4" t="str">
        <f ca="1">IFERROR(__xludf.DUMMYFUNCTION("""COMPUTED_VALUE"""),"https://www.realitnitrh.cz")</f>
        <v>https://www.realitnitrh.cz</v>
      </c>
      <c r="E902" s="3" t="str">
        <f ca="1">IFERROR(__xludf.DUMMYFUNCTION("""COMPUTED_VALUE"""),"celý web")</f>
        <v>celý web</v>
      </c>
      <c r="F902" s="4" t="str">
        <f ca="1">IFERROR(__xludf.DUMMYFUNCTION("""COMPUTED_VALUE"""),"https://www.realitnitrh.cz")</f>
        <v>https://www.realitnitrh.cz</v>
      </c>
      <c r="G902" s="3" t="str">
        <f ca="1">IFERROR(__xludf.DUMMYFUNCTION("""COMPUTED_VALUE"""),"branding cross-device low season")</f>
        <v>branding cross-device low season</v>
      </c>
      <c r="H902" s="3">
        <f ca="1">IFERROR(__xludf.DUMMYFUNCTION("""COMPUTED_VALUE"""),7)</f>
        <v>7</v>
      </c>
      <c r="I902" s="5">
        <f ca="1">IFERROR(__xludf.DUMMYFUNCTION("""COMPUTED_VALUE"""),1000)</f>
        <v>1000</v>
      </c>
      <c r="J902" s="5">
        <f ca="1">IFERROR(__xludf.DUMMYFUNCTION("""COMPUTED_VALUE"""),300)</f>
        <v>300</v>
      </c>
      <c r="K902" s="3"/>
      <c r="L902" s="3" t="str">
        <f ca="1">IFERROR(__xludf.DUMMYFUNCTION("""COMPUTED_VALUE"""),"Cost per period")</f>
        <v>Cost per period</v>
      </c>
      <c r="M902" s="3"/>
      <c r="N902" s="3"/>
      <c r="O902" s="3" t="str">
        <f ca="1">IFERROR(__xludf.DUMMYFUNCTION("""COMPUTED_VALUE"""),"2000")</f>
        <v>2000</v>
      </c>
      <c r="P902" s="3" t="str">
        <f ca="1">IFERROR(__xludf.DUMMYFUNCTION("""COMPUTED_VALUE"""),"1400")</f>
        <v>1400</v>
      </c>
      <c r="Q902" s="3" t="str">
        <f ca="1">IFERROR(__xludf.DUMMYFUNCTION("""COMPUTED_VALUE"""),"2000x1400 + 600x1080")</f>
        <v>2000x1400 + 600x1080</v>
      </c>
      <c r="R902" s="3"/>
      <c r="S902" s="3" t="str">
        <f ca="1">IFERROR(__xludf.DUMMYFUNCTION("""COMPUTED_VALUE"""),"500 (600 - HTLM5)")</f>
        <v>500 (600 - HTLM5)</v>
      </c>
      <c r="T902" s="3"/>
      <c r="U902" s="3" t="str">
        <f ca="1">IFERROR(__xludf.DUMMYFUNCTION("""COMPUTED_VALUE"""),"banner standard")</f>
        <v>banner standard</v>
      </c>
      <c r="V902" s="3"/>
      <c r="W902" s="4" t="str">
        <f ca="1">IFERROR(__xludf.DUMMYFUNCTION("""COMPUTED_VALUE"""),"https://reklama.cncenter.cz/Online/branding-cross-device")</f>
        <v>https://reklama.cncenter.cz/Online/branding-cross-device</v>
      </c>
      <c r="X902" s="3"/>
      <c r="Y902" s="3"/>
      <c r="Z902" s="3" t="str">
        <f ca="1">IFERROR(__xludf.DUMMYFUNCTION("""COMPUTED_VALUE"""),"podklady@cncenter.cz")</f>
        <v>podklady@cncenter.cz</v>
      </c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 t="str">
        <f ca="1">IFERROR(__xludf.DUMMYFUNCTION("""COMPUTED_VALUE"""),"cross-device")</f>
        <v>cross-device</v>
      </c>
      <c r="AO902" s="3"/>
      <c r="AP902" s="3"/>
      <c r="AQ902" s="3"/>
      <c r="AR902" s="3"/>
      <c r="AS902" s="3"/>
      <c r="AT902" s="3"/>
      <c r="AU902" s="3" t="str">
        <f ca="1">IFERROR(__xludf.DUMMYFUNCTION("""COMPUTED_VALUE"""),"branding cross-device")</f>
        <v>branding cross-device</v>
      </c>
    </row>
    <row r="903" spans="1:47" x14ac:dyDescent="0.3">
      <c r="A903" s="3">
        <f ca="1"/>
        <v>2346826</v>
      </c>
      <c r="B903" s="3" t="str">
        <f ca="1"/>
        <v>CZECH NEWS CENTER a. s.</v>
      </c>
      <c r="C903" s="3" t="str">
        <f ca="1">IFERROR(__xludf.DUMMYFUNCTION("""COMPUTED_VALUE"""),"Realitní trh")</f>
        <v>Realitní trh</v>
      </c>
      <c r="D903" s="4" t="str">
        <f ca="1">IFERROR(__xludf.DUMMYFUNCTION("""COMPUTED_VALUE"""),"https://www.realitnitrh.cz")</f>
        <v>https://www.realitnitrh.cz</v>
      </c>
      <c r="E903" s="3" t="str">
        <f ca="1">IFERROR(__xludf.DUMMYFUNCTION("""COMPUTED_VALUE"""),"celý web")</f>
        <v>celý web</v>
      </c>
      <c r="F903" s="4" t="str">
        <f ca="1">IFERROR(__xludf.DUMMYFUNCTION("""COMPUTED_VALUE"""),"https://www.realitnitrh.cz")</f>
        <v>https://www.realitnitrh.cz</v>
      </c>
      <c r="G903" s="3" t="str">
        <f ca="1">IFERROR(__xludf.DUMMYFUNCTION("""COMPUTED_VALUE"""),"branding low season")</f>
        <v>branding low season</v>
      </c>
      <c r="H903" s="3">
        <f ca="1">IFERROR(__xludf.DUMMYFUNCTION("""COMPUTED_VALUE"""),7)</f>
        <v>7</v>
      </c>
      <c r="I903" s="5">
        <f ca="1">IFERROR(__xludf.DUMMYFUNCTION("""COMPUTED_VALUE"""),1000)</f>
        <v>1000</v>
      </c>
      <c r="J903" s="5">
        <f ca="1">IFERROR(__xludf.DUMMYFUNCTION("""COMPUTED_VALUE"""),490)</f>
        <v>490</v>
      </c>
      <c r="K903" s="3"/>
      <c r="L903" s="3" t="str">
        <f ca="1">IFERROR(__xludf.DUMMYFUNCTION("""COMPUTED_VALUE"""),"Cost per period")</f>
        <v>Cost per period</v>
      </c>
      <c r="M903" s="3"/>
      <c r="N903" s="3"/>
      <c r="O903" s="3" t="str">
        <f ca="1">IFERROR(__xludf.DUMMYFUNCTION("""COMPUTED_VALUE"""),"2000")</f>
        <v>2000</v>
      </c>
      <c r="P903" s="3" t="str">
        <f ca="1">IFERROR(__xludf.DUMMYFUNCTION("""COMPUTED_VALUE"""),"1400")</f>
        <v>1400</v>
      </c>
      <c r="Q903" s="3" t="str">
        <f ca="1">IFERROR(__xludf.DUMMYFUNCTION("""COMPUTED_VALUE"""),"2000x1400")</f>
        <v>2000x1400</v>
      </c>
      <c r="R903" s="3"/>
      <c r="S903" s="3" t="str">
        <f ca="1">IFERROR(__xludf.DUMMYFUNCTION("""COMPUTED_VALUE"""),"500 + 200 (600+200 HTML5)")</f>
        <v>500 + 200 (600+200 HTML5)</v>
      </c>
      <c r="T903" s="3"/>
      <c r="U903" s="3" t="str">
        <f ca="1">IFERROR(__xludf.DUMMYFUNCTION("""COMPUTED_VALUE"""),"banner standard")</f>
        <v>banner standard</v>
      </c>
      <c r="V903" s="3"/>
      <c r="W903" s="4" t="str">
        <f ca="1">IFERROR(__xludf.DUMMYFUNCTION("""COMPUTED_VALUE"""),"https://reklama.cncenter.cz/Online/branding")</f>
        <v>https://reklama.cncenter.cz/Online/branding</v>
      </c>
      <c r="X903" s="3"/>
      <c r="Y903" s="3"/>
      <c r="Z903" s="3" t="str">
        <f ca="1">IFERROR(__xludf.DUMMYFUNCTION("""COMPUTED_VALUE"""),"podklady@cncenter.cz")</f>
        <v>podklady@cncenter.cz</v>
      </c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 t="str">
        <f ca="1">IFERROR(__xludf.DUMMYFUNCTION("""COMPUTED_VALUE"""),"desktop")</f>
        <v>desktop</v>
      </c>
      <c r="AO903" s="3"/>
      <c r="AP903" s="3"/>
      <c r="AQ903" s="3"/>
      <c r="AR903" s="3"/>
      <c r="AS903" s="3"/>
      <c r="AT903" s="3"/>
      <c r="AU903" s="3" t="str">
        <f ca="1">IFERROR(__xludf.DUMMYFUNCTION("""COMPUTED_VALUE"""),"branding")</f>
        <v>branding</v>
      </c>
    </row>
    <row r="904" spans="1:47" x14ac:dyDescent="0.3">
      <c r="A904" s="3">
        <f ca="1"/>
        <v>2346826</v>
      </c>
      <c r="B904" s="3" t="str">
        <f ca="1"/>
        <v>CZECH NEWS CENTER a. s.</v>
      </c>
      <c r="C904" s="3" t="str">
        <f ca="1">IFERROR(__xludf.DUMMYFUNCTION("""COMPUTED_VALUE"""),"Realitní trh")</f>
        <v>Realitní trh</v>
      </c>
      <c r="D904" s="4" t="str">
        <f ca="1">IFERROR(__xludf.DUMMYFUNCTION("""COMPUTED_VALUE"""),"https://www.realitnitrh.cz")</f>
        <v>https://www.realitnitrh.cz</v>
      </c>
      <c r="E904" s="3" t="str">
        <f ca="1">IFERROR(__xludf.DUMMYFUNCTION("""COMPUTED_VALUE"""),"celý web")</f>
        <v>celý web</v>
      </c>
      <c r="F904" s="4" t="str">
        <f ca="1">IFERROR(__xludf.DUMMYFUNCTION("""COMPUTED_VALUE"""),"https://www.realitnitrh.cz")</f>
        <v>https://www.realitnitrh.cz</v>
      </c>
      <c r="G904" s="3" t="str">
        <f ca="1">IFERROR(__xludf.DUMMYFUNCTION("""COMPUTED_VALUE"""),"cílený billboard bottom low season")</f>
        <v>cílený billboard bottom low season</v>
      </c>
      <c r="H904" s="3">
        <f ca="1">IFERROR(__xludf.DUMMYFUNCTION("""COMPUTED_VALUE"""),7)</f>
        <v>7</v>
      </c>
      <c r="I904" s="5">
        <f ca="1">IFERROR(__xludf.DUMMYFUNCTION("""COMPUTED_VALUE"""),1000)</f>
        <v>1000</v>
      </c>
      <c r="J904" s="5">
        <f ca="1">IFERROR(__xludf.DUMMYFUNCTION("""COMPUTED_VALUE"""),288)</f>
        <v>288</v>
      </c>
      <c r="K904" s="3"/>
      <c r="L904" s="3" t="str">
        <f ca="1">IFERROR(__xludf.DUMMYFUNCTION("""COMPUTED_VALUE"""),"Cost per period")</f>
        <v>Cost per period</v>
      </c>
      <c r="M904" s="3"/>
      <c r="N904" s="3"/>
      <c r="O904" s="3" t="str">
        <f ca="1">IFERROR(__xludf.DUMMYFUNCTION("""COMPUTED_VALUE"""),"970")</f>
        <v>970</v>
      </c>
      <c r="P904" s="3" t="str">
        <f ca="1">IFERROR(__xludf.DUMMYFUNCTION("""COMPUTED_VALUE"""),"250")</f>
        <v>250</v>
      </c>
      <c r="Q904" s="3" t="str">
        <f ca="1">IFERROR(__xludf.DUMMYFUNCTION("""COMPUTED_VALUE"""),"970x250")</f>
        <v>970x250</v>
      </c>
      <c r="R904" s="3"/>
      <c r="S904" s="3" t="str">
        <f ca="1">IFERROR(__xludf.DUMMYFUNCTION("""COMPUTED_VALUE"""),"100 (200 - HTML5)")</f>
        <v>100 (200 - HTML5)</v>
      </c>
      <c r="T904" s="3"/>
      <c r="U904" s="3" t="str">
        <f ca="1">IFERROR(__xludf.DUMMYFUNCTION("""COMPUTED_VALUE"""),"banner standard")</f>
        <v>banner standard</v>
      </c>
      <c r="V904" s="3"/>
      <c r="W904" s="4" t="str">
        <f ca="1">IFERROR(__xludf.DUMMYFUNCTION("""COMPUTED_VALUE"""),"https://reklama.cncenter.cz/Online/billboard-bottom")</f>
        <v>https://reklama.cncenter.cz/Online/billboard-bottom</v>
      </c>
      <c r="X904" s="3"/>
      <c r="Y904" s="3"/>
      <c r="Z904" s="3" t="str">
        <f ca="1">IFERROR(__xludf.DUMMYFUNCTION("""COMPUTED_VALUE"""),"podklady@cncenter.cz")</f>
        <v>podklady@cncenter.cz</v>
      </c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 t="str">
        <f ca="1">IFERROR(__xludf.DUMMYFUNCTION("""COMPUTED_VALUE"""),"desktop")</f>
        <v>desktop</v>
      </c>
      <c r="AO904" s="3"/>
      <c r="AP904" s="3"/>
      <c r="AQ904" s="3"/>
      <c r="AR904" s="3"/>
      <c r="AS904" s="3"/>
      <c r="AT904" s="3"/>
      <c r="AU904" s="3" t="str">
        <f ca="1">IFERROR(__xludf.DUMMYFUNCTION("""COMPUTED_VALUE"""),"cílený billboard bottom")</f>
        <v>cílený billboard bottom</v>
      </c>
    </row>
    <row r="905" spans="1:47" x14ac:dyDescent="0.3">
      <c r="A905" s="3">
        <f ca="1"/>
        <v>2346826</v>
      </c>
      <c r="B905" s="3" t="str">
        <f ca="1"/>
        <v>CZECH NEWS CENTER a. s.</v>
      </c>
      <c r="C905" s="3" t="str">
        <f ca="1">IFERROR(__xludf.DUMMYFUNCTION("""COMPUTED_VALUE"""),"Realitní trh")</f>
        <v>Realitní trh</v>
      </c>
      <c r="D905" s="4" t="str">
        <f ca="1">IFERROR(__xludf.DUMMYFUNCTION("""COMPUTED_VALUE"""),"https://www.realitnitrh.cz")</f>
        <v>https://www.realitnitrh.cz</v>
      </c>
      <c r="E905" s="3" t="str">
        <f ca="1">IFERROR(__xludf.DUMMYFUNCTION("""COMPUTED_VALUE"""),"celý web")</f>
        <v>celý web</v>
      </c>
      <c r="F905" s="4" t="str">
        <f ca="1">IFERROR(__xludf.DUMMYFUNCTION("""COMPUTED_VALUE"""),"https://www.realitnitrh.cz")</f>
        <v>https://www.realitnitrh.cz</v>
      </c>
      <c r="G905" s="3" t="str">
        <f ca="1">IFERROR(__xludf.DUMMYFUNCTION("""COMPUTED_VALUE"""),"cílený branding cross-device low season")</f>
        <v>cílený branding cross-device low season</v>
      </c>
      <c r="H905" s="3">
        <f ca="1">IFERROR(__xludf.DUMMYFUNCTION("""COMPUTED_VALUE"""),7)</f>
        <v>7</v>
      </c>
      <c r="I905" s="5">
        <f ca="1">IFERROR(__xludf.DUMMYFUNCTION("""COMPUTED_VALUE"""),1000)</f>
        <v>1000</v>
      </c>
      <c r="J905" s="5">
        <f ca="1">IFERROR(__xludf.DUMMYFUNCTION("""COMPUTED_VALUE"""),360)</f>
        <v>360</v>
      </c>
      <c r="K905" s="3"/>
      <c r="L905" s="3" t="str">
        <f ca="1">IFERROR(__xludf.DUMMYFUNCTION("""COMPUTED_VALUE"""),"Cost per period")</f>
        <v>Cost per period</v>
      </c>
      <c r="M905" s="3"/>
      <c r="N905" s="3"/>
      <c r="O905" s="3" t="str">
        <f ca="1">IFERROR(__xludf.DUMMYFUNCTION("""COMPUTED_VALUE"""),"2000")</f>
        <v>2000</v>
      </c>
      <c r="P905" s="3" t="str">
        <f ca="1">IFERROR(__xludf.DUMMYFUNCTION("""COMPUTED_VALUE"""),"1400")</f>
        <v>1400</v>
      </c>
      <c r="Q905" s="3" t="str">
        <f ca="1">IFERROR(__xludf.DUMMYFUNCTION("""COMPUTED_VALUE"""),"2000x1400 + 600x1080")</f>
        <v>2000x1400 + 600x1080</v>
      </c>
      <c r="R905" s="3"/>
      <c r="S905" s="3" t="str">
        <f ca="1">IFERROR(__xludf.DUMMYFUNCTION("""COMPUTED_VALUE"""),"500 (600 - HTLM5)")</f>
        <v>500 (600 - HTLM5)</v>
      </c>
      <c r="T905" s="3"/>
      <c r="U905" s="3" t="str">
        <f ca="1">IFERROR(__xludf.DUMMYFUNCTION("""COMPUTED_VALUE"""),"banner standard")</f>
        <v>banner standard</v>
      </c>
      <c r="V905" s="3"/>
      <c r="W905" s="4" t="str">
        <f ca="1">IFERROR(__xludf.DUMMYFUNCTION("""COMPUTED_VALUE"""),"https://reklama.cncenter.cz/Online/branding-cross-device")</f>
        <v>https://reklama.cncenter.cz/Online/branding-cross-device</v>
      </c>
      <c r="X905" s="3"/>
      <c r="Y905" s="3"/>
      <c r="Z905" s="3" t="str">
        <f ca="1">IFERROR(__xludf.DUMMYFUNCTION("""COMPUTED_VALUE"""),"podklady@cncenter.cz")</f>
        <v>podklady@cncenter.cz</v>
      </c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 t="str">
        <f ca="1">IFERROR(__xludf.DUMMYFUNCTION("""COMPUTED_VALUE"""),"cross-device")</f>
        <v>cross-device</v>
      </c>
      <c r="AO905" s="3"/>
      <c r="AP905" s="3"/>
      <c r="AQ905" s="3"/>
      <c r="AR905" s="3"/>
      <c r="AS905" s="3"/>
      <c r="AT905" s="3"/>
      <c r="AU905" s="3" t="str">
        <f ca="1">IFERROR(__xludf.DUMMYFUNCTION("""COMPUTED_VALUE"""),"cílený branding cross-device")</f>
        <v>cílený branding cross-device</v>
      </c>
    </row>
    <row r="906" spans="1:47" x14ac:dyDescent="0.3">
      <c r="A906" s="3">
        <f ca="1"/>
        <v>2346826</v>
      </c>
      <c r="B906" s="3" t="str">
        <f ca="1"/>
        <v>CZECH NEWS CENTER a. s.</v>
      </c>
      <c r="C906" s="3" t="str">
        <f ca="1">IFERROR(__xludf.DUMMYFUNCTION("""COMPUTED_VALUE"""),"Realitní trh")</f>
        <v>Realitní trh</v>
      </c>
      <c r="D906" s="4" t="str">
        <f ca="1">IFERROR(__xludf.DUMMYFUNCTION("""COMPUTED_VALUE"""),"https://www.realitnitrh.cz")</f>
        <v>https://www.realitnitrh.cz</v>
      </c>
      <c r="E906" s="3" t="str">
        <f ca="1">IFERROR(__xludf.DUMMYFUNCTION("""COMPUTED_VALUE"""),"celý web")</f>
        <v>celý web</v>
      </c>
      <c r="F906" s="4" t="str">
        <f ca="1">IFERROR(__xludf.DUMMYFUNCTION("""COMPUTED_VALUE"""),"https://www.realitnitrh.cz")</f>
        <v>https://www.realitnitrh.cz</v>
      </c>
      <c r="G906" s="3" t="str">
        <f ca="1">IFERROR(__xludf.DUMMYFUNCTION("""COMPUTED_VALUE"""),"cílený branding low season")</f>
        <v>cílený branding low season</v>
      </c>
      <c r="H906" s="3">
        <f ca="1">IFERROR(__xludf.DUMMYFUNCTION("""COMPUTED_VALUE"""),7)</f>
        <v>7</v>
      </c>
      <c r="I906" s="5">
        <f ca="1">IFERROR(__xludf.DUMMYFUNCTION("""COMPUTED_VALUE"""),1000)</f>
        <v>1000</v>
      </c>
      <c r="J906" s="5">
        <f ca="1">IFERROR(__xludf.DUMMYFUNCTION("""COMPUTED_VALUE"""),588)</f>
        <v>588</v>
      </c>
      <c r="K906" s="3"/>
      <c r="L906" s="3" t="str">
        <f ca="1">IFERROR(__xludf.DUMMYFUNCTION("""COMPUTED_VALUE"""),"Cost per period")</f>
        <v>Cost per period</v>
      </c>
      <c r="M906" s="3"/>
      <c r="N906" s="3"/>
      <c r="O906" s="3" t="str">
        <f ca="1">IFERROR(__xludf.DUMMYFUNCTION("""COMPUTED_VALUE"""),"2000")</f>
        <v>2000</v>
      </c>
      <c r="P906" s="3" t="str">
        <f ca="1">IFERROR(__xludf.DUMMYFUNCTION("""COMPUTED_VALUE"""),"1400")</f>
        <v>1400</v>
      </c>
      <c r="Q906" s="3" t="str">
        <f ca="1">IFERROR(__xludf.DUMMYFUNCTION("""COMPUTED_VALUE"""),"2000x1400")</f>
        <v>2000x1400</v>
      </c>
      <c r="R906" s="3"/>
      <c r="S906" s="3" t="str">
        <f ca="1">IFERROR(__xludf.DUMMYFUNCTION("""COMPUTED_VALUE"""),"500 + 200 (600+200 HTML5)")</f>
        <v>500 + 200 (600+200 HTML5)</v>
      </c>
      <c r="T906" s="3"/>
      <c r="U906" s="3" t="str">
        <f ca="1">IFERROR(__xludf.DUMMYFUNCTION("""COMPUTED_VALUE"""),"banner standard")</f>
        <v>banner standard</v>
      </c>
      <c r="V906" s="3"/>
      <c r="W906" s="4" t="str">
        <f ca="1">IFERROR(__xludf.DUMMYFUNCTION("""COMPUTED_VALUE"""),"https://reklama.cncenter.cz/Online/branding")</f>
        <v>https://reklama.cncenter.cz/Online/branding</v>
      </c>
      <c r="X906" s="3"/>
      <c r="Y906" s="3"/>
      <c r="Z906" s="3" t="str">
        <f ca="1">IFERROR(__xludf.DUMMYFUNCTION("""COMPUTED_VALUE"""),"podklady@cncenter.cz")</f>
        <v>podklady@cncenter.cz</v>
      </c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 t="str">
        <f ca="1">IFERROR(__xludf.DUMMYFUNCTION("""COMPUTED_VALUE"""),"desktop")</f>
        <v>desktop</v>
      </c>
      <c r="AO906" s="3"/>
      <c r="AP906" s="3"/>
      <c r="AQ906" s="3"/>
      <c r="AR906" s="3"/>
      <c r="AS906" s="3"/>
      <c r="AT906" s="3"/>
      <c r="AU906" s="3" t="str">
        <f ca="1">IFERROR(__xludf.DUMMYFUNCTION("""COMPUTED_VALUE"""),"cílený branding")</f>
        <v>cílený branding</v>
      </c>
    </row>
    <row r="907" spans="1:47" x14ac:dyDescent="0.3">
      <c r="A907" s="3">
        <f ca="1"/>
        <v>2346826</v>
      </c>
      <c r="B907" s="3" t="str">
        <f ca="1"/>
        <v>CZECH NEWS CENTER a. s.</v>
      </c>
      <c r="C907" s="3" t="str">
        <f ca="1">IFERROR(__xludf.DUMMYFUNCTION("""COMPUTED_VALUE"""),"Realitní trh")</f>
        <v>Realitní trh</v>
      </c>
      <c r="D907" s="4" t="str">
        <f ca="1">IFERROR(__xludf.DUMMYFUNCTION("""COMPUTED_VALUE"""),"https://www.realitnitrh.cz")</f>
        <v>https://www.realitnitrh.cz</v>
      </c>
      <c r="E907" s="3" t="str">
        <f ca="1">IFERROR(__xludf.DUMMYFUNCTION("""COMPUTED_VALUE"""),"celý web")</f>
        <v>celý web</v>
      </c>
      <c r="F907" s="4" t="str">
        <f ca="1">IFERROR(__xludf.DUMMYFUNCTION("""COMPUTED_VALUE"""),"https://www.realitnitrh.cz")</f>
        <v>https://www.realitnitrh.cz</v>
      </c>
      <c r="G907" s="3" t="str">
        <f ca="1">IFERROR(__xludf.DUMMYFUNCTION("""COMPUTED_VALUE"""),"cílený double skyscraper low season")</f>
        <v>cílený double skyscraper low season</v>
      </c>
      <c r="H907" s="3">
        <f ca="1">IFERROR(__xludf.DUMMYFUNCTION("""COMPUTED_VALUE"""),7)</f>
        <v>7</v>
      </c>
      <c r="I907" s="5">
        <f ca="1">IFERROR(__xludf.DUMMYFUNCTION("""COMPUTED_VALUE"""),1000)</f>
        <v>1000</v>
      </c>
      <c r="J907" s="5">
        <f ca="1">IFERROR(__xludf.DUMMYFUNCTION("""COMPUTED_VALUE"""),228)</f>
        <v>228</v>
      </c>
      <c r="K907" s="3"/>
      <c r="L907" s="3" t="str">
        <f ca="1">IFERROR(__xludf.DUMMYFUNCTION("""COMPUTED_VALUE"""),"Cost per period")</f>
        <v>Cost per period</v>
      </c>
      <c r="M907" s="3"/>
      <c r="N907" s="3"/>
      <c r="O907" s="3" t="str">
        <f ca="1">IFERROR(__xludf.DUMMYFUNCTION("""COMPUTED_VALUE"""),"300")</f>
        <v>300</v>
      </c>
      <c r="P907" s="3" t="str">
        <f ca="1">IFERROR(__xludf.DUMMYFUNCTION("""COMPUTED_VALUE"""),"600")</f>
        <v>600</v>
      </c>
      <c r="Q907" s="3" t="str">
        <f ca="1">IFERROR(__xludf.DUMMYFUNCTION("""COMPUTED_VALUE"""),"300x600")</f>
        <v>300x600</v>
      </c>
      <c r="R907" s="3"/>
      <c r="S907" s="3" t="str">
        <f ca="1">IFERROR(__xludf.DUMMYFUNCTION("""COMPUTED_VALUE"""),"100 (200 - HTML5)")</f>
        <v>100 (200 - HTML5)</v>
      </c>
      <c r="T907" s="3"/>
      <c r="U907" s="3" t="str">
        <f ca="1">IFERROR(__xludf.DUMMYFUNCTION("""COMPUTED_VALUE"""),"banner standard")</f>
        <v>banner standard</v>
      </c>
      <c r="V907" s="3"/>
      <c r="W907" s="4" t="str">
        <f ca="1">IFERROR(__xludf.DUMMYFUNCTION("""COMPUTED_VALUE"""),"https://reklama.cncenter.cz/Online/double-skyscraper")</f>
        <v>https://reklama.cncenter.cz/Online/double-skyscraper</v>
      </c>
      <c r="X907" s="3"/>
      <c r="Y907" s="3"/>
      <c r="Z907" s="3" t="str">
        <f ca="1">IFERROR(__xludf.DUMMYFUNCTION("""COMPUTED_VALUE"""),"podklady@cncenter.cz")</f>
        <v>podklady@cncenter.cz</v>
      </c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 t="str">
        <f ca="1">IFERROR(__xludf.DUMMYFUNCTION("""COMPUTED_VALUE"""),"desktop")</f>
        <v>desktop</v>
      </c>
      <c r="AO907" s="3"/>
      <c r="AP907" s="3"/>
      <c r="AQ907" s="3"/>
      <c r="AR907" s="3"/>
      <c r="AS907" s="3"/>
      <c r="AT907" s="3"/>
      <c r="AU907" s="3" t="str">
        <f ca="1">IFERROR(__xludf.DUMMYFUNCTION("""COMPUTED_VALUE"""),"cílený double skyscraper")</f>
        <v>cílený double skyscraper</v>
      </c>
    </row>
    <row r="908" spans="1:47" x14ac:dyDescent="0.3">
      <c r="A908" s="3">
        <f ca="1"/>
        <v>2346826</v>
      </c>
      <c r="B908" s="3" t="str">
        <f ca="1"/>
        <v>CZECH NEWS CENTER a. s.</v>
      </c>
      <c r="C908" s="3" t="str">
        <f ca="1">IFERROR(__xludf.DUMMYFUNCTION("""COMPUTED_VALUE"""),"Realitní trh")</f>
        <v>Realitní trh</v>
      </c>
      <c r="D908" s="4" t="str">
        <f ca="1">IFERROR(__xludf.DUMMYFUNCTION("""COMPUTED_VALUE"""),"https://www.realitnitrh.cz")</f>
        <v>https://www.realitnitrh.cz</v>
      </c>
      <c r="E908" s="3" t="str">
        <f ca="1">IFERROR(__xludf.DUMMYFUNCTION("""COMPUTED_VALUE"""),"celý web")</f>
        <v>celý web</v>
      </c>
      <c r="F908" s="4" t="str">
        <f ca="1">IFERROR(__xludf.DUMMYFUNCTION("""COMPUTED_VALUE"""),"https://www.realitnitrh.cz")</f>
        <v>https://www.realitnitrh.cz</v>
      </c>
      <c r="G908" s="3" t="str">
        <f ca="1">IFERROR(__xludf.DUMMYFUNCTION("""COMPUTED_VALUE"""),"cílený mobilní interscroller low season")</f>
        <v>cílený mobilní interscroller low season</v>
      </c>
      <c r="H908" s="3">
        <f ca="1">IFERROR(__xludf.DUMMYFUNCTION("""COMPUTED_VALUE"""),7)</f>
        <v>7</v>
      </c>
      <c r="I908" s="5">
        <f ca="1">IFERROR(__xludf.DUMMYFUNCTION("""COMPUTED_VALUE"""),1000)</f>
        <v>1000</v>
      </c>
      <c r="J908" s="5">
        <f ca="1">IFERROR(__xludf.DUMMYFUNCTION("""COMPUTED_VALUE"""),300)</f>
        <v>300</v>
      </c>
      <c r="K908" s="3"/>
      <c r="L908" s="3" t="str">
        <f ca="1">IFERROR(__xludf.DUMMYFUNCTION("""COMPUTED_VALUE"""),"Cost per period")</f>
        <v>Cost per period</v>
      </c>
      <c r="M908" s="3"/>
      <c r="N908" s="3"/>
      <c r="O908" s="3" t="str">
        <f ca="1">IFERROR(__xludf.DUMMYFUNCTION("""COMPUTED_VALUE"""),"600")</f>
        <v>600</v>
      </c>
      <c r="P908" s="3" t="str">
        <f ca="1">IFERROR(__xludf.DUMMYFUNCTION("""COMPUTED_VALUE"""),"1080")</f>
        <v>1080</v>
      </c>
      <c r="Q908" s="3" t="str">
        <f ca="1">IFERROR(__xludf.DUMMYFUNCTION("""COMPUTED_VALUE"""),"600x1080")</f>
        <v>600x1080</v>
      </c>
      <c r="R908" s="3"/>
      <c r="S908" s="3" t="str">
        <f ca="1">IFERROR(__xludf.DUMMYFUNCTION("""COMPUTED_VALUE"""),"200")</f>
        <v>200</v>
      </c>
      <c r="T908" s="3"/>
      <c r="U908" s="3" t="str">
        <f ca="1">IFERROR(__xludf.DUMMYFUNCTION("""COMPUTED_VALUE"""),"banner standard")</f>
        <v>banner standard</v>
      </c>
      <c r="V908" s="3"/>
      <c r="W908" s="4" t="str">
        <f ca="1">IFERROR(__xludf.DUMMYFUNCTION("""COMPUTED_VALUE"""),"https://reklama.cncenter.cz/Online/mobilni-interscroller")</f>
        <v>https://reklama.cncenter.cz/Online/mobilni-interscroller</v>
      </c>
      <c r="X908" s="3"/>
      <c r="Y908" s="3"/>
      <c r="Z908" s="3" t="str">
        <f ca="1">IFERROR(__xludf.DUMMYFUNCTION("""COMPUTED_VALUE"""),"podklady@cncenter.cz")</f>
        <v>podklady@cncenter.cz</v>
      </c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 t="str">
        <f ca="1">IFERROR(__xludf.DUMMYFUNCTION("""COMPUTED_VALUE"""),"mobile")</f>
        <v>mobile</v>
      </c>
      <c r="AO908" s="3"/>
      <c r="AP908" s="3"/>
      <c r="AQ908" s="3"/>
      <c r="AR908" s="3"/>
      <c r="AS908" s="3"/>
      <c r="AT908" s="3"/>
      <c r="AU908" s="3" t="str">
        <f ca="1">IFERROR(__xludf.DUMMYFUNCTION("""COMPUTED_VALUE"""),"cílený mobilní interscroller")</f>
        <v>cílený mobilní interscroller</v>
      </c>
    </row>
    <row r="909" spans="1:47" x14ac:dyDescent="0.3">
      <c r="A909" s="3">
        <f ca="1"/>
        <v>2346826</v>
      </c>
      <c r="B909" s="3" t="str">
        <f ca="1"/>
        <v>CZECH NEWS CENTER a. s.</v>
      </c>
      <c r="C909" s="3" t="str">
        <f ca="1">IFERROR(__xludf.DUMMYFUNCTION("""COMPUTED_VALUE"""),"Realitní trh")</f>
        <v>Realitní trh</v>
      </c>
      <c r="D909" s="4" t="str">
        <f ca="1">IFERROR(__xludf.DUMMYFUNCTION("""COMPUTED_VALUE"""),"https://www.realitnitrh.cz")</f>
        <v>https://www.realitnitrh.cz</v>
      </c>
      <c r="E909" s="3" t="str">
        <f ca="1">IFERROR(__xludf.DUMMYFUNCTION("""COMPUTED_VALUE"""),"celý web")</f>
        <v>celý web</v>
      </c>
      <c r="F909" s="4" t="str">
        <f ca="1">IFERROR(__xludf.DUMMYFUNCTION("""COMPUTED_VALUE"""),"https://www.realitnitrh.cz")</f>
        <v>https://www.realitnitrh.cz</v>
      </c>
      <c r="G909" s="3" t="str">
        <f ca="1">IFERROR(__xludf.DUMMYFUNCTION("""COMPUTED_VALUE"""),"cílený nativní pr premium low season")</f>
        <v>cílený nativní pr premium low season</v>
      </c>
      <c r="H909" s="3">
        <f ca="1">IFERROR(__xludf.DUMMYFUNCTION("""COMPUTED_VALUE"""),7)</f>
        <v>7</v>
      </c>
      <c r="I909" s="5">
        <f ca="1">IFERROR(__xludf.DUMMYFUNCTION("""COMPUTED_VALUE"""),1000)</f>
        <v>1000</v>
      </c>
      <c r="J909" s="5">
        <f ca="1">IFERROR(__xludf.DUMMYFUNCTION("""COMPUTED_VALUE"""),120)</f>
        <v>120</v>
      </c>
      <c r="K909" s="3"/>
      <c r="L909" s="3" t="str">
        <f ca="1">IFERROR(__xludf.DUMMYFUNCTION("""COMPUTED_VALUE"""),"Cost per period")</f>
        <v>Cost per period</v>
      </c>
      <c r="M909" s="3"/>
      <c r="N909" s="3"/>
      <c r="O909" s="3" t="str">
        <f ca="1">IFERROR(__xludf.DUMMYFUNCTION("""COMPUTED_VALUE"""),"640")</f>
        <v>640</v>
      </c>
      <c r="P909" s="3" t="str">
        <f ca="1">IFERROR(__xludf.DUMMYFUNCTION("""COMPUTED_VALUE"""),"335, 640")</f>
        <v>335, 640</v>
      </c>
      <c r="Q909" s="3" t="str">
        <f ca="1">IFERROR(__xludf.DUMMYFUNCTION("""COMPUTED_VALUE"""),"640x640 a 640x335 + text + logo")</f>
        <v>640x640 a 640x335 + text + logo</v>
      </c>
      <c r="R909" s="3" t="str">
        <f ca="1">IFERROR(__xludf.DUMMYFUNCTION("""COMPUTED_VALUE"""),"detailní specifikace na URL odkaze")</f>
        <v>detailní specifikace na URL odkaze</v>
      </c>
      <c r="S909" s="3" t="str">
        <f ca="1">IFERROR(__xludf.DUMMYFUNCTION("""COMPUTED_VALUE"""),"100")</f>
        <v>100</v>
      </c>
      <c r="T909" s="3"/>
      <c r="U909" s="3" t="str">
        <f ca="1">IFERROR(__xludf.DUMMYFUNCTION("""COMPUTED_VALUE"""),"nativní reklama")</f>
        <v>nativní reklama</v>
      </c>
      <c r="V909" s="3"/>
      <c r="W909" s="4" t="str">
        <f ca="1">IFERROR(__xludf.DUMMYFUNCTION("""COMPUTED_VALUE"""),"https://reklama.cncenter.cz/Online/nativni-PR-premium")</f>
        <v>https://reklama.cncenter.cz/Online/nativni-PR-premium</v>
      </c>
      <c r="X909" s="3"/>
      <c r="Y909" s="3"/>
      <c r="Z909" s="3" t="str">
        <f ca="1">IFERROR(__xludf.DUMMYFUNCTION("""COMPUTED_VALUE"""),"podklady@cncenter.cz")</f>
        <v>podklady@cncenter.cz</v>
      </c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 t="str">
        <f ca="1">IFERROR(__xludf.DUMMYFUNCTION("""COMPUTED_VALUE"""),"cross-device")</f>
        <v>cross-device</v>
      </c>
      <c r="AO909" s="3"/>
      <c r="AP909" s="3"/>
      <c r="AQ909" s="3"/>
      <c r="AR909" s="3"/>
      <c r="AS909" s="3"/>
      <c r="AT909" s="3"/>
      <c r="AU909" s="3" t="str">
        <f ca="1">IFERROR(__xludf.DUMMYFUNCTION("""COMPUTED_VALUE"""),"cílený nativní pr premium")</f>
        <v>cílený nativní pr premium</v>
      </c>
    </row>
    <row r="910" spans="1:47" x14ac:dyDescent="0.3">
      <c r="A910" s="3">
        <f ca="1"/>
        <v>2346826</v>
      </c>
      <c r="B910" s="3" t="str">
        <f ca="1"/>
        <v>CZECH NEWS CENTER a. s.</v>
      </c>
      <c r="C910" s="3" t="str">
        <f ca="1">IFERROR(__xludf.DUMMYFUNCTION("""COMPUTED_VALUE"""),"Realitní trh")</f>
        <v>Realitní trh</v>
      </c>
      <c r="D910" s="4" t="str">
        <f ca="1">IFERROR(__xludf.DUMMYFUNCTION("""COMPUTED_VALUE"""),"https://www.realitnitrh.cz")</f>
        <v>https://www.realitnitrh.cz</v>
      </c>
      <c r="E910" s="3" t="str">
        <f ca="1">IFERROR(__xludf.DUMMYFUNCTION("""COMPUTED_VALUE"""),"celý web")</f>
        <v>celý web</v>
      </c>
      <c r="F910" s="4" t="str">
        <f ca="1">IFERROR(__xludf.DUMMYFUNCTION("""COMPUTED_VALUE"""),"https://www.realitnitrh.cz")</f>
        <v>https://www.realitnitrh.cz</v>
      </c>
      <c r="G910" s="3" t="str">
        <f ca="1">IFERROR(__xludf.DUMMYFUNCTION("""COMPUTED_VALUE"""),"cílený nativní rectangle cross-device low season")</f>
        <v>cílený nativní rectangle cross-device low season</v>
      </c>
      <c r="H910" s="3">
        <f ca="1">IFERROR(__xludf.DUMMYFUNCTION("""COMPUTED_VALUE"""),7)</f>
        <v>7</v>
      </c>
      <c r="I910" s="5">
        <f ca="1">IFERROR(__xludf.DUMMYFUNCTION("""COMPUTED_VALUE"""),1000)</f>
        <v>1000</v>
      </c>
      <c r="J910" s="5">
        <f ca="1">IFERROR(__xludf.DUMMYFUNCTION("""COMPUTED_VALUE"""),240)</f>
        <v>240</v>
      </c>
      <c r="K910" s="3"/>
      <c r="L910" s="3" t="str">
        <f ca="1">IFERROR(__xludf.DUMMYFUNCTION("""COMPUTED_VALUE"""),"Cost per period")</f>
        <v>Cost per period</v>
      </c>
      <c r="M910" s="3"/>
      <c r="N910" s="3"/>
      <c r="O910" s="3" t="str">
        <f ca="1">IFERROR(__xludf.DUMMYFUNCTION("""COMPUTED_VALUE"""),"640")</f>
        <v>640</v>
      </c>
      <c r="P910" s="3" t="str">
        <f ca="1">IFERROR(__xludf.DUMMYFUNCTION("""COMPUTED_VALUE"""),"335, 640")</f>
        <v>335, 640</v>
      </c>
      <c r="Q910" s="3" t="str">
        <f ca="1">IFERROR(__xludf.DUMMYFUNCTION("""COMPUTED_VALUE"""),"640x640 a 640x335 + text + logo")</f>
        <v>640x640 a 640x335 + text + logo</v>
      </c>
      <c r="R910" s="3"/>
      <c r="S910" s="3" t="str">
        <f ca="1">IFERROR(__xludf.DUMMYFUNCTION("""COMPUTED_VALUE"""),"45")</f>
        <v>45</v>
      </c>
      <c r="T910" s="3"/>
      <c r="U910" s="3" t="str">
        <f ca="1">IFERROR(__xludf.DUMMYFUNCTION("""COMPUTED_VALUE"""),"nativní reklama")</f>
        <v>nativní reklama</v>
      </c>
      <c r="V910" s="3"/>
      <c r="W910" s="4" t="str">
        <f ca="1">IFERROR(__xludf.DUMMYFUNCTION("""COMPUTED_VALUE"""),"https://reklama.cncenter.cz/Online/nativni-rectangle-cross-device")</f>
        <v>https://reklama.cncenter.cz/Online/nativni-rectangle-cross-device</v>
      </c>
      <c r="X910" s="3"/>
      <c r="Y910" s="3"/>
      <c r="Z910" s="3" t="str">
        <f ca="1">IFERROR(__xludf.DUMMYFUNCTION("""COMPUTED_VALUE"""),"podklady@cncenter.cz")</f>
        <v>podklady@cncenter.cz</v>
      </c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 t="str">
        <f ca="1">IFERROR(__xludf.DUMMYFUNCTION("""COMPUTED_VALUE"""),"cross-device")</f>
        <v>cross-device</v>
      </c>
      <c r="AO910" s="3"/>
      <c r="AP910" s="3"/>
      <c r="AQ910" s="3"/>
      <c r="AR910" s="3"/>
      <c r="AS910" s="3"/>
      <c r="AT910" s="3"/>
      <c r="AU910" s="3" t="str">
        <f ca="1">IFERROR(__xludf.DUMMYFUNCTION("""COMPUTED_VALUE"""),"cílený nativní rectangle cross-device")</f>
        <v>cílený nativní rectangle cross-device</v>
      </c>
    </row>
    <row r="911" spans="1:47" x14ac:dyDescent="0.3">
      <c r="A911" s="3">
        <f ca="1"/>
        <v>2346826</v>
      </c>
      <c r="B911" s="3" t="str">
        <f ca="1"/>
        <v>CZECH NEWS CENTER a. s.</v>
      </c>
      <c r="C911" s="3" t="str">
        <f ca="1">IFERROR(__xludf.DUMMYFUNCTION("""COMPUTED_VALUE"""),"Realitní trh")</f>
        <v>Realitní trh</v>
      </c>
      <c r="D911" s="4" t="str">
        <f ca="1">IFERROR(__xludf.DUMMYFUNCTION("""COMPUTED_VALUE"""),"https://www.realitnitrh.cz")</f>
        <v>https://www.realitnitrh.cz</v>
      </c>
      <c r="E911" s="3" t="str">
        <f ca="1">IFERROR(__xludf.DUMMYFUNCTION("""COMPUTED_VALUE"""),"celý web")</f>
        <v>celý web</v>
      </c>
      <c r="F911" s="4" t="str">
        <f ca="1">IFERROR(__xludf.DUMMYFUNCTION("""COMPUTED_VALUE"""),"https://www.realitnitrh.cz")</f>
        <v>https://www.realitnitrh.cz</v>
      </c>
      <c r="G911" s="3" t="str">
        <f ca="1">IFERROR(__xludf.DUMMYFUNCTION("""COMPUTED_VALUE"""),"cílený outstream low season")</f>
        <v>cílený outstream low season</v>
      </c>
      <c r="H911" s="3">
        <f ca="1">IFERROR(__xludf.DUMMYFUNCTION("""COMPUTED_VALUE"""),7)</f>
        <v>7</v>
      </c>
      <c r="I911" s="5">
        <f ca="1">IFERROR(__xludf.DUMMYFUNCTION("""COMPUTED_VALUE"""),1000)</f>
        <v>1000</v>
      </c>
      <c r="J911" s="5">
        <f ca="1">IFERROR(__xludf.DUMMYFUNCTION("""COMPUTED_VALUE"""),300)</f>
        <v>300</v>
      </c>
      <c r="K911" s="3"/>
      <c r="L911" s="3" t="str">
        <f ca="1">IFERROR(__xludf.DUMMYFUNCTION("""COMPUTED_VALUE"""),"Cost per period")</f>
        <v>Cost per period</v>
      </c>
      <c r="M911" s="3"/>
      <c r="N911" s="3"/>
      <c r="O911" s="3" t="str">
        <f ca="1">IFERROR(__xludf.DUMMYFUNCTION("""COMPUTED_VALUE"""),"1280")</f>
        <v>1280</v>
      </c>
      <c r="P911" s="3" t="str">
        <f ca="1">IFERROR(__xludf.DUMMYFUNCTION("""COMPUTED_VALUE"""),"720")</f>
        <v>720</v>
      </c>
      <c r="Q911" s="3" t="str">
        <f ca="1">IFERROR(__xludf.DUMMYFUNCTION("""COMPUTED_VALUE"""),"16:9")</f>
        <v>16:9</v>
      </c>
      <c r="R911" s="3"/>
      <c r="S911" s="3" t="str">
        <f ca="1">IFERROR(__xludf.DUMMYFUNCTION("""COMPUTED_VALUE"""),"100")</f>
        <v>100</v>
      </c>
      <c r="T911" s="3"/>
      <c r="U911" s="3" t="str">
        <f ca="1">IFERROR(__xludf.DUMMYFUNCTION("""COMPUTED_VALUE"""),"videospot")</f>
        <v>videospot</v>
      </c>
      <c r="V911" s="3"/>
      <c r="W911" s="4" t="str">
        <f ca="1">IFERROR(__xludf.DUMMYFUNCTION("""COMPUTED_VALUE"""),"https://reklama.cncenter.cz/Online/Outstream")</f>
        <v>https://reklama.cncenter.cz/Online/Outstream</v>
      </c>
      <c r="X911" s="3"/>
      <c r="Y911" s="3"/>
      <c r="Z911" s="3" t="str">
        <f ca="1">IFERROR(__xludf.DUMMYFUNCTION("""COMPUTED_VALUE"""),"podklady@cncenter.cz")</f>
        <v>podklady@cncenter.cz</v>
      </c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 t="str">
        <f ca="1">IFERROR(__xludf.DUMMYFUNCTION("""COMPUTED_VALUE"""),"cross-device")</f>
        <v>cross-device</v>
      </c>
      <c r="AO911" s="3"/>
      <c r="AP911" s="3"/>
      <c r="AQ911" s="3"/>
      <c r="AR911" s="3"/>
      <c r="AS911" s="3"/>
      <c r="AT911" s="3"/>
      <c r="AU911" s="3" t="str">
        <f ca="1">IFERROR(__xludf.DUMMYFUNCTION("""COMPUTED_VALUE"""),"cílený outstream")</f>
        <v>cílený outstream</v>
      </c>
    </row>
    <row r="912" spans="1:47" x14ac:dyDescent="0.3">
      <c r="A912" s="3">
        <f ca="1"/>
        <v>2346826</v>
      </c>
      <c r="B912" s="3" t="str">
        <f ca="1"/>
        <v>CZECH NEWS CENTER a. s.</v>
      </c>
      <c r="C912" s="3" t="str">
        <f ca="1">IFERROR(__xludf.DUMMYFUNCTION("""COMPUTED_VALUE"""),"Realitní trh")</f>
        <v>Realitní trh</v>
      </c>
      <c r="D912" s="4" t="str">
        <f ca="1">IFERROR(__xludf.DUMMYFUNCTION("""COMPUTED_VALUE"""),"https://www.realitnitrh.cz")</f>
        <v>https://www.realitnitrh.cz</v>
      </c>
      <c r="E912" s="3" t="str">
        <f ca="1">IFERROR(__xludf.DUMMYFUNCTION("""COMPUTED_VALUE"""),"celý web")</f>
        <v>celý web</v>
      </c>
      <c r="F912" s="4" t="str">
        <f ca="1">IFERROR(__xludf.DUMMYFUNCTION("""COMPUTED_VALUE"""),"https://www.realitnitrh.cz")</f>
        <v>https://www.realitnitrh.cz</v>
      </c>
      <c r="G912" s="3" t="str">
        <f ca="1">IFERROR(__xludf.DUMMYFUNCTION("""COMPUTED_VALUE"""),"dokoupení proma o 2 týdny - 10 000 PV *** low season")</f>
        <v>dokoupení proma o 2 týdny - 10 000 PV *** low season</v>
      </c>
      <c r="H912" s="3">
        <f ca="1">IFERROR(__xludf.DUMMYFUNCTION("""COMPUTED_VALUE"""),1)</f>
        <v>1</v>
      </c>
      <c r="I912" s="5">
        <f ca="1">IFERROR(__xludf.DUMMYFUNCTION("""COMPUTED_VALUE"""),1)</f>
        <v>1</v>
      </c>
      <c r="J912" s="5">
        <f ca="1">IFERROR(__xludf.DUMMYFUNCTION("""COMPUTED_VALUE"""),60000)</f>
        <v>60000</v>
      </c>
      <c r="K912" s="3"/>
      <c r="L912" s="3" t="str">
        <f ca="1">IFERROR(__xludf.DUMMYFUNCTION("""COMPUTED_VALUE"""),"Cost per instance")</f>
        <v>Cost per instance</v>
      </c>
      <c r="M912" s="3"/>
      <c r="N912" s="3"/>
      <c r="O912" s="3"/>
      <c r="P912" s="3"/>
      <c r="Q912" s="3"/>
      <c r="R912" s="3"/>
      <c r="S912" s="3" t="str">
        <f ca="1">IFERROR(__xludf.DUMMYFUNCTION("""COMPUTED_VALUE"""),"100")</f>
        <v>100</v>
      </c>
      <c r="T912" s="3"/>
      <c r="U912" s="3" t="str">
        <f ca="1">IFERROR(__xludf.DUMMYFUNCTION("""COMPUTED_VALUE"""),"microsite")</f>
        <v>microsite</v>
      </c>
      <c r="V912" s="3"/>
      <c r="W912" s="3"/>
      <c r="X912" s="3"/>
      <c r="Y912" s="3"/>
      <c r="Z912" s="3" t="str">
        <f ca="1">IFERROR(__xludf.DUMMYFUNCTION("""COMPUTED_VALUE"""),"podklady@cncenter.cz")</f>
        <v>podklady@cncenter.cz</v>
      </c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 t="str">
        <f ca="1">IFERROR(__xludf.DUMMYFUNCTION("""COMPUTED_VALUE"""),"cross-device")</f>
        <v>cross-device</v>
      </c>
      <c r="AO912" s="3"/>
      <c r="AP912" s="3"/>
      <c r="AQ912" s="3"/>
      <c r="AR912" s="3"/>
      <c r="AS912" s="3"/>
      <c r="AT912" s="3"/>
      <c r="AU912" s="3" t="str">
        <f ca="1">IFERROR(__xludf.DUMMYFUNCTION("""COMPUTED_VALUE"""),"dokoupení proma o 2 týdny - 10 000 PV ***")</f>
        <v>dokoupení proma o 2 týdny - 10 000 PV ***</v>
      </c>
    </row>
    <row r="913" spans="1:47" x14ac:dyDescent="0.3">
      <c r="A913" s="3">
        <f ca="1"/>
        <v>2346826</v>
      </c>
      <c r="B913" s="3" t="str">
        <f ca="1"/>
        <v>CZECH NEWS CENTER a. s.</v>
      </c>
      <c r="C913" s="3" t="str">
        <f ca="1">IFERROR(__xludf.DUMMYFUNCTION("""COMPUTED_VALUE"""),"Realitní trh")</f>
        <v>Realitní trh</v>
      </c>
      <c r="D913" s="4" t="str">
        <f ca="1">IFERROR(__xludf.DUMMYFUNCTION("""COMPUTED_VALUE"""),"https://www.realitnitrh.cz")</f>
        <v>https://www.realitnitrh.cz</v>
      </c>
      <c r="E913" s="3" t="str">
        <f ca="1">IFERROR(__xludf.DUMMYFUNCTION("""COMPUTED_VALUE"""),"celý web")</f>
        <v>celý web</v>
      </c>
      <c r="F913" s="4" t="str">
        <f ca="1">IFERROR(__xludf.DUMMYFUNCTION("""COMPUTED_VALUE"""),"https://www.realitnitrh.cz")</f>
        <v>https://www.realitnitrh.cz</v>
      </c>
      <c r="G913" s="3" t="str">
        <f ca="1">IFERROR(__xludf.DUMMYFUNCTION("""COMPUTED_VALUE"""),"double skyscraper low season")</f>
        <v>double skyscraper low season</v>
      </c>
      <c r="H913" s="3">
        <f ca="1">IFERROR(__xludf.DUMMYFUNCTION("""COMPUTED_VALUE"""),7)</f>
        <v>7</v>
      </c>
      <c r="I913" s="5">
        <f ca="1">IFERROR(__xludf.DUMMYFUNCTION("""COMPUTED_VALUE"""),1000)</f>
        <v>1000</v>
      </c>
      <c r="J913" s="5">
        <f ca="1">IFERROR(__xludf.DUMMYFUNCTION("""COMPUTED_VALUE"""),190)</f>
        <v>190</v>
      </c>
      <c r="K913" s="3"/>
      <c r="L913" s="3" t="str">
        <f ca="1">IFERROR(__xludf.DUMMYFUNCTION("""COMPUTED_VALUE"""),"Cost per period")</f>
        <v>Cost per period</v>
      </c>
      <c r="M913" s="3"/>
      <c r="N913" s="3"/>
      <c r="O913" s="3" t="str">
        <f ca="1">IFERROR(__xludf.DUMMYFUNCTION("""COMPUTED_VALUE"""),"300")</f>
        <v>300</v>
      </c>
      <c r="P913" s="3" t="str">
        <f ca="1">IFERROR(__xludf.DUMMYFUNCTION("""COMPUTED_VALUE"""),"600")</f>
        <v>600</v>
      </c>
      <c r="Q913" s="3" t="str">
        <f ca="1">IFERROR(__xludf.DUMMYFUNCTION("""COMPUTED_VALUE"""),"300x600")</f>
        <v>300x600</v>
      </c>
      <c r="R913" s="3"/>
      <c r="S913" s="3" t="str">
        <f ca="1">IFERROR(__xludf.DUMMYFUNCTION("""COMPUTED_VALUE"""),"100 (200 - HTML5)")</f>
        <v>100 (200 - HTML5)</v>
      </c>
      <c r="T913" s="3"/>
      <c r="U913" s="3" t="str">
        <f ca="1">IFERROR(__xludf.DUMMYFUNCTION("""COMPUTED_VALUE"""),"banner standard")</f>
        <v>banner standard</v>
      </c>
      <c r="V913" s="3"/>
      <c r="W913" s="4" t="str">
        <f ca="1">IFERROR(__xludf.DUMMYFUNCTION("""COMPUTED_VALUE"""),"https://reklama.cncenter.cz/Online/double-skyscraper")</f>
        <v>https://reklama.cncenter.cz/Online/double-skyscraper</v>
      </c>
      <c r="X913" s="3"/>
      <c r="Y913" s="3"/>
      <c r="Z913" s="3" t="str">
        <f ca="1">IFERROR(__xludf.DUMMYFUNCTION("""COMPUTED_VALUE"""),"podklady@cncenter.cz")</f>
        <v>podklady@cncenter.cz</v>
      </c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 t="str">
        <f ca="1">IFERROR(__xludf.DUMMYFUNCTION("""COMPUTED_VALUE"""),"desktop")</f>
        <v>desktop</v>
      </c>
      <c r="AO913" s="3"/>
      <c r="AP913" s="3"/>
      <c r="AQ913" s="3"/>
      <c r="AR913" s="3"/>
      <c r="AS913" s="3"/>
      <c r="AT913" s="3"/>
      <c r="AU913" s="3" t="str">
        <f ca="1">IFERROR(__xludf.DUMMYFUNCTION("""COMPUTED_VALUE"""),"double skyscraper")</f>
        <v>double skyscraper</v>
      </c>
    </row>
    <row r="914" spans="1:47" x14ac:dyDescent="0.3">
      <c r="A914" s="3">
        <f ca="1"/>
        <v>2346826</v>
      </c>
      <c r="B914" s="3" t="str">
        <f ca="1"/>
        <v>CZECH NEWS CENTER a. s.</v>
      </c>
      <c r="C914" s="3" t="str">
        <f ca="1">IFERROR(__xludf.DUMMYFUNCTION("""COMPUTED_VALUE"""),"Realitní trh")</f>
        <v>Realitní trh</v>
      </c>
      <c r="D914" s="4" t="str">
        <f ca="1">IFERROR(__xludf.DUMMYFUNCTION("""COMPUTED_VALUE"""),"https://www.realitnitrh.cz")</f>
        <v>https://www.realitnitrh.cz</v>
      </c>
      <c r="E914" s="3" t="str">
        <f ca="1">IFERROR(__xludf.DUMMYFUNCTION("""COMPUTED_VALUE"""),"celý web")</f>
        <v>celý web</v>
      </c>
      <c r="F914" s="4" t="str">
        <f ca="1">IFERROR(__xludf.DUMMYFUNCTION("""COMPUTED_VALUE"""),"https://www.realitnitrh.cz")</f>
        <v>https://www.realitnitrh.cz</v>
      </c>
      <c r="G914" s="3" t="str">
        <f ca="1">IFERROR(__xludf.DUMMYFUNCTION("""COMPUTED_VALUE"""),"mobilní interscroller low season")</f>
        <v>mobilní interscroller low season</v>
      </c>
      <c r="H914" s="3">
        <f ca="1">IFERROR(__xludf.DUMMYFUNCTION("""COMPUTED_VALUE"""),7)</f>
        <v>7</v>
      </c>
      <c r="I914" s="5">
        <f ca="1">IFERROR(__xludf.DUMMYFUNCTION("""COMPUTED_VALUE"""),1000)</f>
        <v>1000</v>
      </c>
      <c r="J914" s="5">
        <f ca="1">IFERROR(__xludf.DUMMYFUNCTION("""COMPUTED_VALUE"""),250)</f>
        <v>250</v>
      </c>
      <c r="K914" s="3"/>
      <c r="L914" s="3" t="str">
        <f ca="1">IFERROR(__xludf.DUMMYFUNCTION("""COMPUTED_VALUE"""),"Cost per period")</f>
        <v>Cost per period</v>
      </c>
      <c r="M914" s="3"/>
      <c r="N914" s="3"/>
      <c r="O914" s="3" t="str">
        <f ca="1">IFERROR(__xludf.DUMMYFUNCTION("""COMPUTED_VALUE"""),"600")</f>
        <v>600</v>
      </c>
      <c r="P914" s="3" t="str">
        <f ca="1">IFERROR(__xludf.DUMMYFUNCTION("""COMPUTED_VALUE"""),"1080")</f>
        <v>1080</v>
      </c>
      <c r="Q914" s="3" t="str">
        <f ca="1">IFERROR(__xludf.DUMMYFUNCTION("""COMPUTED_VALUE"""),"600x1080")</f>
        <v>600x1080</v>
      </c>
      <c r="R914" s="3"/>
      <c r="S914" s="3" t="str">
        <f ca="1">IFERROR(__xludf.DUMMYFUNCTION("""COMPUTED_VALUE"""),"200")</f>
        <v>200</v>
      </c>
      <c r="T914" s="3"/>
      <c r="U914" s="3" t="str">
        <f ca="1">IFERROR(__xludf.DUMMYFUNCTION("""COMPUTED_VALUE"""),"banner standard")</f>
        <v>banner standard</v>
      </c>
      <c r="V914" s="3"/>
      <c r="W914" s="4" t="str">
        <f ca="1">IFERROR(__xludf.DUMMYFUNCTION("""COMPUTED_VALUE"""),"https://reklama.cncenter.cz/Online/mobilni-interscroller")</f>
        <v>https://reklama.cncenter.cz/Online/mobilni-interscroller</v>
      </c>
      <c r="X914" s="3"/>
      <c r="Y914" s="3"/>
      <c r="Z914" s="3" t="str">
        <f ca="1">IFERROR(__xludf.DUMMYFUNCTION("""COMPUTED_VALUE"""),"podklady@cncenter.cz")</f>
        <v>podklady@cncenter.cz</v>
      </c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 t="str">
        <f ca="1">IFERROR(__xludf.DUMMYFUNCTION("""COMPUTED_VALUE"""),"mobile")</f>
        <v>mobile</v>
      </c>
      <c r="AO914" s="3"/>
      <c r="AP914" s="3"/>
      <c r="AQ914" s="3"/>
      <c r="AR914" s="3"/>
      <c r="AS914" s="3"/>
      <c r="AT914" s="3"/>
      <c r="AU914" s="3" t="str">
        <f ca="1">IFERROR(__xludf.DUMMYFUNCTION("""COMPUTED_VALUE"""),"mobilní interscroller")</f>
        <v>mobilní interscroller</v>
      </c>
    </row>
    <row r="915" spans="1:47" x14ac:dyDescent="0.3">
      <c r="A915" s="3">
        <f ca="1"/>
        <v>2346826</v>
      </c>
      <c r="B915" s="3" t="str">
        <f ca="1"/>
        <v>CZECH NEWS CENTER a. s.</v>
      </c>
      <c r="C915" s="3" t="str">
        <f ca="1">IFERROR(__xludf.DUMMYFUNCTION("""COMPUTED_VALUE"""),"Realitní trh")</f>
        <v>Realitní trh</v>
      </c>
      <c r="D915" s="4" t="str">
        <f ca="1">IFERROR(__xludf.DUMMYFUNCTION("""COMPUTED_VALUE"""),"https://www.realitnitrh.cz")</f>
        <v>https://www.realitnitrh.cz</v>
      </c>
      <c r="E915" s="3" t="str">
        <f ca="1">IFERROR(__xludf.DUMMYFUNCTION("""COMPUTED_VALUE"""),"celý web")</f>
        <v>celý web</v>
      </c>
      <c r="F915" s="4" t="str">
        <f ca="1">IFERROR(__xludf.DUMMYFUNCTION("""COMPUTED_VALUE"""),"https://www.realitnitrh.cz")</f>
        <v>https://www.realitnitrh.cz</v>
      </c>
      <c r="G915" s="3" t="str">
        <f ca="1">IFERROR(__xludf.DUMMYFUNCTION("""COMPUTED_VALUE"""),"Native Standard low season")</f>
        <v>Native Standard low season</v>
      </c>
      <c r="H915" s="3">
        <f ca="1">IFERROR(__xludf.DUMMYFUNCTION("""COMPUTED_VALUE"""),1)</f>
        <v>1</v>
      </c>
      <c r="I915" s="5">
        <f ca="1">IFERROR(__xludf.DUMMYFUNCTION("""COMPUTED_VALUE"""),1)</f>
        <v>1</v>
      </c>
      <c r="J915" s="5">
        <f ca="1">IFERROR(__xludf.DUMMYFUNCTION("""COMPUTED_VALUE"""),330000)</f>
        <v>330000</v>
      </c>
      <c r="K915" s="3"/>
      <c r="L915" s="3" t="str">
        <f ca="1">IFERROR(__xludf.DUMMYFUNCTION("""COMPUTED_VALUE"""),"Cost per instance")</f>
        <v>Cost per instance</v>
      </c>
      <c r="M915" s="3"/>
      <c r="N915" s="3"/>
      <c r="O915" s="3"/>
      <c r="P915" s="3"/>
      <c r="Q915" s="3"/>
      <c r="R915" s="3"/>
      <c r="S915" s="3" t="str">
        <f ca="1">IFERROR(__xludf.DUMMYFUNCTION("""COMPUTED_VALUE"""),"100")</f>
        <v>100</v>
      </c>
      <c r="T915" s="3"/>
      <c r="U915" s="3" t="str">
        <f ca="1">IFERROR(__xludf.DUMMYFUNCTION("""COMPUTED_VALUE"""),"microsite")</f>
        <v>microsite</v>
      </c>
      <c r="V915" s="3"/>
      <c r="W915" s="3"/>
      <c r="X915" s="3"/>
      <c r="Y915" s="3"/>
      <c r="Z915" s="3" t="str">
        <f ca="1">IFERROR(__xludf.DUMMYFUNCTION("""COMPUTED_VALUE"""),"podklady@cncenter.cz")</f>
        <v>podklady@cncenter.cz</v>
      </c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 t="str">
        <f ca="1">IFERROR(__xludf.DUMMYFUNCTION("""COMPUTED_VALUE"""),"cross-device")</f>
        <v>cross-device</v>
      </c>
      <c r="AO915" s="3"/>
      <c r="AP915" s="3"/>
      <c r="AQ915" s="3"/>
      <c r="AR915" s="3"/>
      <c r="AS915" s="3"/>
      <c r="AT915" s="3"/>
      <c r="AU915" s="3" t="str">
        <f ca="1">IFERROR(__xludf.DUMMYFUNCTION("""COMPUTED_VALUE"""),"Native Standard")</f>
        <v>Native Standard</v>
      </c>
    </row>
    <row r="916" spans="1:47" x14ac:dyDescent="0.3">
      <c r="A916" s="3">
        <f ca="1"/>
        <v>2346826</v>
      </c>
      <c r="B916" s="3" t="str">
        <f ca="1"/>
        <v>CZECH NEWS CENTER a. s.</v>
      </c>
      <c r="C916" s="3" t="str">
        <f ca="1">IFERROR(__xludf.DUMMYFUNCTION("""COMPUTED_VALUE"""),"Realitní trh")</f>
        <v>Realitní trh</v>
      </c>
      <c r="D916" s="4" t="str">
        <f ca="1">IFERROR(__xludf.DUMMYFUNCTION("""COMPUTED_VALUE"""),"https://www.realitnitrh.cz")</f>
        <v>https://www.realitnitrh.cz</v>
      </c>
      <c r="E916" s="3" t="str">
        <f ca="1">IFERROR(__xludf.DUMMYFUNCTION("""COMPUTED_VALUE"""),"celý web")</f>
        <v>celý web</v>
      </c>
      <c r="F916" s="4" t="str">
        <f ca="1">IFERROR(__xludf.DUMMYFUNCTION("""COMPUTED_VALUE"""),"https://www.realitnitrh.cz")</f>
        <v>https://www.realitnitrh.cz</v>
      </c>
      <c r="G916" s="3" t="str">
        <f ca="1">IFERROR(__xludf.DUMMYFUNCTION("""COMPUTED_VALUE"""),"nativní pr premium low season")</f>
        <v>nativní pr premium low season</v>
      </c>
      <c r="H916" s="3">
        <f ca="1">IFERROR(__xludf.DUMMYFUNCTION("""COMPUTED_VALUE"""),7)</f>
        <v>7</v>
      </c>
      <c r="I916" s="5">
        <f ca="1">IFERROR(__xludf.DUMMYFUNCTION("""COMPUTED_VALUE"""),1000)</f>
        <v>1000</v>
      </c>
      <c r="J916" s="5">
        <f ca="1">IFERROR(__xludf.DUMMYFUNCTION("""COMPUTED_VALUE"""),100)</f>
        <v>100</v>
      </c>
      <c r="K916" s="3"/>
      <c r="L916" s="3" t="str">
        <f ca="1">IFERROR(__xludf.DUMMYFUNCTION("""COMPUTED_VALUE"""),"Cost per period")</f>
        <v>Cost per period</v>
      </c>
      <c r="M916" s="3"/>
      <c r="N916" s="3"/>
      <c r="O916" s="3" t="str">
        <f ca="1">IFERROR(__xludf.DUMMYFUNCTION("""COMPUTED_VALUE"""),"640")</f>
        <v>640</v>
      </c>
      <c r="P916" s="3" t="str">
        <f ca="1">IFERROR(__xludf.DUMMYFUNCTION("""COMPUTED_VALUE"""),"335, 640")</f>
        <v>335, 640</v>
      </c>
      <c r="Q916" s="3" t="str">
        <f ca="1">IFERROR(__xludf.DUMMYFUNCTION("""COMPUTED_VALUE"""),"640x640 a 640x335 + text + logo")</f>
        <v>640x640 a 640x335 + text + logo</v>
      </c>
      <c r="R916" s="3" t="str">
        <f ca="1">IFERROR(__xludf.DUMMYFUNCTION("""COMPUTED_VALUE"""),"detailní specifikace na URL odkaze")</f>
        <v>detailní specifikace na URL odkaze</v>
      </c>
      <c r="S916" s="3" t="str">
        <f ca="1">IFERROR(__xludf.DUMMYFUNCTION("""COMPUTED_VALUE"""),"100")</f>
        <v>100</v>
      </c>
      <c r="T916" s="3"/>
      <c r="U916" s="3" t="str">
        <f ca="1">IFERROR(__xludf.DUMMYFUNCTION("""COMPUTED_VALUE"""),"nativní reklama")</f>
        <v>nativní reklama</v>
      </c>
      <c r="V916" s="3"/>
      <c r="W916" s="4" t="str">
        <f ca="1">IFERROR(__xludf.DUMMYFUNCTION("""COMPUTED_VALUE"""),"https://reklama.cncenter.cz/Online/nativni-PR-premium")</f>
        <v>https://reklama.cncenter.cz/Online/nativni-PR-premium</v>
      </c>
      <c r="X916" s="3"/>
      <c r="Y916" s="3"/>
      <c r="Z916" s="3" t="str">
        <f ca="1">IFERROR(__xludf.DUMMYFUNCTION("""COMPUTED_VALUE"""),"podklady@cncenter.cz")</f>
        <v>podklady@cncenter.cz</v>
      </c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 t="str">
        <f ca="1">IFERROR(__xludf.DUMMYFUNCTION("""COMPUTED_VALUE"""),"cross-device")</f>
        <v>cross-device</v>
      </c>
      <c r="AO916" s="3"/>
      <c r="AP916" s="3"/>
      <c r="AQ916" s="3"/>
      <c r="AR916" s="3"/>
      <c r="AS916" s="3"/>
      <c r="AT916" s="3"/>
      <c r="AU916" s="3" t="str">
        <f ca="1">IFERROR(__xludf.DUMMYFUNCTION("""COMPUTED_VALUE"""),"nativní pr premium")</f>
        <v>nativní pr premium</v>
      </c>
    </row>
    <row r="917" spans="1:47" x14ac:dyDescent="0.3">
      <c r="A917" s="3">
        <f ca="1"/>
        <v>2346826</v>
      </c>
      <c r="B917" s="3" t="str">
        <f ca="1"/>
        <v>CZECH NEWS CENTER a. s.</v>
      </c>
      <c r="C917" s="3" t="str">
        <f ca="1">IFERROR(__xludf.DUMMYFUNCTION("""COMPUTED_VALUE"""),"Realitní trh")</f>
        <v>Realitní trh</v>
      </c>
      <c r="D917" s="4" t="str">
        <f ca="1">IFERROR(__xludf.DUMMYFUNCTION("""COMPUTED_VALUE"""),"https://www.realitnitrh.cz")</f>
        <v>https://www.realitnitrh.cz</v>
      </c>
      <c r="E917" s="3" t="str">
        <f ca="1">IFERROR(__xludf.DUMMYFUNCTION("""COMPUTED_VALUE"""),"celý web")</f>
        <v>celý web</v>
      </c>
      <c r="F917" s="4" t="str">
        <f ca="1">IFERROR(__xludf.DUMMYFUNCTION("""COMPUTED_VALUE"""),"https://www.realitnitrh.cz")</f>
        <v>https://www.realitnitrh.cz</v>
      </c>
      <c r="G917" s="3" t="str">
        <f ca="1">IFERROR(__xludf.DUMMYFUNCTION("""COMPUTED_VALUE"""),"nativní rectangle cross-device low season")</f>
        <v>nativní rectangle cross-device low season</v>
      </c>
      <c r="H917" s="3">
        <f ca="1">IFERROR(__xludf.DUMMYFUNCTION("""COMPUTED_VALUE"""),7)</f>
        <v>7</v>
      </c>
      <c r="I917" s="5">
        <f ca="1">IFERROR(__xludf.DUMMYFUNCTION("""COMPUTED_VALUE"""),1000)</f>
        <v>1000</v>
      </c>
      <c r="J917" s="5">
        <f ca="1">IFERROR(__xludf.DUMMYFUNCTION("""COMPUTED_VALUE"""),200)</f>
        <v>200</v>
      </c>
      <c r="K917" s="3"/>
      <c r="L917" s="3" t="str">
        <f ca="1">IFERROR(__xludf.DUMMYFUNCTION("""COMPUTED_VALUE"""),"Cost per period")</f>
        <v>Cost per period</v>
      </c>
      <c r="M917" s="3"/>
      <c r="N917" s="3"/>
      <c r="O917" s="3" t="str">
        <f ca="1">IFERROR(__xludf.DUMMYFUNCTION("""COMPUTED_VALUE"""),"640")</f>
        <v>640</v>
      </c>
      <c r="P917" s="3" t="str">
        <f ca="1">IFERROR(__xludf.DUMMYFUNCTION("""COMPUTED_VALUE"""),"335, 640")</f>
        <v>335, 640</v>
      </c>
      <c r="Q917" s="3" t="str">
        <f ca="1">IFERROR(__xludf.DUMMYFUNCTION("""COMPUTED_VALUE"""),"640x640 a 640x335 + text + logo")</f>
        <v>640x640 a 640x335 + text + logo</v>
      </c>
      <c r="R917" s="3"/>
      <c r="S917" s="3" t="str">
        <f ca="1">IFERROR(__xludf.DUMMYFUNCTION("""COMPUTED_VALUE"""),"45")</f>
        <v>45</v>
      </c>
      <c r="T917" s="3"/>
      <c r="U917" s="3" t="str">
        <f ca="1">IFERROR(__xludf.DUMMYFUNCTION("""COMPUTED_VALUE"""),"nativní reklama")</f>
        <v>nativní reklama</v>
      </c>
      <c r="V917" s="3"/>
      <c r="W917" s="4" t="str">
        <f ca="1">IFERROR(__xludf.DUMMYFUNCTION("""COMPUTED_VALUE"""),"https://reklama.cncenter.cz/Online/nativni-rectangle-cross-device")</f>
        <v>https://reklama.cncenter.cz/Online/nativni-rectangle-cross-device</v>
      </c>
      <c r="X917" s="3"/>
      <c r="Y917" s="3"/>
      <c r="Z917" s="3" t="str">
        <f ca="1">IFERROR(__xludf.DUMMYFUNCTION("""COMPUTED_VALUE"""),"podklady@cncenter.cz")</f>
        <v>podklady@cncenter.cz</v>
      </c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 t="str">
        <f ca="1">IFERROR(__xludf.DUMMYFUNCTION("""COMPUTED_VALUE"""),"cross-device")</f>
        <v>cross-device</v>
      </c>
      <c r="AO917" s="3"/>
      <c r="AP917" s="3"/>
      <c r="AQ917" s="3"/>
      <c r="AR917" s="3"/>
      <c r="AS917" s="3"/>
      <c r="AT917" s="3"/>
      <c r="AU917" s="3" t="str">
        <f ca="1">IFERROR(__xludf.DUMMYFUNCTION("""COMPUTED_VALUE"""),"nativní rectangle cross-device")</f>
        <v>nativní rectangle cross-device</v>
      </c>
    </row>
    <row r="918" spans="1:47" x14ac:dyDescent="0.3">
      <c r="A918" s="3">
        <f ca="1"/>
        <v>2346826</v>
      </c>
      <c r="B918" s="3" t="str">
        <f ca="1"/>
        <v>CZECH NEWS CENTER a. s.</v>
      </c>
      <c r="C918" s="3" t="str">
        <f ca="1">IFERROR(__xludf.DUMMYFUNCTION("""COMPUTED_VALUE"""),"Realitní trh")</f>
        <v>Realitní trh</v>
      </c>
      <c r="D918" s="4" t="str">
        <f ca="1">IFERROR(__xludf.DUMMYFUNCTION("""COMPUTED_VALUE"""),"https://www.realitnitrh.cz")</f>
        <v>https://www.realitnitrh.cz</v>
      </c>
      <c r="E918" s="3" t="str">
        <f ca="1">IFERROR(__xludf.DUMMYFUNCTION("""COMPUTED_VALUE"""),"celý web")</f>
        <v>celý web</v>
      </c>
      <c r="F918" s="4" t="str">
        <f ca="1">IFERROR(__xludf.DUMMYFUNCTION("""COMPUTED_VALUE"""),"https://www.realitnitrh.cz")</f>
        <v>https://www.realitnitrh.cz</v>
      </c>
      <c r="G918" s="3" t="str">
        <f ca="1">IFERROR(__xludf.DUMMYFUNCTION("""COMPUTED_VALUE"""),"outstream low season")</f>
        <v>outstream low season</v>
      </c>
      <c r="H918" s="3">
        <f ca="1">IFERROR(__xludf.DUMMYFUNCTION("""COMPUTED_VALUE"""),7)</f>
        <v>7</v>
      </c>
      <c r="I918" s="5">
        <f ca="1">IFERROR(__xludf.DUMMYFUNCTION("""COMPUTED_VALUE"""),1000)</f>
        <v>1000</v>
      </c>
      <c r="J918" s="5">
        <f ca="1">IFERROR(__xludf.DUMMYFUNCTION("""COMPUTED_VALUE"""),250)</f>
        <v>250</v>
      </c>
      <c r="K918" s="3"/>
      <c r="L918" s="3" t="str">
        <f ca="1">IFERROR(__xludf.DUMMYFUNCTION("""COMPUTED_VALUE"""),"Cost per period")</f>
        <v>Cost per period</v>
      </c>
      <c r="M918" s="3"/>
      <c r="N918" s="3"/>
      <c r="O918" s="3" t="str">
        <f ca="1">IFERROR(__xludf.DUMMYFUNCTION("""COMPUTED_VALUE"""),"1280")</f>
        <v>1280</v>
      </c>
      <c r="P918" s="3" t="str">
        <f ca="1">IFERROR(__xludf.DUMMYFUNCTION("""COMPUTED_VALUE"""),"720")</f>
        <v>720</v>
      </c>
      <c r="Q918" s="3" t="str">
        <f ca="1">IFERROR(__xludf.DUMMYFUNCTION("""COMPUTED_VALUE"""),"16:9")</f>
        <v>16:9</v>
      </c>
      <c r="R918" s="3"/>
      <c r="S918" s="3" t="str">
        <f ca="1">IFERROR(__xludf.DUMMYFUNCTION("""COMPUTED_VALUE"""),"100")</f>
        <v>100</v>
      </c>
      <c r="T918" s="3"/>
      <c r="U918" s="3" t="str">
        <f ca="1">IFERROR(__xludf.DUMMYFUNCTION("""COMPUTED_VALUE"""),"videospot")</f>
        <v>videospot</v>
      </c>
      <c r="V918" s="3"/>
      <c r="W918" s="4" t="str">
        <f ca="1">IFERROR(__xludf.DUMMYFUNCTION("""COMPUTED_VALUE"""),"https://reklama.cncenter.cz/Online/Outstream")</f>
        <v>https://reklama.cncenter.cz/Online/Outstream</v>
      </c>
      <c r="X918" s="3"/>
      <c r="Y918" s="3"/>
      <c r="Z918" s="3" t="str">
        <f ca="1">IFERROR(__xludf.DUMMYFUNCTION("""COMPUTED_VALUE"""),"podklady@cncenter.cz")</f>
        <v>podklady@cncenter.cz</v>
      </c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 t="str">
        <f ca="1">IFERROR(__xludf.DUMMYFUNCTION("""COMPUTED_VALUE"""),"cross-device")</f>
        <v>cross-device</v>
      </c>
      <c r="AO918" s="3"/>
      <c r="AP918" s="3"/>
      <c r="AQ918" s="3"/>
      <c r="AR918" s="3"/>
      <c r="AS918" s="3"/>
      <c r="AT918" s="3"/>
      <c r="AU918" s="3" t="str">
        <f ca="1">IFERROR(__xludf.DUMMYFUNCTION("""COMPUTED_VALUE"""),"outstream")</f>
        <v>outstream</v>
      </c>
    </row>
    <row r="919" spans="1:47" x14ac:dyDescent="0.3">
      <c r="A919" s="3">
        <f ca="1"/>
        <v>2346826</v>
      </c>
      <c r="B919" s="3" t="str">
        <f ca="1"/>
        <v>CZECH NEWS CENTER a. s.</v>
      </c>
      <c r="C919" s="3" t="str">
        <f ca="1">IFERROR(__xludf.DUMMYFUNCTION("""COMPUTED_VALUE"""),"Realitní trh")</f>
        <v>Realitní trh</v>
      </c>
      <c r="D919" s="4" t="str">
        <f ca="1">IFERROR(__xludf.DUMMYFUNCTION("""COMPUTED_VALUE"""),"https://www.realitnitrh.cz")</f>
        <v>https://www.realitnitrh.cz</v>
      </c>
      <c r="E919" s="3" t="str">
        <f ca="1">IFERROR(__xludf.DUMMYFUNCTION("""COMPUTED_VALUE"""),"celý web")</f>
        <v>celý web</v>
      </c>
      <c r="F919" s="4" t="str">
        <f ca="1">IFERROR(__xludf.DUMMYFUNCTION("""COMPUTED_VALUE"""),"https://www.realitnitrh.cz")</f>
        <v>https://www.realitnitrh.cz</v>
      </c>
      <c r="G919" s="3" t="str">
        <f ca="1">IFERROR(__xludf.DUMMYFUNCTION("""COMPUTED_VALUE"""),"PR článek low season")</f>
        <v>PR článek low season</v>
      </c>
      <c r="H919" s="3">
        <f ca="1">IFERROR(__xludf.DUMMYFUNCTION("""COMPUTED_VALUE"""),1)</f>
        <v>1</v>
      </c>
      <c r="I919" s="5">
        <f ca="1">IFERROR(__xludf.DUMMYFUNCTION("""COMPUTED_VALUE"""),1)</f>
        <v>1</v>
      </c>
      <c r="J919" s="5">
        <f ca="1">IFERROR(__xludf.DUMMYFUNCTION("""COMPUTED_VALUE"""),33000)</f>
        <v>33000</v>
      </c>
      <c r="K919" s="3"/>
      <c r="L919" s="3" t="str">
        <f ca="1">IFERROR(__xludf.DUMMYFUNCTION("""COMPUTED_VALUE"""),"Cost per instance")</f>
        <v>Cost per instance</v>
      </c>
      <c r="M919" s="3"/>
      <c r="N919" s="3"/>
      <c r="O919" s="3"/>
      <c r="P919" s="3"/>
      <c r="Q919" s="3"/>
      <c r="R919" s="3"/>
      <c r="S919" s="3" t="str">
        <f ca="1">IFERROR(__xludf.DUMMYFUNCTION("""COMPUTED_VALUE"""),"100")</f>
        <v>100</v>
      </c>
      <c r="T919" s="3"/>
      <c r="U919" s="3" t="str">
        <f ca="1">IFERROR(__xludf.DUMMYFUNCTION("""COMPUTED_VALUE"""),"pr článek")</f>
        <v>pr článek</v>
      </c>
      <c r="V919" s="3"/>
      <c r="W919" s="4" t="str">
        <f ca="1">IFERROR(__xludf.DUMMYFUNCTION("""COMPUTED_VALUE"""),"https://reklama.cncenter.cz/?ads=PR%2520%25C4%258Dl%25C3%25A1nky")</f>
        <v>https://reklama.cncenter.cz/?ads=PR%2520%25C4%258Dl%25C3%25A1nky</v>
      </c>
      <c r="X919" s="3"/>
      <c r="Y919" s="3"/>
      <c r="Z919" s="3" t="str">
        <f ca="1">IFERROR(__xludf.DUMMYFUNCTION("""COMPUTED_VALUE"""),"podklady@cncenter.cz")</f>
        <v>podklady@cncenter.cz</v>
      </c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 t="str">
        <f ca="1">IFERROR(__xludf.DUMMYFUNCTION("""COMPUTED_VALUE"""),"cross-device")</f>
        <v>cross-device</v>
      </c>
      <c r="AO919" s="3"/>
      <c r="AP919" s="3"/>
      <c r="AQ919" s="3"/>
      <c r="AR919" s="3"/>
      <c r="AS919" s="3"/>
      <c r="AT919" s="3"/>
      <c r="AU919" s="3" t="str">
        <f ca="1">IFERROR(__xludf.DUMMYFUNCTION("""COMPUTED_VALUE"""),"PR článek")</f>
        <v>PR článek</v>
      </c>
    </row>
    <row r="920" spans="1:47" x14ac:dyDescent="0.3">
      <c r="A920" s="3">
        <f ca="1"/>
        <v>2346826</v>
      </c>
      <c r="B920" s="3" t="str">
        <f ca="1"/>
        <v>CZECH NEWS CENTER a. s.</v>
      </c>
      <c r="C920" s="3" t="str">
        <f ca="1">IFERROR(__xludf.DUMMYFUNCTION("""COMPUTED_VALUE"""),"Realitní trh")</f>
        <v>Realitní trh</v>
      </c>
      <c r="D920" s="4" t="str">
        <f ca="1">IFERROR(__xludf.DUMMYFUNCTION("""COMPUTED_VALUE"""),"https://www.realitnitrh.cz")</f>
        <v>https://www.realitnitrh.cz</v>
      </c>
      <c r="E920" s="3" t="str">
        <f ca="1">IFERROR(__xludf.DUMMYFUNCTION("""COMPUTED_VALUE"""),"celý web")</f>
        <v>celý web</v>
      </c>
      <c r="F920" s="4" t="str">
        <f ca="1">IFERROR(__xludf.DUMMYFUNCTION("""COMPUTED_VALUE"""),"https://www.realitnitrh.cz")</f>
        <v>https://www.realitnitrh.cz</v>
      </c>
      <c r="G920" s="3" t="str">
        <f ca="1">IFERROR(__xludf.DUMMYFUNCTION("""COMPUTED_VALUE"""),"Prodloužení existující microsite, bez úprav low season")</f>
        <v>Prodloužení existující microsite, bez úprav low season</v>
      </c>
      <c r="H920" s="3">
        <f ca="1">IFERROR(__xludf.DUMMYFUNCTION("""COMPUTED_VALUE"""),1)</f>
        <v>1</v>
      </c>
      <c r="I920" s="5">
        <f ca="1">IFERROR(__xludf.DUMMYFUNCTION("""COMPUTED_VALUE"""),1)</f>
        <v>1</v>
      </c>
      <c r="J920" s="5">
        <f ca="1">IFERROR(__xludf.DUMMYFUNCTION("""COMPUTED_VALUE"""),15000)</f>
        <v>15000</v>
      </c>
      <c r="K920" s="3"/>
      <c r="L920" s="3" t="str">
        <f ca="1">IFERROR(__xludf.DUMMYFUNCTION("""COMPUTED_VALUE"""),"Cost per instance")</f>
        <v>Cost per instance</v>
      </c>
      <c r="M920" s="3"/>
      <c r="N920" s="3"/>
      <c r="O920" s="3"/>
      <c r="P920" s="3"/>
      <c r="Q920" s="3"/>
      <c r="R920" s="3"/>
      <c r="S920" s="3" t="str">
        <f ca="1">IFERROR(__xludf.DUMMYFUNCTION("""COMPUTED_VALUE"""),"100")</f>
        <v>100</v>
      </c>
      <c r="T920" s="3"/>
      <c r="U920" s="3" t="str">
        <f ca="1">IFERROR(__xludf.DUMMYFUNCTION("""COMPUTED_VALUE"""),"microsite")</f>
        <v>microsite</v>
      </c>
      <c r="V920" s="3"/>
      <c r="W920" s="3"/>
      <c r="X920" s="3"/>
      <c r="Y920" s="3"/>
      <c r="Z920" s="3" t="str">
        <f ca="1">IFERROR(__xludf.DUMMYFUNCTION("""COMPUTED_VALUE"""),"podklady@cncenter.cz")</f>
        <v>podklady@cncenter.cz</v>
      </c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 t="str">
        <f ca="1">IFERROR(__xludf.DUMMYFUNCTION("""COMPUTED_VALUE"""),"cross-device")</f>
        <v>cross-device</v>
      </c>
      <c r="AO920" s="3"/>
      <c r="AP920" s="3"/>
      <c r="AQ920" s="3"/>
      <c r="AR920" s="3"/>
      <c r="AS920" s="3"/>
      <c r="AT920" s="3"/>
      <c r="AU920" s="3" t="str">
        <f ca="1">IFERROR(__xludf.DUMMYFUNCTION("""COMPUTED_VALUE"""),"Prodloužení existující microsite, bez úprav")</f>
        <v>Prodloužení existující microsite, bez úprav</v>
      </c>
    </row>
    <row r="921" spans="1:47" x14ac:dyDescent="0.3">
      <c r="A921" s="3">
        <f ca="1"/>
        <v>2346826</v>
      </c>
      <c r="B921" s="3" t="str">
        <f ca="1"/>
        <v>CZECH NEWS CENTER a. s.</v>
      </c>
      <c r="C921" s="3" t="str">
        <f ca="1">IFERROR(__xludf.DUMMYFUNCTION("""COMPUTED_VALUE"""),"Realitní trh")</f>
        <v>Realitní trh</v>
      </c>
      <c r="D921" s="4" t="str">
        <f ca="1">IFERROR(__xludf.DUMMYFUNCTION("""COMPUTED_VALUE"""),"https://www.realitnitrh.cz")</f>
        <v>https://www.realitnitrh.cz</v>
      </c>
      <c r="E921" s="3" t="str">
        <f ca="1">IFERROR(__xludf.DUMMYFUNCTION("""COMPUTED_VALUE"""),"celý web")</f>
        <v>celý web</v>
      </c>
      <c r="F921" s="4" t="str">
        <f ca="1">IFERROR(__xludf.DUMMYFUNCTION("""COMPUTED_VALUE"""),"https://www.realitnitrh.cz")</f>
        <v>https://www.realitnitrh.cz</v>
      </c>
      <c r="G921" s="3" t="str">
        <f ca="1">IFERROR(__xludf.DUMMYFUNCTION("""COMPUTED_VALUE"""),"Prodloužení existující microsite, bez úprav low season")</f>
        <v>Prodloužení existující microsite, bez úprav low season</v>
      </c>
      <c r="H921" s="3">
        <f ca="1">IFERROR(__xludf.DUMMYFUNCTION("""COMPUTED_VALUE"""),1)</f>
        <v>1</v>
      </c>
      <c r="I921" s="5">
        <f ca="1">IFERROR(__xludf.DUMMYFUNCTION("""COMPUTED_VALUE"""),1)</f>
        <v>1</v>
      </c>
      <c r="J921" s="5">
        <f ca="1">IFERROR(__xludf.DUMMYFUNCTION("""COMPUTED_VALUE"""),15000)</f>
        <v>15000</v>
      </c>
      <c r="K921" s="3"/>
      <c r="L921" s="3" t="str">
        <f ca="1">IFERROR(__xludf.DUMMYFUNCTION("""COMPUTED_VALUE"""),"Cost per instance")</f>
        <v>Cost per instance</v>
      </c>
      <c r="M921" s="3"/>
      <c r="N921" s="3"/>
      <c r="O921" s="3"/>
      <c r="P921" s="3"/>
      <c r="Q921" s="3"/>
      <c r="R921" s="3"/>
      <c r="S921" s="3" t="str">
        <f ca="1">IFERROR(__xludf.DUMMYFUNCTION("""COMPUTED_VALUE"""),"100")</f>
        <v>100</v>
      </c>
      <c r="T921" s="3"/>
      <c r="U921" s="3" t="str">
        <f ca="1">IFERROR(__xludf.DUMMYFUNCTION("""COMPUTED_VALUE"""),"microsite")</f>
        <v>microsite</v>
      </c>
      <c r="V921" s="3"/>
      <c r="W921" s="3"/>
      <c r="X921" s="3"/>
      <c r="Y921" s="3"/>
      <c r="Z921" s="3" t="str">
        <f ca="1">IFERROR(__xludf.DUMMYFUNCTION("""COMPUTED_VALUE"""),"podklady@cncenter.cz")</f>
        <v>podklady@cncenter.cz</v>
      </c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 t="str">
        <f ca="1">IFERROR(__xludf.DUMMYFUNCTION("""COMPUTED_VALUE"""),"cross-device")</f>
        <v>cross-device</v>
      </c>
      <c r="AO921" s="3"/>
      <c r="AP921" s="3"/>
      <c r="AQ921" s="3"/>
      <c r="AR921" s="3"/>
      <c r="AS921" s="3"/>
      <c r="AT921" s="3"/>
      <c r="AU921" s="3" t="str">
        <f ca="1">IFERROR(__xludf.DUMMYFUNCTION("""COMPUTED_VALUE"""),"Prodloužení existující microsite, bez úprav")</f>
        <v>Prodloužení existující microsite, bez úprav</v>
      </c>
    </row>
    <row r="922" spans="1:47" x14ac:dyDescent="0.3">
      <c r="A922" s="3">
        <f ca="1"/>
        <v>2346826</v>
      </c>
      <c r="B922" s="3" t="str">
        <f ca="1"/>
        <v>CZECH NEWS CENTER a. s.</v>
      </c>
      <c r="C922" s="3" t="str">
        <f ca="1">IFERROR(__xludf.DUMMYFUNCTION("""COMPUTED_VALUE"""),"Realitní trh")</f>
        <v>Realitní trh</v>
      </c>
      <c r="D922" s="4" t="str">
        <f ca="1">IFERROR(__xludf.DUMMYFUNCTION("""COMPUTED_VALUE"""),"https://www.realitnitrh.cz")</f>
        <v>https://www.realitnitrh.cz</v>
      </c>
      <c r="E922" s="3" t="str">
        <f ca="1">IFERROR(__xludf.DUMMYFUNCTION("""COMPUTED_VALUE"""),"celý web")</f>
        <v>celý web</v>
      </c>
      <c r="F922" s="4" t="str">
        <f ca="1">IFERROR(__xludf.DUMMYFUNCTION("""COMPUTED_VALUE"""),"https://www.realitnitrh.cz")</f>
        <v>https://www.realitnitrh.cz</v>
      </c>
      <c r="G922" s="3" t="str">
        <f ca="1">IFERROR(__xludf.DUMMYFUNCTION("""COMPUTED_VALUE"""),"Prodloužení existující microsite, bez úprav low season")</f>
        <v>Prodloužení existující microsite, bez úprav low season</v>
      </c>
      <c r="H922" s="3">
        <f ca="1">IFERROR(__xludf.DUMMYFUNCTION("""COMPUTED_VALUE"""),1)</f>
        <v>1</v>
      </c>
      <c r="I922" s="5">
        <f ca="1">IFERROR(__xludf.DUMMYFUNCTION("""COMPUTED_VALUE"""),1)</f>
        <v>1</v>
      </c>
      <c r="J922" s="5">
        <f ca="1">IFERROR(__xludf.DUMMYFUNCTION("""COMPUTED_VALUE"""),15000)</f>
        <v>15000</v>
      </c>
      <c r="K922" s="3"/>
      <c r="L922" s="3" t="str">
        <f ca="1">IFERROR(__xludf.DUMMYFUNCTION("""COMPUTED_VALUE"""),"Cost per instance")</f>
        <v>Cost per instance</v>
      </c>
      <c r="M922" s="3"/>
      <c r="N922" s="3"/>
      <c r="O922" s="3"/>
      <c r="P922" s="3"/>
      <c r="Q922" s="3"/>
      <c r="R922" s="3"/>
      <c r="S922" s="3" t="str">
        <f ca="1">IFERROR(__xludf.DUMMYFUNCTION("""COMPUTED_VALUE"""),"100")</f>
        <v>100</v>
      </c>
      <c r="T922" s="3"/>
      <c r="U922" s="3" t="str">
        <f ca="1">IFERROR(__xludf.DUMMYFUNCTION("""COMPUTED_VALUE"""),"microsite")</f>
        <v>microsite</v>
      </c>
      <c r="V922" s="3"/>
      <c r="W922" s="3"/>
      <c r="X922" s="3"/>
      <c r="Y922" s="3"/>
      <c r="Z922" s="3" t="str">
        <f ca="1">IFERROR(__xludf.DUMMYFUNCTION("""COMPUTED_VALUE"""),"podklady@cncenter.cz")</f>
        <v>podklady@cncenter.cz</v>
      </c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 t="str">
        <f ca="1">IFERROR(__xludf.DUMMYFUNCTION("""COMPUTED_VALUE"""),"cross-device")</f>
        <v>cross-device</v>
      </c>
      <c r="AO922" s="3"/>
      <c r="AP922" s="3"/>
      <c r="AQ922" s="3"/>
      <c r="AR922" s="3"/>
      <c r="AS922" s="3"/>
      <c r="AT922" s="3"/>
      <c r="AU922" s="3" t="str">
        <f ca="1">IFERROR(__xludf.DUMMYFUNCTION("""COMPUTED_VALUE"""),"Prodloužení existující microsite, bez úprav")</f>
        <v>Prodloužení existující microsite, bez úprav</v>
      </c>
    </row>
    <row r="923" spans="1:47" x14ac:dyDescent="0.3">
      <c r="A923" s="3">
        <f ca="1"/>
        <v>2346826</v>
      </c>
      <c r="B923" s="3" t="str">
        <f ca="1"/>
        <v>CZECH NEWS CENTER a. s.</v>
      </c>
      <c r="C923" s="3" t="str">
        <f ca="1">IFERROR(__xludf.DUMMYFUNCTION("""COMPUTED_VALUE"""),"Recepty")</f>
        <v>Recepty</v>
      </c>
      <c r="D923" s="4" t="str">
        <f ca="1">IFERROR(__xludf.DUMMYFUNCTION("""COMPUTED_VALUE"""),"https://recepty.cz")</f>
        <v>https://recepty.cz</v>
      </c>
      <c r="E923" s="3" t="str">
        <f ca="1">IFERROR(__xludf.DUMMYFUNCTION("""COMPUTED_VALUE"""),"celý web")</f>
        <v>celý web</v>
      </c>
      <c r="F923" s="4" t="str">
        <f ca="1">IFERROR(__xludf.DUMMYFUNCTION("""COMPUTED_VALUE"""),"https://recepty.cz")</f>
        <v>https://recepty.cz</v>
      </c>
      <c r="G923" s="3" t="str">
        <f ca="1">IFERROR(__xludf.DUMMYFUNCTION("""COMPUTED_VALUE"""),"Advertorial low season")</f>
        <v>Advertorial low season</v>
      </c>
      <c r="H923" s="3">
        <f ca="1">IFERROR(__xludf.DUMMYFUNCTION("""COMPUTED_VALUE"""),1)</f>
        <v>1</v>
      </c>
      <c r="I923" s="5">
        <f ca="1">IFERROR(__xludf.DUMMYFUNCTION("""COMPUTED_VALUE"""),1)</f>
        <v>1</v>
      </c>
      <c r="J923" s="5">
        <f ca="1">IFERROR(__xludf.DUMMYFUNCTION("""COMPUTED_VALUE"""),90000)</f>
        <v>90000</v>
      </c>
      <c r="K923" s="3"/>
      <c r="L923" s="3" t="str">
        <f ca="1">IFERROR(__xludf.DUMMYFUNCTION("""COMPUTED_VALUE"""),"Cost per instance")</f>
        <v>Cost per instance</v>
      </c>
      <c r="M923" s="3"/>
      <c r="N923" s="3"/>
      <c r="O923" s="3"/>
      <c r="P923" s="3"/>
      <c r="Q923" s="3"/>
      <c r="R923" s="3"/>
      <c r="S923" s="3" t="str">
        <f ca="1">IFERROR(__xludf.DUMMYFUNCTION("""COMPUTED_VALUE"""),"100")</f>
        <v>100</v>
      </c>
      <c r="T923" s="3"/>
      <c r="U923" s="3" t="str">
        <f ca="1">IFERROR(__xludf.DUMMYFUNCTION("""COMPUTED_VALUE"""),"pr článek")</f>
        <v>pr článek</v>
      </c>
      <c r="V923" s="3"/>
      <c r="W923" s="3"/>
      <c r="X923" s="3"/>
      <c r="Y923" s="3"/>
      <c r="Z923" s="3" t="str">
        <f ca="1">IFERROR(__xludf.DUMMYFUNCTION("""COMPUTED_VALUE"""),"podklady@cncenter.cz")</f>
        <v>podklady@cncenter.cz</v>
      </c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 t="str">
        <f ca="1">IFERROR(__xludf.DUMMYFUNCTION("""COMPUTED_VALUE"""),"cross-device")</f>
        <v>cross-device</v>
      </c>
      <c r="AO923" s="3"/>
      <c r="AP923" s="3"/>
      <c r="AQ923" s="3"/>
      <c r="AR923" s="3"/>
      <c r="AS923" s="3"/>
      <c r="AT923" s="3"/>
      <c r="AU923" s="3" t="str">
        <f ca="1">IFERROR(__xludf.DUMMYFUNCTION("""COMPUTED_VALUE"""),"Advertorial")</f>
        <v>Advertorial</v>
      </c>
    </row>
    <row r="924" spans="1:47" x14ac:dyDescent="0.3">
      <c r="A924" s="3">
        <f ca="1"/>
        <v>2346826</v>
      </c>
      <c r="B924" s="3" t="str">
        <f ca="1"/>
        <v>CZECH NEWS CENTER a. s.</v>
      </c>
      <c r="C924" s="3" t="str">
        <f ca="1">IFERROR(__xludf.DUMMYFUNCTION("""COMPUTED_VALUE"""),"Recepty")</f>
        <v>Recepty</v>
      </c>
      <c r="D924" s="4" t="str">
        <f ca="1">IFERROR(__xludf.DUMMYFUNCTION("""COMPUTED_VALUE"""),"https://recepty.cz")</f>
        <v>https://recepty.cz</v>
      </c>
      <c r="E924" s="3" t="str">
        <f ca="1">IFERROR(__xludf.DUMMYFUNCTION("""COMPUTED_VALUE"""),"celý web")</f>
        <v>celý web</v>
      </c>
      <c r="F924" s="4" t="str">
        <f ca="1">IFERROR(__xludf.DUMMYFUNCTION("""COMPUTED_VALUE"""),"https://recepty.cz")</f>
        <v>https://recepty.cz</v>
      </c>
      <c r="G924" s="3" t="str">
        <f ca="1">IFERROR(__xludf.DUMMYFUNCTION("""COMPUTED_VALUE"""),"billboard bottom low season")</f>
        <v>billboard bottom low season</v>
      </c>
      <c r="H924" s="3">
        <f ca="1">IFERROR(__xludf.DUMMYFUNCTION("""COMPUTED_VALUE"""),7)</f>
        <v>7</v>
      </c>
      <c r="I924" s="5">
        <f ca="1">IFERROR(__xludf.DUMMYFUNCTION("""COMPUTED_VALUE"""),1000)</f>
        <v>1000</v>
      </c>
      <c r="J924" s="5">
        <f ca="1">IFERROR(__xludf.DUMMYFUNCTION("""COMPUTED_VALUE"""),240)</f>
        <v>240</v>
      </c>
      <c r="K924" s="3"/>
      <c r="L924" s="3" t="str">
        <f ca="1">IFERROR(__xludf.DUMMYFUNCTION("""COMPUTED_VALUE"""),"Cost per period")</f>
        <v>Cost per period</v>
      </c>
      <c r="M924" s="3"/>
      <c r="N924" s="3"/>
      <c r="O924" s="3" t="str">
        <f ca="1">IFERROR(__xludf.DUMMYFUNCTION("""COMPUTED_VALUE"""),"970")</f>
        <v>970</v>
      </c>
      <c r="P924" s="3" t="str">
        <f ca="1">IFERROR(__xludf.DUMMYFUNCTION("""COMPUTED_VALUE"""),"250")</f>
        <v>250</v>
      </c>
      <c r="Q924" s="3" t="str">
        <f ca="1">IFERROR(__xludf.DUMMYFUNCTION("""COMPUTED_VALUE"""),"970x250")</f>
        <v>970x250</v>
      </c>
      <c r="R924" s="3"/>
      <c r="S924" s="3" t="str">
        <f ca="1">IFERROR(__xludf.DUMMYFUNCTION("""COMPUTED_VALUE"""),"100 (200 - HTML5)")</f>
        <v>100 (200 - HTML5)</v>
      </c>
      <c r="T924" s="3"/>
      <c r="U924" s="3" t="str">
        <f ca="1">IFERROR(__xludf.DUMMYFUNCTION("""COMPUTED_VALUE"""),"banner standard")</f>
        <v>banner standard</v>
      </c>
      <c r="V924" s="3"/>
      <c r="W924" s="4" t="str">
        <f ca="1">IFERROR(__xludf.DUMMYFUNCTION("""COMPUTED_VALUE"""),"https://reklama.cncenter.cz/Online/billboard-bottom")</f>
        <v>https://reklama.cncenter.cz/Online/billboard-bottom</v>
      </c>
      <c r="X924" s="3"/>
      <c r="Y924" s="3"/>
      <c r="Z924" s="3" t="str">
        <f ca="1">IFERROR(__xludf.DUMMYFUNCTION("""COMPUTED_VALUE"""),"podklady@cncenter.cz")</f>
        <v>podklady@cncenter.cz</v>
      </c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 t="str">
        <f ca="1">IFERROR(__xludf.DUMMYFUNCTION("""COMPUTED_VALUE"""),"desktop")</f>
        <v>desktop</v>
      </c>
      <c r="AO924" s="3"/>
      <c r="AP924" s="3"/>
      <c r="AQ924" s="3"/>
      <c r="AR924" s="3"/>
      <c r="AS924" s="3"/>
      <c r="AT924" s="3"/>
      <c r="AU924" s="3" t="str">
        <f ca="1">IFERROR(__xludf.DUMMYFUNCTION("""COMPUTED_VALUE"""),"billboard bottom")</f>
        <v>billboard bottom</v>
      </c>
    </row>
    <row r="925" spans="1:47" x14ac:dyDescent="0.3">
      <c r="A925" s="3">
        <f ca="1"/>
        <v>2346826</v>
      </c>
      <c r="B925" s="3" t="str">
        <f ca="1"/>
        <v>CZECH NEWS CENTER a. s.</v>
      </c>
      <c r="C925" s="3" t="str">
        <f ca="1">IFERROR(__xludf.DUMMYFUNCTION("""COMPUTED_VALUE"""),"Recepty")</f>
        <v>Recepty</v>
      </c>
      <c r="D925" s="4" t="str">
        <f ca="1">IFERROR(__xludf.DUMMYFUNCTION("""COMPUTED_VALUE"""),"https://recepty.cz")</f>
        <v>https://recepty.cz</v>
      </c>
      <c r="E925" s="3" t="str">
        <f ca="1">IFERROR(__xludf.DUMMYFUNCTION("""COMPUTED_VALUE"""),"celý web")</f>
        <v>celý web</v>
      </c>
      <c r="F925" s="4" t="str">
        <f ca="1">IFERROR(__xludf.DUMMYFUNCTION("""COMPUTED_VALUE"""),"https://recepty.cz")</f>
        <v>https://recepty.cz</v>
      </c>
      <c r="G925" s="3" t="str">
        <f ca="1">IFERROR(__xludf.DUMMYFUNCTION("""COMPUTED_VALUE"""),"branding cross-device low season")</f>
        <v>branding cross-device low season</v>
      </c>
      <c r="H925" s="3">
        <f ca="1">IFERROR(__xludf.DUMMYFUNCTION("""COMPUTED_VALUE"""),7)</f>
        <v>7</v>
      </c>
      <c r="I925" s="5">
        <f ca="1">IFERROR(__xludf.DUMMYFUNCTION("""COMPUTED_VALUE"""),1000)</f>
        <v>1000</v>
      </c>
      <c r="J925" s="5">
        <f ca="1">IFERROR(__xludf.DUMMYFUNCTION("""COMPUTED_VALUE"""),300)</f>
        <v>300</v>
      </c>
      <c r="K925" s="3"/>
      <c r="L925" s="3" t="str">
        <f ca="1">IFERROR(__xludf.DUMMYFUNCTION("""COMPUTED_VALUE"""),"Cost per period")</f>
        <v>Cost per period</v>
      </c>
      <c r="M925" s="3"/>
      <c r="N925" s="3"/>
      <c r="O925" s="3" t="str">
        <f ca="1">IFERROR(__xludf.DUMMYFUNCTION("""COMPUTED_VALUE"""),"2000")</f>
        <v>2000</v>
      </c>
      <c r="P925" s="3" t="str">
        <f ca="1">IFERROR(__xludf.DUMMYFUNCTION("""COMPUTED_VALUE"""),"1400")</f>
        <v>1400</v>
      </c>
      <c r="Q925" s="3" t="str">
        <f ca="1">IFERROR(__xludf.DUMMYFUNCTION("""COMPUTED_VALUE"""),"2000x1400 + 600x1080")</f>
        <v>2000x1400 + 600x1080</v>
      </c>
      <c r="R925" s="3"/>
      <c r="S925" s="3" t="str">
        <f ca="1">IFERROR(__xludf.DUMMYFUNCTION("""COMPUTED_VALUE"""),"500 (600 - HTLM5)")</f>
        <v>500 (600 - HTLM5)</v>
      </c>
      <c r="T925" s="3"/>
      <c r="U925" s="3" t="str">
        <f ca="1">IFERROR(__xludf.DUMMYFUNCTION("""COMPUTED_VALUE"""),"banner standard")</f>
        <v>banner standard</v>
      </c>
      <c r="V925" s="3"/>
      <c r="W925" s="4" t="str">
        <f ca="1">IFERROR(__xludf.DUMMYFUNCTION("""COMPUTED_VALUE"""),"https://reklama.cncenter.cz/Online/branding-cross-device")</f>
        <v>https://reklama.cncenter.cz/Online/branding-cross-device</v>
      </c>
      <c r="X925" s="3"/>
      <c r="Y925" s="3"/>
      <c r="Z925" s="3" t="str">
        <f ca="1">IFERROR(__xludf.DUMMYFUNCTION("""COMPUTED_VALUE"""),"podklady@cncenter.cz")</f>
        <v>podklady@cncenter.cz</v>
      </c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 t="str">
        <f ca="1">IFERROR(__xludf.DUMMYFUNCTION("""COMPUTED_VALUE"""),"cross-device")</f>
        <v>cross-device</v>
      </c>
      <c r="AO925" s="3"/>
      <c r="AP925" s="3"/>
      <c r="AQ925" s="3"/>
      <c r="AR925" s="3"/>
      <c r="AS925" s="3"/>
      <c r="AT925" s="3"/>
      <c r="AU925" s="3" t="str">
        <f ca="1">IFERROR(__xludf.DUMMYFUNCTION("""COMPUTED_VALUE"""),"branding cross-device")</f>
        <v>branding cross-device</v>
      </c>
    </row>
    <row r="926" spans="1:47" x14ac:dyDescent="0.3">
      <c r="A926" s="3">
        <f ca="1"/>
        <v>2346826</v>
      </c>
      <c r="B926" s="3" t="str">
        <f ca="1"/>
        <v>CZECH NEWS CENTER a. s.</v>
      </c>
      <c r="C926" s="3" t="str">
        <f ca="1">IFERROR(__xludf.DUMMYFUNCTION("""COMPUTED_VALUE"""),"Recepty")</f>
        <v>Recepty</v>
      </c>
      <c r="D926" s="4" t="str">
        <f ca="1">IFERROR(__xludf.DUMMYFUNCTION("""COMPUTED_VALUE"""),"https://recepty.cz")</f>
        <v>https://recepty.cz</v>
      </c>
      <c r="E926" s="3" t="str">
        <f ca="1">IFERROR(__xludf.DUMMYFUNCTION("""COMPUTED_VALUE"""),"celý web")</f>
        <v>celý web</v>
      </c>
      <c r="F926" s="4" t="str">
        <f ca="1">IFERROR(__xludf.DUMMYFUNCTION("""COMPUTED_VALUE"""),"https://recepty.cz")</f>
        <v>https://recepty.cz</v>
      </c>
      <c r="G926" s="3" t="str">
        <f ca="1">IFERROR(__xludf.DUMMYFUNCTION("""COMPUTED_VALUE"""),"branding low season")</f>
        <v>branding low season</v>
      </c>
      <c r="H926" s="3">
        <f ca="1">IFERROR(__xludf.DUMMYFUNCTION("""COMPUTED_VALUE"""),7)</f>
        <v>7</v>
      </c>
      <c r="I926" s="5">
        <f ca="1">IFERROR(__xludf.DUMMYFUNCTION("""COMPUTED_VALUE"""),1000)</f>
        <v>1000</v>
      </c>
      <c r="J926" s="5">
        <f ca="1">IFERROR(__xludf.DUMMYFUNCTION("""COMPUTED_VALUE"""),490)</f>
        <v>490</v>
      </c>
      <c r="K926" s="3"/>
      <c r="L926" s="3" t="str">
        <f ca="1">IFERROR(__xludf.DUMMYFUNCTION("""COMPUTED_VALUE"""),"Cost per period")</f>
        <v>Cost per period</v>
      </c>
      <c r="M926" s="3"/>
      <c r="N926" s="3"/>
      <c r="O926" s="3" t="str">
        <f ca="1">IFERROR(__xludf.DUMMYFUNCTION("""COMPUTED_VALUE"""),"2000")</f>
        <v>2000</v>
      </c>
      <c r="P926" s="3" t="str">
        <f ca="1">IFERROR(__xludf.DUMMYFUNCTION("""COMPUTED_VALUE"""),"1400")</f>
        <v>1400</v>
      </c>
      <c r="Q926" s="3" t="str">
        <f ca="1">IFERROR(__xludf.DUMMYFUNCTION("""COMPUTED_VALUE"""),"2000x1400")</f>
        <v>2000x1400</v>
      </c>
      <c r="R926" s="3"/>
      <c r="S926" s="3" t="str">
        <f ca="1">IFERROR(__xludf.DUMMYFUNCTION("""COMPUTED_VALUE"""),"500 + 200 (600+200 HTML5)")</f>
        <v>500 + 200 (600+200 HTML5)</v>
      </c>
      <c r="T926" s="3"/>
      <c r="U926" s="3" t="str">
        <f ca="1">IFERROR(__xludf.DUMMYFUNCTION("""COMPUTED_VALUE"""),"banner standard")</f>
        <v>banner standard</v>
      </c>
      <c r="V926" s="3"/>
      <c r="W926" s="4" t="str">
        <f ca="1">IFERROR(__xludf.DUMMYFUNCTION("""COMPUTED_VALUE"""),"https://reklama.cncenter.cz/Online/branding")</f>
        <v>https://reklama.cncenter.cz/Online/branding</v>
      </c>
      <c r="X926" s="3"/>
      <c r="Y926" s="3"/>
      <c r="Z926" s="3" t="str">
        <f ca="1">IFERROR(__xludf.DUMMYFUNCTION("""COMPUTED_VALUE"""),"podklady@cncenter.cz")</f>
        <v>podklady@cncenter.cz</v>
      </c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 t="str">
        <f ca="1">IFERROR(__xludf.DUMMYFUNCTION("""COMPUTED_VALUE"""),"desktop")</f>
        <v>desktop</v>
      </c>
      <c r="AO926" s="3"/>
      <c r="AP926" s="3"/>
      <c r="AQ926" s="3"/>
      <c r="AR926" s="3"/>
      <c r="AS926" s="3"/>
      <c r="AT926" s="3"/>
      <c r="AU926" s="3" t="str">
        <f ca="1">IFERROR(__xludf.DUMMYFUNCTION("""COMPUTED_VALUE"""),"branding")</f>
        <v>branding</v>
      </c>
    </row>
    <row r="927" spans="1:47" x14ac:dyDescent="0.3">
      <c r="A927" s="3">
        <f ca="1"/>
        <v>2346826</v>
      </c>
      <c r="B927" s="3" t="str">
        <f ca="1"/>
        <v>CZECH NEWS CENTER a. s.</v>
      </c>
      <c r="C927" s="3" t="str">
        <f ca="1">IFERROR(__xludf.DUMMYFUNCTION("""COMPUTED_VALUE"""),"Recepty")</f>
        <v>Recepty</v>
      </c>
      <c r="D927" s="4" t="str">
        <f ca="1">IFERROR(__xludf.DUMMYFUNCTION("""COMPUTED_VALUE"""),"https://recepty.cz")</f>
        <v>https://recepty.cz</v>
      </c>
      <c r="E927" s="3" t="str">
        <f ca="1">IFERROR(__xludf.DUMMYFUNCTION("""COMPUTED_VALUE"""),"celý web")</f>
        <v>celý web</v>
      </c>
      <c r="F927" s="4" t="str">
        <f ca="1">IFERROR(__xludf.DUMMYFUNCTION("""COMPUTED_VALUE"""),"https://recepty.cz")</f>
        <v>https://recepty.cz</v>
      </c>
      <c r="G927" s="3" t="str">
        <f ca="1">IFERROR(__xludf.DUMMYFUNCTION("""COMPUTED_VALUE"""),"cílený billboard bottom low season")</f>
        <v>cílený billboard bottom low season</v>
      </c>
      <c r="H927" s="3">
        <f ca="1">IFERROR(__xludf.DUMMYFUNCTION("""COMPUTED_VALUE"""),7)</f>
        <v>7</v>
      </c>
      <c r="I927" s="5">
        <f ca="1">IFERROR(__xludf.DUMMYFUNCTION("""COMPUTED_VALUE"""),1000)</f>
        <v>1000</v>
      </c>
      <c r="J927" s="5">
        <f ca="1">IFERROR(__xludf.DUMMYFUNCTION("""COMPUTED_VALUE"""),288)</f>
        <v>288</v>
      </c>
      <c r="K927" s="3"/>
      <c r="L927" s="3" t="str">
        <f ca="1">IFERROR(__xludf.DUMMYFUNCTION("""COMPUTED_VALUE"""),"Cost per period")</f>
        <v>Cost per period</v>
      </c>
      <c r="M927" s="3"/>
      <c r="N927" s="3"/>
      <c r="O927" s="3" t="str">
        <f ca="1">IFERROR(__xludf.DUMMYFUNCTION("""COMPUTED_VALUE"""),"970")</f>
        <v>970</v>
      </c>
      <c r="P927" s="3" t="str">
        <f ca="1">IFERROR(__xludf.DUMMYFUNCTION("""COMPUTED_VALUE"""),"250")</f>
        <v>250</v>
      </c>
      <c r="Q927" s="3" t="str">
        <f ca="1">IFERROR(__xludf.DUMMYFUNCTION("""COMPUTED_VALUE"""),"970x250")</f>
        <v>970x250</v>
      </c>
      <c r="R927" s="3"/>
      <c r="S927" s="3" t="str">
        <f ca="1">IFERROR(__xludf.DUMMYFUNCTION("""COMPUTED_VALUE"""),"100 (200 - HTML5)")</f>
        <v>100 (200 - HTML5)</v>
      </c>
      <c r="T927" s="3"/>
      <c r="U927" s="3" t="str">
        <f ca="1">IFERROR(__xludf.DUMMYFUNCTION("""COMPUTED_VALUE"""),"banner standard")</f>
        <v>banner standard</v>
      </c>
      <c r="V927" s="3"/>
      <c r="W927" s="4" t="str">
        <f ca="1">IFERROR(__xludf.DUMMYFUNCTION("""COMPUTED_VALUE"""),"https://reklama.cncenter.cz/Online/billboard-bottom")</f>
        <v>https://reklama.cncenter.cz/Online/billboard-bottom</v>
      </c>
      <c r="X927" s="3"/>
      <c r="Y927" s="3"/>
      <c r="Z927" s="3" t="str">
        <f ca="1">IFERROR(__xludf.DUMMYFUNCTION("""COMPUTED_VALUE"""),"podklady@cncenter.cz")</f>
        <v>podklady@cncenter.cz</v>
      </c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 t="str">
        <f ca="1">IFERROR(__xludf.DUMMYFUNCTION("""COMPUTED_VALUE"""),"desktop")</f>
        <v>desktop</v>
      </c>
      <c r="AO927" s="3"/>
      <c r="AP927" s="3"/>
      <c r="AQ927" s="3"/>
      <c r="AR927" s="3"/>
      <c r="AS927" s="3"/>
      <c r="AT927" s="3"/>
      <c r="AU927" s="3" t="str">
        <f ca="1">IFERROR(__xludf.DUMMYFUNCTION("""COMPUTED_VALUE"""),"cílený billboard bottom")</f>
        <v>cílený billboard bottom</v>
      </c>
    </row>
    <row r="928" spans="1:47" x14ac:dyDescent="0.3">
      <c r="A928" s="3">
        <f ca="1"/>
        <v>2346826</v>
      </c>
      <c r="B928" s="3" t="str">
        <f ca="1"/>
        <v>CZECH NEWS CENTER a. s.</v>
      </c>
      <c r="C928" s="3" t="str">
        <f ca="1">IFERROR(__xludf.DUMMYFUNCTION("""COMPUTED_VALUE"""),"Recepty")</f>
        <v>Recepty</v>
      </c>
      <c r="D928" s="4" t="str">
        <f ca="1">IFERROR(__xludf.DUMMYFUNCTION("""COMPUTED_VALUE"""),"https://recepty.cz")</f>
        <v>https://recepty.cz</v>
      </c>
      <c r="E928" s="3" t="str">
        <f ca="1">IFERROR(__xludf.DUMMYFUNCTION("""COMPUTED_VALUE"""),"celý web")</f>
        <v>celý web</v>
      </c>
      <c r="F928" s="4" t="str">
        <f ca="1">IFERROR(__xludf.DUMMYFUNCTION("""COMPUTED_VALUE"""),"https://recepty.cz")</f>
        <v>https://recepty.cz</v>
      </c>
      <c r="G928" s="3" t="str">
        <f ca="1">IFERROR(__xludf.DUMMYFUNCTION("""COMPUTED_VALUE"""),"cílený branding cross-device low season")</f>
        <v>cílený branding cross-device low season</v>
      </c>
      <c r="H928" s="3">
        <f ca="1">IFERROR(__xludf.DUMMYFUNCTION("""COMPUTED_VALUE"""),7)</f>
        <v>7</v>
      </c>
      <c r="I928" s="5">
        <f ca="1">IFERROR(__xludf.DUMMYFUNCTION("""COMPUTED_VALUE"""),1000)</f>
        <v>1000</v>
      </c>
      <c r="J928" s="5">
        <f ca="1">IFERROR(__xludf.DUMMYFUNCTION("""COMPUTED_VALUE"""),360)</f>
        <v>360</v>
      </c>
      <c r="K928" s="3"/>
      <c r="L928" s="3" t="str">
        <f ca="1">IFERROR(__xludf.DUMMYFUNCTION("""COMPUTED_VALUE"""),"Cost per period")</f>
        <v>Cost per period</v>
      </c>
      <c r="M928" s="3"/>
      <c r="N928" s="3"/>
      <c r="O928" s="3" t="str">
        <f ca="1">IFERROR(__xludf.DUMMYFUNCTION("""COMPUTED_VALUE"""),"2000")</f>
        <v>2000</v>
      </c>
      <c r="P928" s="3" t="str">
        <f ca="1">IFERROR(__xludf.DUMMYFUNCTION("""COMPUTED_VALUE"""),"1400")</f>
        <v>1400</v>
      </c>
      <c r="Q928" s="3" t="str">
        <f ca="1">IFERROR(__xludf.DUMMYFUNCTION("""COMPUTED_VALUE"""),"2000x1400 + 600x1080")</f>
        <v>2000x1400 + 600x1080</v>
      </c>
      <c r="R928" s="3"/>
      <c r="S928" s="3" t="str">
        <f ca="1">IFERROR(__xludf.DUMMYFUNCTION("""COMPUTED_VALUE"""),"500 (600 - HTLM5)")</f>
        <v>500 (600 - HTLM5)</v>
      </c>
      <c r="T928" s="3"/>
      <c r="U928" s="3" t="str">
        <f ca="1">IFERROR(__xludf.DUMMYFUNCTION("""COMPUTED_VALUE"""),"banner standard")</f>
        <v>banner standard</v>
      </c>
      <c r="V928" s="3"/>
      <c r="W928" s="4" t="str">
        <f ca="1">IFERROR(__xludf.DUMMYFUNCTION("""COMPUTED_VALUE"""),"https://reklama.cncenter.cz/Online/branding-cross-device")</f>
        <v>https://reklama.cncenter.cz/Online/branding-cross-device</v>
      </c>
      <c r="X928" s="3"/>
      <c r="Y928" s="3"/>
      <c r="Z928" s="3" t="str">
        <f ca="1">IFERROR(__xludf.DUMMYFUNCTION("""COMPUTED_VALUE"""),"podklady@cncenter.cz")</f>
        <v>podklady@cncenter.cz</v>
      </c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 t="str">
        <f ca="1">IFERROR(__xludf.DUMMYFUNCTION("""COMPUTED_VALUE"""),"cross-device")</f>
        <v>cross-device</v>
      </c>
      <c r="AO928" s="3"/>
      <c r="AP928" s="3"/>
      <c r="AQ928" s="3"/>
      <c r="AR928" s="3"/>
      <c r="AS928" s="3"/>
      <c r="AT928" s="3"/>
      <c r="AU928" s="3" t="str">
        <f ca="1">IFERROR(__xludf.DUMMYFUNCTION("""COMPUTED_VALUE"""),"cílený branding cross-device")</f>
        <v>cílený branding cross-device</v>
      </c>
    </row>
    <row r="929" spans="1:47" x14ac:dyDescent="0.3">
      <c r="A929" s="3">
        <f ca="1"/>
        <v>2346826</v>
      </c>
      <c r="B929" s="3" t="str">
        <f ca="1"/>
        <v>CZECH NEWS CENTER a. s.</v>
      </c>
      <c r="C929" s="3" t="str">
        <f ca="1">IFERROR(__xludf.DUMMYFUNCTION("""COMPUTED_VALUE"""),"Recepty")</f>
        <v>Recepty</v>
      </c>
      <c r="D929" s="4" t="str">
        <f ca="1">IFERROR(__xludf.DUMMYFUNCTION("""COMPUTED_VALUE"""),"https://recepty.cz")</f>
        <v>https://recepty.cz</v>
      </c>
      <c r="E929" s="3" t="str">
        <f ca="1">IFERROR(__xludf.DUMMYFUNCTION("""COMPUTED_VALUE"""),"celý web")</f>
        <v>celý web</v>
      </c>
      <c r="F929" s="4" t="str">
        <f ca="1">IFERROR(__xludf.DUMMYFUNCTION("""COMPUTED_VALUE"""),"https://recepty.cz")</f>
        <v>https://recepty.cz</v>
      </c>
      <c r="G929" s="3" t="str">
        <f ca="1">IFERROR(__xludf.DUMMYFUNCTION("""COMPUTED_VALUE"""),"cílený branding low season")</f>
        <v>cílený branding low season</v>
      </c>
      <c r="H929" s="3">
        <f ca="1">IFERROR(__xludf.DUMMYFUNCTION("""COMPUTED_VALUE"""),7)</f>
        <v>7</v>
      </c>
      <c r="I929" s="5">
        <f ca="1">IFERROR(__xludf.DUMMYFUNCTION("""COMPUTED_VALUE"""),1000)</f>
        <v>1000</v>
      </c>
      <c r="J929" s="5">
        <f ca="1">IFERROR(__xludf.DUMMYFUNCTION("""COMPUTED_VALUE"""),588)</f>
        <v>588</v>
      </c>
      <c r="K929" s="3"/>
      <c r="L929" s="3" t="str">
        <f ca="1">IFERROR(__xludf.DUMMYFUNCTION("""COMPUTED_VALUE"""),"Cost per period")</f>
        <v>Cost per period</v>
      </c>
      <c r="M929" s="3"/>
      <c r="N929" s="3"/>
      <c r="O929" s="3" t="str">
        <f ca="1">IFERROR(__xludf.DUMMYFUNCTION("""COMPUTED_VALUE"""),"2000")</f>
        <v>2000</v>
      </c>
      <c r="P929" s="3" t="str">
        <f ca="1">IFERROR(__xludf.DUMMYFUNCTION("""COMPUTED_VALUE"""),"1400")</f>
        <v>1400</v>
      </c>
      <c r="Q929" s="3" t="str">
        <f ca="1">IFERROR(__xludf.DUMMYFUNCTION("""COMPUTED_VALUE"""),"2000x1400")</f>
        <v>2000x1400</v>
      </c>
      <c r="R929" s="3"/>
      <c r="S929" s="3" t="str">
        <f ca="1">IFERROR(__xludf.DUMMYFUNCTION("""COMPUTED_VALUE"""),"500 + 200 (600+200 HTML5)")</f>
        <v>500 + 200 (600+200 HTML5)</v>
      </c>
      <c r="T929" s="3"/>
      <c r="U929" s="3" t="str">
        <f ca="1">IFERROR(__xludf.DUMMYFUNCTION("""COMPUTED_VALUE"""),"banner standard")</f>
        <v>banner standard</v>
      </c>
      <c r="V929" s="3"/>
      <c r="W929" s="4" t="str">
        <f ca="1">IFERROR(__xludf.DUMMYFUNCTION("""COMPUTED_VALUE"""),"https://reklama.cncenter.cz/Online/branding")</f>
        <v>https://reklama.cncenter.cz/Online/branding</v>
      </c>
      <c r="X929" s="3"/>
      <c r="Y929" s="3"/>
      <c r="Z929" s="3" t="str">
        <f ca="1">IFERROR(__xludf.DUMMYFUNCTION("""COMPUTED_VALUE"""),"podklady@cncenter.cz")</f>
        <v>podklady@cncenter.cz</v>
      </c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 t="str">
        <f ca="1">IFERROR(__xludf.DUMMYFUNCTION("""COMPUTED_VALUE"""),"desktop")</f>
        <v>desktop</v>
      </c>
      <c r="AO929" s="3"/>
      <c r="AP929" s="3"/>
      <c r="AQ929" s="3"/>
      <c r="AR929" s="3"/>
      <c r="AS929" s="3"/>
      <c r="AT929" s="3"/>
      <c r="AU929" s="3" t="str">
        <f ca="1">IFERROR(__xludf.DUMMYFUNCTION("""COMPUTED_VALUE"""),"cílený branding")</f>
        <v>cílený branding</v>
      </c>
    </row>
    <row r="930" spans="1:47" x14ac:dyDescent="0.3">
      <c r="A930" s="3">
        <f ca="1"/>
        <v>2346826</v>
      </c>
      <c r="B930" s="3" t="str">
        <f ca="1"/>
        <v>CZECH NEWS CENTER a. s.</v>
      </c>
      <c r="C930" s="3" t="str">
        <f ca="1">IFERROR(__xludf.DUMMYFUNCTION("""COMPUTED_VALUE"""),"Recepty")</f>
        <v>Recepty</v>
      </c>
      <c r="D930" s="4" t="str">
        <f ca="1">IFERROR(__xludf.DUMMYFUNCTION("""COMPUTED_VALUE"""),"https://recepty.cz")</f>
        <v>https://recepty.cz</v>
      </c>
      <c r="E930" s="3" t="str">
        <f ca="1">IFERROR(__xludf.DUMMYFUNCTION("""COMPUTED_VALUE"""),"celý web")</f>
        <v>celý web</v>
      </c>
      <c r="F930" s="4" t="str">
        <f ca="1">IFERROR(__xludf.DUMMYFUNCTION("""COMPUTED_VALUE"""),"https://recepty.cz")</f>
        <v>https://recepty.cz</v>
      </c>
      <c r="G930" s="3" t="str">
        <f ca="1">IFERROR(__xludf.DUMMYFUNCTION("""COMPUTED_VALUE"""),"cílený double skyscraper low season")</f>
        <v>cílený double skyscraper low season</v>
      </c>
      <c r="H930" s="3">
        <f ca="1">IFERROR(__xludf.DUMMYFUNCTION("""COMPUTED_VALUE"""),7)</f>
        <v>7</v>
      </c>
      <c r="I930" s="5">
        <f ca="1">IFERROR(__xludf.DUMMYFUNCTION("""COMPUTED_VALUE"""),1000)</f>
        <v>1000</v>
      </c>
      <c r="J930" s="5">
        <f ca="1">IFERROR(__xludf.DUMMYFUNCTION("""COMPUTED_VALUE"""),228)</f>
        <v>228</v>
      </c>
      <c r="K930" s="3"/>
      <c r="L930" s="3" t="str">
        <f ca="1">IFERROR(__xludf.DUMMYFUNCTION("""COMPUTED_VALUE"""),"Cost per period")</f>
        <v>Cost per period</v>
      </c>
      <c r="M930" s="3"/>
      <c r="N930" s="3"/>
      <c r="O930" s="3" t="str">
        <f ca="1">IFERROR(__xludf.DUMMYFUNCTION("""COMPUTED_VALUE"""),"300")</f>
        <v>300</v>
      </c>
      <c r="P930" s="3" t="str">
        <f ca="1">IFERROR(__xludf.DUMMYFUNCTION("""COMPUTED_VALUE"""),"600")</f>
        <v>600</v>
      </c>
      <c r="Q930" s="3" t="str">
        <f ca="1">IFERROR(__xludf.DUMMYFUNCTION("""COMPUTED_VALUE"""),"300x600")</f>
        <v>300x600</v>
      </c>
      <c r="R930" s="3"/>
      <c r="S930" s="3" t="str">
        <f ca="1">IFERROR(__xludf.DUMMYFUNCTION("""COMPUTED_VALUE"""),"100 (200 - HTML5)")</f>
        <v>100 (200 - HTML5)</v>
      </c>
      <c r="T930" s="3"/>
      <c r="U930" s="3" t="str">
        <f ca="1">IFERROR(__xludf.DUMMYFUNCTION("""COMPUTED_VALUE"""),"banner standard")</f>
        <v>banner standard</v>
      </c>
      <c r="V930" s="3"/>
      <c r="W930" s="4" t="str">
        <f ca="1">IFERROR(__xludf.DUMMYFUNCTION("""COMPUTED_VALUE"""),"https://reklama.cncenter.cz/Online/double-skyscraper")</f>
        <v>https://reklama.cncenter.cz/Online/double-skyscraper</v>
      </c>
      <c r="X930" s="3"/>
      <c r="Y930" s="3"/>
      <c r="Z930" s="3" t="str">
        <f ca="1">IFERROR(__xludf.DUMMYFUNCTION("""COMPUTED_VALUE"""),"podklady@cncenter.cz")</f>
        <v>podklady@cncenter.cz</v>
      </c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 t="str">
        <f ca="1">IFERROR(__xludf.DUMMYFUNCTION("""COMPUTED_VALUE"""),"desktop")</f>
        <v>desktop</v>
      </c>
      <c r="AO930" s="3"/>
      <c r="AP930" s="3"/>
      <c r="AQ930" s="3"/>
      <c r="AR930" s="3"/>
      <c r="AS930" s="3"/>
      <c r="AT930" s="3"/>
      <c r="AU930" s="3" t="str">
        <f ca="1">IFERROR(__xludf.DUMMYFUNCTION("""COMPUTED_VALUE"""),"cílený double skyscraper")</f>
        <v>cílený double skyscraper</v>
      </c>
    </row>
    <row r="931" spans="1:47" x14ac:dyDescent="0.3">
      <c r="A931" s="3">
        <f ca="1"/>
        <v>2346826</v>
      </c>
      <c r="B931" s="3" t="str">
        <f ca="1"/>
        <v>CZECH NEWS CENTER a. s.</v>
      </c>
      <c r="C931" s="3" t="str">
        <f ca="1">IFERROR(__xludf.DUMMYFUNCTION("""COMPUTED_VALUE"""),"Recepty")</f>
        <v>Recepty</v>
      </c>
      <c r="D931" s="4" t="str">
        <f ca="1">IFERROR(__xludf.DUMMYFUNCTION("""COMPUTED_VALUE"""),"https://recepty.cz")</f>
        <v>https://recepty.cz</v>
      </c>
      <c r="E931" s="3" t="str">
        <f ca="1">IFERROR(__xludf.DUMMYFUNCTION("""COMPUTED_VALUE"""),"celý web")</f>
        <v>celý web</v>
      </c>
      <c r="F931" s="4" t="str">
        <f ca="1">IFERROR(__xludf.DUMMYFUNCTION("""COMPUTED_VALUE"""),"https://recepty.cz")</f>
        <v>https://recepty.cz</v>
      </c>
      <c r="G931" s="3" t="str">
        <f ca="1">IFERROR(__xludf.DUMMYFUNCTION("""COMPUTED_VALUE"""),"cílený mini videospot - max. 30 sec. low season")</f>
        <v>cílený mini videospot - max. 30 sec. low season</v>
      </c>
      <c r="H931" s="3">
        <f ca="1">IFERROR(__xludf.DUMMYFUNCTION("""COMPUTED_VALUE"""),7)</f>
        <v>7</v>
      </c>
      <c r="I931" s="5">
        <f ca="1">IFERROR(__xludf.DUMMYFUNCTION("""COMPUTED_VALUE"""),1000)</f>
        <v>1000</v>
      </c>
      <c r="J931" s="5">
        <f ca="1">IFERROR(__xludf.DUMMYFUNCTION("""COMPUTED_VALUE"""),168)</f>
        <v>168</v>
      </c>
      <c r="K931" s="3"/>
      <c r="L931" s="3" t="str">
        <f ca="1">IFERROR(__xludf.DUMMYFUNCTION("""COMPUTED_VALUE"""),"Cost per period")</f>
        <v>Cost per period</v>
      </c>
      <c r="M931" s="3"/>
      <c r="N931" s="3"/>
      <c r="O931" s="3"/>
      <c r="P931" s="3"/>
      <c r="Q931" s="3" t="str">
        <f ca="1">IFERROR(__xludf.DUMMYFUNCTION("""COMPUTED_VALUE"""),"16:9 / umístění po domluvě dle možností")</f>
        <v>16:9 / umístění po domluvě dle možností</v>
      </c>
      <c r="R931" s="3" t="str">
        <f ca="1">IFERROR(__xludf.DUMMYFUNCTION("""COMPUTED_VALUE"""),"přeskočení po 7 sekundách")</f>
        <v>přeskočení po 7 sekundách</v>
      </c>
      <c r="S931" s="3" t="str">
        <f ca="1">IFERROR(__xludf.DUMMYFUNCTION("""COMPUTED_VALUE"""),"100")</f>
        <v>100</v>
      </c>
      <c r="T931" s="3"/>
      <c r="U931" s="3" t="str">
        <f ca="1">IFERROR(__xludf.DUMMYFUNCTION("""COMPUTED_VALUE"""),"videospot")</f>
        <v>videospot</v>
      </c>
      <c r="V931" s="3"/>
      <c r="W931" s="4" t="str">
        <f ca="1">IFERROR(__xludf.DUMMYFUNCTION("""COMPUTED_VALUE"""),"https://reklama.cncenter.cz/Online/Videospot")</f>
        <v>https://reklama.cncenter.cz/Online/Videospot</v>
      </c>
      <c r="X931" s="3"/>
      <c r="Y931" s="3"/>
      <c r="Z931" s="3" t="str">
        <f ca="1">IFERROR(__xludf.DUMMYFUNCTION("""COMPUTED_VALUE"""),"podklady@cncenter.cz")</f>
        <v>podklady@cncenter.cz</v>
      </c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 t="str">
        <f ca="1">IFERROR(__xludf.DUMMYFUNCTION("""COMPUTED_VALUE"""),"desktop")</f>
        <v>desktop</v>
      </c>
      <c r="AO931" s="3"/>
      <c r="AP931" s="3"/>
      <c r="AQ931" s="3"/>
      <c r="AR931" s="3"/>
      <c r="AS931" s="3"/>
      <c r="AT931" s="3"/>
      <c r="AU931" s="3" t="str">
        <f ca="1">IFERROR(__xludf.DUMMYFUNCTION("""COMPUTED_VALUE"""),"cílený mini videospot - max. 30 sec.")</f>
        <v>cílený mini videospot - max. 30 sec.</v>
      </c>
    </row>
    <row r="932" spans="1:47" x14ac:dyDescent="0.3">
      <c r="A932" s="3">
        <f ca="1"/>
        <v>2346826</v>
      </c>
      <c r="B932" s="3" t="str">
        <f ca="1"/>
        <v>CZECH NEWS CENTER a. s.</v>
      </c>
      <c r="C932" s="3" t="str">
        <f ca="1">IFERROR(__xludf.DUMMYFUNCTION("""COMPUTED_VALUE"""),"Recepty")</f>
        <v>Recepty</v>
      </c>
      <c r="D932" s="4" t="str">
        <f ca="1">IFERROR(__xludf.DUMMYFUNCTION("""COMPUTED_VALUE"""),"https://recepty.cz")</f>
        <v>https://recepty.cz</v>
      </c>
      <c r="E932" s="3" t="str">
        <f ca="1">IFERROR(__xludf.DUMMYFUNCTION("""COMPUTED_VALUE"""),"celý web")</f>
        <v>celý web</v>
      </c>
      <c r="F932" s="4" t="str">
        <f ca="1">IFERROR(__xludf.DUMMYFUNCTION("""COMPUTED_VALUE"""),"https://recepty.cz")</f>
        <v>https://recepty.cz</v>
      </c>
      <c r="G932" s="3" t="str">
        <f ca="1">IFERROR(__xludf.DUMMYFUNCTION("""COMPUTED_VALUE"""),"cílený mobilní interscroller low season")</f>
        <v>cílený mobilní interscroller low season</v>
      </c>
      <c r="H932" s="3">
        <f ca="1">IFERROR(__xludf.DUMMYFUNCTION("""COMPUTED_VALUE"""),7)</f>
        <v>7</v>
      </c>
      <c r="I932" s="5">
        <f ca="1">IFERROR(__xludf.DUMMYFUNCTION("""COMPUTED_VALUE"""),1000)</f>
        <v>1000</v>
      </c>
      <c r="J932" s="5">
        <f ca="1">IFERROR(__xludf.DUMMYFUNCTION("""COMPUTED_VALUE"""),300)</f>
        <v>300</v>
      </c>
      <c r="K932" s="3"/>
      <c r="L932" s="3" t="str">
        <f ca="1">IFERROR(__xludf.DUMMYFUNCTION("""COMPUTED_VALUE"""),"Cost per period")</f>
        <v>Cost per period</v>
      </c>
      <c r="M932" s="3"/>
      <c r="N932" s="3"/>
      <c r="O932" s="3" t="str">
        <f ca="1">IFERROR(__xludf.DUMMYFUNCTION("""COMPUTED_VALUE"""),"600")</f>
        <v>600</v>
      </c>
      <c r="P932" s="3" t="str">
        <f ca="1">IFERROR(__xludf.DUMMYFUNCTION("""COMPUTED_VALUE"""),"1080")</f>
        <v>1080</v>
      </c>
      <c r="Q932" s="3" t="str">
        <f ca="1">IFERROR(__xludf.DUMMYFUNCTION("""COMPUTED_VALUE"""),"600x1080")</f>
        <v>600x1080</v>
      </c>
      <c r="R932" s="3"/>
      <c r="S932" s="3" t="str">
        <f ca="1">IFERROR(__xludf.DUMMYFUNCTION("""COMPUTED_VALUE"""),"200")</f>
        <v>200</v>
      </c>
      <c r="T932" s="3"/>
      <c r="U932" s="3" t="str">
        <f ca="1">IFERROR(__xludf.DUMMYFUNCTION("""COMPUTED_VALUE"""),"banner standard")</f>
        <v>banner standard</v>
      </c>
      <c r="V932" s="3"/>
      <c r="W932" s="4" t="str">
        <f ca="1">IFERROR(__xludf.DUMMYFUNCTION("""COMPUTED_VALUE"""),"https://reklama.cncenter.cz/Online/mobilni-interscroller")</f>
        <v>https://reklama.cncenter.cz/Online/mobilni-interscroller</v>
      </c>
      <c r="X932" s="3"/>
      <c r="Y932" s="3"/>
      <c r="Z932" s="3" t="str">
        <f ca="1">IFERROR(__xludf.DUMMYFUNCTION("""COMPUTED_VALUE"""),"podklady@cncenter.cz")</f>
        <v>podklady@cncenter.cz</v>
      </c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 t="str">
        <f ca="1">IFERROR(__xludf.DUMMYFUNCTION("""COMPUTED_VALUE"""),"mobile")</f>
        <v>mobile</v>
      </c>
      <c r="AO932" s="3"/>
      <c r="AP932" s="3"/>
      <c r="AQ932" s="3"/>
      <c r="AR932" s="3"/>
      <c r="AS932" s="3"/>
      <c r="AT932" s="3"/>
      <c r="AU932" s="3" t="str">
        <f ca="1">IFERROR(__xludf.DUMMYFUNCTION("""COMPUTED_VALUE"""),"cílený mobilní interscroller")</f>
        <v>cílený mobilní interscroller</v>
      </c>
    </row>
    <row r="933" spans="1:47" x14ac:dyDescent="0.3">
      <c r="A933" s="3">
        <f ca="1"/>
        <v>2346826</v>
      </c>
      <c r="B933" s="3" t="str">
        <f ca="1"/>
        <v>CZECH NEWS CENTER a. s.</v>
      </c>
      <c r="C933" s="3" t="str">
        <f ca="1">IFERROR(__xludf.DUMMYFUNCTION("""COMPUTED_VALUE"""),"Recepty")</f>
        <v>Recepty</v>
      </c>
      <c r="D933" s="4" t="str">
        <f ca="1">IFERROR(__xludf.DUMMYFUNCTION("""COMPUTED_VALUE"""),"https://recepty.cz")</f>
        <v>https://recepty.cz</v>
      </c>
      <c r="E933" s="3" t="str">
        <f ca="1">IFERROR(__xludf.DUMMYFUNCTION("""COMPUTED_VALUE"""),"celý web")</f>
        <v>celý web</v>
      </c>
      <c r="F933" s="4" t="str">
        <f ca="1">IFERROR(__xludf.DUMMYFUNCTION("""COMPUTED_VALUE"""),"https://recepty.cz")</f>
        <v>https://recepty.cz</v>
      </c>
      <c r="G933" s="3" t="str">
        <f ca="1">IFERROR(__xludf.DUMMYFUNCTION("""COMPUTED_VALUE"""),"cílený mobilní slide-up low season")</f>
        <v>cílený mobilní slide-up low season</v>
      </c>
      <c r="H933" s="3">
        <f ca="1">IFERROR(__xludf.DUMMYFUNCTION("""COMPUTED_VALUE"""),7)</f>
        <v>7</v>
      </c>
      <c r="I933" s="5">
        <f ca="1">IFERROR(__xludf.DUMMYFUNCTION("""COMPUTED_VALUE"""),1000)</f>
        <v>1000</v>
      </c>
      <c r="J933" s="5">
        <f ca="1">IFERROR(__xludf.DUMMYFUNCTION("""COMPUTED_VALUE"""),612)</f>
        <v>612</v>
      </c>
      <c r="K933" s="3"/>
      <c r="L933" s="3" t="str">
        <f ca="1">IFERROR(__xludf.DUMMYFUNCTION("""COMPUTED_VALUE"""),"Cost per period")</f>
        <v>Cost per period</v>
      </c>
      <c r="M933" s="3"/>
      <c r="N933" s="3"/>
      <c r="O933" s="3" t="str">
        <f ca="1">IFERROR(__xludf.DUMMYFUNCTION("""COMPUTED_VALUE"""),"300")</f>
        <v>300</v>
      </c>
      <c r="P933" s="3" t="str">
        <f ca="1">IFERROR(__xludf.DUMMYFUNCTION("""COMPUTED_VALUE"""),"120")</f>
        <v>120</v>
      </c>
      <c r="Q933" s="3" t="str">
        <f ca="1">IFERROR(__xludf.DUMMYFUNCTION("""COMPUTED_VALUE"""),"300x120")</f>
        <v>300x120</v>
      </c>
      <c r="R933" s="3"/>
      <c r="S933" s="3" t="str">
        <f ca="1">IFERROR(__xludf.DUMMYFUNCTION("""COMPUTED_VALUE"""),"100")</f>
        <v>100</v>
      </c>
      <c r="T933" s="3"/>
      <c r="U933" s="3" t="str">
        <f ca="1">IFERROR(__xludf.DUMMYFUNCTION("""COMPUTED_VALUE"""),"banner standard")</f>
        <v>banner standard</v>
      </c>
      <c r="V933" s="3"/>
      <c r="W933" s="4" t="str">
        <f ca="1">IFERROR(__xludf.DUMMYFUNCTION("""COMPUTED_VALUE"""),"https://reklama.cncenter.cz/Online/mobilni-slide-up")</f>
        <v>https://reklama.cncenter.cz/Online/mobilni-slide-up</v>
      </c>
      <c r="X933" s="3"/>
      <c r="Y933" s="3"/>
      <c r="Z933" s="3" t="str">
        <f ca="1">IFERROR(__xludf.DUMMYFUNCTION("""COMPUTED_VALUE"""),"podklady@cncenter.cz")</f>
        <v>podklady@cncenter.cz</v>
      </c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 t="str">
        <f ca="1">IFERROR(__xludf.DUMMYFUNCTION("""COMPUTED_VALUE"""),"mobile")</f>
        <v>mobile</v>
      </c>
      <c r="AO933" s="3"/>
      <c r="AP933" s="3"/>
      <c r="AQ933" s="3"/>
      <c r="AR933" s="3"/>
      <c r="AS933" s="3"/>
      <c r="AT933" s="3"/>
      <c r="AU933" s="3" t="str">
        <f ca="1">IFERROR(__xludf.DUMMYFUNCTION("""COMPUTED_VALUE"""),"cílený mobilní slide-up")</f>
        <v>cílený mobilní slide-up</v>
      </c>
    </row>
    <row r="934" spans="1:47" x14ac:dyDescent="0.3">
      <c r="A934" s="3">
        <f ca="1"/>
        <v>2346826</v>
      </c>
      <c r="B934" s="3" t="str">
        <f ca="1"/>
        <v>CZECH NEWS CENTER a. s.</v>
      </c>
      <c r="C934" s="3" t="str">
        <f ca="1">IFERROR(__xludf.DUMMYFUNCTION("""COMPUTED_VALUE"""),"Recepty")</f>
        <v>Recepty</v>
      </c>
      <c r="D934" s="4" t="str">
        <f ca="1">IFERROR(__xludf.DUMMYFUNCTION("""COMPUTED_VALUE"""),"https://recepty.cz")</f>
        <v>https://recepty.cz</v>
      </c>
      <c r="E934" s="3" t="str">
        <f ca="1">IFERROR(__xludf.DUMMYFUNCTION("""COMPUTED_VALUE"""),"celý web")</f>
        <v>celý web</v>
      </c>
      <c r="F934" s="4" t="str">
        <f ca="1">IFERROR(__xludf.DUMMYFUNCTION("""COMPUTED_VALUE"""),"https://recepty.cz")</f>
        <v>https://recepty.cz</v>
      </c>
      <c r="G934" s="3" t="str">
        <f ca="1">IFERROR(__xludf.DUMMYFUNCTION("""COMPUTED_VALUE"""),"cílený mobilní viněta low season")</f>
        <v>cílený mobilní viněta low season</v>
      </c>
      <c r="H934" s="3">
        <f ca="1">IFERROR(__xludf.DUMMYFUNCTION("""COMPUTED_VALUE"""),7)</f>
        <v>7</v>
      </c>
      <c r="I934" s="5">
        <f ca="1">IFERROR(__xludf.DUMMYFUNCTION("""COMPUTED_VALUE"""),1000)</f>
        <v>1000</v>
      </c>
      <c r="J934" s="5">
        <f ca="1">IFERROR(__xludf.DUMMYFUNCTION("""COMPUTED_VALUE"""),1056)</f>
        <v>1056</v>
      </c>
      <c r="K934" s="3"/>
      <c r="L934" s="3" t="str">
        <f ca="1">IFERROR(__xludf.DUMMYFUNCTION("""COMPUTED_VALUE"""),"Cost per period")</f>
        <v>Cost per period</v>
      </c>
      <c r="M934" s="3"/>
      <c r="N934" s="3"/>
      <c r="O934" s="3" t="str">
        <f ca="1">IFERROR(__xludf.DUMMYFUNCTION("""COMPUTED_VALUE"""),"600")</f>
        <v>600</v>
      </c>
      <c r="P934" s="3" t="str">
        <f ca="1">IFERROR(__xludf.DUMMYFUNCTION("""COMPUTED_VALUE"""),"800")</f>
        <v>800</v>
      </c>
      <c r="Q934" s="3" t="str">
        <f ca="1">IFERROR(__xludf.DUMMYFUNCTION("""COMPUTED_VALUE"""),"300x250 nebo 600x800")</f>
        <v>300x250 nebo 600x800</v>
      </c>
      <c r="R934" s="3"/>
      <c r="S934" s="3" t="str">
        <f ca="1">IFERROR(__xludf.DUMMYFUNCTION("""COMPUTED_VALUE"""),"100")</f>
        <v>100</v>
      </c>
      <c r="T934" s="3"/>
      <c r="U934" s="3" t="str">
        <f ca="1">IFERROR(__xludf.DUMMYFUNCTION("""COMPUTED_VALUE"""),"banner standard")</f>
        <v>banner standard</v>
      </c>
      <c r="V934" s="3"/>
      <c r="W934" s="4" t="str">
        <f ca="1">IFERROR(__xludf.DUMMYFUNCTION("""COMPUTED_VALUE"""),"https://reklama.cncenter.cz/Online/mobilni-vineta")</f>
        <v>https://reklama.cncenter.cz/Online/mobilni-vineta</v>
      </c>
      <c r="X934" s="3"/>
      <c r="Y934" s="3"/>
      <c r="Z934" s="3" t="str">
        <f ca="1">IFERROR(__xludf.DUMMYFUNCTION("""COMPUTED_VALUE"""),"podklady@cncenter.cz")</f>
        <v>podklady@cncenter.cz</v>
      </c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 t="str">
        <f ca="1">IFERROR(__xludf.DUMMYFUNCTION("""COMPUTED_VALUE"""),"mobile")</f>
        <v>mobile</v>
      </c>
      <c r="AO934" s="3"/>
      <c r="AP934" s="3"/>
      <c r="AQ934" s="3"/>
      <c r="AR934" s="3"/>
      <c r="AS934" s="3"/>
      <c r="AT934" s="3"/>
      <c r="AU934" s="3" t="str">
        <f ca="1">IFERROR(__xludf.DUMMYFUNCTION("""COMPUTED_VALUE"""),"cílený mobilní viněta")</f>
        <v>cílený mobilní viněta</v>
      </c>
    </row>
    <row r="935" spans="1:47" x14ac:dyDescent="0.3">
      <c r="A935" s="3">
        <f ca="1"/>
        <v>2346826</v>
      </c>
      <c r="B935" s="3" t="str">
        <f ca="1"/>
        <v>CZECH NEWS CENTER a. s.</v>
      </c>
      <c r="C935" s="3" t="str">
        <f ca="1">IFERROR(__xludf.DUMMYFUNCTION("""COMPUTED_VALUE"""),"Recepty")</f>
        <v>Recepty</v>
      </c>
      <c r="D935" s="4" t="str">
        <f ca="1">IFERROR(__xludf.DUMMYFUNCTION("""COMPUTED_VALUE"""),"https://recepty.cz")</f>
        <v>https://recepty.cz</v>
      </c>
      <c r="E935" s="3" t="str">
        <f ca="1">IFERROR(__xludf.DUMMYFUNCTION("""COMPUTED_VALUE"""),"celý web")</f>
        <v>celý web</v>
      </c>
      <c r="F935" s="4" t="str">
        <f ca="1">IFERROR(__xludf.DUMMYFUNCTION("""COMPUTED_VALUE"""),"https://recepty.cz")</f>
        <v>https://recepty.cz</v>
      </c>
      <c r="G935" s="3" t="str">
        <f ca="1">IFERROR(__xludf.DUMMYFUNCTION("""COMPUTED_VALUE"""),"cílený nativní pr premium low season")</f>
        <v>cílený nativní pr premium low season</v>
      </c>
      <c r="H935" s="3">
        <f ca="1">IFERROR(__xludf.DUMMYFUNCTION("""COMPUTED_VALUE"""),7)</f>
        <v>7</v>
      </c>
      <c r="I935" s="5">
        <f ca="1">IFERROR(__xludf.DUMMYFUNCTION("""COMPUTED_VALUE"""),1000)</f>
        <v>1000</v>
      </c>
      <c r="J935" s="5">
        <f ca="1">IFERROR(__xludf.DUMMYFUNCTION("""COMPUTED_VALUE"""),120)</f>
        <v>120</v>
      </c>
      <c r="K935" s="3"/>
      <c r="L935" s="3" t="str">
        <f ca="1">IFERROR(__xludf.DUMMYFUNCTION("""COMPUTED_VALUE"""),"Cost per period")</f>
        <v>Cost per period</v>
      </c>
      <c r="M935" s="3"/>
      <c r="N935" s="3"/>
      <c r="O935" s="3" t="str">
        <f ca="1">IFERROR(__xludf.DUMMYFUNCTION("""COMPUTED_VALUE"""),"640")</f>
        <v>640</v>
      </c>
      <c r="P935" s="3" t="str">
        <f ca="1">IFERROR(__xludf.DUMMYFUNCTION("""COMPUTED_VALUE"""),"335, 640")</f>
        <v>335, 640</v>
      </c>
      <c r="Q935" s="3" t="str">
        <f ca="1">IFERROR(__xludf.DUMMYFUNCTION("""COMPUTED_VALUE"""),"640x640 a 640x335 + text + logo")</f>
        <v>640x640 a 640x335 + text + logo</v>
      </c>
      <c r="R935" s="3" t="str">
        <f ca="1">IFERROR(__xludf.DUMMYFUNCTION("""COMPUTED_VALUE"""),"detailní specifikace na URL odkaze")</f>
        <v>detailní specifikace na URL odkaze</v>
      </c>
      <c r="S935" s="3" t="str">
        <f ca="1">IFERROR(__xludf.DUMMYFUNCTION("""COMPUTED_VALUE"""),"100")</f>
        <v>100</v>
      </c>
      <c r="T935" s="3"/>
      <c r="U935" s="3" t="str">
        <f ca="1">IFERROR(__xludf.DUMMYFUNCTION("""COMPUTED_VALUE"""),"nativní reklama")</f>
        <v>nativní reklama</v>
      </c>
      <c r="V935" s="3"/>
      <c r="W935" s="4" t="str">
        <f ca="1">IFERROR(__xludf.DUMMYFUNCTION("""COMPUTED_VALUE"""),"https://reklama.cncenter.cz/Online/nativni-PR-premium")</f>
        <v>https://reklama.cncenter.cz/Online/nativni-PR-premium</v>
      </c>
      <c r="X935" s="3"/>
      <c r="Y935" s="3"/>
      <c r="Z935" s="3" t="str">
        <f ca="1">IFERROR(__xludf.DUMMYFUNCTION("""COMPUTED_VALUE"""),"podklady@cncenter.cz")</f>
        <v>podklady@cncenter.cz</v>
      </c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 t="str">
        <f ca="1">IFERROR(__xludf.DUMMYFUNCTION("""COMPUTED_VALUE"""),"cross-device")</f>
        <v>cross-device</v>
      </c>
      <c r="AO935" s="3"/>
      <c r="AP935" s="3"/>
      <c r="AQ935" s="3"/>
      <c r="AR935" s="3"/>
      <c r="AS935" s="3"/>
      <c r="AT935" s="3"/>
      <c r="AU935" s="3" t="str">
        <f ca="1">IFERROR(__xludf.DUMMYFUNCTION("""COMPUTED_VALUE"""),"cílený nativní pr premium")</f>
        <v>cílený nativní pr premium</v>
      </c>
    </row>
    <row r="936" spans="1:47" x14ac:dyDescent="0.3">
      <c r="A936" s="3">
        <f ca="1"/>
        <v>2346826</v>
      </c>
      <c r="B936" s="3" t="str">
        <f ca="1"/>
        <v>CZECH NEWS CENTER a. s.</v>
      </c>
      <c r="C936" s="3" t="str">
        <f ca="1">IFERROR(__xludf.DUMMYFUNCTION("""COMPUTED_VALUE"""),"Recepty")</f>
        <v>Recepty</v>
      </c>
      <c r="D936" s="4" t="str">
        <f ca="1">IFERROR(__xludf.DUMMYFUNCTION("""COMPUTED_VALUE"""),"https://recepty.cz")</f>
        <v>https://recepty.cz</v>
      </c>
      <c r="E936" s="3" t="str">
        <f ca="1">IFERROR(__xludf.DUMMYFUNCTION("""COMPUTED_VALUE"""),"celý web")</f>
        <v>celý web</v>
      </c>
      <c r="F936" s="4" t="str">
        <f ca="1">IFERROR(__xludf.DUMMYFUNCTION("""COMPUTED_VALUE"""),"https://recepty.cz")</f>
        <v>https://recepty.cz</v>
      </c>
      <c r="G936" s="3" t="str">
        <f ca="1">IFERROR(__xludf.DUMMYFUNCTION("""COMPUTED_VALUE"""),"cílený nativní rectangle cross-device low season")</f>
        <v>cílený nativní rectangle cross-device low season</v>
      </c>
      <c r="H936" s="3">
        <f ca="1">IFERROR(__xludf.DUMMYFUNCTION("""COMPUTED_VALUE"""),7)</f>
        <v>7</v>
      </c>
      <c r="I936" s="5">
        <f ca="1">IFERROR(__xludf.DUMMYFUNCTION("""COMPUTED_VALUE"""),1000)</f>
        <v>1000</v>
      </c>
      <c r="J936" s="5">
        <f ca="1">IFERROR(__xludf.DUMMYFUNCTION("""COMPUTED_VALUE"""),240)</f>
        <v>240</v>
      </c>
      <c r="K936" s="3"/>
      <c r="L936" s="3" t="str">
        <f ca="1">IFERROR(__xludf.DUMMYFUNCTION("""COMPUTED_VALUE"""),"Cost per period")</f>
        <v>Cost per period</v>
      </c>
      <c r="M936" s="3"/>
      <c r="N936" s="3"/>
      <c r="O936" s="3" t="str">
        <f ca="1">IFERROR(__xludf.DUMMYFUNCTION("""COMPUTED_VALUE"""),"640")</f>
        <v>640</v>
      </c>
      <c r="P936" s="3" t="str">
        <f ca="1">IFERROR(__xludf.DUMMYFUNCTION("""COMPUTED_VALUE"""),"335, 640")</f>
        <v>335, 640</v>
      </c>
      <c r="Q936" s="3" t="str">
        <f ca="1">IFERROR(__xludf.DUMMYFUNCTION("""COMPUTED_VALUE"""),"640x640 a 640x335 + text + logo")</f>
        <v>640x640 a 640x335 + text + logo</v>
      </c>
      <c r="R936" s="3"/>
      <c r="S936" s="3" t="str">
        <f ca="1">IFERROR(__xludf.DUMMYFUNCTION("""COMPUTED_VALUE"""),"45")</f>
        <v>45</v>
      </c>
      <c r="T936" s="3"/>
      <c r="U936" s="3" t="str">
        <f ca="1">IFERROR(__xludf.DUMMYFUNCTION("""COMPUTED_VALUE"""),"nativní reklama")</f>
        <v>nativní reklama</v>
      </c>
      <c r="V936" s="3"/>
      <c r="W936" s="4" t="str">
        <f ca="1">IFERROR(__xludf.DUMMYFUNCTION("""COMPUTED_VALUE"""),"https://reklama.cncenter.cz/Online/nativni-rectangle-cross-device")</f>
        <v>https://reklama.cncenter.cz/Online/nativni-rectangle-cross-device</v>
      </c>
      <c r="X936" s="3"/>
      <c r="Y936" s="3"/>
      <c r="Z936" s="3" t="str">
        <f ca="1">IFERROR(__xludf.DUMMYFUNCTION("""COMPUTED_VALUE"""),"podklady@cncenter.cz")</f>
        <v>podklady@cncenter.cz</v>
      </c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 t="str">
        <f ca="1">IFERROR(__xludf.DUMMYFUNCTION("""COMPUTED_VALUE"""),"cross-device")</f>
        <v>cross-device</v>
      </c>
      <c r="AO936" s="3"/>
      <c r="AP936" s="3"/>
      <c r="AQ936" s="3"/>
      <c r="AR936" s="3"/>
      <c r="AS936" s="3"/>
      <c r="AT936" s="3"/>
      <c r="AU936" s="3" t="str">
        <f ca="1">IFERROR(__xludf.DUMMYFUNCTION("""COMPUTED_VALUE"""),"cílený nativní rectangle cross-device")</f>
        <v>cílený nativní rectangle cross-device</v>
      </c>
    </row>
    <row r="937" spans="1:47" x14ac:dyDescent="0.3">
      <c r="A937" s="3">
        <f ca="1"/>
        <v>2346826</v>
      </c>
      <c r="B937" s="3" t="str">
        <f ca="1"/>
        <v>CZECH NEWS CENTER a. s.</v>
      </c>
      <c r="C937" s="3" t="str">
        <f ca="1">IFERROR(__xludf.DUMMYFUNCTION("""COMPUTED_VALUE"""),"Recepty")</f>
        <v>Recepty</v>
      </c>
      <c r="D937" s="4" t="str">
        <f ca="1">IFERROR(__xludf.DUMMYFUNCTION("""COMPUTED_VALUE"""),"https://recepty.cz")</f>
        <v>https://recepty.cz</v>
      </c>
      <c r="E937" s="3" t="str">
        <f ca="1">IFERROR(__xludf.DUMMYFUNCTION("""COMPUTED_VALUE"""),"celý web")</f>
        <v>celý web</v>
      </c>
      <c r="F937" s="4" t="str">
        <f ca="1">IFERROR(__xludf.DUMMYFUNCTION("""COMPUTED_VALUE"""),"https://recepty.cz")</f>
        <v>https://recepty.cz</v>
      </c>
      <c r="G937" s="3" t="str">
        <f ca="1">IFERROR(__xludf.DUMMYFUNCTION("""COMPUTED_VALUE"""),"cílený outstream low season")</f>
        <v>cílený outstream low season</v>
      </c>
      <c r="H937" s="3">
        <f ca="1">IFERROR(__xludf.DUMMYFUNCTION("""COMPUTED_VALUE"""),7)</f>
        <v>7</v>
      </c>
      <c r="I937" s="5">
        <f ca="1">IFERROR(__xludf.DUMMYFUNCTION("""COMPUTED_VALUE"""),1000)</f>
        <v>1000</v>
      </c>
      <c r="J937" s="5">
        <f ca="1">IFERROR(__xludf.DUMMYFUNCTION("""COMPUTED_VALUE"""),300)</f>
        <v>300</v>
      </c>
      <c r="K937" s="3"/>
      <c r="L937" s="3" t="str">
        <f ca="1">IFERROR(__xludf.DUMMYFUNCTION("""COMPUTED_VALUE"""),"Cost per period")</f>
        <v>Cost per period</v>
      </c>
      <c r="M937" s="3"/>
      <c r="N937" s="3"/>
      <c r="O937" s="3" t="str">
        <f ca="1">IFERROR(__xludf.DUMMYFUNCTION("""COMPUTED_VALUE"""),"1280")</f>
        <v>1280</v>
      </c>
      <c r="P937" s="3" t="str">
        <f ca="1">IFERROR(__xludf.DUMMYFUNCTION("""COMPUTED_VALUE"""),"720")</f>
        <v>720</v>
      </c>
      <c r="Q937" s="3" t="str">
        <f ca="1">IFERROR(__xludf.DUMMYFUNCTION("""COMPUTED_VALUE"""),"16:9")</f>
        <v>16:9</v>
      </c>
      <c r="R937" s="3"/>
      <c r="S937" s="3" t="str">
        <f ca="1">IFERROR(__xludf.DUMMYFUNCTION("""COMPUTED_VALUE"""),"100")</f>
        <v>100</v>
      </c>
      <c r="T937" s="3"/>
      <c r="U937" s="3" t="str">
        <f ca="1">IFERROR(__xludf.DUMMYFUNCTION("""COMPUTED_VALUE"""),"videospot")</f>
        <v>videospot</v>
      </c>
      <c r="V937" s="3"/>
      <c r="W937" s="4" t="str">
        <f ca="1">IFERROR(__xludf.DUMMYFUNCTION("""COMPUTED_VALUE"""),"https://reklama.cncenter.cz/Online/Outstream")</f>
        <v>https://reklama.cncenter.cz/Online/Outstream</v>
      </c>
      <c r="X937" s="3"/>
      <c r="Y937" s="3"/>
      <c r="Z937" s="3" t="str">
        <f ca="1">IFERROR(__xludf.DUMMYFUNCTION("""COMPUTED_VALUE"""),"podklady@cncenter.cz")</f>
        <v>podklady@cncenter.cz</v>
      </c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 t="str">
        <f ca="1">IFERROR(__xludf.DUMMYFUNCTION("""COMPUTED_VALUE"""),"cross-device")</f>
        <v>cross-device</v>
      </c>
      <c r="AO937" s="3"/>
      <c r="AP937" s="3"/>
      <c r="AQ937" s="3"/>
      <c r="AR937" s="3"/>
      <c r="AS937" s="3"/>
      <c r="AT937" s="3"/>
      <c r="AU937" s="3" t="str">
        <f ca="1">IFERROR(__xludf.DUMMYFUNCTION("""COMPUTED_VALUE"""),"cílený outstream")</f>
        <v>cílený outstream</v>
      </c>
    </row>
    <row r="938" spans="1:47" x14ac:dyDescent="0.3">
      <c r="A938" s="3">
        <f ca="1"/>
        <v>2346826</v>
      </c>
      <c r="B938" s="3" t="str">
        <f ca="1"/>
        <v>CZECH NEWS CENTER a. s.</v>
      </c>
      <c r="C938" s="3" t="str">
        <f ca="1">IFERROR(__xludf.DUMMYFUNCTION("""COMPUTED_VALUE"""),"Recepty")</f>
        <v>Recepty</v>
      </c>
      <c r="D938" s="4" t="str">
        <f ca="1">IFERROR(__xludf.DUMMYFUNCTION("""COMPUTED_VALUE"""),"https://recepty.cz")</f>
        <v>https://recepty.cz</v>
      </c>
      <c r="E938" s="3" t="str">
        <f ca="1">IFERROR(__xludf.DUMMYFUNCTION("""COMPUTED_VALUE"""),"celý web")</f>
        <v>celý web</v>
      </c>
      <c r="F938" s="4" t="str">
        <f ca="1">IFERROR(__xludf.DUMMYFUNCTION("""COMPUTED_VALUE"""),"https://recepty.cz")</f>
        <v>https://recepty.cz</v>
      </c>
      <c r="G938" s="3" t="str">
        <f ca="1">IFERROR(__xludf.DUMMYFUNCTION("""COMPUTED_VALUE"""),"cílený videospot - max. 30 sec. / bumper low season")</f>
        <v>cílený videospot - max. 30 sec. / bumper low season</v>
      </c>
      <c r="H938" s="3">
        <f ca="1">IFERROR(__xludf.DUMMYFUNCTION("""COMPUTED_VALUE"""),7)</f>
        <v>7</v>
      </c>
      <c r="I938" s="5">
        <f ca="1">IFERROR(__xludf.DUMMYFUNCTION("""COMPUTED_VALUE"""),1000)</f>
        <v>1000</v>
      </c>
      <c r="J938" s="5">
        <f ca="1">IFERROR(__xludf.DUMMYFUNCTION("""COMPUTED_VALUE"""),888)</f>
        <v>888</v>
      </c>
      <c r="K938" s="3"/>
      <c r="L938" s="3" t="str">
        <f ca="1">IFERROR(__xludf.DUMMYFUNCTION("""COMPUTED_VALUE"""),"Cost per period")</f>
        <v>Cost per period</v>
      </c>
      <c r="M938" s="3"/>
      <c r="N938" s="3"/>
      <c r="O938" s="3" t="str">
        <f ca="1">IFERROR(__xludf.DUMMYFUNCTION("""COMPUTED_VALUE"""),"1280")</f>
        <v>1280</v>
      </c>
      <c r="P938" s="3" t="str">
        <f ca="1">IFERROR(__xludf.DUMMYFUNCTION("""COMPUTED_VALUE"""),"720")</f>
        <v>720</v>
      </c>
      <c r="Q938" s="3" t="str">
        <f ca="1">IFERROR(__xludf.DUMMYFUNCTION("""COMPUTED_VALUE"""),"16:9 / umístění po domluvě dle možností")</f>
        <v>16:9 / umístění po domluvě dle možností</v>
      </c>
      <c r="R938" s="3" t="str">
        <f ca="1">IFERROR(__xludf.DUMMYFUNCTION("""COMPUTED_VALUE"""),"přeskočení po 7 sekundách")</f>
        <v>přeskočení po 7 sekundách</v>
      </c>
      <c r="S938" s="3" t="str">
        <f ca="1">IFERROR(__xludf.DUMMYFUNCTION("""COMPUTED_VALUE"""),"100")</f>
        <v>100</v>
      </c>
      <c r="T938" s="3"/>
      <c r="U938" s="3" t="str">
        <f ca="1">IFERROR(__xludf.DUMMYFUNCTION("""COMPUTED_VALUE"""),"videospot")</f>
        <v>videospot</v>
      </c>
      <c r="V938" s="3"/>
      <c r="W938" s="4" t="str">
        <f ca="1">IFERROR(__xludf.DUMMYFUNCTION("""COMPUTED_VALUE"""),"https://reklama.cncenter.cz/Online/Bumper")</f>
        <v>https://reklama.cncenter.cz/Online/Bumper</v>
      </c>
      <c r="X938" s="3"/>
      <c r="Y938" s="3"/>
      <c r="Z938" s="3" t="str">
        <f ca="1">IFERROR(__xludf.DUMMYFUNCTION("""COMPUTED_VALUE"""),"podklady@cncenter.cz")</f>
        <v>podklady@cncenter.cz</v>
      </c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 t="str">
        <f ca="1">IFERROR(__xludf.DUMMYFUNCTION("""COMPUTED_VALUE"""),"cross-device")</f>
        <v>cross-device</v>
      </c>
      <c r="AO938" s="3"/>
      <c r="AP938" s="3"/>
      <c r="AQ938" s="3"/>
      <c r="AR938" s="3"/>
      <c r="AS938" s="3"/>
      <c r="AT938" s="3"/>
      <c r="AU938" s="3" t="str">
        <f ca="1">IFERROR(__xludf.DUMMYFUNCTION("""COMPUTED_VALUE"""),"cílený videospot - max. 30 sec. / bumper")</f>
        <v>cílený videospot - max. 30 sec. / bumper</v>
      </c>
    </row>
    <row r="939" spans="1:47" x14ac:dyDescent="0.3">
      <c r="A939" s="3">
        <f ca="1"/>
        <v>2346826</v>
      </c>
      <c r="B939" s="3" t="str">
        <f ca="1"/>
        <v>CZECH NEWS CENTER a. s.</v>
      </c>
      <c r="C939" s="3" t="str">
        <f ca="1">IFERROR(__xludf.DUMMYFUNCTION("""COMPUTED_VALUE"""),"Recepty")</f>
        <v>Recepty</v>
      </c>
      <c r="D939" s="4" t="str">
        <f ca="1">IFERROR(__xludf.DUMMYFUNCTION("""COMPUTED_VALUE"""),"https://recepty.cz")</f>
        <v>https://recepty.cz</v>
      </c>
      <c r="E939" s="3" t="str">
        <f ca="1">IFERROR(__xludf.DUMMYFUNCTION("""COMPUTED_VALUE"""),"celý web")</f>
        <v>celý web</v>
      </c>
      <c r="F939" s="4" t="str">
        <f ca="1">IFERROR(__xludf.DUMMYFUNCTION("""COMPUTED_VALUE"""),"https://recepty.cz")</f>
        <v>https://recepty.cz</v>
      </c>
      <c r="G939" s="3" t="str">
        <f ca="1">IFERROR(__xludf.DUMMYFUNCTION("""COMPUTED_VALUE"""),"dokoupení proma o 2 týdny - 10 000 PV *** low season")</f>
        <v>dokoupení proma o 2 týdny - 10 000 PV *** low season</v>
      </c>
      <c r="H939" s="3">
        <f ca="1">IFERROR(__xludf.DUMMYFUNCTION("""COMPUTED_VALUE"""),1)</f>
        <v>1</v>
      </c>
      <c r="I939" s="5">
        <f ca="1">IFERROR(__xludf.DUMMYFUNCTION("""COMPUTED_VALUE"""),1)</f>
        <v>1</v>
      </c>
      <c r="J939" s="5">
        <f ca="1">IFERROR(__xludf.DUMMYFUNCTION("""COMPUTED_VALUE"""),60000)</f>
        <v>60000</v>
      </c>
      <c r="K939" s="3"/>
      <c r="L939" s="3" t="str">
        <f ca="1">IFERROR(__xludf.DUMMYFUNCTION("""COMPUTED_VALUE"""),"Cost per instance")</f>
        <v>Cost per instance</v>
      </c>
      <c r="M939" s="3"/>
      <c r="N939" s="3"/>
      <c r="O939" s="3"/>
      <c r="P939" s="3"/>
      <c r="Q939" s="3"/>
      <c r="R939" s="3"/>
      <c r="S939" s="3" t="str">
        <f ca="1">IFERROR(__xludf.DUMMYFUNCTION("""COMPUTED_VALUE"""),"100")</f>
        <v>100</v>
      </c>
      <c r="T939" s="3"/>
      <c r="U939" s="3" t="str">
        <f ca="1">IFERROR(__xludf.DUMMYFUNCTION("""COMPUTED_VALUE"""),"microsite")</f>
        <v>microsite</v>
      </c>
      <c r="V939" s="3"/>
      <c r="W939" s="3"/>
      <c r="X939" s="3"/>
      <c r="Y939" s="3"/>
      <c r="Z939" s="3" t="str">
        <f ca="1">IFERROR(__xludf.DUMMYFUNCTION("""COMPUTED_VALUE"""),"podklady@cncenter.cz")</f>
        <v>podklady@cncenter.cz</v>
      </c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 t="str">
        <f ca="1">IFERROR(__xludf.DUMMYFUNCTION("""COMPUTED_VALUE"""),"cross-device")</f>
        <v>cross-device</v>
      </c>
      <c r="AO939" s="3"/>
      <c r="AP939" s="3"/>
      <c r="AQ939" s="3"/>
      <c r="AR939" s="3"/>
      <c r="AS939" s="3"/>
      <c r="AT939" s="3"/>
      <c r="AU939" s="3" t="str">
        <f ca="1">IFERROR(__xludf.DUMMYFUNCTION("""COMPUTED_VALUE"""),"dokoupení proma o 2 týdny - 10 000 PV ***")</f>
        <v>dokoupení proma o 2 týdny - 10 000 PV ***</v>
      </c>
    </row>
    <row r="940" spans="1:47" x14ac:dyDescent="0.3">
      <c r="A940" s="3">
        <f ca="1"/>
        <v>2346826</v>
      </c>
      <c r="B940" s="3" t="str">
        <f ca="1"/>
        <v>CZECH NEWS CENTER a. s.</v>
      </c>
      <c r="C940" s="3" t="str">
        <f ca="1">IFERROR(__xludf.DUMMYFUNCTION("""COMPUTED_VALUE"""),"Recepty")</f>
        <v>Recepty</v>
      </c>
      <c r="D940" s="4" t="str">
        <f ca="1">IFERROR(__xludf.DUMMYFUNCTION("""COMPUTED_VALUE"""),"https://recepty.cz")</f>
        <v>https://recepty.cz</v>
      </c>
      <c r="E940" s="3" t="str">
        <f ca="1">IFERROR(__xludf.DUMMYFUNCTION("""COMPUTED_VALUE"""),"celý web")</f>
        <v>celý web</v>
      </c>
      <c r="F940" s="4" t="str">
        <f ca="1">IFERROR(__xludf.DUMMYFUNCTION("""COMPUTED_VALUE"""),"https://recepty.cz")</f>
        <v>https://recepty.cz</v>
      </c>
      <c r="G940" s="3" t="str">
        <f ca="1">IFERROR(__xludf.DUMMYFUNCTION("""COMPUTED_VALUE"""),"double skyscraper low season")</f>
        <v>double skyscraper low season</v>
      </c>
      <c r="H940" s="3">
        <f ca="1">IFERROR(__xludf.DUMMYFUNCTION("""COMPUTED_VALUE"""),7)</f>
        <v>7</v>
      </c>
      <c r="I940" s="5">
        <f ca="1">IFERROR(__xludf.DUMMYFUNCTION("""COMPUTED_VALUE"""),1000)</f>
        <v>1000</v>
      </c>
      <c r="J940" s="5">
        <f ca="1">IFERROR(__xludf.DUMMYFUNCTION("""COMPUTED_VALUE"""),190)</f>
        <v>190</v>
      </c>
      <c r="K940" s="3"/>
      <c r="L940" s="3" t="str">
        <f ca="1">IFERROR(__xludf.DUMMYFUNCTION("""COMPUTED_VALUE"""),"Cost per period")</f>
        <v>Cost per period</v>
      </c>
      <c r="M940" s="3"/>
      <c r="N940" s="3"/>
      <c r="O940" s="3" t="str">
        <f ca="1">IFERROR(__xludf.DUMMYFUNCTION("""COMPUTED_VALUE"""),"300")</f>
        <v>300</v>
      </c>
      <c r="P940" s="3" t="str">
        <f ca="1">IFERROR(__xludf.DUMMYFUNCTION("""COMPUTED_VALUE"""),"600")</f>
        <v>600</v>
      </c>
      <c r="Q940" s="3" t="str">
        <f ca="1">IFERROR(__xludf.DUMMYFUNCTION("""COMPUTED_VALUE"""),"300x600")</f>
        <v>300x600</v>
      </c>
      <c r="R940" s="3"/>
      <c r="S940" s="3" t="str">
        <f ca="1">IFERROR(__xludf.DUMMYFUNCTION("""COMPUTED_VALUE"""),"100 (200 - HTML5)")</f>
        <v>100 (200 - HTML5)</v>
      </c>
      <c r="T940" s="3"/>
      <c r="U940" s="3" t="str">
        <f ca="1">IFERROR(__xludf.DUMMYFUNCTION("""COMPUTED_VALUE"""),"banner standard")</f>
        <v>banner standard</v>
      </c>
      <c r="V940" s="3"/>
      <c r="W940" s="4" t="str">
        <f ca="1">IFERROR(__xludf.DUMMYFUNCTION("""COMPUTED_VALUE"""),"https://reklama.cncenter.cz/Online/double-skyscraper")</f>
        <v>https://reklama.cncenter.cz/Online/double-skyscraper</v>
      </c>
      <c r="X940" s="3"/>
      <c r="Y940" s="3"/>
      <c r="Z940" s="3" t="str">
        <f ca="1">IFERROR(__xludf.DUMMYFUNCTION("""COMPUTED_VALUE"""),"podklady@cncenter.cz")</f>
        <v>podklady@cncenter.cz</v>
      </c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 t="str">
        <f ca="1">IFERROR(__xludf.DUMMYFUNCTION("""COMPUTED_VALUE"""),"desktop")</f>
        <v>desktop</v>
      </c>
      <c r="AO940" s="3"/>
      <c r="AP940" s="3"/>
      <c r="AQ940" s="3"/>
      <c r="AR940" s="3"/>
      <c r="AS940" s="3"/>
      <c r="AT940" s="3"/>
      <c r="AU940" s="3" t="str">
        <f ca="1">IFERROR(__xludf.DUMMYFUNCTION("""COMPUTED_VALUE"""),"double skyscraper")</f>
        <v>double skyscraper</v>
      </c>
    </row>
    <row r="941" spans="1:47" x14ac:dyDescent="0.3">
      <c r="A941" s="3">
        <f ca="1"/>
        <v>2346826</v>
      </c>
      <c r="B941" s="3" t="str">
        <f ca="1"/>
        <v>CZECH NEWS CENTER a. s.</v>
      </c>
      <c r="C941" s="3" t="str">
        <f ca="1">IFERROR(__xludf.DUMMYFUNCTION("""COMPUTED_VALUE"""),"Recepty")</f>
        <v>Recepty</v>
      </c>
      <c r="D941" s="4" t="str">
        <f ca="1">IFERROR(__xludf.DUMMYFUNCTION("""COMPUTED_VALUE"""),"https://recepty.cz")</f>
        <v>https://recepty.cz</v>
      </c>
      <c r="E941" s="3" t="str">
        <f ca="1">IFERROR(__xludf.DUMMYFUNCTION("""COMPUTED_VALUE"""),"celý web")</f>
        <v>celý web</v>
      </c>
      <c r="F941" s="4" t="str">
        <f ca="1">IFERROR(__xludf.DUMMYFUNCTION("""COMPUTED_VALUE"""),"https://recepty.cz")</f>
        <v>https://recepty.cz</v>
      </c>
      <c r="G941" s="3" t="str">
        <f ca="1">IFERROR(__xludf.DUMMYFUNCTION("""COMPUTED_VALUE"""),"mini videospot - max. 30 sec. low season")</f>
        <v>mini videospot - max. 30 sec. low season</v>
      </c>
      <c r="H941" s="3">
        <f ca="1">IFERROR(__xludf.DUMMYFUNCTION("""COMPUTED_VALUE"""),7)</f>
        <v>7</v>
      </c>
      <c r="I941" s="5">
        <f ca="1">IFERROR(__xludf.DUMMYFUNCTION("""COMPUTED_VALUE"""),1000)</f>
        <v>1000</v>
      </c>
      <c r="J941" s="5">
        <f ca="1">IFERROR(__xludf.DUMMYFUNCTION("""COMPUTED_VALUE"""),140)</f>
        <v>140</v>
      </c>
      <c r="K941" s="3"/>
      <c r="L941" s="3" t="str">
        <f ca="1">IFERROR(__xludf.DUMMYFUNCTION("""COMPUTED_VALUE"""),"Cost per period")</f>
        <v>Cost per period</v>
      </c>
      <c r="M941" s="3"/>
      <c r="N941" s="3"/>
      <c r="O941" s="3"/>
      <c r="P941" s="3"/>
      <c r="Q941" s="3" t="str">
        <f ca="1">IFERROR(__xludf.DUMMYFUNCTION("""COMPUTED_VALUE"""),"16:9 / umístění po domluvě dle možností")</f>
        <v>16:9 / umístění po domluvě dle možností</v>
      </c>
      <c r="R941" s="3" t="str">
        <f ca="1">IFERROR(__xludf.DUMMYFUNCTION("""COMPUTED_VALUE"""),"přeskočení po 7 sekundách")</f>
        <v>přeskočení po 7 sekundách</v>
      </c>
      <c r="S941" s="3" t="str">
        <f ca="1">IFERROR(__xludf.DUMMYFUNCTION("""COMPUTED_VALUE"""),"100")</f>
        <v>100</v>
      </c>
      <c r="T941" s="3"/>
      <c r="U941" s="3" t="str">
        <f ca="1">IFERROR(__xludf.DUMMYFUNCTION("""COMPUTED_VALUE"""),"videospot")</f>
        <v>videospot</v>
      </c>
      <c r="V941" s="3"/>
      <c r="W941" s="4" t="str">
        <f ca="1">IFERROR(__xludf.DUMMYFUNCTION("""COMPUTED_VALUE"""),"https://reklama.cncenter.cz/Online/Videospot")</f>
        <v>https://reklama.cncenter.cz/Online/Videospot</v>
      </c>
      <c r="X941" s="3"/>
      <c r="Y941" s="3"/>
      <c r="Z941" s="3" t="str">
        <f ca="1">IFERROR(__xludf.DUMMYFUNCTION("""COMPUTED_VALUE"""),"podklady@cncenter.cz")</f>
        <v>podklady@cncenter.cz</v>
      </c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 t="str">
        <f ca="1">IFERROR(__xludf.DUMMYFUNCTION("""COMPUTED_VALUE"""),"desktop")</f>
        <v>desktop</v>
      </c>
      <c r="AO941" s="3"/>
      <c r="AP941" s="3"/>
      <c r="AQ941" s="3"/>
      <c r="AR941" s="3"/>
      <c r="AS941" s="3"/>
      <c r="AT941" s="3"/>
      <c r="AU941" s="3" t="str">
        <f ca="1">IFERROR(__xludf.DUMMYFUNCTION("""COMPUTED_VALUE"""),"mini videospot - max. 30 sec.")</f>
        <v>mini videospot - max. 30 sec.</v>
      </c>
    </row>
    <row r="942" spans="1:47" x14ac:dyDescent="0.3">
      <c r="A942" s="3">
        <f ca="1"/>
        <v>2346826</v>
      </c>
      <c r="B942" s="3" t="str">
        <f ca="1"/>
        <v>CZECH NEWS CENTER a. s.</v>
      </c>
      <c r="C942" s="3" t="str">
        <f ca="1">IFERROR(__xludf.DUMMYFUNCTION("""COMPUTED_VALUE"""),"Recepty")</f>
        <v>Recepty</v>
      </c>
      <c r="D942" s="4" t="str">
        <f ca="1">IFERROR(__xludf.DUMMYFUNCTION("""COMPUTED_VALUE"""),"https://recepty.cz")</f>
        <v>https://recepty.cz</v>
      </c>
      <c r="E942" s="3" t="str">
        <f ca="1">IFERROR(__xludf.DUMMYFUNCTION("""COMPUTED_VALUE"""),"celý web")</f>
        <v>celý web</v>
      </c>
      <c r="F942" s="4" t="str">
        <f ca="1">IFERROR(__xludf.DUMMYFUNCTION("""COMPUTED_VALUE"""),"https://recepty.cz")</f>
        <v>https://recepty.cz</v>
      </c>
      <c r="G942" s="3" t="str">
        <f ca="1">IFERROR(__xludf.DUMMYFUNCTION("""COMPUTED_VALUE"""),"mobilní interscroller low season")</f>
        <v>mobilní interscroller low season</v>
      </c>
      <c r="H942" s="3">
        <f ca="1">IFERROR(__xludf.DUMMYFUNCTION("""COMPUTED_VALUE"""),7)</f>
        <v>7</v>
      </c>
      <c r="I942" s="5">
        <f ca="1">IFERROR(__xludf.DUMMYFUNCTION("""COMPUTED_VALUE"""),1000)</f>
        <v>1000</v>
      </c>
      <c r="J942" s="5">
        <f ca="1">IFERROR(__xludf.DUMMYFUNCTION("""COMPUTED_VALUE"""),250)</f>
        <v>250</v>
      </c>
      <c r="K942" s="3"/>
      <c r="L942" s="3" t="str">
        <f ca="1">IFERROR(__xludf.DUMMYFUNCTION("""COMPUTED_VALUE"""),"Cost per period")</f>
        <v>Cost per period</v>
      </c>
      <c r="M942" s="3"/>
      <c r="N942" s="3"/>
      <c r="O942" s="3" t="str">
        <f ca="1">IFERROR(__xludf.DUMMYFUNCTION("""COMPUTED_VALUE"""),"600")</f>
        <v>600</v>
      </c>
      <c r="P942" s="3" t="str">
        <f ca="1">IFERROR(__xludf.DUMMYFUNCTION("""COMPUTED_VALUE"""),"1080")</f>
        <v>1080</v>
      </c>
      <c r="Q942" s="3" t="str">
        <f ca="1">IFERROR(__xludf.DUMMYFUNCTION("""COMPUTED_VALUE"""),"600x1080")</f>
        <v>600x1080</v>
      </c>
      <c r="R942" s="3"/>
      <c r="S942" s="3" t="str">
        <f ca="1">IFERROR(__xludf.DUMMYFUNCTION("""COMPUTED_VALUE"""),"200")</f>
        <v>200</v>
      </c>
      <c r="T942" s="3"/>
      <c r="U942" s="3" t="str">
        <f ca="1">IFERROR(__xludf.DUMMYFUNCTION("""COMPUTED_VALUE"""),"banner standard")</f>
        <v>banner standard</v>
      </c>
      <c r="V942" s="3"/>
      <c r="W942" s="4" t="str">
        <f ca="1">IFERROR(__xludf.DUMMYFUNCTION("""COMPUTED_VALUE"""),"https://reklama.cncenter.cz/Online/mobilni-interscroller")</f>
        <v>https://reklama.cncenter.cz/Online/mobilni-interscroller</v>
      </c>
      <c r="X942" s="3"/>
      <c r="Y942" s="3"/>
      <c r="Z942" s="3" t="str">
        <f ca="1">IFERROR(__xludf.DUMMYFUNCTION("""COMPUTED_VALUE"""),"podklady@cncenter.cz")</f>
        <v>podklady@cncenter.cz</v>
      </c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 t="str">
        <f ca="1">IFERROR(__xludf.DUMMYFUNCTION("""COMPUTED_VALUE"""),"mobile")</f>
        <v>mobile</v>
      </c>
      <c r="AO942" s="3"/>
      <c r="AP942" s="3"/>
      <c r="AQ942" s="3"/>
      <c r="AR942" s="3"/>
      <c r="AS942" s="3"/>
      <c r="AT942" s="3"/>
      <c r="AU942" s="3" t="str">
        <f ca="1">IFERROR(__xludf.DUMMYFUNCTION("""COMPUTED_VALUE"""),"mobilní interscroller")</f>
        <v>mobilní interscroller</v>
      </c>
    </row>
    <row r="943" spans="1:47" x14ac:dyDescent="0.3">
      <c r="A943" s="3">
        <f ca="1"/>
        <v>2346826</v>
      </c>
      <c r="B943" s="3" t="str">
        <f ca="1"/>
        <v>CZECH NEWS CENTER a. s.</v>
      </c>
      <c r="C943" s="3" t="str">
        <f ca="1">IFERROR(__xludf.DUMMYFUNCTION("""COMPUTED_VALUE"""),"Recepty")</f>
        <v>Recepty</v>
      </c>
      <c r="D943" s="4" t="str">
        <f ca="1">IFERROR(__xludf.DUMMYFUNCTION("""COMPUTED_VALUE"""),"https://recepty.cz")</f>
        <v>https://recepty.cz</v>
      </c>
      <c r="E943" s="3" t="str">
        <f ca="1">IFERROR(__xludf.DUMMYFUNCTION("""COMPUTED_VALUE"""),"celý web")</f>
        <v>celý web</v>
      </c>
      <c r="F943" s="4" t="str">
        <f ca="1">IFERROR(__xludf.DUMMYFUNCTION("""COMPUTED_VALUE"""),"https://recepty.cz")</f>
        <v>https://recepty.cz</v>
      </c>
      <c r="G943" s="3" t="str">
        <f ca="1">IFERROR(__xludf.DUMMYFUNCTION("""COMPUTED_VALUE"""),"mobilní slide-up low season")</f>
        <v>mobilní slide-up low season</v>
      </c>
      <c r="H943" s="3">
        <f ca="1">IFERROR(__xludf.DUMMYFUNCTION("""COMPUTED_VALUE"""),7)</f>
        <v>7</v>
      </c>
      <c r="I943" s="5">
        <f ca="1">IFERROR(__xludf.DUMMYFUNCTION("""COMPUTED_VALUE"""),1000)</f>
        <v>1000</v>
      </c>
      <c r="J943" s="5">
        <f ca="1">IFERROR(__xludf.DUMMYFUNCTION("""COMPUTED_VALUE"""),510)</f>
        <v>510</v>
      </c>
      <c r="K943" s="3"/>
      <c r="L943" s="3" t="str">
        <f ca="1">IFERROR(__xludf.DUMMYFUNCTION("""COMPUTED_VALUE"""),"Cost per period")</f>
        <v>Cost per period</v>
      </c>
      <c r="M943" s="3"/>
      <c r="N943" s="3"/>
      <c r="O943" s="3" t="str">
        <f ca="1">IFERROR(__xludf.DUMMYFUNCTION("""COMPUTED_VALUE"""),"300")</f>
        <v>300</v>
      </c>
      <c r="P943" s="3" t="str">
        <f ca="1">IFERROR(__xludf.DUMMYFUNCTION("""COMPUTED_VALUE"""),"120")</f>
        <v>120</v>
      </c>
      <c r="Q943" s="3" t="str">
        <f ca="1">IFERROR(__xludf.DUMMYFUNCTION("""COMPUTED_VALUE"""),"300x120")</f>
        <v>300x120</v>
      </c>
      <c r="R943" s="3"/>
      <c r="S943" s="3" t="str">
        <f ca="1">IFERROR(__xludf.DUMMYFUNCTION("""COMPUTED_VALUE"""),"100")</f>
        <v>100</v>
      </c>
      <c r="T943" s="3"/>
      <c r="U943" s="3" t="str">
        <f ca="1">IFERROR(__xludf.DUMMYFUNCTION("""COMPUTED_VALUE"""),"banner standard")</f>
        <v>banner standard</v>
      </c>
      <c r="V943" s="3"/>
      <c r="W943" s="4" t="str">
        <f ca="1">IFERROR(__xludf.DUMMYFUNCTION("""COMPUTED_VALUE"""),"https://reklama.cncenter.cz/Online/mobilni-slide-up")</f>
        <v>https://reklama.cncenter.cz/Online/mobilni-slide-up</v>
      </c>
      <c r="X943" s="3"/>
      <c r="Y943" s="3"/>
      <c r="Z943" s="3" t="str">
        <f ca="1">IFERROR(__xludf.DUMMYFUNCTION("""COMPUTED_VALUE"""),"podklady@cncenter.cz")</f>
        <v>podklady@cncenter.cz</v>
      </c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 t="str">
        <f ca="1">IFERROR(__xludf.DUMMYFUNCTION("""COMPUTED_VALUE"""),"mobile")</f>
        <v>mobile</v>
      </c>
      <c r="AO943" s="3"/>
      <c r="AP943" s="3"/>
      <c r="AQ943" s="3"/>
      <c r="AR943" s="3"/>
      <c r="AS943" s="3"/>
      <c r="AT943" s="3"/>
      <c r="AU943" s="3" t="str">
        <f ca="1">IFERROR(__xludf.DUMMYFUNCTION("""COMPUTED_VALUE"""),"mobilní slide-up")</f>
        <v>mobilní slide-up</v>
      </c>
    </row>
    <row r="944" spans="1:47" x14ac:dyDescent="0.3">
      <c r="A944" s="3">
        <f ca="1"/>
        <v>2346826</v>
      </c>
      <c r="B944" s="3" t="str">
        <f ca="1"/>
        <v>CZECH NEWS CENTER a. s.</v>
      </c>
      <c r="C944" s="3" t="str">
        <f ca="1">IFERROR(__xludf.DUMMYFUNCTION("""COMPUTED_VALUE"""),"Recepty")</f>
        <v>Recepty</v>
      </c>
      <c r="D944" s="4" t="str">
        <f ca="1">IFERROR(__xludf.DUMMYFUNCTION("""COMPUTED_VALUE"""),"https://recepty.cz")</f>
        <v>https://recepty.cz</v>
      </c>
      <c r="E944" s="3" t="str">
        <f ca="1">IFERROR(__xludf.DUMMYFUNCTION("""COMPUTED_VALUE"""),"celý web")</f>
        <v>celý web</v>
      </c>
      <c r="F944" s="4" t="str">
        <f ca="1">IFERROR(__xludf.DUMMYFUNCTION("""COMPUTED_VALUE"""),"https://recepty.cz")</f>
        <v>https://recepty.cz</v>
      </c>
      <c r="G944" s="3" t="str">
        <f ca="1">IFERROR(__xludf.DUMMYFUNCTION("""COMPUTED_VALUE"""),"mobilní viněta low season")</f>
        <v>mobilní viněta low season</v>
      </c>
      <c r="H944" s="3">
        <f ca="1">IFERROR(__xludf.DUMMYFUNCTION("""COMPUTED_VALUE"""),7)</f>
        <v>7</v>
      </c>
      <c r="I944" s="5">
        <f ca="1">IFERROR(__xludf.DUMMYFUNCTION("""COMPUTED_VALUE"""),1000)</f>
        <v>1000</v>
      </c>
      <c r="J944" s="5">
        <f ca="1">IFERROR(__xludf.DUMMYFUNCTION("""COMPUTED_VALUE"""),880)</f>
        <v>880</v>
      </c>
      <c r="K944" s="3"/>
      <c r="L944" s="3" t="str">
        <f ca="1">IFERROR(__xludf.DUMMYFUNCTION("""COMPUTED_VALUE"""),"Cost per period")</f>
        <v>Cost per period</v>
      </c>
      <c r="M944" s="3"/>
      <c r="N944" s="3"/>
      <c r="O944" s="3" t="str">
        <f ca="1">IFERROR(__xludf.DUMMYFUNCTION("""COMPUTED_VALUE"""),"600")</f>
        <v>600</v>
      </c>
      <c r="P944" s="3" t="str">
        <f ca="1">IFERROR(__xludf.DUMMYFUNCTION("""COMPUTED_VALUE"""),"800")</f>
        <v>800</v>
      </c>
      <c r="Q944" s="3" t="str">
        <f ca="1">IFERROR(__xludf.DUMMYFUNCTION("""COMPUTED_VALUE"""),"300x250 nebo 600x800")</f>
        <v>300x250 nebo 600x800</v>
      </c>
      <c r="R944" s="3"/>
      <c r="S944" s="3" t="str">
        <f ca="1">IFERROR(__xludf.DUMMYFUNCTION("""COMPUTED_VALUE"""),"100")</f>
        <v>100</v>
      </c>
      <c r="T944" s="3"/>
      <c r="U944" s="3" t="str">
        <f ca="1">IFERROR(__xludf.DUMMYFUNCTION("""COMPUTED_VALUE"""),"banner standard")</f>
        <v>banner standard</v>
      </c>
      <c r="V944" s="3"/>
      <c r="W944" s="4" t="str">
        <f ca="1">IFERROR(__xludf.DUMMYFUNCTION("""COMPUTED_VALUE"""),"https://reklama.cncenter.cz/Online/mobilni-vineta")</f>
        <v>https://reklama.cncenter.cz/Online/mobilni-vineta</v>
      </c>
      <c r="X944" s="3"/>
      <c r="Y944" s="3"/>
      <c r="Z944" s="3" t="str">
        <f ca="1">IFERROR(__xludf.DUMMYFUNCTION("""COMPUTED_VALUE"""),"podklady@cncenter.cz")</f>
        <v>podklady@cncenter.cz</v>
      </c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 t="str">
        <f ca="1">IFERROR(__xludf.DUMMYFUNCTION("""COMPUTED_VALUE"""),"mobile")</f>
        <v>mobile</v>
      </c>
      <c r="AO944" s="3"/>
      <c r="AP944" s="3"/>
      <c r="AQ944" s="3"/>
      <c r="AR944" s="3"/>
      <c r="AS944" s="3"/>
      <c r="AT944" s="3"/>
      <c r="AU944" s="3" t="str">
        <f ca="1">IFERROR(__xludf.DUMMYFUNCTION("""COMPUTED_VALUE"""),"mobilní viněta")</f>
        <v>mobilní viněta</v>
      </c>
    </row>
    <row r="945" spans="1:47" x14ac:dyDescent="0.3">
      <c r="A945" s="3">
        <f ca="1"/>
        <v>2346826</v>
      </c>
      <c r="B945" s="3" t="str">
        <f ca="1"/>
        <v>CZECH NEWS CENTER a. s.</v>
      </c>
      <c r="C945" s="3" t="str">
        <f ca="1">IFERROR(__xludf.DUMMYFUNCTION("""COMPUTED_VALUE"""),"Recepty")</f>
        <v>Recepty</v>
      </c>
      <c r="D945" s="4" t="str">
        <f ca="1">IFERROR(__xludf.DUMMYFUNCTION("""COMPUTED_VALUE"""),"https://recepty.cz")</f>
        <v>https://recepty.cz</v>
      </c>
      <c r="E945" s="3" t="str">
        <f ca="1">IFERROR(__xludf.DUMMYFUNCTION("""COMPUTED_VALUE"""),"celý web")</f>
        <v>celý web</v>
      </c>
      <c r="F945" s="4" t="str">
        <f ca="1">IFERROR(__xludf.DUMMYFUNCTION("""COMPUTED_VALUE"""),"https://recepty.cz")</f>
        <v>https://recepty.cz</v>
      </c>
      <c r="G945" s="3" t="str">
        <f ca="1">IFERROR(__xludf.DUMMYFUNCTION("""COMPUTED_VALUE"""),"Native Standard low season")</f>
        <v>Native Standard low season</v>
      </c>
      <c r="H945" s="3">
        <f ca="1">IFERROR(__xludf.DUMMYFUNCTION("""COMPUTED_VALUE"""),1)</f>
        <v>1</v>
      </c>
      <c r="I945" s="5">
        <f ca="1">IFERROR(__xludf.DUMMYFUNCTION("""COMPUTED_VALUE"""),1)</f>
        <v>1</v>
      </c>
      <c r="J945" s="5">
        <f ca="1">IFERROR(__xludf.DUMMYFUNCTION("""COMPUTED_VALUE"""),330000)</f>
        <v>330000</v>
      </c>
      <c r="K945" s="3"/>
      <c r="L945" s="3" t="str">
        <f ca="1">IFERROR(__xludf.DUMMYFUNCTION("""COMPUTED_VALUE"""),"Cost per instance")</f>
        <v>Cost per instance</v>
      </c>
      <c r="M945" s="3"/>
      <c r="N945" s="3"/>
      <c r="O945" s="3"/>
      <c r="P945" s="3"/>
      <c r="Q945" s="3"/>
      <c r="R945" s="3"/>
      <c r="S945" s="3" t="str">
        <f ca="1">IFERROR(__xludf.DUMMYFUNCTION("""COMPUTED_VALUE"""),"100")</f>
        <v>100</v>
      </c>
      <c r="T945" s="3"/>
      <c r="U945" s="3" t="str">
        <f ca="1">IFERROR(__xludf.DUMMYFUNCTION("""COMPUTED_VALUE"""),"microsite")</f>
        <v>microsite</v>
      </c>
      <c r="V945" s="3"/>
      <c r="W945" s="3"/>
      <c r="X945" s="3"/>
      <c r="Y945" s="3"/>
      <c r="Z945" s="3" t="str">
        <f ca="1">IFERROR(__xludf.DUMMYFUNCTION("""COMPUTED_VALUE"""),"podklady@cncenter.cz")</f>
        <v>podklady@cncenter.cz</v>
      </c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 t="str">
        <f ca="1">IFERROR(__xludf.DUMMYFUNCTION("""COMPUTED_VALUE"""),"cross-device")</f>
        <v>cross-device</v>
      </c>
      <c r="AO945" s="3"/>
      <c r="AP945" s="3"/>
      <c r="AQ945" s="3"/>
      <c r="AR945" s="3"/>
      <c r="AS945" s="3"/>
      <c r="AT945" s="3"/>
      <c r="AU945" s="3" t="str">
        <f ca="1">IFERROR(__xludf.DUMMYFUNCTION("""COMPUTED_VALUE"""),"Native Standard")</f>
        <v>Native Standard</v>
      </c>
    </row>
    <row r="946" spans="1:47" x14ac:dyDescent="0.3">
      <c r="A946" s="3">
        <f ca="1"/>
        <v>2346826</v>
      </c>
      <c r="B946" s="3" t="str">
        <f ca="1"/>
        <v>CZECH NEWS CENTER a. s.</v>
      </c>
      <c r="C946" s="3" t="str">
        <f ca="1">IFERROR(__xludf.DUMMYFUNCTION("""COMPUTED_VALUE"""),"Recepty")</f>
        <v>Recepty</v>
      </c>
      <c r="D946" s="4" t="str">
        <f ca="1">IFERROR(__xludf.DUMMYFUNCTION("""COMPUTED_VALUE"""),"https://recepty.cz")</f>
        <v>https://recepty.cz</v>
      </c>
      <c r="E946" s="3" t="str">
        <f ca="1">IFERROR(__xludf.DUMMYFUNCTION("""COMPUTED_VALUE"""),"celý web")</f>
        <v>celý web</v>
      </c>
      <c r="F946" s="4" t="str">
        <f ca="1">IFERROR(__xludf.DUMMYFUNCTION("""COMPUTED_VALUE"""),"https://recepty.cz")</f>
        <v>https://recepty.cz</v>
      </c>
      <c r="G946" s="3" t="str">
        <f ca="1">IFERROR(__xludf.DUMMYFUNCTION("""COMPUTED_VALUE"""),"nativní pr premium low season")</f>
        <v>nativní pr premium low season</v>
      </c>
      <c r="H946" s="3">
        <f ca="1">IFERROR(__xludf.DUMMYFUNCTION("""COMPUTED_VALUE"""),7)</f>
        <v>7</v>
      </c>
      <c r="I946" s="5">
        <f ca="1">IFERROR(__xludf.DUMMYFUNCTION("""COMPUTED_VALUE"""),1000)</f>
        <v>1000</v>
      </c>
      <c r="J946" s="5">
        <f ca="1">IFERROR(__xludf.DUMMYFUNCTION("""COMPUTED_VALUE"""),100)</f>
        <v>100</v>
      </c>
      <c r="K946" s="3"/>
      <c r="L946" s="3" t="str">
        <f ca="1">IFERROR(__xludf.DUMMYFUNCTION("""COMPUTED_VALUE"""),"Cost per period")</f>
        <v>Cost per period</v>
      </c>
      <c r="M946" s="3"/>
      <c r="N946" s="3"/>
      <c r="O946" s="3" t="str">
        <f ca="1">IFERROR(__xludf.DUMMYFUNCTION("""COMPUTED_VALUE"""),"640")</f>
        <v>640</v>
      </c>
      <c r="P946" s="3" t="str">
        <f ca="1">IFERROR(__xludf.DUMMYFUNCTION("""COMPUTED_VALUE"""),"335, 640")</f>
        <v>335, 640</v>
      </c>
      <c r="Q946" s="3" t="str">
        <f ca="1">IFERROR(__xludf.DUMMYFUNCTION("""COMPUTED_VALUE"""),"640x640 a 640x335 + text + logo")</f>
        <v>640x640 a 640x335 + text + logo</v>
      </c>
      <c r="R946" s="3" t="str">
        <f ca="1">IFERROR(__xludf.DUMMYFUNCTION("""COMPUTED_VALUE"""),"detailní specifikace na URL odkaze")</f>
        <v>detailní specifikace na URL odkaze</v>
      </c>
      <c r="S946" s="3" t="str">
        <f ca="1">IFERROR(__xludf.DUMMYFUNCTION("""COMPUTED_VALUE"""),"100")</f>
        <v>100</v>
      </c>
      <c r="T946" s="3"/>
      <c r="U946" s="3" t="str">
        <f ca="1">IFERROR(__xludf.DUMMYFUNCTION("""COMPUTED_VALUE"""),"nativní reklama")</f>
        <v>nativní reklama</v>
      </c>
      <c r="V946" s="3"/>
      <c r="W946" s="4" t="str">
        <f ca="1">IFERROR(__xludf.DUMMYFUNCTION("""COMPUTED_VALUE"""),"https://reklama.cncenter.cz/Online/nativni-PR-premium")</f>
        <v>https://reklama.cncenter.cz/Online/nativni-PR-premium</v>
      </c>
      <c r="X946" s="3"/>
      <c r="Y946" s="3"/>
      <c r="Z946" s="3" t="str">
        <f ca="1">IFERROR(__xludf.DUMMYFUNCTION("""COMPUTED_VALUE"""),"podklady@cncenter.cz")</f>
        <v>podklady@cncenter.cz</v>
      </c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 t="str">
        <f ca="1">IFERROR(__xludf.DUMMYFUNCTION("""COMPUTED_VALUE"""),"cross-device")</f>
        <v>cross-device</v>
      </c>
      <c r="AO946" s="3"/>
      <c r="AP946" s="3"/>
      <c r="AQ946" s="3"/>
      <c r="AR946" s="3"/>
      <c r="AS946" s="3"/>
      <c r="AT946" s="3"/>
      <c r="AU946" s="3" t="str">
        <f ca="1">IFERROR(__xludf.DUMMYFUNCTION("""COMPUTED_VALUE"""),"nativní pr premium")</f>
        <v>nativní pr premium</v>
      </c>
    </row>
    <row r="947" spans="1:47" x14ac:dyDescent="0.3">
      <c r="A947" s="3">
        <f ca="1"/>
        <v>2346826</v>
      </c>
      <c r="B947" s="3" t="str">
        <f ca="1"/>
        <v>CZECH NEWS CENTER a. s.</v>
      </c>
      <c r="C947" s="3" t="str">
        <f ca="1">IFERROR(__xludf.DUMMYFUNCTION("""COMPUTED_VALUE"""),"Recepty")</f>
        <v>Recepty</v>
      </c>
      <c r="D947" s="4" t="str">
        <f ca="1">IFERROR(__xludf.DUMMYFUNCTION("""COMPUTED_VALUE"""),"https://recepty.cz")</f>
        <v>https://recepty.cz</v>
      </c>
      <c r="E947" s="3" t="str">
        <f ca="1">IFERROR(__xludf.DUMMYFUNCTION("""COMPUTED_VALUE"""),"celý web")</f>
        <v>celý web</v>
      </c>
      <c r="F947" s="4" t="str">
        <f ca="1">IFERROR(__xludf.DUMMYFUNCTION("""COMPUTED_VALUE"""),"https://recepty.cz")</f>
        <v>https://recepty.cz</v>
      </c>
      <c r="G947" s="3" t="str">
        <f ca="1">IFERROR(__xludf.DUMMYFUNCTION("""COMPUTED_VALUE"""),"nativní rectangle cross-device low season")</f>
        <v>nativní rectangle cross-device low season</v>
      </c>
      <c r="H947" s="3">
        <f ca="1">IFERROR(__xludf.DUMMYFUNCTION("""COMPUTED_VALUE"""),7)</f>
        <v>7</v>
      </c>
      <c r="I947" s="5">
        <f ca="1">IFERROR(__xludf.DUMMYFUNCTION("""COMPUTED_VALUE"""),1000)</f>
        <v>1000</v>
      </c>
      <c r="J947" s="5">
        <f ca="1">IFERROR(__xludf.DUMMYFUNCTION("""COMPUTED_VALUE"""),200)</f>
        <v>200</v>
      </c>
      <c r="K947" s="3"/>
      <c r="L947" s="3" t="str">
        <f ca="1">IFERROR(__xludf.DUMMYFUNCTION("""COMPUTED_VALUE"""),"Cost per period")</f>
        <v>Cost per period</v>
      </c>
      <c r="M947" s="3"/>
      <c r="N947" s="3"/>
      <c r="O947" s="3" t="str">
        <f ca="1">IFERROR(__xludf.DUMMYFUNCTION("""COMPUTED_VALUE"""),"640")</f>
        <v>640</v>
      </c>
      <c r="P947" s="3" t="str">
        <f ca="1">IFERROR(__xludf.DUMMYFUNCTION("""COMPUTED_VALUE"""),"335, 640")</f>
        <v>335, 640</v>
      </c>
      <c r="Q947" s="3" t="str">
        <f ca="1">IFERROR(__xludf.DUMMYFUNCTION("""COMPUTED_VALUE"""),"640x640 a 640x335 + text + logo")</f>
        <v>640x640 a 640x335 + text + logo</v>
      </c>
      <c r="R947" s="3"/>
      <c r="S947" s="3" t="str">
        <f ca="1">IFERROR(__xludf.DUMMYFUNCTION("""COMPUTED_VALUE"""),"45")</f>
        <v>45</v>
      </c>
      <c r="T947" s="3"/>
      <c r="U947" s="3" t="str">
        <f ca="1">IFERROR(__xludf.DUMMYFUNCTION("""COMPUTED_VALUE"""),"nativní reklama")</f>
        <v>nativní reklama</v>
      </c>
      <c r="V947" s="3"/>
      <c r="W947" s="4" t="str">
        <f ca="1">IFERROR(__xludf.DUMMYFUNCTION("""COMPUTED_VALUE"""),"https://reklama.cncenter.cz/Online/nativni-rectangle-cross-device")</f>
        <v>https://reklama.cncenter.cz/Online/nativni-rectangle-cross-device</v>
      </c>
      <c r="X947" s="3"/>
      <c r="Y947" s="3"/>
      <c r="Z947" s="3" t="str">
        <f ca="1">IFERROR(__xludf.DUMMYFUNCTION("""COMPUTED_VALUE"""),"podklady@cncenter.cz")</f>
        <v>podklady@cncenter.cz</v>
      </c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 t="str">
        <f ca="1">IFERROR(__xludf.DUMMYFUNCTION("""COMPUTED_VALUE"""),"cross-device")</f>
        <v>cross-device</v>
      </c>
      <c r="AO947" s="3"/>
      <c r="AP947" s="3"/>
      <c r="AQ947" s="3"/>
      <c r="AR947" s="3"/>
      <c r="AS947" s="3"/>
      <c r="AT947" s="3"/>
      <c r="AU947" s="3" t="str">
        <f ca="1">IFERROR(__xludf.DUMMYFUNCTION("""COMPUTED_VALUE"""),"nativní rectangle cross-device")</f>
        <v>nativní rectangle cross-device</v>
      </c>
    </row>
    <row r="948" spans="1:47" x14ac:dyDescent="0.3">
      <c r="A948" s="3">
        <f ca="1"/>
        <v>2346826</v>
      </c>
      <c r="B948" s="3" t="str">
        <f ca="1"/>
        <v>CZECH NEWS CENTER a. s.</v>
      </c>
      <c r="C948" s="3" t="str">
        <f ca="1">IFERROR(__xludf.DUMMYFUNCTION("""COMPUTED_VALUE"""),"Recepty")</f>
        <v>Recepty</v>
      </c>
      <c r="D948" s="4" t="str">
        <f ca="1">IFERROR(__xludf.DUMMYFUNCTION("""COMPUTED_VALUE"""),"https://recepty.cz")</f>
        <v>https://recepty.cz</v>
      </c>
      <c r="E948" s="3" t="str">
        <f ca="1">IFERROR(__xludf.DUMMYFUNCTION("""COMPUTED_VALUE"""),"celý web")</f>
        <v>celý web</v>
      </c>
      <c r="F948" s="4" t="str">
        <f ca="1">IFERROR(__xludf.DUMMYFUNCTION("""COMPUTED_VALUE"""),"https://recepty.cz")</f>
        <v>https://recepty.cz</v>
      </c>
      <c r="G948" s="3" t="str">
        <f ca="1">IFERROR(__xludf.DUMMYFUNCTION("""COMPUTED_VALUE"""),"outstream low season")</f>
        <v>outstream low season</v>
      </c>
      <c r="H948" s="3">
        <f ca="1">IFERROR(__xludf.DUMMYFUNCTION("""COMPUTED_VALUE"""),7)</f>
        <v>7</v>
      </c>
      <c r="I948" s="5">
        <f ca="1">IFERROR(__xludf.DUMMYFUNCTION("""COMPUTED_VALUE"""),1000)</f>
        <v>1000</v>
      </c>
      <c r="J948" s="5">
        <f ca="1">IFERROR(__xludf.DUMMYFUNCTION("""COMPUTED_VALUE"""),250)</f>
        <v>250</v>
      </c>
      <c r="K948" s="3"/>
      <c r="L948" s="3" t="str">
        <f ca="1">IFERROR(__xludf.DUMMYFUNCTION("""COMPUTED_VALUE"""),"Cost per period")</f>
        <v>Cost per period</v>
      </c>
      <c r="M948" s="3"/>
      <c r="N948" s="3"/>
      <c r="O948" s="3" t="str">
        <f ca="1">IFERROR(__xludf.DUMMYFUNCTION("""COMPUTED_VALUE"""),"1280")</f>
        <v>1280</v>
      </c>
      <c r="P948" s="3" t="str">
        <f ca="1">IFERROR(__xludf.DUMMYFUNCTION("""COMPUTED_VALUE"""),"720")</f>
        <v>720</v>
      </c>
      <c r="Q948" s="3" t="str">
        <f ca="1">IFERROR(__xludf.DUMMYFUNCTION("""COMPUTED_VALUE"""),"16:9")</f>
        <v>16:9</v>
      </c>
      <c r="R948" s="3"/>
      <c r="S948" s="3" t="str">
        <f ca="1">IFERROR(__xludf.DUMMYFUNCTION("""COMPUTED_VALUE"""),"100")</f>
        <v>100</v>
      </c>
      <c r="T948" s="3"/>
      <c r="U948" s="3" t="str">
        <f ca="1">IFERROR(__xludf.DUMMYFUNCTION("""COMPUTED_VALUE"""),"videospot")</f>
        <v>videospot</v>
      </c>
      <c r="V948" s="3"/>
      <c r="W948" s="4" t="str">
        <f ca="1">IFERROR(__xludf.DUMMYFUNCTION("""COMPUTED_VALUE"""),"https://reklama.cncenter.cz/Online/Outstream")</f>
        <v>https://reklama.cncenter.cz/Online/Outstream</v>
      </c>
      <c r="X948" s="3"/>
      <c r="Y948" s="3"/>
      <c r="Z948" s="3" t="str">
        <f ca="1">IFERROR(__xludf.DUMMYFUNCTION("""COMPUTED_VALUE"""),"podklady@cncenter.cz")</f>
        <v>podklady@cncenter.cz</v>
      </c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 t="str">
        <f ca="1">IFERROR(__xludf.DUMMYFUNCTION("""COMPUTED_VALUE"""),"cross-device")</f>
        <v>cross-device</v>
      </c>
      <c r="AO948" s="3"/>
      <c r="AP948" s="3"/>
      <c r="AQ948" s="3"/>
      <c r="AR948" s="3"/>
      <c r="AS948" s="3"/>
      <c r="AT948" s="3"/>
      <c r="AU948" s="3" t="str">
        <f ca="1">IFERROR(__xludf.DUMMYFUNCTION("""COMPUTED_VALUE"""),"outstream")</f>
        <v>outstream</v>
      </c>
    </row>
    <row r="949" spans="1:47" x14ac:dyDescent="0.3">
      <c r="A949" s="3">
        <f ca="1"/>
        <v>2346826</v>
      </c>
      <c r="B949" s="3" t="str">
        <f ca="1"/>
        <v>CZECH NEWS CENTER a. s.</v>
      </c>
      <c r="C949" s="3" t="str">
        <f ca="1">IFERROR(__xludf.DUMMYFUNCTION("""COMPUTED_VALUE"""),"Recepty")</f>
        <v>Recepty</v>
      </c>
      <c r="D949" s="4" t="str">
        <f ca="1">IFERROR(__xludf.DUMMYFUNCTION("""COMPUTED_VALUE"""),"https://recepty.cz")</f>
        <v>https://recepty.cz</v>
      </c>
      <c r="E949" s="3" t="str">
        <f ca="1">IFERROR(__xludf.DUMMYFUNCTION("""COMPUTED_VALUE"""),"celý web")</f>
        <v>celý web</v>
      </c>
      <c r="F949" s="4" t="str">
        <f ca="1">IFERROR(__xludf.DUMMYFUNCTION("""COMPUTED_VALUE"""),"https://recepty.cz")</f>
        <v>https://recepty.cz</v>
      </c>
      <c r="G949" s="3" t="str">
        <f ca="1">IFERROR(__xludf.DUMMYFUNCTION("""COMPUTED_VALUE"""),"PR článek low season")</f>
        <v>PR článek low season</v>
      </c>
      <c r="H949" s="3">
        <f ca="1">IFERROR(__xludf.DUMMYFUNCTION("""COMPUTED_VALUE"""),1)</f>
        <v>1</v>
      </c>
      <c r="I949" s="5">
        <f ca="1">IFERROR(__xludf.DUMMYFUNCTION("""COMPUTED_VALUE"""),1)</f>
        <v>1</v>
      </c>
      <c r="J949" s="5">
        <f ca="1">IFERROR(__xludf.DUMMYFUNCTION("""COMPUTED_VALUE"""),30000)</f>
        <v>30000</v>
      </c>
      <c r="K949" s="3"/>
      <c r="L949" s="3" t="str">
        <f ca="1">IFERROR(__xludf.DUMMYFUNCTION("""COMPUTED_VALUE"""),"Cost per instance")</f>
        <v>Cost per instance</v>
      </c>
      <c r="M949" s="3"/>
      <c r="N949" s="3"/>
      <c r="O949" s="3"/>
      <c r="P949" s="3"/>
      <c r="Q949" s="3"/>
      <c r="R949" s="3"/>
      <c r="S949" s="3" t="str">
        <f ca="1">IFERROR(__xludf.DUMMYFUNCTION("""COMPUTED_VALUE"""),"100")</f>
        <v>100</v>
      </c>
      <c r="T949" s="3"/>
      <c r="U949" s="3" t="str">
        <f ca="1">IFERROR(__xludf.DUMMYFUNCTION("""COMPUTED_VALUE"""),"pr článek")</f>
        <v>pr článek</v>
      </c>
      <c r="V949" s="3"/>
      <c r="W949" s="4" t="str">
        <f ca="1">IFERROR(__xludf.DUMMYFUNCTION("""COMPUTED_VALUE"""),"https://reklama.cncenter.cz/?ads=PR%2520%25C4%258Dl%25C3%25A1nky")</f>
        <v>https://reklama.cncenter.cz/?ads=PR%2520%25C4%258Dl%25C3%25A1nky</v>
      </c>
      <c r="X949" s="3"/>
      <c r="Y949" s="3"/>
      <c r="Z949" s="3" t="str">
        <f ca="1">IFERROR(__xludf.DUMMYFUNCTION("""COMPUTED_VALUE"""),"podklady@cncenter.cz")</f>
        <v>podklady@cncenter.cz</v>
      </c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 t="str">
        <f ca="1">IFERROR(__xludf.DUMMYFUNCTION("""COMPUTED_VALUE"""),"cross-device")</f>
        <v>cross-device</v>
      </c>
      <c r="AO949" s="3"/>
      <c r="AP949" s="3"/>
      <c r="AQ949" s="3"/>
      <c r="AR949" s="3"/>
      <c r="AS949" s="3"/>
      <c r="AT949" s="3"/>
      <c r="AU949" s="3" t="str">
        <f ca="1">IFERROR(__xludf.DUMMYFUNCTION("""COMPUTED_VALUE"""),"PR článek")</f>
        <v>PR článek</v>
      </c>
    </row>
    <row r="950" spans="1:47" x14ac:dyDescent="0.3">
      <c r="A950" s="3">
        <f ca="1"/>
        <v>2346826</v>
      </c>
      <c r="B950" s="3" t="str">
        <f ca="1"/>
        <v>CZECH NEWS CENTER a. s.</v>
      </c>
      <c r="C950" s="3" t="str">
        <f ca="1">IFERROR(__xludf.DUMMYFUNCTION("""COMPUTED_VALUE"""),"Recepty")</f>
        <v>Recepty</v>
      </c>
      <c r="D950" s="4" t="str">
        <f ca="1">IFERROR(__xludf.DUMMYFUNCTION("""COMPUTED_VALUE"""),"https://recepty.cz")</f>
        <v>https://recepty.cz</v>
      </c>
      <c r="E950" s="3" t="str">
        <f ca="1">IFERROR(__xludf.DUMMYFUNCTION("""COMPUTED_VALUE"""),"celý web")</f>
        <v>celý web</v>
      </c>
      <c r="F950" s="4" t="str">
        <f ca="1">IFERROR(__xludf.DUMMYFUNCTION("""COMPUTED_VALUE"""),"https://recepty.cz")</f>
        <v>https://recepty.cz</v>
      </c>
      <c r="G950" s="3" t="str">
        <f ca="1">IFERROR(__xludf.DUMMYFUNCTION("""COMPUTED_VALUE"""),"Prodloužení existující microsite, bez úprav low season")</f>
        <v>Prodloužení existující microsite, bez úprav low season</v>
      </c>
      <c r="H950" s="3">
        <f ca="1">IFERROR(__xludf.DUMMYFUNCTION("""COMPUTED_VALUE"""),1)</f>
        <v>1</v>
      </c>
      <c r="I950" s="5">
        <f ca="1">IFERROR(__xludf.DUMMYFUNCTION("""COMPUTED_VALUE"""),1)</f>
        <v>1</v>
      </c>
      <c r="J950" s="5">
        <f ca="1">IFERROR(__xludf.DUMMYFUNCTION("""COMPUTED_VALUE"""),15000)</f>
        <v>15000</v>
      </c>
      <c r="K950" s="3"/>
      <c r="L950" s="3" t="str">
        <f ca="1">IFERROR(__xludf.DUMMYFUNCTION("""COMPUTED_VALUE"""),"Cost per instance")</f>
        <v>Cost per instance</v>
      </c>
      <c r="M950" s="3"/>
      <c r="N950" s="3"/>
      <c r="O950" s="3"/>
      <c r="P950" s="3"/>
      <c r="Q950" s="3"/>
      <c r="R950" s="3"/>
      <c r="S950" s="3" t="str">
        <f ca="1">IFERROR(__xludf.DUMMYFUNCTION("""COMPUTED_VALUE"""),"100")</f>
        <v>100</v>
      </c>
      <c r="T950" s="3"/>
      <c r="U950" s="3" t="str">
        <f ca="1">IFERROR(__xludf.DUMMYFUNCTION("""COMPUTED_VALUE"""),"microsite")</f>
        <v>microsite</v>
      </c>
      <c r="V950" s="3"/>
      <c r="W950" s="3"/>
      <c r="X950" s="3"/>
      <c r="Y950" s="3"/>
      <c r="Z950" s="3" t="str">
        <f ca="1">IFERROR(__xludf.DUMMYFUNCTION("""COMPUTED_VALUE"""),"podklady@cncenter.cz")</f>
        <v>podklady@cncenter.cz</v>
      </c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 t="str">
        <f ca="1">IFERROR(__xludf.DUMMYFUNCTION("""COMPUTED_VALUE"""),"cross-device")</f>
        <v>cross-device</v>
      </c>
      <c r="AO950" s="3"/>
      <c r="AP950" s="3"/>
      <c r="AQ950" s="3"/>
      <c r="AR950" s="3"/>
      <c r="AS950" s="3"/>
      <c r="AT950" s="3"/>
      <c r="AU950" s="3" t="str">
        <f ca="1">IFERROR(__xludf.DUMMYFUNCTION("""COMPUTED_VALUE"""),"Prodloužení existující microsite, bez úprav")</f>
        <v>Prodloužení existující microsite, bez úprav</v>
      </c>
    </row>
    <row r="951" spans="1:47" x14ac:dyDescent="0.3">
      <c r="A951" s="3">
        <f ca="1"/>
        <v>2346826</v>
      </c>
      <c r="B951" s="3" t="str">
        <f ca="1"/>
        <v>CZECH NEWS CENTER a. s.</v>
      </c>
      <c r="C951" s="3" t="str">
        <f ca="1">IFERROR(__xludf.DUMMYFUNCTION("""COMPUTED_VALUE"""),"Recepty")</f>
        <v>Recepty</v>
      </c>
      <c r="D951" s="4" t="str">
        <f ca="1">IFERROR(__xludf.DUMMYFUNCTION("""COMPUTED_VALUE"""),"https://recepty.cz")</f>
        <v>https://recepty.cz</v>
      </c>
      <c r="E951" s="3" t="str">
        <f ca="1">IFERROR(__xludf.DUMMYFUNCTION("""COMPUTED_VALUE"""),"celý web")</f>
        <v>celý web</v>
      </c>
      <c r="F951" s="4" t="str">
        <f ca="1">IFERROR(__xludf.DUMMYFUNCTION("""COMPUTED_VALUE"""),"https://recepty.cz")</f>
        <v>https://recepty.cz</v>
      </c>
      <c r="G951" s="3" t="str">
        <f ca="1">IFERROR(__xludf.DUMMYFUNCTION("""COMPUTED_VALUE"""),"Prodloužení existující microsite, bez úprav low season")</f>
        <v>Prodloužení existující microsite, bez úprav low season</v>
      </c>
      <c r="H951" s="3">
        <f ca="1">IFERROR(__xludf.DUMMYFUNCTION("""COMPUTED_VALUE"""),1)</f>
        <v>1</v>
      </c>
      <c r="I951" s="5">
        <f ca="1">IFERROR(__xludf.DUMMYFUNCTION("""COMPUTED_VALUE"""),1)</f>
        <v>1</v>
      </c>
      <c r="J951" s="5">
        <f ca="1">IFERROR(__xludf.DUMMYFUNCTION("""COMPUTED_VALUE"""),15000)</f>
        <v>15000</v>
      </c>
      <c r="K951" s="3"/>
      <c r="L951" s="3" t="str">
        <f ca="1">IFERROR(__xludf.DUMMYFUNCTION("""COMPUTED_VALUE"""),"Cost per instance")</f>
        <v>Cost per instance</v>
      </c>
      <c r="M951" s="3"/>
      <c r="N951" s="3"/>
      <c r="O951" s="3"/>
      <c r="P951" s="3"/>
      <c r="Q951" s="3"/>
      <c r="R951" s="3"/>
      <c r="S951" s="3" t="str">
        <f ca="1">IFERROR(__xludf.DUMMYFUNCTION("""COMPUTED_VALUE"""),"100")</f>
        <v>100</v>
      </c>
      <c r="T951" s="3"/>
      <c r="U951" s="3" t="str">
        <f ca="1">IFERROR(__xludf.DUMMYFUNCTION("""COMPUTED_VALUE"""),"microsite")</f>
        <v>microsite</v>
      </c>
      <c r="V951" s="3"/>
      <c r="W951" s="3"/>
      <c r="X951" s="3"/>
      <c r="Y951" s="3"/>
      <c r="Z951" s="3" t="str">
        <f ca="1">IFERROR(__xludf.DUMMYFUNCTION("""COMPUTED_VALUE"""),"podklady@cncenter.cz")</f>
        <v>podklady@cncenter.cz</v>
      </c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 t="str">
        <f ca="1">IFERROR(__xludf.DUMMYFUNCTION("""COMPUTED_VALUE"""),"cross-device")</f>
        <v>cross-device</v>
      </c>
      <c r="AO951" s="3"/>
      <c r="AP951" s="3"/>
      <c r="AQ951" s="3"/>
      <c r="AR951" s="3"/>
      <c r="AS951" s="3"/>
      <c r="AT951" s="3"/>
      <c r="AU951" s="3" t="str">
        <f ca="1">IFERROR(__xludf.DUMMYFUNCTION("""COMPUTED_VALUE"""),"Prodloužení existující microsite, bez úprav")</f>
        <v>Prodloužení existující microsite, bez úprav</v>
      </c>
    </row>
    <row r="952" spans="1:47" x14ac:dyDescent="0.3">
      <c r="A952" s="3">
        <f ca="1"/>
        <v>2346826</v>
      </c>
      <c r="B952" s="3" t="str">
        <f ca="1"/>
        <v>CZECH NEWS CENTER a. s.</v>
      </c>
      <c r="C952" s="3" t="str">
        <f ca="1">IFERROR(__xludf.DUMMYFUNCTION("""COMPUTED_VALUE"""),"Recepty")</f>
        <v>Recepty</v>
      </c>
      <c r="D952" s="4" t="str">
        <f ca="1">IFERROR(__xludf.DUMMYFUNCTION("""COMPUTED_VALUE"""),"https://recepty.cz")</f>
        <v>https://recepty.cz</v>
      </c>
      <c r="E952" s="3" t="str">
        <f ca="1">IFERROR(__xludf.DUMMYFUNCTION("""COMPUTED_VALUE"""),"celý web")</f>
        <v>celý web</v>
      </c>
      <c r="F952" s="4" t="str">
        <f ca="1">IFERROR(__xludf.DUMMYFUNCTION("""COMPUTED_VALUE"""),"https://recepty.cz")</f>
        <v>https://recepty.cz</v>
      </c>
      <c r="G952" s="3" t="str">
        <f ca="1">IFERROR(__xludf.DUMMYFUNCTION("""COMPUTED_VALUE"""),"Prodloužení existující microsite, bez úprav low season")</f>
        <v>Prodloužení existující microsite, bez úprav low season</v>
      </c>
      <c r="H952" s="3">
        <f ca="1">IFERROR(__xludf.DUMMYFUNCTION("""COMPUTED_VALUE"""),1)</f>
        <v>1</v>
      </c>
      <c r="I952" s="5">
        <f ca="1">IFERROR(__xludf.DUMMYFUNCTION("""COMPUTED_VALUE"""),1)</f>
        <v>1</v>
      </c>
      <c r="J952" s="5">
        <f ca="1">IFERROR(__xludf.DUMMYFUNCTION("""COMPUTED_VALUE"""),15000)</f>
        <v>15000</v>
      </c>
      <c r="K952" s="3"/>
      <c r="L952" s="3" t="str">
        <f ca="1">IFERROR(__xludf.DUMMYFUNCTION("""COMPUTED_VALUE"""),"Cost per instance")</f>
        <v>Cost per instance</v>
      </c>
      <c r="M952" s="3"/>
      <c r="N952" s="3"/>
      <c r="O952" s="3"/>
      <c r="P952" s="3"/>
      <c r="Q952" s="3"/>
      <c r="R952" s="3"/>
      <c r="S952" s="3" t="str">
        <f ca="1">IFERROR(__xludf.DUMMYFUNCTION("""COMPUTED_VALUE"""),"100")</f>
        <v>100</v>
      </c>
      <c r="T952" s="3"/>
      <c r="U952" s="3" t="str">
        <f ca="1">IFERROR(__xludf.DUMMYFUNCTION("""COMPUTED_VALUE"""),"microsite")</f>
        <v>microsite</v>
      </c>
      <c r="V952" s="3"/>
      <c r="W952" s="3"/>
      <c r="X952" s="3"/>
      <c r="Y952" s="3"/>
      <c r="Z952" s="3" t="str">
        <f ca="1">IFERROR(__xludf.DUMMYFUNCTION("""COMPUTED_VALUE"""),"podklady@cncenter.cz")</f>
        <v>podklady@cncenter.cz</v>
      </c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 t="str">
        <f ca="1">IFERROR(__xludf.DUMMYFUNCTION("""COMPUTED_VALUE"""),"cross-device")</f>
        <v>cross-device</v>
      </c>
      <c r="AO952" s="3"/>
      <c r="AP952" s="3"/>
      <c r="AQ952" s="3"/>
      <c r="AR952" s="3"/>
      <c r="AS952" s="3"/>
      <c r="AT952" s="3"/>
      <c r="AU952" s="3" t="str">
        <f ca="1">IFERROR(__xludf.DUMMYFUNCTION("""COMPUTED_VALUE"""),"Prodloužení existující microsite, bez úprav")</f>
        <v>Prodloužení existující microsite, bez úprav</v>
      </c>
    </row>
    <row r="953" spans="1:47" x14ac:dyDescent="0.3">
      <c r="A953" s="3">
        <f ca="1"/>
        <v>2346826</v>
      </c>
      <c r="B953" s="3" t="str">
        <f ca="1"/>
        <v>CZECH NEWS CENTER a. s.</v>
      </c>
      <c r="C953" s="3" t="str">
        <f ca="1">IFERROR(__xludf.DUMMYFUNCTION("""COMPUTED_VALUE"""),"Recepty")</f>
        <v>Recepty</v>
      </c>
      <c r="D953" s="4" t="str">
        <f ca="1">IFERROR(__xludf.DUMMYFUNCTION("""COMPUTED_VALUE"""),"https://recepty.cz")</f>
        <v>https://recepty.cz</v>
      </c>
      <c r="E953" s="3" t="str">
        <f ca="1">IFERROR(__xludf.DUMMYFUNCTION("""COMPUTED_VALUE"""),"celý web")</f>
        <v>celý web</v>
      </c>
      <c r="F953" s="4" t="str">
        <f ca="1">IFERROR(__xludf.DUMMYFUNCTION("""COMPUTED_VALUE"""),"https://recepty.cz")</f>
        <v>https://recepty.cz</v>
      </c>
      <c r="G953" s="3" t="str">
        <f ca="1">IFERROR(__xludf.DUMMYFUNCTION("""COMPUTED_VALUE"""),"videospot - max. 30 sec. / bumper low season")</f>
        <v>videospot - max. 30 sec. / bumper low season</v>
      </c>
      <c r="H953" s="3">
        <f ca="1">IFERROR(__xludf.DUMMYFUNCTION("""COMPUTED_VALUE"""),7)</f>
        <v>7</v>
      </c>
      <c r="I953" s="5">
        <f ca="1">IFERROR(__xludf.DUMMYFUNCTION("""COMPUTED_VALUE"""),1000)</f>
        <v>1000</v>
      </c>
      <c r="J953" s="5">
        <f ca="1">IFERROR(__xludf.DUMMYFUNCTION("""COMPUTED_VALUE"""),740)</f>
        <v>740</v>
      </c>
      <c r="K953" s="3"/>
      <c r="L953" s="3" t="str">
        <f ca="1">IFERROR(__xludf.DUMMYFUNCTION("""COMPUTED_VALUE"""),"Cost per period")</f>
        <v>Cost per period</v>
      </c>
      <c r="M953" s="3"/>
      <c r="N953" s="3"/>
      <c r="O953" s="3" t="str">
        <f ca="1">IFERROR(__xludf.DUMMYFUNCTION("""COMPUTED_VALUE"""),"1280")</f>
        <v>1280</v>
      </c>
      <c r="P953" s="3" t="str">
        <f ca="1">IFERROR(__xludf.DUMMYFUNCTION("""COMPUTED_VALUE"""),"720")</f>
        <v>720</v>
      </c>
      <c r="Q953" s="3" t="str">
        <f ca="1">IFERROR(__xludf.DUMMYFUNCTION("""COMPUTED_VALUE"""),"16:9 / umístění po domluvě dle možností")</f>
        <v>16:9 / umístění po domluvě dle možností</v>
      </c>
      <c r="R953" s="3" t="str">
        <f ca="1">IFERROR(__xludf.DUMMYFUNCTION("""COMPUTED_VALUE"""),"přeskočení po 7 sekundách")</f>
        <v>přeskočení po 7 sekundách</v>
      </c>
      <c r="S953" s="3" t="str">
        <f ca="1">IFERROR(__xludf.DUMMYFUNCTION("""COMPUTED_VALUE"""),"100")</f>
        <v>100</v>
      </c>
      <c r="T953" s="3"/>
      <c r="U953" s="3" t="str">
        <f ca="1">IFERROR(__xludf.DUMMYFUNCTION("""COMPUTED_VALUE"""),"videospot")</f>
        <v>videospot</v>
      </c>
      <c r="V953" s="3"/>
      <c r="W953" s="4" t="str">
        <f ca="1">IFERROR(__xludf.DUMMYFUNCTION("""COMPUTED_VALUE"""),"https://reklama.cncenter.cz/Online/Bumper")</f>
        <v>https://reklama.cncenter.cz/Online/Bumper</v>
      </c>
      <c r="X953" s="3"/>
      <c r="Y953" s="3"/>
      <c r="Z953" s="3" t="str">
        <f ca="1">IFERROR(__xludf.DUMMYFUNCTION("""COMPUTED_VALUE"""),"podklady@cncenter.cz")</f>
        <v>podklady@cncenter.cz</v>
      </c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 t="str">
        <f ca="1">IFERROR(__xludf.DUMMYFUNCTION("""COMPUTED_VALUE"""),"cross-device")</f>
        <v>cross-device</v>
      </c>
      <c r="AO953" s="3"/>
      <c r="AP953" s="3"/>
      <c r="AQ953" s="3"/>
      <c r="AR953" s="3"/>
      <c r="AS953" s="3"/>
      <c r="AT953" s="3"/>
      <c r="AU953" s="3" t="str">
        <f ca="1">IFERROR(__xludf.DUMMYFUNCTION("""COMPUTED_VALUE"""),"videospot - max. 30 sec. / bumper")</f>
        <v>videospot - max. 30 sec. / bumper</v>
      </c>
    </row>
    <row r="954" spans="1:47" x14ac:dyDescent="0.3">
      <c r="A954" s="3">
        <f ca="1"/>
        <v>2346826</v>
      </c>
      <c r="B954" s="3" t="str">
        <f ca="1"/>
        <v>CZECH NEWS CENTER a. s.</v>
      </c>
      <c r="C954" s="3" t="str">
        <f ca="1">IFERROR(__xludf.DUMMYFUNCTION("""COMPUTED_VALUE"""),"Reflex")</f>
        <v>Reflex</v>
      </c>
      <c r="D954" s="4" t="str">
        <f ca="1">IFERROR(__xludf.DUMMYFUNCTION("""COMPUTED_VALUE"""),"https://reflex.cz")</f>
        <v>https://reflex.cz</v>
      </c>
      <c r="E954" s="3" t="str">
        <f ca="1">IFERROR(__xludf.DUMMYFUNCTION("""COMPUTED_VALUE"""),"celý web")</f>
        <v>celý web</v>
      </c>
      <c r="F954" s="4" t="str">
        <f ca="1">IFERROR(__xludf.DUMMYFUNCTION("""COMPUTED_VALUE"""),"https://reflex.cz")</f>
        <v>https://reflex.cz</v>
      </c>
      <c r="G954" s="3" t="str">
        <f ca="1">IFERROR(__xludf.DUMMYFUNCTION("""COMPUTED_VALUE"""),"Advertorial low season")</f>
        <v>Advertorial low season</v>
      </c>
      <c r="H954" s="3">
        <f ca="1">IFERROR(__xludf.DUMMYFUNCTION("""COMPUTED_VALUE"""),1)</f>
        <v>1</v>
      </c>
      <c r="I954" s="5">
        <f ca="1">IFERROR(__xludf.DUMMYFUNCTION("""COMPUTED_VALUE"""),1)</f>
        <v>1</v>
      </c>
      <c r="J954" s="5">
        <f ca="1">IFERROR(__xludf.DUMMYFUNCTION("""COMPUTED_VALUE"""),90000)</f>
        <v>90000</v>
      </c>
      <c r="K954" s="3"/>
      <c r="L954" s="3" t="str">
        <f ca="1">IFERROR(__xludf.DUMMYFUNCTION("""COMPUTED_VALUE"""),"Cost per instance")</f>
        <v>Cost per instance</v>
      </c>
      <c r="M954" s="3"/>
      <c r="N954" s="3"/>
      <c r="O954" s="3"/>
      <c r="P954" s="3"/>
      <c r="Q954" s="3"/>
      <c r="R954" s="3"/>
      <c r="S954" s="3" t="str">
        <f ca="1">IFERROR(__xludf.DUMMYFUNCTION("""COMPUTED_VALUE"""),"100")</f>
        <v>100</v>
      </c>
      <c r="T954" s="3"/>
      <c r="U954" s="3" t="str">
        <f ca="1">IFERROR(__xludf.DUMMYFUNCTION("""COMPUTED_VALUE"""),"pr článek")</f>
        <v>pr článek</v>
      </c>
      <c r="V954" s="3"/>
      <c r="W954" s="3"/>
      <c r="X954" s="3"/>
      <c r="Y954" s="3"/>
      <c r="Z954" s="3" t="str">
        <f ca="1">IFERROR(__xludf.DUMMYFUNCTION("""COMPUTED_VALUE"""),"podklady@cncenter.cz")</f>
        <v>podklady@cncenter.cz</v>
      </c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 t="str">
        <f ca="1">IFERROR(__xludf.DUMMYFUNCTION("""COMPUTED_VALUE"""),"cross-device")</f>
        <v>cross-device</v>
      </c>
      <c r="AO954" s="3"/>
      <c r="AP954" s="3"/>
      <c r="AQ954" s="3"/>
      <c r="AR954" s="3"/>
      <c r="AS954" s="3"/>
      <c r="AT954" s="3"/>
      <c r="AU954" s="3" t="str">
        <f ca="1">IFERROR(__xludf.DUMMYFUNCTION("""COMPUTED_VALUE"""),"Advertorial")</f>
        <v>Advertorial</v>
      </c>
    </row>
    <row r="955" spans="1:47" x14ac:dyDescent="0.3">
      <c r="A955" s="3">
        <f ca="1"/>
        <v>2346826</v>
      </c>
      <c r="B955" s="3" t="str">
        <f ca="1"/>
        <v>CZECH NEWS CENTER a. s.</v>
      </c>
      <c r="C955" s="3" t="str">
        <f ca="1">IFERROR(__xludf.DUMMYFUNCTION("""COMPUTED_VALUE"""),"Reflex")</f>
        <v>Reflex</v>
      </c>
      <c r="D955" s="4" t="str">
        <f ca="1">IFERROR(__xludf.DUMMYFUNCTION("""COMPUTED_VALUE"""),"https://reflex.cz")</f>
        <v>https://reflex.cz</v>
      </c>
      <c r="E955" s="3" t="str">
        <f ca="1">IFERROR(__xludf.DUMMYFUNCTION("""COMPUTED_VALUE"""),"celý web")</f>
        <v>celý web</v>
      </c>
      <c r="F955" s="4" t="str">
        <f ca="1">IFERROR(__xludf.DUMMYFUNCTION("""COMPUTED_VALUE"""),"https://reflex.cz")</f>
        <v>https://reflex.cz</v>
      </c>
      <c r="G955" s="3" t="str">
        <f ca="1">IFERROR(__xludf.DUMMYFUNCTION("""COMPUTED_VALUE"""),"billboard bottom low season")</f>
        <v>billboard bottom low season</v>
      </c>
      <c r="H955" s="3">
        <f ca="1">IFERROR(__xludf.DUMMYFUNCTION("""COMPUTED_VALUE"""),7)</f>
        <v>7</v>
      </c>
      <c r="I955" s="5">
        <f ca="1">IFERROR(__xludf.DUMMYFUNCTION("""COMPUTED_VALUE"""),1000)</f>
        <v>1000</v>
      </c>
      <c r="J955" s="5">
        <f ca="1">IFERROR(__xludf.DUMMYFUNCTION("""COMPUTED_VALUE"""),240)</f>
        <v>240</v>
      </c>
      <c r="K955" s="3"/>
      <c r="L955" s="3" t="str">
        <f ca="1">IFERROR(__xludf.DUMMYFUNCTION("""COMPUTED_VALUE"""),"Cost per period")</f>
        <v>Cost per period</v>
      </c>
      <c r="M955" s="3"/>
      <c r="N955" s="3"/>
      <c r="O955" s="3" t="str">
        <f ca="1">IFERROR(__xludf.DUMMYFUNCTION("""COMPUTED_VALUE"""),"970")</f>
        <v>970</v>
      </c>
      <c r="P955" s="3" t="str">
        <f ca="1">IFERROR(__xludf.DUMMYFUNCTION("""COMPUTED_VALUE"""),"250")</f>
        <v>250</v>
      </c>
      <c r="Q955" s="3" t="str">
        <f ca="1">IFERROR(__xludf.DUMMYFUNCTION("""COMPUTED_VALUE"""),"970x250")</f>
        <v>970x250</v>
      </c>
      <c r="R955" s="3"/>
      <c r="S955" s="3" t="str">
        <f ca="1">IFERROR(__xludf.DUMMYFUNCTION("""COMPUTED_VALUE"""),"100 (200 - HTML5)")</f>
        <v>100 (200 - HTML5)</v>
      </c>
      <c r="T955" s="3"/>
      <c r="U955" s="3" t="str">
        <f ca="1">IFERROR(__xludf.DUMMYFUNCTION("""COMPUTED_VALUE"""),"banner standard")</f>
        <v>banner standard</v>
      </c>
      <c r="V955" s="3"/>
      <c r="W955" s="4" t="str">
        <f ca="1">IFERROR(__xludf.DUMMYFUNCTION("""COMPUTED_VALUE"""),"https://reklama.cncenter.cz/Online/billboard-bottom")</f>
        <v>https://reklama.cncenter.cz/Online/billboard-bottom</v>
      </c>
      <c r="X955" s="3"/>
      <c r="Y955" s="3"/>
      <c r="Z955" s="3" t="str">
        <f ca="1">IFERROR(__xludf.DUMMYFUNCTION("""COMPUTED_VALUE"""),"podklady@cncenter.cz")</f>
        <v>podklady@cncenter.cz</v>
      </c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 t="str">
        <f ca="1">IFERROR(__xludf.DUMMYFUNCTION("""COMPUTED_VALUE"""),"desktop")</f>
        <v>desktop</v>
      </c>
      <c r="AO955" s="3"/>
      <c r="AP955" s="3"/>
      <c r="AQ955" s="3"/>
      <c r="AR955" s="3"/>
      <c r="AS955" s="3"/>
      <c r="AT955" s="3"/>
      <c r="AU955" s="3" t="str">
        <f ca="1">IFERROR(__xludf.DUMMYFUNCTION("""COMPUTED_VALUE"""),"billboard bottom")</f>
        <v>billboard bottom</v>
      </c>
    </row>
    <row r="956" spans="1:47" x14ac:dyDescent="0.3">
      <c r="A956" s="3">
        <f ca="1"/>
        <v>2346826</v>
      </c>
      <c r="B956" s="3" t="str">
        <f ca="1"/>
        <v>CZECH NEWS CENTER a. s.</v>
      </c>
      <c r="C956" s="3" t="str">
        <f ca="1">IFERROR(__xludf.DUMMYFUNCTION("""COMPUTED_VALUE"""),"Reflex")</f>
        <v>Reflex</v>
      </c>
      <c r="D956" s="4" t="str">
        <f ca="1">IFERROR(__xludf.DUMMYFUNCTION("""COMPUTED_VALUE"""),"https://reflex.cz")</f>
        <v>https://reflex.cz</v>
      </c>
      <c r="E956" s="3" t="str">
        <f ca="1">IFERROR(__xludf.DUMMYFUNCTION("""COMPUTED_VALUE"""),"celý web")</f>
        <v>celý web</v>
      </c>
      <c r="F956" s="4" t="str">
        <f ca="1">IFERROR(__xludf.DUMMYFUNCTION("""COMPUTED_VALUE"""),"https://reflex.cz")</f>
        <v>https://reflex.cz</v>
      </c>
      <c r="G956" s="3" t="str">
        <f ca="1">IFERROR(__xludf.DUMMYFUNCTION("""COMPUTED_VALUE"""),"branding cross-device low season")</f>
        <v>branding cross-device low season</v>
      </c>
      <c r="H956" s="3">
        <f ca="1">IFERROR(__xludf.DUMMYFUNCTION("""COMPUTED_VALUE"""),7)</f>
        <v>7</v>
      </c>
      <c r="I956" s="5">
        <f ca="1">IFERROR(__xludf.DUMMYFUNCTION("""COMPUTED_VALUE"""),1000)</f>
        <v>1000</v>
      </c>
      <c r="J956" s="5">
        <f ca="1">IFERROR(__xludf.DUMMYFUNCTION("""COMPUTED_VALUE"""),300)</f>
        <v>300</v>
      </c>
      <c r="K956" s="3"/>
      <c r="L956" s="3" t="str">
        <f ca="1">IFERROR(__xludf.DUMMYFUNCTION("""COMPUTED_VALUE"""),"Cost per period")</f>
        <v>Cost per period</v>
      </c>
      <c r="M956" s="3"/>
      <c r="N956" s="3"/>
      <c r="O956" s="3" t="str">
        <f ca="1">IFERROR(__xludf.DUMMYFUNCTION("""COMPUTED_VALUE"""),"2000")</f>
        <v>2000</v>
      </c>
      <c r="P956" s="3" t="str">
        <f ca="1">IFERROR(__xludf.DUMMYFUNCTION("""COMPUTED_VALUE"""),"1400")</f>
        <v>1400</v>
      </c>
      <c r="Q956" s="3" t="str">
        <f ca="1">IFERROR(__xludf.DUMMYFUNCTION("""COMPUTED_VALUE"""),"2000x1400 + 600x1080")</f>
        <v>2000x1400 + 600x1080</v>
      </c>
      <c r="R956" s="3"/>
      <c r="S956" s="3" t="str">
        <f ca="1">IFERROR(__xludf.DUMMYFUNCTION("""COMPUTED_VALUE"""),"500 (600 - HTLM5)")</f>
        <v>500 (600 - HTLM5)</v>
      </c>
      <c r="T956" s="3"/>
      <c r="U956" s="3" t="str">
        <f ca="1">IFERROR(__xludf.DUMMYFUNCTION("""COMPUTED_VALUE"""),"banner standard")</f>
        <v>banner standard</v>
      </c>
      <c r="V956" s="3"/>
      <c r="W956" s="4" t="str">
        <f ca="1">IFERROR(__xludf.DUMMYFUNCTION("""COMPUTED_VALUE"""),"https://reklama.cncenter.cz/Online/branding-cross-device")</f>
        <v>https://reklama.cncenter.cz/Online/branding-cross-device</v>
      </c>
      <c r="X956" s="3"/>
      <c r="Y956" s="3"/>
      <c r="Z956" s="3" t="str">
        <f ca="1">IFERROR(__xludf.DUMMYFUNCTION("""COMPUTED_VALUE"""),"podklady@cncenter.cz")</f>
        <v>podklady@cncenter.cz</v>
      </c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 t="str">
        <f ca="1">IFERROR(__xludf.DUMMYFUNCTION("""COMPUTED_VALUE"""),"cross-device")</f>
        <v>cross-device</v>
      </c>
      <c r="AO956" s="3"/>
      <c r="AP956" s="3"/>
      <c r="AQ956" s="3"/>
      <c r="AR956" s="3"/>
      <c r="AS956" s="3"/>
      <c r="AT956" s="3"/>
      <c r="AU956" s="3" t="str">
        <f ca="1">IFERROR(__xludf.DUMMYFUNCTION("""COMPUTED_VALUE"""),"branding cross-device")</f>
        <v>branding cross-device</v>
      </c>
    </row>
    <row r="957" spans="1:47" x14ac:dyDescent="0.3">
      <c r="A957" s="3">
        <f ca="1"/>
        <v>2346826</v>
      </c>
      <c r="B957" s="3" t="str">
        <f ca="1"/>
        <v>CZECH NEWS CENTER a. s.</v>
      </c>
      <c r="C957" s="3" t="str">
        <f ca="1">IFERROR(__xludf.DUMMYFUNCTION("""COMPUTED_VALUE"""),"Reflex")</f>
        <v>Reflex</v>
      </c>
      <c r="D957" s="4" t="str">
        <f ca="1">IFERROR(__xludf.DUMMYFUNCTION("""COMPUTED_VALUE"""),"https://reflex.cz")</f>
        <v>https://reflex.cz</v>
      </c>
      <c r="E957" s="3" t="str">
        <f ca="1">IFERROR(__xludf.DUMMYFUNCTION("""COMPUTED_VALUE"""),"celý web")</f>
        <v>celý web</v>
      </c>
      <c r="F957" s="4" t="str">
        <f ca="1">IFERROR(__xludf.DUMMYFUNCTION("""COMPUTED_VALUE"""),"https://reflex.cz")</f>
        <v>https://reflex.cz</v>
      </c>
      <c r="G957" s="3" t="str">
        <f ca="1">IFERROR(__xludf.DUMMYFUNCTION("""COMPUTED_VALUE"""),"branding low season")</f>
        <v>branding low season</v>
      </c>
      <c r="H957" s="3">
        <f ca="1">IFERROR(__xludf.DUMMYFUNCTION("""COMPUTED_VALUE"""),7)</f>
        <v>7</v>
      </c>
      <c r="I957" s="5">
        <f ca="1">IFERROR(__xludf.DUMMYFUNCTION("""COMPUTED_VALUE"""),1000)</f>
        <v>1000</v>
      </c>
      <c r="J957" s="5">
        <f ca="1">IFERROR(__xludf.DUMMYFUNCTION("""COMPUTED_VALUE"""),490)</f>
        <v>490</v>
      </c>
      <c r="K957" s="3"/>
      <c r="L957" s="3" t="str">
        <f ca="1">IFERROR(__xludf.DUMMYFUNCTION("""COMPUTED_VALUE"""),"Cost per period")</f>
        <v>Cost per period</v>
      </c>
      <c r="M957" s="3"/>
      <c r="N957" s="3"/>
      <c r="O957" s="3" t="str">
        <f ca="1">IFERROR(__xludf.DUMMYFUNCTION("""COMPUTED_VALUE"""),"2000")</f>
        <v>2000</v>
      </c>
      <c r="P957" s="3" t="str">
        <f ca="1">IFERROR(__xludf.DUMMYFUNCTION("""COMPUTED_VALUE"""),"1400")</f>
        <v>1400</v>
      </c>
      <c r="Q957" s="3" t="str">
        <f ca="1">IFERROR(__xludf.DUMMYFUNCTION("""COMPUTED_VALUE"""),"2000x1400")</f>
        <v>2000x1400</v>
      </c>
      <c r="R957" s="3"/>
      <c r="S957" s="3" t="str">
        <f ca="1">IFERROR(__xludf.DUMMYFUNCTION("""COMPUTED_VALUE"""),"500 + 200 (600+200 HTML5)")</f>
        <v>500 + 200 (600+200 HTML5)</v>
      </c>
      <c r="T957" s="3"/>
      <c r="U957" s="3" t="str">
        <f ca="1">IFERROR(__xludf.DUMMYFUNCTION("""COMPUTED_VALUE"""),"banner standard")</f>
        <v>banner standard</v>
      </c>
      <c r="V957" s="3"/>
      <c r="W957" s="4" t="str">
        <f ca="1">IFERROR(__xludf.DUMMYFUNCTION("""COMPUTED_VALUE"""),"https://reklama.cncenter.cz/Online/branding")</f>
        <v>https://reklama.cncenter.cz/Online/branding</v>
      </c>
      <c r="X957" s="3"/>
      <c r="Y957" s="3"/>
      <c r="Z957" s="3" t="str">
        <f ca="1">IFERROR(__xludf.DUMMYFUNCTION("""COMPUTED_VALUE"""),"podklady@cncenter.cz")</f>
        <v>podklady@cncenter.cz</v>
      </c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 t="str">
        <f ca="1">IFERROR(__xludf.DUMMYFUNCTION("""COMPUTED_VALUE"""),"desktop")</f>
        <v>desktop</v>
      </c>
      <c r="AO957" s="3"/>
      <c r="AP957" s="3"/>
      <c r="AQ957" s="3"/>
      <c r="AR957" s="3"/>
      <c r="AS957" s="3"/>
      <c r="AT957" s="3"/>
      <c r="AU957" s="3" t="str">
        <f ca="1">IFERROR(__xludf.DUMMYFUNCTION("""COMPUTED_VALUE"""),"branding")</f>
        <v>branding</v>
      </c>
    </row>
    <row r="958" spans="1:47" x14ac:dyDescent="0.3">
      <c r="A958" s="3">
        <f ca="1"/>
        <v>2346826</v>
      </c>
      <c r="B958" s="3" t="str">
        <f ca="1"/>
        <v>CZECH NEWS CENTER a. s.</v>
      </c>
      <c r="C958" s="3" t="str">
        <f ca="1">IFERROR(__xludf.DUMMYFUNCTION("""COMPUTED_VALUE"""),"Reflex")</f>
        <v>Reflex</v>
      </c>
      <c r="D958" s="4" t="str">
        <f ca="1">IFERROR(__xludf.DUMMYFUNCTION("""COMPUTED_VALUE"""),"https://reflex.cz")</f>
        <v>https://reflex.cz</v>
      </c>
      <c r="E958" s="3" t="str">
        <f ca="1">IFERROR(__xludf.DUMMYFUNCTION("""COMPUTED_VALUE"""),"celý web")</f>
        <v>celý web</v>
      </c>
      <c r="F958" s="4" t="str">
        <f ca="1">IFERROR(__xludf.DUMMYFUNCTION("""COMPUTED_VALUE"""),"https://reflex.cz")</f>
        <v>https://reflex.cz</v>
      </c>
      <c r="G958" s="3" t="str">
        <f ca="1">IFERROR(__xludf.DUMMYFUNCTION("""COMPUTED_VALUE"""),"cílený billboard bottom low season")</f>
        <v>cílený billboard bottom low season</v>
      </c>
      <c r="H958" s="3">
        <f ca="1">IFERROR(__xludf.DUMMYFUNCTION("""COMPUTED_VALUE"""),7)</f>
        <v>7</v>
      </c>
      <c r="I958" s="5">
        <f ca="1">IFERROR(__xludf.DUMMYFUNCTION("""COMPUTED_VALUE"""),1000)</f>
        <v>1000</v>
      </c>
      <c r="J958" s="5">
        <f ca="1">IFERROR(__xludf.DUMMYFUNCTION("""COMPUTED_VALUE"""),288)</f>
        <v>288</v>
      </c>
      <c r="K958" s="3"/>
      <c r="L958" s="3" t="str">
        <f ca="1">IFERROR(__xludf.DUMMYFUNCTION("""COMPUTED_VALUE"""),"Cost per period")</f>
        <v>Cost per period</v>
      </c>
      <c r="M958" s="3"/>
      <c r="N958" s="3"/>
      <c r="O958" s="3" t="str">
        <f ca="1">IFERROR(__xludf.DUMMYFUNCTION("""COMPUTED_VALUE"""),"970")</f>
        <v>970</v>
      </c>
      <c r="P958" s="3" t="str">
        <f ca="1">IFERROR(__xludf.DUMMYFUNCTION("""COMPUTED_VALUE"""),"250")</f>
        <v>250</v>
      </c>
      <c r="Q958" s="3" t="str">
        <f ca="1">IFERROR(__xludf.DUMMYFUNCTION("""COMPUTED_VALUE"""),"970x250")</f>
        <v>970x250</v>
      </c>
      <c r="R958" s="3"/>
      <c r="S958" s="3" t="str">
        <f ca="1">IFERROR(__xludf.DUMMYFUNCTION("""COMPUTED_VALUE"""),"100 (200 - HTML5)")</f>
        <v>100 (200 - HTML5)</v>
      </c>
      <c r="T958" s="3"/>
      <c r="U958" s="3" t="str">
        <f ca="1">IFERROR(__xludf.DUMMYFUNCTION("""COMPUTED_VALUE"""),"banner standard")</f>
        <v>banner standard</v>
      </c>
      <c r="V958" s="3"/>
      <c r="W958" s="4" t="str">
        <f ca="1">IFERROR(__xludf.DUMMYFUNCTION("""COMPUTED_VALUE"""),"https://reklama.cncenter.cz/Online/billboard-bottom")</f>
        <v>https://reklama.cncenter.cz/Online/billboard-bottom</v>
      </c>
      <c r="X958" s="3"/>
      <c r="Y958" s="3"/>
      <c r="Z958" s="3" t="str">
        <f ca="1">IFERROR(__xludf.DUMMYFUNCTION("""COMPUTED_VALUE"""),"podklady@cncenter.cz")</f>
        <v>podklady@cncenter.cz</v>
      </c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 t="str">
        <f ca="1">IFERROR(__xludf.DUMMYFUNCTION("""COMPUTED_VALUE"""),"desktop")</f>
        <v>desktop</v>
      </c>
      <c r="AO958" s="3"/>
      <c r="AP958" s="3"/>
      <c r="AQ958" s="3"/>
      <c r="AR958" s="3"/>
      <c r="AS958" s="3"/>
      <c r="AT958" s="3"/>
      <c r="AU958" s="3" t="str">
        <f ca="1">IFERROR(__xludf.DUMMYFUNCTION("""COMPUTED_VALUE"""),"cílený billboard bottom")</f>
        <v>cílený billboard bottom</v>
      </c>
    </row>
    <row r="959" spans="1:47" x14ac:dyDescent="0.3">
      <c r="A959" s="3">
        <f ca="1"/>
        <v>2346826</v>
      </c>
      <c r="B959" s="3" t="str">
        <f ca="1"/>
        <v>CZECH NEWS CENTER a. s.</v>
      </c>
      <c r="C959" s="3" t="str">
        <f ca="1">IFERROR(__xludf.DUMMYFUNCTION("""COMPUTED_VALUE"""),"Reflex")</f>
        <v>Reflex</v>
      </c>
      <c r="D959" s="4" t="str">
        <f ca="1">IFERROR(__xludf.DUMMYFUNCTION("""COMPUTED_VALUE"""),"https://reflex.cz")</f>
        <v>https://reflex.cz</v>
      </c>
      <c r="E959" s="3" t="str">
        <f ca="1">IFERROR(__xludf.DUMMYFUNCTION("""COMPUTED_VALUE"""),"celý web")</f>
        <v>celý web</v>
      </c>
      <c r="F959" s="4" t="str">
        <f ca="1">IFERROR(__xludf.DUMMYFUNCTION("""COMPUTED_VALUE"""),"https://reflex.cz")</f>
        <v>https://reflex.cz</v>
      </c>
      <c r="G959" s="3" t="str">
        <f ca="1">IFERROR(__xludf.DUMMYFUNCTION("""COMPUTED_VALUE"""),"cílený branding cross-device low season")</f>
        <v>cílený branding cross-device low season</v>
      </c>
      <c r="H959" s="3">
        <f ca="1">IFERROR(__xludf.DUMMYFUNCTION("""COMPUTED_VALUE"""),7)</f>
        <v>7</v>
      </c>
      <c r="I959" s="5">
        <f ca="1">IFERROR(__xludf.DUMMYFUNCTION("""COMPUTED_VALUE"""),1000)</f>
        <v>1000</v>
      </c>
      <c r="J959" s="5">
        <f ca="1">IFERROR(__xludf.DUMMYFUNCTION("""COMPUTED_VALUE"""),360)</f>
        <v>360</v>
      </c>
      <c r="K959" s="3"/>
      <c r="L959" s="3" t="str">
        <f ca="1">IFERROR(__xludf.DUMMYFUNCTION("""COMPUTED_VALUE"""),"Cost per period")</f>
        <v>Cost per period</v>
      </c>
      <c r="M959" s="3"/>
      <c r="N959" s="3"/>
      <c r="O959" s="3" t="str">
        <f ca="1">IFERROR(__xludf.DUMMYFUNCTION("""COMPUTED_VALUE"""),"2000")</f>
        <v>2000</v>
      </c>
      <c r="P959" s="3" t="str">
        <f ca="1">IFERROR(__xludf.DUMMYFUNCTION("""COMPUTED_VALUE"""),"1400")</f>
        <v>1400</v>
      </c>
      <c r="Q959" s="3" t="str">
        <f ca="1">IFERROR(__xludf.DUMMYFUNCTION("""COMPUTED_VALUE"""),"2000x1400 + 600x1080")</f>
        <v>2000x1400 + 600x1080</v>
      </c>
      <c r="R959" s="3"/>
      <c r="S959" s="3" t="str">
        <f ca="1">IFERROR(__xludf.DUMMYFUNCTION("""COMPUTED_VALUE"""),"500 (600 - HTLM5)")</f>
        <v>500 (600 - HTLM5)</v>
      </c>
      <c r="T959" s="3"/>
      <c r="U959" s="3" t="str">
        <f ca="1">IFERROR(__xludf.DUMMYFUNCTION("""COMPUTED_VALUE"""),"banner standard")</f>
        <v>banner standard</v>
      </c>
      <c r="V959" s="3"/>
      <c r="W959" s="4" t="str">
        <f ca="1">IFERROR(__xludf.DUMMYFUNCTION("""COMPUTED_VALUE"""),"https://reklama.cncenter.cz/Online/branding-cross-device")</f>
        <v>https://reklama.cncenter.cz/Online/branding-cross-device</v>
      </c>
      <c r="X959" s="3"/>
      <c r="Y959" s="3"/>
      <c r="Z959" s="3" t="str">
        <f ca="1">IFERROR(__xludf.DUMMYFUNCTION("""COMPUTED_VALUE"""),"podklady@cncenter.cz")</f>
        <v>podklady@cncenter.cz</v>
      </c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 t="str">
        <f ca="1">IFERROR(__xludf.DUMMYFUNCTION("""COMPUTED_VALUE"""),"cross-device")</f>
        <v>cross-device</v>
      </c>
      <c r="AO959" s="3"/>
      <c r="AP959" s="3"/>
      <c r="AQ959" s="3"/>
      <c r="AR959" s="3"/>
      <c r="AS959" s="3"/>
      <c r="AT959" s="3"/>
      <c r="AU959" s="3" t="str">
        <f ca="1">IFERROR(__xludf.DUMMYFUNCTION("""COMPUTED_VALUE"""),"cílený branding cross-device")</f>
        <v>cílený branding cross-device</v>
      </c>
    </row>
    <row r="960" spans="1:47" x14ac:dyDescent="0.3">
      <c r="A960" s="3">
        <f ca="1"/>
        <v>2346826</v>
      </c>
      <c r="B960" s="3" t="str">
        <f ca="1"/>
        <v>CZECH NEWS CENTER a. s.</v>
      </c>
      <c r="C960" s="3" t="str">
        <f ca="1">IFERROR(__xludf.DUMMYFUNCTION("""COMPUTED_VALUE"""),"Reflex")</f>
        <v>Reflex</v>
      </c>
      <c r="D960" s="4" t="str">
        <f ca="1">IFERROR(__xludf.DUMMYFUNCTION("""COMPUTED_VALUE"""),"https://reflex.cz")</f>
        <v>https://reflex.cz</v>
      </c>
      <c r="E960" s="3" t="str">
        <f ca="1">IFERROR(__xludf.DUMMYFUNCTION("""COMPUTED_VALUE"""),"celý web")</f>
        <v>celý web</v>
      </c>
      <c r="F960" s="4" t="str">
        <f ca="1">IFERROR(__xludf.DUMMYFUNCTION("""COMPUTED_VALUE"""),"https://reflex.cz")</f>
        <v>https://reflex.cz</v>
      </c>
      <c r="G960" s="3" t="str">
        <f ca="1">IFERROR(__xludf.DUMMYFUNCTION("""COMPUTED_VALUE"""),"cílený branding low season")</f>
        <v>cílený branding low season</v>
      </c>
      <c r="H960" s="3">
        <f ca="1">IFERROR(__xludf.DUMMYFUNCTION("""COMPUTED_VALUE"""),7)</f>
        <v>7</v>
      </c>
      <c r="I960" s="5">
        <f ca="1">IFERROR(__xludf.DUMMYFUNCTION("""COMPUTED_VALUE"""),1000)</f>
        <v>1000</v>
      </c>
      <c r="J960" s="5">
        <f ca="1">IFERROR(__xludf.DUMMYFUNCTION("""COMPUTED_VALUE"""),588)</f>
        <v>588</v>
      </c>
      <c r="K960" s="3"/>
      <c r="L960" s="3" t="str">
        <f ca="1">IFERROR(__xludf.DUMMYFUNCTION("""COMPUTED_VALUE"""),"Cost per period")</f>
        <v>Cost per period</v>
      </c>
      <c r="M960" s="3"/>
      <c r="N960" s="3"/>
      <c r="O960" s="3" t="str">
        <f ca="1">IFERROR(__xludf.DUMMYFUNCTION("""COMPUTED_VALUE"""),"2000")</f>
        <v>2000</v>
      </c>
      <c r="P960" s="3" t="str">
        <f ca="1">IFERROR(__xludf.DUMMYFUNCTION("""COMPUTED_VALUE"""),"1400")</f>
        <v>1400</v>
      </c>
      <c r="Q960" s="3" t="str">
        <f ca="1">IFERROR(__xludf.DUMMYFUNCTION("""COMPUTED_VALUE"""),"2000x1400")</f>
        <v>2000x1400</v>
      </c>
      <c r="R960" s="3"/>
      <c r="S960" s="3" t="str">
        <f ca="1">IFERROR(__xludf.DUMMYFUNCTION("""COMPUTED_VALUE"""),"500 + 200 (600+200 HTML5)")</f>
        <v>500 + 200 (600+200 HTML5)</v>
      </c>
      <c r="T960" s="3"/>
      <c r="U960" s="3" t="str">
        <f ca="1">IFERROR(__xludf.DUMMYFUNCTION("""COMPUTED_VALUE"""),"banner standard")</f>
        <v>banner standard</v>
      </c>
      <c r="V960" s="3"/>
      <c r="W960" s="4" t="str">
        <f ca="1">IFERROR(__xludf.DUMMYFUNCTION("""COMPUTED_VALUE"""),"https://reklama.cncenter.cz/Online/branding")</f>
        <v>https://reklama.cncenter.cz/Online/branding</v>
      </c>
      <c r="X960" s="3"/>
      <c r="Y960" s="3"/>
      <c r="Z960" s="3" t="str">
        <f ca="1">IFERROR(__xludf.DUMMYFUNCTION("""COMPUTED_VALUE"""),"podklady@cncenter.cz")</f>
        <v>podklady@cncenter.cz</v>
      </c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 t="str">
        <f ca="1">IFERROR(__xludf.DUMMYFUNCTION("""COMPUTED_VALUE"""),"desktop")</f>
        <v>desktop</v>
      </c>
      <c r="AO960" s="3"/>
      <c r="AP960" s="3"/>
      <c r="AQ960" s="3"/>
      <c r="AR960" s="3"/>
      <c r="AS960" s="3"/>
      <c r="AT960" s="3"/>
      <c r="AU960" s="3" t="str">
        <f ca="1">IFERROR(__xludf.DUMMYFUNCTION("""COMPUTED_VALUE"""),"cílený branding")</f>
        <v>cílený branding</v>
      </c>
    </row>
    <row r="961" spans="1:47" x14ac:dyDescent="0.3">
      <c r="A961" s="3">
        <f ca="1"/>
        <v>2346826</v>
      </c>
      <c r="B961" s="3" t="str">
        <f ca="1"/>
        <v>CZECH NEWS CENTER a. s.</v>
      </c>
      <c r="C961" s="3" t="str">
        <f ca="1">IFERROR(__xludf.DUMMYFUNCTION("""COMPUTED_VALUE"""),"Reflex")</f>
        <v>Reflex</v>
      </c>
      <c r="D961" s="4" t="str">
        <f ca="1">IFERROR(__xludf.DUMMYFUNCTION("""COMPUTED_VALUE"""),"https://reflex.cz")</f>
        <v>https://reflex.cz</v>
      </c>
      <c r="E961" s="3" t="str">
        <f ca="1">IFERROR(__xludf.DUMMYFUNCTION("""COMPUTED_VALUE"""),"celý web")</f>
        <v>celý web</v>
      </c>
      <c r="F961" s="4" t="str">
        <f ca="1">IFERROR(__xludf.DUMMYFUNCTION("""COMPUTED_VALUE"""),"https://reflex.cz")</f>
        <v>https://reflex.cz</v>
      </c>
      <c r="G961" s="3" t="str">
        <f ca="1">IFERROR(__xludf.DUMMYFUNCTION("""COMPUTED_VALUE"""),"cílený double skyscraper low season")</f>
        <v>cílený double skyscraper low season</v>
      </c>
      <c r="H961" s="3">
        <f ca="1">IFERROR(__xludf.DUMMYFUNCTION("""COMPUTED_VALUE"""),7)</f>
        <v>7</v>
      </c>
      <c r="I961" s="5">
        <f ca="1">IFERROR(__xludf.DUMMYFUNCTION("""COMPUTED_VALUE"""),1000)</f>
        <v>1000</v>
      </c>
      <c r="J961" s="5">
        <f ca="1">IFERROR(__xludf.DUMMYFUNCTION("""COMPUTED_VALUE"""),228)</f>
        <v>228</v>
      </c>
      <c r="K961" s="3"/>
      <c r="L961" s="3" t="str">
        <f ca="1">IFERROR(__xludf.DUMMYFUNCTION("""COMPUTED_VALUE"""),"Cost per period")</f>
        <v>Cost per period</v>
      </c>
      <c r="M961" s="3"/>
      <c r="N961" s="3"/>
      <c r="O961" s="3" t="str">
        <f ca="1">IFERROR(__xludf.DUMMYFUNCTION("""COMPUTED_VALUE"""),"300")</f>
        <v>300</v>
      </c>
      <c r="P961" s="3" t="str">
        <f ca="1">IFERROR(__xludf.DUMMYFUNCTION("""COMPUTED_VALUE"""),"600")</f>
        <v>600</v>
      </c>
      <c r="Q961" s="3" t="str">
        <f ca="1">IFERROR(__xludf.DUMMYFUNCTION("""COMPUTED_VALUE"""),"300x600")</f>
        <v>300x600</v>
      </c>
      <c r="R961" s="3"/>
      <c r="S961" s="3" t="str">
        <f ca="1">IFERROR(__xludf.DUMMYFUNCTION("""COMPUTED_VALUE"""),"100 (200 - HTML5)")</f>
        <v>100 (200 - HTML5)</v>
      </c>
      <c r="T961" s="3"/>
      <c r="U961" s="3" t="str">
        <f ca="1">IFERROR(__xludf.DUMMYFUNCTION("""COMPUTED_VALUE"""),"banner standard")</f>
        <v>banner standard</v>
      </c>
      <c r="V961" s="3"/>
      <c r="W961" s="4" t="str">
        <f ca="1">IFERROR(__xludf.DUMMYFUNCTION("""COMPUTED_VALUE"""),"https://reklama.cncenter.cz/Online/double-skyscraper")</f>
        <v>https://reklama.cncenter.cz/Online/double-skyscraper</v>
      </c>
      <c r="X961" s="3"/>
      <c r="Y961" s="3"/>
      <c r="Z961" s="3" t="str">
        <f ca="1">IFERROR(__xludf.DUMMYFUNCTION("""COMPUTED_VALUE"""),"podklady@cncenter.cz")</f>
        <v>podklady@cncenter.cz</v>
      </c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 t="str">
        <f ca="1">IFERROR(__xludf.DUMMYFUNCTION("""COMPUTED_VALUE"""),"desktop")</f>
        <v>desktop</v>
      </c>
      <c r="AO961" s="3"/>
      <c r="AP961" s="3"/>
      <c r="AQ961" s="3"/>
      <c r="AR961" s="3"/>
      <c r="AS961" s="3"/>
      <c r="AT961" s="3"/>
      <c r="AU961" s="3" t="str">
        <f ca="1">IFERROR(__xludf.DUMMYFUNCTION("""COMPUTED_VALUE"""),"cílený double skyscraper")</f>
        <v>cílený double skyscraper</v>
      </c>
    </row>
    <row r="962" spans="1:47" x14ac:dyDescent="0.3">
      <c r="A962" s="3">
        <f ca="1"/>
        <v>2346826</v>
      </c>
      <c r="B962" s="3" t="str">
        <f ca="1"/>
        <v>CZECH NEWS CENTER a. s.</v>
      </c>
      <c r="C962" s="3" t="str">
        <f ca="1">IFERROR(__xludf.DUMMYFUNCTION("""COMPUTED_VALUE"""),"Reflex")</f>
        <v>Reflex</v>
      </c>
      <c r="D962" s="4" t="str">
        <f ca="1">IFERROR(__xludf.DUMMYFUNCTION("""COMPUTED_VALUE"""),"https://reflex.cz")</f>
        <v>https://reflex.cz</v>
      </c>
      <c r="E962" s="3" t="str">
        <f ca="1">IFERROR(__xludf.DUMMYFUNCTION("""COMPUTED_VALUE"""),"celý web")</f>
        <v>celý web</v>
      </c>
      <c r="F962" s="4" t="str">
        <f ca="1">IFERROR(__xludf.DUMMYFUNCTION("""COMPUTED_VALUE"""),"https://reflex.cz")</f>
        <v>https://reflex.cz</v>
      </c>
      <c r="G962" s="3" t="str">
        <f ca="1">IFERROR(__xludf.DUMMYFUNCTION("""COMPUTED_VALUE"""),"cílený mini videospot - max. 30 sec. low season")</f>
        <v>cílený mini videospot - max. 30 sec. low season</v>
      </c>
      <c r="H962" s="3">
        <f ca="1">IFERROR(__xludf.DUMMYFUNCTION("""COMPUTED_VALUE"""),7)</f>
        <v>7</v>
      </c>
      <c r="I962" s="5">
        <f ca="1">IFERROR(__xludf.DUMMYFUNCTION("""COMPUTED_VALUE"""),1000)</f>
        <v>1000</v>
      </c>
      <c r="J962" s="5">
        <f ca="1">IFERROR(__xludf.DUMMYFUNCTION("""COMPUTED_VALUE"""),168)</f>
        <v>168</v>
      </c>
      <c r="K962" s="3"/>
      <c r="L962" s="3" t="str">
        <f ca="1">IFERROR(__xludf.DUMMYFUNCTION("""COMPUTED_VALUE"""),"Cost per period")</f>
        <v>Cost per period</v>
      </c>
      <c r="M962" s="3"/>
      <c r="N962" s="3"/>
      <c r="O962" s="3"/>
      <c r="P962" s="3"/>
      <c r="Q962" s="3" t="str">
        <f ca="1">IFERROR(__xludf.DUMMYFUNCTION("""COMPUTED_VALUE"""),"16:9 / umístění po domluvě dle možností")</f>
        <v>16:9 / umístění po domluvě dle možností</v>
      </c>
      <c r="R962" s="3" t="str">
        <f ca="1">IFERROR(__xludf.DUMMYFUNCTION("""COMPUTED_VALUE"""),"přeskočení po 7 sekundách")</f>
        <v>přeskočení po 7 sekundách</v>
      </c>
      <c r="S962" s="3" t="str">
        <f ca="1">IFERROR(__xludf.DUMMYFUNCTION("""COMPUTED_VALUE"""),"100")</f>
        <v>100</v>
      </c>
      <c r="T962" s="3"/>
      <c r="U962" s="3" t="str">
        <f ca="1">IFERROR(__xludf.DUMMYFUNCTION("""COMPUTED_VALUE"""),"videospot")</f>
        <v>videospot</v>
      </c>
      <c r="V962" s="3"/>
      <c r="W962" s="4" t="str">
        <f ca="1">IFERROR(__xludf.DUMMYFUNCTION("""COMPUTED_VALUE"""),"https://reklama.cncenter.cz/Online/Videospot")</f>
        <v>https://reklama.cncenter.cz/Online/Videospot</v>
      </c>
      <c r="X962" s="3"/>
      <c r="Y962" s="3"/>
      <c r="Z962" s="3" t="str">
        <f ca="1">IFERROR(__xludf.DUMMYFUNCTION("""COMPUTED_VALUE"""),"podklady@cncenter.cz")</f>
        <v>podklady@cncenter.cz</v>
      </c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 t="str">
        <f ca="1">IFERROR(__xludf.DUMMYFUNCTION("""COMPUTED_VALUE"""),"desktop")</f>
        <v>desktop</v>
      </c>
      <c r="AO962" s="3"/>
      <c r="AP962" s="3"/>
      <c r="AQ962" s="3"/>
      <c r="AR962" s="3"/>
      <c r="AS962" s="3"/>
      <c r="AT962" s="3"/>
      <c r="AU962" s="3" t="str">
        <f ca="1">IFERROR(__xludf.DUMMYFUNCTION("""COMPUTED_VALUE"""),"cílený mini videospot - max. 30 sec.")</f>
        <v>cílený mini videospot - max. 30 sec.</v>
      </c>
    </row>
    <row r="963" spans="1:47" x14ac:dyDescent="0.3">
      <c r="A963" s="3">
        <f ca="1"/>
        <v>2346826</v>
      </c>
      <c r="B963" s="3" t="str">
        <f ca="1"/>
        <v>CZECH NEWS CENTER a. s.</v>
      </c>
      <c r="C963" s="3" t="str">
        <f ca="1">IFERROR(__xludf.DUMMYFUNCTION("""COMPUTED_VALUE"""),"Reflex")</f>
        <v>Reflex</v>
      </c>
      <c r="D963" s="4" t="str">
        <f ca="1">IFERROR(__xludf.DUMMYFUNCTION("""COMPUTED_VALUE"""),"https://reflex.cz")</f>
        <v>https://reflex.cz</v>
      </c>
      <c r="E963" s="3" t="str">
        <f ca="1">IFERROR(__xludf.DUMMYFUNCTION("""COMPUTED_VALUE"""),"celý web")</f>
        <v>celý web</v>
      </c>
      <c r="F963" s="4" t="str">
        <f ca="1">IFERROR(__xludf.DUMMYFUNCTION("""COMPUTED_VALUE"""),"https://reflex.cz")</f>
        <v>https://reflex.cz</v>
      </c>
      <c r="G963" s="3" t="str">
        <f ca="1">IFERROR(__xludf.DUMMYFUNCTION("""COMPUTED_VALUE"""),"cílený mobilní interscroller low season")</f>
        <v>cílený mobilní interscroller low season</v>
      </c>
      <c r="H963" s="3">
        <f ca="1">IFERROR(__xludf.DUMMYFUNCTION("""COMPUTED_VALUE"""),7)</f>
        <v>7</v>
      </c>
      <c r="I963" s="5">
        <f ca="1">IFERROR(__xludf.DUMMYFUNCTION("""COMPUTED_VALUE"""),1000)</f>
        <v>1000</v>
      </c>
      <c r="J963" s="5">
        <f ca="1">IFERROR(__xludf.DUMMYFUNCTION("""COMPUTED_VALUE"""),300)</f>
        <v>300</v>
      </c>
      <c r="K963" s="3"/>
      <c r="L963" s="3" t="str">
        <f ca="1">IFERROR(__xludf.DUMMYFUNCTION("""COMPUTED_VALUE"""),"Cost per period")</f>
        <v>Cost per period</v>
      </c>
      <c r="M963" s="3"/>
      <c r="N963" s="3"/>
      <c r="O963" s="3" t="str">
        <f ca="1">IFERROR(__xludf.DUMMYFUNCTION("""COMPUTED_VALUE"""),"600")</f>
        <v>600</v>
      </c>
      <c r="P963" s="3" t="str">
        <f ca="1">IFERROR(__xludf.DUMMYFUNCTION("""COMPUTED_VALUE"""),"1080")</f>
        <v>1080</v>
      </c>
      <c r="Q963" s="3" t="str">
        <f ca="1">IFERROR(__xludf.DUMMYFUNCTION("""COMPUTED_VALUE"""),"600x1080")</f>
        <v>600x1080</v>
      </c>
      <c r="R963" s="3"/>
      <c r="S963" s="3" t="str">
        <f ca="1">IFERROR(__xludf.DUMMYFUNCTION("""COMPUTED_VALUE"""),"200")</f>
        <v>200</v>
      </c>
      <c r="T963" s="3"/>
      <c r="U963" s="3" t="str">
        <f ca="1">IFERROR(__xludf.DUMMYFUNCTION("""COMPUTED_VALUE"""),"banner standard")</f>
        <v>banner standard</v>
      </c>
      <c r="V963" s="3"/>
      <c r="W963" s="4" t="str">
        <f ca="1">IFERROR(__xludf.DUMMYFUNCTION("""COMPUTED_VALUE"""),"https://reklama.cncenter.cz/Online/mobilni-interscroller")</f>
        <v>https://reklama.cncenter.cz/Online/mobilni-interscroller</v>
      </c>
      <c r="X963" s="3"/>
      <c r="Y963" s="3"/>
      <c r="Z963" s="3" t="str">
        <f ca="1">IFERROR(__xludf.DUMMYFUNCTION("""COMPUTED_VALUE"""),"podklady@cncenter.cz")</f>
        <v>podklady@cncenter.cz</v>
      </c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 t="str">
        <f ca="1">IFERROR(__xludf.DUMMYFUNCTION("""COMPUTED_VALUE"""),"mobile")</f>
        <v>mobile</v>
      </c>
      <c r="AO963" s="3"/>
      <c r="AP963" s="3"/>
      <c r="AQ963" s="3"/>
      <c r="AR963" s="3"/>
      <c r="AS963" s="3"/>
      <c r="AT963" s="3"/>
      <c r="AU963" s="3" t="str">
        <f ca="1">IFERROR(__xludf.DUMMYFUNCTION("""COMPUTED_VALUE"""),"cílený mobilní interscroller")</f>
        <v>cílený mobilní interscroller</v>
      </c>
    </row>
    <row r="964" spans="1:47" x14ac:dyDescent="0.3">
      <c r="A964" s="3">
        <f ca="1"/>
        <v>2346826</v>
      </c>
      <c r="B964" s="3" t="str">
        <f ca="1"/>
        <v>CZECH NEWS CENTER a. s.</v>
      </c>
      <c r="C964" s="3" t="str">
        <f ca="1">IFERROR(__xludf.DUMMYFUNCTION("""COMPUTED_VALUE"""),"Reflex")</f>
        <v>Reflex</v>
      </c>
      <c r="D964" s="4" t="str">
        <f ca="1">IFERROR(__xludf.DUMMYFUNCTION("""COMPUTED_VALUE"""),"https://reflex.cz")</f>
        <v>https://reflex.cz</v>
      </c>
      <c r="E964" s="3" t="str">
        <f ca="1">IFERROR(__xludf.DUMMYFUNCTION("""COMPUTED_VALUE"""),"celý web")</f>
        <v>celý web</v>
      </c>
      <c r="F964" s="4" t="str">
        <f ca="1">IFERROR(__xludf.DUMMYFUNCTION("""COMPUTED_VALUE"""),"https://reflex.cz")</f>
        <v>https://reflex.cz</v>
      </c>
      <c r="G964" s="3" t="str">
        <f ca="1">IFERROR(__xludf.DUMMYFUNCTION("""COMPUTED_VALUE"""),"cílený mobilní slide-up low season")</f>
        <v>cílený mobilní slide-up low season</v>
      </c>
      <c r="H964" s="3">
        <f ca="1">IFERROR(__xludf.DUMMYFUNCTION("""COMPUTED_VALUE"""),7)</f>
        <v>7</v>
      </c>
      <c r="I964" s="5">
        <f ca="1">IFERROR(__xludf.DUMMYFUNCTION("""COMPUTED_VALUE"""),1000)</f>
        <v>1000</v>
      </c>
      <c r="J964" s="5">
        <f ca="1">IFERROR(__xludf.DUMMYFUNCTION("""COMPUTED_VALUE"""),612)</f>
        <v>612</v>
      </c>
      <c r="K964" s="3"/>
      <c r="L964" s="3" t="str">
        <f ca="1">IFERROR(__xludf.DUMMYFUNCTION("""COMPUTED_VALUE"""),"Cost per period")</f>
        <v>Cost per period</v>
      </c>
      <c r="M964" s="3"/>
      <c r="N964" s="3"/>
      <c r="O964" s="3" t="str">
        <f ca="1">IFERROR(__xludf.DUMMYFUNCTION("""COMPUTED_VALUE"""),"300")</f>
        <v>300</v>
      </c>
      <c r="P964" s="3" t="str">
        <f ca="1">IFERROR(__xludf.DUMMYFUNCTION("""COMPUTED_VALUE"""),"120")</f>
        <v>120</v>
      </c>
      <c r="Q964" s="3" t="str">
        <f ca="1">IFERROR(__xludf.DUMMYFUNCTION("""COMPUTED_VALUE"""),"300x120")</f>
        <v>300x120</v>
      </c>
      <c r="R964" s="3"/>
      <c r="S964" s="3" t="str">
        <f ca="1">IFERROR(__xludf.DUMMYFUNCTION("""COMPUTED_VALUE"""),"100")</f>
        <v>100</v>
      </c>
      <c r="T964" s="3"/>
      <c r="U964" s="3" t="str">
        <f ca="1">IFERROR(__xludf.DUMMYFUNCTION("""COMPUTED_VALUE"""),"banner standard")</f>
        <v>banner standard</v>
      </c>
      <c r="V964" s="3"/>
      <c r="W964" s="4" t="str">
        <f ca="1">IFERROR(__xludf.DUMMYFUNCTION("""COMPUTED_VALUE"""),"https://reklama.cncenter.cz/Online/mobilni-slide-up")</f>
        <v>https://reklama.cncenter.cz/Online/mobilni-slide-up</v>
      </c>
      <c r="X964" s="3"/>
      <c r="Y964" s="3"/>
      <c r="Z964" s="3" t="str">
        <f ca="1">IFERROR(__xludf.DUMMYFUNCTION("""COMPUTED_VALUE"""),"podklady@cncenter.cz")</f>
        <v>podklady@cncenter.cz</v>
      </c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 t="str">
        <f ca="1">IFERROR(__xludf.DUMMYFUNCTION("""COMPUTED_VALUE"""),"mobile")</f>
        <v>mobile</v>
      </c>
      <c r="AO964" s="3"/>
      <c r="AP964" s="3"/>
      <c r="AQ964" s="3"/>
      <c r="AR964" s="3"/>
      <c r="AS964" s="3"/>
      <c r="AT964" s="3"/>
      <c r="AU964" s="3" t="str">
        <f ca="1">IFERROR(__xludf.DUMMYFUNCTION("""COMPUTED_VALUE"""),"cílený mobilní slide-up")</f>
        <v>cílený mobilní slide-up</v>
      </c>
    </row>
    <row r="965" spans="1:47" x14ac:dyDescent="0.3">
      <c r="A965" s="3">
        <f ca="1"/>
        <v>2346826</v>
      </c>
      <c r="B965" s="3" t="str">
        <f ca="1"/>
        <v>CZECH NEWS CENTER a. s.</v>
      </c>
      <c r="C965" s="3" t="str">
        <f ca="1">IFERROR(__xludf.DUMMYFUNCTION("""COMPUTED_VALUE"""),"Reflex")</f>
        <v>Reflex</v>
      </c>
      <c r="D965" s="4" t="str">
        <f ca="1">IFERROR(__xludf.DUMMYFUNCTION("""COMPUTED_VALUE"""),"https://reflex.cz")</f>
        <v>https://reflex.cz</v>
      </c>
      <c r="E965" s="3" t="str">
        <f ca="1">IFERROR(__xludf.DUMMYFUNCTION("""COMPUTED_VALUE"""),"celý web")</f>
        <v>celý web</v>
      </c>
      <c r="F965" s="4" t="str">
        <f ca="1">IFERROR(__xludf.DUMMYFUNCTION("""COMPUTED_VALUE"""),"https://reflex.cz")</f>
        <v>https://reflex.cz</v>
      </c>
      <c r="G965" s="3" t="str">
        <f ca="1">IFERROR(__xludf.DUMMYFUNCTION("""COMPUTED_VALUE"""),"cílený mobilní viněta low season")</f>
        <v>cílený mobilní viněta low season</v>
      </c>
      <c r="H965" s="3">
        <f ca="1">IFERROR(__xludf.DUMMYFUNCTION("""COMPUTED_VALUE"""),7)</f>
        <v>7</v>
      </c>
      <c r="I965" s="5">
        <f ca="1">IFERROR(__xludf.DUMMYFUNCTION("""COMPUTED_VALUE"""),1000)</f>
        <v>1000</v>
      </c>
      <c r="J965" s="5">
        <f ca="1">IFERROR(__xludf.DUMMYFUNCTION("""COMPUTED_VALUE"""),1056)</f>
        <v>1056</v>
      </c>
      <c r="K965" s="3"/>
      <c r="L965" s="3" t="str">
        <f ca="1">IFERROR(__xludf.DUMMYFUNCTION("""COMPUTED_VALUE"""),"Cost per period")</f>
        <v>Cost per period</v>
      </c>
      <c r="M965" s="3"/>
      <c r="N965" s="3"/>
      <c r="O965" s="3" t="str">
        <f ca="1">IFERROR(__xludf.DUMMYFUNCTION("""COMPUTED_VALUE"""),"600")</f>
        <v>600</v>
      </c>
      <c r="P965" s="3" t="str">
        <f ca="1">IFERROR(__xludf.DUMMYFUNCTION("""COMPUTED_VALUE"""),"800")</f>
        <v>800</v>
      </c>
      <c r="Q965" s="3" t="str">
        <f ca="1">IFERROR(__xludf.DUMMYFUNCTION("""COMPUTED_VALUE"""),"300x250 nebo 600x800")</f>
        <v>300x250 nebo 600x800</v>
      </c>
      <c r="R965" s="3"/>
      <c r="S965" s="3" t="str">
        <f ca="1">IFERROR(__xludf.DUMMYFUNCTION("""COMPUTED_VALUE"""),"100")</f>
        <v>100</v>
      </c>
      <c r="T965" s="3"/>
      <c r="U965" s="3" t="str">
        <f ca="1">IFERROR(__xludf.DUMMYFUNCTION("""COMPUTED_VALUE"""),"banner standard")</f>
        <v>banner standard</v>
      </c>
      <c r="V965" s="3"/>
      <c r="W965" s="4" t="str">
        <f ca="1">IFERROR(__xludf.DUMMYFUNCTION("""COMPUTED_VALUE"""),"https://reklama.cncenter.cz/Online/mobilni-vineta")</f>
        <v>https://reklama.cncenter.cz/Online/mobilni-vineta</v>
      </c>
      <c r="X965" s="3"/>
      <c r="Y965" s="3"/>
      <c r="Z965" s="3" t="str">
        <f ca="1">IFERROR(__xludf.DUMMYFUNCTION("""COMPUTED_VALUE"""),"podklady@cncenter.cz")</f>
        <v>podklady@cncenter.cz</v>
      </c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 t="str">
        <f ca="1">IFERROR(__xludf.DUMMYFUNCTION("""COMPUTED_VALUE"""),"mobile")</f>
        <v>mobile</v>
      </c>
      <c r="AO965" s="3"/>
      <c r="AP965" s="3"/>
      <c r="AQ965" s="3"/>
      <c r="AR965" s="3"/>
      <c r="AS965" s="3"/>
      <c r="AT965" s="3"/>
      <c r="AU965" s="3" t="str">
        <f ca="1">IFERROR(__xludf.DUMMYFUNCTION("""COMPUTED_VALUE"""),"cílený mobilní viněta")</f>
        <v>cílený mobilní viněta</v>
      </c>
    </row>
    <row r="966" spans="1:47" x14ac:dyDescent="0.3">
      <c r="A966" s="3">
        <f ca="1"/>
        <v>2346826</v>
      </c>
      <c r="B966" s="3" t="str">
        <f ca="1"/>
        <v>CZECH NEWS CENTER a. s.</v>
      </c>
      <c r="C966" s="3" t="str">
        <f ca="1">IFERROR(__xludf.DUMMYFUNCTION("""COMPUTED_VALUE"""),"Reflex")</f>
        <v>Reflex</v>
      </c>
      <c r="D966" s="4" t="str">
        <f ca="1">IFERROR(__xludf.DUMMYFUNCTION("""COMPUTED_VALUE"""),"https://reflex.cz")</f>
        <v>https://reflex.cz</v>
      </c>
      <c r="E966" s="3" t="str">
        <f ca="1">IFERROR(__xludf.DUMMYFUNCTION("""COMPUTED_VALUE"""),"celý web")</f>
        <v>celý web</v>
      </c>
      <c r="F966" s="4" t="str">
        <f ca="1">IFERROR(__xludf.DUMMYFUNCTION("""COMPUTED_VALUE"""),"https://reflex.cz")</f>
        <v>https://reflex.cz</v>
      </c>
      <c r="G966" s="3" t="str">
        <f ca="1">IFERROR(__xludf.DUMMYFUNCTION("""COMPUTED_VALUE"""),"cílený nativní pr premium low season")</f>
        <v>cílený nativní pr premium low season</v>
      </c>
      <c r="H966" s="3">
        <f ca="1">IFERROR(__xludf.DUMMYFUNCTION("""COMPUTED_VALUE"""),7)</f>
        <v>7</v>
      </c>
      <c r="I966" s="5">
        <f ca="1">IFERROR(__xludf.DUMMYFUNCTION("""COMPUTED_VALUE"""),1000)</f>
        <v>1000</v>
      </c>
      <c r="J966" s="5">
        <f ca="1">IFERROR(__xludf.DUMMYFUNCTION("""COMPUTED_VALUE"""),120)</f>
        <v>120</v>
      </c>
      <c r="K966" s="3"/>
      <c r="L966" s="3" t="str">
        <f ca="1">IFERROR(__xludf.DUMMYFUNCTION("""COMPUTED_VALUE"""),"Cost per period")</f>
        <v>Cost per period</v>
      </c>
      <c r="M966" s="3"/>
      <c r="N966" s="3"/>
      <c r="O966" s="3" t="str">
        <f ca="1">IFERROR(__xludf.DUMMYFUNCTION("""COMPUTED_VALUE"""),"640")</f>
        <v>640</v>
      </c>
      <c r="P966" s="3" t="str">
        <f ca="1">IFERROR(__xludf.DUMMYFUNCTION("""COMPUTED_VALUE"""),"335, 640")</f>
        <v>335, 640</v>
      </c>
      <c r="Q966" s="3" t="str">
        <f ca="1">IFERROR(__xludf.DUMMYFUNCTION("""COMPUTED_VALUE"""),"640x640 a 640x335 + text + logo")</f>
        <v>640x640 a 640x335 + text + logo</v>
      </c>
      <c r="R966" s="3" t="str">
        <f ca="1">IFERROR(__xludf.DUMMYFUNCTION("""COMPUTED_VALUE"""),"detailní specifikace na URL odkaze")</f>
        <v>detailní specifikace na URL odkaze</v>
      </c>
      <c r="S966" s="3" t="str">
        <f ca="1">IFERROR(__xludf.DUMMYFUNCTION("""COMPUTED_VALUE"""),"100")</f>
        <v>100</v>
      </c>
      <c r="T966" s="3"/>
      <c r="U966" s="3" t="str">
        <f ca="1">IFERROR(__xludf.DUMMYFUNCTION("""COMPUTED_VALUE"""),"nativní reklama")</f>
        <v>nativní reklama</v>
      </c>
      <c r="V966" s="3"/>
      <c r="W966" s="4" t="str">
        <f ca="1">IFERROR(__xludf.DUMMYFUNCTION("""COMPUTED_VALUE"""),"https://reklama.cncenter.cz/Online/nativni-PR-premium")</f>
        <v>https://reklama.cncenter.cz/Online/nativni-PR-premium</v>
      </c>
      <c r="X966" s="3"/>
      <c r="Y966" s="3"/>
      <c r="Z966" s="3" t="str">
        <f ca="1">IFERROR(__xludf.DUMMYFUNCTION("""COMPUTED_VALUE"""),"podklady@cncenter.cz")</f>
        <v>podklady@cncenter.cz</v>
      </c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 t="str">
        <f ca="1">IFERROR(__xludf.DUMMYFUNCTION("""COMPUTED_VALUE"""),"cross-device")</f>
        <v>cross-device</v>
      </c>
      <c r="AO966" s="3"/>
      <c r="AP966" s="3"/>
      <c r="AQ966" s="3"/>
      <c r="AR966" s="3"/>
      <c r="AS966" s="3"/>
      <c r="AT966" s="3"/>
      <c r="AU966" s="3" t="str">
        <f ca="1">IFERROR(__xludf.DUMMYFUNCTION("""COMPUTED_VALUE"""),"cílený nativní pr premium")</f>
        <v>cílený nativní pr premium</v>
      </c>
    </row>
    <row r="967" spans="1:47" x14ac:dyDescent="0.3">
      <c r="A967" s="3">
        <f ca="1"/>
        <v>2346826</v>
      </c>
      <c r="B967" s="3" t="str">
        <f ca="1"/>
        <v>CZECH NEWS CENTER a. s.</v>
      </c>
      <c r="C967" s="3" t="str">
        <f ca="1">IFERROR(__xludf.DUMMYFUNCTION("""COMPUTED_VALUE"""),"Reflex")</f>
        <v>Reflex</v>
      </c>
      <c r="D967" s="4" t="str">
        <f ca="1">IFERROR(__xludf.DUMMYFUNCTION("""COMPUTED_VALUE"""),"https://reflex.cz")</f>
        <v>https://reflex.cz</v>
      </c>
      <c r="E967" s="3" t="str">
        <f ca="1">IFERROR(__xludf.DUMMYFUNCTION("""COMPUTED_VALUE"""),"celý web")</f>
        <v>celý web</v>
      </c>
      <c r="F967" s="4" t="str">
        <f ca="1">IFERROR(__xludf.DUMMYFUNCTION("""COMPUTED_VALUE"""),"https://reflex.cz")</f>
        <v>https://reflex.cz</v>
      </c>
      <c r="G967" s="3" t="str">
        <f ca="1">IFERROR(__xludf.DUMMYFUNCTION("""COMPUTED_VALUE"""),"cílený nativní rectangle cross-device low season")</f>
        <v>cílený nativní rectangle cross-device low season</v>
      </c>
      <c r="H967" s="3">
        <f ca="1">IFERROR(__xludf.DUMMYFUNCTION("""COMPUTED_VALUE"""),7)</f>
        <v>7</v>
      </c>
      <c r="I967" s="5">
        <f ca="1">IFERROR(__xludf.DUMMYFUNCTION("""COMPUTED_VALUE"""),1000)</f>
        <v>1000</v>
      </c>
      <c r="J967" s="5">
        <f ca="1">IFERROR(__xludf.DUMMYFUNCTION("""COMPUTED_VALUE"""),240)</f>
        <v>240</v>
      </c>
      <c r="K967" s="3"/>
      <c r="L967" s="3" t="str">
        <f ca="1">IFERROR(__xludf.DUMMYFUNCTION("""COMPUTED_VALUE"""),"Cost per period")</f>
        <v>Cost per period</v>
      </c>
      <c r="M967" s="3"/>
      <c r="N967" s="3"/>
      <c r="O967" s="3" t="str">
        <f ca="1">IFERROR(__xludf.DUMMYFUNCTION("""COMPUTED_VALUE"""),"640")</f>
        <v>640</v>
      </c>
      <c r="P967" s="3" t="str">
        <f ca="1">IFERROR(__xludf.DUMMYFUNCTION("""COMPUTED_VALUE"""),"335, 640")</f>
        <v>335, 640</v>
      </c>
      <c r="Q967" s="3" t="str">
        <f ca="1">IFERROR(__xludf.DUMMYFUNCTION("""COMPUTED_VALUE"""),"640x640 a 640x335 + text + logo")</f>
        <v>640x640 a 640x335 + text + logo</v>
      </c>
      <c r="R967" s="3"/>
      <c r="S967" s="3" t="str">
        <f ca="1">IFERROR(__xludf.DUMMYFUNCTION("""COMPUTED_VALUE"""),"45")</f>
        <v>45</v>
      </c>
      <c r="T967" s="3"/>
      <c r="U967" s="3" t="str">
        <f ca="1">IFERROR(__xludf.DUMMYFUNCTION("""COMPUTED_VALUE"""),"nativní reklama")</f>
        <v>nativní reklama</v>
      </c>
      <c r="V967" s="3"/>
      <c r="W967" s="4" t="str">
        <f ca="1">IFERROR(__xludf.DUMMYFUNCTION("""COMPUTED_VALUE"""),"https://reklama.cncenter.cz/Online/nativni-rectangle-cross-device")</f>
        <v>https://reklama.cncenter.cz/Online/nativni-rectangle-cross-device</v>
      </c>
      <c r="X967" s="3"/>
      <c r="Y967" s="3"/>
      <c r="Z967" s="3" t="str">
        <f ca="1">IFERROR(__xludf.DUMMYFUNCTION("""COMPUTED_VALUE"""),"podklady@cncenter.cz")</f>
        <v>podklady@cncenter.cz</v>
      </c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 t="str">
        <f ca="1">IFERROR(__xludf.DUMMYFUNCTION("""COMPUTED_VALUE"""),"cross-device")</f>
        <v>cross-device</v>
      </c>
      <c r="AO967" s="3"/>
      <c r="AP967" s="3"/>
      <c r="AQ967" s="3"/>
      <c r="AR967" s="3"/>
      <c r="AS967" s="3"/>
      <c r="AT967" s="3"/>
      <c r="AU967" s="3" t="str">
        <f ca="1">IFERROR(__xludf.DUMMYFUNCTION("""COMPUTED_VALUE"""),"cílený nativní rectangle cross-device")</f>
        <v>cílený nativní rectangle cross-device</v>
      </c>
    </row>
    <row r="968" spans="1:47" x14ac:dyDescent="0.3">
      <c r="A968" s="3">
        <f ca="1"/>
        <v>2346826</v>
      </c>
      <c r="B968" s="3" t="str">
        <f ca="1"/>
        <v>CZECH NEWS CENTER a. s.</v>
      </c>
      <c r="C968" s="3" t="str">
        <f ca="1">IFERROR(__xludf.DUMMYFUNCTION("""COMPUTED_VALUE"""),"Reflex")</f>
        <v>Reflex</v>
      </c>
      <c r="D968" s="4" t="str">
        <f ca="1">IFERROR(__xludf.DUMMYFUNCTION("""COMPUTED_VALUE"""),"https://reflex.cz")</f>
        <v>https://reflex.cz</v>
      </c>
      <c r="E968" s="3" t="str">
        <f ca="1">IFERROR(__xludf.DUMMYFUNCTION("""COMPUTED_VALUE"""),"celý web")</f>
        <v>celý web</v>
      </c>
      <c r="F968" s="4" t="str">
        <f ca="1">IFERROR(__xludf.DUMMYFUNCTION("""COMPUTED_VALUE"""),"https://reflex.cz")</f>
        <v>https://reflex.cz</v>
      </c>
      <c r="G968" s="3" t="str">
        <f ca="1">IFERROR(__xludf.DUMMYFUNCTION("""COMPUTED_VALUE"""),"cílený outstream low season")</f>
        <v>cílený outstream low season</v>
      </c>
      <c r="H968" s="3">
        <f ca="1">IFERROR(__xludf.DUMMYFUNCTION("""COMPUTED_VALUE"""),7)</f>
        <v>7</v>
      </c>
      <c r="I968" s="5">
        <f ca="1">IFERROR(__xludf.DUMMYFUNCTION("""COMPUTED_VALUE"""),1000)</f>
        <v>1000</v>
      </c>
      <c r="J968" s="5">
        <f ca="1">IFERROR(__xludf.DUMMYFUNCTION("""COMPUTED_VALUE"""),300)</f>
        <v>300</v>
      </c>
      <c r="K968" s="3"/>
      <c r="L968" s="3" t="str">
        <f ca="1">IFERROR(__xludf.DUMMYFUNCTION("""COMPUTED_VALUE"""),"Cost per period")</f>
        <v>Cost per period</v>
      </c>
      <c r="M968" s="3"/>
      <c r="N968" s="3"/>
      <c r="O968" s="3" t="str">
        <f ca="1">IFERROR(__xludf.DUMMYFUNCTION("""COMPUTED_VALUE"""),"1280")</f>
        <v>1280</v>
      </c>
      <c r="P968" s="3" t="str">
        <f ca="1">IFERROR(__xludf.DUMMYFUNCTION("""COMPUTED_VALUE"""),"720")</f>
        <v>720</v>
      </c>
      <c r="Q968" s="3" t="str">
        <f ca="1">IFERROR(__xludf.DUMMYFUNCTION("""COMPUTED_VALUE"""),"16:9")</f>
        <v>16:9</v>
      </c>
      <c r="R968" s="3"/>
      <c r="S968" s="3" t="str">
        <f ca="1">IFERROR(__xludf.DUMMYFUNCTION("""COMPUTED_VALUE"""),"100")</f>
        <v>100</v>
      </c>
      <c r="T968" s="3"/>
      <c r="U968" s="3" t="str">
        <f ca="1">IFERROR(__xludf.DUMMYFUNCTION("""COMPUTED_VALUE"""),"videospot")</f>
        <v>videospot</v>
      </c>
      <c r="V968" s="3"/>
      <c r="W968" s="4" t="str">
        <f ca="1">IFERROR(__xludf.DUMMYFUNCTION("""COMPUTED_VALUE"""),"https://reklama.cncenter.cz/Online/Outstream")</f>
        <v>https://reklama.cncenter.cz/Online/Outstream</v>
      </c>
      <c r="X968" s="3"/>
      <c r="Y968" s="3"/>
      <c r="Z968" s="3" t="str">
        <f ca="1">IFERROR(__xludf.DUMMYFUNCTION("""COMPUTED_VALUE"""),"podklady@cncenter.cz")</f>
        <v>podklady@cncenter.cz</v>
      </c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 t="str">
        <f ca="1">IFERROR(__xludf.DUMMYFUNCTION("""COMPUTED_VALUE"""),"cross-device")</f>
        <v>cross-device</v>
      </c>
      <c r="AO968" s="3"/>
      <c r="AP968" s="3"/>
      <c r="AQ968" s="3"/>
      <c r="AR968" s="3"/>
      <c r="AS968" s="3"/>
      <c r="AT968" s="3"/>
      <c r="AU968" s="3" t="str">
        <f ca="1">IFERROR(__xludf.DUMMYFUNCTION("""COMPUTED_VALUE"""),"cílený outstream")</f>
        <v>cílený outstream</v>
      </c>
    </row>
    <row r="969" spans="1:47" x14ac:dyDescent="0.3">
      <c r="A969" s="3">
        <f ca="1"/>
        <v>2346826</v>
      </c>
      <c r="B969" s="3" t="str">
        <f ca="1"/>
        <v>CZECH NEWS CENTER a. s.</v>
      </c>
      <c r="C969" s="3" t="str">
        <f ca="1">IFERROR(__xludf.DUMMYFUNCTION("""COMPUTED_VALUE"""),"Reflex")</f>
        <v>Reflex</v>
      </c>
      <c r="D969" s="4" t="str">
        <f ca="1">IFERROR(__xludf.DUMMYFUNCTION("""COMPUTED_VALUE"""),"https://reflex.cz")</f>
        <v>https://reflex.cz</v>
      </c>
      <c r="E969" s="3" t="str">
        <f ca="1">IFERROR(__xludf.DUMMYFUNCTION("""COMPUTED_VALUE"""),"celý web")</f>
        <v>celý web</v>
      </c>
      <c r="F969" s="4" t="str">
        <f ca="1">IFERROR(__xludf.DUMMYFUNCTION("""COMPUTED_VALUE"""),"https://reflex.cz")</f>
        <v>https://reflex.cz</v>
      </c>
      <c r="G969" s="3" t="str">
        <f ca="1">IFERROR(__xludf.DUMMYFUNCTION("""COMPUTED_VALUE"""),"cílený videospot - max. 30 sec. / bumper low season")</f>
        <v>cílený videospot - max. 30 sec. / bumper low season</v>
      </c>
      <c r="H969" s="3">
        <f ca="1">IFERROR(__xludf.DUMMYFUNCTION("""COMPUTED_VALUE"""),7)</f>
        <v>7</v>
      </c>
      <c r="I969" s="5">
        <f ca="1">IFERROR(__xludf.DUMMYFUNCTION("""COMPUTED_VALUE"""),1000)</f>
        <v>1000</v>
      </c>
      <c r="J969" s="5">
        <f ca="1">IFERROR(__xludf.DUMMYFUNCTION("""COMPUTED_VALUE"""),888)</f>
        <v>888</v>
      </c>
      <c r="K969" s="3"/>
      <c r="L969" s="3" t="str">
        <f ca="1">IFERROR(__xludf.DUMMYFUNCTION("""COMPUTED_VALUE"""),"Cost per period")</f>
        <v>Cost per period</v>
      </c>
      <c r="M969" s="3"/>
      <c r="N969" s="3"/>
      <c r="O969" s="3" t="str">
        <f ca="1">IFERROR(__xludf.DUMMYFUNCTION("""COMPUTED_VALUE"""),"1280")</f>
        <v>1280</v>
      </c>
      <c r="P969" s="3" t="str">
        <f ca="1">IFERROR(__xludf.DUMMYFUNCTION("""COMPUTED_VALUE"""),"720")</f>
        <v>720</v>
      </c>
      <c r="Q969" s="3" t="str">
        <f ca="1">IFERROR(__xludf.DUMMYFUNCTION("""COMPUTED_VALUE"""),"16:9 / umístění po domluvě dle možností")</f>
        <v>16:9 / umístění po domluvě dle možností</v>
      </c>
      <c r="R969" s="3" t="str">
        <f ca="1">IFERROR(__xludf.DUMMYFUNCTION("""COMPUTED_VALUE"""),"přeskočení po 7 sekundách")</f>
        <v>přeskočení po 7 sekundách</v>
      </c>
      <c r="S969" s="3" t="str">
        <f ca="1">IFERROR(__xludf.DUMMYFUNCTION("""COMPUTED_VALUE"""),"100")</f>
        <v>100</v>
      </c>
      <c r="T969" s="3"/>
      <c r="U969" s="3" t="str">
        <f ca="1">IFERROR(__xludf.DUMMYFUNCTION("""COMPUTED_VALUE"""),"videospot")</f>
        <v>videospot</v>
      </c>
      <c r="V969" s="3"/>
      <c r="W969" s="4" t="str">
        <f ca="1">IFERROR(__xludf.DUMMYFUNCTION("""COMPUTED_VALUE"""),"https://reklama.cncenter.cz/Online/Bumper")</f>
        <v>https://reklama.cncenter.cz/Online/Bumper</v>
      </c>
      <c r="X969" s="3"/>
      <c r="Y969" s="3"/>
      <c r="Z969" s="3" t="str">
        <f ca="1">IFERROR(__xludf.DUMMYFUNCTION("""COMPUTED_VALUE"""),"podklady@cncenter.cz")</f>
        <v>podklady@cncenter.cz</v>
      </c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 t="str">
        <f ca="1">IFERROR(__xludf.DUMMYFUNCTION("""COMPUTED_VALUE"""),"cross-device")</f>
        <v>cross-device</v>
      </c>
      <c r="AO969" s="3"/>
      <c r="AP969" s="3"/>
      <c r="AQ969" s="3"/>
      <c r="AR969" s="3"/>
      <c r="AS969" s="3"/>
      <c r="AT969" s="3"/>
      <c r="AU969" s="3" t="str">
        <f ca="1">IFERROR(__xludf.DUMMYFUNCTION("""COMPUTED_VALUE"""),"cílený videospot - max. 30 sec. / bumper")</f>
        <v>cílený videospot - max. 30 sec. / bumper</v>
      </c>
    </row>
    <row r="970" spans="1:47" x14ac:dyDescent="0.3">
      <c r="A970" s="3">
        <f ca="1"/>
        <v>2346826</v>
      </c>
      <c r="B970" s="3" t="str">
        <f ca="1"/>
        <v>CZECH NEWS CENTER a. s.</v>
      </c>
      <c r="C970" s="3" t="str">
        <f ca="1">IFERROR(__xludf.DUMMYFUNCTION("""COMPUTED_VALUE"""),"Reflex")</f>
        <v>Reflex</v>
      </c>
      <c r="D970" s="4" t="str">
        <f ca="1">IFERROR(__xludf.DUMMYFUNCTION("""COMPUTED_VALUE"""),"https://reflex.cz")</f>
        <v>https://reflex.cz</v>
      </c>
      <c r="E970" s="3" t="str">
        <f ca="1">IFERROR(__xludf.DUMMYFUNCTION("""COMPUTED_VALUE"""),"celý web")</f>
        <v>celý web</v>
      </c>
      <c r="F970" s="4" t="str">
        <f ca="1">IFERROR(__xludf.DUMMYFUNCTION("""COMPUTED_VALUE"""),"https://reflex.cz")</f>
        <v>https://reflex.cz</v>
      </c>
      <c r="G970" s="3" t="str">
        <f ca="1">IFERROR(__xludf.DUMMYFUNCTION("""COMPUTED_VALUE"""),"dokoupení proma o 2 týdny - 10 000 PV *** low season")</f>
        <v>dokoupení proma o 2 týdny - 10 000 PV *** low season</v>
      </c>
      <c r="H970" s="3">
        <f ca="1">IFERROR(__xludf.DUMMYFUNCTION("""COMPUTED_VALUE"""),1)</f>
        <v>1</v>
      </c>
      <c r="I970" s="5">
        <f ca="1">IFERROR(__xludf.DUMMYFUNCTION("""COMPUTED_VALUE"""),1)</f>
        <v>1</v>
      </c>
      <c r="J970" s="5">
        <f ca="1">IFERROR(__xludf.DUMMYFUNCTION("""COMPUTED_VALUE"""),60000)</f>
        <v>60000</v>
      </c>
      <c r="K970" s="3"/>
      <c r="L970" s="3" t="str">
        <f ca="1">IFERROR(__xludf.DUMMYFUNCTION("""COMPUTED_VALUE"""),"Cost per instance")</f>
        <v>Cost per instance</v>
      </c>
      <c r="M970" s="3"/>
      <c r="N970" s="3"/>
      <c r="O970" s="3"/>
      <c r="P970" s="3"/>
      <c r="Q970" s="3"/>
      <c r="R970" s="3"/>
      <c r="S970" s="3" t="str">
        <f ca="1">IFERROR(__xludf.DUMMYFUNCTION("""COMPUTED_VALUE"""),"100")</f>
        <v>100</v>
      </c>
      <c r="T970" s="3"/>
      <c r="U970" s="3" t="str">
        <f ca="1">IFERROR(__xludf.DUMMYFUNCTION("""COMPUTED_VALUE"""),"microsite")</f>
        <v>microsite</v>
      </c>
      <c r="V970" s="3"/>
      <c r="W970" s="3"/>
      <c r="X970" s="3"/>
      <c r="Y970" s="3"/>
      <c r="Z970" s="3" t="str">
        <f ca="1">IFERROR(__xludf.DUMMYFUNCTION("""COMPUTED_VALUE"""),"podklady@cncenter.cz")</f>
        <v>podklady@cncenter.cz</v>
      </c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 t="str">
        <f ca="1">IFERROR(__xludf.DUMMYFUNCTION("""COMPUTED_VALUE"""),"cross-device")</f>
        <v>cross-device</v>
      </c>
      <c r="AO970" s="3"/>
      <c r="AP970" s="3"/>
      <c r="AQ970" s="3"/>
      <c r="AR970" s="3"/>
      <c r="AS970" s="3"/>
      <c r="AT970" s="3"/>
      <c r="AU970" s="3" t="str">
        <f ca="1">IFERROR(__xludf.DUMMYFUNCTION("""COMPUTED_VALUE"""),"dokoupení proma o 2 týdny - 10 000 PV ***")</f>
        <v>dokoupení proma o 2 týdny - 10 000 PV ***</v>
      </c>
    </row>
    <row r="971" spans="1:47" x14ac:dyDescent="0.3">
      <c r="A971" s="3">
        <f ca="1"/>
        <v>2346826</v>
      </c>
      <c r="B971" s="3" t="str">
        <f ca="1"/>
        <v>CZECH NEWS CENTER a. s.</v>
      </c>
      <c r="C971" s="3" t="str">
        <f ca="1">IFERROR(__xludf.DUMMYFUNCTION("""COMPUTED_VALUE"""),"Reflex")</f>
        <v>Reflex</v>
      </c>
      <c r="D971" s="4" t="str">
        <f ca="1">IFERROR(__xludf.DUMMYFUNCTION("""COMPUTED_VALUE"""),"https://reflex.cz")</f>
        <v>https://reflex.cz</v>
      </c>
      <c r="E971" s="3" t="str">
        <f ca="1">IFERROR(__xludf.DUMMYFUNCTION("""COMPUTED_VALUE"""),"celý web")</f>
        <v>celý web</v>
      </c>
      <c r="F971" s="4" t="str">
        <f ca="1">IFERROR(__xludf.DUMMYFUNCTION("""COMPUTED_VALUE"""),"https://reflex.cz")</f>
        <v>https://reflex.cz</v>
      </c>
      <c r="G971" s="3" t="str">
        <f ca="1">IFERROR(__xludf.DUMMYFUNCTION("""COMPUTED_VALUE"""),"double skyscraper low season")</f>
        <v>double skyscraper low season</v>
      </c>
      <c r="H971" s="3">
        <f ca="1">IFERROR(__xludf.DUMMYFUNCTION("""COMPUTED_VALUE"""),7)</f>
        <v>7</v>
      </c>
      <c r="I971" s="5">
        <f ca="1">IFERROR(__xludf.DUMMYFUNCTION("""COMPUTED_VALUE"""),1000)</f>
        <v>1000</v>
      </c>
      <c r="J971" s="5">
        <f ca="1">IFERROR(__xludf.DUMMYFUNCTION("""COMPUTED_VALUE"""),190)</f>
        <v>190</v>
      </c>
      <c r="K971" s="3"/>
      <c r="L971" s="3" t="str">
        <f ca="1">IFERROR(__xludf.DUMMYFUNCTION("""COMPUTED_VALUE"""),"Cost per period")</f>
        <v>Cost per period</v>
      </c>
      <c r="M971" s="3"/>
      <c r="N971" s="3"/>
      <c r="O971" s="3" t="str">
        <f ca="1">IFERROR(__xludf.DUMMYFUNCTION("""COMPUTED_VALUE"""),"300")</f>
        <v>300</v>
      </c>
      <c r="P971" s="3" t="str">
        <f ca="1">IFERROR(__xludf.DUMMYFUNCTION("""COMPUTED_VALUE"""),"600")</f>
        <v>600</v>
      </c>
      <c r="Q971" s="3" t="str">
        <f ca="1">IFERROR(__xludf.DUMMYFUNCTION("""COMPUTED_VALUE"""),"300x600")</f>
        <v>300x600</v>
      </c>
      <c r="R971" s="3"/>
      <c r="S971" s="3" t="str">
        <f ca="1">IFERROR(__xludf.DUMMYFUNCTION("""COMPUTED_VALUE"""),"100 (200 - HTML5)")</f>
        <v>100 (200 - HTML5)</v>
      </c>
      <c r="T971" s="3"/>
      <c r="U971" s="3" t="str">
        <f ca="1">IFERROR(__xludf.DUMMYFUNCTION("""COMPUTED_VALUE"""),"banner standard")</f>
        <v>banner standard</v>
      </c>
      <c r="V971" s="3"/>
      <c r="W971" s="4" t="str">
        <f ca="1">IFERROR(__xludf.DUMMYFUNCTION("""COMPUTED_VALUE"""),"https://reklama.cncenter.cz/Online/double-skyscraper")</f>
        <v>https://reklama.cncenter.cz/Online/double-skyscraper</v>
      </c>
      <c r="X971" s="3"/>
      <c r="Y971" s="3"/>
      <c r="Z971" s="3" t="str">
        <f ca="1">IFERROR(__xludf.DUMMYFUNCTION("""COMPUTED_VALUE"""),"podklady@cncenter.cz")</f>
        <v>podklady@cncenter.cz</v>
      </c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 t="str">
        <f ca="1">IFERROR(__xludf.DUMMYFUNCTION("""COMPUTED_VALUE"""),"desktop")</f>
        <v>desktop</v>
      </c>
      <c r="AO971" s="3"/>
      <c r="AP971" s="3"/>
      <c r="AQ971" s="3"/>
      <c r="AR971" s="3"/>
      <c r="AS971" s="3"/>
      <c r="AT971" s="3"/>
      <c r="AU971" s="3" t="str">
        <f ca="1">IFERROR(__xludf.DUMMYFUNCTION("""COMPUTED_VALUE"""),"double skyscraper")</f>
        <v>double skyscraper</v>
      </c>
    </row>
    <row r="972" spans="1:47" x14ac:dyDescent="0.3">
      <c r="A972" s="3">
        <f ca="1"/>
        <v>2346826</v>
      </c>
      <c r="B972" s="3" t="str">
        <f ca="1"/>
        <v>CZECH NEWS CENTER a. s.</v>
      </c>
      <c r="C972" s="3" t="str">
        <f ca="1">IFERROR(__xludf.DUMMYFUNCTION("""COMPUTED_VALUE"""),"Reflex")</f>
        <v>Reflex</v>
      </c>
      <c r="D972" s="4" t="str">
        <f ca="1">IFERROR(__xludf.DUMMYFUNCTION("""COMPUTED_VALUE"""),"https://reflex.cz")</f>
        <v>https://reflex.cz</v>
      </c>
      <c r="E972" s="3" t="str">
        <f ca="1">IFERROR(__xludf.DUMMYFUNCTION("""COMPUTED_VALUE"""),"celý web")</f>
        <v>celý web</v>
      </c>
      <c r="F972" s="4" t="str">
        <f ca="1">IFERROR(__xludf.DUMMYFUNCTION("""COMPUTED_VALUE"""),"https://reflex.cz")</f>
        <v>https://reflex.cz</v>
      </c>
      <c r="G972" s="3" t="str">
        <f ca="1">IFERROR(__xludf.DUMMYFUNCTION("""COMPUTED_VALUE"""),"mini videospot - max. 30 sec. low season")</f>
        <v>mini videospot - max. 30 sec. low season</v>
      </c>
      <c r="H972" s="3">
        <f ca="1">IFERROR(__xludf.DUMMYFUNCTION("""COMPUTED_VALUE"""),7)</f>
        <v>7</v>
      </c>
      <c r="I972" s="5">
        <f ca="1">IFERROR(__xludf.DUMMYFUNCTION("""COMPUTED_VALUE"""),1000)</f>
        <v>1000</v>
      </c>
      <c r="J972" s="5">
        <f ca="1">IFERROR(__xludf.DUMMYFUNCTION("""COMPUTED_VALUE"""),140)</f>
        <v>140</v>
      </c>
      <c r="K972" s="3"/>
      <c r="L972" s="3" t="str">
        <f ca="1">IFERROR(__xludf.DUMMYFUNCTION("""COMPUTED_VALUE"""),"Cost per period")</f>
        <v>Cost per period</v>
      </c>
      <c r="M972" s="3"/>
      <c r="N972" s="3"/>
      <c r="O972" s="3"/>
      <c r="P972" s="3"/>
      <c r="Q972" s="3" t="str">
        <f ca="1">IFERROR(__xludf.DUMMYFUNCTION("""COMPUTED_VALUE"""),"16:9 / umístění po domluvě dle možností")</f>
        <v>16:9 / umístění po domluvě dle možností</v>
      </c>
      <c r="R972" s="3" t="str">
        <f ca="1">IFERROR(__xludf.DUMMYFUNCTION("""COMPUTED_VALUE"""),"přeskočení po 7 sekundách")</f>
        <v>přeskočení po 7 sekundách</v>
      </c>
      <c r="S972" s="3" t="str">
        <f ca="1">IFERROR(__xludf.DUMMYFUNCTION("""COMPUTED_VALUE"""),"100")</f>
        <v>100</v>
      </c>
      <c r="T972" s="3"/>
      <c r="U972" s="3" t="str">
        <f ca="1">IFERROR(__xludf.DUMMYFUNCTION("""COMPUTED_VALUE"""),"videospot")</f>
        <v>videospot</v>
      </c>
      <c r="V972" s="3"/>
      <c r="W972" s="4" t="str">
        <f ca="1">IFERROR(__xludf.DUMMYFUNCTION("""COMPUTED_VALUE"""),"https://reklama.cncenter.cz/Online/Videospot")</f>
        <v>https://reklama.cncenter.cz/Online/Videospot</v>
      </c>
      <c r="X972" s="3"/>
      <c r="Y972" s="3"/>
      <c r="Z972" s="3" t="str">
        <f ca="1">IFERROR(__xludf.DUMMYFUNCTION("""COMPUTED_VALUE"""),"podklady@cncenter.cz")</f>
        <v>podklady@cncenter.cz</v>
      </c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 t="str">
        <f ca="1">IFERROR(__xludf.DUMMYFUNCTION("""COMPUTED_VALUE"""),"desktop")</f>
        <v>desktop</v>
      </c>
      <c r="AO972" s="3"/>
      <c r="AP972" s="3"/>
      <c r="AQ972" s="3"/>
      <c r="AR972" s="3"/>
      <c r="AS972" s="3"/>
      <c r="AT972" s="3"/>
      <c r="AU972" s="3" t="str">
        <f ca="1">IFERROR(__xludf.DUMMYFUNCTION("""COMPUTED_VALUE"""),"mini videospot - max. 30 sec.")</f>
        <v>mini videospot - max. 30 sec.</v>
      </c>
    </row>
    <row r="973" spans="1:47" x14ac:dyDescent="0.3">
      <c r="A973" s="3">
        <f ca="1"/>
        <v>2346826</v>
      </c>
      <c r="B973" s="3" t="str">
        <f ca="1"/>
        <v>CZECH NEWS CENTER a. s.</v>
      </c>
      <c r="C973" s="3" t="str">
        <f ca="1">IFERROR(__xludf.DUMMYFUNCTION("""COMPUTED_VALUE"""),"Reflex")</f>
        <v>Reflex</v>
      </c>
      <c r="D973" s="4" t="str">
        <f ca="1">IFERROR(__xludf.DUMMYFUNCTION("""COMPUTED_VALUE"""),"https://reflex.cz")</f>
        <v>https://reflex.cz</v>
      </c>
      <c r="E973" s="3" t="str">
        <f ca="1">IFERROR(__xludf.DUMMYFUNCTION("""COMPUTED_VALUE"""),"celý web")</f>
        <v>celý web</v>
      </c>
      <c r="F973" s="4" t="str">
        <f ca="1">IFERROR(__xludf.DUMMYFUNCTION("""COMPUTED_VALUE"""),"https://reflex.cz")</f>
        <v>https://reflex.cz</v>
      </c>
      <c r="G973" s="3" t="str">
        <f ca="1">IFERROR(__xludf.DUMMYFUNCTION("""COMPUTED_VALUE"""),"mobilní interscroller low season")</f>
        <v>mobilní interscroller low season</v>
      </c>
      <c r="H973" s="3">
        <f ca="1">IFERROR(__xludf.DUMMYFUNCTION("""COMPUTED_VALUE"""),7)</f>
        <v>7</v>
      </c>
      <c r="I973" s="5">
        <f ca="1">IFERROR(__xludf.DUMMYFUNCTION("""COMPUTED_VALUE"""),1000)</f>
        <v>1000</v>
      </c>
      <c r="J973" s="5">
        <f ca="1">IFERROR(__xludf.DUMMYFUNCTION("""COMPUTED_VALUE"""),250)</f>
        <v>250</v>
      </c>
      <c r="K973" s="3"/>
      <c r="L973" s="3" t="str">
        <f ca="1">IFERROR(__xludf.DUMMYFUNCTION("""COMPUTED_VALUE"""),"Cost per period")</f>
        <v>Cost per period</v>
      </c>
      <c r="M973" s="3"/>
      <c r="N973" s="3"/>
      <c r="O973" s="3" t="str">
        <f ca="1">IFERROR(__xludf.DUMMYFUNCTION("""COMPUTED_VALUE"""),"600")</f>
        <v>600</v>
      </c>
      <c r="P973" s="3" t="str">
        <f ca="1">IFERROR(__xludf.DUMMYFUNCTION("""COMPUTED_VALUE"""),"1080")</f>
        <v>1080</v>
      </c>
      <c r="Q973" s="3" t="str">
        <f ca="1">IFERROR(__xludf.DUMMYFUNCTION("""COMPUTED_VALUE"""),"600x1080")</f>
        <v>600x1080</v>
      </c>
      <c r="R973" s="3"/>
      <c r="S973" s="3" t="str">
        <f ca="1">IFERROR(__xludf.DUMMYFUNCTION("""COMPUTED_VALUE"""),"200")</f>
        <v>200</v>
      </c>
      <c r="T973" s="3"/>
      <c r="U973" s="3" t="str">
        <f ca="1">IFERROR(__xludf.DUMMYFUNCTION("""COMPUTED_VALUE"""),"banner standard")</f>
        <v>banner standard</v>
      </c>
      <c r="V973" s="3"/>
      <c r="W973" s="4" t="str">
        <f ca="1">IFERROR(__xludf.DUMMYFUNCTION("""COMPUTED_VALUE"""),"https://reklama.cncenter.cz/Online/mobilni-interscroller")</f>
        <v>https://reklama.cncenter.cz/Online/mobilni-interscroller</v>
      </c>
      <c r="X973" s="3"/>
      <c r="Y973" s="3"/>
      <c r="Z973" s="3" t="str">
        <f ca="1">IFERROR(__xludf.DUMMYFUNCTION("""COMPUTED_VALUE"""),"podklady@cncenter.cz")</f>
        <v>podklady@cncenter.cz</v>
      </c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 t="str">
        <f ca="1">IFERROR(__xludf.DUMMYFUNCTION("""COMPUTED_VALUE"""),"mobile")</f>
        <v>mobile</v>
      </c>
      <c r="AO973" s="3"/>
      <c r="AP973" s="3"/>
      <c r="AQ973" s="3"/>
      <c r="AR973" s="3"/>
      <c r="AS973" s="3"/>
      <c r="AT973" s="3"/>
      <c r="AU973" s="3" t="str">
        <f ca="1">IFERROR(__xludf.DUMMYFUNCTION("""COMPUTED_VALUE"""),"mobilní interscroller")</f>
        <v>mobilní interscroller</v>
      </c>
    </row>
    <row r="974" spans="1:47" x14ac:dyDescent="0.3">
      <c r="A974" s="3">
        <f ca="1"/>
        <v>2346826</v>
      </c>
      <c r="B974" s="3" t="str">
        <f ca="1"/>
        <v>CZECH NEWS CENTER a. s.</v>
      </c>
      <c r="C974" s="3" t="str">
        <f ca="1">IFERROR(__xludf.DUMMYFUNCTION("""COMPUTED_VALUE"""),"Reflex")</f>
        <v>Reflex</v>
      </c>
      <c r="D974" s="4" t="str">
        <f ca="1">IFERROR(__xludf.DUMMYFUNCTION("""COMPUTED_VALUE"""),"https://reflex.cz")</f>
        <v>https://reflex.cz</v>
      </c>
      <c r="E974" s="3" t="str">
        <f ca="1">IFERROR(__xludf.DUMMYFUNCTION("""COMPUTED_VALUE"""),"celý web")</f>
        <v>celý web</v>
      </c>
      <c r="F974" s="4" t="str">
        <f ca="1">IFERROR(__xludf.DUMMYFUNCTION("""COMPUTED_VALUE"""),"https://reflex.cz")</f>
        <v>https://reflex.cz</v>
      </c>
      <c r="G974" s="3" t="str">
        <f ca="1">IFERROR(__xludf.DUMMYFUNCTION("""COMPUTED_VALUE"""),"mobilní slide-up low season")</f>
        <v>mobilní slide-up low season</v>
      </c>
      <c r="H974" s="3">
        <f ca="1">IFERROR(__xludf.DUMMYFUNCTION("""COMPUTED_VALUE"""),7)</f>
        <v>7</v>
      </c>
      <c r="I974" s="5">
        <f ca="1">IFERROR(__xludf.DUMMYFUNCTION("""COMPUTED_VALUE"""),1000)</f>
        <v>1000</v>
      </c>
      <c r="J974" s="5">
        <f ca="1">IFERROR(__xludf.DUMMYFUNCTION("""COMPUTED_VALUE"""),510)</f>
        <v>510</v>
      </c>
      <c r="K974" s="3"/>
      <c r="L974" s="3" t="str">
        <f ca="1">IFERROR(__xludf.DUMMYFUNCTION("""COMPUTED_VALUE"""),"Cost per period")</f>
        <v>Cost per period</v>
      </c>
      <c r="M974" s="3"/>
      <c r="N974" s="3"/>
      <c r="O974" s="3" t="str">
        <f ca="1">IFERROR(__xludf.DUMMYFUNCTION("""COMPUTED_VALUE"""),"300")</f>
        <v>300</v>
      </c>
      <c r="P974" s="3" t="str">
        <f ca="1">IFERROR(__xludf.DUMMYFUNCTION("""COMPUTED_VALUE"""),"120")</f>
        <v>120</v>
      </c>
      <c r="Q974" s="3" t="str">
        <f ca="1">IFERROR(__xludf.DUMMYFUNCTION("""COMPUTED_VALUE"""),"300x120")</f>
        <v>300x120</v>
      </c>
      <c r="R974" s="3"/>
      <c r="S974" s="3" t="str">
        <f ca="1">IFERROR(__xludf.DUMMYFUNCTION("""COMPUTED_VALUE"""),"100")</f>
        <v>100</v>
      </c>
      <c r="T974" s="3"/>
      <c r="U974" s="3" t="str">
        <f ca="1">IFERROR(__xludf.DUMMYFUNCTION("""COMPUTED_VALUE"""),"banner standard")</f>
        <v>banner standard</v>
      </c>
      <c r="V974" s="3"/>
      <c r="W974" s="4" t="str">
        <f ca="1">IFERROR(__xludf.DUMMYFUNCTION("""COMPUTED_VALUE"""),"https://reklama.cncenter.cz/Online/mobilni-slide-up")</f>
        <v>https://reklama.cncenter.cz/Online/mobilni-slide-up</v>
      </c>
      <c r="X974" s="3"/>
      <c r="Y974" s="3"/>
      <c r="Z974" s="3" t="str">
        <f ca="1">IFERROR(__xludf.DUMMYFUNCTION("""COMPUTED_VALUE"""),"podklady@cncenter.cz")</f>
        <v>podklady@cncenter.cz</v>
      </c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 t="str">
        <f ca="1">IFERROR(__xludf.DUMMYFUNCTION("""COMPUTED_VALUE"""),"mobile")</f>
        <v>mobile</v>
      </c>
      <c r="AO974" s="3"/>
      <c r="AP974" s="3"/>
      <c r="AQ974" s="3"/>
      <c r="AR974" s="3"/>
      <c r="AS974" s="3"/>
      <c r="AT974" s="3"/>
      <c r="AU974" s="3" t="str">
        <f ca="1">IFERROR(__xludf.DUMMYFUNCTION("""COMPUTED_VALUE"""),"mobilní slide-up")</f>
        <v>mobilní slide-up</v>
      </c>
    </row>
    <row r="975" spans="1:47" x14ac:dyDescent="0.3">
      <c r="A975" s="3">
        <f ca="1"/>
        <v>2346826</v>
      </c>
      <c r="B975" s="3" t="str">
        <f ca="1"/>
        <v>CZECH NEWS CENTER a. s.</v>
      </c>
      <c r="C975" s="3" t="str">
        <f ca="1">IFERROR(__xludf.DUMMYFUNCTION("""COMPUTED_VALUE"""),"Reflex")</f>
        <v>Reflex</v>
      </c>
      <c r="D975" s="4" t="str">
        <f ca="1">IFERROR(__xludf.DUMMYFUNCTION("""COMPUTED_VALUE"""),"https://reflex.cz")</f>
        <v>https://reflex.cz</v>
      </c>
      <c r="E975" s="3" t="str">
        <f ca="1">IFERROR(__xludf.DUMMYFUNCTION("""COMPUTED_VALUE"""),"celý web")</f>
        <v>celý web</v>
      </c>
      <c r="F975" s="4" t="str">
        <f ca="1">IFERROR(__xludf.DUMMYFUNCTION("""COMPUTED_VALUE"""),"https://reflex.cz")</f>
        <v>https://reflex.cz</v>
      </c>
      <c r="G975" s="3" t="str">
        <f ca="1">IFERROR(__xludf.DUMMYFUNCTION("""COMPUTED_VALUE"""),"mobilní viněta low season")</f>
        <v>mobilní viněta low season</v>
      </c>
      <c r="H975" s="3">
        <f ca="1">IFERROR(__xludf.DUMMYFUNCTION("""COMPUTED_VALUE"""),7)</f>
        <v>7</v>
      </c>
      <c r="I975" s="5">
        <f ca="1">IFERROR(__xludf.DUMMYFUNCTION("""COMPUTED_VALUE"""),1000)</f>
        <v>1000</v>
      </c>
      <c r="J975" s="5">
        <f ca="1">IFERROR(__xludf.DUMMYFUNCTION("""COMPUTED_VALUE"""),880)</f>
        <v>880</v>
      </c>
      <c r="K975" s="3"/>
      <c r="L975" s="3" t="str">
        <f ca="1">IFERROR(__xludf.DUMMYFUNCTION("""COMPUTED_VALUE"""),"Cost per period")</f>
        <v>Cost per period</v>
      </c>
      <c r="M975" s="3"/>
      <c r="N975" s="3"/>
      <c r="O975" s="3" t="str">
        <f ca="1">IFERROR(__xludf.DUMMYFUNCTION("""COMPUTED_VALUE"""),"600")</f>
        <v>600</v>
      </c>
      <c r="P975" s="3" t="str">
        <f ca="1">IFERROR(__xludf.DUMMYFUNCTION("""COMPUTED_VALUE"""),"800")</f>
        <v>800</v>
      </c>
      <c r="Q975" s="3" t="str">
        <f ca="1">IFERROR(__xludf.DUMMYFUNCTION("""COMPUTED_VALUE"""),"300x250 nebo 600x800")</f>
        <v>300x250 nebo 600x800</v>
      </c>
      <c r="R975" s="3"/>
      <c r="S975" s="3" t="str">
        <f ca="1">IFERROR(__xludf.DUMMYFUNCTION("""COMPUTED_VALUE"""),"100")</f>
        <v>100</v>
      </c>
      <c r="T975" s="3"/>
      <c r="U975" s="3" t="str">
        <f ca="1">IFERROR(__xludf.DUMMYFUNCTION("""COMPUTED_VALUE"""),"banner standard")</f>
        <v>banner standard</v>
      </c>
      <c r="V975" s="3"/>
      <c r="W975" s="4" t="str">
        <f ca="1">IFERROR(__xludf.DUMMYFUNCTION("""COMPUTED_VALUE"""),"https://reklama.cncenter.cz/Online/mobilni-vineta")</f>
        <v>https://reklama.cncenter.cz/Online/mobilni-vineta</v>
      </c>
      <c r="X975" s="3"/>
      <c r="Y975" s="3"/>
      <c r="Z975" s="3" t="str">
        <f ca="1">IFERROR(__xludf.DUMMYFUNCTION("""COMPUTED_VALUE"""),"podklady@cncenter.cz")</f>
        <v>podklady@cncenter.cz</v>
      </c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 t="str">
        <f ca="1">IFERROR(__xludf.DUMMYFUNCTION("""COMPUTED_VALUE"""),"mobile")</f>
        <v>mobile</v>
      </c>
      <c r="AO975" s="3"/>
      <c r="AP975" s="3"/>
      <c r="AQ975" s="3"/>
      <c r="AR975" s="3"/>
      <c r="AS975" s="3"/>
      <c r="AT975" s="3"/>
      <c r="AU975" s="3" t="str">
        <f ca="1">IFERROR(__xludf.DUMMYFUNCTION("""COMPUTED_VALUE"""),"mobilní viněta")</f>
        <v>mobilní viněta</v>
      </c>
    </row>
    <row r="976" spans="1:47" x14ac:dyDescent="0.3">
      <c r="A976" s="3">
        <f ca="1"/>
        <v>2346826</v>
      </c>
      <c r="B976" s="3" t="str">
        <f ca="1"/>
        <v>CZECH NEWS CENTER a. s.</v>
      </c>
      <c r="C976" s="3" t="str">
        <f ca="1">IFERROR(__xludf.DUMMYFUNCTION("""COMPUTED_VALUE"""),"Reflex")</f>
        <v>Reflex</v>
      </c>
      <c r="D976" s="4" t="str">
        <f ca="1">IFERROR(__xludf.DUMMYFUNCTION("""COMPUTED_VALUE"""),"https://reflex.cz")</f>
        <v>https://reflex.cz</v>
      </c>
      <c r="E976" s="3" t="str">
        <f ca="1">IFERROR(__xludf.DUMMYFUNCTION("""COMPUTED_VALUE"""),"celý web")</f>
        <v>celý web</v>
      </c>
      <c r="F976" s="4" t="str">
        <f ca="1">IFERROR(__xludf.DUMMYFUNCTION("""COMPUTED_VALUE"""),"https://reflex.cz")</f>
        <v>https://reflex.cz</v>
      </c>
      <c r="G976" s="3" t="str">
        <f ca="1">IFERROR(__xludf.DUMMYFUNCTION("""COMPUTED_VALUE"""),"Native Standard low season")</f>
        <v>Native Standard low season</v>
      </c>
      <c r="H976" s="3">
        <f ca="1">IFERROR(__xludf.DUMMYFUNCTION("""COMPUTED_VALUE"""),1)</f>
        <v>1</v>
      </c>
      <c r="I976" s="5">
        <f ca="1">IFERROR(__xludf.DUMMYFUNCTION("""COMPUTED_VALUE"""),1)</f>
        <v>1</v>
      </c>
      <c r="J976" s="5">
        <f ca="1">IFERROR(__xludf.DUMMYFUNCTION("""COMPUTED_VALUE"""),330000)</f>
        <v>330000</v>
      </c>
      <c r="K976" s="3"/>
      <c r="L976" s="3" t="str">
        <f ca="1">IFERROR(__xludf.DUMMYFUNCTION("""COMPUTED_VALUE"""),"Cost per instance")</f>
        <v>Cost per instance</v>
      </c>
      <c r="M976" s="3"/>
      <c r="N976" s="3"/>
      <c r="O976" s="3"/>
      <c r="P976" s="3"/>
      <c r="Q976" s="3"/>
      <c r="R976" s="3"/>
      <c r="S976" s="3" t="str">
        <f ca="1">IFERROR(__xludf.DUMMYFUNCTION("""COMPUTED_VALUE"""),"100")</f>
        <v>100</v>
      </c>
      <c r="T976" s="3"/>
      <c r="U976" s="3" t="str">
        <f ca="1">IFERROR(__xludf.DUMMYFUNCTION("""COMPUTED_VALUE"""),"microsite")</f>
        <v>microsite</v>
      </c>
      <c r="V976" s="3"/>
      <c r="W976" s="3"/>
      <c r="X976" s="3"/>
      <c r="Y976" s="3"/>
      <c r="Z976" s="3" t="str">
        <f ca="1">IFERROR(__xludf.DUMMYFUNCTION("""COMPUTED_VALUE"""),"podklady@cncenter.cz")</f>
        <v>podklady@cncenter.cz</v>
      </c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 t="str">
        <f ca="1">IFERROR(__xludf.DUMMYFUNCTION("""COMPUTED_VALUE"""),"cross-device")</f>
        <v>cross-device</v>
      </c>
      <c r="AO976" s="3"/>
      <c r="AP976" s="3"/>
      <c r="AQ976" s="3"/>
      <c r="AR976" s="3"/>
      <c r="AS976" s="3"/>
      <c r="AT976" s="3"/>
      <c r="AU976" s="3" t="str">
        <f ca="1">IFERROR(__xludf.DUMMYFUNCTION("""COMPUTED_VALUE"""),"Native Standard")</f>
        <v>Native Standard</v>
      </c>
    </row>
    <row r="977" spans="1:47" x14ac:dyDescent="0.3">
      <c r="A977" s="3">
        <f ca="1"/>
        <v>2346826</v>
      </c>
      <c r="B977" s="3" t="str">
        <f ca="1"/>
        <v>CZECH NEWS CENTER a. s.</v>
      </c>
      <c r="C977" s="3" t="str">
        <f ca="1">IFERROR(__xludf.DUMMYFUNCTION("""COMPUTED_VALUE"""),"Reflex")</f>
        <v>Reflex</v>
      </c>
      <c r="D977" s="4" t="str">
        <f ca="1">IFERROR(__xludf.DUMMYFUNCTION("""COMPUTED_VALUE"""),"https://reflex.cz")</f>
        <v>https://reflex.cz</v>
      </c>
      <c r="E977" s="3" t="str">
        <f ca="1">IFERROR(__xludf.DUMMYFUNCTION("""COMPUTED_VALUE"""),"celý web")</f>
        <v>celý web</v>
      </c>
      <c r="F977" s="4" t="str">
        <f ca="1">IFERROR(__xludf.DUMMYFUNCTION("""COMPUTED_VALUE"""),"https://reflex.cz")</f>
        <v>https://reflex.cz</v>
      </c>
      <c r="G977" s="3" t="str">
        <f ca="1">IFERROR(__xludf.DUMMYFUNCTION("""COMPUTED_VALUE"""),"nativní pr premium low season")</f>
        <v>nativní pr premium low season</v>
      </c>
      <c r="H977" s="3">
        <f ca="1">IFERROR(__xludf.DUMMYFUNCTION("""COMPUTED_VALUE"""),7)</f>
        <v>7</v>
      </c>
      <c r="I977" s="5">
        <f ca="1">IFERROR(__xludf.DUMMYFUNCTION("""COMPUTED_VALUE"""),1000)</f>
        <v>1000</v>
      </c>
      <c r="J977" s="5">
        <f ca="1">IFERROR(__xludf.DUMMYFUNCTION("""COMPUTED_VALUE"""),100)</f>
        <v>100</v>
      </c>
      <c r="K977" s="3"/>
      <c r="L977" s="3" t="str">
        <f ca="1">IFERROR(__xludf.DUMMYFUNCTION("""COMPUTED_VALUE"""),"Cost per period")</f>
        <v>Cost per period</v>
      </c>
      <c r="M977" s="3"/>
      <c r="N977" s="3"/>
      <c r="O977" s="3" t="str">
        <f ca="1">IFERROR(__xludf.DUMMYFUNCTION("""COMPUTED_VALUE"""),"640")</f>
        <v>640</v>
      </c>
      <c r="P977" s="3" t="str">
        <f ca="1">IFERROR(__xludf.DUMMYFUNCTION("""COMPUTED_VALUE"""),"335, 640")</f>
        <v>335, 640</v>
      </c>
      <c r="Q977" s="3" t="str">
        <f ca="1">IFERROR(__xludf.DUMMYFUNCTION("""COMPUTED_VALUE"""),"640x640 a 640x335 + text + logo")</f>
        <v>640x640 a 640x335 + text + logo</v>
      </c>
      <c r="R977" s="3" t="str">
        <f ca="1">IFERROR(__xludf.DUMMYFUNCTION("""COMPUTED_VALUE"""),"detailní specifikace na URL odkaze")</f>
        <v>detailní specifikace na URL odkaze</v>
      </c>
      <c r="S977" s="3" t="str">
        <f ca="1">IFERROR(__xludf.DUMMYFUNCTION("""COMPUTED_VALUE"""),"100")</f>
        <v>100</v>
      </c>
      <c r="T977" s="3"/>
      <c r="U977" s="3" t="str">
        <f ca="1">IFERROR(__xludf.DUMMYFUNCTION("""COMPUTED_VALUE"""),"nativní reklama")</f>
        <v>nativní reklama</v>
      </c>
      <c r="V977" s="3"/>
      <c r="W977" s="4" t="str">
        <f ca="1">IFERROR(__xludf.DUMMYFUNCTION("""COMPUTED_VALUE"""),"https://reklama.cncenter.cz/Online/nativni-PR-premium")</f>
        <v>https://reklama.cncenter.cz/Online/nativni-PR-premium</v>
      </c>
      <c r="X977" s="3"/>
      <c r="Y977" s="3"/>
      <c r="Z977" s="3" t="str">
        <f ca="1">IFERROR(__xludf.DUMMYFUNCTION("""COMPUTED_VALUE"""),"podklady@cncenter.cz")</f>
        <v>podklady@cncenter.cz</v>
      </c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 t="str">
        <f ca="1">IFERROR(__xludf.DUMMYFUNCTION("""COMPUTED_VALUE"""),"cross-device")</f>
        <v>cross-device</v>
      </c>
      <c r="AO977" s="3"/>
      <c r="AP977" s="3"/>
      <c r="AQ977" s="3"/>
      <c r="AR977" s="3"/>
      <c r="AS977" s="3"/>
      <c r="AT977" s="3"/>
      <c r="AU977" s="3" t="str">
        <f ca="1">IFERROR(__xludf.DUMMYFUNCTION("""COMPUTED_VALUE"""),"nativní pr premium")</f>
        <v>nativní pr premium</v>
      </c>
    </row>
    <row r="978" spans="1:47" x14ac:dyDescent="0.3">
      <c r="A978" s="3">
        <f ca="1"/>
        <v>2346826</v>
      </c>
      <c r="B978" s="3" t="str">
        <f ca="1"/>
        <v>CZECH NEWS CENTER a. s.</v>
      </c>
      <c r="C978" s="3" t="str">
        <f ca="1">IFERROR(__xludf.DUMMYFUNCTION("""COMPUTED_VALUE"""),"Reflex")</f>
        <v>Reflex</v>
      </c>
      <c r="D978" s="4" t="str">
        <f ca="1">IFERROR(__xludf.DUMMYFUNCTION("""COMPUTED_VALUE"""),"https://reflex.cz")</f>
        <v>https://reflex.cz</v>
      </c>
      <c r="E978" s="3" t="str">
        <f ca="1">IFERROR(__xludf.DUMMYFUNCTION("""COMPUTED_VALUE"""),"celý web")</f>
        <v>celý web</v>
      </c>
      <c r="F978" s="4" t="str">
        <f ca="1">IFERROR(__xludf.DUMMYFUNCTION("""COMPUTED_VALUE"""),"https://reflex.cz")</f>
        <v>https://reflex.cz</v>
      </c>
      <c r="G978" s="3" t="str">
        <f ca="1">IFERROR(__xludf.DUMMYFUNCTION("""COMPUTED_VALUE"""),"nativní rectangle cross-device low season")</f>
        <v>nativní rectangle cross-device low season</v>
      </c>
      <c r="H978" s="3">
        <f ca="1">IFERROR(__xludf.DUMMYFUNCTION("""COMPUTED_VALUE"""),7)</f>
        <v>7</v>
      </c>
      <c r="I978" s="5">
        <f ca="1">IFERROR(__xludf.DUMMYFUNCTION("""COMPUTED_VALUE"""),1000)</f>
        <v>1000</v>
      </c>
      <c r="J978" s="5">
        <f ca="1">IFERROR(__xludf.DUMMYFUNCTION("""COMPUTED_VALUE"""),200)</f>
        <v>200</v>
      </c>
      <c r="K978" s="3"/>
      <c r="L978" s="3" t="str">
        <f ca="1">IFERROR(__xludf.DUMMYFUNCTION("""COMPUTED_VALUE"""),"Cost per period")</f>
        <v>Cost per period</v>
      </c>
      <c r="M978" s="3"/>
      <c r="N978" s="3"/>
      <c r="O978" s="3" t="str">
        <f ca="1">IFERROR(__xludf.DUMMYFUNCTION("""COMPUTED_VALUE"""),"640")</f>
        <v>640</v>
      </c>
      <c r="P978" s="3" t="str">
        <f ca="1">IFERROR(__xludf.DUMMYFUNCTION("""COMPUTED_VALUE"""),"335, 640")</f>
        <v>335, 640</v>
      </c>
      <c r="Q978" s="3" t="str">
        <f ca="1">IFERROR(__xludf.DUMMYFUNCTION("""COMPUTED_VALUE"""),"640x640 a 640x335 + text + logo")</f>
        <v>640x640 a 640x335 + text + logo</v>
      </c>
      <c r="R978" s="3"/>
      <c r="S978" s="3" t="str">
        <f ca="1">IFERROR(__xludf.DUMMYFUNCTION("""COMPUTED_VALUE"""),"45")</f>
        <v>45</v>
      </c>
      <c r="T978" s="3"/>
      <c r="U978" s="3" t="str">
        <f ca="1">IFERROR(__xludf.DUMMYFUNCTION("""COMPUTED_VALUE"""),"nativní reklama")</f>
        <v>nativní reklama</v>
      </c>
      <c r="V978" s="3"/>
      <c r="W978" s="4" t="str">
        <f ca="1">IFERROR(__xludf.DUMMYFUNCTION("""COMPUTED_VALUE"""),"https://reklama.cncenter.cz/Online/nativni-rectangle-cross-device")</f>
        <v>https://reklama.cncenter.cz/Online/nativni-rectangle-cross-device</v>
      </c>
      <c r="X978" s="3"/>
      <c r="Y978" s="3"/>
      <c r="Z978" s="3" t="str">
        <f ca="1">IFERROR(__xludf.DUMMYFUNCTION("""COMPUTED_VALUE"""),"podklady@cncenter.cz")</f>
        <v>podklady@cncenter.cz</v>
      </c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 t="str">
        <f ca="1">IFERROR(__xludf.DUMMYFUNCTION("""COMPUTED_VALUE"""),"cross-device")</f>
        <v>cross-device</v>
      </c>
      <c r="AO978" s="3"/>
      <c r="AP978" s="3"/>
      <c r="AQ978" s="3"/>
      <c r="AR978" s="3"/>
      <c r="AS978" s="3"/>
      <c r="AT978" s="3"/>
      <c r="AU978" s="3" t="str">
        <f ca="1">IFERROR(__xludf.DUMMYFUNCTION("""COMPUTED_VALUE"""),"nativní rectangle cross-device")</f>
        <v>nativní rectangle cross-device</v>
      </c>
    </row>
    <row r="979" spans="1:47" x14ac:dyDescent="0.3">
      <c r="A979" s="3">
        <f ca="1"/>
        <v>2346826</v>
      </c>
      <c r="B979" s="3" t="str">
        <f ca="1"/>
        <v>CZECH NEWS CENTER a. s.</v>
      </c>
      <c r="C979" s="3" t="str">
        <f ca="1">IFERROR(__xludf.DUMMYFUNCTION("""COMPUTED_VALUE"""),"Reflex")</f>
        <v>Reflex</v>
      </c>
      <c r="D979" s="4" t="str">
        <f ca="1">IFERROR(__xludf.DUMMYFUNCTION("""COMPUTED_VALUE"""),"https://reflex.cz")</f>
        <v>https://reflex.cz</v>
      </c>
      <c r="E979" s="3" t="str">
        <f ca="1">IFERROR(__xludf.DUMMYFUNCTION("""COMPUTED_VALUE"""),"celý web")</f>
        <v>celý web</v>
      </c>
      <c r="F979" s="4" t="str">
        <f ca="1">IFERROR(__xludf.DUMMYFUNCTION("""COMPUTED_VALUE"""),"https://reflex.cz")</f>
        <v>https://reflex.cz</v>
      </c>
      <c r="G979" s="3" t="str">
        <f ca="1">IFERROR(__xludf.DUMMYFUNCTION("""COMPUTED_VALUE"""),"outstream low season")</f>
        <v>outstream low season</v>
      </c>
      <c r="H979" s="3">
        <f ca="1">IFERROR(__xludf.DUMMYFUNCTION("""COMPUTED_VALUE"""),7)</f>
        <v>7</v>
      </c>
      <c r="I979" s="5">
        <f ca="1">IFERROR(__xludf.DUMMYFUNCTION("""COMPUTED_VALUE"""),1000)</f>
        <v>1000</v>
      </c>
      <c r="J979" s="5">
        <f ca="1">IFERROR(__xludf.DUMMYFUNCTION("""COMPUTED_VALUE"""),250)</f>
        <v>250</v>
      </c>
      <c r="K979" s="3"/>
      <c r="L979" s="3" t="str">
        <f ca="1">IFERROR(__xludf.DUMMYFUNCTION("""COMPUTED_VALUE"""),"Cost per period")</f>
        <v>Cost per period</v>
      </c>
      <c r="M979" s="3"/>
      <c r="N979" s="3"/>
      <c r="O979" s="3" t="str">
        <f ca="1">IFERROR(__xludf.DUMMYFUNCTION("""COMPUTED_VALUE"""),"1280")</f>
        <v>1280</v>
      </c>
      <c r="P979" s="3" t="str">
        <f ca="1">IFERROR(__xludf.DUMMYFUNCTION("""COMPUTED_VALUE"""),"720")</f>
        <v>720</v>
      </c>
      <c r="Q979" s="3" t="str">
        <f ca="1">IFERROR(__xludf.DUMMYFUNCTION("""COMPUTED_VALUE"""),"16:9")</f>
        <v>16:9</v>
      </c>
      <c r="R979" s="3"/>
      <c r="S979" s="3" t="str">
        <f ca="1">IFERROR(__xludf.DUMMYFUNCTION("""COMPUTED_VALUE"""),"100")</f>
        <v>100</v>
      </c>
      <c r="T979" s="3"/>
      <c r="U979" s="3" t="str">
        <f ca="1">IFERROR(__xludf.DUMMYFUNCTION("""COMPUTED_VALUE"""),"videospot")</f>
        <v>videospot</v>
      </c>
      <c r="V979" s="3"/>
      <c r="W979" s="4" t="str">
        <f ca="1">IFERROR(__xludf.DUMMYFUNCTION("""COMPUTED_VALUE"""),"https://reklama.cncenter.cz/Online/Outstream")</f>
        <v>https://reklama.cncenter.cz/Online/Outstream</v>
      </c>
      <c r="X979" s="3"/>
      <c r="Y979" s="3"/>
      <c r="Z979" s="3" t="str">
        <f ca="1">IFERROR(__xludf.DUMMYFUNCTION("""COMPUTED_VALUE"""),"podklady@cncenter.cz")</f>
        <v>podklady@cncenter.cz</v>
      </c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 t="str">
        <f ca="1">IFERROR(__xludf.DUMMYFUNCTION("""COMPUTED_VALUE"""),"cross-device")</f>
        <v>cross-device</v>
      </c>
      <c r="AO979" s="3"/>
      <c r="AP979" s="3"/>
      <c r="AQ979" s="3"/>
      <c r="AR979" s="3"/>
      <c r="AS979" s="3"/>
      <c r="AT979" s="3"/>
      <c r="AU979" s="3" t="str">
        <f ca="1">IFERROR(__xludf.DUMMYFUNCTION("""COMPUTED_VALUE"""),"outstream")</f>
        <v>outstream</v>
      </c>
    </row>
    <row r="980" spans="1:47" x14ac:dyDescent="0.3">
      <c r="A980" s="3">
        <f ca="1"/>
        <v>2346826</v>
      </c>
      <c r="B980" s="3" t="str">
        <f ca="1"/>
        <v>CZECH NEWS CENTER a. s.</v>
      </c>
      <c r="C980" s="3" t="str">
        <f ca="1">IFERROR(__xludf.DUMMYFUNCTION("""COMPUTED_VALUE"""),"Reflex")</f>
        <v>Reflex</v>
      </c>
      <c r="D980" s="4" t="str">
        <f ca="1">IFERROR(__xludf.DUMMYFUNCTION("""COMPUTED_VALUE"""),"https://reflex.cz")</f>
        <v>https://reflex.cz</v>
      </c>
      <c r="E980" s="3" t="str">
        <f ca="1">IFERROR(__xludf.DUMMYFUNCTION("""COMPUTED_VALUE"""),"celý web")</f>
        <v>celý web</v>
      </c>
      <c r="F980" s="4" t="str">
        <f ca="1">IFERROR(__xludf.DUMMYFUNCTION("""COMPUTED_VALUE"""),"https://reflex.cz")</f>
        <v>https://reflex.cz</v>
      </c>
      <c r="G980" s="3" t="str">
        <f ca="1">IFERROR(__xludf.DUMMYFUNCTION("""COMPUTED_VALUE"""),"PR článek low season")</f>
        <v>PR článek low season</v>
      </c>
      <c r="H980" s="3">
        <f ca="1">IFERROR(__xludf.DUMMYFUNCTION("""COMPUTED_VALUE"""),1)</f>
        <v>1</v>
      </c>
      <c r="I980" s="5">
        <f ca="1">IFERROR(__xludf.DUMMYFUNCTION("""COMPUTED_VALUE"""),1)</f>
        <v>1</v>
      </c>
      <c r="J980" s="5">
        <f ca="1">IFERROR(__xludf.DUMMYFUNCTION("""COMPUTED_VALUE"""),30000)</f>
        <v>30000</v>
      </c>
      <c r="K980" s="3"/>
      <c r="L980" s="3" t="str">
        <f ca="1">IFERROR(__xludf.DUMMYFUNCTION("""COMPUTED_VALUE"""),"Cost per instance")</f>
        <v>Cost per instance</v>
      </c>
      <c r="M980" s="3"/>
      <c r="N980" s="3"/>
      <c r="O980" s="3"/>
      <c r="P980" s="3"/>
      <c r="Q980" s="3"/>
      <c r="R980" s="3"/>
      <c r="S980" s="3" t="str">
        <f ca="1">IFERROR(__xludf.DUMMYFUNCTION("""COMPUTED_VALUE"""),"100")</f>
        <v>100</v>
      </c>
      <c r="T980" s="3"/>
      <c r="U980" s="3" t="str">
        <f ca="1">IFERROR(__xludf.DUMMYFUNCTION("""COMPUTED_VALUE"""),"pr článek")</f>
        <v>pr článek</v>
      </c>
      <c r="V980" s="3"/>
      <c r="W980" s="4" t="str">
        <f ca="1">IFERROR(__xludf.DUMMYFUNCTION("""COMPUTED_VALUE"""),"https://reklama.cncenter.cz/?ads=PR%2520%25C4%258Dl%25C3%25A1nky")</f>
        <v>https://reklama.cncenter.cz/?ads=PR%2520%25C4%258Dl%25C3%25A1nky</v>
      </c>
      <c r="X980" s="3"/>
      <c r="Y980" s="3"/>
      <c r="Z980" s="3" t="str">
        <f ca="1">IFERROR(__xludf.DUMMYFUNCTION("""COMPUTED_VALUE"""),"podklady@cncenter.cz")</f>
        <v>podklady@cncenter.cz</v>
      </c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 t="str">
        <f ca="1">IFERROR(__xludf.DUMMYFUNCTION("""COMPUTED_VALUE"""),"cross-device")</f>
        <v>cross-device</v>
      </c>
      <c r="AO980" s="3"/>
      <c r="AP980" s="3"/>
      <c r="AQ980" s="3"/>
      <c r="AR980" s="3"/>
      <c r="AS980" s="3"/>
      <c r="AT980" s="3"/>
      <c r="AU980" s="3" t="str">
        <f ca="1">IFERROR(__xludf.DUMMYFUNCTION("""COMPUTED_VALUE"""),"PR článek")</f>
        <v>PR článek</v>
      </c>
    </row>
    <row r="981" spans="1:47" x14ac:dyDescent="0.3">
      <c r="A981" s="3">
        <f ca="1"/>
        <v>2346826</v>
      </c>
      <c r="B981" s="3" t="str">
        <f ca="1"/>
        <v>CZECH NEWS CENTER a. s.</v>
      </c>
      <c r="C981" s="3" t="str">
        <f ca="1">IFERROR(__xludf.DUMMYFUNCTION("""COMPUTED_VALUE"""),"Reflex")</f>
        <v>Reflex</v>
      </c>
      <c r="D981" s="4" t="str">
        <f ca="1">IFERROR(__xludf.DUMMYFUNCTION("""COMPUTED_VALUE"""),"https://reflex.cz")</f>
        <v>https://reflex.cz</v>
      </c>
      <c r="E981" s="3" t="str">
        <f ca="1">IFERROR(__xludf.DUMMYFUNCTION("""COMPUTED_VALUE"""),"celý web")</f>
        <v>celý web</v>
      </c>
      <c r="F981" s="4" t="str">
        <f ca="1">IFERROR(__xludf.DUMMYFUNCTION("""COMPUTED_VALUE"""),"https://reflex.cz")</f>
        <v>https://reflex.cz</v>
      </c>
      <c r="G981" s="3" t="str">
        <f ca="1">IFERROR(__xludf.DUMMYFUNCTION("""COMPUTED_VALUE"""),"Prodloužení existující microsite, bez úprav low season")</f>
        <v>Prodloužení existující microsite, bez úprav low season</v>
      </c>
      <c r="H981" s="3">
        <f ca="1">IFERROR(__xludf.DUMMYFUNCTION("""COMPUTED_VALUE"""),1)</f>
        <v>1</v>
      </c>
      <c r="I981" s="5">
        <f ca="1">IFERROR(__xludf.DUMMYFUNCTION("""COMPUTED_VALUE"""),1)</f>
        <v>1</v>
      </c>
      <c r="J981" s="5">
        <f ca="1">IFERROR(__xludf.DUMMYFUNCTION("""COMPUTED_VALUE"""),15000)</f>
        <v>15000</v>
      </c>
      <c r="K981" s="3"/>
      <c r="L981" s="3" t="str">
        <f ca="1">IFERROR(__xludf.DUMMYFUNCTION("""COMPUTED_VALUE"""),"Cost per instance")</f>
        <v>Cost per instance</v>
      </c>
      <c r="M981" s="3"/>
      <c r="N981" s="3"/>
      <c r="O981" s="3"/>
      <c r="P981" s="3"/>
      <c r="Q981" s="3"/>
      <c r="R981" s="3"/>
      <c r="S981" s="3" t="str">
        <f ca="1">IFERROR(__xludf.DUMMYFUNCTION("""COMPUTED_VALUE"""),"100")</f>
        <v>100</v>
      </c>
      <c r="T981" s="3"/>
      <c r="U981" s="3" t="str">
        <f ca="1">IFERROR(__xludf.DUMMYFUNCTION("""COMPUTED_VALUE"""),"microsite")</f>
        <v>microsite</v>
      </c>
      <c r="V981" s="3"/>
      <c r="W981" s="3"/>
      <c r="X981" s="3"/>
      <c r="Y981" s="3"/>
      <c r="Z981" s="3" t="str">
        <f ca="1">IFERROR(__xludf.DUMMYFUNCTION("""COMPUTED_VALUE"""),"podklady@cncenter.cz")</f>
        <v>podklady@cncenter.cz</v>
      </c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 t="str">
        <f ca="1">IFERROR(__xludf.DUMMYFUNCTION("""COMPUTED_VALUE"""),"cross-device")</f>
        <v>cross-device</v>
      </c>
      <c r="AO981" s="3"/>
      <c r="AP981" s="3"/>
      <c r="AQ981" s="3"/>
      <c r="AR981" s="3"/>
      <c r="AS981" s="3"/>
      <c r="AT981" s="3"/>
      <c r="AU981" s="3" t="str">
        <f ca="1">IFERROR(__xludf.DUMMYFUNCTION("""COMPUTED_VALUE"""),"Prodloužení existující microsite, bez úprav")</f>
        <v>Prodloužení existující microsite, bez úprav</v>
      </c>
    </row>
    <row r="982" spans="1:47" x14ac:dyDescent="0.3">
      <c r="A982" s="3">
        <f ca="1"/>
        <v>2346826</v>
      </c>
      <c r="B982" s="3" t="str">
        <f ca="1"/>
        <v>CZECH NEWS CENTER a. s.</v>
      </c>
      <c r="C982" s="3" t="str">
        <f ca="1">IFERROR(__xludf.DUMMYFUNCTION("""COMPUTED_VALUE"""),"Reflex")</f>
        <v>Reflex</v>
      </c>
      <c r="D982" s="4" t="str">
        <f ca="1">IFERROR(__xludf.DUMMYFUNCTION("""COMPUTED_VALUE"""),"https://reflex.cz")</f>
        <v>https://reflex.cz</v>
      </c>
      <c r="E982" s="3" t="str">
        <f ca="1">IFERROR(__xludf.DUMMYFUNCTION("""COMPUTED_VALUE"""),"celý web")</f>
        <v>celý web</v>
      </c>
      <c r="F982" s="4" t="str">
        <f ca="1">IFERROR(__xludf.DUMMYFUNCTION("""COMPUTED_VALUE"""),"https://reflex.cz")</f>
        <v>https://reflex.cz</v>
      </c>
      <c r="G982" s="3" t="str">
        <f ca="1">IFERROR(__xludf.DUMMYFUNCTION("""COMPUTED_VALUE"""),"Prodloužení existující microsite, bez úprav low season")</f>
        <v>Prodloužení existující microsite, bez úprav low season</v>
      </c>
      <c r="H982" s="3">
        <f ca="1">IFERROR(__xludf.DUMMYFUNCTION("""COMPUTED_VALUE"""),1)</f>
        <v>1</v>
      </c>
      <c r="I982" s="5">
        <f ca="1">IFERROR(__xludf.DUMMYFUNCTION("""COMPUTED_VALUE"""),1)</f>
        <v>1</v>
      </c>
      <c r="J982" s="5">
        <f ca="1">IFERROR(__xludf.DUMMYFUNCTION("""COMPUTED_VALUE"""),15000)</f>
        <v>15000</v>
      </c>
      <c r="K982" s="3"/>
      <c r="L982" s="3" t="str">
        <f ca="1">IFERROR(__xludf.DUMMYFUNCTION("""COMPUTED_VALUE"""),"Cost per instance")</f>
        <v>Cost per instance</v>
      </c>
      <c r="M982" s="3"/>
      <c r="N982" s="3"/>
      <c r="O982" s="3"/>
      <c r="P982" s="3"/>
      <c r="Q982" s="3"/>
      <c r="R982" s="3"/>
      <c r="S982" s="3" t="str">
        <f ca="1">IFERROR(__xludf.DUMMYFUNCTION("""COMPUTED_VALUE"""),"100")</f>
        <v>100</v>
      </c>
      <c r="T982" s="3"/>
      <c r="U982" s="3" t="str">
        <f ca="1">IFERROR(__xludf.DUMMYFUNCTION("""COMPUTED_VALUE"""),"microsite")</f>
        <v>microsite</v>
      </c>
      <c r="V982" s="3"/>
      <c r="W982" s="3"/>
      <c r="X982" s="3"/>
      <c r="Y982" s="3"/>
      <c r="Z982" s="3" t="str">
        <f ca="1">IFERROR(__xludf.DUMMYFUNCTION("""COMPUTED_VALUE"""),"podklady@cncenter.cz")</f>
        <v>podklady@cncenter.cz</v>
      </c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 t="str">
        <f ca="1">IFERROR(__xludf.DUMMYFUNCTION("""COMPUTED_VALUE"""),"cross-device")</f>
        <v>cross-device</v>
      </c>
      <c r="AO982" s="3"/>
      <c r="AP982" s="3"/>
      <c r="AQ982" s="3"/>
      <c r="AR982" s="3"/>
      <c r="AS982" s="3"/>
      <c r="AT982" s="3"/>
      <c r="AU982" s="3" t="str">
        <f ca="1">IFERROR(__xludf.DUMMYFUNCTION("""COMPUTED_VALUE"""),"Prodloužení existující microsite, bez úprav")</f>
        <v>Prodloužení existující microsite, bez úprav</v>
      </c>
    </row>
    <row r="983" spans="1:47" x14ac:dyDescent="0.3">
      <c r="A983" s="3">
        <f ca="1"/>
        <v>2346826</v>
      </c>
      <c r="B983" s="3" t="str">
        <f ca="1"/>
        <v>CZECH NEWS CENTER a. s.</v>
      </c>
      <c r="C983" s="3" t="str">
        <f ca="1">IFERROR(__xludf.DUMMYFUNCTION("""COMPUTED_VALUE"""),"Reflex")</f>
        <v>Reflex</v>
      </c>
      <c r="D983" s="4" t="str">
        <f ca="1">IFERROR(__xludf.DUMMYFUNCTION("""COMPUTED_VALUE"""),"https://reflex.cz")</f>
        <v>https://reflex.cz</v>
      </c>
      <c r="E983" s="3" t="str">
        <f ca="1">IFERROR(__xludf.DUMMYFUNCTION("""COMPUTED_VALUE"""),"celý web")</f>
        <v>celý web</v>
      </c>
      <c r="F983" s="4" t="str">
        <f ca="1">IFERROR(__xludf.DUMMYFUNCTION("""COMPUTED_VALUE"""),"https://reflex.cz")</f>
        <v>https://reflex.cz</v>
      </c>
      <c r="G983" s="3" t="str">
        <f ca="1">IFERROR(__xludf.DUMMYFUNCTION("""COMPUTED_VALUE"""),"Prodloužení existující microsite, bez úprav low season")</f>
        <v>Prodloužení existující microsite, bez úprav low season</v>
      </c>
      <c r="H983" s="3">
        <f ca="1">IFERROR(__xludf.DUMMYFUNCTION("""COMPUTED_VALUE"""),1)</f>
        <v>1</v>
      </c>
      <c r="I983" s="5">
        <f ca="1">IFERROR(__xludf.DUMMYFUNCTION("""COMPUTED_VALUE"""),1)</f>
        <v>1</v>
      </c>
      <c r="J983" s="5">
        <f ca="1">IFERROR(__xludf.DUMMYFUNCTION("""COMPUTED_VALUE"""),15000)</f>
        <v>15000</v>
      </c>
      <c r="K983" s="3"/>
      <c r="L983" s="3" t="str">
        <f ca="1">IFERROR(__xludf.DUMMYFUNCTION("""COMPUTED_VALUE"""),"Cost per instance")</f>
        <v>Cost per instance</v>
      </c>
      <c r="M983" s="3"/>
      <c r="N983" s="3"/>
      <c r="O983" s="3"/>
      <c r="P983" s="3"/>
      <c r="Q983" s="3"/>
      <c r="R983" s="3"/>
      <c r="S983" s="3" t="str">
        <f ca="1">IFERROR(__xludf.DUMMYFUNCTION("""COMPUTED_VALUE"""),"100")</f>
        <v>100</v>
      </c>
      <c r="T983" s="3"/>
      <c r="U983" s="3" t="str">
        <f ca="1">IFERROR(__xludf.DUMMYFUNCTION("""COMPUTED_VALUE"""),"microsite")</f>
        <v>microsite</v>
      </c>
      <c r="V983" s="3"/>
      <c r="W983" s="3"/>
      <c r="X983" s="3"/>
      <c r="Y983" s="3"/>
      <c r="Z983" s="3" t="str">
        <f ca="1">IFERROR(__xludf.DUMMYFUNCTION("""COMPUTED_VALUE"""),"podklady@cncenter.cz")</f>
        <v>podklady@cncenter.cz</v>
      </c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 t="str">
        <f ca="1">IFERROR(__xludf.DUMMYFUNCTION("""COMPUTED_VALUE"""),"cross-device")</f>
        <v>cross-device</v>
      </c>
      <c r="AO983" s="3"/>
      <c r="AP983" s="3"/>
      <c r="AQ983" s="3"/>
      <c r="AR983" s="3"/>
      <c r="AS983" s="3"/>
      <c r="AT983" s="3"/>
      <c r="AU983" s="3" t="str">
        <f ca="1">IFERROR(__xludf.DUMMYFUNCTION("""COMPUTED_VALUE"""),"Prodloužení existující microsite, bez úprav")</f>
        <v>Prodloužení existující microsite, bez úprav</v>
      </c>
    </row>
    <row r="984" spans="1:47" x14ac:dyDescent="0.3">
      <c r="A984" s="3">
        <f ca="1"/>
        <v>2346826</v>
      </c>
      <c r="B984" s="3" t="str">
        <f ca="1"/>
        <v>CZECH NEWS CENTER a. s.</v>
      </c>
      <c r="C984" s="3" t="str">
        <f ca="1">IFERROR(__xludf.DUMMYFUNCTION("""COMPUTED_VALUE"""),"Reflex")</f>
        <v>Reflex</v>
      </c>
      <c r="D984" s="4" t="str">
        <f ca="1">IFERROR(__xludf.DUMMYFUNCTION("""COMPUTED_VALUE"""),"https://reflex.cz")</f>
        <v>https://reflex.cz</v>
      </c>
      <c r="E984" s="3" t="str">
        <f ca="1">IFERROR(__xludf.DUMMYFUNCTION("""COMPUTED_VALUE"""),"celý web")</f>
        <v>celý web</v>
      </c>
      <c r="F984" s="4" t="str">
        <f ca="1">IFERROR(__xludf.DUMMYFUNCTION("""COMPUTED_VALUE"""),"https://reflex.cz")</f>
        <v>https://reflex.cz</v>
      </c>
      <c r="G984" s="3" t="str">
        <f ca="1">IFERROR(__xludf.DUMMYFUNCTION("""COMPUTED_VALUE"""),"videospot - max. 30 sec. / bumper low season")</f>
        <v>videospot - max. 30 sec. / bumper low season</v>
      </c>
      <c r="H984" s="3">
        <f ca="1">IFERROR(__xludf.DUMMYFUNCTION("""COMPUTED_VALUE"""),7)</f>
        <v>7</v>
      </c>
      <c r="I984" s="5">
        <f ca="1">IFERROR(__xludf.DUMMYFUNCTION("""COMPUTED_VALUE"""),1000)</f>
        <v>1000</v>
      </c>
      <c r="J984" s="5">
        <f ca="1">IFERROR(__xludf.DUMMYFUNCTION("""COMPUTED_VALUE"""),740)</f>
        <v>740</v>
      </c>
      <c r="K984" s="3"/>
      <c r="L984" s="3" t="str">
        <f ca="1">IFERROR(__xludf.DUMMYFUNCTION("""COMPUTED_VALUE"""),"Cost per period")</f>
        <v>Cost per period</v>
      </c>
      <c r="M984" s="3"/>
      <c r="N984" s="3"/>
      <c r="O984" s="3" t="str">
        <f ca="1">IFERROR(__xludf.DUMMYFUNCTION("""COMPUTED_VALUE"""),"1280")</f>
        <v>1280</v>
      </c>
      <c r="P984" s="3" t="str">
        <f ca="1">IFERROR(__xludf.DUMMYFUNCTION("""COMPUTED_VALUE"""),"720")</f>
        <v>720</v>
      </c>
      <c r="Q984" s="3" t="str">
        <f ca="1">IFERROR(__xludf.DUMMYFUNCTION("""COMPUTED_VALUE"""),"16:9 / umístění po domluvě dle možností")</f>
        <v>16:9 / umístění po domluvě dle možností</v>
      </c>
      <c r="R984" s="3" t="str">
        <f ca="1">IFERROR(__xludf.DUMMYFUNCTION("""COMPUTED_VALUE"""),"přeskočení po 7 sekundách")</f>
        <v>přeskočení po 7 sekundách</v>
      </c>
      <c r="S984" s="3" t="str">
        <f ca="1">IFERROR(__xludf.DUMMYFUNCTION("""COMPUTED_VALUE"""),"100")</f>
        <v>100</v>
      </c>
      <c r="T984" s="3"/>
      <c r="U984" s="3" t="str">
        <f ca="1">IFERROR(__xludf.DUMMYFUNCTION("""COMPUTED_VALUE"""),"videospot")</f>
        <v>videospot</v>
      </c>
      <c r="V984" s="3"/>
      <c r="W984" s="4" t="str">
        <f ca="1">IFERROR(__xludf.DUMMYFUNCTION("""COMPUTED_VALUE"""),"https://reklama.cncenter.cz/Online/Bumper")</f>
        <v>https://reklama.cncenter.cz/Online/Bumper</v>
      </c>
      <c r="X984" s="3"/>
      <c r="Y984" s="3"/>
      <c r="Z984" s="3" t="str">
        <f ca="1">IFERROR(__xludf.DUMMYFUNCTION("""COMPUTED_VALUE"""),"podklady@cncenter.cz")</f>
        <v>podklady@cncenter.cz</v>
      </c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 t="str">
        <f ca="1">IFERROR(__xludf.DUMMYFUNCTION("""COMPUTED_VALUE"""),"cross-device")</f>
        <v>cross-device</v>
      </c>
      <c r="AO984" s="3"/>
      <c r="AP984" s="3"/>
      <c r="AQ984" s="3"/>
      <c r="AR984" s="3"/>
      <c r="AS984" s="3"/>
      <c r="AT984" s="3"/>
      <c r="AU984" s="3" t="str">
        <f ca="1">IFERROR(__xludf.DUMMYFUNCTION("""COMPUTED_VALUE"""),"videospot - max. 30 sec. / bumper")</f>
        <v>videospot - max. 30 sec. / bumper</v>
      </c>
    </row>
    <row r="985" spans="1:47" x14ac:dyDescent="0.3">
      <c r="A985" s="3">
        <f ca="1"/>
        <v>2346826</v>
      </c>
      <c r="B985" s="3" t="str">
        <f ca="1"/>
        <v>CZECH NEWS CENTER a. s.</v>
      </c>
      <c r="C985" s="3" t="str">
        <f ca="1">IFERROR(__xludf.DUMMYFUNCTION("""COMPUTED_VALUE"""),"SportRevue")</f>
        <v>SportRevue</v>
      </c>
      <c r="D985" s="4" t="str">
        <f ca="1">IFERROR(__xludf.DUMMYFUNCTION("""COMPUTED_VALUE"""),"https://sportrevue.cz")</f>
        <v>https://sportrevue.cz</v>
      </c>
      <c r="E985" s="3" t="str">
        <f ca="1">IFERROR(__xludf.DUMMYFUNCTION("""COMPUTED_VALUE"""),"celý web")</f>
        <v>celý web</v>
      </c>
      <c r="F985" s="4" t="str">
        <f ca="1">IFERROR(__xludf.DUMMYFUNCTION("""COMPUTED_VALUE"""),"https://sportrevue.cz")</f>
        <v>https://sportrevue.cz</v>
      </c>
      <c r="G985" s="3" t="str">
        <f ca="1">IFERROR(__xludf.DUMMYFUNCTION("""COMPUTED_VALUE"""),"Advertorial low season")</f>
        <v>Advertorial low season</v>
      </c>
      <c r="H985" s="3">
        <f ca="1">IFERROR(__xludf.DUMMYFUNCTION("""COMPUTED_VALUE"""),1)</f>
        <v>1</v>
      </c>
      <c r="I985" s="5">
        <f ca="1">IFERROR(__xludf.DUMMYFUNCTION("""COMPUTED_VALUE"""),1)</f>
        <v>1</v>
      </c>
      <c r="J985" s="5">
        <f ca="1">IFERROR(__xludf.DUMMYFUNCTION("""COMPUTED_VALUE"""),90000)</f>
        <v>90000</v>
      </c>
      <c r="K985" s="3"/>
      <c r="L985" s="3" t="str">
        <f ca="1">IFERROR(__xludf.DUMMYFUNCTION("""COMPUTED_VALUE"""),"Cost per instance")</f>
        <v>Cost per instance</v>
      </c>
      <c r="M985" s="3"/>
      <c r="N985" s="3"/>
      <c r="O985" s="3"/>
      <c r="P985" s="3"/>
      <c r="Q985" s="3"/>
      <c r="R985" s="3"/>
      <c r="S985" s="3" t="str">
        <f ca="1">IFERROR(__xludf.DUMMYFUNCTION("""COMPUTED_VALUE"""),"100")</f>
        <v>100</v>
      </c>
      <c r="T985" s="3"/>
      <c r="U985" s="3" t="str">
        <f ca="1">IFERROR(__xludf.DUMMYFUNCTION("""COMPUTED_VALUE"""),"pr článek")</f>
        <v>pr článek</v>
      </c>
      <c r="V985" s="3"/>
      <c r="W985" s="3"/>
      <c r="X985" s="3"/>
      <c r="Y985" s="3"/>
      <c r="Z985" s="3" t="str">
        <f ca="1">IFERROR(__xludf.DUMMYFUNCTION("""COMPUTED_VALUE"""),"podklady@cncenter.cz")</f>
        <v>podklady@cncenter.cz</v>
      </c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 t="str">
        <f ca="1">IFERROR(__xludf.DUMMYFUNCTION("""COMPUTED_VALUE"""),"cross-device")</f>
        <v>cross-device</v>
      </c>
      <c r="AO985" s="3"/>
      <c r="AP985" s="3"/>
      <c r="AQ985" s="3"/>
      <c r="AR985" s="3"/>
      <c r="AS985" s="3"/>
      <c r="AT985" s="3"/>
      <c r="AU985" s="3" t="str">
        <f ca="1">IFERROR(__xludf.DUMMYFUNCTION("""COMPUTED_VALUE"""),"Advertorial")</f>
        <v>Advertorial</v>
      </c>
    </row>
    <row r="986" spans="1:47" x14ac:dyDescent="0.3">
      <c r="A986" s="3">
        <f ca="1"/>
        <v>2346826</v>
      </c>
      <c r="B986" s="3" t="str">
        <f ca="1"/>
        <v>CZECH NEWS CENTER a. s.</v>
      </c>
      <c r="C986" s="3" t="str">
        <f ca="1">IFERROR(__xludf.DUMMYFUNCTION("""COMPUTED_VALUE"""),"SportRevue")</f>
        <v>SportRevue</v>
      </c>
      <c r="D986" s="4" t="str">
        <f ca="1">IFERROR(__xludf.DUMMYFUNCTION("""COMPUTED_VALUE"""),"https://sportrevue.cz")</f>
        <v>https://sportrevue.cz</v>
      </c>
      <c r="E986" s="3" t="str">
        <f ca="1">IFERROR(__xludf.DUMMYFUNCTION("""COMPUTED_VALUE"""),"celý web")</f>
        <v>celý web</v>
      </c>
      <c r="F986" s="4" t="str">
        <f ca="1">IFERROR(__xludf.DUMMYFUNCTION("""COMPUTED_VALUE"""),"https://sportrevue.cz")</f>
        <v>https://sportrevue.cz</v>
      </c>
      <c r="G986" s="3" t="str">
        <f ca="1">IFERROR(__xludf.DUMMYFUNCTION("""COMPUTED_VALUE"""),"dokoupení proma o 2 týdny - 10 000 PV *** low season")</f>
        <v>dokoupení proma o 2 týdny - 10 000 PV *** low season</v>
      </c>
      <c r="H986" s="3">
        <f ca="1">IFERROR(__xludf.DUMMYFUNCTION("""COMPUTED_VALUE"""),1)</f>
        <v>1</v>
      </c>
      <c r="I986" s="5">
        <f ca="1">IFERROR(__xludf.DUMMYFUNCTION("""COMPUTED_VALUE"""),1)</f>
        <v>1</v>
      </c>
      <c r="J986" s="5">
        <f ca="1">IFERROR(__xludf.DUMMYFUNCTION("""COMPUTED_VALUE"""),60000)</f>
        <v>60000</v>
      </c>
      <c r="K986" s="3"/>
      <c r="L986" s="3" t="str">
        <f ca="1">IFERROR(__xludf.DUMMYFUNCTION("""COMPUTED_VALUE"""),"Cost per instance")</f>
        <v>Cost per instance</v>
      </c>
      <c r="M986" s="3"/>
      <c r="N986" s="3"/>
      <c r="O986" s="3"/>
      <c r="P986" s="3"/>
      <c r="Q986" s="3"/>
      <c r="R986" s="3"/>
      <c r="S986" s="3" t="str">
        <f ca="1">IFERROR(__xludf.DUMMYFUNCTION("""COMPUTED_VALUE"""),"100")</f>
        <v>100</v>
      </c>
      <c r="T986" s="3"/>
      <c r="U986" s="3" t="str">
        <f ca="1">IFERROR(__xludf.DUMMYFUNCTION("""COMPUTED_VALUE"""),"microsite")</f>
        <v>microsite</v>
      </c>
      <c r="V986" s="3"/>
      <c r="W986" s="3"/>
      <c r="X986" s="3"/>
      <c r="Y986" s="3"/>
      <c r="Z986" s="3" t="str">
        <f ca="1">IFERROR(__xludf.DUMMYFUNCTION("""COMPUTED_VALUE"""),"podklady@cncenter.cz")</f>
        <v>podklady@cncenter.cz</v>
      </c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 t="str">
        <f ca="1">IFERROR(__xludf.DUMMYFUNCTION("""COMPUTED_VALUE"""),"cross-device")</f>
        <v>cross-device</v>
      </c>
      <c r="AO986" s="3"/>
      <c r="AP986" s="3"/>
      <c r="AQ986" s="3"/>
      <c r="AR986" s="3"/>
      <c r="AS986" s="3"/>
      <c r="AT986" s="3"/>
      <c r="AU986" s="3" t="str">
        <f ca="1">IFERROR(__xludf.DUMMYFUNCTION("""COMPUTED_VALUE"""),"dokoupení proma o 2 týdny - 10 000 PV ***")</f>
        <v>dokoupení proma o 2 týdny - 10 000 PV ***</v>
      </c>
    </row>
    <row r="987" spans="1:47" x14ac:dyDescent="0.3">
      <c r="A987" s="3">
        <f ca="1"/>
        <v>2346826</v>
      </c>
      <c r="B987" s="3" t="str">
        <f ca="1"/>
        <v>CZECH NEWS CENTER a. s.</v>
      </c>
      <c r="C987" s="3" t="str">
        <f ca="1">IFERROR(__xludf.DUMMYFUNCTION("""COMPUTED_VALUE"""),"SportRevue")</f>
        <v>SportRevue</v>
      </c>
      <c r="D987" s="4" t="str">
        <f ca="1">IFERROR(__xludf.DUMMYFUNCTION("""COMPUTED_VALUE"""),"https://sportrevue.cz")</f>
        <v>https://sportrevue.cz</v>
      </c>
      <c r="E987" s="3" t="str">
        <f ca="1">IFERROR(__xludf.DUMMYFUNCTION("""COMPUTED_VALUE"""),"celý web")</f>
        <v>celý web</v>
      </c>
      <c r="F987" s="4" t="str">
        <f ca="1">IFERROR(__xludf.DUMMYFUNCTION("""COMPUTED_VALUE"""),"https://sportrevue.cz")</f>
        <v>https://sportrevue.cz</v>
      </c>
      <c r="G987" s="3" t="str">
        <f ca="1">IFERROR(__xludf.DUMMYFUNCTION("""COMPUTED_VALUE"""),"Native Standard low season")</f>
        <v>Native Standard low season</v>
      </c>
      <c r="H987" s="3">
        <f ca="1">IFERROR(__xludf.DUMMYFUNCTION("""COMPUTED_VALUE"""),1)</f>
        <v>1</v>
      </c>
      <c r="I987" s="5">
        <f ca="1">IFERROR(__xludf.DUMMYFUNCTION("""COMPUTED_VALUE"""),1)</f>
        <v>1</v>
      </c>
      <c r="J987" s="5">
        <f ca="1">IFERROR(__xludf.DUMMYFUNCTION("""COMPUTED_VALUE"""),330000)</f>
        <v>330000</v>
      </c>
      <c r="K987" s="3"/>
      <c r="L987" s="3" t="str">
        <f ca="1">IFERROR(__xludf.DUMMYFUNCTION("""COMPUTED_VALUE"""),"Cost per instance")</f>
        <v>Cost per instance</v>
      </c>
      <c r="M987" s="3"/>
      <c r="N987" s="3"/>
      <c r="O987" s="3"/>
      <c r="P987" s="3"/>
      <c r="Q987" s="3"/>
      <c r="R987" s="3"/>
      <c r="S987" s="3" t="str">
        <f ca="1">IFERROR(__xludf.DUMMYFUNCTION("""COMPUTED_VALUE"""),"100")</f>
        <v>100</v>
      </c>
      <c r="T987" s="3"/>
      <c r="U987" s="3" t="str">
        <f ca="1">IFERROR(__xludf.DUMMYFUNCTION("""COMPUTED_VALUE"""),"microsite")</f>
        <v>microsite</v>
      </c>
      <c r="V987" s="3"/>
      <c r="W987" s="3"/>
      <c r="X987" s="3"/>
      <c r="Y987" s="3"/>
      <c r="Z987" s="3" t="str">
        <f ca="1">IFERROR(__xludf.DUMMYFUNCTION("""COMPUTED_VALUE"""),"podklady@cncenter.cz")</f>
        <v>podklady@cncenter.cz</v>
      </c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 t="str">
        <f ca="1">IFERROR(__xludf.DUMMYFUNCTION("""COMPUTED_VALUE"""),"cross-device")</f>
        <v>cross-device</v>
      </c>
      <c r="AO987" s="3"/>
      <c r="AP987" s="3"/>
      <c r="AQ987" s="3"/>
      <c r="AR987" s="3"/>
      <c r="AS987" s="3"/>
      <c r="AT987" s="3"/>
      <c r="AU987" s="3" t="str">
        <f ca="1">IFERROR(__xludf.DUMMYFUNCTION("""COMPUTED_VALUE"""),"Native Standard")</f>
        <v>Native Standard</v>
      </c>
    </row>
    <row r="988" spans="1:47" x14ac:dyDescent="0.3">
      <c r="A988" s="3">
        <f ca="1"/>
        <v>2346826</v>
      </c>
      <c r="B988" s="3" t="str">
        <f ca="1"/>
        <v>CZECH NEWS CENTER a. s.</v>
      </c>
      <c r="C988" s="3" t="str">
        <f ca="1">IFERROR(__xludf.DUMMYFUNCTION("""COMPUTED_VALUE"""),"SportRevue")</f>
        <v>SportRevue</v>
      </c>
      <c r="D988" s="4" t="str">
        <f ca="1">IFERROR(__xludf.DUMMYFUNCTION("""COMPUTED_VALUE"""),"https://sportrevue.cz")</f>
        <v>https://sportrevue.cz</v>
      </c>
      <c r="E988" s="3" t="str">
        <f ca="1">IFERROR(__xludf.DUMMYFUNCTION("""COMPUTED_VALUE"""),"celý web")</f>
        <v>celý web</v>
      </c>
      <c r="F988" s="4" t="str">
        <f ca="1">IFERROR(__xludf.DUMMYFUNCTION("""COMPUTED_VALUE"""),"https://sportrevue.cz")</f>
        <v>https://sportrevue.cz</v>
      </c>
      <c r="G988" s="3" t="str">
        <f ca="1">IFERROR(__xludf.DUMMYFUNCTION("""COMPUTED_VALUE"""),"PR článek low season")</f>
        <v>PR článek low season</v>
      </c>
      <c r="H988" s="3">
        <f ca="1">IFERROR(__xludf.DUMMYFUNCTION("""COMPUTED_VALUE"""),1)</f>
        <v>1</v>
      </c>
      <c r="I988" s="5">
        <f ca="1">IFERROR(__xludf.DUMMYFUNCTION("""COMPUTED_VALUE"""),1)</f>
        <v>1</v>
      </c>
      <c r="J988" s="5">
        <f ca="1">IFERROR(__xludf.DUMMYFUNCTION("""COMPUTED_VALUE"""),20000)</f>
        <v>20000</v>
      </c>
      <c r="K988" s="3"/>
      <c r="L988" s="3" t="str">
        <f ca="1">IFERROR(__xludf.DUMMYFUNCTION("""COMPUTED_VALUE"""),"Cost per instance")</f>
        <v>Cost per instance</v>
      </c>
      <c r="M988" s="3"/>
      <c r="N988" s="3"/>
      <c r="O988" s="3"/>
      <c r="P988" s="3"/>
      <c r="Q988" s="3"/>
      <c r="R988" s="3"/>
      <c r="S988" s="3" t="str">
        <f ca="1">IFERROR(__xludf.DUMMYFUNCTION("""COMPUTED_VALUE"""),"100")</f>
        <v>100</v>
      </c>
      <c r="T988" s="3"/>
      <c r="U988" s="3" t="str">
        <f ca="1">IFERROR(__xludf.DUMMYFUNCTION("""COMPUTED_VALUE"""),"pr článek")</f>
        <v>pr článek</v>
      </c>
      <c r="V988" s="3"/>
      <c r="W988" s="4" t="str">
        <f ca="1">IFERROR(__xludf.DUMMYFUNCTION("""COMPUTED_VALUE"""),"https://reklama.cncenter.cz/?ads=PR%2520%25C4%258Dl%25C3%25A1nky")</f>
        <v>https://reklama.cncenter.cz/?ads=PR%2520%25C4%258Dl%25C3%25A1nky</v>
      </c>
      <c r="X988" s="3"/>
      <c r="Y988" s="3"/>
      <c r="Z988" s="3" t="str">
        <f ca="1">IFERROR(__xludf.DUMMYFUNCTION("""COMPUTED_VALUE"""),"podklady@cncenter.cz")</f>
        <v>podklady@cncenter.cz</v>
      </c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 t="str">
        <f ca="1">IFERROR(__xludf.DUMMYFUNCTION("""COMPUTED_VALUE"""),"cross-device")</f>
        <v>cross-device</v>
      </c>
      <c r="AO988" s="3"/>
      <c r="AP988" s="3"/>
      <c r="AQ988" s="3"/>
      <c r="AR988" s="3"/>
      <c r="AS988" s="3"/>
      <c r="AT988" s="3"/>
      <c r="AU988" s="3" t="str">
        <f ca="1">IFERROR(__xludf.DUMMYFUNCTION("""COMPUTED_VALUE"""),"PR článek")</f>
        <v>PR článek</v>
      </c>
    </row>
    <row r="989" spans="1:47" x14ac:dyDescent="0.3">
      <c r="A989" s="3">
        <f ca="1"/>
        <v>2346826</v>
      </c>
      <c r="B989" s="3" t="str">
        <f ca="1"/>
        <v>CZECH NEWS CENTER a. s.</v>
      </c>
      <c r="C989" s="3" t="str">
        <f ca="1">IFERROR(__xludf.DUMMYFUNCTION("""COMPUTED_VALUE"""),"SportRevue")</f>
        <v>SportRevue</v>
      </c>
      <c r="D989" s="4" t="str">
        <f ca="1">IFERROR(__xludf.DUMMYFUNCTION("""COMPUTED_VALUE"""),"https://sportrevue.cz")</f>
        <v>https://sportrevue.cz</v>
      </c>
      <c r="E989" s="3" t="str">
        <f ca="1">IFERROR(__xludf.DUMMYFUNCTION("""COMPUTED_VALUE"""),"celý web")</f>
        <v>celý web</v>
      </c>
      <c r="F989" s="4" t="str">
        <f ca="1">IFERROR(__xludf.DUMMYFUNCTION("""COMPUTED_VALUE"""),"https://sportrevue.cz")</f>
        <v>https://sportrevue.cz</v>
      </c>
      <c r="G989" s="3" t="str">
        <f ca="1">IFERROR(__xludf.DUMMYFUNCTION("""COMPUTED_VALUE"""),"Prodloužení existující microsite, bez úprav low season")</f>
        <v>Prodloužení existující microsite, bez úprav low season</v>
      </c>
      <c r="H989" s="3">
        <f ca="1">IFERROR(__xludf.DUMMYFUNCTION("""COMPUTED_VALUE"""),1)</f>
        <v>1</v>
      </c>
      <c r="I989" s="5">
        <f ca="1">IFERROR(__xludf.DUMMYFUNCTION("""COMPUTED_VALUE"""),1)</f>
        <v>1</v>
      </c>
      <c r="J989" s="5">
        <f ca="1">IFERROR(__xludf.DUMMYFUNCTION("""COMPUTED_VALUE"""),15000)</f>
        <v>15000</v>
      </c>
      <c r="K989" s="3"/>
      <c r="L989" s="3" t="str">
        <f ca="1">IFERROR(__xludf.DUMMYFUNCTION("""COMPUTED_VALUE"""),"Cost per instance")</f>
        <v>Cost per instance</v>
      </c>
      <c r="M989" s="3"/>
      <c r="N989" s="3"/>
      <c r="O989" s="3"/>
      <c r="P989" s="3"/>
      <c r="Q989" s="3"/>
      <c r="R989" s="3"/>
      <c r="S989" s="3" t="str">
        <f ca="1">IFERROR(__xludf.DUMMYFUNCTION("""COMPUTED_VALUE"""),"100")</f>
        <v>100</v>
      </c>
      <c r="T989" s="3"/>
      <c r="U989" s="3" t="str">
        <f ca="1">IFERROR(__xludf.DUMMYFUNCTION("""COMPUTED_VALUE"""),"microsite")</f>
        <v>microsite</v>
      </c>
      <c r="V989" s="3"/>
      <c r="W989" s="3"/>
      <c r="X989" s="3"/>
      <c r="Y989" s="3"/>
      <c r="Z989" s="3" t="str">
        <f ca="1">IFERROR(__xludf.DUMMYFUNCTION("""COMPUTED_VALUE"""),"podklady@cncenter.cz")</f>
        <v>podklady@cncenter.cz</v>
      </c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 t="str">
        <f ca="1">IFERROR(__xludf.DUMMYFUNCTION("""COMPUTED_VALUE"""),"cross-device")</f>
        <v>cross-device</v>
      </c>
      <c r="AO989" s="3"/>
      <c r="AP989" s="3"/>
      <c r="AQ989" s="3"/>
      <c r="AR989" s="3"/>
      <c r="AS989" s="3"/>
      <c r="AT989" s="3"/>
      <c r="AU989" s="3" t="str">
        <f ca="1">IFERROR(__xludf.DUMMYFUNCTION("""COMPUTED_VALUE"""),"Prodloužení existující microsite, bez úprav")</f>
        <v>Prodloužení existující microsite, bez úprav</v>
      </c>
    </row>
    <row r="990" spans="1:47" x14ac:dyDescent="0.3">
      <c r="A990" s="3">
        <f ca="1"/>
        <v>2346826</v>
      </c>
      <c r="B990" s="3" t="str">
        <f ca="1"/>
        <v>CZECH NEWS CENTER a. s.</v>
      </c>
      <c r="C990" s="3" t="str">
        <f ca="1">IFERROR(__xludf.DUMMYFUNCTION("""COMPUTED_VALUE"""),"SportRevue")</f>
        <v>SportRevue</v>
      </c>
      <c r="D990" s="4" t="str">
        <f ca="1">IFERROR(__xludf.DUMMYFUNCTION("""COMPUTED_VALUE"""),"https://sportrevue.cz")</f>
        <v>https://sportrevue.cz</v>
      </c>
      <c r="E990" s="3" t="str">
        <f ca="1">IFERROR(__xludf.DUMMYFUNCTION("""COMPUTED_VALUE"""),"celý web")</f>
        <v>celý web</v>
      </c>
      <c r="F990" s="4" t="str">
        <f ca="1">IFERROR(__xludf.DUMMYFUNCTION("""COMPUTED_VALUE"""),"https://sportrevue.cz")</f>
        <v>https://sportrevue.cz</v>
      </c>
      <c r="G990" s="3" t="str">
        <f ca="1">IFERROR(__xludf.DUMMYFUNCTION("""COMPUTED_VALUE"""),"Prodloužení existující microsite, bez úprav low season")</f>
        <v>Prodloužení existující microsite, bez úprav low season</v>
      </c>
      <c r="H990" s="3">
        <f ca="1">IFERROR(__xludf.DUMMYFUNCTION("""COMPUTED_VALUE"""),1)</f>
        <v>1</v>
      </c>
      <c r="I990" s="5">
        <f ca="1">IFERROR(__xludf.DUMMYFUNCTION("""COMPUTED_VALUE"""),1)</f>
        <v>1</v>
      </c>
      <c r="J990" s="5">
        <f ca="1">IFERROR(__xludf.DUMMYFUNCTION("""COMPUTED_VALUE"""),15000)</f>
        <v>15000</v>
      </c>
      <c r="K990" s="3"/>
      <c r="L990" s="3" t="str">
        <f ca="1">IFERROR(__xludf.DUMMYFUNCTION("""COMPUTED_VALUE"""),"Cost per instance")</f>
        <v>Cost per instance</v>
      </c>
      <c r="M990" s="3"/>
      <c r="N990" s="3"/>
      <c r="O990" s="3"/>
      <c r="P990" s="3"/>
      <c r="Q990" s="3"/>
      <c r="R990" s="3"/>
      <c r="S990" s="3" t="str">
        <f ca="1">IFERROR(__xludf.DUMMYFUNCTION("""COMPUTED_VALUE"""),"100")</f>
        <v>100</v>
      </c>
      <c r="T990" s="3"/>
      <c r="U990" s="3" t="str">
        <f ca="1">IFERROR(__xludf.DUMMYFUNCTION("""COMPUTED_VALUE"""),"microsite")</f>
        <v>microsite</v>
      </c>
      <c r="V990" s="3"/>
      <c r="W990" s="3"/>
      <c r="X990" s="3"/>
      <c r="Y990" s="3"/>
      <c r="Z990" s="3" t="str">
        <f ca="1">IFERROR(__xludf.DUMMYFUNCTION("""COMPUTED_VALUE"""),"podklady@cncenter.cz")</f>
        <v>podklady@cncenter.cz</v>
      </c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 t="str">
        <f ca="1">IFERROR(__xludf.DUMMYFUNCTION("""COMPUTED_VALUE"""),"cross-device")</f>
        <v>cross-device</v>
      </c>
      <c r="AO990" s="3"/>
      <c r="AP990" s="3"/>
      <c r="AQ990" s="3"/>
      <c r="AR990" s="3"/>
      <c r="AS990" s="3"/>
      <c r="AT990" s="3"/>
      <c r="AU990" s="3" t="str">
        <f ca="1">IFERROR(__xludf.DUMMYFUNCTION("""COMPUTED_VALUE"""),"Prodloužení existující microsite, bez úprav")</f>
        <v>Prodloužení existující microsite, bez úprav</v>
      </c>
    </row>
    <row r="991" spans="1:47" x14ac:dyDescent="0.3">
      <c r="A991" s="3">
        <f ca="1"/>
        <v>2346826</v>
      </c>
      <c r="B991" s="3" t="str">
        <f ca="1"/>
        <v>CZECH NEWS CENTER a. s.</v>
      </c>
      <c r="C991" s="3" t="str">
        <f ca="1">IFERROR(__xludf.DUMMYFUNCTION("""COMPUTED_VALUE"""),"SportRevue")</f>
        <v>SportRevue</v>
      </c>
      <c r="D991" s="4" t="str">
        <f ca="1">IFERROR(__xludf.DUMMYFUNCTION("""COMPUTED_VALUE"""),"https://sportrevue.cz")</f>
        <v>https://sportrevue.cz</v>
      </c>
      <c r="E991" s="3" t="str">
        <f ca="1">IFERROR(__xludf.DUMMYFUNCTION("""COMPUTED_VALUE"""),"celý web")</f>
        <v>celý web</v>
      </c>
      <c r="F991" s="4" t="str">
        <f ca="1">IFERROR(__xludf.DUMMYFUNCTION("""COMPUTED_VALUE"""),"https://sportrevue.cz")</f>
        <v>https://sportrevue.cz</v>
      </c>
      <c r="G991" s="3" t="str">
        <f ca="1">IFERROR(__xludf.DUMMYFUNCTION("""COMPUTED_VALUE"""),"Prodloužení existující microsite, bez úprav low season")</f>
        <v>Prodloužení existující microsite, bez úprav low season</v>
      </c>
      <c r="H991" s="3">
        <f ca="1">IFERROR(__xludf.DUMMYFUNCTION("""COMPUTED_VALUE"""),1)</f>
        <v>1</v>
      </c>
      <c r="I991" s="5">
        <f ca="1">IFERROR(__xludf.DUMMYFUNCTION("""COMPUTED_VALUE"""),1)</f>
        <v>1</v>
      </c>
      <c r="J991" s="5">
        <f ca="1">IFERROR(__xludf.DUMMYFUNCTION("""COMPUTED_VALUE"""),15000)</f>
        <v>15000</v>
      </c>
      <c r="K991" s="3"/>
      <c r="L991" s="3" t="str">
        <f ca="1">IFERROR(__xludf.DUMMYFUNCTION("""COMPUTED_VALUE"""),"Cost per instance")</f>
        <v>Cost per instance</v>
      </c>
      <c r="M991" s="3"/>
      <c r="N991" s="3"/>
      <c r="O991" s="3"/>
      <c r="P991" s="3"/>
      <c r="Q991" s="3"/>
      <c r="R991" s="3"/>
      <c r="S991" s="3" t="str">
        <f ca="1">IFERROR(__xludf.DUMMYFUNCTION("""COMPUTED_VALUE"""),"100")</f>
        <v>100</v>
      </c>
      <c r="T991" s="3"/>
      <c r="U991" s="3" t="str">
        <f ca="1">IFERROR(__xludf.DUMMYFUNCTION("""COMPUTED_VALUE"""),"microsite")</f>
        <v>microsite</v>
      </c>
      <c r="V991" s="3"/>
      <c r="W991" s="3"/>
      <c r="X991" s="3"/>
      <c r="Y991" s="3"/>
      <c r="Z991" s="3" t="str">
        <f ca="1">IFERROR(__xludf.DUMMYFUNCTION("""COMPUTED_VALUE"""),"podklady@cncenter.cz")</f>
        <v>podklady@cncenter.cz</v>
      </c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 t="str">
        <f ca="1">IFERROR(__xludf.DUMMYFUNCTION("""COMPUTED_VALUE"""),"cross-device")</f>
        <v>cross-device</v>
      </c>
      <c r="AO991" s="3"/>
      <c r="AP991" s="3"/>
      <c r="AQ991" s="3"/>
      <c r="AR991" s="3"/>
      <c r="AS991" s="3"/>
      <c r="AT991" s="3"/>
      <c r="AU991" s="3" t="str">
        <f ca="1">IFERROR(__xludf.DUMMYFUNCTION("""COMPUTED_VALUE"""),"Prodloužení existující microsite, bez úprav")</f>
        <v>Prodloužení existující microsite, bez úprav</v>
      </c>
    </row>
    <row r="992" spans="1:47" x14ac:dyDescent="0.3">
      <c r="A992" s="3">
        <f ca="1"/>
        <v>2346826</v>
      </c>
      <c r="B992" s="3" t="str">
        <f ca="1"/>
        <v>CZECH NEWS CENTER a. s.</v>
      </c>
      <c r="C992" s="3" t="str">
        <f ca="1">IFERROR(__xludf.DUMMYFUNCTION("""COMPUTED_VALUE"""),"Tiktokový profil FOMO")</f>
        <v>Tiktokový profil FOMO</v>
      </c>
      <c r="D992" s="4" t="str">
        <f ca="1">IFERROR(__xludf.DUMMYFUNCTION("""COMPUTED_VALUE"""),"www.tiktok.com")</f>
        <v>www.tiktok.com</v>
      </c>
      <c r="E992" s="3" t="str">
        <f ca="1">IFERROR(__xludf.DUMMYFUNCTION("""COMPUTED_VALUE"""),"TikTok")</f>
        <v>TikTok</v>
      </c>
      <c r="F992" s="4" t="str">
        <f ca="1">IFERROR(__xludf.DUMMYFUNCTION("""COMPUTED_VALUE"""),"www.tiktok.com")</f>
        <v>www.tiktok.com</v>
      </c>
      <c r="G992" s="3" t="str">
        <f ca="1">IFERROR(__xludf.DUMMYFUNCTION("""COMPUTED_VALUE"""),"tiktok post low season")</f>
        <v>tiktok post low season</v>
      </c>
      <c r="H992" s="3">
        <f ca="1">IFERROR(__xludf.DUMMYFUNCTION("""COMPUTED_VALUE"""),1)</f>
        <v>1</v>
      </c>
      <c r="I992" s="5">
        <f ca="1">IFERROR(__xludf.DUMMYFUNCTION("""COMPUTED_VALUE"""),1)</f>
        <v>1</v>
      </c>
      <c r="J992" s="5">
        <f ca="1">IFERROR(__xludf.DUMMYFUNCTION("""COMPUTED_VALUE"""),40000)</f>
        <v>40000</v>
      </c>
      <c r="K992" s="3"/>
      <c r="L992" s="3" t="str">
        <f ca="1">IFERROR(__xludf.DUMMYFUNCTION("""COMPUTED_VALUE"""),"Cost per instance")</f>
        <v>Cost per instance</v>
      </c>
      <c r="M992" s="3"/>
      <c r="N992" s="3"/>
      <c r="O992" s="3"/>
      <c r="P992" s="3"/>
      <c r="Q992" s="3"/>
      <c r="R992" s="3"/>
      <c r="S992" s="3" t="str">
        <f ca="1">IFERROR(__xludf.DUMMYFUNCTION("""COMPUTED_VALUE"""),"100")</f>
        <v>100</v>
      </c>
      <c r="T992" s="3"/>
      <c r="U992" s="3" t="str">
        <f ca="1">IFERROR(__xludf.DUMMYFUNCTION("""COMPUTED_VALUE"""),"SoMe tiktok")</f>
        <v>SoMe tiktok</v>
      </c>
      <c r="V992" s="3"/>
      <c r="W992" s="3"/>
      <c r="X992" s="3"/>
      <c r="Y992" s="3"/>
      <c r="Z992" s="3" t="str">
        <f ca="1">IFERROR(__xludf.DUMMYFUNCTION("""COMPUTED_VALUE"""),"podklady@cncenter.cz")</f>
        <v>podklady@cncenter.cz</v>
      </c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 t="str">
        <f ca="1">IFERROR(__xludf.DUMMYFUNCTION("""COMPUTED_VALUE"""),"cross-device")</f>
        <v>cross-device</v>
      </c>
      <c r="AO992" s="3"/>
      <c r="AP992" s="3"/>
      <c r="AQ992" s="3"/>
      <c r="AR992" s="3"/>
      <c r="AS992" s="3"/>
      <c r="AT992" s="3"/>
      <c r="AU992" s="3" t="str">
        <f ca="1">IFERROR(__xludf.DUMMYFUNCTION("""COMPUTED_VALUE"""),"tiktok post")</f>
        <v>tiktok post</v>
      </c>
    </row>
    <row r="993" spans="1:47" x14ac:dyDescent="0.3">
      <c r="A993" s="3">
        <f ca="1"/>
        <v>2346826</v>
      </c>
      <c r="B993" s="3" t="str">
        <f ca="1"/>
        <v>CZECH NEWS CENTER a. s.</v>
      </c>
      <c r="C993" s="3" t="str">
        <f ca="1">IFERROR(__xludf.DUMMYFUNCTION("""COMPUTED_VALUE"""),"VTM")</f>
        <v>VTM</v>
      </c>
      <c r="D993" s="4" t="str">
        <f ca="1">IFERROR(__xludf.DUMMYFUNCTION("""COMPUTED_VALUE"""),"https://vtm.zive.cz")</f>
        <v>https://vtm.zive.cz</v>
      </c>
      <c r="E993" s="3" t="str">
        <f ca="1">IFERROR(__xludf.DUMMYFUNCTION("""COMPUTED_VALUE"""),"celý web")</f>
        <v>celý web</v>
      </c>
      <c r="F993" s="4" t="str">
        <f ca="1">IFERROR(__xludf.DUMMYFUNCTION("""COMPUTED_VALUE"""),"https://vtm.zive.cz")</f>
        <v>https://vtm.zive.cz</v>
      </c>
      <c r="G993" s="3" t="str">
        <f ca="1">IFERROR(__xludf.DUMMYFUNCTION("""COMPUTED_VALUE"""),"billboard bottom low season")</f>
        <v>billboard bottom low season</v>
      </c>
      <c r="H993" s="3">
        <f ca="1">IFERROR(__xludf.DUMMYFUNCTION("""COMPUTED_VALUE"""),7)</f>
        <v>7</v>
      </c>
      <c r="I993" s="5">
        <f ca="1">IFERROR(__xludf.DUMMYFUNCTION("""COMPUTED_VALUE"""),1000)</f>
        <v>1000</v>
      </c>
      <c r="J993" s="5">
        <f ca="1">IFERROR(__xludf.DUMMYFUNCTION("""COMPUTED_VALUE"""),240)</f>
        <v>240</v>
      </c>
      <c r="K993" s="3"/>
      <c r="L993" s="3" t="str">
        <f ca="1">IFERROR(__xludf.DUMMYFUNCTION("""COMPUTED_VALUE"""),"Cost per period")</f>
        <v>Cost per period</v>
      </c>
      <c r="M993" s="3"/>
      <c r="N993" s="3"/>
      <c r="O993" s="3" t="str">
        <f ca="1">IFERROR(__xludf.DUMMYFUNCTION("""COMPUTED_VALUE"""),"970")</f>
        <v>970</v>
      </c>
      <c r="P993" s="3" t="str">
        <f ca="1">IFERROR(__xludf.DUMMYFUNCTION("""COMPUTED_VALUE"""),"250")</f>
        <v>250</v>
      </c>
      <c r="Q993" s="3" t="str">
        <f ca="1">IFERROR(__xludf.DUMMYFUNCTION("""COMPUTED_VALUE"""),"970x250")</f>
        <v>970x250</v>
      </c>
      <c r="R993" s="3"/>
      <c r="S993" s="3" t="str">
        <f ca="1">IFERROR(__xludf.DUMMYFUNCTION("""COMPUTED_VALUE"""),"100 (200 - HTML5)")</f>
        <v>100 (200 - HTML5)</v>
      </c>
      <c r="T993" s="3"/>
      <c r="U993" s="3" t="str">
        <f ca="1">IFERROR(__xludf.DUMMYFUNCTION("""COMPUTED_VALUE"""),"banner standard")</f>
        <v>banner standard</v>
      </c>
      <c r="V993" s="3"/>
      <c r="W993" s="4" t="str">
        <f ca="1">IFERROR(__xludf.DUMMYFUNCTION("""COMPUTED_VALUE"""),"https://reklama.cncenter.cz/Online/billboard-bottom")</f>
        <v>https://reklama.cncenter.cz/Online/billboard-bottom</v>
      </c>
      <c r="X993" s="3"/>
      <c r="Y993" s="3"/>
      <c r="Z993" s="3" t="str">
        <f ca="1">IFERROR(__xludf.DUMMYFUNCTION("""COMPUTED_VALUE"""),"podklady@cncenter.cz")</f>
        <v>podklady@cncenter.cz</v>
      </c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 t="str">
        <f ca="1">IFERROR(__xludf.DUMMYFUNCTION("""COMPUTED_VALUE"""),"desktop")</f>
        <v>desktop</v>
      </c>
      <c r="AO993" s="3"/>
      <c r="AP993" s="3"/>
      <c r="AQ993" s="3"/>
      <c r="AR993" s="3"/>
      <c r="AS993" s="3"/>
      <c r="AT993" s="3"/>
      <c r="AU993" s="3" t="str">
        <f ca="1">IFERROR(__xludf.DUMMYFUNCTION("""COMPUTED_VALUE"""),"billboard bottom")</f>
        <v>billboard bottom</v>
      </c>
    </row>
    <row r="994" spans="1:47" x14ac:dyDescent="0.3">
      <c r="A994" s="3">
        <f ca="1"/>
        <v>2346826</v>
      </c>
      <c r="B994" s="3" t="str">
        <f ca="1"/>
        <v>CZECH NEWS CENTER a. s.</v>
      </c>
      <c r="C994" s="3" t="str">
        <f ca="1">IFERROR(__xludf.DUMMYFUNCTION("""COMPUTED_VALUE"""),"VTM")</f>
        <v>VTM</v>
      </c>
      <c r="D994" s="4" t="str">
        <f ca="1">IFERROR(__xludf.DUMMYFUNCTION("""COMPUTED_VALUE"""),"https://vtm.zive.cz")</f>
        <v>https://vtm.zive.cz</v>
      </c>
      <c r="E994" s="3" t="str">
        <f ca="1">IFERROR(__xludf.DUMMYFUNCTION("""COMPUTED_VALUE"""),"celý web")</f>
        <v>celý web</v>
      </c>
      <c r="F994" s="4" t="str">
        <f ca="1">IFERROR(__xludf.DUMMYFUNCTION("""COMPUTED_VALUE"""),"https://vtm.zive.cz")</f>
        <v>https://vtm.zive.cz</v>
      </c>
      <c r="G994" s="3" t="str">
        <f ca="1">IFERROR(__xludf.DUMMYFUNCTION("""COMPUTED_VALUE"""),"branding cross-device low season")</f>
        <v>branding cross-device low season</v>
      </c>
      <c r="H994" s="3">
        <f ca="1">IFERROR(__xludf.DUMMYFUNCTION("""COMPUTED_VALUE"""),7)</f>
        <v>7</v>
      </c>
      <c r="I994" s="5">
        <f ca="1">IFERROR(__xludf.DUMMYFUNCTION("""COMPUTED_VALUE"""),1000)</f>
        <v>1000</v>
      </c>
      <c r="J994" s="5">
        <f ca="1">IFERROR(__xludf.DUMMYFUNCTION("""COMPUTED_VALUE"""),300)</f>
        <v>300</v>
      </c>
      <c r="K994" s="3"/>
      <c r="L994" s="3" t="str">
        <f ca="1">IFERROR(__xludf.DUMMYFUNCTION("""COMPUTED_VALUE"""),"Cost per period")</f>
        <v>Cost per period</v>
      </c>
      <c r="M994" s="3"/>
      <c r="N994" s="3"/>
      <c r="O994" s="3" t="str">
        <f ca="1">IFERROR(__xludf.DUMMYFUNCTION("""COMPUTED_VALUE"""),"2000")</f>
        <v>2000</v>
      </c>
      <c r="P994" s="3" t="str">
        <f ca="1">IFERROR(__xludf.DUMMYFUNCTION("""COMPUTED_VALUE"""),"1400")</f>
        <v>1400</v>
      </c>
      <c r="Q994" s="3" t="str">
        <f ca="1">IFERROR(__xludf.DUMMYFUNCTION("""COMPUTED_VALUE"""),"2000x1400 + 600x1080")</f>
        <v>2000x1400 + 600x1080</v>
      </c>
      <c r="R994" s="3"/>
      <c r="S994" s="3" t="str">
        <f ca="1">IFERROR(__xludf.DUMMYFUNCTION("""COMPUTED_VALUE"""),"500 (600 - HTLM5)")</f>
        <v>500 (600 - HTLM5)</v>
      </c>
      <c r="T994" s="3"/>
      <c r="U994" s="3" t="str">
        <f ca="1">IFERROR(__xludf.DUMMYFUNCTION("""COMPUTED_VALUE"""),"banner standard")</f>
        <v>banner standard</v>
      </c>
      <c r="V994" s="3"/>
      <c r="W994" s="4" t="str">
        <f ca="1">IFERROR(__xludf.DUMMYFUNCTION("""COMPUTED_VALUE"""),"https://reklama.cncenter.cz/Online/branding-cross-device")</f>
        <v>https://reklama.cncenter.cz/Online/branding-cross-device</v>
      </c>
      <c r="X994" s="3"/>
      <c r="Y994" s="3"/>
      <c r="Z994" s="3" t="str">
        <f ca="1">IFERROR(__xludf.DUMMYFUNCTION("""COMPUTED_VALUE"""),"podklady@cncenter.cz")</f>
        <v>podklady@cncenter.cz</v>
      </c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 t="str">
        <f ca="1">IFERROR(__xludf.DUMMYFUNCTION("""COMPUTED_VALUE"""),"cross-device")</f>
        <v>cross-device</v>
      </c>
      <c r="AO994" s="3"/>
      <c r="AP994" s="3"/>
      <c r="AQ994" s="3"/>
      <c r="AR994" s="3"/>
      <c r="AS994" s="3"/>
      <c r="AT994" s="3"/>
      <c r="AU994" s="3" t="str">
        <f ca="1">IFERROR(__xludf.DUMMYFUNCTION("""COMPUTED_VALUE"""),"branding cross-device")</f>
        <v>branding cross-device</v>
      </c>
    </row>
    <row r="995" spans="1:47" x14ac:dyDescent="0.3">
      <c r="A995" s="3">
        <f ca="1"/>
        <v>2346826</v>
      </c>
      <c r="B995" s="3" t="str">
        <f ca="1"/>
        <v>CZECH NEWS CENTER a. s.</v>
      </c>
      <c r="C995" s="3" t="str">
        <f ca="1">IFERROR(__xludf.DUMMYFUNCTION("""COMPUTED_VALUE"""),"VTM")</f>
        <v>VTM</v>
      </c>
      <c r="D995" s="4" t="str">
        <f ca="1">IFERROR(__xludf.DUMMYFUNCTION("""COMPUTED_VALUE"""),"https://vtm.zive.cz")</f>
        <v>https://vtm.zive.cz</v>
      </c>
      <c r="E995" s="3" t="str">
        <f ca="1">IFERROR(__xludf.DUMMYFUNCTION("""COMPUTED_VALUE"""),"celý web")</f>
        <v>celý web</v>
      </c>
      <c r="F995" s="4" t="str">
        <f ca="1">IFERROR(__xludf.DUMMYFUNCTION("""COMPUTED_VALUE"""),"https://vtm.zive.cz")</f>
        <v>https://vtm.zive.cz</v>
      </c>
      <c r="G995" s="3" t="str">
        <f ca="1">IFERROR(__xludf.DUMMYFUNCTION("""COMPUTED_VALUE"""),"branding low season")</f>
        <v>branding low season</v>
      </c>
      <c r="H995" s="3">
        <f ca="1">IFERROR(__xludf.DUMMYFUNCTION("""COMPUTED_VALUE"""),7)</f>
        <v>7</v>
      </c>
      <c r="I995" s="5">
        <f ca="1">IFERROR(__xludf.DUMMYFUNCTION("""COMPUTED_VALUE"""),1000)</f>
        <v>1000</v>
      </c>
      <c r="J995" s="5">
        <f ca="1">IFERROR(__xludf.DUMMYFUNCTION("""COMPUTED_VALUE"""),490)</f>
        <v>490</v>
      </c>
      <c r="K995" s="3"/>
      <c r="L995" s="3" t="str">
        <f ca="1">IFERROR(__xludf.DUMMYFUNCTION("""COMPUTED_VALUE"""),"Cost per period")</f>
        <v>Cost per period</v>
      </c>
      <c r="M995" s="3"/>
      <c r="N995" s="3"/>
      <c r="O995" s="3" t="str">
        <f ca="1">IFERROR(__xludf.DUMMYFUNCTION("""COMPUTED_VALUE"""),"2000")</f>
        <v>2000</v>
      </c>
      <c r="P995" s="3" t="str">
        <f ca="1">IFERROR(__xludf.DUMMYFUNCTION("""COMPUTED_VALUE"""),"1400")</f>
        <v>1400</v>
      </c>
      <c r="Q995" s="3" t="str">
        <f ca="1">IFERROR(__xludf.DUMMYFUNCTION("""COMPUTED_VALUE"""),"2000x1400")</f>
        <v>2000x1400</v>
      </c>
      <c r="R995" s="3"/>
      <c r="S995" s="3" t="str">
        <f ca="1">IFERROR(__xludf.DUMMYFUNCTION("""COMPUTED_VALUE"""),"500 + 200 (600+200 HTML5)")</f>
        <v>500 + 200 (600+200 HTML5)</v>
      </c>
      <c r="T995" s="3"/>
      <c r="U995" s="3" t="str">
        <f ca="1">IFERROR(__xludf.DUMMYFUNCTION("""COMPUTED_VALUE"""),"banner standard")</f>
        <v>banner standard</v>
      </c>
      <c r="V995" s="3"/>
      <c r="W995" s="4" t="str">
        <f ca="1">IFERROR(__xludf.DUMMYFUNCTION("""COMPUTED_VALUE"""),"https://reklama.cncenter.cz/Online/branding")</f>
        <v>https://reklama.cncenter.cz/Online/branding</v>
      </c>
      <c r="X995" s="3"/>
      <c r="Y995" s="3"/>
      <c r="Z995" s="3" t="str">
        <f ca="1">IFERROR(__xludf.DUMMYFUNCTION("""COMPUTED_VALUE"""),"podklady@cncenter.cz")</f>
        <v>podklady@cncenter.cz</v>
      </c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 t="str">
        <f ca="1">IFERROR(__xludf.DUMMYFUNCTION("""COMPUTED_VALUE"""),"desktop")</f>
        <v>desktop</v>
      </c>
      <c r="AO995" s="3"/>
      <c r="AP995" s="3"/>
      <c r="AQ995" s="3"/>
      <c r="AR995" s="3"/>
      <c r="AS995" s="3"/>
      <c r="AT995" s="3"/>
      <c r="AU995" s="3" t="str">
        <f ca="1">IFERROR(__xludf.DUMMYFUNCTION("""COMPUTED_VALUE"""),"branding")</f>
        <v>branding</v>
      </c>
    </row>
    <row r="996" spans="1:47" x14ac:dyDescent="0.3">
      <c r="A996" s="3">
        <f ca="1"/>
        <v>2346826</v>
      </c>
      <c r="B996" s="3" t="str">
        <f ca="1"/>
        <v>CZECH NEWS CENTER a. s.</v>
      </c>
      <c r="C996" s="3" t="str">
        <f ca="1">IFERROR(__xludf.DUMMYFUNCTION("""COMPUTED_VALUE"""),"VTM")</f>
        <v>VTM</v>
      </c>
      <c r="D996" s="4" t="str">
        <f ca="1">IFERROR(__xludf.DUMMYFUNCTION("""COMPUTED_VALUE"""),"https://vtm.zive.cz")</f>
        <v>https://vtm.zive.cz</v>
      </c>
      <c r="E996" s="3" t="str">
        <f ca="1">IFERROR(__xludf.DUMMYFUNCTION("""COMPUTED_VALUE"""),"celý web")</f>
        <v>celý web</v>
      </c>
      <c r="F996" s="4" t="str">
        <f ca="1">IFERROR(__xludf.DUMMYFUNCTION("""COMPUTED_VALUE"""),"https://vtm.zive.cz")</f>
        <v>https://vtm.zive.cz</v>
      </c>
      <c r="G996" s="3" t="str">
        <f ca="1">IFERROR(__xludf.DUMMYFUNCTION("""COMPUTED_VALUE"""),"cílený billboard bottom low season")</f>
        <v>cílený billboard bottom low season</v>
      </c>
      <c r="H996" s="3">
        <f ca="1">IFERROR(__xludf.DUMMYFUNCTION("""COMPUTED_VALUE"""),7)</f>
        <v>7</v>
      </c>
      <c r="I996" s="5">
        <f ca="1">IFERROR(__xludf.DUMMYFUNCTION("""COMPUTED_VALUE"""),1000)</f>
        <v>1000</v>
      </c>
      <c r="J996" s="5">
        <f ca="1">IFERROR(__xludf.DUMMYFUNCTION("""COMPUTED_VALUE"""),288)</f>
        <v>288</v>
      </c>
      <c r="K996" s="3"/>
      <c r="L996" s="3" t="str">
        <f ca="1">IFERROR(__xludf.DUMMYFUNCTION("""COMPUTED_VALUE"""),"Cost per period")</f>
        <v>Cost per period</v>
      </c>
      <c r="M996" s="3"/>
      <c r="N996" s="3"/>
      <c r="O996" s="3" t="str">
        <f ca="1">IFERROR(__xludf.DUMMYFUNCTION("""COMPUTED_VALUE"""),"970")</f>
        <v>970</v>
      </c>
      <c r="P996" s="3" t="str">
        <f ca="1">IFERROR(__xludf.DUMMYFUNCTION("""COMPUTED_VALUE"""),"250")</f>
        <v>250</v>
      </c>
      <c r="Q996" s="3" t="str">
        <f ca="1">IFERROR(__xludf.DUMMYFUNCTION("""COMPUTED_VALUE"""),"970x250")</f>
        <v>970x250</v>
      </c>
      <c r="R996" s="3"/>
      <c r="S996" s="3" t="str">
        <f ca="1">IFERROR(__xludf.DUMMYFUNCTION("""COMPUTED_VALUE"""),"100 (200 - HTML5)")</f>
        <v>100 (200 - HTML5)</v>
      </c>
      <c r="T996" s="3"/>
      <c r="U996" s="3" t="str">
        <f ca="1">IFERROR(__xludf.DUMMYFUNCTION("""COMPUTED_VALUE"""),"banner standard")</f>
        <v>banner standard</v>
      </c>
      <c r="V996" s="3"/>
      <c r="W996" s="4" t="str">
        <f ca="1">IFERROR(__xludf.DUMMYFUNCTION("""COMPUTED_VALUE"""),"https://reklama.cncenter.cz/Online/billboard-bottom")</f>
        <v>https://reklama.cncenter.cz/Online/billboard-bottom</v>
      </c>
      <c r="X996" s="3"/>
      <c r="Y996" s="3"/>
      <c r="Z996" s="3" t="str">
        <f ca="1">IFERROR(__xludf.DUMMYFUNCTION("""COMPUTED_VALUE"""),"podklady@cncenter.cz")</f>
        <v>podklady@cncenter.cz</v>
      </c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 t="str">
        <f ca="1">IFERROR(__xludf.DUMMYFUNCTION("""COMPUTED_VALUE"""),"desktop")</f>
        <v>desktop</v>
      </c>
      <c r="AO996" s="3"/>
      <c r="AP996" s="3"/>
      <c r="AQ996" s="3"/>
      <c r="AR996" s="3"/>
      <c r="AS996" s="3"/>
      <c r="AT996" s="3"/>
      <c r="AU996" s="3" t="str">
        <f ca="1">IFERROR(__xludf.DUMMYFUNCTION("""COMPUTED_VALUE"""),"cílený billboard bottom")</f>
        <v>cílený billboard bottom</v>
      </c>
    </row>
    <row r="997" spans="1:47" x14ac:dyDescent="0.3">
      <c r="A997" s="3">
        <f ca="1"/>
        <v>2346826</v>
      </c>
      <c r="B997" s="3" t="str">
        <f ca="1"/>
        <v>CZECH NEWS CENTER a. s.</v>
      </c>
      <c r="C997" s="3" t="str">
        <f ca="1">IFERROR(__xludf.DUMMYFUNCTION("""COMPUTED_VALUE"""),"VTM")</f>
        <v>VTM</v>
      </c>
      <c r="D997" s="4" t="str">
        <f ca="1">IFERROR(__xludf.DUMMYFUNCTION("""COMPUTED_VALUE"""),"https://vtm.zive.cz")</f>
        <v>https://vtm.zive.cz</v>
      </c>
      <c r="E997" s="3" t="str">
        <f ca="1">IFERROR(__xludf.DUMMYFUNCTION("""COMPUTED_VALUE"""),"celý web")</f>
        <v>celý web</v>
      </c>
      <c r="F997" s="4" t="str">
        <f ca="1">IFERROR(__xludf.DUMMYFUNCTION("""COMPUTED_VALUE"""),"https://vtm.zive.cz")</f>
        <v>https://vtm.zive.cz</v>
      </c>
      <c r="G997" s="3" t="str">
        <f ca="1">IFERROR(__xludf.DUMMYFUNCTION("""COMPUTED_VALUE"""),"cílený branding cross-device low season")</f>
        <v>cílený branding cross-device low season</v>
      </c>
      <c r="H997" s="3">
        <f ca="1">IFERROR(__xludf.DUMMYFUNCTION("""COMPUTED_VALUE"""),7)</f>
        <v>7</v>
      </c>
      <c r="I997" s="5">
        <f ca="1">IFERROR(__xludf.DUMMYFUNCTION("""COMPUTED_VALUE"""),1000)</f>
        <v>1000</v>
      </c>
      <c r="J997" s="5">
        <f ca="1">IFERROR(__xludf.DUMMYFUNCTION("""COMPUTED_VALUE"""),360)</f>
        <v>360</v>
      </c>
      <c r="K997" s="3"/>
      <c r="L997" s="3" t="str">
        <f ca="1">IFERROR(__xludf.DUMMYFUNCTION("""COMPUTED_VALUE"""),"Cost per period")</f>
        <v>Cost per period</v>
      </c>
      <c r="M997" s="3"/>
      <c r="N997" s="3"/>
      <c r="O997" s="3" t="str">
        <f ca="1">IFERROR(__xludf.DUMMYFUNCTION("""COMPUTED_VALUE"""),"2000")</f>
        <v>2000</v>
      </c>
      <c r="P997" s="3" t="str">
        <f ca="1">IFERROR(__xludf.DUMMYFUNCTION("""COMPUTED_VALUE"""),"1400")</f>
        <v>1400</v>
      </c>
      <c r="Q997" s="3" t="str">
        <f ca="1">IFERROR(__xludf.DUMMYFUNCTION("""COMPUTED_VALUE"""),"2000x1400 + 600x1080")</f>
        <v>2000x1400 + 600x1080</v>
      </c>
      <c r="R997" s="3"/>
      <c r="S997" s="3" t="str">
        <f ca="1">IFERROR(__xludf.DUMMYFUNCTION("""COMPUTED_VALUE"""),"500 (600 - HTLM5)")</f>
        <v>500 (600 - HTLM5)</v>
      </c>
      <c r="T997" s="3"/>
      <c r="U997" s="3" t="str">
        <f ca="1">IFERROR(__xludf.DUMMYFUNCTION("""COMPUTED_VALUE"""),"banner standard")</f>
        <v>banner standard</v>
      </c>
      <c r="V997" s="3"/>
      <c r="W997" s="4" t="str">
        <f ca="1">IFERROR(__xludf.DUMMYFUNCTION("""COMPUTED_VALUE"""),"https://reklama.cncenter.cz/Online/branding-cross-device")</f>
        <v>https://reklama.cncenter.cz/Online/branding-cross-device</v>
      </c>
      <c r="X997" s="3"/>
      <c r="Y997" s="3"/>
      <c r="Z997" s="3" t="str">
        <f ca="1">IFERROR(__xludf.DUMMYFUNCTION("""COMPUTED_VALUE"""),"podklady@cncenter.cz")</f>
        <v>podklady@cncenter.cz</v>
      </c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 t="str">
        <f ca="1">IFERROR(__xludf.DUMMYFUNCTION("""COMPUTED_VALUE"""),"cross-device")</f>
        <v>cross-device</v>
      </c>
      <c r="AO997" s="3"/>
      <c r="AP997" s="3"/>
      <c r="AQ997" s="3"/>
      <c r="AR997" s="3"/>
      <c r="AS997" s="3"/>
      <c r="AT997" s="3"/>
      <c r="AU997" s="3" t="str">
        <f ca="1">IFERROR(__xludf.DUMMYFUNCTION("""COMPUTED_VALUE"""),"cílený branding cross-device")</f>
        <v>cílený branding cross-device</v>
      </c>
    </row>
    <row r="998" spans="1:47" x14ac:dyDescent="0.3">
      <c r="A998" s="3">
        <f ca="1"/>
        <v>2346826</v>
      </c>
      <c r="B998" s="3" t="str">
        <f ca="1"/>
        <v>CZECH NEWS CENTER a. s.</v>
      </c>
      <c r="C998" s="3" t="str">
        <f ca="1">IFERROR(__xludf.DUMMYFUNCTION("""COMPUTED_VALUE"""),"VTM")</f>
        <v>VTM</v>
      </c>
      <c r="D998" s="4" t="str">
        <f ca="1">IFERROR(__xludf.DUMMYFUNCTION("""COMPUTED_VALUE"""),"https://vtm.zive.cz")</f>
        <v>https://vtm.zive.cz</v>
      </c>
      <c r="E998" s="3" t="str">
        <f ca="1">IFERROR(__xludf.DUMMYFUNCTION("""COMPUTED_VALUE"""),"celý web")</f>
        <v>celý web</v>
      </c>
      <c r="F998" s="4" t="str">
        <f ca="1">IFERROR(__xludf.DUMMYFUNCTION("""COMPUTED_VALUE"""),"https://vtm.zive.cz")</f>
        <v>https://vtm.zive.cz</v>
      </c>
      <c r="G998" s="3" t="str">
        <f ca="1">IFERROR(__xludf.DUMMYFUNCTION("""COMPUTED_VALUE"""),"cílený branding low season")</f>
        <v>cílený branding low season</v>
      </c>
      <c r="H998" s="3">
        <f ca="1">IFERROR(__xludf.DUMMYFUNCTION("""COMPUTED_VALUE"""),7)</f>
        <v>7</v>
      </c>
      <c r="I998" s="5">
        <f ca="1">IFERROR(__xludf.DUMMYFUNCTION("""COMPUTED_VALUE"""),1000)</f>
        <v>1000</v>
      </c>
      <c r="J998" s="5">
        <f ca="1">IFERROR(__xludf.DUMMYFUNCTION("""COMPUTED_VALUE"""),588)</f>
        <v>588</v>
      </c>
      <c r="K998" s="3"/>
      <c r="L998" s="3" t="str">
        <f ca="1">IFERROR(__xludf.DUMMYFUNCTION("""COMPUTED_VALUE"""),"Cost per period")</f>
        <v>Cost per period</v>
      </c>
      <c r="M998" s="3"/>
      <c r="N998" s="3"/>
      <c r="O998" s="3" t="str">
        <f ca="1">IFERROR(__xludf.DUMMYFUNCTION("""COMPUTED_VALUE"""),"2000")</f>
        <v>2000</v>
      </c>
      <c r="P998" s="3" t="str">
        <f ca="1">IFERROR(__xludf.DUMMYFUNCTION("""COMPUTED_VALUE"""),"1400")</f>
        <v>1400</v>
      </c>
      <c r="Q998" s="3" t="str">
        <f ca="1">IFERROR(__xludf.DUMMYFUNCTION("""COMPUTED_VALUE"""),"2000x1400")</f>
        <v>2000x1400</v>
      </c>
      <c r="R998" s="3"/>
      <c r="S998" s="3" t="str">
        <f ca="1">IFERROR(__xludf.DUMMYFUNCTION("""COMPUTED_VALUE"""),"500 + 200 (600+200 HTML5)")</f>
        <v>500 + 200 (600+200 HTML5)</v>
      </c>
      <c r="T998" s="3"/>
      <c r="U998" s="3" t="str">
        <f ca="1">IFERROR(__xludf.DUMMYFUNCTION("""COMPUTED_VALUE"""),"banner standard")</f>
        <v>banner standard</v>
      </c>
      <c r="V998" s="3"/>
      <c r="W998" s="4" t="str">
        <f ca="1">IFERROR(__xludf.DUMMYFUNCTION("""COMPUTED_VALUE"""),"https://reklama.cncenter.cz/Online/branding")</f>
        <v>https://reklama.cncenter.cz/Online/branding</v>
      </c>
      <c r="X998" s="3"/>
      <c r="Y998" s="3"/>
      <c r="Z998" s="3" t="str">
        <f ca="1">IFERROR(__xludf.DUMMYFUNCTION("""COMPUTED_VALUE"""),"podklady@cncenter.cz")</f>
        <v>podklady@cncenter.cz</v>
      </c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 t="str">
        <f ca="1">IFERROR(__xludf.DUMMYFUNCTION("""COMPUTED_VALUE"""),"desktop")</f>
        <v>desktop</v>
      </c>
      <c r="AO998" s="3"/>
      <c r="AP998" s="3"/>
      <c r="AQ998" s="3"/>
      <c r="AR998" s="3"/>
      <c r="AS998" s="3"/>
      <c r="AT998" s="3"/>
      <c r="AU998" s="3" t="str">
        <f ca="1">IFERROR(__xludf.DUMMYFUNCTION("""COMPUTED_VALUE"""),"cílený branding")</f>
        <v>cílený branding</v>
      </c>
    </row>
    <row r="999" spans="1:47" x14ac:dyDescent="0.3">
      <c r="A999" s="3">
        <f ca="1"/>
        <v>2346826</v>
      </c>
      <c r="B999" s="3" t="str">
        <f ca="1"/>
        <v>CZECH NEWS CENTER a. s.</v>
      </c>
      <c r="C999" s="3" t="str">
        <f ca="1">IFERROR(__xludf.DUMMYFUNCTION("""COMPUTED_VALUE"""),"VTM")</f>
        <v>VTM</v>
      </c>
      <c r="D999" s="4" t="str">
        <f ca="1">IFERROR(__xludf.DUMMYFUNCTION("""COMPUTED_VALUE"""),"https://vtm.zive.cz")</f>
        <v>https://vtm.zive.cz</v>
      </c>
      <c r="E999" s="3" t="str">
        <f ca="1">IFERROR(__xludf.DUMMYFUNCTION("""COMPUTED_VALUE"""),"celý web")</f>
        <v>celý web</v>
      </c>
      <c r="F999" s="4" t="str">
        <f ca="1">IFERROR(__xludf.DUMMYFUNCTION("""COMPUTED_VALUE"""),"https://vtm.zive.cz")</f>
        <v>https://vtm.zive.cz</v>
      </c>
      <c r="G999" s="3" t="str">
        <f ca="1">IFERROR(__xludf.DUMMYFUNCTION("""COMPUTED_VALUE"""),"cílený double skyscraper low season")</f>
        <v>cílený double skyscraper low season</v>
      </c>
      <c r="H999" s="3">
        <f ca="1">IFERROR(__xludf.DUMMYFUNCTION("""COMPUTED_VALUE"""),7)</f>
        <v>7</v>
      </c>
      <c r="I999" s="5">
        <f ca="1">IFERROR(__xludf.DUMMYFUNCTION("""COMPUTED_VALUE"""),1000)</f>
        <v>1000</v>
      </c>
      <c r="J999" s="5">
        <f ca="1">IFERROR(__xludf.DUMMYFUNCTION("""COMPUTED_VALUE"""),228)</f>
        <v>228</v>
      </c>
      <c r="K999" s="3"/>
      <c r="L999" s="3" t="str">
        <f ca="1">IFERROR(__xludf.DUMMYFUNCTION("""COMPUTED_VALUE"""),"Cost per period")</f>
        <v>Cost per period</v>
      </c>
      <c r="M999" s="3"/>
      <c r="N999" s="3"/>
      <c r="O999" s="3" t="str">
        <f ca="1">IFERROR(__xludf.DUMMYFUNCTION("""COMPUTED_VALUE"""),"300")</f>
        <v>300</v>
      </c>
      <c r="P999" s="3" t="str">
        <f ca="1">IFERROR(__xludf.DUMMYFUNCTION("""COMPUTED_VALUE"""),"600")</f>
        <v>600</v>
      </c>
      <c r="Q999" s="3" t="str">
        <f ca="1">IFERROR(__xludf.DUMMYFUNCTION("""COMPUTED_VALUE"""),"300x600")</f>
        <v>300x600</v>
      </c>
      <c r="R999" s="3"/>
      <c r="S999" s="3" t="str">
        <f ca="1">IFERROR(__xludf.DUMMYFUNCTION("""COMPUTED_VALUE"""),"100 (200 - HTML5)")</f>
        <v>100 (200 - HTML5)</v>
      </c>
      <c r="T999" s="3"/>
      <c r="U999" s="3" t="str">
        <f ca="1">IFERROR(__xludf.DUMMYFUNCTION("""COMPUTED_VALUE"""),"banner standard")</f>
        <v>banner standard</v>
      </c>
      <c r="V999" s="3"/>
      <c r="W999" s="4" t="str">
        <f ca="1">IFERROR(__xludf.DUMMYFUNCTION("""COMPUTED_VALUE"""),"https://reklama.cncenter.cz/Online/double-skyscraper")</f>
        <v>https://reklama.cncenter.cz/Online/double-skyscraper</v>
      </c>
      <c r="X999" s="3"/>
      <c r="Y999" s="3"/>
      <c r="Z999" s="3" t="str">
        <f ca="1">IFERROR(__xludf.DUMMYFUNCTION("""COMPUTED_VALUE"""),"podklady@cncenter.cz")</f>
        <v>podklady@cncenter.cz</v>
      </c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 t="str">
        <f ca="1">IFERROR(__xludf.DUMMYFUNCTION("""COMPUTED_VALUE"""),"desktop")</f>
        <v>desktop</v>
      </c>
      <c r="AO999" s="3"/>
      <c r="AP999" s="3"/>
      <c r="AQ999" s="3"/>
      <c r="AR999" s="3"/>
      <c r="AS999" s="3"/>
      <c r="AT999" s="3"/>
      <c r="AU999" s="3" t="str">
        <f ca="1">IFERROR(__xludf.DUMMYFUNCTION("""COMPUTED_VALUE"""),"cílený double skyscraper")</f>
        <v>cílený double skyscraper</v>
      </c>
    </row>
    <row r="1000" spans="1:47" x14ac:dyDescent="0.3">
      <c r="A1000" s="3">
        <f ca="1"/>
        <v>2346826</v>
      </c>
      <c r="B1000" s="3" t="str">
        <f ca="1"/>
        <v>CZECH NEWS CENTER a. s.</v>
      </c>
      <c r="C1000" s="3" t="str">
        <f ca="1">IFERROR(__xludf.DUMMYFUNCTION("""COMPUTED_VALUE"""),"VTM")</f>
        <v>VTM</v>
      </c>
      <c r="D1000" s="4" t="str">
        <f ca="1">IFERROR(__xludf.DUMMYFUNCTION("""COMPUTED_VALUE"""),"https://vtm.zive.cz")</f>
        <v>https://vtm.zive.cz</v>
      </c>
      <c r="E1000" s="3" t="str">
        <f ca="1">IFERROR(__xludf.DUMMYFUNCTION("""COMPUTED_VALUE"""),"celý web")</f>
        <v>celý web</v>
      </c>
      <c r="F1000" s="4" t="str">
        <f ca="1">IFERROR(__xludf.DUMMYFUNCTION("""COMPUTED_VALUE"""),"https://vtm.zive.cz")</f>
        <v>https://vtm.zive.cz</v>
      </c>
      <c r="G1000" s="3" t="str">
        <f ca="1">IFERROR(__xludf.DUMMYFUNCTION("""COMPUTED_VALUE"""),"cílený mobilní interscroller low season")</f>
        <v>cílený mobilní interscroller low season</v>
      </c>
      <c r="H1000" s="3">
        <f ca="1">IFERROR(__xludf.DUMMYFUNCTION("""COMPUTED_VALUE"""),7)</f>
        <v>7</v>
      </c>
      <c r="I1000" s="5">
        <f ca="1">IFERROR(__xludf.DUMMYFUNCTION("""COMPUTED_VALUE"""),1000)</f>
        <v>1000</v>
      </c>
      <c r="J1000" s="5">
        <f ca="1">IFERROR(__xludf.DUMMYFUNCTION("""COMPUTED_VALUE"""),300)</f>
        <v>300</v>
      </c>
      <c r="K1000" s="3"/>
      <c r="L1000" s="3" t="str">
        <f ca="1">IFERROR(__xludf.DUMMYFUNCTION("""COMPUTED_VALUE"""),"Cost per period")</f>
        <v>Cost per period</v>
      </c>
      <c r="M1000" s="3"/>
      <c r="N1000" s="3"/>
      <c r="O1000" s="3" t="str">
        <f ca="1">IFERROR(__xludf.DUMMYFUNCTION("""COMPUTED_VALUE"""),"600")</f>
        <v>600</v>
      </c>
      <c r="P1000" s="3" t="str">
        <f ca="1">IFERROR(__xludf.DUMMYFUNCTION("""COMPUTED_VALUE"""),"1080")</f>
        <v>1080</v>
      </c>
      <c r="Q1000" s="3" t="str">
        <f ca="1">IFERROR(__xludf.DUMMYFUNCTION("""COMPUTED_VALUE"""),"600x1080")</f>
        <v>600x1080</v>
      </c>
      <c r="R1000" s="3"/>
      <c r="S1000" s="3" t="str">
        <f ca="1">IFERROR(__xludf.DUMMYFUNCTION("""COMPUTED_VALUE"""),"200")</f>
        <v>200</v>
      </c>
      <c r="T1000" s="3"/>
      <c r="U1000" s="3" t="str">
        <f ca="1">IFERROR(__xludf.DUMMYFUNCTION("""COMPUTED_VALUE"""),"banner standard")</f>
        <v>banner standard</v>
      </c>
      <c r="V1000" s="3"/>
      <c r="W1000" s="4" t="str">
        <f ca="1">IFERROR(__xludf.DUMMYFUNCTION("""COMPUTED_VALUE"""),"https://reklama.cncenter.cz/Online/mobilni-interscroller")</f>
        <v>https://reklama.cncenter.cz/Online/mobilni-interscroller</v>
      </c>
      <c r="X1000" s="3"/>
      <c r="Y1000" s="3"/>
      <c r="Z1000" s="3" t="str">
        <f ca="1">IFERROR(__xludf.DUMMYFUNCTION("""COMPUTED_VALUE"""),"podklady@cncenter.cz")</f>
        <v>podklady@cncenter.cz</v>
      </c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 t="str">
        <f ca="1">IFERROR(__xludf.DUMMYFUNCTION("""COMPUTED_VALUE"""),"mobile")</f>
        <v>mobile</v>
      </c>
      <c r="AO1000" s="3"/>
      <c r="AP1000" s="3"/>
      <c r="AQ1000" s="3"/>
      <c r="AR1000" s="3"/>
      <c r="AS1000" s="3"/>
      <c r="AT1000" s="3"/>
      <c r="AU1000" s="3" t="str">
        <f ca="1">IFERROR(__xludf.DUMMYFUNCTION("""COMPUTED_VALUE"""),"cílený mobilní interscroller")</f>
        <v>cílený mobilní interscroller</v>
      </c>
    </row>
    <row r="1001" spans="1:47" x14ac:dyDescent="0.3">
      <c r="A1001" s="3">
        <f ca="1"/>
        <v>2346826</v>
      </c>
      <c r="B1001" s="3" t="str">
        <f ca="1"/>
        <v>CZECH NEWS CENTER a. s.</v>
      </c>
      <c r="C1001" s="3" t="str">
        <f ca="1">IFERROR(__xludf.DUMMYFUNCTION("""COMPUTED_VALUE"""),"VTM")</f>
        <v>VTM</v>
      </c>
      <c r="D1001" s="4" t="str">
        <f ca="1">IFERROR(__xludf.DUMMYFUNCTION("""COMPUTED_VALUE"""),"https://vtm.zive.cz")</f>
        <v>https://vtm.zive.cz</v>
      </c>
      <c r="E1001" s="3" t="str">
        <f ca="1">IFERROR(__xludf.DUMMYFUNCTION("""COMPUTED_VALUE"""),"celý web")</f>
        <v>celý web</v>
      </c>
      <c r="F1001" s="4" t="str">
        <f ca="1">IFERROR(__xludf.DUMMYFUNCTION("""COMPUTED_VALUE"""),"https://vtm.zive.cz")</f>
        <v>https://vtm.zive.cz</v>
      </c>
      <c r="G1001" s="3" t="str">
        <f ca="1">IFERROR(__xludf.DUMMYFUNCTION("""COMPUTED_VALUE"""),"cílený mobilní slide-up low season")</f>
        <v>cílený mobilní slide-up low season</v>
      </c>
      <c r="H1001" s="3">
        <f ca="1">IFERROR(__xludf.DUMMYFUNCTION("""COMPUTED_VALUE"""),7)</f>
        <v>7</v>
      </c>
      <c r="I1001" s="5">
        <f ca="1">IFERROR(__xludf.DUMMYFUNCTION("""COMPUTED_VALUE"""),1000)</f>
        <v>1000</v>
      </c>
      <c r="J1001" s="5">
        <f ca="1">IFERROR(__xludf.DUMMYFUNCTION("""COMPUTED_VALUE"""),612)</f>
        <v>612</v>
      </c>
      <c r="K1001" s="3"/>
      <c r="L1001" s="3" t="str">
        <f ca="1">IFERROR(__xludf.DUMMYFUNCTION("""COMPUTED_VALUE"""),"Cost per period")</f>
        <v>Cost per period</v>
      </c>
      <c r="M1001" s="3"/>
      <c r="N1001" s="3"/>
      <c r="O1001" s="3" t="str">
        <f ca="1">IFERROR(__xludf.DUMMYFUNCTION("""COMPUTED_VALUE"""),"300")</f>
        <v>300</v>
      </c>
      <c r="P1001" s="3" t="str">
        <f ca="1">IFERROR(__xludf.DUMMYFUNCTION("""COMPUTED_VALUE"""),"120")</f>
        <v>120</v>
      </c>
      <c r="Q1001" s="3" t="str">
        <f ca="1">IFERROR(__xludf.DUMMYFUNCTION("""COMPUTED_VALUE"""),"300x120")</f>
        <v>300x120</v>
      </c>
      <c r="R1001" s="3"/>
      <c r="S1001" s="3" t="str">
        <f ca="1">IFERROR(__xludf.DUMMYFUNCTION("""COMPUTED_VALUE"""),"100")</f>
        <v>100</v>
      </c>
      <c r="T1001" s="3"/>
      <c r="U1001" s="3" t="str">
        <f ca="1">IFERROR(__xludf.DUMMYFUNCTION("""COMPUTED_VALUE"""),"banner standard")</f>
        <v>banner standard</v>
      </c>
      <c r="V1001" s="3"/>
      <c r="W1001" s="4" t="str">
        <f ca="1">IFERROR(__xludf.DUMMYFUNCTION("""COMPUTED_VALUE"""),"https://reklama.cncenter.cz/Online/mobilni-slide-up")</f>
        <v>https://reklama.cncenter.cz/Online/mobilni-slide-up</v>
      </c>
      <c r="X1001" s="3"/>
      <c r="Y1001" s="3"/>
      <c r="Z1001" s="3" t="str">
        <f ca="1">IFERROR(__xludf.DUMMYFUNCTION("""COMPUTED_VALUE"""),"podklady@cncenter.cz")</f>
        <v>podklady@cncenter.cz</v>
      </c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 t="str">
        <f ca="1">IFERROR(__xludf.DUMMYFUNCTION("""COMPUTED_VALUE"""),"mobile")</f>
        <v>mobile</v>
      </c>
      <c r="AO1001" s="3"/>
      <c r="AP1001" s="3"/>
      <c r="AQ1001" s="3"/>
      <c r="AR1001" s="3"/>
      <c r="AS1001" s="3"/>
      <c r="AT1001" s="3"/>
      <c r="AU1001" s="3" t="str">
        <f ca="1">IFERROR(__xludf.DUMMYFUNCTION("""COMPUTED_VALUE"""),"cílený mobilní slide-up")</f>
        <v>cílený mobilní slide-up</v>
      </c>
    </row>
    <row r="1002" spans="1:47" x14ac:dyDescent="0.3">
      <c r="A1002" s="3">
        <f ca="1"/>
        <v>2346826</v>
      </c>
      <c r="B1002" s="3" t="str">
        <f ca="1"/>
        <v>CZECH NEWS CENTER a. s.</v>
      </c>
      <c r="C1002" s="3" t="str">
        <f ca="1">IFERROR(__xludf.DUMMYFUNCTION("""COMPUTED_VALUE"""),"VTM")</f>
        <v>VTM</v>
      </c>
      <c r="D1002" s="4" t="str">
        <f ca="1">IFERROR(__xludf.DUMMYFUNCTION("""COMPUTED_VALUE"""),"https://vtm.zive.cz")</f>
        <v>https://vtm.zive.cz</v>
      </c>
      <c r="E1002" s="3" t="str">
        <f ca="1">IFERROR(__xludf.DUMMYFUNCTION("""COMPUTED_VALUE"""),"celý web")</f>
        <v>celý web</v>
      </c>
      <c r="F1002" s="4" t="str">
        <f ca="1">IFERROR(__xludf.DUMMYFUNCTION("""COMPUTED_VALUE"""),"https://vtm.zive.cz")</f>
        <v>https://vtm.zive.cz</v>
      </c>
      <c r="G1002" s="3" t="str">
        <f ca="1">IFERROR(__xludf.DUMMYFUNCTION("""COMPUTED_VALUE"""),"cílený mobilní viněta low season")</f>
        <v>cílený mobilní viněta low season</v>
      </c>
      <c r="H1002" s="3">
        <f ca="1">IFERROR(__xludf.DUMMYFUNCTION("""COMPUTED_VALUE"""),7)</f>
        <v>7</v>
      </c>
      <c r="I1002" s="5">
        <f ca="1">IFERROR(__xludf.DUMMYFUNCTION("""COMPUTED_VALUE"""),1000)</f>
        <v>1000</v>
      </c>
      <c r="J1002" s="5">
        <f ca="1">IFERROR(__xludf.DUMMYFUNCTION("""COMPUTED_VALUE"""),1056)</f>
        <v>1056</v>
      </c>
      <c r="K1002" s="3"/>
      <c r="L1002" s="3" t="str">
        <f ca="1">IFERROR(__xludf.DUMMYFUNCTION("""COMPUTED_VALUE"""),"Cost per period")</f>
        <v>Cost per period</v>
      </c>
      <c r="M1002" s="3"/>
      <c r="N1002" s="3"/>
      <c r="O1002" s="3" t="str">
        <f ca="1">IFERROR(__xludf.DUMMYFUNCTION("""COMPUTED_VALUE"""),"600")</f>
        <v>600</v>
      </c>
      <c r="P1002" s="3" t="str">
        <f ca="1">IFERROR(__xludf.DUMMYFUNCTION("""COMPUTED_VALUE"""),"800")</f>
        <v>800</v>
      </c>
      <c r="Q1002" s="3" t="str">
        <f ca="1">IFERROR(__xludf.DUMMYFUNCTION("""COMPUTED_VALUE"""),"300x250 nebo 600x800")</f>
        <v>300x250 nebo 600x800</v>
      </c>
      <c r="R1002" s="3"/>
      <c r="S1002" s="3" t="str">
        <f ca="1">IFERROR(__xludf.DUMMYFUNCTION("""COMPUTED_VALUE"""),"100")</f>
        <v>100</v>
      </c>
      <c r="T1002" s="3"/>
      <c r="U1002" s="3" t="str">
        <f ca="1">IFERROR(__xludf.DUMMYFUNCTION("""COMPUTED_VALUE"""),"banner standard")</f>
        <v>banner standard</v>
      </c>
      <c r="V1002" s="3"/>
      <c r="W1002" s="4" t="str">
        <f ca="1">IFERROR(__xludf.DUMMYFUNCTION("""COMPUTED_VALUE"""),"https://reklama.cncenter.cz/Online/mobilni-vineta")</f>
        <v>https://reklama.cncenter.cz/Online/mobilni-vineta</v>
      </c>
      <c r="X1002" s="3"/>
      <c r="Y1002" s="3"/>
      <c r="Z1002" s="3" t="str">
        <f ca="1">IFERROR(__xludf.DUMMYFUNCTION("""COMPUTED_VALUE"""),"podklady@cncenter.cz")</f>
        <v>podklady@cncenter.cz</v>
      </c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 t="str">
        <f ca="1">IFERROR(__xludf.DUMMYFUNCTION("""COMPUTED_VALUE"""),"mobile")</f>
        <v>mobile</v>
      </c>
      <c r="AO1002" s="3"/>
      <c r="AP1002" s="3"/>
      <c r="AQ1002" s="3"/>
      <c r="AR1002" s="3"/>
      <c r="AS1002" s="3"/>
      <c r="AT1002" s="3"/>
      <c r="AU1002" s="3" t="str">
        <f ca="1">IFERROR(__xludf.DUMMYFUNCTION("""COMPUTED_VALUE"""),"cílený mobilní viněta")</f>
        <v>cílený mobilní viněta</v>
      </c>
    </row>
    <row r="1003" spans="1:47" x14ac:dyDescent="0.3">
      <c r="A1003" s="3">
        <f ca="1"/>
        <v>2346826</v>
      </c>
      <c r="B1003" s="3" t="str">
        <f ca="1"/>
        <v>CZECH NEWS CENTER a. s.</v>
      </c>
      <c r="C1003" s="3" t="str">
        <f ca="1">IFERROR(__xludf.DUMMYFUNCTION("""COMPUTED_VALUE"""),"VTM")</f>
        <v>VTM</v>
      </c>
      <c r="D1003" s="4" t="str">
        <f ca="1">IFERROR(__xludf.DUMMYFUNCTION("""COMPUTED_VALUE"""),"https://vtm.zive.cz")</f>
        <v>https://vtm.zive.cz</v>
      </c>
      <c r="E1003" s="3" t="str">
        <f ca="1">IFERROR(__xludf.DUMMYFUNCTION("""COMPUTED_VALUE"""),"celý web")</f>
        <v>celý web</v>
      </c>
      <c r="F1003" s="4" t="str">
        <f ca="1">IFERROR(__xludf.DUMMYFUNCTION("""COMPUTED_VALUE"""),"https://vtm.zive.cz")</f>
        <v>https://vtm.zive.cz</v>
      </c>
      <c r="G1003" s="3" t="str">
        <f ca="1">IFERROR(__xludf.DUMMYFUNCTION("""COMPUTED_VALUE"""),"cílený nativní rectangle cross-device low season")</f>
        <v>cílený nativní rectangle cross-device low season</v>
      </c>
      <c r="H1003" s="3">
        <f ca="1">IFERROR(__xludf.DUMMYFUNCTION("""COMPUTED_VALUE"""),7)</f>
        <v>7</v>
      </c>
      <c r="I1003" s="5">
        <f ca="1">IFERROR(__xludf.DUMMYFUNCTION("""COMPUTED_VALUE"""),1000)</f>
        <v>1000</v>
      </c>
      <c r="J1003" s="5">
        <f ca="1">IFERROR(__xludf.DUMMYFUNCTION("""COMPUTED_VALUE"""),240)</f>
        <v>240</v>
      </c>
      <c r="K1003" s="3"/>
      <c r="L1003" s="3" t="str">
        <f ca="1">IFERROR(__xludf.DUMMYFUNCTION("""COMPUTED_VALUE"""),"Cost per period")</f>
        <v>Cost per period</v>
      </c>
      <c r="M1003" s="3"/>
      <c r="N1003" s="3"/>
      <c r="O1003" s="3" t="str">
        <f ca="1">IFERROR(__xludf.DUMMYFUNCTION("""COMPUTED_VALUE"""),"640")</f>
        <v>640</v>
      </c>
      <c r="P1003" s="3" t="str">
        <f ca="1">IFERROR(__xludf.DUMMYFUNCTION("""COMPUTED_VALUE"""),"335, 640")</f>
        <v>335, 640</v>
      </c>
      <c r="Q1003" s="3" t="str">
        <f ca="1">IFERROR(__xludf.DUMMYFUNCTION("""COMPUTED_VALUE"""),"640x640 a 640x335 + text + logo")</f>
        <v>640x640 a 640x335 + text + logo</v>
      </c>
      <c r="R1003" s="3"/>
      <c r="S1003" s="3" t="str">
        <f ca="1">IFERROR(__xludf.DUMMYFUNCTION("""COMPUTED_VALUE"""),"45")</f>
        <v>45</v>
      </c>
      <c r="T1003" s="3"/>
      <c r="U1003" s="3" t="str">
        <f ca="1">IFERROR(__xludf.DUMMYFUNCTION("""COMPUTED_VALUE"""),"nativní reklama")</f>
        <v>nativní reklama</v>
      </c>
      <c r="V1003" s="3"/>
      <c r="W1003" s="4" t="str">
        <f ca="1">IFERROR(__xludf.DUMMYFUNCTION("""COMPUTED_VALUE"""),"https://reklama.cncenter.cz/Online/nativni-rectangle-cross-device")</f>
        <v>https://reklama.cncenter.cz/Online/nativni-rectangle-cross-device</v>
      </c>
      <c r="X1003" s="3"/>
      <c r="Y1003" s="3"/>
      <c r="Z1003" s="3" t="str">
        <f ca="1">IFERROR(__xludf.DUMMYFUNCTION("""COMPUTED_VALUE"""),"podklady@cncenter.cz")</f>
        <v>podklady@cncenter.cz</v>
      </c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 t="str">
        <f ca="1">IFERROR(__xludf.DUMMYFUNCTION("""COMPUTED_VALUE"""),"cross-device")</f>
        <v>cross-device</v>
      </c>
      <c r="AO1003" s="3"/>
      <c r="AP1003" s="3"/>
      <c r="AQ1003" s="3"/>
      <c r="AR1003" s="3"/>
      <c r="AS1003" s="3"/>
      <c r="AT1003" s="3"/>
      <c r="AU1003" s="3" t="str">
        <f ca="1">IFERROR(__xludf.DUMMYFUNCTION("""COMPUTED_VALUE"""),"cílený nativní rectangle cross-device")</f>
        <v>cílený nativní rectangle cross-device</v>
      </c>
    </row>
    <row r="1004" spans="1:47" x14ac:dyDescent="0.3">
      <c r="A1004" s="3">
        <f ca="1"/>
        <v>2346826</v>
      </c>
      <c r="B1004" s="3" t="str">
        <f ca="1"/>
        <v>CZECH NEWS CENTER a. s.</v>
      </c>
      <c r="C1004" s="3" t="str">
        <f ca="1">IFERROR(__xludf.DUMMYFUNCTION("""COMPUTED_VALUE"""),"VTM")</f>
        <v>VTM</v>
      </c>
      <c r="D1004" s="4" t="str">
        <f ca="1">IFERROR(__xludf.DUMMYFUNCTION("""COMPUTED_VALUE"""),"https://vtm.zive.cz")</f>
        <v>https://vtm.zive.cz</v>
      </c>
      <c r="E1004" s="3" t="str">
        <f ca="1">IFERROR(__xludf.DUMMYFUNCTION("""COMPUTED_VALUE"""),"celý web")</f>
        <v>celý web</v>
      </c>
      <c r="F1004" s="4" t="str">
        <f ca="1">IFERROR(__xludf.DUMMYFUNCTION("""COMPUTED_VALUE"""),"https://vtm.zive.cz")</f>
        <v>https://vtm.zive.cz</v>
      </c>
      <c r="G1004" s="3" t="str">
        <f ca="1">IFERROR(__xludf.DUMMYFUNCTION("""COMPUTED_VALUE"""),"cílený outstream low season")</f>
        <v>cílený outstream low season</v>
      </c>
      <c r="H1004" s="3">
        <f ca="1">IFERROR(__xludf.DUMMYFUNCTION("""COMPUTED_VALUE"""),7)</f>
        <v>7</v>
      </c>
      <c r="I1004" s="5">
        <f ca="1">IFERROR(__xludf.DUMMYFUNCTION("""COMPUTED_VALUE"""),1000)</f>
        <v>1000</v>
      </c>
      <c r="J1004" s="5">
        <f ca="1">IFERROR(__xludf.DUMMYFUNCTION("""COMPUTED_VALUE"""),300)</f>
        <v>300</v>
      </c>
      <c r="K1004" s="3"/>
      <c r="L1004" s="3" t="str">
        <f ca="1">IFERROR(__xludf.DUMMYFUNCTION("""COMPUTED_VALUE"""),"Cost per period")</f>
        <v>Cost per period</v>
      </c>
      <c r="M1004" s="3"/>
      <c r="N1004" s="3"/>
      <c r="O1004" s="3" t="str">
        <f ca="1">IFERROR(__xludf.DUMMYFUNCTION("""COMPUTED_VALUE"""),"1280")</f>
        <v>1280</v>
      </c>
      <c r="P1004" s="3" t="str">
        <f ca="1">IFERROR(__xludf.DUMMYFUNCTION("""COMPUTED_VALUE"""),"720")</f>
        <v>720</v>
      </c>
      <c r="Q1004" s="3" t="str">
        <f ca="1">IFERROR(__xludf.DUMMYFUNCTION("""COMPUTED_VALUE"""),"16:9")</f>
        <v>16:9</v>
      </c>
      <c r="R1004" s="3"/>
      <c r="S1004" s="3" t="str">
        <f ca="1">IFERROR(__xludf.DUMMYFUNCTION("""COMPUTED_VALUE"""),"100")</f>
        <v>100</v>
      </c>
      <c r="T1004" s="3"/>
      <c r="U1004" s="3" t="str">
        <f ca="1">IFERROR(__xludf.DUMMYFUNCTION("""COMPUTED_VALUE"""),"videospot")</f>
        <v>videospot</v>
      </c>
      <c r="V1004" s="3"/>
      <c r="W1004" s="4" t="str">
        <f ca="1">IFERROR(__xludf.DUMMYFUNCTION("""COMPUTED_VALUE"""),"https://reklama.cncenter.cz/Online/Outstream")</f>
        <v>https://reklama.cncenter.cz/Online/Outstream</v>
      </c>
      <c r="X1004" s="3"/>
      <c r="Y1004" s="3"/>
      <c r="Z1004" s="3" t="str">
        <f ca="1">IFERROR(__xludf.DUMMYFUNCTION("""COMPUTED_VALUE"""),"podklady@cncenter.cz")</f>
        <v>podklady@cncenter.cz</v>
      </c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 t="str">
        <f ca="1">IFERROR(__xludf.DUMMYFUNCTION("""COMPUTED_VALUE"""),"cross-device")</f>
        <v>cross-device</v>
      </c>
      <c r="AO1004" s="3"/>
      <c r="AP1004" s="3"/>
      <c r="AQ1004" s="3"/>
      <c r="AR1004" s="3"/>
      <c r="AS1004" s="3"/>
      <c r="AT1004" s="3"/>
      <c r="AU1004" s="3" t="str">
        <f ca="1">IFERROR(__xludf.DUMMYFUNCTION("""COMPUTED_VALUE"""),"cílený outstream")</f>
        <v>cílený outstream</v>
      </c>
    </row>
    <row r="1005" spans="1:47" x14ac:dyDescent="0.3">
      <c r="A1005" s="3">
        <f ca="1"/>
        <v>2346826</v>
      </c>
      <c r="B1005" s="3" t="str">
        <f ca="1"/>
        <v>CZECH NEWS CENTER a. s.</v>
      </c>
      <c r="C1005" s="3" t="str">
        <f ca="1">IFERROR(__xludf.DUMMYFUNCTION("""COMPUTED_VALUE"""),"VTM")</f>
        <v>VTM</v>
      </c>
      <c r="D1005" s="4" t="str">
        <f ca="1">IFERROR(__xludf.DUMMYFUNCTION("""COMPUTED_VALUE"""),"https://vtm.zive.cz")</f>
        <v>https://vtm.zive.cz</v>
      </c>
      <c r="E1005" s="3" t="str">
        <f ca="1">IFERROR(__xludf.DUMMYFUNCTION("""COMPUTED_VALUE"""),"celý web")</f>
        <v>celý web</v>
      </c>
      <c r="F1005" s="4" t="str">
        <f ca="1">IFERROR(__xludf.DUMMYFUNCTION("""COMPUTED_VALUE"""),"https://vtm.zive.cz")</f>
        <v>https://vtm.zive.cz</v>
      </c>
      <c r="G1005" s="3" t="str">
        <f ca="1">IFERROR(__xludf.DUMMYFUNCTION("""COMPUTED_VALUE"""),"double skyscraper low season")</f>
        <v>double skyscraper low season</v>
      </c>
      <c r="H1005" s="3">
        <f ca="1">IFERROR(__xludf.DUMMYFUNCTION("""COMPUTED_VALUE"""),7)</f>
        <v>7</v>
      </c>
      <c r="I1005" s="5">
        <f ca="1">IFERROR(__xludf.DUMMYFUNCTION("""COMPUTED_VALUE"""),1000)</f>
        <v>1000</v>
      </c>
      <c r="J1005" s="5">
        <f ca="1">IFERROR(__xludf.DUMMYFUNCTION("""COMPUTED_VALUE"""),190)</f>
        <v>190</v>
      </c>
      <c r="K1005" s="3"/>
      <c r="L1005" s="3" t="str">
        <f ca="1">IFERROR(__xludf.DUMMYFUNCTION("""COMPUTED_VALUE"""),"Cost per period")</f>
        <v>Cost per period</v>
      </c>
      <c r="M1005" s="3"/>
      <c r="N1005" s="3"/>
      <c r="O1005" s="3" t="str">
        <f ca="1">IFERROR(__xludf.DUMMYFUNCTION("""COMPUTED_VALUE"""),"300")</f>
        <v>300</v>
      </c>
      <c r="P1005" s="3" t="str">
        <f ca="1">IFERROR(__xludf.DUMMYFUNCTION("""COMPUTED_VALUE"""),"600")</f>
        <v>600</v>
      </c>
      <c r="Q1005" s="3" t="str">
        <f ca="1">IFERROR(__xludf.DUMMYFUNCTION("""COMPUTED_VALUE"""),"300x600")</f>
        <v>300x600</v>
      </c>
      <c r="R1005" s="3"/>
      <c r="S1005" s="3" t="str">
        <f ca="1">IFERROR(__xludf.DUMMYFUNCTION("""COMPUTED_VALUE"""),"100 (200 - HTML5)")</f>
        <v>100 (200 - HTML5)</v>
      </c>
      <c r="T1005" s="3"/>
      <c r="U1005" s="3" t="str">
        <f ca="1">IFERROR(__xludf.DUMMYFUNCTION("""COMPUTED_VALUE"""),"banner standard")</f>
        <v>banner standard</v>
      </c>
      <c r="V1005" s="3"/>
      <c r="W1005" s="4" t="str">
        <f ca="1">IFERROR(__xludf.DUMMYFUNCTION("""COMPUTED_VALUE"""),"https://reklama.cncenter.cz/Online/double-skyscraper")</f>
        <v>https://reklama.cncenter.cz/Online/double-skyscraper</v>
      </c>
      <c r="X1005" s="3"/>
      <c r="Y1005" s="3"/>
      <c r="Z1005" s="3" t="str">
        <f ca="1">IFERROR(__xludf.DUMMYFUNCTION("""COMPUTED_VALUE"""),"podklady@cncenter.cz")</f>
        <v>podklady@cncenter.cz</v>
      </c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 t="str">
        <f ca="1">IFERROR(__xludf.DUMMYFUNCTION("""COMPUTED_VALUE"""),"desktop")</f>
        <v>desktop</v>
      </c>
      <c r="AO1005" s="3"/>
      <c r="AP1005" s="3"/>
      <c r="AQ1005" s="3"/>
      <c r="AR1005" s="3"/>
      <c r="AS1005" s="3"/>
      <c r="AT1005" s="3"/>
      <c r="AU1005" s="3" t="str">
        <f ca="1">IFERROR(__xludf.DUMMYFUNCTION("""COMPUTED_VALUE"""),"double skyscraper")</f>
        <v>double skyscraper</v>
      </c>
    </row>
    <row r="1006" spans="1:47" x14ac:dyDescent="0.3">
      <c r="A1006" s="3">
        <f ca="1"/>
        <v>2346826</v>
      </c>
      <c r="B1006" s="3" t="str">
        <f ca="1"/>
        <v>CZECH NEWS CENTER a. s.</v>
      </c>
      <c r="C1006" s="3" t="str">
        <f ca="1">IFERROR(__xludf.DUMMYFUNCTION("""COMPUTED_VALUE"""),"VTM")</f>
        <v>VTM</v>
      </c>
      <c r="D1006" s="4" t="str">
        <f ca="1">IFERROR(__xludf.DUMMYFUNCTION("""COMPUTED_VALUE"""),"https://vtm.zive.cz")</f>
        <v>https://vtm.zive.cz</v>
      </c>
      <c r="E1006" s="3" t="str">
        <f ca="1">IFERROR(__xludf.DUMMYFUNCTION("""COMPUTED_VALUE"""),"celý web")</f>
        <v>celý web</v>
      </c>
      <c r="F1006" s="4" t="str">
        <f ca="1">IFERROR(__xludf.DUMMYFUNCTION("""COMPUTED_VALUE"""),"https://vtm.zive.cz")</f>
        <v>https://vtm.zive.cz</v>
      </c>
      <c r="G1006" s="3" t="str">
        <f ca="1">IFERROR(__xludf.DUMMYFUNCTION("""COMPUTED_VALUE"""),"mobilní interscroller low season")</f>
        <v>mobilní interscroller low season</v>
      </c>
      <c r="H1006" s="3">
        <f ca="1">IFERROR(__xludf.DUMMYFUNCTION("""COMPUTED_VALUE"""),7)</f>
        <v>7</v>
      </c>
      <c r="I1006" s="5">
        <f ca="1">IFERROR(__xludf.DUMMYFUNCTION("""COMPUTED_VALUE"""),1000)</f>
        <v>1000</v>
      </c>
      <c r="J1006" s="5">
        <f ca="1">IFERROR(__xludf.DUMMYFUNCTION("""COMPUTED_VALUE"""),250)</f>
        <v>250</v>
      </c>
      <c r="K1006" s="3"/>
      <c r="L1006" s="3" t="str">
        <f ca="1">IFERROR(__xludf.DUMMYFUNCTION("""COMPUTED_VALUE"""),"Cost per period")</f>
        <v>Cost per period</v>
      </c>
      <c r="M1006" s="3"/>
      <c r="N1006" s="3"/>
      <c r="O1006" s="3" t="str">
        <f ca="1">IFERROR(__xludf.DUMMYFUNCTION("""COMPUTED_VALUE"""),"600")</f>
        <v>600</v>
      </c>
      <c r="P1006" s="3" t="str">
        <f ca="1">IFERROR(__xludf.DUMMYFUNCTION("""COMPUTED_VALUE"""),"1080")</f>
        <v>1080</v>
      </c>
      <c r="Q1006" s="3" t="str">
        <f ca="1">IFERROR(__xludf.DUMMYFUNCTION("""COMPUTED_VALUE"""),"600x1080")</f>
        <v>600x1080</v>
      </c>
      <c r="R1006" s="3"/>
      <c r="S1006" s="3" t="str">
        <f ca="1">IFERROR(__xludf.DUMMYFUNCTION("""COMPUTED_VALUE"""),"200")</f>
        <v>200</v>
      </c>
      <c r="T1006" s="3"/>
      <c r="U1006" s="3" t="str">
        <f ca="1">IFERROR(__xludf.DUMMYFUNCTION("""COMPUTED_VALUE"""),"banner standard")</f>
        <v>banner standard</v>
      </c>
      <c r="V1006" s="3"/>
      <c r="W1006" s="4" t="str">
        <f ca="1">IFERROR(__xludf.DUMMYFUNCTION("""COMPUTED_VALUE"""),"https://reklama.cncenter.cz/Online/mobilni-interscroller")</f>
        <v>https://reklama.cncenter.cz/Online/mobilni-interscroller</v>
      </c>
      <c r="X1006" s="3"/>
      <c r="Y1006" s="3"/>
      <c r="Z1006" s="3" t="str">
        <f ca="1">IFERROR(__xludf.DUMMYFUNCTION("""COMPUTED_VALUE"""),"podklady@cncenter.cz")</f>
        <v>podklady@cncenter.cz</v>
      </c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 t="str">
        <f ca="1">IFERROR(__xludf.DUMMYFUNCTION("""COMPUTED_VALUE"""),"mobile")</f>
        <v>mobile</v>
      </c>
      <c r="AO1006" s="3"/>
      <c r="AP1006" s="3"/>
      <c r="AQ1006" s="3"/>
      <c r="AR1006" s="3"/>
      <c r="AS1006" s="3"/>
      <c r="AT1006" s="3"/>
      <c r="AU1006" s="3" t="str">
        <f ca="1">IFERROR(__xludf.DUMMYFUNCTION("""COMPUTED_VALUE"""),"mobilní interscroller")</f>
        <v>mobilní interscroller</v>
      </c>
    </row>
    <row r="1007" spans="1:47" x14ac:dyDescent="0.3">
      <c r="A1007" s="3">
        <f ca="1"/>
        <v>2346826</v>
      </c>
      <c r="B1007" s="3" t="str">
        <f ca="1"/>
        <v>CZECH NEWS CENTER a. s.</v>
      </c>
      <c r="C1007" s="3" t="str">
        <f ca="1">IFERROR(__xludf.DUMMYFUNCTION("""COMPUTED_VALUE"""),"VTM")</f>
        <v>VTM</v>
      </c>
      <c r="D1007" s="4" t="str">
        <f ca="1">IFERROR(__xludf.DUMMYFUNCTION("""COMPUTED_VALUE"""),"https://vtm.zive.cz")</f>
        <v>https://vtm.zive.cz</v>
      </c>
      <c r="E1007" s="3" t="str">
        <f ca="1">IFERROR(__xludf.DUMMYFUNCTION("""COMPUTED_VALUE"""),"celý web")</f>
        <v>celý web</v>
      </c>
      <c r="F1007" s="4" t="str">
        <f ca="1">IFERROR(__xludf.DUMMYFUNCTION("""COMPUTED_VALUE"""),"https://vtm.zive.cz")</f>
        <v>https://vtm.zive.cz</v>
      </c>
      <c r="G1007" s="3" t="str">
        <f ca="1">IFERROR(__xludf.DUMMYFUNCTION("""COMPUTED_VALUE"""),"mobilní slide-up low season")</f>
        <v>mobilní slide-up low season</v>
      </c>
      <c r="H1007" s="3">
        <f ca="1">IFERROR(__xludf.DUMMYFUNCTION("""COMPUTED_VALUE"""),7)</f>
        <v>7</v>
      </c>
      <c r="I1007" s="5">
        <f ca="1">IFERROR(__xludf.DUMMYFUNCTION("""COMPUTED_VALUE"""),1000)</f>
        <v>1000</v>
      </c>
      <c r="J1007" s="5">
        <f ca="1">IFERROR(__xludf.DUMMYFUNCTION("""COMPUTED_VALUE"""),510)</f>
        <v>510</v>
      </c>
      <c r="K1007" s="3"/>
      <c r="L1007" s="3" t="str">
        <f ca="1">IFERROR(__xludf.DUMMYFUNCTION("""COMPUTED_VALUE"""),"Cost per period")</f>
        <v>Cost per period</v>
      </c>
      <c r="M1007" s="3"/>
      <c r="N1007" s="3"/>
      <c r="O1007" s="3" t="str">
        <f ca="1">IFERROR(__xludf.DUMMYFUNCTION("""COMPUTED_VALUE"""),"300")</f>
        <v>300</v>
      </c>
      <c r="P1007" s="3" t="str">
        <f ca="1">IFERROR(__xludf.DUMMYFUNCTION("""COMPUTED_VALUE"""),"120")</f>
        <v>120</v>
      </c>
      <c r="Q1007" s="3" t="str">
        <f ca="1">IFERROR(__xludf.DUMMYFUNCTION("""COMPUTED_VALUE"""),"300x120")</f>
        <v>300x120</v>
      </c>
      <c r="R1007" s="3"/>
      <c r="S1007" s="3" t="str">
        <f ca="1">IFERROR(__xludf.DUMMYFUNCTION("""COMPUTED_VALUE"""),"100")</f>
        <v>100</v>
      </c>
      <c r="T1007" s="3"/>
      <c r="U1007" s="3" t="str">
        <f ca="1">IFERROR(__xludf.DUMMYFUNCTION("""COMPUTED_VALUE"""),"banner standard")</f>
        <v>banner standard</v>
      </c>
      <c r="V1007" s="3"/>
      <c r="W1007" s="4" t="str">
        <f ca="1">IFERROR(__xludf.DUMMYFUNCTION("""COMPUTED_VALUE"""),"https://reklama.cncenter.cz/Online/mobilni-slide-up")</f>
        <v>https://reklama.cncenter.cz/Online/mobilni-slide-up</v>
      </c>
      <c r="X1007" s="3"/>
      <c r="Y1007" s="3"/>
      <c r="Z1007" s="3" t="str">
        <f ca="1">IFERROR(__xludf.DUMMYFUNCTION("""COMPUTED_VALUE"""),"podklady@cncenter.cz")</f>
        <v>podklady@cncenter.cz</v>
      </c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 t="str">
        <f ca="1">IFERROR(__xludf.DUMMYFUNCTION("""COMPUTED_VALUE"""),"mobile")</f>
        <v>mobile</v>
      </c>
      <c r="AO1007" s="3"/>
      <c r="AP1007" s="3"/>
      <c r="AQ1007" s="3"/>
      <c r="AR1007" s="3"/>
      <c r="AS1007" s="3"/>
      <c r="AT1007" s="3"/>
      <c r="AU1007" s="3" t="str">
        <f ca="1">IFERROR(__xludf.DUMMYFUNCTION("""COMPUTED_VALUE"""),"mobilní slide-up")</f>
        <v>mobilní slide-up</v>
      </c>
    </row>
    <row r="1008" spans="1:47" x14ac:dyDescent="0.3">
      <c r="A1008" s="3">
        <f ca="1"/>
        <v>2346826</v>
      </c>
      <c r="B1008" s="3" t="str">
        <f ca="1"/>
        <v>CZECH NEWS CENTER a. s.</v>
      </c>
      <c r="C1008" s="3" t="str">
        <f ca="1">IFERROR(__xludf.DUMMYFUNCTION("""COMPUTED_VALUE"""),"VTM")</f>
        <v>VTM</v>
      </c>
      <c r="D1008" s="4" t="str">
        <f ca="1">IFERROR(__xludf.DUMMYFUNCTION("""COMPUTED_VALUE"""),"https://vtm.zive.cz")</f>
        <v>https://vtm.zive.cz</v>
      </c>
      <c r="E1008" s="3" t="str">
        <f ca="1">IFERROR(__xludf.DUMMYFUNCTION("""COMPUTED_VALUE"""),"celý web")</f>
        <v>celý web</v>
      </c>
      <c r="F1008" s="4" t="str">
        <f ca="1">IFERROR(__xludf.DUMMYFUNCTION("""COMPUTED_VALUE"""),"https://vtm.zive.cz")</f>
        <v>https://vtm.zive.cz</v>
      </c>
      <c r="G1008" s="3" t="str">
        <f ca="1">IFERROR(__xludf.DUMMYFUNCTION("""COMPUTED_VALUE"""),"mobilní viněta low season")</f>
        <v>mobilní viněta low season</v>
      </c>
      <c r="H1008" s="3">
        <f ca="1">IFERROR(__xludf.DUMMYFUNCTION("""COMPUTED_VALUE"""),7)</f>
        <v>7</v>
      </c>
      <c r="I1008" s="5">
        <f ca="1">IFERROR(__xludf.DUMMYFUNCTION("""COMPUTED_VALUE"""),1000)</f>
        <v>1000</v>
      </c>
      <c r="J1008" s="5">
        <f ca="1">IFERROR(__xludf.DUMMYFUNCTION("""COMPUTED_VALUE"""),880)</f>
        <v>880</v>
      </c>
      <c r="K1008" s="3"/>
      <c r="L1008" s="3" t="str">
        <f ca="1">IFERROR(__xludf.DUMMYFUNCTION("""COMPUTED_VALUE"""),"Cost per period")</f>
        <v>Cost per period</v>
      </c>
      <c r="M1008" s="3"/>
      <c r="N1008" s="3"/>
      <c r="O1008" s="3" t="str">
        <f ca="1">IFERROR(__xludf.DUMMYFUNCTION("""COMPUTED_VALUE"""),"600")</f>
        <v>600</v>
      </c>
      <c r="P1008" s="3" t="str">
        <f ca="1">IFERROR(__xludf.DUMMYFUNCTION("""COMPUTED_VALUE"""),"800")</f>
        <v>800</v>
      </c>
      <c r="Q1008" s="3" t="str">
        <f ca="1">IFERROR(__xludf.DUMMYFUNCTION("""COMPUTED_VALUE"""),"300x250 nebo 600x800")</f>
        <v>300x250 nebo 600x800</v>
      </c>
      <c r="R1008" s="3"/>
      <c r="S1008" s="3" t="str">
        <f ca="1">IFERROR(__xludf.DUMMYFUNCTION("""COMPUTED_VALUE"""),"100")</f>
        <v>100</v>
      </c>
      <c r="T1008" s="3"/>
      <c r="U1008" s="3" t="str">
        <f ca="1">IFERROR(__xludf.DUMMYFUNCTION("""COMPUTED_VALUE"""),"banner standard")</f>
        <v>banner standard</v>
      </c>
      <c r="V1008" s="3"/>
      <c r="W1008" s="4" t="str">
        <f ca="1">IFERROR(__xludf.DUMMYFUNCTION("""COMPUTED_VALUE"""),"https://reklama.cncenter.cz/Online/mobilni-vineta")</f>
        <v>https://reklama.cncenter.cz/Online/mobilni-vineta</v>
      </c>
      <c r="X1008" s="3"/>
      <c r="Y1008" s="3"/>
      <c r="Z1008" s="3" t="str">
        <f ca="1">IFERROR(__xludf.DUMMYFUNCTION("""COMPUTED_VALUE"""),"podklady@cncenter.cz")</f>
        <v>podklady@cncenter.cz</v>
      </c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 t="str">
        <f ca="1">IFERROR(__xludf.DUMMYFUNCTION("""COMPUTED_VALUE"""),"mobile")</f>
        <v>mobile</v>
      </c>
      <c r="AO1008" s="3"/>
      <c r="AP1008" s="3"/>
      <c r="AQ1008" s="3"/>
      <c r="AR1008" s="3"/>
      <c r="AS1008" s="3"/>
      <c r="AT1008" s="3"/>
      <c r="AU1008" s="3" t="str">
        <f ca="1">IFERROR(__xludf.DUMMYFUNCTION("""COMPUTED_VALUE"""),"mobilní viněta")</f>
        <v>mobilní viněta</v>
      </c>
    </row>
    <row r="1009" spans="1:47" x14ac:dyDescent="0.3">
      <c r="A1009" s="3">
        <f ca="1"/>
        <v>2346826</v>
      </c>
      <c r="B1009" s="3" t="str">
        <f ca="1"/>
        <v>CZECH NEWS CENTER a. s.</v>
      </c>
      <c r="C1009" s="3" t="str">
        <f ca="1">IFERROR(__xludf.DUMMYFUNCTION("""COMPUTED_VALUE"""),"VTM")</f>
        <v>VTM</v>
      </c>
      <c r="D1009" s="4" t="str">
        <f ca="1">IFERROR(__xludf.DUMMYFUNCTION("""COMPUTED_VALUE"""),"https://vtm.zive.cz")</f>
        <v>https://vtm.zive.cz</v>
      </c>
      <c r="E1009" s="3" t="str">
        <f ca="1">IFERROR(__xludf.DUMMYFUNCTION("""COMPUTED_VALUE"""),"celý web")</f>
        <v>celý web</v>
      </c>
      <c r="F1009" s="4" t="str">
        <f ca="1">IFERROR(__xludf.DUMMYFUNCTION("""COMPUTED_VALUE"""),"https://vtm.zive.cz")</f>
        <v>https://vtm.zive.cz</v>
      </c>
      <c r="G1009" s="3" t="str">
        <f ca="1">IFERROR(__xludf.DUMMYFUNCTION("""COMPUTED_VALUE"""),"nativní rectangle cross-device low season")</f>
        <v>nativní rectangle cross-device low season</v>
      </c>
      <c r="H1009" s="3">
        <f ca="1">IFERROR(__xludf.DUMMYFUNCTION("""COMPUTED_VALUE"""),7)</f>
        <v>7</v>
      </c>
      <c r="I1009" s="5">
        <f ca="1">IFERROR(__xludf.DUMMYFUNCTION("""COMPUTED_VALUE"""),1000)</f>
        <v>1000</v>
      </c>
      <c r="J1009" s="5">
        <f ca="1">IFERROR(__xludf.DUMMYFUNCTION("""COMPUTED_VALUE"""),200)</f>
        <v>200</v>
      </c>
      <c r="K1009" s="3"/>
      <c r="L1009" s="3" t="str">
        <f ca="1">IFERROR(__xludf.DUMMYFUNCTION("""COMPUTED_VALUE"""),"Cost per period")</f>
        <v>Cost per period</v>
      </c>
      <c r="M1009" s="3"/>
      <c r="N1009" s="3"/>
      <c r="O1009" s="3" t="str">
        <f ca="1">IFERROR(__xludf.DUMMYFUNCTION("""COMPUTED_VALUE"""),"640")</f>
        <v>640</v>
      </c>
      <c r="P1009" s="3" t="str">
        <f ca="1">IFERROR(__xludf.DUMMYFUNCTION("""COMPUTED_VALUE"""),"335, 640")</f>
        <v>335, 640</v>
      </c>
      <c r="Q1009" s="3" t="str">
        <f ca="1">IFERROR(__xludf.DUMMYFUNCTION("""COMPUTED_VALUE"""),"640x640 a 640x335 + text + logo")</f>
        <v>640x640 a 640x335 + text + logo</v>
      </c>
      <c r="R1009" s="3"/>
      <c r="S1009" s="3" t="str">
        <f ca="1">IFERROR(__xludf.DUMMYFUNCTION("""COMPUTED_VALUE"""),"45")</f>
        <v>45</v>
      </c>
      <c r="T1009" s="3"/>
      <c r="U1009" s="3" t="str">
        <f ca="1">IFERROR(__xludf.DUMMYFUNCTION("""COMPUTED_VALUE"""),"nativní reklama")</f>
        <v>nativní reklama</v>
      </c>
      <c r="V1009" s="3"/>
      <c r="W1009" s="4" t="str">
        <f ca="1">IFERROR(__xludf.DUMMYFUNCTION("""COMPUTED_VALUE"""),"https://reklama.cncenter.cz/Online/nativni-rectangle-cross-device")</f>
        <v>https://reklama.cncenter.cz/Online/nativni-rectangle-cross-device</v>
      </c>
      <c r="X1009" s="3"/>
      <c r="Y1009" s="3"/>
      <c r="Z1009" s="3" t="str">
        <f ca="1">IFERROR(__xludf.DUMMYFUNCTION("""COMPUTED_VALUE"""),"podklady@cncenter.cz")</f>
        <v>podklady@cncenter.cz</v>
      </c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 t="str">
        <f ca="1">IFERROR(__xludf.DUMMYFUNCTION("""COMPUTED_VALUE"""),"cross-device")</f>
        <v>cross-device</v>
      </c>
      <c r="AO1009" s="3"/>
      <c r="AP1009" s="3"/>
      <c r="AQ1009" s="3"/>
      <c r="AR1009" s="3"/>
      <c r="AS1009" s="3"/>
      <c r="AT1009" s="3"/>
      <c r="AU1009" s="3" t="str">
        <f ca="1">IFERROR(__xludf.DUMMYFUNCTION("""COMPUTED_VALUE"""),"nativní rectangle cross-device")</f>
        <v>nativní rectangle cross-device</v>
      </c>
    </row>
    <row r="1010" spans="1:47" x14ac:dyDescent="0.3">
      <c r="A1010" s="3">
        <f ca="1"/>
        <v>2346826</v>
      </c>
      <c r="B1010" s="3" t="str">
        <f ca="1"/>
        <v>CZECH NEWS CENTER a. s.</v>
      </c>
      <c r="C1010" s="3" t="str">
        <f ca="1">IFERROR(__xludf.DUMMYFUNCTION("""COMPUTED_VALUE"""),"VTM")</f>
        <v>VTM</v>
      </c>
      <c r="D1010" s="4" t="str">
        <f ca="1">IFERROR(__xludf.DUMMYFUNCTION("""COMPUTED_VALUE"""),"https://vtm.zive.cz")</f>
        <v>https://vtm.zive.cz</v>
      </c>
      <c r="E1010" s="3" t="str">
        <f ca="1">IFERROR(__xludf.DUMMYFUNCTION("""COMPUTED_VALUE"""),"celý web")</f>
        <v>celý web</v>
      </c>
      <c r="F1010" s="4" t="str">
        <f ca="1">IFERROR(__xludf.DUMMYFUNCTION("""COMPUTED_VALUE"""),"https://vtm.zive.cz")</f>
        <v>https://vtm.zive.cz</v>
      </c>
      <c r="G1010" s="3" t="str">
        <f ca="1">IFERROR(__xludf.DUMMYFUNCTION("""COMPUTED_VALUE"""),"outstream low season")</f>
        <v>outstream low season</v>
      </c>
      <c r="H1010" s="3">
        <f ca="1">IFERROR(__xludf.DUMMYFUNCTION("""COMPUTED_VALUE"""),7)</f>
        <v>7</v>
      </c>
      <c r="I1010" s="5">
        <f ca="1">IFERROR(__xludf.DUMMYFUNCTION("""COMPUTED_VALUE"""),1000)</f>
        <v>1000</v>
      </c>
      <c r="J1010" s="5">
        <f ca="1">IFERROR(__xludf.DUMMYFUNCTION("""COMPUTED_VALUE"""),250)</f>
        <v>250</v>
      </c>
      <c r="K1010" s="3"/>
      <c r="L1010" s="3" t="str">
        <f ca="1">IFERROR(__xludf.DUMMYFUNCTION("""COMPUTED_VALUE"""),"Cost per period")</f>
        <v>Cost per period</v>
      </c>
      <c r="M1010" s="3"/>
      <c r="N1010" s="3"/>
      <c r="O1010" s="3" t="str">
        <f ca="1">IFERROR(__xludf.DUMMYFUNCTION("""COMPUTED_VALUE"""),"1280")</f>
        <v>1280</v>
      </c>
      <c r="P1010" s="3" t="str">
        <f ca="1">IFERROR(__xludf.DUMMYFUNCTION("""COMPUTED_VALUE"""),"720")</f>
        <v>720</v>
      </c>
      <c r="Q1010" s="3" t="str">
        <f ca="1">IFERROR(__xludf.DUMMYFUNCTION("""COMPUTED_VALUE"""),"16:9")</f>
        <v>16:9</v>
      </c>
      <c r="R1010" s="3"/>
      <c r="S1010" s="3" t="str">
        <f ca="1">IFERROR(__xludf.DUMMYFUNCTION("""COMPUTED_VALUE"""),"100")</f>
        <v>100</v>
      </c>
      <c r="T1010" s="3"/>
      <c r="U1010" s="3" t="str">
        <f ca="1">IFERROR(__xludf.DUMMYFUNCTION("""COMPUTED_VALUE"""),"videospot")</f>
        <v>videospot</v>
      </c>
      <c r="V1010" s="3"/>
      <c r="W1010" s="4" t="str">
        <f ca="1">IFERROR(__xludf.DUMMYFUNCTION("""COMPUTED_VALUE"""),"https://reklama.cncenter.cz/Online/Outstream")</f>
        <v>https://reklama.cncenter.cz/Online/Outstream</v>
      </c>
      <c r="X1010" s="3"/>
      <c r="Y1010" s="3"/>
      <c r="Z1010" s="3" t="str">
        <f ca="1">IFERROR(__xludf.DUMMYFUNCTION("""COMPUTED_VALUE"""),"podklady@cncenter.cz")</f>
        <v>podklady@cncenter.cz</v>
      </c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 t="str">
        <f ca="1">IFERROR(__xludf.DUMMYFUNCTION("""COMPUTED_VALUE"""),"cross-device")</f>
        <v>cross-device</v>
      </c>
      <c r="AO1010" s="3"/>
      <c r="AP1010" s="3"/>
      <c r="AQ1010" s="3"/>
      <c r="AR1010" s="3"/>
      <c r="AS1010" s="3"/>
      <c r="AT1010" s="3"/>
      <c r="AU1010" s="3" t="str">
        <f ca="1">IFERROR(__xludf.DUMMYFUNCTION("""COMPUTED_VALUE"""),"outstream")</f>
        <v>outstream</v>
      </c>
    </row>
    <row r="1011" spans="1:47" x14ac:dyDescent="0.3">
      <c r="A1011" s="3">
        <f ca="1"/>
        <v>2346826</v>
      </c>
      <c r="B1011" s="3" t="str">
        <f ca="1"/>
        <v>CZECH NEWS CENTER a. s.</v>
      </c>
      <c r="C1011" s="3" t="str">
        <f ca="1">IFERROR(__xludf.DUMMYFUNCTION("""COMPUTED_VALUE"""),"X profil E15")</f>
        <v>X profil E15</v>
      </c>
      <c r="D1011" s="4" t="str">
        <f ca="1">IFERROR(__xludf.DUMMYFUNCTION("""COMPUTED_VALUE"""),"https://x.com")</f>
        <v>https://x.com</v>
      </c>
      <c r="E1011" s="3" t="str">
        <f ca="1">IFERROR(__xludf.DUMMYFUNCTION("""COMPUTED_VALUE"""),"X")</f>
        <v>X</v>
      </c>
      <c r="F1011" s="4" t="str">
        <f ca="1">IFERROR(__xludf.DUMMYFUNCTION("""COMPUTED_VALUE"""),"https://x.com")</f>
        <v>https://x.com</v>
      </c>
      <c r="G1011" s="3" t="str">
        <f ca="1">IFERROR(__xludf.DUMMYFUNCTION("""COMPUTED_VALUE"""),"X post low season")</f>
        <v>X post low season</v>
      </c>
      <c r="H1011" s="3">
        <f ca="1">IFERROR(__xludf.DUMMYFUNCTION("""COMPUTED_VALUE"""),1)</f>
        <v>1</v>
      </c>
      <c r="I1011" s="5">
        <f ca="1">IFERROR(__xludf.DUMMYFUNCTION("""COMPUTED_VALUE"""),1)</f>
        <v>1</v>
      </c>
      <c r="J1011" s="5">
        <f ca="1">IFERROR(__xludf.DUMMYFUNCTION("""COMPUTED_VALUE"""),18000)</f>
        <v>18000</v>
      </c>
      <c r="K1011" s="3"/>
      <c r="L1011" s="3" t="str">
        <f ca="1">IFERROR(__xludf.DUMMYFUNCTION("""COMPUTED_VALUE"""),"Cost per instance")</f>
        <v>Cost per instance</v>
      </c>
      <c r="M1011" s="3"/>
      <c r="N1011" s="3"/>
      <c r="O1011" s="3"/>
      <c r="P1011" s="3"/>
      <c r="Q1011" s="3"/>
      <c r="R1011" s="3"/>
      <c r="S1011" s="3" t="str">
        <f ca="1">IFERROR(__xludf.DUMMYFUNCTION("""COMPUTED_VALUE"""),"100")</f>
        <v>100</v>
      </c>
      <c r="T1011" s="3"/>
      <c r="U1011" s="3" t="str">
        <f ca="1">IFERROR(__xludf.DUMMYFUNCTION("""COMPUTED_VALUE"""),"SoMe X")</f>
        <v>SoMe X</v>
      </c>
      <c r="V1011" s="3"/>
      <c r="W1011" s="3"/>
      <c r="X1011" s="3"/>
      <c r="Y1011" s="3"/>
      <c r="Z1011" s="3" t="str">
        <f ca="1">IFERROR(__xludf.DUMMYFUNCTION("""COMPUTED_VALUE"""),"podklady@cncenter.cz")</f>
        <v>podklady@cncenter.cz</v>
      </c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 t="str">
        <f ca="1">IFERROR(__xludf.DUMMYFUNCTION("""COMPUTED_VALUE"""),"cross-device")</f>
        <v>cross-device</v>
      </c>
      <c r="AO1011" s="3"/>
      <c r="AP1011" s="3"/>
      <c r="AQ1011" s="3"/>
      <c r="AR1011" s="3"/>
      <c r="AS1011" s="3"/>
      <c r="AT1011" s="3"/>
      <c r="AU1011" s="3" t="str">
        <f ca="1">IFERROR(__xludf.DUMMYFUNCTION("""COMPUTED_VALUE"""),"X post")</f>
        <v>X post</v>
      </c>
    </row>
    <row r="1012" spans="1:47" x14ac:dyDescent="0.3">
      <c r="A1012" s="3">
        <f ca="1"/>
        <v>2346826</v>
      </c>
      <c r="B1012" s="3" t="str">
        <f ca="1"/>
        <v>CZECH NEWS CENTER a. s.</v>
      </c>
      <c r="C1012" s="3" t="str">
        <f ca="1">IFERROR(__xludf.DUMMYFUNCTION("""COMPUTED_VALUE"""),"X profil FOMO")</f>
        <v>X profil FOMO</v>
      </c>
      <c r="D1012" s="4" t="str">
        <f ca="1">IFERROR(__xludf.DUMMYFUNCTION("""COMPUTED_VALUE"""),"https://x.com")</f>
        <v>https://x.com</v>
      </c>
      <c r="E1012" s="3" t="str">
        <f ca="1">IFERROR(__xludf.DUMMYFUNCTION("""COMPUTED_VALUE"""),"X")</f>
        <v>X</v>
      </c>
      <c r="F1012" s="4" t="str">
        <f ca="1">IFERROR(__xludf.DUMMYFUNCTION("""COMPUTED_VALUE"""),"https://x.com")</f>
        <v>https://x.com</v>
      </c>
      <c r="G1012" s="3" t="str">
        <f ca="1">IFERROR(__xludf.DUMMYFUNCTION("""COMPUTED_VALUE"""),"X post low season")</f>
        <v>X post low season</v>
      </c>
      <c r="H1012" s="3">
        <f ca="1">IFERROR(__xludf.DUMMYFUNCTION("""COMPUTED_VALUE"""),1)</f>
        <v>1</v>
      </c>
      <c r="I1012" s="5">
        <f ca="1">IFERROR(__xludf.DUMMYFUNCTION("""COMPUTED_VALUE"""),1)</f>
        <v>1</v>
      </c>
      <c r="J1012" s="5">
        <f ca="1">IFERROR(__xludf.DUMMYFUNCTION("""COMPUTED_VALUE"""),15000)</f>
        <v>15000</v>
      </c>
      <c r="K1012" s="3"/>
      <c r="L1012" s="3" t="str">
        <f ca="1">IFERROR(__xludf.DUMMYFUNCTION("""COMPUTED_VALUE"""),"Cost per instance")</f>
        <v>Cost per instance</v>
      </c>
      <c r="M1012" s="3"/>
      <c r="N1012" s="3"/>
      <c r="O1012" s="3"/>
      <c r="P1012" s="3"/>
      <c r="Q1012" s="3"/>
      <c r="R1012" s="3"/>
      <c r="S1012" s="3" t="str">
        <f ca="1">IFERROR(__xludf.DUMMYFUNCTION("""COMPUTED_VALUE"""),"100")</f>
        <v>100</v>
      </c>
      <c r="T1012" s="3"/>
      <c r="U1012" s="3" t="str">
        <f ca="1">IFERROR(__xludf.DUMMYFUNCTION("""COMPUTED_VALUE"""),"SoMe X")</f>
        <v>SoMe X</v>
      </c>
      <c r="V1012" s="3"/>
      <c r="W1012" s="3"/>
      <c r="X1012" s="3"/>
      <c r="Y1012" s="3"/>
      <c r="Z1012" s="3" t="str">
        <f ca="1">IFERROR(__xludf.DUMMYFUNCTION("""COMPUTED_VALUE"""),"podklady@cncenter.cz")</f>
        <v>podklady@cncenter.cz</v>
      </c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 t="str">
        <f ca="1">IFERROR(__xludf.DUMMYFUNCTION("""COMPUTED_VALUE"""),"cross-device")</f>
        <v>cross-device</v>
      </c>
      <c r="AO1012" s="3"/>
      <c r="AP1012" s="3"/>
      <c r="AQ1012" s="3"/>
      <c r="AR1012" s="3"/>
      <c r="AS1012" s="3"/>
      <c r="AT1012" s="3"/>
      <c r="AU1012" s="3" t="str">
        <f ca="1">IFERROR(__xludf.DUMMYFUNCTION("""COMPUTED_VALUE"""),"X post")</f>
        <v>X post</v>
      </c>
    </row>
    <row r="1013" spans="1:47" x14ac:dyDescent="0.3">
      <c r="A1013" s="3">
        <f ca="1"/>
        <v>2346826</v>
      </c>
      <c r="B1013" s="3" t="str">
        <f ca="1"/>
        <v>CZECH NEWS CENTER a. s.</v>
      </c>
      <c r="C1013" s="3" t="str">
        <f ca="1">IFERROR(__xludf.DUMMYFUNCTION("""COMPUTED_VALUE"""),"Youradio")</f>
        <v>Youradio</v>
      </c>
      <c r="D1013" s="4" t="str">
        <f ca="1">IFERROR(__xludf.DUMMYFUNCTION("""COMPUTED_VALUE"""),"https://youradio.cz")</f>
        <v>https://youradio.cz</v>
      </c>
      <c r="E1013" s="3" t="str">
        <f ca="1">IFERROR(__xludf.DUMMYFUNCTION("""COMPUTED_VALUE"""),"celý web")</f>
        <v>celý web</v>
      </c>
      <c r="F1013" s="4" t="str">
        <f ca="1">IFERROR(__xludf.DUMMYFUNCTION("""COMPUTED_VALUE"""),"https://youradio.cz")</f>
        <v>https://youradio.cz</v>
      </c>
      <c r="G1013" s="3" t="str">
        <f ca="1">IFERROR(__xludf.DUMMYFUNCTION("""COMPUTED_VALUE"""),"cílený double skyscraper low season")</f>
        <v>cílený double skyscraper low season</v>
      </c>
      <c r="H1013" s="3">
        <f ca="1">IFERROR(__xludf.DUMMYFUNCTION("""COMPUTED_VALUE"""),7)</f>
        <v>7</v>
      </c>
      <c r="I1013" s="5">
        <f ca="1">IFERROR(__xludf.DUMMYFUNCTION("""COMPUTED_VALUE"""),1000)</f>
        <v>1000</v>
      </c>
      <c r="J1013" s="5">
        <f ca="1">IFERROR(__xludf.DUMMYFUNCTION("""COMPUTED_VALUE"""),228)</f>
        <v>228</v>
      </c>
      <c r="K1013" s="3"/>
      <c r="L1013" s="3" t="str">
        <f ca="1">IFERROR(__xludf.DUMMYFUNCTION("""COMPUTED_VALUE"""),"Cost per period")</f>
        <v>Cost per period</v>
      </c>
      <c r="M1013" s="3"/>
      <c r="N1013" s="3"/>
      <c r="O1013" s="3" t="str">
        <f ca="1">IFERROR(__xludf.DUMMYFUNCTION("""COMPUTED_VALUE"""),"300")</f>
        <v>300</v>
      </c>
      <c r="P1013" s="3" t="str">
        <f ca="1">IFERROR(__xludf.DUMMYFUNCTION("""COMPUTED_VALUE"""),"600")</f>
        <v>600</v>
      </c>
      <c r="Q1013" s="3" t="str">
        <f ca="1">IFERROR(__xludf.DUMMYFUNCTION("""COMPUTED_VALUE"""),"300x600")</f>
        <v>300x600</v>
      </c>
      <c r="R1013" s="3"/>
      <c r="S1013" s="3" t="str">
        <f ca="1">IFERROR(__xludf.DUMMYFUNCTION("""COMPUTED_VALUE"""),"100 (200 - HTML5)")</f>
        <v>100 (200 - HTML5)</v>
      </c>
      <c r="T1013" s="3"/>
      <c r="U1013" s="3" t="str">
        <f ca="1">IFERROR(__xludf.DUMMYFUNCTION("""COMPUTED_VALUE"""),"banner standard")</f>
        <v>banner standard</v>
      </c>
      <c r="V1013" s="3"/>
      <c r="W1013" s="4" t="str">
        <f ca="1">IFERROR(__xludf.DUMMYFUNCTION("""COMPUTED_VALUE"""),"https://reklama.cncenter.cz/Online/double-skyscraper")</f>
        <v>https://reklama.cncenter.cz/Online/double-skyscraper</v>
      </c>
      <c r="X1013" s="3"/>
      <c r="Y1013" s="3"/>
      <c r="Z1013" s="3" t="str">
        <f ca="1">IFERROR(__xludf.DUMMYFUNCTION("""COMPUTED_VALUE"""),"podklady@cncenter.cz")</f>
        <v>podklady@cncenter.cz</v>
      </c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 t="str">
        <f ca="1">IFERROR(__xludf.DUMMYFUNCTION("""COMPUTED_VALUE"""),"desktop")</f>
        <v>desktop</v>
      </c>
      <c r="AO1013" s="3"/>
      <c r="AP1013" s="3"/>
      <c r="AQ1013" s="3"/>
      <c r="AR1013" s="3"/>
      <c r="AS1013" s="3"/>
      <c r="AT1013" s="3"/>
      <c r="AU1013" s="3" t="str">
        <f ca="1">IFERROR(__xludf.DUMMYFUNCTION("""COMPUTED_VALUE"""),"cílený double skyscraper")</f>
        <v>cílený double skyscraper</v>
      </c>
    </row>
    <row r="1014" spans="1:47" x14ac:dyDescent="0.3">
      <c r="A1014" s="3">
        <f ca="1"/>
        <v>2346826</v>
      </c>
      <c r="B1014" s="3" t="str">
        <f ca="1"/>
        <v>CZECH NEWS CENTER a. s.</v>
      </c>
      <c r="C1014" s="3" t="str">
        <f ca="1">IFERROR(__xludf.DUMMYFUNCTION("""COMPUTED_VALUE"""),"Youradio")</f>
        <v>Youradio</v>
      </c>
      <c r="D1014" s="4" t="str">
        <f ca="1">IFERROR(__xludf.DUMMYFUNCTION("""COMPUTED_VALUE"""),"https://youradio.cz")</f>
        <v>https://youradio.cz</v>
      </c>
      <c r="E1014" s="3" t="str">
        <f ca="1">IFERROR(__xludf.DUMMYFUNCTION("""COMPUTED_VALUE"""),"celý web")</f>
        <v>celý web</v>
      </c>
      <c r="F1014" s="4" t="str">
        <f ca="1">IFERROR(__xludf.DUMMYFUNCTION("""COMPUTED_VALUE"""),"https://youradio.cz")</f>
        <v>https://youradio.cz</v>
      </c>
      <c r="G1014" s="3" t="str">
        <f ca="1">IFERROR(__xludf.DUMMYFUNCTION("""COMPUTED_VALUE"""),"double skyscraper low season")</f>
        <v>double skyscraper low season</v>
      </c>
      <c r="H1014" s="3">
        <f ca="1">IFERROR(__xludf.DUMMYFUNCTION("""COMPUTED_VALUE"""),7)</f>
        <v>7</v>
      </c>
      <c r="I1014" s="5">
        <f ca="1">IFERROR(__xludf.DUMMYFUNCTION("""COMPUTED_VALUE"""),1000)</f>
        <v>1000</v>
      </c>
      <c r="J1014" s="5">
        <f ca="1">IFERROR(__xludf.DUMMYFUNCTION("""COMPUTED_VALUE"""),190)</f>
        <v>190</v>
      </c>
      <c r="K1014" s="3"/>
      <c r="L1014" s="3" t="str">
        <f ca="1">IFERROR(__xludf.DUMMYFUNCTION("""COMPUTED_VALUE"""),"Cost per period")</f>
        <v>Cost per period</v>
      </c>
      <c r="M1014" s="3"/>
      <c r="N1014" s="3"/>
      <c r="O1014" s="3" t="str">
        <f ca="1">IFERROR(__xludf.DUMMYFUNCTION("""COMPUTED_VALUE"""),"300")</f>
        <v>300</v>
      </c>
      <c r="P1014" s="3" t="str">
        <f ca="1">IFERROR(__xludf.DUMMYFUNCTION("""COMPUTED_VALUE"""),"600")</f>
        <v>600</v>
      </c>
      <c r="Q1014" s="3" t="str">
        <f ca="1">IFERROR(__xludf.DUMMYFUNCTION("""COMPUTED_VALUE"""),"300x600")</f>
        <v>300x600</v>
      </c>
      <c r="R1014" s="3"/>
      <c r="S1014" s="3" t="str">
        <f ca="1">IFERROR(__xludf.DUMMYFUNCTION("""COMPUTED_VALUE"""),"100 (200 - HTML5)")</f>
        <v>100 (200 - HTML5)</v>
      </c>
      <c r="T1014" s="3"/>
      <c r="U1014" s="3" t="str">
        <f ca="1">IFERROR(__xludf.DUMMYFUNCTION("""COMPUTED_VALUE"""),"banner standard")</f>
        <v>banner standard</v>
      </c>
      <c r="V1014" s="3"/>
      <c r="W1014" s="4" t="str">
        <f ca="1">IFERROR(__xludf.DUMMYFUNCTION("""COMPUTED_VALUE"""),"https://reklama.cncenter.cz/Online/double-skyscraper")</f>
        <v>https://reklama.cncenter.cz/Online/double-skyscraper</v>
      </c>
      <c r="X1014" s="3"/>
      <c r="Y1014" s="3"/>
      <c r="Z1014" s="3" t="str">
        <f ca="1">IFERROR(__xludf.DUMMYFUNCTION("""COMPUTED_VALUE"""),"podklady@cncenter.cz")</f>
        <v>podklady@cncenter.cz</v>
      </c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 t="str">
        <f ca="1">IFERROR(__xludf.DUMMYFUNCTION("""COMPUTED_VALUE"""),"desktop")</f>
        <v>desktop</v>
      </c>
      <c r="AO1014" s="3"/>
      <c r="AP1014" s="3"/>
      <c r="AQ1014" s="3"/>
      <c r="AR1014" s="3"/>
      <c r="AS1014" s="3"/>
      <c r="AT1014" s="3"/>
      <c r="AU1014" s="3" t="str">
        <f ca="1">IFERROR(__xludf.DUMMYFUNCTION("""COMPUTED_VALUE"""),"double skyscraper")</f>
        <v>double skyscraper</v>
      </c>
    </row>
    <row r="1015" spans="1:47" x14ac:dyDescent="0.3">
      <c r="A1015" s="3">
        <f ca="1"/>
        <v>2346826</v>
      </c>
      <c r="B1015" s="3" t="str">
        <f ca="1"/>
        <v>CZECH NEWS CENTER a. s.</v>
      </c>
      <c r="C1015" s="3" t="str">
        <f ca="1">IFERROR(__xludf.DUMMYFUNCTION("""COMPUTED_VALUE"""),"Ženy")</f>
        <v>Ženy</v>
      </c>
      <c r="D1015" s="4" t="str">
        <f ca="1">IFERROR(__xludf.DUMMYFUNCTION("""COMPUTED_VALUE"""),"https://zeny.cz")</f>
        <v>https://zeny.cz</v>
      </c>
      <c r="E1015" s="3" t="str">
        <f ca="1">IFERROR(__xludf.DUMMYFUNCTION("""COMPUTED_VALUE"""),"celý web")</f>
        <v>celý web</v>
      </c>
      <c r="F1015" s="4" t="str">
        <f ca="1">IFERROR(__xludf.DUMMYFUNCTION("""COMPUTED_VALUE"""),"https://zeny.cz")</f>
        <v>https://zeny.cz</v>
      </c>
      <c r="G1015" s="3" t="str">
        <f ca="1">IFERROR(__xludf.DUMMYFUNCTION("""COMPUTED_VALUE"""),"Advertorial low season")</f>
        <v>Advertorial low season</v>
      </c>
      <c r="H1015" s="3">
        <f ca="1">IFERROR(__xludf.DUMMYFUNCTION("""COMPUTED_VALUE"""),1)</f>
        <v>1</v>
      </c>
      <c r="I1015" s="5">
        <f ca="1">IFERROR(__xludf.DUMMYFUNCTION("""COMPUTED_VALUE"""),1)</f>
        <v>1</v>
      </c>
      <c r="J1015" s="5">
        <f ca="1">IFERROR(__xludf.DUMMYFUNCTION("""COMPUTED_VALUE"""),90000)</f>
        <v>90000</v>
      </c>
      <c r="K1015" s="3"/>
      <c r="L1015" s="3" t="str">
        <f ca="1">IFERROR(__xludf.DUMMYFUNCTION("""COMPUTED_VALUE"""),"Cost per instance")</f>
        <v>Cost per instance</v>
      </c>
      <c r="M1015" s="3"/>
      <c r="N1015" s="3"/>
      <c r="O1015" s="3"/>
      <c r="P1015" s="3"/>
      <c r="Q1015" s="3"/>
      <c r="R1015" s="3"/>
      <c r="S1015" s="3" t="str">
        <f ca="1">IFERROR(__xludf.DUMMYFUNCTION("""COMPUTED_VALUE"""),"100")</f>
        <v>100</v>
      </c>
      <c r="T1015" s="3"/>
      <c r="U1015" s="3" t="str">
        <f ca="1">IFERROR(__xludf.DUMMYFUNCTION("""COMPUTED_VALUE"""),"pr článek")</f>
        <v>pr článek</v>
      </c>
      <c r="V1015" s="3"/>
      <c r="W1015" s="3"/>
      <c r="X1015" s="3"/>
      <c r="Y1015" s="3"/>
      <c r="Z1015" s="3" t="str">
        <f ca="1">IFERROR(__xludf.DUMMYFUNCTION("""COMPUTED_VALUE"""),"podklady@cncenter.cz")</f>
        <v>podklady@cncenter.cz</v>
      </c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 t="str">
        <f ca="1">IFERROR(__xludf.DUMMYFUNCTION("""COMPUTED_VALUE"""),"cross-device")</f>
        <v>cross-device</v>
      </c>
      <c r="AO1015" s="3"/>
      <c r="AP1015" s="3"/>
      <c r="AQ1015" s="3"/>
      <c r="AR1015" s="3"/>
      <c r="AS1015" s="3"/>
      <c r="AT1015" s="3"/>
      <c r="AU1015" s="3" t="str">
        <f ca="1">IFERROR(__xludf.DUMMYFUNCTION("""COMPUTED_VALUE"""),"Advertorial")</f>
        <v>Advertorial</v>
      </c>
    </row>
    <row r="1016" spans="1:47" x14ac:dyDescent="0.3">
      <c r="A1016" s="3">
        <f ca="1"/>
        <v>2346826</v>
      </c>
      <c r="B1016" s="3" t="str">
        <f ca="1"/>
        <v>CZECH NEWS CENTER a. s.</v>
      </c>
      <c r="C1016" s="3" t="str">
        <f ca="1">IFERROR(__xludf.DUMMYFUNCTION("""COMPUTED_VALUE"""),"Ženy")</f>
        <v>Ženy</v>
      </c>
      <c r="D1016" s="4" t="str">
        <f ca="1">IFERROR(__xludf.DUMMYFUNCTION("""COMPUTED_VALUE"""),"https://zeny.cz")</f>
        <v>https://zeny.cz</v>
      </c>
      <c r="E1016" s="3" t="str">
        <f ca="1">IFERROR(__xludf.DUMMYFUNCTION("""COMPUTED_VALUE"""),"celý web")</f>
        <v>celý web</v>
      </c>
      <c r="F1016" s="4" t="str">
        <f ca="1">IFERROR(__xludf.DUMMYFUNCTION("""COMPUTED_VALUE"""),"https://zeny.cz")</f>
        <v>https://zeny.cz</v>
      </c>
      <c r="G1016" s="3" t="str">
        <f ca="1">IFERROR(__xludf.DUMMYFUNCTION("""COMPUTED_VALUE"""),"billboard bottom low season")</f>
        <v>billboard bottom low season</v>
      </c>
      <c r="H1016" s="3">
        <f ca="1">IFERROR(__xludf.DUMMYFUNCTION("""COMPUTED_VALUE"""),7)</f>
        <v>7</v>
      </c>
      <c r="I1016" s="5">
        <f ca="1">IFERROR(__xludf.DUMMYFUNCTION("""COMPUTED_VALUE"""),1000)</f>
        <v>1000</v>
      </c>
      <c r="J1016" s="5">
        <f ca="1">IFERROR(__xludf.DUMMYFUNCTION("""COMPUTED_VALUE"""),240)</f>
        <v>240</v>
      </c>
      <c r="K1016" s="3"/>
      <c r="L1016" s="3" t="str">
        <f ca="1">IFERROR(__xludf.DUMMYFUNCTION("""COMPUTED_VALUE"""),"Cost per period")</f>
        <v>Cost per period</v>
      </c>
      <c r="M1016" s="3"/>
      <c r="N1016" s="3"/>
      <c r="O1016" s="3" t="str">
        <f ca="1">IFERROR(__xludf.DUMMYFUNCTION("""COMPUTED_VALUE"""),"970")</f>
        <v>970</v>
      </c>
      <c r="P1016" s="3" t="str">
        <f ca="1">IFERROR(__xludf.DUMMYFUNCTION("""COMPUTED_VALUE"""),"250")</f>
        <v>250</v>
      </c>
      <c r="Q1016" s="3" t="str">
        <f ca="1">IFERROR(__xludf.DUMMYFUNCTION("""COMPUTED_VALUE"""),"970x250")</f>
        <v>970x250</v>
      </c>
      <c r="R1016" s="3"/>
      <c r="S1016" s="3" t="str">
        <f ca="1">IFERROR(__xludf.DUMMYFUNCTION("""COMPUTED_VALUE"""),"100 (200 - HTML5)")</f>
        <v>100 (200 - HTML5)</v>
      </c>
      <c r="T1016" s="3"/>
      <c r="U1016" s="3" t="str">
        <f ca="1">IFERROR(__xludf.DUMMYFUNCTION("""COMPUTED_VALUE"""),"banner standard")</f>
        <v>banner standard</v>
      </c>
      <c r="V1016" s="3"/>
      <c r="W1016" s="4" t="str">
        <f ca="1">IFERROR(__xludf.DUMMYFUNCTION("""COMPUTED_VALUE"""),"https://reklama.cncenter.cz/Online/billboard-bottom")</f>
        <v>https://reklama.cncenter.cz/Online/billboard-bottom</v>
      </c>
      <c r="X1016" s="3"/>
      <c r="Y1016" s="3"/>
      <c r="Z1016" s="3" t="str">
        <f ca="1">IFERROR(__xludf.DUMMYFUNCTION("""COMPUTED_VALUE"""),"podklady@cncenter.cz")</f>
        <v>podklady@cncenter.cz</v>
      </c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 t="str">
        <f ca="1">IFERROR(__xludf.DUMMYFUNCTION("""COMPUTED_VALUE"""),"desktop")</f>
        <v>desktop</v>
      </c>
      <c r="AO1016" s="3"/>
      <c r="AP1016" s="3"/>
      <c r="AQ1016" s="3"/>
      <c r="AR1016" s="3"/>
      <c r="AS1016" s="3"/>
      <c r="AT1016" s="3"/>
      <c r="AU1016" s="3" t="str">
        <f ca="1">IFERROR(__xludf.DUMMYFUNCTION("""COMPUTED_VALUE"""),"billboard bottom")</f>
        <v>billboard bottom</v>
      </c>
    </row>
    <row r="1017" spans="1:47" x14ac:dyDescent="0.3">
      <c r="A1017" s="3">
        <f ca="1"/>
        <v>2346826</v>
      </c>
      <c r="B1017" s="3" t="str">
        <f ca="1"/>
        <v>CZECH NEWS CENTER a. s.</v>
      </c>
      <c r="C1017" s="3" t="str">
        <f ca="1">IFERROR(__xludf.DUMMYFUNCTION("""COMPUTED_VALUE"""),"Ženy")</f>
        <v>Ženy</v>
      </c>
      <c r="D1017" s="4" t="str">
        <f ca="1">IFERROR(__xludf.DUMMYFUNCTION("""COMPUTED_VALUE"""),"https://zeny.cz")</f>
        <v>https://zeny.cz</v>
      </c>
      <c r="E1017" s="3" t="str">
        <f ca="1">IFERROR(__xludf.DUMMYFUNCTION("""COMPUTED_VALUE"""),"celý web")</f>
        <v>celý web</v>
      </c>
      <c r="F1017" s="4" t="str">
        <f ca="1">IFERROR(__xludf.DUMMYFUNCTION("""COMPUTED_VALUE"""),"https://zeny.cz")</f>
        <v>https://zeny.cz</v>
      </c>
      <c r="G1017" s="3" t="str">
        <f ca="1">IFERROR(__xludf.DUMMYFUNCTION("""COMPUTED_VALUE"""),"branding cross-device low season")</f>
        <v>branding cross-device low season</v>
      </c>
      <c r="H1017" s="3">
        <f ca="1">IFERROR(__xludf.DUMMYFUNCTION("""COMPUTED_VALUE"""),7)</f>
        <v>7</v>
      </c>
      <c r="I1017" s="5">
        <f ca="1">IFERROR(__xludf.DUMMYFUNCTION("""COMPUTED_VALUE"""),1000)</f>
        <v>1000</v>
      </c>
      <c r="J1017" s="5">
        <f ca="1">IFERROR(__xludf.DUMMYFUNCTION("""COMPUTED_VALUE"""),300)</f>
        <v>300</v>
      </c>
      <c r="K1017" s="3"/>
      <c r="L1017" s="3" t="str">
        <f ca="1">IFERROR(__xludf.DUMMYFUNCTION("""COMPUTED_VALUE"""),"Cost per period")</f>
        <v>Cost per period</v>
      </c>
      <c r="M1017" s="3"/>
      <c r="N1017" s="3"/>
      <c r="O1017" s="3" t="str">
        <f ca="1">IFERROR(__xludf.DUMMYFUNCTION("""COMPUTED_VALUE"""),"2000")</f>
        <v>2000</v>
      </c>
      <c r="P1017" s="3" t="str">
        <f ca="1">IFERROR(__xludf.DUMMYFUNCTION("""COMPUTED_VALUE"""),"1400")</f>
        <v>1400</v>
      </c>
      <c r="Q1017" s="3" t="str">
        <f ca="1">IFERROR(__xludf.DUMMYFUNCTION("""COMPUTED_VALUE"""),"2000x1400 + 600x1080")</f>
        <v>2000x1400 + 600x1080</v>
      </c>
      <c r="R1017" s="3"/>
      <c r="S1017" s="3" t="str">
        <f ca="1">IFERROR(__xludf.DUMMYFUNCTION("""COMPUTED_VALUE"""),"500 (600 - HTLM5)")</f>
        <v>500 (600 - HTLM5)</v>
      </c>
      <c r="T1017" s="3"/>
      <c r="U1017" s="3" t="str">
        <f ca="1">IFERROR(__xludf.DUMMYFUNCTION("""COMPUTED_VALUE"""),"banner standard")</f>
        <v>banner standard</v>
      </c>
      <c r="V1017" s="3"/>
      <c r="W1017" s="4" t="str">
        <f ca="1">IFERROR(__xludf.DUMMYFUNCTION("""COMPUTED_VALUE"""),"https://reklama.cncenter.cz/Online/branding-cross-device")</f>
        <v>https://reklama.cncenter.cz/Online/branding-cross-device</v>
      </c>
      <c r="X1017" s="3"/>
      <c r="Y1017" s="3"/>
      <c r="Z1017" s="3" t="str">
        <f ca="1">IFERROR(__xludf.DUMMYFUNCTION("""COMPUTED_VALUE"""),"podklady@cncenter.cz")</f>
        <v>podklady@cncenter.cz</v>
      </c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 t="str">
        <f ca="1">IFERROR(__xludf.DUMMYFUNCTION("""COMPUTED_VALUE"""),"cross-device")</f>
        <v>cross-device</v>
      </c>
      <c r="AO1017" s="3"/>
      <c r="AP1017" s="3"/>
      <c r="AQ1017" s="3"/>
      <c r="AR1017" s="3"/>
      <c r="AS1017" s="3"/>
      <c r="AT1017" s="3"/>
      <c r="AU1017" s="3" t="str">
        <f ca="1">IFERROR(__xludf.DUMMYFUNCTION("""COMPUTED_VALUE"""),"branding cross-device")</f>
        <v>branding cross-device</v>
      </c>
    </row>
    <row r="1018" spans="1:47" x14ac:dyDescent="0.3">
      <c r="A1018" s="3">
        <f ca="1"/>
        <v>2346826</v>
      </c>
      <c r="B1018" s="3" t="str">
        <f ca="1"/>
        <v>CZECH NEWS CENTER a. s.</v>
      </c>
      <c r="C1018" s="3" t="str">
        <f ca="1">IFERROR(__xludf.DUMMYFUNCTION("""COMPUTED_VALUE"""),"Ženy")</f>
        <v>Ženy</v>
      </c>
      <c r="D1018" s="4" t="str">
        <f ca="1">IFERROR(__xludf.DUMMYFUNCTION("""COMPUTED_VALUE"""),"https://zeny.cz")</f>
        <v>https://zeny.cz</v>
      </c>
      <c r="E1018" s="3" t="str">
        <f ca="1">IFERROR(__xludf.DUMMYFUNCTION("""COMPUTED_VALUE"""),"celý web")</f>
        <v>celý web</v>
      </c>
      <c r="F1018" s="4" t="str">
        <f ca="1">IFERROR(__xludf.DUMMYFUNCTION("""COMPUTED_VALUE"""),"https://zeny.cz")</f>
        <v>https://zeny.cz</v>
      </c>
      <c r="G1018" s="3" t="str">
        <f ca="1">IFERROR(__xludf.DUMMYFUNCTION("""COMPUTED_VALUE"""),"branding low season")</f>
        <v>branding low season</v>
      </c>
      <c r="H1018" s="3">
        <f ca="1">IFERROR(__xludf.DUMMYFUNCTION("""COMPUTED_VALUE"""),7)</f>
        <v>7</v>
      </c>
      <c r="I1018" s="5">
        <f ca="1">IFERROR(__xludf.DUMMYFUNCTION("""COMPUTED_VALUE"""),1000)</f>
        <v>1000</v>
      </c>
      <c r="J1018" s="5">
        <f ca="1">IFERROR(__xludf.DUMMYFUNCTION("""COMPUTED_VALUE"""),490)</f>
        <v>490</v>
      </c>
      <c r="K1018" s="3"/>
      <c r="L1018" s="3" t="str">
        <f ca="1">IFERROR(__xludf.DUMMYFUNCTION("""COMPUTED_VALUE"""),"Cost per period")</f>
        <v>Cost per period</v>
      </c>
      <c r="M1018" s="3"/>
      <c r="N1018" s="3"/>
      <c r="O1018" s="3" t="str">
        <f ca="1">IFERROR(__xludf.DUMMYFUNCTION("""COMPUTED_VALUE"""),"2000")</f>
        <v>2000</v>
      </c>
      <c r="P1018" s="3" t="str">
        <f ca="1">IFERROR(__xludf.DUMMYFUNCTION("""COMPUTED_VALUE"""),"1400")</f>
        <v>1400</v>
      </c>
      <c r="Q1018" s="3" t="str">
        <f ca="1">IFERROR(__xludf.DUMMYFUNCTION("""COMPUTED_VALUE"""),"2000x1400")</f>
        <v>2000x1400</v>
      </c>
      <c r="R1018" s="3"/>
      <c r="S1018" s="3" t="str">
        <f ca="1">IFERROR(__xludf.DUMMYFUNCTION("""COMPUTED_VALUE"""),"500 + 200 (600+200 HTML5)")</f>
        <v>500 + 200 (600+200 HTML5)</v>
      </c>
      <c r="T1018" s="3"/>
      <c r="U1018" s="3" t="str">
        <f ca="1">IFERROR(__xludf.DUMMYFUNCTION("""COMPUTED_VALUE"""),"banner standard")</f>
        <v>banner standard</v>
      </c>
      <c r="V1018" s="3"/>
      <c r="W1018" s="4" t="str">
        <f ca="1">IFERROR(__xludf.DUMMYFUNCTION("""COMPUTED_VALUE"""),"https://reklama.cncenter.cz/Online/branding")</f>
        <v>https://reklama.cncenter.cz/Online/branding</v>
      </c>
      <c r="X1018" s="3"/>
      <c r="Y1018" s="3"/>
      <c r="Z1018" s="3" t="str">
        <f ca="1">IFERROR(__xludf.DUMMYFUNCTION("""COMPUTED_VALUE"""),"podklady@cncenter.cz")</f>
        <v>podklady@cncenter.cz</v>
      </c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 t="str">
        <f ca="1">IFERROR(__xludf.DUMMYFUNCTION("""COMPUTED_VALUE"""),"desktop")</f>
        <v>desktop</v>
      </c>
      <c r="AO1018" s="3"/>
      <c r="AP1018" s="3"/>
      <c r="AQ1018" s="3"/>
      <c r="AR1018" s="3"/>
      <c r="AS1018" s="3"/>
      <c r="AT1018" s="3"/>
      <c r="AU1018" s="3" t="str">
        <f ca="1">IFERROR(__xludf.DUMMYFUNCTION("""COMPUTED_VALUE"""),"branding")</f>
        <v>branding</v>
      </c>
    </row>
    <row r="1019" spans="1:47" x14ac:dyDescent="0.3">
      <c r="A1019" s="3">
        <f ca="1"/>
        <v>2346826</v>
      </c>
      <c r="B1019" s="3" t="str">
        <f ca="1"/>
        <v>CZECH NEWS CENTER a. s.</v>
      </c>
      <c r="C1019" s="3" t="str">
        <f ca="1">IFERROR(__xludf.DUMMYFUNCTION("""COMPUTED_VALUE"""),"Ženy")</f>
        <v>Ženy</v>
      </c>
      <c r="D1019" s="4" t="str">
        <f ca="1">IFERROR(__xludf.DUMMYFUNCTION("""COMPUTED_VALUE"""),"https://zeny.cz")</f>
        <v>https://zeny.cz</v>
      </c>
      <c r="E1019" s="3" t="str">
        <f ca="1">IFERROR(__xludf.DUMMYFUNCTION("""COMPUTED_VALUE"""),"celý web")</f>
        <v>celý web</v>
      </c>
      <c r="F1019" s="4" t="str">
        <f ca="1">IFERROR(__xludf.DUMMYFUNCTION("""COMPUTED_VALUE"""),"https://zeny.cz")</f>
        <v>https://zeny.cz</v>
      </c>
      <c r="G1019" s="3" t="str">
        <f ca="1">IFERROR(__xludf.DUMMYFUNCTION("""COMPUTED_VALUE"""),"cílený billboard bottom low season")</f>
        <v>cílený billboard bottom low season</v>
      </c>
      <c r="H1019" s="3">
        <f ca="1">IFERROR(__xludf.DUMMYFUNCTION("""COMPUTED_VALUE"""),7)</f>
        <v>7</v>
      </c>
      <c r="I1019" s="5">
        <f ca="1">IFERROR(__xludf.DUMMYFUNCTION("""COMPUTED_VALUE"""),1000)</f>
        <v>1000</v>
      </c>
      <c r="J1019" s="5">
        <f ca="1">IFERROR(__xludf.DUMMYFUNCTION("""COMPUTED_VALUE"""),288)</f>
        <v>288</v>
      </c>
      <c r="K1019" s="3"/>
      <c r="L1019" s="3" t="str">
        <f ca="1">IFERROR(__xludf.DUMMYFUNCTION("""COMPUTED_VALUE"""),"Cost per period")</f>
        <v>Cost per period</v>
      </c>
      <c r="M1019" s="3"/>
      <c r="N1019" s="3"/>
      <c r="O1019" s="3" t="str">
        <f ca="1">IFERROR(__xludf.DUMMYFUNCTION("""COMPUTED_VALUE"""),"970")</f>
        <v>970</v>
      </c>
      <c r="P1019" s="3" t="str">
        <f ca="1">IFERROR(__xludf.DUMMYFUNCTION("""COMPUTED_VALUE"""),"250")</f>
        <v>250</v>
      </c>
      <c r="Q1019" s="3" t="str">
        <f ca="1">IFERROR(__xludf.DUMMYFUNCTION("""COMPUTED_VALUE"""),"970x250")</f>
        <v>970x250</v>
      </c>
      <c r="R1019" s="3"/>
      <c r="S1019" s="3" t="str">
        <f ca="1">IFERROR(__xludf.DUMMYFUNCTION("""COMPUTED_VALUE"""),"100 (200 - HTML5)")</f>
        <v>100 (200 - HTML5)</v>
      </c>
      <c r="T1019" s="3"/>
      <c r="U1019" s="3" t="str">
        <f ca="1">IFERROR(__xludf.DUMMYFUNCTION("""COMPUTED_VALUE"""),"banner standard")</f>
        <v>banner standard</v>
      </c>
      <c r="V1019" s="3"/>
      <c r="W1019" s="4" t="str">
        <f ca="1">IFERROR(__xludf.DUMMYFUNCTION("""COMPUTED_VALUE"""),"https://reklama.cncenter.cz/Online/billboard-bottom")</f>
        <v>https://reklama.cncenter.cz/Online/billboard-bottom</v>
      </c>
      <c r="X1019" s="3"/>
      <c r="Y1019" s="3"/>
      <c r="Z1019" s="3" t="str">
        <f ca="1">IFERROR(__xludf.DUMMYFUNCTION("""COMPUTED_VALUE"""),"podklady@cncenter.cz")</f>
        <v>podklady@cncenter.cz</v>
      </c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 t="str">
        <f ca="1">IFERROR(__xludf.DUMMYFUNCTION("""COMPUTED_VALUE"""),"desktop")</f>
        <v>desktop</v>
      </c>
      <c r="AO1019" s="3"/>
      <c r="AP1019" s="3"/>
      <c r="AQ1019" s="3"/>
      <c r="AR1019" s="3"/>
      <c r="AS1019" s="3"/>
      <c r="AT1019" s="3"/>
      <c r="AU1019" s="3" t="str">
        <f ca="1">IFERROR(__xludf.DUMMYFUNCTION("""COMPUTED_VALUE"""),"cílený billboard bottom")</f>
        <v>cílený billboard bottom</v>
      </c>
    </row>
    <row r="1020" spans="1:47" x14ac:dyDescent="0.3">
      <c r="A1020" s="3">
        <f ca="1"/>
        <v>2346826</v>
      </c>
      <c r="B1020" s="3" t="str">
        <f ca="1"/>
        <v>CZECH NEWS CENTER a. s.</v>
      </c>
      <c r="C1020" s="3" t="str">
        <f ca="1">IFERROR(__xludf.DUMMYFUNCTION("""COMPUTED_VALUE"""),"Ženy")</f>
        <v>Ženy</v>
      </c>
      <c r="D1020" s="4" t="str">
        <f ca="1">IFERROR(__xludf.DUMMYFUNCTION("""COMPUTED_VALUE"""),"https://zeny.cz")</f>
        <v>https://zeny.cz</v>
      </c>
      <c r="E1020" s="3" t="str">
        <f ca="1">IFERROR(__xludf.DUMMYFUNCTION("""COMPUTED_VALUE"""),"celý web")</f>
        <v>celý web</v>
      </c>
      <c r="F1020" s="4" t="str">
        <f ca="1">IFERROR(__xludf.DUMMYFUNCTION("""COMPUTED_VALUE"""),"https://zeny.cz")</f>
        <v>https://zeny.cz</v>
      </c>
      <c r="G1020" s="3" t="str">
        <f ca="1">IFERROR(__xludf.DUMMYFUNCTION("""COMPUTED_VALUE"""),"cílený branding cross-device low season")</f>
        <v>cílený branding cross-device low season</v>
      </c>
      <c r="H1020" s="3">
        <f ca="1">IFERROR(__xludf.DUMMYFUNCTION("""COMPUTED_VALUE"""),7)</f>
        <v>7</v>
      </c>
      <c r="I1020" s="5">
        <f ca="1">IFERROR(__xludf.DUMMYFUNCTION("""COMPUTED_VALUE"""),1000)</f>
        <v>1000</v>
      </c>
      <c r="J1020" s="5">
        <f ca="1">IFERROR(__xludf.DUMMYFUNCTION("""COMPUTED_VALUE"""),360)</f>
        <v>360</v>
      </c>
      <c r="K1020" s="3"/>
      <c r="L1020" s="3" t="str">
        <f ca="1">IFERROR(__xludf.DUMMYFUNCTION("""COMPUTED_VALUE"""),"Cost per period")</f>
        <v>Cost per period</v>
      </c>
      <c r="M1020" s="3"/>
      <c r="N1020" s="3"/>
      <c r="O1020" s="3" t="str">
        <f ca="1">IFERROR(__xludf.DUMMYFUNCTION("""COMPUTED_VALUE"""),"2000")</f>
        <v>2000</v>
      </c>
      <c r="P1020" s="3" t="str">
        <f ca="1">IFERROR(__xludf.DUMMYFUNCTION("""COMPUTED_VALUE"""),"1400")</f>
        <v>1400</v>
      </c>
      <c r="Q1020" s="3" t="str">
        <f ca="1">IFERROR(__xludf.DUMMYFUNCTION("""COMPUTED_VALUE"""),"2000x1400 + 600x1080")</f>
        <v>2000x1400 + 600x1080</v>
      </c>
      <c r="R1020" s="3"/>
      <c r="S1020" s="3" t="str">
        <f ca="1">IFERROR(__xludf.DUMMYFUNCTION("""COMPUTED_VALUE"""),"500 (600 - HTLM5)")</f>
        <v>500 (600 - HTLM5)</v>
      </c>
      <c r="T1020" s="3"/>
      <c r="U1020" s="3" t="str">
        <f ca="1">IFERROR(__xludf.DUMMYFUNCTION("""COMPUTED_VALUE"""),"banner standard")</f>
        <v>banner standard</v>
      </c>
      <c r="V1020" s="3"/>
      <c r="W1020" s="4" t="str">
        <f ca="1">IFERROR(__xludf.DUMMYFUNCTION("""COMPUTED_VALUE"""),"https://reklama.cncenter.cz/Online/branding-cross-device")</f>
        <v>https://reklama.cncenter.cz/Online/branding-cross-device</v>
      </c>
      <c r="X1020" s="3"/>
      <c r="Y1020" s="3"/>
      <c r="Z1020" s="3" t="str">
        <f ca="1">IFERROR(__xludf.DUMMYFUNCTION("""COMPUTED_VALUE"""),"podklady@cncenter.cz")</f>
        <v>podklady@cncenter.cz</v>
      </c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 t="str">
        <f ca="1">IFERROR(__xludf.DUMMYFUNCTION("""COMPUTED_VALUE"""),"cross-device")</f>
        <v>cross-device</v>
      </c>
      <c r="AO1020" s="3"/>
      <c r="AP1020" s="3"/>
      <c r="AQ1020" s="3"/>
      <c r="AR1020" s="3"/>
      <c r="AS1020" s="3"/>
      <c r="AT1020" s="3"/>
      <c r="AU1020" s="3" t="str">
        <f ca="1">IFERROR(__xludf.DUMMYFUNCTION("""COMPUTED_VALUE"""),"cílený branding cross-device")</f>
        <v>cílený branding cross-device</v>
      </c>
    </row>
    <row r="1021" spans="1:47" x14ac:dyDescent="0.3">
      <c r="A1021" s="3">
        <f ca="1"/>
        <v>2346826</v>
      </c>
      <c r="B1021" s="3" t="str">
        <f ca="1"/>
        <v>CZECH NEWS CENTER a. s.</v>
      </c>
      <c r="C1021" s="3" t="str">
        <f ca="1">IFERROR(__xludf.DUMMYFUNCTION("""COMPUTED_VALUE"""),"Ženy")</f>
        <v>Ženy</v>
      </c>
      <c r="D1021" s="4" t="str">
        <f ca="1">IFERROR(__xludf.DUMMYFUNCTION("""COMPUTED_VALUE"""),"https://zeny.cz")</f>
        <v>https://zeny.cz</v>
      </c>
      <c r="E1021" s="3" t="str">
        <f ca="1">IFERROR(__xludf.DUMMYFUNCTION("""COMPUTED_VALUE"""),"celý web")</f>
        <v>celý web</v>
      </c>
      <c r="F1021" s="4" t="str">
        <f ca="1">IFERROR(__xludf.DUMMYFUNCTION("""COMPUTED_VALUE"""),"https://zeny.cz")</f>
        <v>https://zeny.cz</v>
      </c>
      <c r="G1021" s="3" t="str">
        <f ca="1">IFERROR(__xludf.DUMMYFUNCTION("""COMPUTED_VALUE"""),"cílený branding low season")</f>
        <v>cílený branding low season</v>
      </c>
      <c r="H1021" s="3">
        <f ca="1">IFERROR(__xludf.DUMMYFUNCTION("""COMPUTED_VALUE"""),7)</f>
        <v>7</v>
      </c>
      <c r="I1021" s="5">
        <f ca="1">IFERROR(__xludf.DUMMYFUNCTION("""COMPUTED_VALUE"""),1000)</f>
        <v>1000</v>
      </c>
      <c r="J1021" s="5">
        <f ca="1">IFERROR(__xludf.DUMMYFUNCTION("""COMPUTED_VALUE"""),588)</f>
        <v>588</v>
      </c>
      <c r="K1021" s="3"/>
      <c r="L1021" s="3" t="str">
        <f ca="1">IFERROR(__xludf.DUMMYFUNCTION("""COMPUTED_VALUE"""),"Cost per period")</f>
        <v>Cost per period</v>
      </c>
      <c r="M1021" s="3"/>
      <c r="N1021" s="3"/>
      <c r="O1021" s="3" t="str">
        <f ca="1">IFERROR(__xludf.DUMMYFUNCTION("""COMPUTED_VALUE"""),"2000")</f>
        <v>2000</v>
      </c>
      <c r="P1021" s="3" t="str">
        <f ca="1">IFERROR(__xludf.DUMMYFUNCTION("""COMPUTED_VALUE"""),"1400")</f>
        <v>1400</v>
      </c>
      <c r="Q1021" s="3" t="str">
        <f ca="1">IFERROR(__xludf.DUMMYFUNCTION("""COMPUTED_VALUE"""),"2000x1400")</f>
        <v>2000x1400</v>
      </c>
      <c r="R1021" s="3"/>
      <c r="S1021" s="3" t="str">
        <f ca="1">IFERROR(__xludf.DUMMYFUNCTION("""COMPUTED_VALUE"""),"500 + 200 (600+200 HTML5)")</f>
        <v>500 + 200 (600+200 HTML5)</v>
      </c>
      <c r="T1021" s="3"/>
      <c r="U1021" s="3" t="str">
        <f ca="1">IFERROR(__xludf.DUMMYFUNCTION("""COMPUTED_VALUE"""),"banner standard")</f>
        <v>banner standard</v>
      </c>
      <c r="V1021" s="3"/>
      <c r="W1021" s="4" t="str">
        <f ca="1">IFERROR(__xludf.DUMMYFUNCTION("""COMPUTED_VALUE"""),"https://reklama.cncenter.cz/Online/branding")</f>
        <v>https://reklama.cncenter.cz/Online/branding</v>
      </c>
      <c r="X1021" s="3"/>
      <c r="Y1021" s="3"/>
      <c r="Z1021" s="3" t="str">
        <f ca="1">IFERROR(__xludf.DUMMYFUNCTION("""COMPUTED_VALUE"""),"podklady@cncenter.cz")</f>
        <v>podklady@cncenter.cz</v>
      </c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 t="str">
        <f ca="1">IFERROR(__xludf.DUMMYFUNCTION("""COMPUTED_VALUE"""),"desktop")</f>
        <v>desktop</v>
      </c>
      <c r="AO1021" s="3"/>
      <c r="AP1021" s="3"/>
      <c r="AQ1021" s="3"/>
      <c r="AR1021" s="3"/>
      <c r="AS1021" s="3"/>
      <c r="AT1021" s="3"/>
      <c r="AU1021" s="3" t="str">
        <f ca="1">IFERROR(__xludf.DUMMYFUNCTION("""COMPUTED_VALUE"""),"cílený branding")</f>
        <v>cílený branding</v>
      </c>
    </row>
    <row r="1022" spans="1:47" x14ac:dyDescent="0.3">
      <c r="A1022" s="3">
        <f ca="1"/>
        <v>2346826</v>
      </c>
      <c r="B1022" s="3" t="str">
        <f ca="1"/>
        <v>CZECH NEWS CENTER a. s.</v>
      </c>
      <c r="C1022" s="3" t="str">
        <f ca="1">IFERROR(__xludf.DUMMYFUNCTION("""COMPUTED_VALUE"""),"Ženy")</f>
        <v>Ženy</v>
      </c>
      <c r="D1022" s="4" t="str">
        <f ca="1">IFERROR(__xludf.DUMMYFUNCTION("""COMPUTED_VALUE"""),"https://zeny.cz")</f>
        <v>https://zeny.cz</v>
      </c>
      <c r="E1022" s="3" t="str">
        <f ca="1">IFERROR(__xludf.DUMMYFUNCTION("""COMPUTED_VALUE"""),"celý web")</f>
        <v>celý web</v>
      </c>
      <c r="F1022" s="4" t="str">
        <f ca="1">IFERROR(__xludf.DUMMYFUNCTION("""COMPUTED_VALUE"""),"https://zeny.cz")</f>
        <v>https://zeny.cz</v>
      </c>
      <c r="G1022" s="3" t="str">
        <f ca="1">IFERROR(__xludf.DUMMYFUNCTION("""COMPUTED_VALUE"""),"cílený double skyscraper low season")</f>
        <v>cílený double skyscraper low season</v>
      </c>
      <c r="H1022" s="3">
        <f ca="1">IFERROR(__xludf.DUMMYFUNCTION("""COMPUTED_VALUE"""),7)</f>
        <v>7</v>
      </c>
      <c r="I1022" s="5">
        <f ca="1">IFERROR(__xludf.DUMMYFUNCTION("""COMPUTED_VALUE"""),1000)</f>
        <v>1000</v>
      </c>
      <c r="J1022" s="5">
        <f ca="1">IFERROR(__xludf.DUMMYFUNCTION("""COMPUTED_VALUE"""),228)</f>
        <v>228</v>
      </c>
      <c r="K1022" s="3"/>
      <c r="L1022" s="3" t="str">
        <f ca="1">IFERROR(__xludf.DUMMYFUNCTION("""COMPUTED_VALUE"""),"Cost per period")</f>
        <v>Cost per period</v>
      </c>
      <c r="M1022" s="3"/>
      <c r="N1022" s="3"/>
      <c r="O1022" s="3" t="str">
        <f ca="1">IFERROR(__xludf.DUMMYFUNCTION("""COMPUTED_VALUE"""),"300")</f>
        <v>300</v>
      </c>
      <c r="P1022" s="3" t="str">
        <f ca="1">IFERROR(__xludf.DUMMYFUNCTION("""COMPUTED_VALUE"""),"600")</f>
        <v>600</v>
      </c>
      <c r="Q1022" s="3" t="str">
        <f ca="1">IFERROR(__xludf.DUMMYFUNCTION("""COMPUTED_VALUE"""),"300x600")</f>
        <v>300x600</v>
      </c>
      <c r="R1022" s="3"/>
      <c r="S1022" s="3" t="str">
        <f ca="1">IFERROR(__xludf.DUMMYFUNCTION("""COMPUTED_VALUE"""),"100 (200 - HTML5)")</f>
        <v>100 (200 - HTML5)</v>
      </c>
      <c r="T1022" s="3"/>
      <c r="U1022" s="3" t="str">
        <f ca="1">IFERROR(__xludf.DUMMYFUNCTION("""COMPUTED_VALUE"""),"banner standard")</f>
        <v>banner standard</v>
      </c>
      <c r="V1022" s="3"/>
      <c r="W1022" s="4" t="str">
        <f ca="1">IFERROR(__xludf.DUMMYFUNCTION("""COMPUTED_VALUE"""),"https://reklama.cncenter.cz/Online/double-skyscraper")</f>
        <v>https://reklama.cncenter.cz/Online/double-skyscraper</v>
      </c>
      <c r="X1022" s="3"/>
      <c r="Y1022" s="3"/>
      <c r="Z1022" s="3" t="str">
        <f ca="1">IFERROR(__xludf.DUMMYFUNCTION("""COMPUTED_VALUE"""),"podklady@cncenter.cz")</f>
        <v>podklady@cncenter.cz</v>
      </c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 t="str">
        <f ca="1">IFERROR(__xludf.DUMMYFUNCTION("""COMPUTED_VALUE"""),"desktop")</f>
        <v>desktop</v>
      </c>
      <c r="AO1022" s="3"/>
      <c r="AP1022" s="3"/>
      <c r="AQ1022" s="3"/>
      <c r="AR1022" s="3"/>
      <c r="AS1022" s="3"/>
      <c r="AT1022" s="3"/>
      <c r="AU1022" s="3" t="str">
        <f ca="1">IFERROR(__xludf.DUMMYFUNCTION("""COMPUTED_VALUE"""),"cílený double skyscraper")</f>
        <v>cílený double skyscraper</v>
      </c>
    </row>
    <row r="1023" spans="1:47" x14ac:dyDescent="0.3">
      <c r="A1023" s="3">
        <f ca="1"/>
        <v>2346826</v>
      </c>
      <c r="B1023" s="3" t="str">
        <f ca="1"/>
        <v>CZECH NEWS CENTER a. s.</v>
      </c>
      <c r="C1023" s="3" t="str">
        <f ca="1">IFERROR(__xludf.DUMMYFUNCTION("""COMPUTED_VALUE"""),"Ženy")</f>
        <v>Ženy</v>
      </c>
      <c r="D1023" s="4" t="str">
        <f ca="1">IFERROR(__xludf.DUMMYFUNCTION("""COMPUTED_VALUE"""),"https://zeny.cz")</f>
        <v>https://zeny.cz</v>
      </c>
      <c r="E1023" s="3" t="str">
        <f ca="1">IFERROR(__xludf.DUMMYFUNCTION("""COMPUTED_VALUE"""),"celý web")</f>
        <v>celý web</v>
      </c>
      <c r="F1023" s="4" t="str">
        <f ca="1">IFERROR(__xludf.DUMMYFUNCTION("""COMPUTED_VALUE"""),"https://zeny.cz")</f>
        <v>https://zeny.cz</v>
      </c>
      <c r="G1023" s="3" t="str">
        <f ca="1">IFERROR(__xludf.DUMMYFUNCTION("""COMPUTED_VALUE"""),"cílený mini videospot - max. 30 sec. low season")</f>
        <v>cílený mini videospot - max. 30 sec. low season</v>
      </c>
      <c r="H1023" s="3">
        <f ca="1">IFERROR(__xludf.DUMMYFUNCTION("""COMPUTED_VALUE"""),7)</f>
        <v>7</v>
      </c>
      <c r="I1023" s="5">
        <f ca="1">IFERROR(__xludf.DUMMYFUNCTION("""COMPUTED_VALUE"""),1000)</f>
        <v>1000</v>
      </c>
      <c r="J1023" s="5">
        <f ca="1">IFERROR(__xludf.DUMMYFUNCTION("""COMPUTED_VALUE"""),168)</f>
        <v>168</v>
      </c>
      <c r="K1023" s="3"/>
      <c r="L1023" s="3" t="str">
        <f ca="1">IFERROR(__xludf.DUMMYFUNCTION("""COMPUTED_VALUE"""),"Cost per period")</f>
        <v>Cost per period</v>
      </c>
      <c r="M1023" s="3"/>
      <c r="N1023" s="3"/>
      <c r="O1023" s="3"/>
      <c r="P1023" s="3"/>
      <c r="Q1023" s="3" t="str">
        <f ca="1">IFERROR(__xludf.DUMMYFUNCTION("""COMPUTED_VALUE"""),"16:9 / umístění po domluvě dle možností")</f>
        <v>16:9 / umístění po domluvě dle možností</v>
      </c>
      <c r="R1023" s="3" t="str">
        <f ca="1">IFERROR(__xludf.DUMMYFUNCTION("""COMPUTED_VALUE"""),"přeskočení po 7 sekundách")</f>
        <v>přeskočení po 7 sekundách</v>
      </c>
      <c r="S1023" s="3" t="str">
        <f ca="1">IFERROR(__xludf.DUMMYFUNCTION("""COMPUTED_VALUE"""),"100")</f>
        <v>100</v>
      </c>
      <c r="T1023" s="3"/>
      <c r="U1023" s="3" t="str">
        <f ca="1">IFERROR(__xludf.DUMMYFUNCTION("""COMPUTED_VALUE"""),"videospot")</f>
        <v>videospot</v>
      </c>
      <c r="V1023" s="3"/>
      <c r="W1023" s="4" t="str">
        <f ca="1">IFERROR(__xludf.DUMMYFUNCTION("""COMPUTED_VALUE"""),"https://reklama.cncenter.cz/Online/Videospot")</f>
        <v>https://reklama.cncenter.cz/Online/Videospot</v>
      </c>
      <c r="X1023" s="3"/>
      <c r="Y1023" s="3"/>
      <c r="Z1023" s="3" t="str">
        <f ca="1">IFERROR(__xludf.DUMMYFUNCTION("""COMPUTED_VALUE"""),"podklady@cncenter.cz")</f>
        <v>podklady@cncenter.cz</v>
      </c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 t="str">
        <f ca="1">IFERROR(__xludf.DUMMYFUNCTION("""COMPUTED_VALUE"""),"desktop")</f>
        <v>desktop</v>
      </c>
      <c r="AO1023" s="3"/>
      <c r="AP1023" s="3"/>
      <c r="AQ1023" s="3"/>
      <c r="AR1023" s="3"/>
      <c r="AS1023" s="3"/>
      <c r="AT1023" s="3"/>
      <c r="AU1023" s="3" t="str">
        <f ca="1">IFERROR(__xludf.DUMMYFUNCTION("""COMPUTED_VALUE"""),"cílený mini videospot - max. 30 sec.")</f>
        <v>cílený mini videospot - max. 30 sec.</v>
      </c>
    </row>
    <row r="1024" spans="1:47" x14ac:dyDescent="0.3">
      <c r="A1024" s="3">
        <f ca="1"/>
        <v>2346826</v>
      </c>
      <c r="B1024" s="3" t="str">
        <f ca="1"/>
        <v>CZECH NEWS CENTER a. s.</v>
      </c>
      <c r="C1024" s="3" t="str">
        <f ca="1">IFERROR(__xludf.DUMMYFUNCTION("""COMPUTED_VALUE"""),"Ženy")</f>
        <v>Ženy</v>
      </c>
      <c r="D1024" s="4" t="str">
        <f ca="1">IFERROR(__xludf.DUMMYFUNCTION("""COMPUTED_VALUE"""),"https://zeny.cz")</f>
        <v>https://zeny.cz</v>
      </c>
      <c r="E1024" s="3" t="str">
        <f ca="1">IFERROR(__xludf.DUMMYFUNCTION("""COMPUTED_VALUE"""),"celý web")</f>
        <v>celý web</v>
      </c>
      <c r="F1024" s="4" t="str">
        <f ca="1">IFERROR(__xludf.DUMMYFUNCTION("""COMPUTED_VALUE"""),"https://zeny.cz")</f>
        <v>https://zeny.cz</v>
      </c>
      <c r="G1024" s="3" t="str">
        <f ca="1">IFERROR(__xludf.DUMMYFUNCTION("""COMPUTED_VALUE"""),"cílený mobilní interscroller low season")</f>
        <v>cílený mobilní interscroller low season</v>
      </c>
      <c r="H1024" s="3">
        <f ca="1">IFERROR(__xludf.DUMMYFUNCTION("""COMPUTED_VALUE"""),7)</f>
        <v>7</v>
      </c>
      <c r="I1024" s="5">
        <f ca="1">IFERROR(__xludf.DUMMYFUNCTION("""COMPUTED_VALUE"""),1000)</f>
        <v>1000</v>
      </c>
      <c r="J1024" s="5">
        <f ca="1">IFERROR(__xludf.DUMMYFUNCTION("""COMPUTED_VALUE"""),300)</f>
        <v>300</v>
      </c>
      <c r="K1024" s="3"/>
      <c r="L1024" s="3" t="str">
        <f ca="1">IFERROR(__xludf.DUMMYFUNCTION("""COMPUTED_VALUE"""),"Cost per period")</f>
        <v>Cost per period</v>
      </c>
      <c r="M1024" s="3"/>
      <c r="N1024" s="3"/>
      <c r="O1024" s="3" t="str">
        <f ca="1">IFERROR(__xludf.DUMMYFUNCTION("""COMPUTED_VALUE"""),"600")</f>
        <v>600</v>
      </c>
      <c r="P1024" s="3" t="str">
        <f ca="1">IFERROR(__xludf.DUMMYFUNCTION("""COMPUTED_VALUE"""),"1080")</f>
        <v>1080</v>
      </c>
      <c r="Q1024" s="3" t="str">
        <f ca="1">IFERROR(__xludf.DUMMYFUNCTION("""COMPUTED_VALUE"""),"600x1080")</f>
        <v>600x1080</v>
      </c>
      <c r="R1024" s="3"/>
      <c r="S1024" s="3" t="str">
        <f ca="1">IFERROR(__xludf.DUMMYFUNCTION("""COMPUTED_VALUE"""),"200")</f>
        <v>200</v>
      </c>
      <c r="T1024" s="3"/>
      <c r="U1024" s="3" t="str">
        <f ca="1">IFERROR(__xludf.DUMMYFUNCTION("""COMPUTED_VALUE"""),"banner standard")</f>
        <v>banner standard</v>
      </c>
      <c r="V1024" s="3"/>
      <c r="W1024" s="4" t="str">
        <f ca="1">IFERROR(__xludf.DUMMYFUNCTION("""COMPUTED_VALUE"""),"https://reklama.cncenter.cz/Online/mobilni-interscroller")</f>
        <v>https://reklama.cncenter.cz/Online/mobilni-interscroller</v>
      </c>
      <c r="X1024" s="3"/>
      <c r="Y1024" s="3"/>
      <c r="Z1024" s="3" t="str">
        <f ca="1">IFERROR(__xludf.DUMMYFUNCTION("""COMPUTED_VALUE"""),"podklady@cncenter.cz")</f>
        <v>podklady@cncenter.cz</v>
      </c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 t="str">
        <f ca="1">IFERROR(__xludf.DUMMYFUNCTION("""COMPUTED_VALUE"""),"mobile")</f>
        <v>mobile</v>
      </c>
      <c r="AO1024" s="3"/>
      <c r="AP1024" s="3"/>
      <c r="AQ1024" s="3"/>
      <c r="AR1024" s="3"/>
      <c r="AS1024" s="3"/>
      <c r="AT1024" s="3"/>
      <c r="AU1024" s="3" t="str">
        <f ca="1">IFERROR(__xludf.DUMMYFUNCTION("""COMPUTED_VALUE"""),"cílený mobilní interscroller")</f>
        <v>cílený mobilní interscroller</v>
      </c>
    </row>
    <row r="1025" spans="1:47" x14ac:dyDescent="0.3">
      <c r="A1025" s="3">
        <f ca="1"/>
        <v>2346826</v>
      </c>
      <c r="B1025" s="3" t="str">
        <f ca="1"/>
        <v>CZECH NEWS CENTER a. s.</v>
      </c>
      <c r="C1025" s="3" t="str">
        <f ca="1">IFERROR(__xludf.DUMMYFUNCTION("""COMPUTED_VALUE"""),"Ženy")</f>
        <v>Ženy</v>
      </c>
      <c r="D1025" s="4" t="str">
        <f ca="1">IFERROR(__xludf.DUMMYFUNCTION("""COMPUTED_VALUE"""),"https://zeny.cz")</f>
        <v>https://zeny.cz</v>
      </c>
      <c r="E1025" s="3" t="str">
        <f ca="1">IFERROR(__xludf.DUMMYFUNCTION("""COMPUTED_VALUE"""),"celý web")</f>
        <v>celý web</v>
      </c>
      <c r="F1025" s="4" t="str">
        <f ca="1">IFERROR(__xludf.DUMMYFUNCTION("""COMPUTED_VALUE"""),"https://zeny.cz")</f>
        <v>https://zeny.cz</v>
      </c>
      <c r="G1025" s="3" t="str">
        <f ca="1">IFERROR(__xludf.DUMMYFUNCTION("""COMPUTED_VALUE"""),"cílený mobilní slide-up low season")</f>
        <v>cílený mobilní slide-up low season</v>
      </c>
      <c r="H1025" s="3">
        <f ca="1">IFERROR(__xludf.DUMMYFUNCTION("""COMPUTED_VALUE"""),7)</f>
        <v>7</v>
      </c>
      <c r="I1025" s="5">
        <f ca="1">IFERROR(__xludf.DUMMYFUNCTION("""COMPUTED_VALUE"""),1000)</f>
        <v>1000</v>
      </c>
      <c r="J1025" s="5">
        <f ca="1">IFERROR(__xludf.DUMMYFUNCTION("""COMPUTED_VALUE"""),612)</f>
        <v>612</v>
      </c>
      <c r="K1025" s="3"/>
      <c r="L1025" s="3" t="str">
        <f ca="1">IFERROR(__xludf.DUMMYFUNCTION("""COMPUTED_VALUE"""),"Cost per period")</f>
        <v>Cost per period</v>
      </c>
      <c r="M1025" s="3"/>
      <c r="N1025" s="3"/>
      <c r="O1025" s="3" t="str">
        <f ca="1">IFERROR(__xludf.DUMMYFUNCTION("""COMPUTED_VALUE"""),"300")</f>
        <v>300</v>
      </c>
      <c r="P1025" s="3" t="str">
        <f ca="1">IFERROR(__xludf.DUMMYFUNCTION("""COMPUTED_VALUE"""),"120")</f>
        <v>120</v>
      </c>
      <c r="Q1025" s="3" t="str">
        <f ca="1">IFERROR(__xludf.DUMMYFUNCTION("""COMPUTED_VALUE"""),"300x120")</f>
        <v>300x120</v>
      </c>
      <c r="R1025" s="3"/>
      <c r="S1025" s="3" t="str">
        <f ca="1">IFERROR(__xludf.DUMMYFUNCTION("""COMPUTED_VALUE"""),"100")</f>
        <v>100</v>
      </c>
      <c r="T1025" s="3"/>
      <c r="U1025" s="3" t="str">
        <f ca="1">IFERROR(__xludf.DUMMYFUNCTION("""COMPUTED_VALUE"""),"banner standard")</f>
        <v>banner standard</v>
      </c>
      <c r="V1025" s="3"/>
      <c r="W1025" s="4" t="str">
        <f ca="1">IFERROR(__xludf.DUMMYFUNCTION("""COMPUTED_VALUE"""),"https://reklama.cncenter.cz/Online/mobilni-slide-up")</f>
        <v>https://reklama.cncenter.cz/Online/mobilni-slide-up</v>
      </c>
      <c r="X1025" s="3"/>
      <c r="Y1025" s="3"/>
      <c r="Z1025" s="3" t="str">
        <f ca="1">IFERROR(__xludf.DUMMYFUNCTION("""COMPUTED_VALUE"""),"podklady@cncenter.cz")</f>
        <v>podklady@cncenter.cz</v>
      </c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 t="str">
        <f ca="1">IFERROR(__xludf.DUMMYFUNCTION("""COMPUTED_VALUE"""),"mobile")</f>
        <v>mobile</v>
      </c>
      <c r="AO1025" s="3"/>
      <c r="AP1025" s="3"/>
      <c r="AQ1025" s="3"/>
      <c r="AR1025" s="3"/>
      <c r="AS1025" s="3"/>
      <c r="AT1025" s="3"/>
      <c r="AU1025" s="3" t="str">
        <f ca="1">IFERROR(__xludf.DUMMYFUNCTION("""COMPUTED_VALUE"""),"cílený mobilní slide-up")</f>
        <v>cílený mobilní slide-up</v>
      </c>
    </row>
    <row r="1026" spans="1:47" x14ac:dyDescent="0.3">
      <c r="A1026" s="3">
        <f ca="1"/>
        <v>2346826</v>
      </c>
      <c r="B1026" s="3" t="str">
        <f ca="1"/>
        <v>CZECH NEWS CENTER a. s.</v>
      </c>
      <c r="C1026" s="3" t="str">
        <f ca="1">IFERROR(__xludf.DUMMYFUNCTION("""COMPUTED_VALUE"""),"Ženy")</f>
        <v>Ženy</v>
      </c>
      <c r="D1026" s="4" t="str">
        <f ca="1">IFERROR(__xludf.DUMMYFUNCTION("""COMPUTED_VALUE"""),"https://zeny.cz")</f>
        <v>https://zeny.cz</v>
      </c>
      <c r="E1026" s="3" t="str">
        <f ca="1">IFERROR(__xludf.DUMMYFUNCTION("""COMPUTED_VALUE"""),"celý web")</f>
        <v>celý web</v>
      </c>
      <c r="F1026" s="4" t="str">
        <f ca="1">IFERROR(__xludf.DUMMYFUNCTION("""COMPUTED_VALUE"""),"https://zeny.cz")</f>
        <v>https://zeny.cz</v>
      </c>
      <c r="G1026" s="3" t="str">
        <f ca="1">IFERROR(__xludf.DUMMYFUNCTION("""COMPUTED_VALUE"""),"cílený mobilní viněta low season")</f>
        <v>cílený mobilní viněta low season</v>
      </c>
      <c r="H1026" s="3">
        <f ca="1">IFERROR(__xludf.DUMMYFUNCTION("""COMPUTED_VALUE"""),7)</f>
        <v>7</v>
      </c>
      <c r="I1026" s="5">
        <f ca="1">IFERROR(__xludf.DUMMYFUNCTION("""COMPUTED_VALUE"""),1000)</f>
        <v>1000</v>
      </c>
      <c r="J1026" s="5">
        <f ca="1">IFERROR(__xludf.DUMMYFUNCTION("""COMPUTED_VALUE"""),1056)</f>
        <v>1056</v>
      </c>
      <c r="K1026" s="3"/>
      <c r="L1026" s="3" t="str">
        <f ca="1">IFERROR(__xludf.DUMMYFUNCTION("""COMPUTED_VALUE"""),"Cost per period")</f>
        <v>Cost per period</v>
      </c>
      <c r="M1026" s="3"/>
      <c r="N1026" s="3"/>
      <c r="O1026" s="3" t="str">
        <f ca="1">IFERROR(__xludf.DUMMYFUNCTION("""COMPUTED_VALUE"""),"600")</f>
        <v>600</v>
      </c>
      <c r="P1026" s="3" t="str">
        <f ca="1">IFERROR(__xludf.DUMMYFUNCTION("""COMPUTED_VALUE"""),"800")</f>
        <v>800</v>
      </c>
      <c r="Q1026" s="3" t="str">
        <f ca="1">IFERROR(__xludf.DUMMYFUNCTION("""COMPUTED_VALUE"""),"300x250 nebo 600x800")</f>
        <v>300x250 nebo 600x800</v>
      </c>
      <c r="R1026" s="3"/>
      <c r="S1026" s="3" t="str">
        <f ca="1">IFERROR(__xludf.DUMMYFUNCTION("""COMPUTED_VALUE"""),"100")</f>
        <v>100</v>
      </c>
      <c r="T1026" s="3"/>
      <c r="U1026" s="3" t="str">
        <f ca="1">IFERROR(__xludf.DUMMYFUNCTION("""COMPUTED_VALUE"""),"banner standard")</f>
        <v>banner standard</v>
      </c>
      <c r="V1026" s="3"/>
      <c r="W1026" s="4" t="str">
        <f ca="1">IFERROR(__xludf.DUMMYFUNCTION("""COMPUTED_VALUE"""),"https://reklama.cncenter.cz/Online/mobilni-vineta")</f>
        <v>https://reklama.cncenter.cz/Online/mobilni-vineta</v>
      </c>
      <c r="X1026" s="3"/>
      <c r="Y1026" s="3"/>
      <c r="Z1026" s="3" t="str">
        <f ca="1">IFERROR(__xludf.DUMMYFUNCTION("""COMPUTED_VALUE"""),"podklady@cncenter.cz")</f>
        <v>podklady@cncenter.cz</v>
      </c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 t="str">
        <f ca="1">IFERROR(__xludf.DUMMYFUNCTION("""COMPUTED_VALUE"""),"mobile")</f>
        <v>mobile</v>
      </c>
      <c r="AO1026" s="3"/>
      <c r="AP1026" s="3"/>
      <c r="AQ1026" s="3"/>
      <c r="AR1026" s="3"/>
      <c r="AS1026" s="3"/>
      <c r="AT1026" s="3"/>
      <c r="AU1026" s="3" t="str">
        <f ca="1">IFERROR(__xludf.DUMMYFUNCTION("""COMPUTED_VALUE"""),"cílený mobilní viněta")</f>
        <v>cílený mobilní viněta</v>
      </c>
    </row>
    <row r="1027" spans="1:47" x14ac:dyDescent="0.3">
      <c r="A1027" s="3">
        <f ca="1"/>
        <v>2346826</v>
      </c>
      <c r="B1027" s="3" t="str">
        <f ca="1"/>
        <v>CZECH NEWS CENTER a. s.</v>
      </c>
      <c r="C1027" s="3" t="str">
        <f ca="1">IFERROR(__xludf.DUMMYFUNCTION("""COMPUTED_VALUE"""),"Ženy")</f>
        <v>Ženy</v>
      </c>
      <c r="D1027" s="4" t="str">
        <f ca="1">IFERROR(__xludf.DUMMYFUNCTION("""COMPUTED_VALUE"""),"https://zeny.cz")</f>
        <v>https://zeny.cz</v>
      </c>
      <c r="E1027" s="3" t="str">
        <f ca="1">IFERROR(__xludf.DUMMYFUNCTION("""COMPUTED_VALUE"""),"celý web")</f>
        <v>celý web</v>
      </c>
      <c r="F1027" s="4" t="str">
        <f ca="1">IFERROR(__xludf.DUMMYFUNCTION("""COMPUTED_VALUE"""),"https://zeny.cz")</f>
        <v>https://zeny.cz</v>
      </c>
      <c r="G1027" s="3" t="str">
        <f ca="1">IFERROR(__xludf.DUMMYFUNCTION("""COMPUTED_VALUE"""),"cílený nativní pr premium low season")</f>
        <v>cílený nativní pr premium low season</v>
      </c>
      <c r="H1027" s="3">
        <f ca="1">IFERROR(__xludf.DUMMYFUNCTION("""COMPUTED_VALUE"""),7)</f>
        <v>7</v>
      </c>
      <c r="I1027" s="5">
        <f ca="1">IFERROR(__xludf.DUMMYFUNCTION("""COMPUTED_VALUE"""),1000)</f>
        <v>1000</v>
      </c>
      <c r="J1027" s="5">
        <f ca="1">IFERROR(__xludf.DUMMYFUNCTION("""COMPUTED_VALUE"""),120)</f>
        <v>120</v>
      </c>
      <c r="K1027" s="3"/>
      <c r="L1027" s="3" t="str">
        <f ca="1">IFERROR(__xludf.DUMMYFUNCTION("""COMPUTED_VALUE"""),"Cost per period")</f>
        <v>Cost per period</v>
      </c>
      <c r="M1027" s="3"/>
      <c r="N1027" s="3"/>
      <c r="O1027" s="3" t="str">
        <f ca="1">IFERROR(__xludf.DUMMYFUNCTION("""COMPUTED_VALUE"""),"640")</f>
        <v>640</v>
      </c>
      <c r="P1027" s="3" t="str">
        <f ca="1">IFERROR(__xludf.DUMMYFUNCTION("""COMPUTED_VALUE"""),"335, 640")</f>
        <v>335, 640</v>
      </c>
      <c r="Q1027" s="3" t="str">
        <f ca="1">IFERROR(__xludf.DUMMYFUNCTION("""COMPUTED_VALUE"""),"640x640 a 640x335 + text + logo")</f>
        <v>640x640 a 640x335 + text + logo</v>
      </c>
      <c r="R1027" s="3" t="str">
        <f ca="1">IFERROR(__xludf.DUMMYFUNCTION("""COMPUTED_VALUE"""),"detailní specifikace na URL odkaze")</f>
        <v>detailní specifikace na URL odkaze</v>
      </c>
      <c r="S1027" s="3" t="str">
        <f ca="1">IFERROR(__xludf.DUMMYFUNCTION("""COMPUTED_VALUE"""),"100")</f>
        <v>100</v>
      </c>
      <c r="T1027" s="3"/>
      <c r="U1027" s="3" t="str">
        <f ca="1">IFERROR(__xludf.DUMMYFUNCTION("""COMPUTED_VALUE"""),"nativní reklama")</f>
        <v>nativní reklama</v>
      </c>
      <c r="V1027" s="3"/>
      <c r="W1027" s="4" t="str">
        <f ca="1">IFERROR(__xludf.DUMMYFUNCTION("""COMPUTED_VALUE"""),"https://reklama.cncenter.cz/Online/nativni-PR-premium")</f>
        <v>https://reklama.cncenter.cz/Online/nativni-PR-premium</v>
      </c>
      <c r="X1027" s="3"/>
      <c r="Y1027" s="3"/>
      <c r="Z1027" s="3" t="str">
        <f ca="1">IFERROR(__xludf.DUMMYFUNCTION("""COMPUTED_VALUE"""),"podklady@cncenter.cz")</f>
        <v>podklady@cncenter.cz</v>
      </c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 t="str">
        <f ca="1">IFERROR(__xludf.DUMMYFUNCTION("""COMPUTED_VALUE"""),"cross-device")</f>
        <v>cross-device</v>
      </c>
      <c r="AO1027" s="3"/>
      <c r="AP1027" s="3"/>
      <c r="AQ1027" s="3"/>
      <c r="AR1027" s="3"/>
      <c r="AS1027" s="3"/>
      <c r="AT1027" s="3"/>
      <c r="AU1027" s="3" t="str">
        <f ca="1">IFERROR(__xludf.DUMMYFUNCTION("""COMPUTED_VALUE"""),"cílený nativní pr premium")</f>
        <v>cílený nativní pr premium</v>
      </c>
    </row>
    <row r="1028" spans="1:47" x14ac:dyDescent="0.3">
      <c r="A1028" s="3">
        <f ca="1"/>
        <v>2346826</v>
      </c>
      <c r="B1028" s="3" t="str">
        <f ca="1"/>
        <v>CZECH NEWS CENTER a. s.</v>
      </c>
      <c r="C1028" s="3" t="str">
        <f ca="1">IFERROR(__xludf.DUMMYFUNCTION("""COMPUTED_VALUE"""),"Ženy")</f>
        <v>Ženy</v>
      </c>
      <c r="D1028" s="4" t="str">
        <f ca="1">IFERROR(__xludf.DUMMYFUNCTION("""COMPUTED_VALUE"""),"https://zeny.cz")</f>
        <v>https://zeny.cz</v>
      </c>
      <c r="E1028" s="3" t="str">
        <f ca="1">IFERROR(__xludf.DUMMYFUNCTION("""COMPUTED_VALUE"""),"celý web")</f>
        <v>celý web</v>
      </c>
      <c r="F1028" s="4" t="str">
        <f ca="1">IFERROR(__xludf.DUMMYFUNCTION("""COMPUTED_VALUE"""),"https://zeny.cz")</f>
        <v>https://zeny.cz</v>
      </c>
      <c r="G1028" s="3" t="str">
        <f ca="1">IFERROR(__xludf.DUMMYFUNCTION("""COMPUTED_VALUE"""),"cílený nativní rectangle cross-device low season")</f>
        <v>cílený nativní rectangle cross-device low season</v>
      </c>
      <c r="H1028" s="3">
        <f ca="1">IFERROR(__xludf.DUMMYFUNCTION("""COMPUTED_VALUE"""),7)</f>
        <v>7</v>
      </c>
      <c r="I1028" s="5">
        <f ca="1">IFERROR(__xludf.DUMMYFUNCTION("""COMPUTED_VALUE"""),1000)</f>
        <v>1000</v>
      </c>
      <c r="J1028" s="5">
        <f ca="1">IFERROR(__xludf.DUMMYFUNCTION("""COMPUTED_VALUE"""),240)</f>
        <v>240</v>
      </c>
      <c r="K1028" s="3"/>
      <c r="L1028" s="3" t="str">
        <f ca="1">IFERROR(__xludf.DUMMYFUNCTION("""COMPUTED_VALUE"""),"Cost per period")</f>
        <v>Cost per period</v>
      </c>
      <c r="M1028" s="3"/>
      <c r="N1028" s="3"/>
      <c r="O1028" s="3" t="str">
        <f ca="1">IFERROR(__xludf.DUMMYFUNCTION("""COMPUTED_VALUE"""),"640")</f>
        <v>640</v>
      </c>
      <c r="P1028" s="3" t="str">
        <f ca="1">IFERROR(__xludf.DUMMYFUNCTION("""COMPUTED_VALUE"""),"335, 640")</f>
        <v>335, 640</v>
      </c>
      <c r="Q1028" s="3" t="str">
        <f ca="1">IFERROR(__xludf.DUMMYFUNCTION("""COMPUTED_VALUE"""),"640x640 a 640x335 + text + logo")</f>
        <v>640x640 a 640x335 + text + logo</v>
      </c>
      <c r="R1028" s="3"/>
      <c r="S1028" s="3" t="str">
        <f ca="1">IFERROR(__xludf.DUMMYFUNCTION("""COMPUTED_VALUE"""),"45")</f>
        <v>45</v>
      </c>
      <c r="T1028" s="3"/>
      <c r="U1028" s="3" t="str">
        <f ca="1">IFERROR(__xludf.DUMMYFUNCTION("""COMPUTED_VALUE"""),"nativní reklama")</f>
        <v>nativní reklama</v>
      </c>
      <c r="V1028" s="3"/>
      <c r="W1028" s="4" t="str">
        <f ca="1">IFERROR(__xludf.DUMMYFUNCTION("""COMPUTED_VALUE"""),"https://reklama.cncenter.cz/Online/nativni-rectangle-cross-device")</f>
        <v>https://reklama.cncenter.cz/Online/nativni-rectangle-cross-device</v>
      </c>
      <c r="X1028" s="3"/>
      <c r="Y1028" s="3"/>
      <c r="Z1028" s="3" t="str">
        <f ca="1">IFERROR(__xludf.DUMMYFUNCTION("""COMPUTED_VALUE"""),"podklady@cncenter.cz")</f>
        <v>podklady@cncenter.cz</v>
      </c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 t="str">
        <f ca="1">IFERROR(__xludf.DUMMYFUNCTION("""COMPUTED_VALUE"""),"cross-device")</f>
        <v>cross-device</v>
      </c>
      <c r="AO1028" s="3"/>
      <c r="AP1028" s="3"/>
      <c r="AQ1028" s="3"/>
      <c r="AR1028" s="3"/>
      <c r="AS1028" s="3"/>
      <c r="AT1028" s="3"/>
      <c r="AU1028" s="3" t="str">
        <f ca="1">IFERROR(__xludf.DUMMYFUNCTION("""COMPUTED_VALUE"""),"cílený nativní rectangle cross-device")</f>
        <v>cílený nativní rectangle cross-device</v>
      </c>
    </row>
    <row r="1029" spans="1:47" x14ac:dyDescent="0.3">
      <c r="A1029" s="3">
        <f ca="1"/>
        <v>2346826</v>
      </c>
      <c r="B1029" s="3" t="str">
        <f ca="1"/>
        <v>CZECH NEWS CENTER a. s.</v>
      </c>
      <c r="C1029" s="3" t="str">
        <f ca="1">IFERROR(__xludf.DUMMYFUNCTION("""COMPUTED_VALUE"""),"Ženy")</f>
        <v>Ženy</v>
      </c>
      <c r="D1029" s="4" t="str">
        <f ca="1">IFERROR(__xludf.DUMMYFUNCTION("""COMPUTED_VALUE"""),"https://zeny.cz")</f>
        <v>https://zeny.cz</v>
      </c>
      <c r="E1029" s="3" t="str">
        <f ca="1">IFERROR(__xludf.DUMMYFUNCTION("""COMPUTED_VALUE"""),"celý web")</f>
        <v>celý web</v>
      </c>
      <c r="F1029" s="4" t="str">
        <f ca="1">IFERROR(__xludf.DUMMYFUNCTION("""COMPUTED_VALUE"""),"https://zeny.cz")</f>
        <v>https://zeny.cz</v>
      </c>
      <c r="G1029" s="3" t="str">
        <f ca="1">IFERROR(__xludf.DUMMYFUNCTION("""COMPUTED_VALUE"""),"cílený outstream low season")</f>
        <v>cílený outstream low season</v>
      </c>
      <c r="H1029" s="3">
        <f ca="1">IFERROR(__xludf.DUMMYFUNCTION("""COMPUTED_VALUE"""),7)</f>
        <v>7</v>
      </c>
      <c r="I1029" s="5">
        <f ca="1">IFERROR(__xludf.DUMMYFUNCTION("""COMPUTED_VALUE"""),1000)</f>
        <v>1000</v>
      </c>
      <c r="J1029" s="5">
        <f ca="1">IFERROR(__xludf.DUMMYFUNCTION("""COMPUTED_VALUE"""),300)</f>
        <v>300</v>
      </c>
      <c r="K1029" s="3"/>
      <c r="L1029" s="3" t="str">
        <f ca="1">IFERROR(__xludf.DUMMYFUNCTION("""COMPUTED_VALUE"""),"Cost per period")</f>
        <v>Cost per period</v>
      </c>
      <c r="M1029" s="3"/>
      <c r="N1029" s="3"/>
      <c r="O1029" s="3" t="str">
        <f ca="1">IFERROR(__xludf.DUMMYFUNCTION("""COMPUTED_VALUE"""),"1280")</f>
        <v>1280</v>
      </c>
      <c r="P1029" s="3" t="str">
        <f ca="1">IFERROR(__xludf.DUMMYFUNCTION("""COMPUTED_VALUE"""),"720")</f>
        <v>720</v>
      </c>
      <c r="Q1029" s="3" t="str">
        <f ca="1">IFERROR(__xludf.DUMMYFUNCTION("""COMPUTED_VALUE"""),"16:9")</f>
        <v>16:9</v>
      </c>
      <c r="R1029" s="3"/>
      <c r="S1029" s="3" t="str">
        <f ca="1">IFERROR(__xludf.DUMMYFUNCTION("""COMPUTED_VALUE"""),"100")</f>
        <v>100</v>
      </c>
      <c r="T1029" s="3"/>
      <c r="U1029" s="3" t="str">
        <f ca="1">IFERROR(__xludf.DUMMYFUNCTION("""COMPUTED_VALUE"""),"videospot")</f>
        <v>videospot</v>
      </c>
      <c r="V1029" s="3"/>
      <c r="W1029" s="4" t="str">
        <f ca="1">IFERROR(__xludf.DUMMYFUNCTION("""COMPUTED_VALUE"""),"https://reklama.cncenter.cz/Online/Outstream")</f>
        <v>https://reklama.cncenter.cz/Online/Outstream</v>
      </c>
      <c r="X1029" s="3"/>
      <c r="Y1029" s="3"/>
      <c r="Z1029" s="3" t="str">
        <f ca="1">IFERROR(__xludf.DUMMYFUNCTION("""COMPUTED_VALUE"""),"podklady@cncenter.cz")</f>
        <v>podklady@cncenter.cz</v>
      </c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 t="str">
        <f ca="1">IFERROR(__xludf.DUMMYFUNCTION("""COMPUTED_VALUE"""),"cross-device")</f>
        <v>cross-device</v>
      </c>
      <c r="AO1029" s="3"/>
      <c r="AP1029" s="3"/>
      <c r="AQ1029" s="3"/>
      <c r="AR1029" s="3"/>
      <c r="AS1029" s="3"/>
      <c r="AT1029" s="3"/>
      <c r="AU1029" s="3" t="str">
        <f ca="1">IFERROR(__xludf.DUMMYFUNCTION("""COMPUTED_VALUE"""),"cílený outstream")</f>
        <v>cílený outstream</v>
      </c>
    </row>
    <row r="1030" spans="1:47" x14ac:dyDescent="0.3">
      <c r="A1030" s="3">
        <f ca="1"/>
        <v>2346826</v>
      </c>
      <c r="B1030" s="3" t="str">
        <f ca="1"/>
        <v>CZECH NEWS CENTER a. s.</v>
      </c>
      <c r="C1030" s="3" t="str">
        <f ca="1">IFERROR(__xludf.DUMMYFUNCTION("""COMPUTED_VALUE"""),"Ženy")</f>
        <v>Ženy</v>
      </c>
      <c r="D1030" s="4" t="str">
        <f ca="1">IFERROR(__xludf.DUMMYFUNCTION("""COMPUTED_VALUE"""),"https://zeny.cz")</f>
        <v>https://zeny.cz</v>
      </c>
      <c r="E1030" s="3" t="str">
        <f ca="1">IFERROR(__xludf.DUMMYFUNCTION("""COMPUTED_VALUE"""),"celý web")</f>
        <v>celý web</v>
      </c>
      <c r="F1030" s="4" t="str">
        <f ca="1">IFERROR(__xludf.DUMMYFUNCTION("""COMPUTED_VALUE"""),"https://zeny.cz")</f>
        <v>https://zeny.cz</v>
      </c>
      <c r="G1030" s="3" t="str">
        <f ca="1">IFERROR(__xludf.DUMMYFUNCTION("""COMPUTED_VALUE"""),"cílený videospot - max. 30 sec. / bumper low season")</f>
        <v>cílený videospot - max. 30 sec. / bumper low season</v>
      </c>
      <c r="H1030" s="3">
        <f ca="1">IFERROR(__xludf.DUMMYFUNCTION("""COMPUTED_VALUE"""),7)</f>
        <v>7</v>
      </c>
      <c r="I1030" s="5">
        <f ca="1">IFERROR(__xludf.DUMMYFUNCTION("""COMPUTED_VALUE"""),1000)</f>
        <v>1000</v>
      </c>
      <c r="J1030" s="5">
        <f ca="1">IFERROR(__xludf.DUMMYFUNCTION("""COMPUTED_VALUE"""),888)</f>
        <v>888</v>
      </c>
      <c r="K1030" s="3"/>
      <c r="L1030" s="3" t="str">
        <f ca="1">IFERROR(__xludf.DUMMYFUNCTION("""COMPUTED_VALUE"""),"Cost per period")</f>
        <v>Cost per period</v>
      </c>
      <c r="M1030" s="3"/>
      <c r="N1030" s="3"/>
      <c r="O1030" s="3" t="str">
        <f ca="1">IFERROR(__xludf.DUMMYFUNCTION("""COMPUTED_VALUE"""),"1280")</f>
        <v>1280</v>
      </c>
      <c r="P1030" s="3" t="str">
        <f ca="1">IFERROR(__xludf.DUMMYFUNCTION("""COMPUTED_VALUE"""),"720")</f>
        <v>720</v>
      </c>
      <c r="Q1030" s="3" t="str">
        <f ca="1">IFERROR(__xludf.DUMMYFUNCTION("""COMPUTED_VALUE"""),"16:9 / umístění po domluvě dle možností")</f>
        <v>16:9 / umístění po domluvě dle možností</v>
      </c>
      <c r="R1030" s="3" t="str">
        <f ca="1">IFERROR(__xludf.DUMMYFUNCTION("""COMPUTED_VALUE"""),"přeskočení po 7 sekundách")</f>
        <v>přeskočení po 7 sekundách</v>
      </c>
      <c r="S1030" s="3" t="str">
        <f ca="1">IFERROR(__xludf.DUMMYFUNCTION("""COMPUTED_VALUE"""),"100")</f>
        <v>100</v>
      </c>
      <c r="T1030" s="3"/>
      <c r="U1030" s="3" t="str">
        <f ca="1">IFERROR(__xludf.DUMMYFUNCTION("""COMPUTED_VALUE"""),"videospot")</f>
        <v>videospot</v>
      </c>
      <c r="V1030" s="3"/>
      <c r="W1030" s="4" t="str">
        <f ca="1">IFERROR(__xludf.DUMMYFUNCTION("""COMPUTED_VALUE"""),"https://reklama.cncenter.cz/Online/Bumper")</f>
        <v>https://reklama.cncenter.cz/Online/Bumper</v>
      </c>
      <c r="X1030" s="3"/>
      <c r="Y1030" s="3"/>
      <c r="Z1030" s="3" t="str">
        <f ca="1">IFERROR(__xludf.DUMMYFUNCTION("""COMPUTED_VALUE"""),"podklady@cncenter.cz")</f>
        <v>podklady@cncenter.cz</v>
      </c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 t="str">
        <f ca="1">IFERROR(__xludf.DUMMYFUNCTION("""COMPUTED_VALUE"""),"cross-device")</f>
        <v>cross-device</v>
      </c>
      <c r="AO1030" s="3"/>
      <c r="AP1030" s="3"/>
      <c r="AQ1030" s="3"/>
      <c r="AR1030" s="3"/>
      <c r="AS1030" s="3"/>
      <c r="AT1030" s="3"/>
      <c r="AU1030" s="3" t="str">
        <f ca="1">IFERROR(__xludf.DUMMYFUNCTION("""COMPUTED_VALUE"""),"cílený videospot - max. 30 sec. / bumper")</f>
        <v>cílený videospot - max. 30 sec. / bumper</v>
      </c>
    </row>
    <row r="1031" spans="1:47" x14ac:dyDescent="0.3">
      <c r="A1031" s="3">
        <f ca="1"/>
        <v>2346826</v>
      </c>
      <c r="B1031" s="3" t="str">
        <f ca="1"/>
        <v>CZECH NEWS CENTER a. s.</v>
      </c>
      <c r="C1031" s="3" t="str">
        <f ca="1">IFERROR(__xludf.DUMMYFUNCTION("""COMPUTED_VALUE"""),"Ženy")</f>
        <v>Ženy</v>
      </c>
      <c r="D1031" s="4" t="str">
        <f ca="1">IFERROR(__xludf.DUMMYFUNCTION("""COMPUTED_VALUE"""),"https://zeny.cz")</f>
        <v>https://zeny.cz</v>
      </c>
      <c r="E1031" s="3" t="str">
        <f ca="1">IFERROR(__xludf.DUMMYFUNCTION("""COMPUTED_VALUE"""),"celý web")</f>
        <v>celý web</v>
      </c>
      <c r="F1031" s="4" t="str">
        <f ca="1">IFERROR(__xludf.DUMMYFUNCTION("""COMPUTED_VALUE"""),"https://zeny.cz")</f>
        <v>https://zeny.cz</v>
      </c>
      <c r="G1031" s="3" t="str">
        <f ca="1">IFERROR(__xludf.DUMMYFUNCTION("""COMPUTED_VALUE"""),"dokoupení proma o 2 týdny - 10 000 PV *** low season")</f>
        <v>dokoupení proma o 2 týdny - 10 000 PV *** low season</v>
      </c>
      <c r="H1031" s="3">
        <f ca="1">IFERROR(__xludf.DUMMYFUNCTION("""COMPUTED_VALUE"""),1)</f>
        <v>1</v>
      </c>
      <c r="I1031" s="5">
        <f ca="1">IFERROR(__xludf.DUMMYFUNCTION("""COMPUTED_VALUE"""),1)</f>
        <v>1</v>
      </c>
      <c r="J1031" s="5">
        <f ca="1">IFERROR(__xludf.DUMMYFUNCTION("""COMPUTED_VALUE"""),60000)</f>
        <v>60000</v>
      </c>
      <c r="K1031" s="3"/>
      <c r="L1031" s="3" t="str">
        <f ca="1">IFERROR(__xludf.DUMMYFUNCTION("""COMPUTED_VALUE"""),"Cost per instance")</f>
        <v>Cost per instance</v>
      </c>
      <c r="M1031" s="3"/>
      <c r="N1031" s="3"/>
      <c r="O1031" s="3"/>
      <c r="P1031" s="3"/>
      <c r="Q1031" s="3"/>
      <c r="R1031" s="3"/>
      <c r="S1031" s="3" t="str">
        <f ca="1">IFERROR(__xludf.DUMMYFUNCTION("""COMPUTED_VALUE"""),"100")</f>
        <v>100</v>
      </c>
      <c r="T1031" s="3"/>
      <c r="U1031" s="3" t="str">
        <f ca="1">IFERROR(__xludf.DUMMYFUNCTION("""COMPUTED_VALUE"""),"microsite")</f>
        <v>microsite</v>
      </c>
      <c r="V1031" s="3"/>
      <c r="W1031" s="3"/>
      <c r="X1031" s="3"/>
      <c r="Y1031" s="3"/>
      <c r="Z1031" s="3" t="str">
        <f ca="1">IFERROR(__xludf.DUMMYFUNCTION("""COMPUTED_VALUE"""),"podklady@cncenter.cz")</f>
        <v>podklady@cncenter.cz</v>
      </c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 t="str">
        <f ca="1">IFERROR(__xludf.DUMMYFUNCTION("""COMPUTED_VALUE"""),"cross-device")</f>
        <v>cross-device</v>
      </c>
      <c r="AO1031" s="3"/>
      <c r="AP1031" s="3"/>
      <c r="AQ1031" s="3"/>
      <c r="AR1031" s="3"/>
      <c r="AS1031" s="3"/>
      <c r="AT1031" s="3"/>
      <c r="AU1031" s="3" t="str">
        <f ca="1">IFERROR(__xludf.DUMMYFUNCTION("""COMPUTED_VALUE"""),"dokoupení proma o 2 týdny - 10 000 PV ***")</f>
        <v>dokoupení proma o 2 týdny - 10 000 PV ***</v>
      </c>
    </row>
    <row r="1032" spans="1:47" x14ac:dyDescent="0.3">
      <c r="A1032" s="3">
        <f ca="1"/>
        <v>2346826</v>
      </c>
      <c r="B1032" s="3" t="str">
        <f ca="1"/>
        <v>CZECH NEWS CENTER a. s.</v>
      </c>
      <c r="C1032" s="3" t="str">
        <f ca="1">IFERROR(__xludf.DUMMYFUNCTION("""COMPUTED_VALUE"""),"Ženy")</f>
        <v>Ženy</v>
      </c>
      <c r="D1032" s="4" t="str">
        <f ca="1">IFERROR(__xludf.DUMMYFUNCTION("""COMPUTED_VALUE"""),"https://zeny.cz")</f>
        <v>https://zeny.cz</v>
      </c>
      <c r="E1032" s="3" t="str">
        <f ca="1">IFERROR(__xludf.DUMMYFUNCTION("""COMPUTED_VALUE"""),"celý web")</f>
        <v>celý web</v>
      </c>
      <c r="F1032" s="4" t="str">
        <f ca="1">IFERROR(__xludf.DUMMYFUNCTION("""COMPUTED_VALUE"""),"https://zeny.cz")</f>
        <v>https://zeny.cz</v>
      </c>
      <c r="G1032" s="3" t="str">
        <f ca="1">IFERROR(__xludf.DUMMYFUNCTION("""COMPUTED_VALUE"""),"double skyscraper low season")</f>
        <v>double skyscraper low season</v>
      </c>
      <c r="H1032" s="3">
        <f ca="1">IFERROR(__xludf.DUMMYFUNCTION("""COMPUTED_VALUE"""),7)</f>
        <v>7</v>
      </c>
      <c r="I1032" s="5">
        <f ca="1">IFERROR(__xludf.DUMMYFUNCTION("""COMPUTED_VALUE"""),1000)</f>
        <v>1000</v>
      </c>
      <c r="J1032" s="5">
        <f ca="1">IFERROR(__xludf.DUMMYFUNCTION("""COMPUTED_VALUE"""),190)</f>
        <v>190</v>
      </c>
      <c r="K1032" s="3"/>
      <c r="L1032" s="3" t="str">
        <f ca="1">IFERROR(__xludf.DUMMYFUNCTION("""COMPUTED_VALUE"""),"Cost per period")</f>
        <v>Cost per period</v>
      </c>
      <c r="M1032" s="3"/>
      <c r="N1032" s="3"/>
      <c r="O1032" s="3" t="str">
        <f ca="1">IFERROR(__xludf.DUMMYFUNCTION("""COMPUTED_VALUE"""),"300")</f>
        <v>300</v>
      </c>
      <c r="P1032" s="3" t="str">
        <f ca="1">IFERROR(__xludf.DUMMYFUNCTION("""COMPUTED_VALUE"""),"600")</f>
        <v>600</v>
      </c>
      <c r="Q1032" s="3" t="str">
        <f ca="1">IFERROR(__xludf.DUMMYFUNCTION("""COMPUTED_VALUE"""),"300x600")</f>
        <v>300x600</v>
      </c>
      <c r="R1032" s="3"/>
      <c r="S1032" s="3" t="str">
        <f ca="1">IFERROR(__xludf.DUMMYFUNCTION("""COMPUTED_VALUE"""),"100 (200 - HTML5)")</f>
        <v>100 (200 - HTML5)</v>
      </c>
      <c r="T1032" s="3"/>
      <c r="U1032" s="3" t="str">
        <f ca="1">IFERROR(__xludf.DUMMYFUNCTION("""COMPUTED_VALUE"""),"banner standard")</f>
        <v>banner standard</v>
      </c>
      <c r="V1032" s="3"/>
      <c r="W1032" s="4" t="str">
        <f ca="1">IFERROR(__xludf.DUMMYFUNCTION("""COMPUTED_VALUE"""),"https://reklama.cncenter.cz/Online/double-skyscraper")</f>
        <v>https://reklama.cncenter.cz/Online/double-skyscraper</v>
      </c>
      <c r="X1032" s="3"/>
      <c r="Y1032" s="3"/>
      <c r="Z1032" s="3" t="str">
        <f ca="1">IFERROR(__xludf.DUMMYFUNCTION("""COMPUTED_VALUE"""),"podklady@cncenter.cz")</f>
        <v>podklady@cncenter.cz</v>
      </c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 t="str">
        <f ca="1">IFERROR(__xludf.DUMMYFUNCTION("""COMPUTED_VALUE"""),"desktop")</f>
        <v>desktop</v>
      </c>
      <c r="AO1032" s="3"/>
      <c r="AP1032" s="3"/>
      <c r="AQ1032" s="3"/>
      <c r="AR1032" s="3"/>
      <c r="AS1032" s="3"/>
      <c r="AT1032" s="3"/>
      <c r="AU1032" s="3" t="str">
        <f ca="1">IFERROR(__xludf.DUMMYFUNCTION("""COMPUTED_VALUE"""),"double skyscraper")</f>
        <v>double skyscraper</v>
      </c>
    </row>
    <row r="1033" spans="1:47" x14ac:dyDescent="0.3">
      <c r="A1033" s="3">
        <f ca="1"/>
        <v>2346826</v>
      </c>
      <c r="B1033" s="3" t="str">
        <f ca="1"/>
        <v>CZECH NEWS CENTER a. s.</v>
      </c>
      <c r="C1033" s="3" t="str">
        <f ca="1">IFERROR(__xludf.DUMMYFUNCTION("""COMPUTED_VALUE"""),"Ženy")</f>
        <v>Ženy</v>
      </c>
      <c r="D1033" s="4" t="str">
        <f ca="1">IFERROR(__xludf.DUMMYFUNCTION("""COMPUTED_VALUE"""),"https://zeny.cz")</f>
        <v>https://zeny.cz</v>
      </c>
      <c r="E1033" s="3" t="str">
        <f ca="1">IFERROR(__xludf.DUMMYFUNCTION("""COMPUTED_VALUE"""),"celý web")</f>
        <v>celý web</v>
      </c>
      <c r="F1033" s="4" t="str">
        <f ca="1">IFERROR(__xludf.DUMMYFUNCTION("""COMPUTED_VALUE"""),"https://zeny.cz")</f>
        <v>https://zeny.cz</v>
      </c>
      <c r="G1033" s="3" t="str">
        <f ca="1">IFERROR(__xludf.DUMMYFUNCTION("""COMPUTED_VALUE"""),"mini videospot - max. 30 sec. low season")</f>
        <v>mini videospot - max. 30 sec. low season</v>
      </c>
      <c r="H1033" s="3">
        <f ca="1">IFERROR(__xludf.DUMMYFUNCTION("""COMPUTED_VALUE"""),7)</f>
        <v>7</v>
      </c>
      <c r="I1033" s="5">
        <f ca="1">IFERROR(__xludf.DUMMYFUNCTION("""COMPUTED_VALUE"""),1000)</f>
        <v>1000</v>
      </c>
      <c r="J1033" s="5">
        <f ca="1">IFERROR(__xludf.DUMMYFUNCTION("""COMPUTED_VALUE"""),140)</f>
        <v>140</v>
      </c>
      <c r="K1033" s="3"/>
      <c r="L1033" s="3" t="str">
        <f ca="1">IFERROR(__xludf.DUMMYFUNCTION("""COMPUTED_VALUE"""),"Cost per period")</f>
        <v>Cost per period</v>
      </c>
      <c r="M1033" s="3"/>
      <c r="N1033" s="3"/>
      <c r="O1033" s="3"/>
      <c r="P1033" s="3"/>
      <c r="Q1033" s="3" t="str">
        <f ca="1">IFERROR(__xludf.DUMMYFUNCTION("""COMPUTED_VALUE"""),"16:9 / umístění po domluvě dle možností")</f>
        <v>16:9 / umístění po domluvě dle možností</v>
      </c>
      <c r="R1033" s="3" t="str">
        <f ca="1">IFERROR(__xludf.DUMMYFUNCTION("""COMPUTED_VALUE"""),"přeskočení po 7 sekundách")</f>
        <v>přeskočení po 7 sekundách</v>
      </c>
      <c r="S1033" s="3" t="str">
        <f ca="1">IFERROR(__xludf.DUMMYFUNCTION("""COMPUTED_VALUE"""),"100")</f>
        <v>100</v>
      </c>
      <c r="T1033" s="3"/>
      <c r="U1033" s="3" t="str">
        <f ca="1">IFERROR(__xludf.DUMMYFUNCTION("""COMPUTED_VALUE"""),"videospot")</f>
        <v>videospot</v>
      </c>
      <c r="V1033" s="3"/>
      <c r="W1033" s="4" t="str">
        <f ca="1">IFERROR(__xludf.DUMMYFUNCTION("""COMPUTED_VALUE"""),"https://reklama.cncenter.cz/Online/Videospot")</f>
        <v>https://reklama.cncenter.cz/Online/Videospot</v>
      </c>
      <c r="X1033" s="3"/>
      <c r="Y1033" s="3"/>
      <c r="Z1033" s="3" t="str">
        <f ca="1">IFERROR(__xludf.DUMMYFUNCTION("""COMPUTED_VALUE"""),"podklady@cncenter.cz")</f>
        <v>podklady@cncenter.cz</v>
      </c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 t="str">
        <f ca="1">IFERROR(__xludf.DUMMYFUNCTION("""COMPUTED_VALUE"""),"desktop")</f>
        <v>desktop</v>
      </c>
      <c r="AO1033" s="3"/>
      <c r="AP1033" s="3"/>
      <c r="AQ1033" s="3"/>
      <c r="AR1033" s="3"/>
      <c r="AS1033" s="3"/>
      <c r="AT1033" s="3"/>
      <c r="AU1033" s="3" t="str">
        <f ca="1">IFERROR(__xludf.DUMMYFUNCTION("""COMPUTED_VALUE"""),"mini videospot - max. 30 sec.")</f>
        <v>mini videospot - max. 30 sec.</v>
      </c>
    </row>
    <row r="1034" spans="1:47" x14ac:dyDescent="0.3">
      <c r="A1034" s="3">
        <f ca="1"/>
        <v>2346826</v>
      </c>
      <c r="B1034" s="3" t="str">
        <f ca="1"/>
        <v>CZECH NEWS CENTER a. s.</v>
      </c>
      <c r="C1034" s="3" t="str">
        <f ca="1">IFERROR(__xludf.DUMMYFUNCTION("""COMPUTED_VALUE"""),"Ženy")</f>
        <v>Ženy</v>
      </c>
      <c r="D1034" s="4" t="str">
        <f ca="1">IFERROR(__xludf.DUMMYFUNCTION("""COMPUTED_VALUE"""),"https://zeny.cz")</f>
        <v>https://zeny.cz</v>
      </c>
      <c r="E1034" s="3" t="str">
        <f ca="1">IFERROR(__xludf.DUMMYFUNCTION("""COMPUTED_VALUE"""),"celý web")</f>
        <v>celý web</v>
      </c>
      <c r="F1034" s="4" t="str">
        <f ca="1">IFERROR(__xludf.DUMMYFUNCTION("""COMPUTED_VALUE"""),"https://zeny.cz")</f>
        <v>https://zeny.cz</v>
      </c>
      <c r="G1034" s="3" t="str">
        <f ca="1">IFERROR(__xludf.DUMMYFUNCTION("""COMPUTED_VALUE"""),"mobilní interscroller low season")</f>
        <v>mobilní interscroller low season</v>
      </c>
      <c r="H1034" s="3">
        <f ca="1">IFERROR(__xludf.DUMMYFUNCTION("""COMPUTED_VALUE"""),7)</f>
        <v>7</v>
      </c>
      <c r="I1034" s="5">
        <f ca="1">IFERROR(__xludf.DUMMYFUNCTION("""COMPUTED_VALUE"""),1000)</f>
        <v>1000</v>
      </c>
      <c r="J1034" s="5">
        <f ca="1">IFERROR(__xludf.DUMMYFUNCTION("""COMPUTED_VALUE"""),250)</f>
        <v>250</v>
      </c>
      <c r="K1034" s="3"/>
      <c r="L1034" s="3" t="str">
        <f ca="1">IFERROR(__xludf.DUMMYFUNCTION("""COMPUTED_VALUE"""),"Cost per period")</f>
        <v>Cost per period</v>
      </c>
      <c r="M1034" s="3"/>
      <c r="N1034" s="3"/>
      <c r="O1034" s="3" t="str">
        <f ca="1">IFERROR(__xludf.DUMMYFUNCTION("""COMPUTED_VALUE"""),"600")</f>
        <v>600</v>
      </c>
      <c r="P1034" s="3" t="str">
        <f ca="1">IFERROR(__xludf.DUMMYFUNCTION("""COMPUTED_VALUE"""),"1080")</f>
        <v>1080</v>
      </c>
      <c r="Q1034" s="3" t="str">
        <f ca="1">IFERROR(__xludf.DUMMYFUNCTION("""COMPUTED_VALUE"""),"600x1080")</f>
        <v>600x1080</v>
      </c>
      <c r="R1034" s="3"/>
      <c r="S1034" s="3" t="str">
        <f ca="1">IFERROR(__xludf.DUMMYFUNCTION("""COMPUTED_VALUE"""),"200")</f>
        <v>200</v>
      </c>
      <c r="T1034" s="3"/>
      <c r="U1034" s="3" t="str">
        <f ca="1">IFERROR(__xludf.DUMMYFUNCTION("""COMPUTED_VALUE"""),"banner standard")</f>
        <v>banner standard</v>
      </c>
      <c r="V1034" s="3"/>
      <c r="W1034" s="4" t="str">
        <f ca="1">IFERROR(__xludf.DUMMYFUNCTION("""COMPUTED_VALUE"""),"https://reklama.cncenter.cz/Online/mobilni-interscroller")</f>
        <v>https://reklama.cncenter.cz/Online/mobilni-interscroller</v>
      </c>
      <c r="X1034" s="3"/>
      <c r="Y1034" s="3"/>
      <c r="Z1034" s="3" t="str">
        <f ca="1">IFERROR(__xludf.DUMMYFUNCTION("""COMPUTED_VALUE"""),"podklady@cncenter.cz")</f>
        <v>podklady@cncenter.cz</v>
      </c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 t="str">
        <f ca="1">IFERROR(__xludf.DUMMYFUNCTION("""COMPUTED_VALUE"""),"mobile")</f>
        <v>mobile</v>
      </c>
      <c r="AO1034" s="3"/>
      <c r="AP1034" s="3"/>
      <c r="AQ1034" s="3"/>
      <c r="AR1034" s="3"/>
      <c r="AS1034" s="3"/>
      <c r="AT1034" s="3"/>
      <c r="AU1034" s="3" t="str">
        <f ca="1">IFERROR(__xludf.DUMMYFUNCTION("""COMPUTED_VALUE"""),"mobilní interscroller")</f>
        <v>mobilní interscroller</v>
      </c>
    </row>
    <row r="1035" spans="1:47" x14ac:dyDescent="0.3">
      <c r="A1035" s="3">
        <f ca="1"/>
        <v>2346826</v>
      </c>
      <c r="B1035" s="3" t="str">
        <f ca="1"/>
        <v>CZECH NEWS CENTER a. s.</v>
      </c>
      <c r="C1035" s="3" t="str">
        <f ca="1">IFERROR(__xludf.DUMMYFUNCTION("""COMPUTED_VALUE"""),"Ženy")</f>
        <v>Ženy</v>
      </c>
      <c r="D1035" s="4" t="str">
        <f ca="1">IFERROR(__xludf.DUMMYFUNCTION("""COMPUTED_VALUE"""),"https://zeny.cz")</f>
        <v>https://zeny.cz</v>
      </c>
      <c r="E1035" s="3" t="str">
        <f ca="1">IFERROR(__xludf.DUMMYFUNCTION("""COMPUTED_VALUE"""),"celý web")</f>
        <v>celý web</v>
      </c>
      <c r="F1035" s="4" t="str">
        <f ca="1">IFERROR(__xludf.DUMMYFUNCTION("""COMPUTED_VALUE"""),"https://zeny.cz")</f>
        <v>https://zeny.cz</v>
      </c>
      <c r="G1035" s="3" t="str">
        <f ca="1">IFERROR(__xludf.DUMMYFUNCTION("""COMPUTED_VALUE"""),"mobilní slide-up low season")</f>
        <v>mobilní slide-up low season</v>
      </c>
      <c r="H1035" s="3">
        <f ca="1">IFERROR(__xludf.DUMMYFUNCTION("""COMPUTED_VALUE"""),7)</f>
        <v>7</v>
      </c>
      <c r="I1035" s="5">
        <f ca="1">IFERROR(__xludf.DUMMYFUNCTION("""COMPUTED_VALUE"""),1000)</f>
        <v>1000</v>
      </c>
      <c r="J1035" s="5">
        <f ca="1">IFERROR(__xludf.DUMMYFUNCTION("""COMPUTED_VALUE"""),510)</f>
        <v>510</v>
      </c>
      <c r="K1035" s="3"/>
      <c r="L1035" s="3" t="str">
        <f ca="1">IFERROR(__xludf.DUMMYFUNCTION("""COMPUTED_VALUE"""),"Cost per period")</f>
        <v>Cost per period</v>
      </c>
      <c r="M1035" s="3"/>
      <c r="N1035" s="3"/>
      <c r="O1035" s="3" t="str">
        <f ca="1">IFERROR(__xludf.DUMMYFUNCTION("""COMPUTED_VALUE"""),"300")</f>
        <v>300</v>
      </c>
      <c r="P1035" s="3" t="str">
        <f ca="1">IFERROR(__xludf.DUMMYFUNCTION("""COMPUTED_VALUE"""),"120")</f>
        <v>120</v>
      </c>
      <c r="Q1035" s="3" t="str">
        <f ca="1">IFERROR(__xludf.DUMMYFUNCTION("""COMPUTED_VALUE"""),"300x120")</f>
        <v>300x120</v>
      </c>
      <c r="R1035" s="3"/>
      <c r="S1035" s="3" t="str">
        <f ca="1">IFERROR(__xludf.DUMMYFUNCTION("""COMPUTED_VALUE"""),"100")</f>
        <v>100</v>
      </c>
      <c r="T1035" s="3"/>
      <c r="U1035" s="3" t="str">
        <f ca="1">IFERROR(__xludf.DUMMYFUNCTION("""COMPUTED_VALUE"""),"banner standard")</f>
        <v>banner standard</v>
      </c>
      <c r="V1035" s="3"/>
      <c r="W1035" s="4" t="str">
        <f ca="1">IFERROR(__xludf.DUMMYFUNCTION("""COMPUTED_VALUE"""),"https://reklama.cncenter.cz/Online/mobilni-slide-up")</f>
        <v>https://reklama.cncenter.cz/Online/mobilni-slide-up</v>
      </c>
      <c r="X1035" s="3"/>
      <c r="Y1035" s="3"/>
      <c r="Z1035" s="3" t="str">
        <f ca="1">IFERROR(__xludf.DUMMYFUNCTION("""COMPUTED_VALUE"""),"podklady@cncenter.cz")</f>
        <v>podklady@cncenter.cz</v>
      </c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 t="str">
        <f ca="1">IFERROR(__xludf.DUMMYFUNCTION("""COMPUTED_VALUE"""),"mobile")</f>
        <v>mobile</v>
      </c>
      <c r="AO1035" s="3"/>
      <c r="AP1035" s="3"/>
      <c r="AQ1035" s="3"/>
      <c r="AR1035" s="3"/>
      <c r="AS1035" s="3"/>
      <c r="AT1035" s="3"/>
      <c r="AU1035" s="3" t="str">
        <f ca="1">IFERROR(__xludf.DUMMYFUNCTION("""COMPUTED_VALUE"""),"mobilní slide-up")</f>
        <v>mobilní slide-up</v>
      </c>
    </row>
    <row r="1036" spans="1:47" x14ac:dyDescent="0.3">
      <c r="A1036" s="3">
        <f ca="1"/>
        <v>2346826</v>
      </c>
      <c r="B1036" s="3" t="str">
        <f ca="1"/>
        <v>CZECH NEWS CENTER a. s.</v>
      </c>
      <c r="C1036" s="3" t="str">
        <f ca="1">IFERROR(__xludf.DUMMYFUNCTION("""COMPUTED_VALUE"""),"Ženy")</f>
        <v>Ženy</v>
      </c>
      <c r="D1036" s="4" t="str">
        <f ca="1">IFERROR(__xludf.DUMMYFUNCTION("""COMPUTED_VALUE"""),"https://zeny.cz")</f>
        <v>https://zeny.cz</v>
      </c>
      <c r="E1036" s="3" t="str">
        <f ca="1">IFERROR(__xludf.DUMMYFUNCTION("""COMPUTED_VALUE"""),"celý web")</f>
        <v>celý web</v>
      </c>
      <c r="F1036" s="4" t="str">
        <f ca="1">IFERROR(__xludf.DUMMYFUNCTION("""COMPUTED_VALUE"""),"https://zeny.cz")</f>
        <v>https://zeny.cz</v>
      </c>
      <c r="G1036" s="3" t="str">
        <f ca="1">IFERROR(__xludf.DUMMYFUNCTION("""COMPUTED_VALUE"""),"mobilní viněta low season")</f>
        <v>mobilní viněta low season</v>
      </c>
      <c r="H1036" s="3">
        <f ca="1">IFERROR(__xludf.DUMMYFUNCTION("""COMPUTED_VALUE"""),7)</f>
        <v>7</v>
      </c>
      <c r="I1036" s="5">
        <f ca="1">IFERROR(__xludf.DUMMYFUNCTION("""COMPUTED_VALUE"""),1000)</f>
        <v>1000</v>
      </c>
      <c r="J1036" s="5">
        <f ca="1">IFERROR(__xludf.DUMMYFUNCTION("""COMPUTED_VALUE"""),880)</f>
        <v>880</v>
      </c>
      <c r="K1036" s="3"/>
      <c r="L1036" s="3" t="str">
        <f ca="1">IFERROR(__xludf.DUMMYFUNCTION("""COMPUTED_VALUE"""),"Cost per period")</f>
        <v>Cost per period</v>
      </c>
      <c r="M1036" s="3"/>
      <c r="N1036" s="3"/>
      <c r="O1036" s="3" t="str">
        <f ca="1">IFERROR(__xludf.DUMMYFUNCTION("""COMPUTED_VALUE"""),"600")</f>
        <v>600</v>
      </c>
      <c r="P1036" s="3" t="str">
        <f ca="1">IFERROR(__xludf.DUMMYFUNCTION("""COMPUTED_VALUE"""),"800")</f>
        <v>800</v>
      </c>
      <c r="Q1036" s="3" t="str">
        <f ca="1">IFERROR(__xludf.DUMMYFUNCTION("""COMPUTED_VALUE"""),"300x250 nebo 600x800")</f>
        <v>300x250 nebo 600x800</v>
      </c>
      <c r="R1036" s="3"/>
      <c r="S1036" s="3" t="str">
        <f ca="1">IFERROR(__xludf.DUMMYFUNCTION("""COMPUTED_VALUE"""),"100")</f>
        <v>100</v>
      </c>
      <c r="T1036" s="3"/>
      <c r="U1036" s="3" t="str">
        <f ca="1">IFERROR(__xludf.DUMMYFUNCTION("""COMPUTED_VALUE"""),"banner standard")</f>
        <v>banner standard</v>
      </c>
      <c r="V1036" s="3"/>
      <c r="W1036" s="4" t="str">
        <f ca="1">IFERROR(__xludf.DUMMYFUNCTION("""COMPUTED_VALUE"""),"https://reklama.cncenter.cz/Online/mobilni-vineta")</f>
        <v>https://reklama.cncenter.cz/Online/mobilni-vineta</v>
      </c>
      <c r="X1036" s="3"/>
      <c r="Y1036" s="3"/>
      <c r="Z1036" s="3" t="str">
        <f ca="1">IFERROR(__xludf.DUMMYFUNCTION("""COMPUTED_VALUE"""),"podklady@cncenter.cz")</f>
        <v>podklady@cncenter.cz</v>
      </c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 t="str">
        <f ca="1">IFERROR(__xludf.DUMMYFUNCTION("""COMPUTED_VALUE"""),"mobile")</f>
        <v>mobile</v>
      </c>
      <c r="AO1036" s="3"/>
      <c r="AP1036" s="3"/>
      <c r="AQ1036" s="3"/>
      <c r="AR1036" s="3"/>
      <c r="AS1036" s="3"/>
      <c r="AT1036" s="3"/>
      <c r="AU1036" s="3" t="str">
        <f ca="1">IFERROR(__xludf.DUMMYFUNCTION("""COMPUTED_VALUE"""),"mobilní viněta")</f>
        <v>mobilní viněta</v>
      </c>
    </row>
    <row r="1037" spans="1:47" x14ac:dyDescent="0.3">
      <c r="A1037" s="3">
        <f ca="1"/>
        <v>2346826</v>
      </c>
      <c r="B1037" s="3" t="str">
        <f ca="1"/>
        <v>CZECH NEWS CENTER a. s.</v>
      </c>
      <c r="C1037" s="3" t="str">
        <f ca="1">IFERROR(__xludf.DUMMYFUNCTION("""COMPUTED_VALUE"""),"Ženy")</f>
        <v>Ženy</v>
      </c>
      <c r="D1037" s="4" t="str">
        <f ca="1">IFERROR(__xludf.DUMMYFUNCTION("""COMPUTED_VALUE"""),"https://zeny.cz")</f>
        <v>https://zeny.cz</v>
      </c>
      <c r="E1037" s="3" t="str">
        <f ca="1">IFERROR(__xludf.DUMMYFUNCTION("""COMPUTED_VALUE"""),"celý web")</f>
        <v>celý web</v>
      </c>
      <c r="F1037" s="4" t="str">
        <f ca="1">IFERROR(__xludf.DUMMYFUNCTION("""COMPUTED_VALUE"""),"https://zeny.cz")</f>
        <v>https://zeny.cz</v>
      </c>
      <c r="G1037" s="3" t="str">
        <f ca="1">IFERROR(__xludf.DUMMYFUNCTION("""COMPUTED_VALUE"""),"Native Standard low season")</f>
        <v>Native Standard low season</v>
      </c>
      <c r="H1037" s="3">
        <f ca="1">IFERROR(__xludf.DUMMYFUNCTION("""COMPUTED_VALUE"""),1)</f>
        <v>1</v>
      </c>
      <c r="I1037" s="5">
        <f ca="1">IFERROR(__xludf.DUMMYFUNCTION("""COMPUTED_VALUE"""),1)</f>
        <v>1</v>
      </c>
      <c r="J1037" s="5">
        <f ca="1">IFERROR(__xludf.DUMMYFUNCTION("""COMPUTED_VALUE"""),330000)</f>
        <v>330000</v>
      </c>
      <c r="K1037" s="3"/>
      <c r="L1037" s="3" t="str">
        <f ca="1">IFERROR(__xludf.DUMMYFUNCTION("""COMPUTED_VALUE"""),"Cost per instance")</f>
        <v>Cost per instance</v>
      </c>
      <c r="M1037" s="3"/>
      <c r="N1037" s="3"/>
      <c r="O1037" s="3"/>
      <c r="P1037" s="3"/>
      <c r="Q1037" s="3"/>
      <c r="R1037" s="3"/>
      <c r="S1037" s="3" t="str">
        <f ca="1">IFERROR(__xludf.DUMMYFUNCTION("""COMPUTED_VALUE"""),"100")</f>
        <v>100</v>
      </c>
      <c r="T1037" s="3"/>
      <c r="U1037" s="3" t="str">
        <f ca="1">IFERROR(__xludf.DUMMYFUNCTION("""COMPUTED_VALUE"""),"microsite")</f>
        <v>microsite</v>
      </c>
      <c r="V1037" s="3"/>
      <c r="W1037" s="3"/>
      <c r="X1037" s="3"/>
      <c r="Y1037" s="3"/>
      <c r="Z1037" s="3" t="str">
        <f ca="1">IFERROR(__xludf.DUMMYFUNCTION("""COMPUTED_VALUE"""),"podklady@cncenter.cz")</f>
        <v>podklady@cncenter.cz</v>
      </c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 t="str">
        <f ca="1">IFERROR(__xludf.DUMMYFUNCTION("""COMPUTED_VALUE"""),"cross-device")</f>
        <v>cross-device</v>
      </c>
      <c r="AO1037" s="3"/>
      <c r="AP1037" s="3"/>
      <c r="AQ1037" s="3"/>
      <c r="AR1037" s="3"/>
      <c r="AS1037" s="3"/>
      <c r="AT1037" s="3"/>
      <c r="AU1037" s="3" t="str">
        <f ca="1">IFERROR(__xludf.DUMMYFUNCTION("""COMPUTED_VALUE"""),"Native Standard")</f>
        <v>Native Standard</v>
      </c>
    </row>
    <row r="1038" spans="1:47" x14ac:dyDescent="0.3">
      <c r="A1038" s="3">
        <f ca="1"/>
        <v>2346826</v>
      </c>
      <c r="B1038" s="3" t="str">
        <f ca="1"/>
        <v>CZECH NEWS CENTER a. s.</v>
      </c>
      <c r="C1038" s="3" t="str">
        <f ca="1">IFERROR(__xludf.DUMMYFUNCTION("""COMPUTED_VALUE"""),"Ženy")</f>
        <v>Ženy</v>
      </c>
      <c r="D1038" s="4" t="str">
        <f ca="1">IFERROR(__xludf.DUMMYFUNCTION("""COMPUTED_VALUE"""),"https://zeny.cz")</f>
        <v>https://zeny.cz</v>
      </c>
      <c r="E1038" s="3" t="str">
        <f ca="1">IFERROR(__xludf.DUMMYFUNCTION("""COMPUTED_VALUE"""),"celý web")</f>
        <v>celý web</v>
      </c>
      <c r="F1038" s="4" t="str">
        <f ca="1">IFERROR(__xludf.DUMMYFUNCTION("""COMPUTED_VALUE"""),"https://zeny.cz")</f>
        <v>https://zeny.cz</v>
      </c>
      <c r="G1038" s="3" t="str">
        <f ca="1">IFERROR(__xludf.DUMMYFUNCTION("""COMPUTED_VALUE"""),"nativní pr premium low season")</f>
        <v>nativní pr premium low season</v>
      </c>
      <c r="H1038" s="3">
        <f ca="1">IFERROR(__xludf.DUMMYFUNCTION("""COMPUTED_VALUE"""),7)</f>
        <v>7</v>
      </c>
      <c r="I1038" s="5">
        <f ca="1">IFERROR(__xludf.DUMMYFUNCTION("""COMPUTED_VALUE"""),1000)</f>
        <v>1000</v>
      </c>
      <c r="J1038" s="5">
        <f ca="1">IFERROR(__xludf.DUMMYFUNCTION("""COMPUTED_VALUE"""),100)</f>
        <v>100</v>
      </c>
      <c r="K1038" s="3"/>
      <c r="L1038" s="3" t="str">
        <f ca="1">IFERROR(__xludf.DUMMYFUNCTION("""COMPUTED_VALUE"""),"Cost per period")</f>
        <v>Cost per period</v>
      </c>
      <c r="M1038" s="3"/>
      <c r="N1038" s="3"/>
      <c r="O1038" s="3" t="str">
        <f ca="1">IFERROR(__xludf.DUMMYFUNCTION("""COMPUTED_VALUE"""),"640")</f>
        <v>640</v>
      </c>
      <c r="P1038" s="3" t="str">
        <f ca="1">IFERROR(__xludf.DUMMYFUNCTION("""COMPUTED_VALUE"""),"335, 640")</f>
        <v>335, 640</v>
      </c>
      <c r="Q1038" s="3" t="str">
        <f ca="1">IFERROR(__xludf.DUMMYFUNCTION("""COMPUTED_VALUE"""),"640x640 a 640x335 + text + logo")</f>
        <v>640x640 a 640x335 + text + logo</v>
      </c>
      <c r="R1038" s="3" t="str">
        <f ca="1">IFERROR(__xludf.DUMMYFUNCTION("""COMPUTED_VALUE"""),"detailní specifikace na URL odkaze")</f>
        <v>detailní specifikace na URL odkaze</v>
      </c>
      <c r="S1038" s="3" t="str">
        <f ca="1">IFERROR(__xludf.DUMMYFUNCTION("""COMPUTED_VALUE"""),"100")</f>
        <v>100</v>
      </c>
      <c r="T1038" s="3"/>
      <c r="U1038" s="3" t="str">
        <f ca="1">IFERROR(__xludf.DUMMYFUNCTION("""COMPUTED_VALUE"""),"nativní reklama")</f>
        <v>nativní reklama</v>
      </c>
      <c r="V1038" s="3"/>
      <c r="W1038" s="4" t="str">
        <f ca="1">IFERROR(__xludf.DUMMYFUNCTION("""COMPUTED_VALUE"""),"https://reklama.cncenter.cz/Online/nativni-PR-premium")</f>
        <v>https://reklama.cncenter.cz/Online/nativni-PR-premium</v>
      </c>
      <c r="X1038" s="3"/>
      <c r="Y1038" s="3"/>
      <c r="Z1038" s="3" t="str">
        <f ca="1">IFERROR(__xludf.DUMMYFUNCTION("""COMPUTED_VALUE"""),"podklady@cncenter.cz")</f>
        <v>podklady@cncenter.cz</v>
      </c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 t="str">
        <f ca="1">IFERROR(__xludf.DUMMYFUNCTION("""COMPUTED_VALUE"""),"cross-device")</f>
        <v>cross-device</v>
      </c>
      <c r="AO1038" s="3"/>
      <c r="AP1038" s="3"/>
      <c r="AQ1038" s="3"/>
      <c r="AR1038" s="3"/>
      <c r="AS1038" s="3"/>
      <c r="AT1038" s="3"/>
      <c r="AU1038" s="3" t="str">
        <f ca="1">IFERROR(__xludf.DUMMYFUNCTION("""COMPUTED_VALUE"""),"nativní pr premium")</f>
        <v>nativní pr premium</v>
      </c>
    </row>
    <row r="1039" spans="1:47" x14ac:dyDescent="0.3">
      <c r="A1039" s="3">
        <f ca="1"/>
        <v>2346826</v>
      </c>
      <c r="B1039" s="3" t="str">
        <f ca="1"/>
        <v>CZECH NEWS CENTER a. s.</v>
      </c>
      <c r="C1039" s="3" t="str">
        <f ca="1">IFERROR(__xludf.DUMMYFUNCTION("""COMPUTED_VALUE"""),"Ženy")</f>
        <v>Ženy</v>
      </c>
      <c r="D1039" s="4" t="str">
        <f ca="1">IFERROR(__xludf.DUMMYFUNCTION("""COMPUTED_VALUE"""),"https://zeny.cz")</f>
        <v>https://zeny.cz</v>
      </c>
      <c r="E1039" s="3" t="str">
        <f ca="1">IFERROR(__xludf.DUMMYFUNCTION("""COMPUTED_VALUE"""),"celý web")</f>
        <v>celý web</v>
      </c>
      <c r="F1039" s="4" t="str">
        <f ca="1">IFERROR(__xludf.DUMMYFUNCTION("""COMPUTED_VALUE"""),"https://zeny.cz")</f>
        <v>https://zeny.cz</v>
      </c>
      <c r="G1039" s="3" t="str">
        <f ca="1">IFERROR(__xludf.DUMMYFUNCTION("""COMPUTED_VALUE"""),"nativní rectangle cross-device low season")</f>
        <v>nativní rectangle cross-device low season</v>
      </c>
      <c r="H1039" s="3">
        <f ca="1">IFERROR(__xludf.DUMMYFUNCTION("""COMPUTED_VALUE"""),7)</f>
        <v>7</v>
      </c>
      <c r="I1039" s="5">
        <f ca="1">IFERROR(__xludf.DUMMYFUNCTION("""COMPUTED_VALUE"""),1000)</f>
        <v>1000</v>
      </c>
      <c r="J1039" s="5">
        <f ca="1">IFERROR(__xludf.DUMMYFUNCTION("""COMPUTED_VALUE"""),200)</f>
        <v>200</v>
      </c>
      <c r="K1039" s="3"/>
      <c r="L1039" s="3" t="str">
        <f ca="1">IFERROR(__xludf.DUMMYFUNCTION("""COMPUTED_VALUE"""),"Cost per period")</f>
        <v>Cost per period</v>
      </c>
      <c r="M1039" s="3"/>
      <c r="N1039" s="3"/>
      <c r="O1039" s="3" t="str">
        <f ca="1">IFERROR(__xludf.DUMMYFUNCTION("""COMPUTED_VALUE"""),"640")</f>
        <v>640</v>
      </c>
      <c r="P1039" s="3" t="str">
        <f ca="1">IFERROR(__xludf.DUMMYFUNCTION("""COMPUTED_VALUE"""),"335, 640")</f>
        <v>335, 640</v>
      </c>
      <c r="Q1039" s="3" t="str">
        <f ca="1">IFERROR(__xludf.DUMMYFUNCTION("""COMPUTED_VALUE"""),"640x640 a 640x335 + text + logo")</f>
        <v>640x640 a 640x335 + text + logo</v>
      </c>
      <c r="R1039" s="3"/>
      <c r="S1039" s="3" t="str">
        <f ca="1">IFERROR(__xludf.DUMMYFUNCTION("""COMPUTED_VALUE"""),"45")</f>
        <v>45</v>
      </c>
      <c r="T1039" s="3"/>
      <c r="U1039" s="3" t="str">
        <f ca="1">IFERROR(__xludf.DUMMYFUNCTION("""COMPUTED_VALUE"""),"nativní reklama")</f>
        <v>nativní reklama</v>
      </c>
      <c r="V1039" s="3"/>
      <c r="W1039" s="4" t="str">
        <f ca="1">IFERROR(__xludf.DUMMYFUNCTION("""COMPUTED_VALUE"""),"https://reklama.cncenter.cz/Online/nativni-rectangle-cross-device")</f>
        <v>https://reklama.cncenter.cz/Online/nativni-rectangle-cross-device</v>
      </c>
      <c r="X1039" s="3"/>
      <c r="Y1039" s="3"/>
      <c r="Z1039" s="3" t="str">
        <f ca="1">IFERROR(__xludf.DUMMYFUNCTION("""COMPUTED_VALUE"""),"podklady@cncenter.cz")</f>
        <v>podklady@cncenter.cz</v>
      </c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 t="str">
        <f ca="1">IFERROR(__xludf.DUMMYFUNCTION("""COMPUTED_VALUE"""),"cross-device")</f>
        <v>cross-device</v>
      </c>
      <c r="AO1039" s="3"/>
      <c r="AP1039" s="3"/>
      <c r="AQ1039" s="3"/>
      <c r="AR1039" s="3"/>
      <c r="AS1039" s="3"/>
      <c r="AT1039" s="3"/>
      <c r="AU1039" s="3" t="str">
        <f ca="1">IFERROR(__xludf.DUMMYFUNCTION("""COMPUTED_VALUE"""),"nativní rectangle cross-device")</f>
        <v>nativní rectangle cross-device</v>
      </c>
    </row>
    <row r="1040" spans="1:47" x14ac:dyDescent="0.3">
      <c r="A1040" s="3">
        <f ca="1"/>
        <v>2346826</v>
      </c>
      <c r="B1040" s="3" t="str">
        <f ca="1"/>
        <v>CZECH NEWS CENTER a. s.</v>
      </c>
      <c r="C1040" s="3" t="str">
        <f ca="1">IFERROR(__xludf.DUMMYFUNCTION("""COMPUTED_VALUE"""),"Ženy")</f>
        <v>Ženy</v>
      </c>
      <c r="D1040" s="4" t="str">
        <f ca="1">IFERROR(__xludf.DUMMYFUNCTION("""COMPUTED_VALUE"""),"https://zeny.cz")</f>
        <v>https://zeny.cz</v>
      </c>
      <c r="E1040" s="3" t="str">
        <f ca="1">IFERROR(__xludf.DUMMYFUNCTION("""COMPUTED_VALUE"""),"celý web")</f>
        <v>celý web</v>
      </c>
      <c r="F1040" s="4" t="str">
        <f ca="1">IFERROR(__xludf.DUMMYFUNCTION("""COMPUTED_VALUE"""),"https://zeny.cz")</f>
        <v>https://zeny.cz</v>
      </c>
      <c r="G1040" s="3" t="str">
        <f ca="1">IFERROR(__xludf.DUMMYFUNCTION("""COMPUTED_VALUE"""),"outstream low season")</f>
        <v>outstream low season</v>
      </c>
      <c r="H1040" s="3">
        <f ca="1">IFERROR(__xludf.DUMMYFUNCTION("""COMPUTED_VALUE"""),7)</f>
        <v>7</v>
      </c>
      <c r="I1040" s="5">
        <f ca="1">IFERROR(__xludf.DUMMYFUNCTION("""COMPUTED_VALUE"""),1000)</f>
        <v>1000</v>
      </c>
      <c r="J1040" s="5">
        <f ca="1">IFERROR(__xludf.DUMMYFUNCTION("""COMPUTED_VALUE"""),250)</f>
        <v>250</v>
      </c>
      <c r="K1040" s="3"/>
      <c r="L1040" s="3" t="str">
        <f ca="1">IFERROR(__xludf.DUMMYFUNCTION("""COMPUTED_VALUE"""),"Cost per period")</f>
        <v>Cost per period</v>
      </c>
      <c r="M1040" s="3"/>
      <c r="N1040" s="3"/>
      <c r="O1040" s="3" t="str">
        <f ca="1">IFERROR(__xludf.DUMMYFUNCTION("""COMPUTED_VALUE"""),"1280")</f>
        <v>1280</v>
      </c>
      <c r="P1040" s="3" t="str">
        <f ca="1">IFERROR(__xludf.DUMMYFUNCTION("""COMPUTED_VALUE"""),"720")</f>
        <v>720</v>
      </c>
      <c r="Q1040" s="3" t="str">
        <f ca="1">IFERROR(__xludf.DUMMYFUNCTION("""COMPUTED_VALUE"""),"16:9")</f>
        <v>16:9</v>
      </c>
      <c r="R1040" s="3"/>
      <c r="S1040" s="3" t="str">
        <f ca="1">IFERROR(__xludf.DUMMYFUNCTION("""COMPUTED_VALUE"""),"100")</f>
        <v>100</v>
      </c>
      <c r="T1040" s="3"/>
      <c r="U1040" s="3" t="str">
        <f ca="1">IFERROR(__xludf.DUMMYFUNCTION("""COMPUTED_VALUE"""),"videospot")</f>
        <v>videospot</v>
      </c>
      <c r="V1040" s="3"/>
      <c r="W1040" s="4" t="str">
        <f ca="1">IFERROR(__xludf.DUMMYFUNCTION("""COMPUTED_VALUE"""),"https://reklama.cncenter.cz/Online/Outstream")</f>
        <v>https://reklama.cncenter.cz/Online/Outstream</v>
      </c>
      <c r="X1040" s="3"/>
      <c r="Y1040" s="3"/>
      <c r="Z1040" s="3" t="str">
        <f ca="1">IFERROR(__xludf.DUMMYFUNCTION("""COMPUTED_VALUE"""),"podklady@cncenter.cz")</f>
        <v>podklady@cncenter.cz</v>
      </c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 t="str">
        <f ca="1">IFERROR(__xludf.DUMMYFUNCTION("""COMPUTED_VALUE"""),"cross-device")</f>
        <v>cross-device</v>
      </c>
      <c r="AO1040" s="3"/>
      <c r="AP1040" s="3"/>
      <c r="AQ1040" s="3"/>
      <c r="AR1040" s="3"/>
      <c r="AS1040" s="3"/>
      <c r="AT1040" s="3"/>
      <c r="AU1040" s="3" t="str">
        <f ca="1">IFERROR(__xludf.DUMMYFUNCTION("""COMPUTED_VALUE"""),"outstream")</f>
        <v>outstream</v>
      </c>
    </row>
    <row r="1041" spans="1:47" x14ac:dyDescent="0.3">
      <c r="A1041" s="3">
        <f ca="1"/>
        <v>2346826</v>
      </c>
      <c r="B1041" s="3" t="str">
        <f ca="1"/>
        <v>CZECH NEWS CENTER a. s.</v>
      </c>
      <c r="C1041" s="3" t="str">
        <f ca="1">IFERROR(__xludf.DUMMYFUNCTION("""COMPUTED_VALUE"""),"Ženy")</f>
        <v>Ženy</v>
      </c>
      <c r="D1041" s="4" t="str">
        <f ca="1">IFERROR(__xludf.DUMMYFUNCTION("""COMPUTED_VALUE"""),"https://zeny.cz")</f>
        <v>https://zeny.cz</v>
      </c>
      <c r="E1041" s="3" t="str">
        <f ca="1">IFERROR(__xludf.DUMMYFUNCTION("""COMPUTED_VALUE"""),"celý web")</f>
        <v>celý web</v>
      </c>
      <c r="F1041" s="4" t="str">
        <f ca="1">IFERROR(__xludf.DUMMYFUNCTION("""COMPUTED_VALUE"""),"https://zeny.cz")</f>
        <v>https://zeny.cz</v>
      </c>
      <c r="G1041" s="3" t="str">
        <f ca="1">IFERROR(__xludf.DUMMYFUNCTION("""COMPUTED_VALUE"""),"PR článek low season")</f>
        <v>PR článek low season</v>
      </c>
      <c r="H1041" s="3">
        <f ca="1">IFERROR(__xludf.DUMMYFUNCTION("""COMPUTED_VALUE"""),1)</f>
        <v>1</v>
      </c>
      <c r="I1041" s="5">
        <f ca="1">IFERROR(__xludf.DUMMYFUNCTION("""COMPUTED_VALUE"""),1)</f>
        <v>1</v>
      </c>
      <c r="J1041" s="5">
        <f ca="1">IFERROR(__xludf.DUMMYFUNCTION("""COMPUTED_VALUE"""),30000)</f>
        <v>30000</v>
      </c>
      <c r="K1041" s="3"/>
      <c r="L1041" s="3" t="str">
        <f ca="1">IFERROR(__xludf.DUMMYFUNCTION("""COMPUTED_VALUE"""),"Cost per instance")</f>
        <v>Cost per instance</v>
      </c>
      <c r="M1041" s="3"/>
      <c r="N1041" s="3"/>
      <c r="O1041" s="3"/>
      <c r="P1041" s="3"/>
      <c r="Q1041" s="3"/>
      <c r="R1041" s="3"/>
      <c r="S1041" s="3" t="str">
        <f ca="1">IFERROR(__xludf.DUMMYFUNCTION("""COMPUTED_VALUE"""),"100")</f>
        <v>100</v>
      </c>
      <c r="T1041" s="3"/>
      <c r="U1041" s="3" t="str">
        <f ca="1">IFERROR(__xludf.DUMMYFUNCTION("""COMPUTED_VALUE"""),"pr článek")</f>
        <v>pr článek</v>
      </c>
      <c r="V1041" s="3"/>
      <c r="W1041" s="4" t="str">
        <f ca="1">IFERROR(__xludf.DUMMYFUNCTION("""COMPUTED_VALUE"""),"https://reklama.cncenter.cz/?ads=PR%2520%25C4%258Dl%25C3%25A1nky")</f>
        <v>https://reklama.cncenter.cz/?ads=PR%2520%25C4%258Dl%25C3%25A1nky</v>
      </c>
      <c r="X1041" s="3"/>
      <c r="Y1041" s="3"/>
      <c r="Z1041" s="3" t="str">
        <f ca="1">IFERROR(__xludf.DUMMYFUNCTION("""COMPUTED_VALUE"""),"podklady@cncenter.cz")</f>
        <v>podklady@cncenter.cz</v>
      </c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 t="str">
        <f ca="1">IFERROR(__xludf.DUMMYFUNCTION("""COMPUTED_VALUE"""),"cross-device")</f>
        <v>cross-device</v>
      </c>
      <c r="AO1041" s="3"/>
      <c r="AP1041" s="3"/>
      <c r="AQ1041" s="3"/>
      <c r="AR1041" s="3"/>
      <c r="AS1041" s="3"/>
      <c r="AT1041" s="3"/>
      <c r="AU1041" s="3" t="str">
        <f ca="1">IFERROR(__xludf.DUMMYFUNCTION("""COMPUTED_VALUE"""),"PR článek")</f>
        <v>PR článek</v>
      </c>
    </row>
    <row r="1042" spans="1:47" x14ac:dyDescent="0.3">
      <c r="A1042" s="3">
        <f ca="1"/>
        <v>2346826</v>
      </c>
      <c r="B1042" s="3" t="str">
        <f ca="1"/>
        <v>CZECH NEWS CENTER a. s.</v>
      </c>
      <c r="C1042" s="3" t="str">
        <f ca="1">IFERROR(__xludf.DUMMYFUNCTION("""COMPUTED_VALUE"""),"Ženy")</f>
        <v>Ženy</v>
      </c>
      <c r="D1042" s="4" t="str">
        <f ca="1">IFERROR(__xludf.DUMMYFUNCTION("""COMPUTED_VALUE"""),"https://zeny.cz")</f>
        <v>https://zeny.cz</v>
      </c>
      <c r="E1042" s="3" t="str">
        <f ca="1">IFERROR(__xludf.DUMMYFUNCTION("""COMPUTED_VALUE"""),"celý web")</f>
        <v>celý web</v>
      </c>
      <c r="F1042" s="4" t="str">
        <f ca="1">IFERROR(__xludf.DUMMYFUNCTION("""COMPUTED_VALUE"""),"https://zeny.cz")</f>
        <v>https://zeny.cz</v>
      </c>
      <c r="G1042" s="3" t="str">
        <f ca="1">IFERROR(__xludf.DUMMYFUNCTION("""COMPUTED_VALUE"""),"Prodloužení existující microsite, bez úprav low season")</f>
        <v>Prodloužení existující microsite, bez úprav low season</v>
      </c>
      <c r="H1042" s="3">
        <f ca="1">IFERROR(__xludf.DUMMYFUNCTION("""COMPUTED_VALUE"""),1)</f>
        <v>1</v>
      </c>
      <c r="I1042" s="5">
        <f ca="1">IFERROR(__xludf.DUMMYFUNCTION("""COMPUTED_VALUE"""),1)</f>
        <v>1</v>
      </c>
      <c r="J1042" s="5">
        <f ca="1">IFERROR(__xludf.DUMMYFUNCTION("""COMPUTED_VALUE"""),15000)</f>
        <v>15000</v>
      </c>
      <c r="K1042" s="3"/>
      <c r="L1042" s="3" t="str">
        <f ca="1">IFERROR(__xludf.DUMMYFUNCTION("""COMPUTED_VALUE"""),"Cost per instance")</f>
        <v>Cost per instance</v>
      </c>
      <c r="M1042" s="3"/>
      <c r="N1042" s="3"/>
      <c r="O1042" s="3"/>
      <c r="P1042" s="3"/>
      <c r="Q1042" s="3"/>
      <c r="R1042" s="3"/>
      <c r="S1042" s="3" t="str">
        <f ca="1">IFERROR(__xludf.DUMMYFUNCTION("""COMPUTED_VALUE"""),"100")</f>
        <v>100</v>
      </c>
      <c r="T1042" s="3"/>
      <c r="U1042" s="3" t="str">
        <f ca="1">IFERROR(__xludf.DUMMYFUNCTION("""COMPUTED_VALUE"""),"microsite")</f>
        <v>microsite</v>
      </c>
      <c r="V1042" s="3"/>
      <c r="W1042" s="3"/>
      <c r="X1042" s="3"/>
      <c r="Y1042" s="3"/>
      <c r="Z1042" s="3" t="str">
        <f ca="1">IFERROR(__xludf.DUMMYFUNCTION("""COMPUTED_VALUE"""),"podklady@cncenter.cz")</f>
        <v>podklady@cncenter.cz</v>
      </c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 t="str">
        <f ca="1">IFERROR(__xludf.DUMMYFUNCTION("""COMPUTED_VALUE"""),"cross-device")</f>
        <v>cross-device</v>
      </c>
      <c r="AO1042" s="3"/>
      <c r="AP1042" s="3"/>
      <c r="AQ1042" s="3"/>
      <c r="AR1042" s="3"/>
      <c r="AS1042" s="3"/>
      <c r="AT1042" s="3"/>
      <c r="AU1042" s="3" t="str">
        <f ca="1">IFERROR(__xludf.DUMMYFUNCTION("""COMPUTED_VALUE"""),"Prodloužení existující microsite, bez úprav")</f>
        <v>Prodloužení existující microsite, bez úprav</v>
      </c>
    </row>
    <row r="1043" spans="1:47" x14ac:dyDescent="0.3">
      <c r="A1043" s="3">
        <f ca="1"/>
        <v>2346826</v>
      </c>
      <c r="B1043" s="3" t="str">
        <f ca="1"/>
        <v>CZECH NEWS CENTER a. s.</v>
      </c>
      <c r="C1043" s="3" t="str">
        <f ca="1">IFERROR(__xludf.DUMMYFUNCTION("""COMPUTED_VALUE"""),"Ženy")</f>
        <v>Ženy</v>
      </c>
      <c r="D1043" s="4" t="str">
        <f ca="1">IFERROR(__xludf.DUMMYFUNCTION("""COMPUTED_VALUE"""),"https://zeny.cz")</f>
        <v>https://zeny.cz</v>
      </c>
      <c r="E1043" s="3" t="str">
        <f ca="1">IFERROR(__xludf.DUMMYFUNCTION("""COMPUTED_VALUE"""),"celý web")</f>
        <v>celý web</v>
      </c>
      <c r="F1043" s="4" t="str">
        <f ca="1">IFERROR(__xludf.DUMMYFUNCTION("""COMPUTED_VALUE"""),"https://zeny.cz")</f>
        <v>https://zeny.cz</v>
      </c>
      <c r="G1043" s="3" t="str">
        <f ca="1">IFERROR(__xludf.DUMMYFUNCTION("""COMPUTED_VALUE"""),"Prodloužení existující microsite, bez úprav low season")</f>
        <v>Prodloužení existující microsite, bez úprav low season</v>
      </c>
      <c r="H1043" s="3">
        <f ca="1">IFERROR(__xludf.DUMMYFUNCTION("""COMPUTED_VALUE"""),1)</f>
        <v>1</v>
      </c>
      <c r="I1043" s="5">
        <f ca="1">IFERROR(__xludf.DUMMYFUNCTION("""COMPUTED_VALUE"""),1)</f>
        <v>1</v>
      </c>
      <c r="J1043" s="5">
        <f ca="1">IFERROR(__xludf.DUMMYFUNCTION("""COMPUTED_VALUE"""),15000)</f>
        <v>15000</v>
      </c>
      <c r="K1043" s="3"/>
      <c r="L1043" s="3" t="str">
        <f ca="1">IFERROR(__xludf.DUMMYFUNCTION("""COMPUTED_VALUE"""),"Cost per instance")</f>
        <v>Cost per instance</v>
      </c>
      <c r="M1043" s="3"/>
      <c r="N1043" s="3"/>
      <c r="O1043" s="3"/>
      <c r="P1043" s="3"/>
      <c r="Q1043" s="3"/>
      <c r="R1043" s="3"/>
      <c r="S1043" s="3" t="str">
        <f ca="1">IFERROR(__xludf.DUMMYFUNCTION("""COMPUTED_VALUE"""),"100")</f>
        <v>100</v>
      </c>
      <c r="T1043" s="3"/>
      <c r="U1043" s="3" t="str">
        <f ca="1">IFERROR(__xludf.DUMMYFUNCTION("""COMPUTED_VALUE"""),"microsite")</f>
        <v>microsite</v>
      </c>
      <c r="V1043" s="3"/>
      <c r="W1043" s="3"/>
      <c r="X1043" s="3"/>
      <c r="Y1043" s="3"/>
      <c r="Z1043" s="3" t="str">
        <f ca="1">IFERROR(__xludf.DUMMYFUNCTION("""COMPUTED_VALUE"""),"podklady@cncenter.cz")</f>
        <v>podklady@cncenter.cz</v>
      </c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 t="str">
        <f ca="1">IFERROR(__xludf.DUMMYFUNCTION("""COMPUTED_VALUE"""),"cross-device")</f>
        <v>cross-device</v>
      </c>
      <c r="AO1043" s="3"/>
      <c r="AP1043" s="3"/>
      <c r="AQ1043" s="3"/>
      <c r="AR1043" s="3"/>
      <c r="AS1043" s="3"/>
      <c r="AT1043" s="3"/>
      <c r="AU1043" s="3" t="str">
        <f ca="1">IFERROR(__xludf.DUMMYFUNCTION("""COMPUTED_VALUE"""),"Prodloužení existující microsite, bez úprav")</f>
        <v>Prodloužení existující microsite, bez úprav</v>
      </c>
    </row>
    <row r="1044" spans="1:47" x14ac:dyDescent="0.3">
      <c r="A1044" s="3">
        <f ca="1"/>
        <v>2346826</v>
      </c>
      <c r="B1044" s="3" t="str">
        <f ca="1"/>
        <v>CZECH NEWS CENTER a. s.</v>
      </c>
      <c r="C1044" s="3" t="str">
        <f ca="1">IFERROR(__xludf.DUMMYFUNCTION("""COMPUTED_VALUE"""),"Ženy")</f>
        <v>Ženy</v>
      </c>
      <c r="D1044" s="4" t="str">
        <f ca="1">IFERROR(__xludf.DUMMYFUNCTION("""COMPUTED_VALUE"""),"https://zeny.cz")</f>
        <v>https://zeny.cz</v>
      </c>
      <c r="E1044" s="3" t="str">
        <f ca="1">IFERROR(__xludf.DUMMYFUNCTION("""COMPUTED_VALUE"""),"celý web")</f>
        <v>celý web</v>
      </c>
      <c r="F1044" s="4" t="str">
        <f ca="1">IFERROR(__xludf.DUMMYFUNCTION("""COMPUTED_VALUE"""),"https://zeny.cz")</f>
        <v>https://zeny.cz</v>
      </c>
      <c r="G1044" s="3" t="str">
        <f ca="1">IFERROR(__xludf.DUMMYFUNCTION("""COMPUTED_VALUE"""),"Prodloužení existující microsite, bez úprav low season")</f>
        <v>Prodloužení existující microsite, bez úprav low season</v>
      </c>
      <c r="H1044" s="3">
        <f ca="1">IFERROR(__xludf.DUMMYFUNCTION("""COMPUTED_VALUE"""),1)</f>
        <v>1</v>
      </c>
      <c r="I1044" s="5">
        <f ca="1">IFERROR(__xludf.DUMMYFUNCTION("""COMPUTED_VALUE"""),1)</f>
        <v>1</v>
      </c>
      <c r="J1044" s="5">
        <f ca="1">IFERROR(__xludf.DUMMYFUNCTION("""COMPUTED_VALUE"""),15000)</f>
        <v>15000</v>
      </c>
      <c r="K1044" s="3"/>
      <c r="L1044" s="3" t="str">
        <f ca="1">IFERROR(__xludf.DUMMYFUNCTION("""COMPUTED_VALUE"""),"Cost per instance")</f>
        <v>Cost per instance</v>
      </c>
      <c r="M1044" s="3"/>
      <c r="N1044" s="3"/>
      <c r="O1044" s="3"/>
      <c r="P1044" s="3"/>
      <c r="Q1044" s="3"/>
      <c r="R1044" s="3"/>
      <c r="S1044" s="3" t="str">
        <f ca="1">IFERROR(__xludf.DUMMYFUNCTION("""COMPUTED_VALUE"""),"100")</f>
        <v>100</v>
      </c>
      <c r="T1044" s="3"/>
      <c r="U1044" s="3" t="str">
        <f ca="1">IFERROR(__xludf.DUMMYFUNCTION("""COMPUTED_VALUE"""),"microsite")</f>
        <v>microsite</v>
      </c>
      <c r="V1044" s="3"/>
      <c r="W1044" s="3"/>
      <c r="X1044" s="3"/>
      <c r="Y1044" s="3"/>
      <c r="Z1044" s="3" t="str">
        <f ca="1">IFERROR(__xludf.DUMMYFUNCTION("""COMPUTED_VALUE"""),"podklady@cncenter.cz")</f>
        <v>podklady@cncenter.cz</v>
      </c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 t="str">
        <f ca="1">IFERROR(__xludf.DUMMYFUNCTION("""COMPUTED_VALUE"""),"cross-device")</f>
        <v>cross-device</v>
      </c>
      <c r="AO1044" s="3"/>
      <c r="AP1044" s="3"/>
      <c r="AQ1044" s="3"/>
      <c r="AR1044" s="3"/>
      <c r="AS1044" s="3"/>
      <c r="AT1044" s="3"/>
      <c r="AU1044" s="3" t="str">
        <f ca="1">IFERROR(__xludf.DUMMYFUNCTION("""COMPUTED_VALUE"""),"Prodloužení existující microsite, bez úprav")</f>
        <v>Prodloužení existující microsite, bez úprav</v>
      </c>
    </row>
    <row r="1045" spans="1:47" x14ac:dyDescent="0.3">
      <c r="A1045" s="3">
        <f ca="1"/>
        <v>2346826</v>
      </c>
      <c r="B1045" s="3" t="str">
        <f ca="1"/>
        <v>CZECH NEWS CENTER a. s.</v>
      </c>
      <c r="C1045" s="3" t="str">
        <f ca="1">IFERROR(__xludf.DUMMYFUNCTION("""COMPUTED_VALUE"""),"Ženy")</f>
        <v>Ženy</v>
      </c>
      <c r="D1045" s="4" t="str">
        <f ca="1">IFERROR(__xludf.DUMMYFUNCTION("""COMPUTED_VALUE"""),"https://zeny.cz")</f>
        <v>https://zeny.cz</v>
      </c>
      <c r="E1045" s="3" t="str">
        <f ca="1">IFERROR(__xludf.DUMMYFUNCTION("""COMPUTED_VALUE"""),"celý web")</f>
        <v>celý web</v>
      </c>
      <c r="F1045" s="4" t="str">
        <f ca="1">IFERROR(__xludf.DUMMYFUNCTION("""COMPUTED_VALUE"""),"https://zeny.cz")</f>
        <v>https://zeny.cz</v>
      </c>
      <c r="G1045" s="3" t="str">
        <f ca="1">IFERROR(__xludf.DUMMYFUNCTION("""COMPUTED_VALUE"""),"videospot - max. 30 sec. / bumper low season")</f>
        <v>videospot - max. 30 sec. / bumper low season</v>
      </c>
      <c r="H1045" s="3">
        <f ca="1">IFERROR(__xludf.DUMMYFUNCTION("""COMPUTED_VALUE"""),7)</f>
        <v>7</v>
      </c>
      <c r="I1045" s="5">
        <f ca="1">IFERROR(__xludf.DUMMYFUNCTION("""COMPUTED_VALUE"""),1000)</f>
        <v>1000</v>
      </c>
      <c r="J1045" s="5">
        <f ca="1">IFERROR(__xludf.DUMMYFUNCTION("""COMPUTED_VALUE"""),740)</f>
        <v>740</v>
      </c>
      <c r="K1045" s="3"/>
      <c r="L1045" s="3" t="str">
        <f ca="1">IFERROR(__xludf.DUMMYFUNCTION("""COMPUTED_VALUE"""),"Cost per period")</f>
        <v>Cost per period</v>
      </c>
      <c r="M1045" s="3"/>
      <c r="N1045" s="3"/>
      <c r="O1045" s="3" t="str">
        <f ca="1">IFERROR(__xludf.DUMMYFUNCTION("""COMPUTED_VALUE"""),"1280")</f>
        <v>1280</v>
      </c>
      <c r="P1045" s="3" t="str">
        <f ca="1">IFERROR(__xludf.DUMMYFUNCTION("""COMPUTED_VALUE"""),"720")</f>
        <v>720</v>
      </c>
      <c r="Q1045" s="3" t="str">
        <f ca="1">IFERROR(__xludf.DUMMYFUNCTION("""COMPUTED_VALUE"""),"16:9 / umístění po domluvě dle možností")</f>
        <v>16:9 / umístění po domluvě dle možností</v>
      </c>
      <c r="R1045" s="3" t="str">
        <f ca="1">IFERROR(__xludf.DUMMYFUNCTION("""COMPUTED_VALUE"""),"přeskočení po 7 sekundách")</f>
        <v>přeskočení po 7 sekundách</v>
      </c>
      <c r="S1045" s="3" t="str">
        <f ca="1">IFERROR(__xludf.DUMMYFUNCTION("""COMPUTED_VALUE"""),"100")</f>
        <v>100</v>
      </c>
      <c r="T1045" s="3"/>
      <c r="U1045" s="3" t="str">
        <f ca="1">IFERROR(__xludf.DUMMYFUNCTION("""COMPUTED_VALUE"""),"videospot")</f>
        <v>videospot</v>
      </c>
      <c r="V1045" s="3"/>
      <c r="W1045" s="4" t="str">
        <f ca="1">IFERROR(__xludf.DUMMYFUNCTION("""COMPUTED_VALUE"""),"https://reklama.cncenter.cz/Online/Bumper")</f>
        <v>https://reklama.cncenter.cz/Online/Bumper</v>
      </c>
      <c r="X1045" s="3"/>
      <c r="Y1045" s="3"/>
      <c r="Z1045" s="3" t="str">
        <f ca="1">IFERROR(__xludf.DUMMYFUNCTION("""COMPUTED_VALUE"""),"podklady@cncenter.cz")</f>
        <v>podklady@cncenter.cz</v>
      </c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 t="str">
        <f ca="1">IFERROR(__xludf.DUMMYFUNCTION("""COMPUTED_VALUE"""),"cross-device")</f>
        <v>cross-device</v>
      </c>
      <c r="AO1045" s="3"/>
      <c r="AP1045" s="3"/>
      <c r="AQ1045" s="3"/>
      <c r="AR1045" s="3"/>
      <c r="AS1045" s="3"/>
      <c r="AT1045" s="3"/>
      <c r="AU1045" s="3" t="str">
        <f ca="1">IFERROR(__xludf.DUMMYFUNCTION("""COMPUTED_VALUE"""),"videospot - max. 30 sec. / bumper")</f>
        <v>videospot - max. 30 sec. / bumper</v>
      </c>
    </row>
    <row r="1046" spans="1:47" x14ac:dyDescent="0.3">
      <c r="A1046" s="3">
        <f ca="1"/>
        <v>2346826</v>
      </c>
      <c r="B1046" s="3" t="str">
        <f ca="1"/>
        <v>CZECH NEWS CENTER a. s.</v>
      </c>
      <c r="C1046" s="3" t="str">
        <f ca="1">IFERROR(__xludf.DUMMYFUNCTION("""COMPUTED_VALUE"""),"Živě")</f>
        <v>Živě</v>
      </c>
      <c r="D1046" s="4" t="str">
        <f ca="1">IFERROR(__xludf.DUMMYFUNCTION("""COMPUTED_VALUE"""),"https://zive.cz")</f>
        <v>https://zive.cz</v>
      </c>
      <c r="E1046" s="3" t="str">
        <f ca="1">IFERROR(__xludf.DUMMYFUNCTION("""COMPUTED_VALUE"""),"celý web")</f>
        <v>celý web</v>
      </c>
      <c r="F1046" s="4" t="str">
        <f ca="1">IFERROR(__xludf.DUMMYFUNCTION("""COMPUTED_VALUE"""),"https://zive.cz")</f>
        <v>https://zive.cz</v>
      </c>
      <c r="G1046" s="3" t="str">
        <f ca="1">IFERROR(__xludf.DUMMYFUNCTION("""COMPUTED_VALUE"""),"Advertorial low season")</f>
        <v>Advertorial low season</v>
      </c>
      <c r="H1046" s="3">
        <f ca="1">IFERROR(__xludf.DUMMYFUNCTION("""COMPUTED_VALUE"""),1)</f>
        <v>1</v>
      </c>
      <c r="I1046" s="5">
        <f ca="1">IFERROR(__xludf.DUMMYFUNCTION("""COMPUTED_VALUE"""),1)</f>
        <v>1</v>
      </c>
      <c r="J1046" s="5">
        <f ca="1">IFERROR(__xludf.DUMMYFUNCTION("""COMPUTED_VALUE"""),90000)</f>
        <v>90000</v>
      </c>
      <c r="K1046" s="3"/>
      <c r="L1046" s="3" t="str">
        <f ca="1">IFERROR(__xludf.DUMMYFUNCTION("""COMPUTED_VALUE"""),"Cost per instance")</f>
        <v>Cost per instance</v>
      </c>
      <c r="M1046" s="3"/>
      <c r="N1046" s="3"/>
      <c r="O1046" s="3"/>
      <c r="P1046" s="3"/>
      <c r="Q1046" s="3"/>
      <c r="R1046" s="3"/>
      <c r="S1046" s="3" t="str">
        <f ca="1">IFERROR(__xludf.DUMMYFUNCTION("""COMPUTED_VALUE"""),"100")</f>
        <v>100</v>
      </c>
      <c r="T1046" s="3"/>
      <c r="U1046" s="3" t="str">
        <f ca="1">IFERROR(__xludf.DUMMYFUNCTION("""COMPUTED_VALUE"""),"pr článek")</f>
        <v>pr článek</v>
      </c>
      <c r="V1046" s="3"/>
      <c r="W1046" s="3"/>
      <c r="X1046" s="3"/>
      <c r="Y1046" s="3"/>
      <c r="Z1046" s="3" t="str">
        <f ca="1">IFERROR(__xludf.DUMMYFUNCTION("""COMPUTED_VALUE"""),"podklady@cncenter.cz")</f>
        <v>podklady@cncenter.cz</v>
      </c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 t="str">
        <f ca="1">IFERROR(__xludf.DUMMYFUNCTION("""COMPUTED_VALUE"""),"cross-device")</f>
        <v>cross-device</v>
      </c>
      <c r="AO1046" s="3"/>
      <c r="AP1046" s="3"/>
      <c r="AQ1046" s="3"/>
      <c r="AR1046" s="3"/>
      <c r="AS1046" s="3"/>
      <c r="AT1046" s="3"/>
      <c r="AU1046" s="3" t="str">
        <f ca="1">IFERROR(__xludf.DUMMYFUNCTION("""COMPUTED_VALUE"""),"Advertorial")</f>
        <v>Advertorial</v>
      </c>
    </row>
    <row r="1047" spans="1:47" x14ac:dyDescent="0.3">
      <c r="A1047" s="3">
        <f ca="1"/>
        <v>2346826</v>
      </c>
      <c r="B1047" s="3" t="str">
        <f ca="1"/>
        <v>CZECH NEWS CENTER a. s.</v>
      </c>
      <c r="C1047" s="3" t="str">
        <f ca="1">IFERROR(__xludf.DUMMYFUNCTION("""COMPUTED_VALUE"""),"Živě")</f>
        <v>Živě</v>
      </c>
      <c r="D1047" s="4" t="str">
        <f ca="1">IFERROR(__xludf.DUMMYFUNCTION("""COMPUTED_VALUE"""),"https://zive.cz")</f>
        <v>https://zive.cz</v>
      </c>
      <c r="E1047" s="3" t="str">
        <f ca="1">IFERROR(__xludf.DUMMYFUNCTION("""COMPUTED_VALUE"""),"celý web")</f>
        <v>celý web</v>
      </c>
      <c r="F1047" s="4" t="str">
        <f ca="1">IFERROR(__xludf.DUMMYFUNCTION("""COMPUTED_VALUE"""),"https://zive.cz")</f>
        <v>https://zive.cz</v>
      </c>
      <c r="G1047" s="3" t="str">
        <f ca="1">IFERROR(__xludf.DUMMYFUNCTION("""COMPUTED_VALUE"""),"billboard bottom low season")</f>
        <v>billboard bottom low season</v>
      </c>
      <c r="H1047" s="3">
        <f ca="1">IFERROR(__xludf.DUMMYFUNCTION("""COMPUTED_VALUE"""),7)</f>
        <v>7</v>
      </c>
      <c r="I1047" s="5">
        <f ca="1">IFERROR(__xludf.DUMMYFUNCTION("""COMPUTED_VALUE"""),1000)</f>
        <v>1000</v>
      </c>
      <c r="J1047" s="5">
        <f ca="1">IFERROR(__xludf.DUMMYFUNCTION("""COMPUTED_VALUE"""),240)</f>
        <v>240</v>
      </c>
      <c r="K1047" s="3"/>
      <c r="L1047" s="3" t="str">
        <f ca="1">IFERROR(__xludf.DUMMYFUNCTION("""COMPUTED_VALUE"""),"Cost per period")</f>
        <v>Cost per period</v>
      </c>
      <c r="M1047" s="3"/>
      <c r="N1047" s="3"/>
      <c r="O1047" s="3" t="str">
        <f ca="1">IFERROR(__xludf.DUMMYFUNCTION("""COMPUTED_VALUE"""),"970")</f>
        <v>970</v>
      </c>
      <c r="P1047" s="3" t="str">
        <f ca="1">IFERROR(__xludf.DUMMYFUNCTION("""COMPUTED_VALUE"""),"250")</f>
        <v>250</v>
      </c>
      <c r="Q1047" s="3" t="str">
        <f ca="1">IFERROR(__xludf.DUMMYFUNCTION("""COMPUTED_VALUE"""),"970x250")</f>
        <v>970x250</v>
      </c>
      <c r="R1047" s="3"/>
      <c r="S1047" s="3" t="str">
        <f ca="1">IFERROR(__xludf.DUMMYFUNCTION("""COMPUTED_VALUE"""),"100 (200 - HTML5)")</f>
        <v>100 (200 - HTML5)</v>
      </c>
      <c r="T1047" s="3"/>
      <c r="U1047" s="3" t="str">
        <f ca="1">IFERROR(__xludf.DUMMYFUNCTION("""COMPUTED_VALUE"""),"banner standard")</f>
        <v>banner standard</v>
      </c>
      <c r="V1047" s="3"/>
      <c r="W1047" s="4" t="str">
        <f ca="1">IFERROR(__xludf.DUMMYFUNCTION("""COMPUTED_VALUE"""),"https://reklama.cncenter.cz/Online/billboard-bottom")</f>
        <v>https://reklama.cncenter.cz/Online/billboard-bottom</v>
      </c>
      <c r="X1047" s="3"/>
      <c r="Y1047" s="3"/>
      <c r="Z1047" s="3" t="str">
        <f ca="1">IFERROR(__xludf.DUMMYFUNCTION("""COMPUTED_VALUE"""),"podklady@cncenter.cz")</f>
        <v>podklady@cncenter.cz</v>
      </c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 t="str">
        <f ca="1">IFERROR(__xludf.DUMMYFUNCTION("""COMPUTED_VALUE"""),"desktop")</f>
        <v>desktop</v>
      </c>
      <c r="AO1047" s="3"/>
      <c r="AP1047" s="3"/>
      <c r="AQ1047" s="3"/>
      <c r="AR1047" s="3"/>
      <c r="AS1047" s="3"/>
      <c r="AT1047" s="3"/>
      <c r="AU1047" s="3" t="str">
        <f ca="1">IFERROR(__xludf.DUMMYFUNCTION("""COMPUTED_VALUE"""),"billboard bottom")</f>
        <v>billboard bottom</v>
      </c>
    </row>
    <row r="1048" spans="1:47" x14ac:dyDescent="0.3">
      <c r="A1048" s="3">
        <f ca="1"/>
        <v>2346826</v>
      </c>
      <c r="B1048" s="3" t="str">
        <f ca="1"/>
        <v>CZECH NEWS CENTER a. s.</v>
      </c>
      <c r="C1048" s="3" t="str">
        <f ca="1">IFERROR(__xludf.DUMMYFUNCTION("""COMPUTED_VALUE"""),"Živě")</f>
        <v>Živě</v>
      </c>
      <c r="D1048" s="4" t="str">
        <f ca="1">IFERROR(__xludf.DUMMYFUNCTION("""COMPUTED_VALUE"""),"https://zive.cz")</f>
        <v>https://zive.cz</v>
      </c>
      <c r="E1048" s="3" t="str">
        <f ca="1">IFERROR(__xludf.DUMMYFUNCTION("""COMPUTED_VALUE"""),"celý web")</f>
        <v>celý web</v>
      </c>
      <c r="F1048" s="4" t="str">
        <f ca="1">IFERROR(__xludf.DUMMYFUNCTION("""COMPUTED_VALUE"""),"https://zive.cz")</f>
        <v>https://zive.cz</v>
      </c>
      <c r="G1048" s="3" t="str">
        <f ca="1">IFERROR(__xludf.DUMMYFUNCTION("""COMPUTED_VALUE"""),"branding cross-device low season")</f>
        <v>branding cross-device low season</v>
      </c>
      <c r="H1048" s="3">
        <f ca="1">IFERROR(__xludf.DUMMYFUNCTION("""COMPUTED_VALUE"""),7)</f>
        <v>7</v>
      </c>
      <c r="I1048" s="5">
        <f ca="1">IFERROR(__xludf.DUMMYFUNCTION("""COMPUTED_VALUE"""),1000)</f>
        <v>1000</v>
      </c>
      <c r="J1048" s="5">
        <f ca="1">IFERROR(__xludf.DUMMYFUNCTION("""COMPUTED_VALUE"""),300)</f>
        <v>300</v>
      </c>
      <c r="K1048" s="3"/>
      <c r="L1048" s="3" t="str">
        <f ca="1">IFERROR(__xludf.DUMMYFUNCTION("""COMPUTED_VALUE"""),"Cost per period")</f>
        <v>Cost per period</v>
      </c>
      <c r="M1048" s="3"/>
      <c r="N1048" s="3"/>
      <c r="O1048" s="3" t="str">
        <f ca="1">IFERROR(__xludf.DUMMYFUNCTION("""COMPUTED_VALUE"""),"2000")</f>
        <v>2000</v>
      </c>
      <c r="P1048" s="3" t="str">
        <f ca="1">IFERROR(__xludf.DUMMYFUNCTION("""COMPUTED_VALUE"""),"1400")</f>
        <v>1400</v>
      </c>
      <c r="Q1048" s="3" t="str">
        <f ca="1">IFERROR(__xludf.DUMMYFUNCTION("""COMPUTED_VALUE"""),"2000x1400 + 600x1080")</f>
        <v>2000x1400 + 600x1080</v>
      </c>
      <c r="R1048" s="3"/>
      <c r="S1048" s="3" t="str">
        <f ca="1">IFERROR(__xludf.DUMMYFUNCTION("""COMPUTED_VALUE"""),"500 (600 - HTLM5)")</f>
        <v>500 (600 - HTLM5)</v>
      </c>
      <c r="T1048" s="3"/>
      <c r="U1048" s="3" t="str">
        <f ca="1">IFERROR(__xludf.DUMMYFUNCTION("""COMPUTED_VALUE"""),"banner standard")</f>
        <v>banner standard</v>
      </c>
      <c r="V1048" s="3"/>
      <c r="W1048" s="4" t="str">
        <f ca="1">IFERROR(__xludf.DUMMYFUNCTION("""COMPUTED_VALUE"""),"https://reklama.cncenter.cz/Online/branding-cross-device")</f>
        <v>https://reklama.cncenter.cz/Online/branding-cross-device</v>
      </c>
      <c r="X1048" s="3"/>
      <c r="Y1048" s="3"/>
      <c r="Z1048" s="3" t="str">
        <f ca="1">IFERROR(__xludf.DUMMYFUNCTION("""COMPUTED_VALUE"""),"podklady@cncenter.cz")</f>
        <v>podklady@cncenter.cz</v>
      </c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 t="str">
        <f ca="1">IFERROR(__xludf.DUMMYFUNCTION("""COMPUTED_VALUE"""),"cross-device")</f>
        <v>cross-device</v>
      </c>
      <c r="AO1048" s="3"/>
      <c r="AP1048" s="3"/>
      <c r="AQ1048" s="3"/>
      <c r="AR1048" s="3"/>
      <c r="AS1048" s="3"/>
      <c r="AT1048" s="3"/>
      <c r="AU1048" s="3" t="str">
        <f ca="1">IFERROR(__xludf.DUMMYFUNCTION("""COMPUTED_VALUE"""),"branding cross-device")</f>
        <v>branding cross-device</v>
      </c>
    </row>
    <row r="1049" spans="1:47" x14ac:dyDescent="0.3">
      <c r="A1049" s="3">
        <f ca="1"/>
        <v>2346826</v>
      </c>
      <c r="B1049" s="3" t="str">
        <f ca="1"/>
        <v>CZECH NEWS CENTER a. s.</v>
      </c>
      <c r="C1049" s="3" t="str">
        <f ca="1">IFERROR(__xludf.DUMMYFUNCTION("""COMPUTED_VALUE"""),"Živě")</f>
        <v>Živě</v>
      </c>
      <c r="D1049" s="4" t="str">
        <f ca="1">IFERROR(__xludf.DUMMYFUNCTION("""COMPUTED_VALUE"""),"https://zive.cz")</f>
        <v>https://zive.cz</v>
      </c>
      <c r="E1049" s="3" t="str">
        <f ca="1">IFERROR(__xludf.DUMMYFUNCTION("""COMPUTED_VALUE"""),"celý web")</f>
        <v>celý web</v>
      </c>
      <c r="F1049" s="4" t="str">
        <f ca="1">IFERROR(__xludf.DUMMYFUNCTION("""COMPUTED_VALUE"""),"https://zive.cz")</f>
        <v>https://zive.cz</v>
      </c>
      <c r="G1049" s="3" t="str">
        <f ca="1">IFERROR(__xludf.DUMMYFUNCTION("""COMPUTED_VALUE"""),"branding low season")</f>
        <v>branding low season</v>
      </c>
      <c r="H1049" s="3">
        <f ca="1">IFERROR(__xludf.DUMMYFUNCTION("""COMPUTED_VALUE"""),7)</f>
        <v>7</v>
      </c>
      <c r="I1049" s="5">
        <f ca="1">IFERROR(__xludf.DUMMYFUNCTION("""COMPUTED_VALUE"""),1000)</f>
        <v>1000</v>
      </c>
      <c r="J1049" s="5">
        <f ca="1">IFERROR(__xludf.DUMMYFUNCTION("""COMPUTED_VALUE"""),490)</f>
        <v>490</v>
      </c>
      <c r="K1049" s="3"/>
      <c r="L1049" s="3" t="str">
        <f ca="1">IFERROR(__xludf.DUMMYFUNCTION("""COMPUTED_VALUE"""),"Cost per period")</f>
        <v>Cost per period</v>
      </c>
      <c r="M1049" s="3"/>
      <c r="N1049" s="3"/>
      <c r="O1049" s="3" t="str">
        <f ca="1">IFERROR(__xludf.DUMMYFUNCTION("""COMPUTED_VALUE"""),"2000")</f>
        <v>2000</v>
      </c>
      <c r="P1049" s="3" t="str">
        <f ca="1">IFERROR(__xludf.DUMMYFUNCTION("""COMPUTED_VALUE"""),"1400")</f>
        <v>1400</v>
      </c>
      <c r="Q1049" s="3" t="str">
        <f ca="1">IFERROR(__xludf.DUMMYFUNCTION("""COMPUTED_VALUE"""),"2000x1400")</f>
        <v>2000x1400</v>
      </c>
      <c r="R1049" s="3"/>
      <c r="S1049" s="3" t="str">
        <f ca="1">IFERROR(__xludf.DUMMYFUNCTION("""COMPUTED_VALUE"""),"500 + 200 (600+200 HTML5)")</f>
        <v>500 + 200 (600+200 HTML5)</v>
      </c>
      <c r="T1049" s="3"/>
      <c r="U1049" s="3" t="str">
        <f ca="1">IFERROR(__xludf.DUMMYFUNCTION("""COMPUTED_VALUE"""),"banner standard")</f>
        <v>banner standard</v>
      </c>
      <c r="V1049" s="3"/>
      <c r="W1049" s="4" t="str">
        <f ca="1">IFERROR(__xludf.DUMMYFUNCTION("""COMPUTED_VALUE"""),"https://reklama.cncenter.cz/Online/branding")</f>
        <v>https://reklama.cncenter.cz/Online/branding</v>
      </c>
      <c r="X1049" s="3"/>
      <c r="Y1049" s="3"/>
      <c r="Z1049" s="3" t="str">
        <f ca="1">IFERROR(__xludf.DUMMYFUNCTION("""COMPUTED_VALUE"""),"podklady@cncenter.cz")</f>
        <v>podklady@cncenter.cz</v>
      </c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 t="str">
        <f ca="1">IFERROR(__xludf.DUMMYFUNCTION("""COMPUTED_VALUE"""),"desktop")</f>
        <v>desktop</v>
      </c>
      <c r="AO1049" s="3"/>
      <c r="AP1049" s="3"/>
      <c r="AQ1049" s="3"/>
      <c r="AR1049" s="3"/>
      <c r="AS1049" s="3"/>
      <c r="AT1049" s="3"/>
      <c r="AU1049" s="3" t="str">
        <f ca="1">IFERROR(__xludf.DUMMYFUNCTION("""COMPUTED_VALUE"""),"branding")</f>
        <v>branding</v>
      </c>
    </row>
    <row r="1050" spans="1:47" x14ac:dyDescent="0.3">
      <c r="A1050" s="3">
        <f ca="1"/>
        <v>2346826</v>
      </c>
      <c r="B1050" s="3" t="str">
        <f ca="1"/>
        <v>CZECH NEWS CENTER a. s.</v>
      </c>
      <c r="C1050" s="3" t="str">
        <f ca="1">IFERROR(__xludf.DUMMYFUNCTION("""COMPUTED_VALUE"""),"Živě")</f>
        <v>Živě</v>
      </c>
      <c r="D1050" s="4" t="str">
        <f ca="1">IFERROR(__xludf.DUMMYFUNCTION("""COMPUTED_VALUE"""),"https://zive.cz")</f>
        <v>https://zive.cz</v>
      </c>
      <c r="E1050" s="3" t="str">
        <f ca="1">IFERROR(__xludf.DUMMYFUNCTION("""COMPUTED_VALUE"""),"celý web")</f>
        <v>celý web</v>
      </c>
      <c r="F1050" s="4" t="str">
        <f ca="1">IFERROR(__xludf.DUMMYFUNCTION("""COMPUTED_VALUE"""),"https://zive.cz")</f>
        <v>https://zive.cz</v>
      </c>
      <c r="G1050" s="3" t="str">
        <f ca="1">IFERROR(__xludf.DUMMYFUNCTION("""COMPUTED_VALUE"""),"cílený billboard bottom low season")</f>
        <v>cílený billboard bottom low season</v>
      </c>
      <c r="H1050" s="3">
        <f ca="1">IFERROR(__xludf.DUMMYFUNCTION("""COMPUTED_VALUE"""),7)</f>
        <v>7</v>
      </c>
      <c r="I1050" s="5">
        <f ca="1">IFERROR(__xludf.DUMMYFUNCTION("""COMPUTED_VALUE"""),1000)</f>
        <v>1000</v>
      </c>
      <c r="J1050" s="5">
        <f ca="1">IFERROR(__xludf.DUMMYFUNCTION("""COMPUTED_VALUE"""),288)</f>
        <v>288</v>
      </c>
      <c r="K1050" s="3"/>
      <c r="L1050" s="3" t="str">
        <f ca="1">IFERROR(__xludf.DUMMYFUNCTION("""COMPUTED_VALUE"""),"Cost per period")</f>
        <v>Cost per period</v>
      </c>
      <c r="M1050" s="3"/>
      <c r="N1050" s="3"/>
      <c r="O1050" s="3" t="str">
        <f ca="1">IFERROR(__xludf.DUMMYFUNCTION("""COMPUTED_VALUE"""),"970")</f>
        <v>970</v>
      </c>
      <c r="P1050" s="3" t="str">
        <f ca="1">IFERROR(__xludf.DUMMYFUNCTION("""COMPUTED_VALUE"""),"250")</f>
        <v>250</v>
      </c>
      <c r="Q1050" s="3" t="str">
        <f ca="1">IFERROR(__xludf.DUMMYFUNCTION("""COMPUTED_VALUE"""),"970x250")</f>
        <v>970x250</v>
      </c>
      <c r="R1050" s="3"/>
      <c r="S1050" s="3" t="str">
        <f ca="1">IFERROR(__xludf.DUMMYFUNCTION("""COMPUTED_VALUE"""),"100 (200 - HTML5)")</f>
        <v>100 (200 - HTML5)</v>
      </c>
      <c r="T1050" s="3"/>
      <c r="U1050" s="3" t="str">
        <f ca="1">IFERROR(__xludf.DUMMYFUNCTION("""COMPUTED_VALUE"""),"banner standard")</f>
        <v>banner standard</v>
      </c>
      <c r="V1050" s="3"/>
      <c r="W1050" s="4" t="str">
        <f ca="1">IFERROR(__xludf.DUMMYFUNCTION("""COMPUTED_VALUE"""),"https://reklama.cncenter.cz/Online/billboard-bottom")</f>
        <v>https://reklama.cncenter.cz/Online/billboard-bottom</v>
      </c>
      <c r="X1050" s="3"/>
      <c r="Y1050" s="3"/>
      <c r="Z1050" s="3" t="str">
        <f ca="1">IFERROR(__xludf.DUMMYFUNCTION("""COMPUTED_VALUE"""),"podklady@cncenter.cz")</f>
        <v>podklady@cncenter.cz</v>
      </c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 t="str">
        <f ca="1">IFERROR(__xludf.DUMMYFUNCTION("""COMPUTED_VALUE"""),"desktop")</f>
        <v>desktop</v>
      </c>
      <c r="AO1050" s="3"/>
      <c r="AP1050" s="3"/>
      <c r="AQ1050" s="3"/>
      <c r="AR1050" s="3"/>
      <c r="AS1050" s="3"/>
      <c r="AT1050" s="3"/>
      <c r="AU1050" s="3" t="str">
        <f ca="1">IFERROR(__xludf.DUMMYFUNCTION("""COMPUTED_VALUE"""),"cílený billboard bottom")</f>
        <v>cílený billboard bottom</v>
      </c>
    </row>
    <row r="1051" spans="1:47" x14ac:dyDescent="0.3">
      <c r="A1051" s="3">
        <f ca="1"/>
        <v>2346826</v>
      </c>
      <c r="B1051" s="3" t="str">
        <f ca="1"/>
        <v>CZECH NEWS CENTER a. s.</v>
      </c>
      <c r="C1051" s="3" t="str">
        <f ca="1">IFERROR(__xludf.DUMMYFUNCTION("""COMPUTED_VALUE"""),"Živě")</f>
        <v>Živě</v>
      </c>
      <c r="D1051" s="4" t="str">
        <f ca="1">IFERROR(__xludf.DUMMYFUNCTION("""COMPUTED_VALUE"""),"https://zive.cz")</f>
        <v>https://zive.cz</v>
      </c>
      <c r="E1051" s="3" t="str">
        <f ca="1">IFERROR(__xludf.DUMMYFUNCTION("""COMPUTED_VALUE"""),"celý web")</f>
        <v>celý web</v>
      </c>
      <c r="F1051" s="4" t="str">
        <f ca="1">IFERROR(__xludf.DUMMYFUNCTION("""COMPUTED_VALUE"""),"https://zive.cz")</f>
        <v>https://zive.cz</v>
      </c>
      <c r="G1051" s="3" t="str">
        <f ca="1">IFERROR(__xludf.DUMMYFUNCTION("""COMPUTED_VALUE"""),"cílený branding cross-device low season")</f>
        <v>cílený branding cross-device low season</v>
      </c>
      <c r="H1051" s="3">
        <f ca="1">IFERROR(__xludf.DUMMYFUNCTION("""COMPUTED_VALUE"""),7)</f>
        <v>7</v>
      </c>
      <c r="I1051" s="5">
        <f ca="1">IFERROR(__xludf.DUMMYFUNCTION("""COMPUTED_VALUE"""),1000)</f>
        <v>1000</v>
      </c>
      <c r="J1051" s="5">
        <f ca="1">IFERROR(__xludf.DUMMYFUNCTION("""COMPUTED_VALUE"""),360)</f>
        <v>360</v>
      </c>
      <c r="K1051" s="3"/>
      <c r="L1051" s="3" t="str">
        <f ca="1">IFERROR(__xludf.DUMMYFUNCTION("""COMPUTED_VALUE"""),"Cost per period")</f>
        <v>Cost per period</v>
      </c>
      <c r="M1051" s="3"/>
      <c r="N1051" s="3"/>
      <c r="O1051" s="3" t="str">
        <f ca="1">IFERROR(__xludf.DUMMYFUNCTION("""COMPUTED_VALUE"""),"2000")</f>
        <v>2000</v>
      </c>
      <c r="P1051" s="3" t="str">
        <f ca="1">IFERROR(__xludf.DUMMYFUNCTION("""COMPUTED_VALUE"""),"1400")</f>
        <v>1400</v>
      </c>
      <c r="Q1051" s="3" t="str">
        <f ca="1">IFERROR(__xludf.DUMMYFUNCTION("""COMPUTED_VALUE"""),"2000x1400 + 600x1080")</f>
        <v>2000x1400 + 600x1080</v>
      </c>
      <c r="R1051" s="3"/>
      <c r="S1051" s="3" t="str">
        <f ca="1">IFERROR(__xludf.DUMMYFUNCTION("""COMPUTED_VALUE"""),"500 (600 - HTLM5)")</f>
        <v>500 (600 - HTLM5)</v>
      </c>
      <c r="T1051" s="3"/>
      <c r="U1051" s="3" t="str">
        <f ca="1">IFERROR(__xludf.DUMMYFUNCTION("""COMPUTED_VALUE"""),"banner standard")</f>
        <v>banner standard</v>
      </c>
      <c r="V1051" s="3"/>
      <c r="W1051" s="4" t="str">
        <f ca="1">IFERROR(__xludf.DUMMYFUNCTION("""COMPUTED_VALUE"""),"https://reklama.cncenter.cz/Online/branding-cross-device")</f>
        <v>https://reklama.cncenter.cz/Online/branding-cross-device</v>
      </c>
      <c r="X1051" s="3"/>
      <c r="Y1051" s="3"/>
      <c r="Z1051" s="3" t="str">
        <f ca="1">IFERROR(__xludf.DUMMYFUNCTION("""COMPUTED_VALUE"""),"podklady@cncenter.cz")</f>
        <v>podklady@cncenter.cz</v>
      </c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 t="str">
        <f ca="1">IFERROR(__xludf.DUMMYFUNCTION("""COMPUTED_VALUE"""),"cross-device")</f>
        <v>cross-device</v>
      </c>
      <c r="AO1051" s="3"/>
      <c r="AP1051" s="3"/>
      <c r="AQ1051" s="3"/>
      <c r="AR1051" s="3"/>
      <c r="AS1051" s="3"/>
      <c r="AT1051" s="3"/>
      <c r="AU1051" s="3" t="str">
        <f ca="1">IFERROR(__xludf.DUMMYFUNCTION("""COMPUTED_VALUE"""),"cílený branding cross-device")</f>
        <v>cílený branding cross-device</v>
      </c>
    </row>
    <row r="1052" spans="1:47" x14ac:dyDescent="0.3">
      <c r="A1052" s="3">
        <f ca="1"/>
        <v>2346826</v>
      </c>
      <c r="B1052" s="3" t="str">
        <f ca="1"/>
        <v>CZECH NEWS CENTER a. s.</v>
      </c>
      <c r="C1052" s="3" t="str">
        <f ca="1">IFERROR(__xludf.DUMMYFUNCTION("""COMPUTED_VALUE"""),"Živě")</f>
        <v>Živě</v>
      </c>
      <c r="D1052" s="4" t="str">
        <f ca="1">IFERROR(__xludf.DUMMYFUNCTION("""COMPUTED_VALUE"""),"https://zive.cz")</f>
        <v>https://zive.cz</v>
      </c>
      <c r="E1052" s="3" t="str">
        <f ca="1">IFERROR(__xludf.DUMMYFUNCTION("""COMPUTED_VALUE"""),"celý web")</f>
        <v>celý web</v>
      </c>
      <c r="F1052" s="4" t="str">
        <f ca="1">IFERROR(__xludf.DUMMYFUNCTION("""COMPUTED_VALUE"""),"https://zive.cz")</f>
        <v>https://zive.cz</v>
      </c>
      <c r="G1052" s="3" t="str">
        <f ca="1">IFERROR(__xludf.DUMMYFUNCTION("""COMPUTED_VALUE"""),"cílený branding low season")</f>
        <v>cílený branding low season</v>
      </c>
      <c r="H1052" s="3">
        <f ca="1">IFERROR(__xludf.DUMMYFUNCTION("""COMPUTED_VALUE"""),7)</f>
        <v>7</v>
      </c>
      <c r="I1052" s="5">
        <f ca="1">IFERROR(__xludf.DUMMYFUNCTION("""COMPUTED_VALUE"""),1000)</f>
        <v>1000</v>
      </c>
      <c r="J1052" s="5">
        <f ca="1">IFERROR(__xludf.DUMMYFUNCTION("""COMPUTED_VALUE"""),588)</f>
        <v>588</v>
      </c>
      <c r="K1052" s="3"/>
      <c r="L1052" s="3" t="str">
        <f ca="1">IFERROR(__xludf.DUMMYFUNCTION("""COMPUTED_VALUE"""),"Cost per period")</f>
        <v>Cost per period</v>
      </c>
      <c r="M1052" s="3"/>
      <c r="N1052" s="3"/>
      <c r="O1052" s="3" t="str">
        <f ca="1">IFERROR(__xludf.DUMMYFUNCTION("""COMPUTED_VALUE"""),"2000")</f>
        <v>2000</v>
      </c>
      <c r="P1052" s="3" t="str">
        <f ca="1">IFERROR(__xludf.DUMMYFUNCTION("""COMPUTED_VALUE"""),"1400")</f>
        <v>1400</v>
      </c>
      <c r="Q1052" s="3" t="str">
        <f ca="1">IFERROR(__xludf.DUMMYFUNCTION("""COMPUTED_VALUE"""),"2000x1400")</f>
        <v>2000x1400</v>
      </c>
      <c r="R1052" s="3"/>
      <c r="S1052" s="3" t="str">
        <f ca="1">IFERROR(__xludf.DUMMYFUNCTION("""COMPUTED_VALUE"""),"500 + 200 (600+200 HTML5)")</f>
        <v>500 + 200 (600+200 HTML5)</v>
      </c>
      <c r="T1052" s="3"/>
      <c r="U1052" s="3" t="str">
        <f ca="1">IFERROR(__xludf.DUMMYFUNCTION("""COMPUTED_VALUE"""),"banner standard")</f>
        <v>banner standard</v>
      </c>
      <c r="V1052" s="3"/>
      <c r="W1052" s="4" t="str">
        <f ca="1">IFERROR(__xludf.DUMMYFUNCTION("""COMPUTED_VALUE"""),"https://reklama.cncenter.cz/Online/branding")</f>
        <v>https://reklama.cncenter.cz/Online/branding</v>
      </c>
      <c r="X1052" s="3"/>
      <c r="Y1052" s="3"/>
      <c r="Z1052" s="3" t="str">
        <f ca="1">IFERROR(__xludf.DUMMYFUNCTION("""COMPUTED_VALUE"""),"podklady@cncenter.cz")</f>
        <v>podklady@cncenter.cz</v>
      </c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 t="str">
        <f ca="1">IFERROR(__xludf.DUMMYFUNCTION("""COMPUTED_VALUE"""),"desktop")</f>
        <v>desktop</v>
      </c>
      <c r="AO1052" s="3"/>
      <c r="AP1052" s="3"/>
      <c r="AQ1052" s="3"/>
      <c r="AR1052" s="3"/>
      <c r="AS1052" s="3"/>
      <c r="AT1052" s="3"/>
      <c r="AU1052" s="3" t="str">
        <f ca="1">IFERROR(__xludf.DUMMYFUNCTION("""COMPUTED_VALUE"""),"cílený branding")</f>
        <v>cílený branding</v>
      </c>
    </row>
    <row r="1053" spans="1:47" x14ac:dyDescent="0.3">
      <c r="A1053" s="3">
        <f ca="1"/>
        <v>2346826</v>
      </c>
      <c r="B1053" s="3" t="str">
        <f ca="1"/>
        <v>CZECH NEWS CENTER a. s.</v>
      </c>
      <c r="C1053" s="3" t="str">
        <f ca="1">IFERROR(__xludf.DUMMYFUNCTION("""COMPUTED_VALUE"""),"Živě")</f>
        <v>Živě</v>
      </c>
      <c r="D1053" s="4" t="str">
        <f ca="1">IFERROR(__xludf.DUMMYFUNCTION("""COMPUTED_VALUE"""),"https://zive.cz")</f>
        <v>https://zive.cz</v>
      </c>
      <c r="E1053" s="3" t="str">
        <f ca="1">IFERROR(__xludf.DUMMYFUNCTION("""COMPUTED_VALUE"""),"celý web")</f>
        <v>celý web</v>
      </c>
      <c r="F1053" s="4" t="str">
        <f ca="1">IFERROR(__xludf.DUMMYFUNCTION("""COMPUTED_VALUE"""),"https://zive.cz")</f>
        <v>https://zive.cz</v>
      </c>
      <c r="G1053" s="3" t="str">
        <f ca="1">IFERROR(__xludf.DUMMYFUNCTION("""COMPUTED_VALUE"""),"cílený double skyscraper low season")</f>
        <v>cílený double skyscraper low season</v>
      </c>
      <c r="H1053" s="3">
        <f ca="1">IFERROR(__xludf.DUMMYFUNCTION("""COMPUTED_VALUE"""),7)</f>
        <v>7</v>
      </c>
      <c r="I1053" s="5">
        <f ca="1">IFERROR(__xludf.DUMMYFUNCTION("""COMPUTED_VALUE"""),1000)</f>
        <v>1000</v>
      </c>
      <c r="J1053" s="5">
        <f ca="1">IFERROR(__xludf.DUMMYFUNCTION("""COMPUTED_VALUE"""),228)</f>
        <v>228</v>
      </c>
      <c r="K1053" s="3"/>
      <c r="L1053" s="3" t="str">
        <f ca="1">IFERROR(__xludf.DUMMYFUNCTION("""COMPUTED_VALUE"""),"Cost per period")</f>
        <v>Cost per period</v>
      </c>
      <c r="M1053" s="3"/>
      <c r="N1053" s="3"/>
      <c r="O1053" s="3" t="str">
        <f ca="1">IFERROR(__xludf.DUMMYFUNCTION("""COMPUTED_VALUE"""),"300")</f>
        <v>300</v>
      </c>
      <c r="P1053" s="3" t="str">
        <f ca="1">IFERROR(__xludf.DUMMYFUNCTION("""COMPUTED_VALUE"""),"600")</f>
        <v>600</v>
      </c>
      <c r="Q1053" s="3" t="str">
        <f ca="1">IFERROR(__xludf.DUMMYFUNCTION("""COMPUTED_VALUE"""),"300x600")</f>
        <v>300x600</v>
      </c>
      <c r="R1053" s="3"/>
      <c r="S1053" s="3" t="str">
        <f ca="1">IFERROR(__xludf.DUMMYFUNCTION("""COMPUTED_VALUE"""),"100 (200 - HTML5)")</f>
        <v>100 (200 - HTML5)</v>
      </c>
      <c r="T1053" s="3"/>
      <c r="U1053" s="3" t="str">
        <f ca="1">IFERROR(__xludf.DUMMYFUNCTION("""COMPUTED_VALUE"""),"banner standard")</f>
        <v>banner standard</v>
      </c>
      <c r="V1053" s="3"/>
      <c r="W1053" s="4" t="str">
        <f ca="1">IFERROR(__xludf.DUMMYFUNCTION("""COMPUTED_VALUE"""),"https://reklama.cncenter.cz/Online/double-skyscraper")</f>
        <v>https://reklama.cncenter.cz/Online/double-skyscraper</v>
      </c>
      <c r="X1053" s="3"/>
      <c r="Y1053" s="3"/>
      <c r="Z1053" s="3" t="str">
        <f ca="1">IFERROR(__xludf.DUMMYFUNCTION("""COMPUTED_VALUE"""),"podklady@cncenter.cz")</f>
        <v>podklady@cncenter.cz</v>
      </c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 t="str">
        <f ca="1">IFERROR(__xludf.DUMMYFUNCTION("""COMPUTED_VALUE"""),"desktop")</f>
        <v>desktop</v>
      </c>
      <c r="AO1053" s="3"/>
      <c r="AP1053" s="3"/>
      <c r="AQ1053" s="3"/>
      <c r="AR1053" s="3"/>
      <c r="AS1053" s="3"/>
      <c r="AT1053" s="3"/>
      <c r="AU1053" s="3" t="str">
        <f ca="1">IFERROR(__xludf.DUMMYFUNCTION("""COMPUTED_VALUE"""),"cílený double skyscraper")</f>
        <v>cílený double skyscraper</v>
      </c>
    </row>
    <row r="1054" spans="1:47" x14ac:dyDescent="0.3">
      <c r="A1054" s="3">
        <f ca="1"/>
        <v>2346826</v>
      </c>
      <c r="B1054" s="3" t="str">
        <f ca="1"/>
        <v>CZECH NEWS CENTER a. s.</v>
      </c>
      <c r="C1054" s="3" t="str">
        <f ca="1">IFERROR(__xludf.DUMMYFUNCTION("""COMPUTED_VALUE"""),"Živě")</f>
        <v>Živě</v>
      </c>
      <c r="D1054" s="4" t="str">
        <f ca="1">IFERROR(__xludf.DUMMYFUNCTION("""COMPUTED_VALUE"""),"https://zive.cz")</f>
        <v>https://zive.cz</v>
      </c>
      <c r="E1054" s="3" t="str">
        <f ca="1">IFERROR(__xludf.DUMMYFUNCTION("""COMPUTED_VALUE"""),"celý web")</f>
        <v>celý web</v>
      </c>
      <c r="F1054" s="4" t="str">
        <f ca="1">IFERROR(__xludf.DUMMYFUNCTION("""COMPUTED_VALUE"""),"https://zive.cz")</f>
        <v>https://zive.cz</v>
      </c>
      <c r="G1054" s="3" t="str">
        <f ca="1">IFERROR(__xludf.DUMMYFUNCTION("""COMPUTED_VALUE"""),"cílený mobilní interscroller low season")</f>
        <v>cílený mobilní interscroller low season</v>
      </c>
      <c r="H1054" s="3">
        <f ca="1">IFERROR(__xludf.DUMMYFUNCTION("""COMPUTED_VALUE"""),7)</f>
        <v>7</v>
      </c>
      <c r="I1054" s="5">
        <f ca="1">IFERROR(__xludf.DUMMYFUNCTION("""COMPUTED_VALUE"""),1000)</f>
        <v>1000</v>
      </c>
      <c r="J1054" s="5">
        <f ca="1">IFERROR(__xludf.DUMMYFUNCTION("""COMPUTED_VALUE"""),300)</f>
        <v>300</v>
      </c>
      <c r="K1054" s="3"/>
      <c r="L1054" s="3" t="str">
        <f ca="1">IFERROR(__xludf.DUMMYFUNCTION("""COMPUTED_VALUE"""),"Cost per period")</f>
        <v>Cost per period</v>
      </c>
      <c r="M1054" s="3"/>
      <c r="N1054" s="3"/>
      <c r="O1054" s="3" t="str">
        <f ca="1">IFERROR(__xludf.DUMMYFUNCTION("""COMPUTED_VALUE"""),"600")</f>
        <v>600</v>
      </c>
      <c r="P1054" s="3" t="str">
        <f ca="1">IFERROR(__xludf.DUMMYFUNCTION("""COMPUTED_VALUE"""),"1080")</f>
        <v>1080</v>
      </c>
      <c r="Q1054" s="3" t="str">
        <f ca="1">IFERROR(__xludf.DUMMYFUNCTION("""COMPUTED_VALUE"""),"600x1080")</f>
        <v>600x1080</v>
      </c>
      <c r="R1054" s="3"/>
      <c r="S1054" s="3" t="str">
        <f ca="1">IFERROR(__xludf.DUMMYFUNCTION("""COMPUTED_VALUE"""),"200")</f>
        <v>200</v>
      </c>
      <c r="T1054" s="3"/>
      <c r="U1054" s="3" t="str">
        <f ca="1">IFERROR(__xludf.DUMMYFUNCTION("""COMPUTED_VALUE"""),"banner standard")</f>
        <v>banner standard</v>
      </c>
      <c r="V1054" s="3"/>
      <c r="W1054" s="4" t="str">
        <f ca="1">IFERROR(__xludf.DUMMYFUNCTION("""COMPUTED_VALUE"""),"https://reklama.cncenter.cz/Online/mobilni-interscroller")</f>
        <v>https://reklama.cncenter.cz/Online/mobilni-interscroller</v>
      </c>
      <c r="X1054" s="3"/>
      <c r="Y1054" s="3"/>
      <c r="Z1054" s="3" t="str">
        <f ca="1">IFERROR(__xludf.DUMMYFUNCTION("""COMPUTED_VALUE"""),"podklady@cncenter.cz")</f>
        <v>podklady@cncenter.cz</v>
      </c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 t="str">
        <f ca="1">IFERROR(__xludf.DUMMYFUNCTION("""COMPUTED_VALUE"""),"mobile")</f>
        <v>mobile</v>
      </c>
      <c r="AO1054" s="3"/>
      <c r="AP1054" s="3"/>
      <c r="AQ1054" s="3"/>
      <c r="AR1054" s="3"/>
      <c r="AS1054" s="3"/>
      <c r="AT1054" s="3"/>
      <c r="AU1054" s="3" t="str">
        <f ca="1">IFERROR(__xludf.DUMMYFUNCTION("""COMPUTED_VALUE"""),"cílený mobilní interscroller")</f>
        <v>cílený mobilní interscroller</v>
      </c>
    </row>
    <row r="1055" spans="1:47" x14ac:dyDescent="0.3">
      <c r="A1055" s="3">
        <f ca="1"/>
        <v>2346826</v>
      </c>
      <c r="B1055" s="3" t="str">
        <f ca="1"/>
        <v>CZECH NEWS CENTER a. s.</v>
      </c>
      <c r="C1055" s="3" t="str">
        <f ca="1">IFERROR(__xludf.DUMMYFUNCTION("""COMPUTED_VALUE"""),"Živě")</f>
        <v>Živě</v>
      </c>
      <c r="D1055" s="4" t="str">
        <f ca="1">IFERROR(__xludf.DUMMYFUNCTION("""COMPUTED_VALUE"""),"https://zive.cz")</f>
        <v>https://zive.cz</v>
      </c>
      <c r="E1055" s="3" t="str">
        <f ca="1">IFERROR(__xludf.DUMMYFUNCTION("""COMPUTED_VALUE"""),"celý web")</f>
        <v>celý web</v>
      </c>
      <c r="F1055" s="4" t="str">
        <f ca="1">IFERROR(__xludf.DUMMYFUNCTION("""COMPUTED_VALUE"""),"https://zive.cz")</f>
        <v>https://zive.cz</v>
      </c>
      <c r="G1055" s="3" t="str">
        <f ca="1">IFERROR(__xludf.DUMMYFUNCTION("""COMPUTED_VALUE"""),"cílený mobilní slide-up low season")</f>
        <v>cílený mobilní slide-up low season</v>
      </c>
      <c r="H1055" s="3">
        <f ca="1">IFERROR(__xludf.DUMMYFUNCTION("""COMPUTED_VALUE"""),7)</f>
        <v>7</v>
      </c>
      <c r="I1055" s="5">
        <f ca="1">IFERROR(__xludf.DUMMYFUNCTION("""COMPUTED_VALUE"""),1000)</f>
        <v>1000</v>
      </c>
      <c r="J1055" s="5">
        <f ca="1">IFERROR(__xludf.DUMMYFUNCTION("""COMPUTED_VALUE"""),612)</f>
        <v>612</v>
      </c>
      <c r="K1055" s="3"/>
      <c r="L1055" s="3" t="str">
        <f ca="1">IFERROR(__xludf.DUMMYFUNCTION("""COMPUTED_VALUE"""),"Cost per period")</f>
        <v>Cost per period</v>
      </c>
      <c r="M1055" s="3"/>
      <c r="N1055" s="3"/>
      <c r="O1055" s="3" t="str">
        <f ca="1">IFERROR(__xludf.DUMMYFUNCTION("""COMPUTED_VALUE"""),"300")</f>
        <v>300</v>
      </c>
      <c r="P1055" s="3" t="str">
        <f ca="1">IFERROR(__xludf.DUMMYFUNCTION("""COMPUTED_VALUE"""),"120")</f>
        <v>120</v>
      </c>
      <c r="Q1055" s="3" t="str">
        <f ca="1">IFERROR(__xludf.DUMMYFUNCTION("""COMPUTED_VALUE"""),"300x120")</f>
        <v>300x120</v>
      </c>
      <c r="R1055" s="3"/>
      <c r="S1055" s="3" t="str">
        <f ca="1">IFERROR(__xludf.DUMMYFUNCTION("""COMPUTED_VALUE"""),"100")</f>
        <v>100</v>
      </c>
      <c r="T1055" s="3"/>
      <c r="U1055" s="3" t="str">
        <f ca="1">IFERROR(__xludf.DUMMYFUNCTION("""COMPUTED_VALUE"""),"banner standard")</f>
        <v>banner standard</v>
      </c>
      <c r="V1055" s="3"/>
      <c r="W1055" s="4" t="str">
        <f ca="1">IFERROR(__xludf.DUMMYFUNCTION("""COMPUTED_VALUE"""),"https://reklama.cncenter.cz/Online/mobilni-slide-up")</f>
        <v>https://reklama.cncenter.cz/Online/mobilni-slide-up</v>
      </c>
      <c r="X1055" s="3"/>
      <c r="Y1055" s="3"/>
      <c r="Z1055" s="3" t="str">
        <f ca="1">IFERROR(__xludf.DUMMYFUNCTION("""COMPUTED_VALUE"""),"podklady@cncenter.cz")</f>
        <v>podklady@cncenter.cz</v>
      </c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 t="str">
        <f ca="1">IFERROR(__xludf.DUMMYFUNCTION("""COMPUTED_VALUE"""),"mobile")</f>
        <v>mobile</v>
      </c>
      <c r="AO1055" s="3"/>
      <c r="AP1055" s="3"/>
      <c r="AQ1055" s="3"/>
      <c r="AR1055" s="3"/>
      <c r="AS1055" s="3"/>
      <c r="AT1055" s="3"/>
      <c r="AU1055" s="3" t="str">
        <f ca="1">IFERROR(__xludf.DUMMYFUNCTION("""COMPUTED_VALUE"""),"cílený mobilní slide-up")</f>
        <v>cílený mobilní slide-up</v>
      </c>
    </row>
    <row r="1056" spans="1:47" x14ac:dyDescent="0.3">
      <c r="A1056" s="3">
        <f ca="1"/>
        <v>2346826</v>
      </c>
      <c r="B1056" s="3" t="str">
        <f ca="1"/>
        <v>CZECH NEWS CENTER a. s.</v>
      </c>
      <c r="C1056" s="3" t="str">
        <f ca="1">IFERROR(__xludf.DUMMYFUNCTION("""COMPUTED_VALUE"""),"Živě")</f>
        <v>Živě</v>
      </c>
      <c r="D1056" s="4" t="str">
        <f ca="1">IFERROR(__xludf.DUMMYFUNCTION("""COMPUTED_VALUE"""),"https://zive.cz")</f>
        <v>https://zive.cz</v>
      </c>
      <c r="E1056" s="3" t="str">
        <f ca="1">IFERROR(__xludf.DUMMYFUNCTION("""COMPUTED_VALUE"""),"celý web")</f>
        <v>celý web</v>
      </c>
      <c r="F1056" s="4" t="str">
        <f ca="1">IFERROR(__xludf.DUMMYFUNCTION("""COMPUTED_VALUE"""),"https://zive.cz")</f>
        <v>https://zive.cz</v>
      </c>
      <c r="G1056" s="3" t="str">
        <f ca="1">IFERROR(__xludf.DUMMYFUNCTION("""COMPUTED_VALUE"""),"cílený mobilní viněta low season")</f>
        <v>cílený mobilní viněta low season</v>
      </c>
      <c r="H1056" s="3">
        <f ca="1">IFERROR(__xludf.DUMMYFUNCTION("""COMPUTED_VALUE"""),7)</f>
        <v>7</v>
      </c>
      <c r="I1056" s="5">
        <f ca="1">IFERROR(__xludf.DUMMYFUNCTION("""COMPUTED_VALUE"""),1000)</f>
        <v>1000</v>
      </c>
      <c r="J1056" s="5">
        <f ca="1">IFERROR(__xludf.DUMMYFUNCTION("""COMPUTED_VALUE"""),1056)</f>
        <v>1056</v>
      </c>
      <c r="K1056" s="3"/>
      <c r="L1056" s="3" t="str">
        <f ca="1">IFERROR(__xludf.DUMMYFUNCTION("""COMPUTED_VALUE"""),"Cost per period")</f>
        <v>Cost per period</v>
      </c>
      <c r="M1056" s="3"/>
      <c r="N1056" s="3"/>
      <c r="O1056" s="3" t="str">
        <f ca="1">IFERROR(__xludf.DUMMYFUNCTION("""COMPUTED_VALUE"""),"600")</f>
        <v>600</v>
      </c>
      <c r="P1056" s="3" t="str">
        <f ca="1">IFERROR(__xludf.DUMMYFUNCTION("""COMPUTED_VALUE"""),"800")</f>
        <v>800</v>
      </c>
      <c r="Q1056" s="3" t="str">
        <f ca="1">IFERROR(__xludf.DUMMYFUNCTION("""COMPUTED_VALUE"""),"300x250 nebo 600x800")</f>
        <v>300x250 nebo 600x800</v>
      </c>
      <c r="R1056" s="3"/>
      <c r="S1056" s="3" t="str">
        <f ca="1">IFERROR(__xludf.DUMMYFUNCTION("""COMPUTED_VALUE"""),"100")</f>
        <v>100</v>
      </c>
      <c r="T1056" s="3"/>
      <c r="U1056" s="3" t="str">
        <f ca="1">IFERROR(__xludf.DUMMYFUNCTION("""COMPUTED_VALUE"""),"banner standard")</f>
        <v>banner standard</v>
      </c>
      <c r="V1056" s="3"/>
      <c r="W1056" s="4" t="str">
        <f ca="1">IFERROR(__xludf.DUMMYFUNCTION("""COMPUTED_VALUE"""),"https://reklama.cncenter.cz/Online/mobilni-vineta")</f>
        <v>https://reklama.cncenter.cz/Online/mobilni-vineta</v>
      </c>
      <c r="X1056" s="3"/>
      <c r="Y1056" s="3"/>
      <c r="Z1056" s="3" t="str">
        <f ca="1">IFERROR(__xludf.DUMMYFUNCTION("""COMPUTED_VALUE"""),"podklady@cncenter.cz")</f>
        <v>podklady@cncenter.cz</v>
      </c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 t="str">
        <f ca="1">IFERROR(__xludf.DUMMYFUNCTION("""COMPUTED_VALUE"""),"mobile")</f>
        <v>mobile</v>
      </c>
      <c r="AO1056" s="3"/>
      <c r="AP1056" s="3"/>
      <c r="AQ1056" s="3"/>
      <c r="AR1056" s="3"/>
      <c r="AS1056" s="3"/>
      <c r="AT1056" s="3"/>
      <c r="AU1056" s="3" t="str">
        <f ca="1">IFERROR(__xludf.DUMMYFUNCTION("""COMPUTED_VALUE"""),"cílený mobilní viněta")</f>
        <v>cílený mobilní viněta</v>
      </c>
    </row>
    <row r="1057" spans="1:47" x14ac:dyDescent="0.3">
      <c r="A1057" s="3">
        <f ca="1"/>
        <v>2346826</v>
      </c>
      <c r="B1057" s="3" t="str">
        <f ca="1"/>
        <v>CZECH NEWS CENTER a. s.</v>
      </c>
      <c r="C1057" s="3" t="str">
        <f ca="1">IFERROR(__xludf.DUMMYFUNCTION("""COMPUTED_VALUE"""),"Živě")</f>
        <v>Živě</v>
      </c>
      <c r="D1057" s="4" t="str">
        <f ca="1">IFERROR(__xludf.DUMMYFUNCTION("""COMPUTED_VALUE"""),"https://zive.cz")</f>
        <v>https://zive.cz</v>
      </c>
      <c r="E1057" s="3" t="str">
        <f ca="1">IFERROR(__xludf.DUMMYFUNCTION("""COMPUTED_VALUE"""),"celý web")</f>
        <v>celý web</v>
      </c>
      <c r="F1057" s="4" t="str">
        <f ca="1">IFERROR(__xludf.DUMMYFUNCTION("""COMPUTED_VALUE"""),"https://zive.cz")</f>
        <v>https://zive.cz</v>
      </c>
      <c r="G1057" s="3" t="str">
        <f ca="1">IFERROR(__xludf.DUMMYFUNCTION("""COMPUTED_VALUE"""),"cílený nativní pr premium low season")</f>
        <v>cílený nativní pr premium low season</v>
      </c>
      <c r="H1057" s="3">
        <f ca="1">IFERROR(__xludf.DUMMYFUNCTION("""COMPUTED_VALUE"""),7)</f>
        <v>7</v>
      </c>
      <c r="I1057" s="5">
        <f ca="1">IFERROR(__xludf.DUMMYFUNCTION("""COMPUTED_VALUE"""),1000)</f>
        <v>1000</v>
      </c>
      <c r="J1057" s="5">
        <f ca="1">IFERROR(__xludf.DUMMYFUNCTION("""COMPUTED_VALUE"""),120)</f>
        <v>120</v>
      </c>
      <c r="K1057" s="3"/>
      <c r="L1057" s="3" t="str">
        <f ca="1">IFERROR(__xludf.DUMMYFUNCTION("""COMPUTED_VALUE"""),"Cost per period")</f>
        <v>Cost per period</v>
      </c>
      <c r="M1057" s="3"/>
      <c r="N1057" s="3"/>
      <c r="O1057" s="3" t="str">
        <f ca="1">IFERROR(__xludf.DUMMYFUNCTION("""COMPUTED_VALUE"""),"640")</f>
        <v>640</v>
      </c>
      <c r="P1057" s="3" t="str">
        <f ca="1">IFERROR(__xludf.DUMMYFUNCTION("""COMPUTED_VALUE"""),"335, 640")</f>
        <v>335, 640</v>
      </c>
      <c r="Q1057" s="3" t="str">
        <f ca="1">IFERROR(__xludf.DUMMYFUNCTION("""COMPUTED_VALUE"""),"640x640 a 640x335 + text + logo")</f>
        <v>640x640 a 640x335 + text + logo</v>
      </c>
      <c r="R1057" s="3" t="str">
        <f ca="1">IFERROR(__xludf.DUMMYFUNCTION("""COMPUTED_VALUE"""),"detailní specifikace na URL odkaze")</f>
        <v>detailní specifikace na URL odkaze</v>
      </c>
      <c r="S1057" s="3" t="str">
        <f ca="1">IFERROR(__xludf.DUMMYFUNCTION("""COMPUTED_VALUE"""),"100")</f>
        <v>100</v>
      </c>
      <c r="T1057" s="3"/>
      <c r="U1057" s="3" t="str">
        <f ca="1">IFERROR(__xludf.DUMMYFUNCTION("""COMPUTED_VALUE"""),"nativní reklama")</f>
        <v>nativní reklama</v>
      </c>
      <c r="V1057" s="3"/>
      <c r="W1057" s="4" t="str">
        <f ca="1">IFERROR(__xludf.DUMMYFUNCTION("""COMPUTED_VALUE"""),"https://reklama.cncenter.cz/Online/nativni-PR-premium")</f>
        <v>https://reklama.cncenter.cz/Online/nativni-PR-premium</v>
      </c>
      <c r="X1057" s="3"/>
      <c r="Y1057" s="3"/>
      <c r="Z1057" s="3" t="str">
        <f ca="1">IFERROR(__xludf.DUMMYFUNCTION("""COMPUTED_VALUE"""),"podklady@cncenter.cz")</f>
        <v>podklady@cncenter.cz</v>
      </c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 t="str">
        <f ca="1">IFERROR(__xludf.DUMMYFUNCTION("""COMPUTED_VALUE"""),"cross-device")</f>
        <v>cross-device</v>
      </c>
      <c r="AO1057" s="3"/>
      <c r="AP1057" s="3"/>
      <c r="AQ1057" s="3"/>
      <c r="AR1057" s="3"/>
      <c r="AS1057" s="3"/>
      <c r="AT1057" s="3"/>
      <c r="AU1057" s="3" t="str">
        <f ca="1">IFERROR(__xludf.DUMMYFUNCTION("""COMPUTED_VALUE"""),"cílený nativní pr premium")</f>
        <v>cílený nativní pr premium</v>
      </c>
    </row>
    <row r="1058" spans="1:47" x14ac:dyDescent="0.3">
      <c r="A1058" s="3">
        <f ca="1"/>
        <v>2346826</v>
      </c>
      <c r="B1058" s="3" t="str">
        <f ca="1"/>
        <v>CZECH NEWS CENTER a. s.</v>
      </c>
      <c r="C1058" s="3" t="str">
        <f ca="1">IFERROR(__xludf.DUMMYFUNCTION("""COMPUTED_VALUE"""),"Živě")</f>
        <v>Živě</v>
      </c>
      <c r="D1058" s="4" t="str">
        <f ca="1">IFERROR(__xludf.DUMMYFUNCTION("""COMPUTED_VALUE"""),"https://zive.cz")</f>
        <v>https://zive.cz</v>
      </c>
      <c r="E1058" s="3" t="str">
        <f ca="1">IFERROR(__xludf.DUMMYFUNCTION("""COMPUTED_VALUE"""),"celý web")</f>
        <v>celý web</v>
      </c>
      <c r="F1058" s="4" t="str">
        <f ca="1">IFERROR(__xludf.DUMMYFUNCTION("""COMPUTED_VALUE"""),"https://zive.cz")</f>
        <v>https://zive.cz</v>
      </c>
      <c r="G1058" s="3" t="str">
        <f ca="1">IFERROR(__xludf.DUMMYFUNCTION("""COMPUTED_VALUE"""),"cílený nativní rectangle cross-device low season")</f>
        <v>cílený nativní rectangle cross-device low season</v>
      </c>
      <c r="H1058" s="3">
        <f ca="1">IFERROR(__xludf.DUMMYFUNCTION("""COMPUTED_VALUE"""),7)</f>
        <v>7</v>
      </c>
      <c r="I1058" s="5">
        <f ca="1">IFERROR(__xludf.DUMMYFUNCTION("""COMPUTED_VALUE"""),1000)</f>
        <v>1000</v>
      </c>
      <c r="J1058" s="5">
        <f ca="1">IFERROR(__xludf.DUMMYFUNCTION("""COMPUTED_VALUE"""),240)</f>
        <v>240</v>
      </c>
      <c r="K1058" s="3"/>
      <c r="L1058" s="3" t="str">
        <f ca="1">IFERROR(__xludf.DUMMYFUNCTION("""COMPUTED_VALUE"""),"Cost per period")</f>
        <v>Cost per period</v>
      </c>
      <c r="M1058" s="3"/>
      <c r="N1058" s="3"/>
      <c r="O1058" s="3" t="str">
        <f ca="1">IFERROR(__xludf.DUMMYFUNCTION("""COMPUTED_VALUE"""),"640")</f>
        <v>640</v>
      </c>
      <c r="P1058" s="3" t="str">
        <f ca="1">IFERROR(__xludf.DUMMYFUNCTION("""COMPUTED_VALUE"""),"335, 640")</f>
        <v>335, 640</v>
      </c>
      <c r="Q1058" s="3" t="str">
        <f ca="1">IFERROR(__xludf.DUMMYFUNCTION("""COMPUTED_VALUE"""),"640x640 a 640x335 + text + logo")</f>
        <v>640x640 a 640x335 + text + logo</v>
      </c>
      <c r="R1058" s="3"/>
      <c r="S1058" s="3" t="str">
        <f ca="1">IFERROR(__xludf.DUMMYFUNCTION("""COMPUTED_VALUE"""),"45")</f>
        <v>45</v>
      </c>
      <c r="T1058" s="3"/>
      <c r="U1058" s="3" t="str">
        <f ca="1">IFERROR(__xludf.DUMMYFUNCTION("""COMPUTED_VALUE"""),"nativní reklama")</f>
        <v>nativní reklama</v>
      </c>
      <c r="V1058" s="3"/>
      <c r="W1058" s="4" t="str">
        <f ca="1">IFERROR(__xludf.DUMMYFUNCTION("""COMPUTED_VALUE"""),"https://reklama.cncenter.cz/Online/nativni-rectangle-cross-device")</f>
        <v>https://reklama.cncenter.cz/Online/nativni-rectangle-cross-device</v>
      </c>
      <c r="X1058" s="3"/>
      <c r="Y1058" s="3"/>
      <c r="Z1058" s="3" t="str">
        <f ca="1">IFERROR(__xludf.DUMMYFUNCTION("""COMPUTED_VALUE"""),"podklady@cncenter.cz")</f>
        <v>podklady@cncenter.cz</v>
      </c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 t="str">
        <f ca="1">IFERROR(__xludf.DUMMYFUNCTION("""COMPUTED_VALUE"""),"cross-device")</f>
        <v>cross-device</v>
      </c>
      <c r="AO1058" s="3"/>
      <c r="AP1058" s="3"/>
      <c r="AQ1058" s="3"/>
      <c r="AR1058" s="3"/>
      <c r="AS1058" s="3"/>
      <c r="AT1058" s="3"/>
      <c r="AU1058" s="3" t="str">
        <f ca="1">IFERROR(__xludf.DUMMYFUNCTION("""COMPUTED_VALUE"""),"cílený nativní rectangle cross-device")</f>
        <v>cílený nativní rectangle cross-device</v>
      </c>
    </row>
    <row r="1059" spans="1:47" x14ac:dyDescent="0.3">
      <c r="A1059" s="3">
        <f ca="1"/>
        <v>2346826</v>
      </c>
      <c r="B1059" s="3" t="str">
        <f ca="1"/>
        <v>CZECH NEWS CENTER a. s.</v>
      </c>
      <c r="C1059" s="3" t="str">
        <f ca="1">IFERROR(__xludf.DUMMYFUNCTION("""COMPUTED_VALUE"""),"Živě")</f>
        <v>Živě</v>
      </c>
      <c r="D1059" s="4" t="str">
        <f ca="1">IFERROR(__xludf.DUMMYFUNCTION("""COMPUTED_VALUE"""),"https://zive.cz")</f>
        <v>https://zive.cz</v>
      </c>
      <c r="E1059" s="3" t="str">
        <f ca="1">IFERROR(__xludf.DUMMYFUNCTION("""COMPUTED_VALUE"""),"celý web")</f>
        <v>celý web</v>
      </c>
      <c r="F1059" s="4" t="str">
        <f ca="1">IFERROR(__xludf.DUMMYFUNCTION("""COMPUTED_VALUE"""),"https://zive.cz")</f>
        <v>https://zive.cz</v>
      </c>
      <c r="G1059" s="3" t="str">
        <f ca="1">IFERROR(__xludf.DUMMYFUNCTION("""COMPUTED_VALUE"""),"cílený outstream low season")</f>
        <v>cílený outstream low season</v>
      </c>
      <c r="H1059" s="3">
        <f ca="1">IFERROR(__xludf.DUMMYFUNCTION("""COMPUTED_VALUE"""),7)</f>
        <v>7</v>
      </c>
      <c r="I1059" s="5">
        <f ca="1">IFERROR(__xludf.DUMMYFUNCTION("""COMPUTED_VALUE"""),1000)</f>
        <v>1000</v>
      </c>
      <c r="J1059" s="5">
        <f ca="1">IFERROR(__xludf.DUMMYFUNCTION("""COMPUTED_VALUE"""),300)</f>
        <v>300</v>
      </c>
      <c r="K1059" s="3"/>
      <c r="L1059" s="3" t="str">
        <f ca="1">IFERROR(__xludf.DUMMYFUNCTION("""COMPUTED_VALUE"""),"Cost per period")</f>
        <v>Cost per period</v>
      </c>
      <c r="M1059" s="3"/>
      <c r="N1059" s="3"/>
      <c r="O1059" s="3" t="str">
        <f ca="1">IFERROR(__xludf.DUMMYFUNCTION("""COMPUTED_VALUE"""),"1280")</f>
        <v>1280</v>
      </c>
      <c r="P1059" s="3" t="str">
        <f ca="1">IFERROR(__xludf.DUMMYFUNCTION("""COMPUTED_VALUE"""),"720")</f>
        <v>720</v>
      </c>
      <c r="Q1059" s="3" t="str">
        <f ca="1">IFERROR(__xludf.DUMMYFUNCTION("""COMPUTED_VALUE"""),"16:9")</f>
        <v>16:9</v>
      </c>
      <c r="R1059" s="3"/>
      <c r="S1059" s="3" t="str">
        <f ca="1">IFERROR(__xludf.DUMMYFUNCTION("""COMPUTED_VALUE"""),"100")</f>
        <v>100</v>
      </c>
      <c r="T1059" s="3"/>
      <c r="U1059" s="3" t="str">
        <f ca="1">IFERROR(__xludf.DUMMYFUNCTION("""COMPUTED_VALUE"""),"videospot")</f>
        <v>videospot</v>
      </c>
      <c r="V1059" s="3"/>
      <c r="W1059" s="4" t="str">
        <f ca="1">IFERROR(__xludf.DUMMYFUNCTION("""COMPUTED_VALUE"""),"https://reklama.cncenter.cz/Online/Outstream")</f>
        <v>https://reklama.cncenter.cz/Online/Outstream</v>
      </c>
      <c r="X1059" s="3"/>
      <c r="Y1059" s="3"/>
      <c r="Z1059" s="3" t="str">
        <f ca="1">IFERROR(__xludf.DUMMYFUNCTION("""COMPUTED_VALUE"""),"podklady@cncenter.cz")</f>
        <v>podklady@cncenter.cz</v>
      </c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 t="str">
        <f ca="1">IFERROR(__xludf.DUMMYFUNCTION("""COMPUTED_VALUE"""),"cross-device")</f>
        <v>cross-device</v>
      </c>
      <c r="AO1059" s="3"/>
      <c r="AP1059" s="3"/>
      <c r="AQ1059" s="3"/>
      <c r="AR1059" s="3"/>
      <c r="AS1059" s="3"/>
      <c r="AT1059" s="3"/>
      <c r="AU1059" s="3" t="str">
        <f ca="1">IFERROR(__xludf.DUMMYFUNCTION("""COMPUTED_VALUE"""),"cílený outstream")</f>
        <v>cílený outstream</v>
      </c>
    </row>
    <row r="1060" spans="1:47" x14ac:dyDescent="0.3">
      <c r="A1060" s="3">
        <f ca="1"/>
        <v>2346826</v>
      </c>
      <c r="B1060" s="3" t="str">
        <f ca="1"/>
        <v>CZECH NEWS CENTER a. s.</v>
      </c>
      <c r="C1060" s="3" t="str">
        <f ca="1">IFERROR(__xludf.DUMMYFUNCTION("""COMPUTED_VALUE"""),"Živě")</f>
        <v>Živě</v>
      </c>
      <c r="D1060" s="4" t="str">
        <f ca="1">IFERROR(__xludf.DUMMYFUNCTION("""COMPUTED_VALUE"""),"https://zive.cz")</f>
        <v>https://zive.cz</v>
      </c>
      <c r="E1060" s="3" t="str">
        <f ca="1">IFERROR(__xludf.DUMMYFUNCTION("""COMPUTED_VALUE"""),"celý web")</f>
        <v>celý web</v>
      </c>
      <c r="F1060" s="4" t="str">
        <f ca="1">IFERROR(__xludf.DUMMYFUNCTION("""COMPUTED_VALUE"""),"https://zive.cz")</f>
        <v>https://zive.cz</v>
      </c>
      <c r="G1060" s="3" t="str">
        <f ca="1">IFERROR(__xludf.DUMMYFUNCTION("""COMPUTED_VALUE"""),"cílený videospot - max. 30 sec. / bumper low season")</f>
        <v>cílený videospot - max. 30 sec. / bumper low season</v>
      </c>
      <c r="H1060" s="3">
        <f ca="1">IFERROR(__xludf.DUMMYFUNCTION("""COMPUTED_VALUE"""),7)</f>
        <v>7</v>
      </c>
      <c r="I1060" s="5">
        <f ca="1">IFERROR(__xludf.DUMMYFUNCTION("""COMPUTED_VALUE"""),1000)</f>
        <v>1000</v>
      </c>
      <c r="J1060" s="5">
        <f ca="1">IFERROR(__xludf.DUMMYFUNCTION("""COMPUTED_VALUE"""),888)</f>
        <v>888</v>
      </c>
      <c r="K1060" s="3"/>
      <c r="L1060" s="3" t="str">
        <f ca="1">IFERROR(__xludf.DUMMYFUNCTION("""COMPUTED_VALUE"""),"Cost per period")</f>
        <v>Cost per period</v>
      </c>
      <c r="M1060" s="3"/>
      <c r="N1060" s="3"/>
      <c r="O1060" s="3" t="str">
        <f ca="1">IFERROR(__xludf.DUMMYFUNCTION("""COMPUTED_VALUE"""),"1280")</f>
        <v>1280</v>
      </c>
      <c r="P1060" s="3" t="str">
        <f ca="1">IFERROR(__xludf.DUMMYFUNCTION("""COMPUTED_VALUE"""),"720")</f>
        <v>720</v>
      </c>
      <c r="Q1060" s="3" t="str">
        <f ca="1">IFERROR(__xludf.DUMMYFUNCTION("""COMPUTED_VALUE"""),"16:9 / umístění po domluvě dle možností")</f>
        <v>16:9 / umístění po domluvě dle možností</v>
      </c>
      <c r="R1060" s="3" t="str">
        <f ca="1">IFERROR(__xludf.DUMMYFUNCTION("""COMPUTED_VALUE"""),"přeskočení po 7 sekundách")</f>
        <v>přeskočení po 7 sekundách</v>
      </c>
      <c r="S1060" s="3" t="str">
        <f ca="1">IFERROR(__xludf.DUMMYFUNCTION("""COMPUTED_VALUE"""),"100")</f>
        <v>100</v>
      </c>
      <c r="T1060" s="3"/>
      <c r="U1060" s="3" t="str">
        <f ca="1">IFERROR(__xludf.DUMMYFUNCTION("""COMPUTED_VALUE"""),"videospot")</f>
        <v>videospot</v>
      </c>
      <c r="V1060" s="3"/>
      <c r="W1060" s="4" t="str">
        <f ca="1">IFERROR(__xludf.DUMMYFUNCTION("""COMPUTED_VALUE"""),"https://reklama.cncenter.cz/Online/Bumper")</f>
        <v>https://reklama.cncenter.cz/Online/Bumper</v>
      </c>
      <c r="X1060" s="3"/>
      <c r="Y1060" s="3"/>
      <c r="Z1060" s="3" t="str">
        <f ca="1">IFERROR(__xludf.DUMMYFUNCTION("""COMPUTED_VALUE"""),"podklady@cncenter.cz")</f>
        <v>podklady@cncenter.cz</v>
      </c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 t="str">
        <f ca="1">IFERROR(__xludf.DUMMYFUNCTION("""COMPUTED_VALUE"""),"cross-device")</f>
        <v>cross-device</v>
      </c>
      <c r="AO1060" s="3"/>
      <c r="AP1060" s="3"/>
      <c r="AQ1060" s="3"/>
      <c r="AR1060" s="3"/>
      <c r="AS1060" s="3"/>
      <c r="AT1060" s="3"/>
      <c r="AU1060" s="3" t="str">
        <f ca="1">IFERROR(__xludf.DUMMYFUNCTION("""COMPUTED_VALUE"""),"cílený videospot - max. 30 sec. / bumper")</f>
        <v>cílený videospot - max. 30 sec. / bumper</v>
      </c>
    </row>
    <row r="1061" spans="1:47" x14ac:dyDescent="0.3">
      <c r="A1061" s="3">
        <f ca="1"/>
        <v>2346826</v>
      </c>
      <c r="B1061" s="3" t="str">
        <f ca="1"/>
        <v>CZECH NEWS CENTER a. s.</v>
      </c>
      <c r="C1061" s="3" t="str">
        <f ca="1">IFERROR(__xludf.DUMMYFUNCTION("""COMPUTED_VALUE"""),"Živě")</f>
        <v>Živě</v>
      </c>
      <c r="D1061" s="4" t="str">
        <f ca="1">IFERROR(__xludf.DUMMYFUNCTION("""COMPUTED_VALUE"""),"https://zive.cz")</f>
        <v>https://zive.cz</v>
      </c>
      <c r="E1061" s="3" t="str">
        <f ca="1">IFERROR(__xludf.DUMMYFUNCTION("""COMPUTED_VALUE"""),"celý web")</f>
        <v>celý web</v>
      </c>
      <c r="F1061" s="4" t="str">
        <f ca="1">IFERROR(__xludf.DUMMYFUNCTION("""COMPUTED_VALUE"""),"https://zive.cz")</f>
        <v>https://zive.cz</v>
      </c>
      <c r="G1061" s="3" t="str">
        <f ca="1">IFERROR(__xludf.DUMMYFUNCTION("""COMPUTED_VALUE"""),"dokoupení proma o 2 týdny - 10 000 PV *** low season")</f>
        <v>dokoupení proma o 2 týdny - 10 000 PV *** low season</v>
      </c>
      <c r="H1061" s="3">
        <f ca="1">IFERROR(__xludf.DUMMYFUNCTION("""COMPUTED_VALUE"""),1)</f>
        <v>1</v>
      </c>
      <c r="I1061" s="5">
        <f ca="1">IFERROR(__xludf.DUMMYFUNCTION("""COMPUTED_VALUE"""),1)</f>
        <v>1</v>
      </c>
      <c r="J1061" s="5">
        <f ca="1">IFERROR(__xludf.DUMMYFUNCTION("""COMPUTED_VALUE"""),60000)</f>
        <v>60000</v>
      </c>
      <c r="K1061" s="3"/>
      <c r="L1061" s="3" t="str">
        <f ca="1">IFERROR(__xludf.DUMMYFUNCTION("""COMPUTED_VALUE"""),"Cost per instance")</f>
        <v>Cost per instance</v>
      </c>
      <c r="M1061" s="3"/>
      <c r="N1061" s="3"/>
      <c r="O1061" s="3"/>
      <c r="P1061" s="3"/>
      <c r="Q1061" s="3"/>
      <c r="R1061" s="3"/>
      <c r="S1061" s="3" t="str">
        <f ca="1">IFERROR(__xludf.DUMMYFUNCTION("""COMPUTED_VALUE"""),"100")</f>
        <v>100</v>
      </c>
      <c r="T1061" s="3"/>
      <c r="U1061" s="3" t="str">
        <f ca="1">IFERROR(__xludf.DUMMYFUNCTION("""COMPUTED_VALUE"""),"microsite")</f>
        <v>microsite</v>
      </c>
      <c r="V1061" s="3"/>
      <c r="W1061" s="3"/>
      <c r="X1061" s="3"/>
      <c r="Y1061" s="3"/>
      <c r="Z1061" s="3" t="str">
        <f ca="1">IFERROR(__xludf.DUMMYFUNCTION("""COMPUTED_VALUE"""),"podklady@cncenter.cz")</f>
        <v>podklady@cncenter.cz</v>
      </c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 t="str">
        <f ca="1">IFERROR(__xludf.DUMMYFUNCTION("""COMPUTED_VALUE"""),"cross-device")</f>
        <v>cross-device</v>
      </c>
      <c r="AO1061" s="3"/>
      <c r="AP1061" s="3"/>
      <c r="AQ1061" s="3"/>
      <c r="AR1061" s="3"/>
      <c r="AS1061" s="3"/>
      <c r="AT1061" s="3"/>
      <c r="AU1061" s="3" t="str">
        <f ca="1">IFERROR(__xludf.DUMMYFUNCTION("""COMPUTED_VALUE"""),"dokoupení proma o 2 týdny - 10 000 PV ***")</f>
        <v>dokoupení proma o 2 týdny - 10 000 PV ***</v>
      </c>
    </row>
    <row r="1062" spans="1:47" x14ac:dyDescent="0.3">
      <c r="A1062" s="3">
        <f ca="1"/>
        <v>2346826</v>
      </c>
      <c r="B1062" s="3" t="str">
        <f ca="1"/>
        <v>CZECH NEWS CENTER a. s.</v>
      </c>
      <c r="C1062" s="3" t="str">
        <f ca="1">IFERROR(__xludf.DUMMYFUNCTION("""COMPUTED_VALUE"""),"Živě")</f>
        <v>Živě</v>
      </c>
      <c r="D1062" s="4" t="str">
        <f ca="1">IFERROR(__xludf.DUMMYFUNCTION("""COMPUTED_VALUE"""),"https://zive.cz")</f>
        <v>https://zive.cz</v>
      </c>
      <c r="E1062" s="3" t="str">
        <f ca="1">IFERROR(__xludf.DUMMYFUNCTION("""COMPUTED_VALUE"""),"celý web")</f>
        <v>celý web</v>
      </c>
      <c r="F1062" s="4" t="str">
        <f ca="1">IFERROR(__xludf.DUMMYFUNCTION("""COMPUTED_VALUE"""),"https://zive.cz")</f>
        <v>https://zive.cz</v>
      </c>
      <c r="G1062" s="3" t="str">
        <f ca="1">IFERROR(__xludf.DUMMYFUNCTION("""COMPUTED_VALUE"""),"double skyscraper low season")</f>
        <v>double skyscraper low season</v>
      </c>
      <c r="H1062" s="3">
        <f ca="1">IFERROR(__xludf.DUMMYFUNCTION("""COMPUTED_VALUE"""),7)</f>
        <v>7</v>
      </c>
      <c r="I1062" s="5">
        <f ca="1">IFERROR(__xludf.DUMMYFUNCTION("""COMPUTED_VALUE"""),1000)</f>
        <v>1000</v>
      </c>
      <c r="J1062" s="5">
        <f ca="1">IFERROR(__xludf.DUMMYFUNCTION("""COMPUTED_VALUE"""),190)</f>
        <v>190</v>
      </c>
      <c r="K1062" s="3"/>
      <c r="L1062" s="3" t="str">
        <f ca="1">IFERROR(__xludf.DUMMYFUNCTION("""COMPUTED_VALUE"""),"Cost per period")</f>
        <v>Cost per period</v>
      </c>
      <c r="M1062" s="3"/>
      <c r="N1062" s="3"/>
      <c r="O1062" s="3" t="str">
        <f ca="1">IFERROR(__xludf.DUMMYFUNCTION("""COMPUTED_VALUE"""),"300")</f>
        <v>300</v>
      </c>
      <c r="P1062" s="3" t="str">
        <f ca="1">IFERROR(__xludf.DUMMYFUNCTION("""COMPUTED_VALUE"""),"600")</f>
        <v>600</v>
      </c>
      <c r="Q1062" s="3" t="str">
        <f ca="1">IFERROR(__xludf.DUMMYFUNCTION("""COMPUTED_VALUE"""),"300x600")</f>
        <v>300x600</v>
      </c>
      <c r="R1062" s="3"/>
      <c r="S1062" s="3" t="str">
        <f ca="1">IFERROR(__xludf.DUMMYFUNCTION("""COMPUTED_VALUE"""),"100 (200 - HTML5)")</f>
        <v>100 (200 - HTML5)</v>
      </c>
      <c r="T1062" s="3"/>
      <c r="U1062" s="3" t="str">
        <f ca="1">IFERROR(__xludf.DUMMYFUNCTION("""COMPUTED_VALUE"""),"banner standard")</f>
        <v>banner standard</v>
      </c>
      <c r="V1062" s="3"/>
      <c r="W1062" s="4" t="str">
        <f ca="1">IFERROR(__xludf.DUMMYFUNCTION("""COMPUTED_VALUE"""),"https://reklama.cncenter.cz/Online/double-skyscraper")</f>
        <v>https://reklama.cncenter.cz/Online/double-skyscraper</v>
      </c>
      <c r="X1062" s="3"/>
      <c r="Y1062" s="3"/>
      <c r="Z1062" s="3" t="str">
        <f ca="1">IFERROR(__xludf.DUMMYFUNCTION("""COMPUTED_VALUE"""),"podklady@cncenter.cz")</f>
        <v>podklady@cncenter.cz</v>
      </c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 t="str">
        <f ca="1">IFERROR(__xludf.DUMMYFUNCTION("""COMPUTED_VALUE"""),"desktop")</f>
        <v>desktop</v>
      </c>
      <c r="AO1062" s="3"/>
      <c r="AP1062" s="3"/>
      <c r="AQ1062" s="3"/>
      <c r="AR1062" s="3"/>
      <c r="AS1062" s="3"/>
      <c r="AT1062" s="3"/>
      <c r="AU1062" s="3" t="str">
        <f ca="1">IFERROR(__xludf.DUMMYFUNCTION("""COMPUTED_VALUE"""),"double skyscraper")</f>
        <v>double skyscraper</v>
      </c>
    </row>
    <row r="1063" spans="1:47" x14ac:dyDescent="0.3">
      <c r="A1063" s="3">
        <f ca="1"/>
        <v>2346826</v>
      </c>
      <c r="B1063" s="3" t="str">
        <f ca="1"/>
        <v>CZECH NEWS CENTER a. s.</v>
      </c>
      <c r="C1063" s="3" t="str">
        <f ca="1">IFERROR(__xludf.DUMMYFUNCTION("""COMPUTED_VALUE"""),"Živě")</f>
        <v>Živě</v>
      </c>
      <c r="D1063" s="4" t="str">
        <f ca="1">IFERROR(__xludf.DUMMYFUNCTION("""COMPUTED_VALUE"""),"https://zive.cz")</f>
        <v>https://zive.cz</v>
      </c>
      <c r="E1063" s="3" t="str">
        <f ca="1">IFERROR(__xludf.DUMMYFUNCTION("""COMPUTED_VALUE"""),"celý web")</f>
        <v>celý web</v>
      </c>
      <c r="F1063" s="4" t="str">
        <f ca="1">IFERROR(__xludf.DUMMYFUNCTION("""COMPUTED_VALUE"""),"https://zive.cz")</f>
        <v>https://zive.cz</v>
      </c>
      <c r="G1063" s="3" t="str">
        <f ca="1">IFERROR(__xludf.DUMMYFUNCTION("""COMPUTED_VALUE"""),"mobilní interscroller low season")</f>
        <v>mobilní interscroller low season</v>
      </c>
      <c r="H1063" s="3">
        <f ca="1">IFERROR(__xludf.DUMMYFUNCTION("""COMPUTED_VALUE"""),7)</f>
        <v>7</v>
      </c>
      <c r="I1063" s="5">
        <f ca="1">IFERROR(__xludf.DUMMYFUNCTION("""COMPUTED_VALUE"""),1000)</f>
        <v>1000</v>
      </c>
      <c r="J1063" s="5">
        <f ca="1">IFERROR(__xludf.DUMMYFUNCTION("""COMPUTED_VALUE"""),250)</f>
        <v>250</v>
      </c>
      <c r="K1063" s="3"/>
      <c r="L1063" s="3" t="str">
        <f ca="1">IFERROR(__xludf.DUMMYFUNCTION("""COMPUTED_VALUE"""),"Cost per period")</f>
        <v>Cost per period</v>
      </c>
      <c r="M1063" s="3"/>
      <c r="N1063" s="3"/>
      <c r="O1063" s="3" t="str">
        <f ca="1">IFERROR(__xludf.DUMMYFUNCTION("""COMPUTED_VALUE"""),"600")</f>
        <v>600</v>
      </c>
      <c r="P1063" s="3" t="str">
        <f ca="1">IFERROR(__xludf.DUMMYFUNCTION("""COMPUTED_VALUE"""),"1080")</f>
        <v>1080</v>
      </c>
      <c r="Q1063" s="3" t="str">
        <f ca="1">IFERROR(__xludf.DUMMYFUNCTION("""COMPUTED_VALUE"""),"600x1080")</f>
        <v>600x1080</v>
      </c>
      <c r="R1063" s="3"/>
      <c r="S1063" s="3" t="str">
        <f ca="1">IFERROR(__xludf.DUMMYFUNCTION("""COMPUTED_VALUE"""),"200")</f>
        <v>200</v>
      </c>
      <c r="T1063" s="3"/>
      <c r="U1063" s="3" t="str">
        <f ca="1">IFERROR(__xludf.DUMMYFUNCTION("""COMPUTED_VALUE"""),"banner standard")</f>
        <v>banner standard</v>
      </c>
      <c r="V1063" s="3"/>
      <c r="W1063" s="4" t="str">
        <f ca="1">IFERROR(__xludf.DUMMYFUNCTION("""COMPUTED_VALUE"""),"https://reklama.cncenter.cz/Online/mobilni-interscroller")</f>
        <v>https://reklama.cncenter.cz/Online/mobilni-interscroller</v>
      </c>
      <c r="X1063" s="3"/>
      <c r="Y1063" s="3"/>
      <c r="Z1063" s="3" t="str">
        <f ca="1">IFERROR(__xludf.DUMMYFUNCTION("""COMPUTED_VALUE"""),"podklady@cncenter.cz")</f>
        <v>podklady@cncenter.cz</v>
      </c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 t="str">
        <f ca="1">IFERROR(__xludf.DUMMYFUNCTION("""COMPUTED_VALUE"""),"mobile")</f>
        <v>mobile</v>
      </c>
      <c r="AO1063" s="3"/>
      <c r="AP1063" s="3"/>
      <c r="AQ1063" s="3"/>
      <c r="AR1063" s="3"/>
      <c r="AS1063" s="3"/>
      <c r="AT1063" s="3"/>
      <c r="AU1063" s="3" t="str">
        <f ca="1">IFERROR(__xludf.DUMMYFUNCTION("""COMPUTED_VALUE"""),"mobilní interscroller")</f>
        <v>mobilní interscroller</v>
      </c>
    </row>
    <row r="1064" spans="1:47" x14ac:dyDescent="0.3">
      <c r="A1064" s="3">
        <f ca="1"/>
        <v>2346826</v>
      </c>
      <c r="B1064" s="3" t="str">
        <f ca="1"/>
        <v>CZECH NEWS CENTER a. s.</v>
      </c>
      <c r="C1064" s="3" t="str">
        <f ca="1">IFERROR(__xludf.DUMMYFUNCTION("""COMPUTED_VALUE"""),"Živě")</f>
        <v>Živě</v>
      </c>
      <c r="D1064" s="4" t="str">
        <f ca="1">IFERROR(__xludf.DUMMYFUNCTION("""COMPUTED_VALUE"""),"https://zive.cz")</f>
        <v>https://zive.cz</v>
      </c>
      <c r="E1064" s="3" t="str">
        <f ca="1">IFERROR(__xludf.DUMMYFUNCTION("""COMPUTED_VALUE"""),"celý web")</f>
        <v>celý web</v>
      </c>
      <c r="F1064" s="4" t="str">
        <f ca="1">IFERROR(__xludf.DUMMYFUNCTION("""COMPUTED_VALUE"""),"https://zive.cz")</f>
        <v>https://zive.cz</v>
      </c>
      <c r="G1064" s="3" t="str">
        <f ca="1">IFERROR(__xludf.DUMMYFUNCTION("""COMPUTED_VALUE"""),"mobilní slide-up low season")</f>
        <v>mobilní slide-up low season</v>
      </c>
      <c r="H1064" s="3">
        <f ca="1">IFERROR(__xludf.DUMMYFUNCTION("""COMPUTED_VALUE"""),7)</f>
        <v>7</v>
      </c>
      <c r="I1064" s="5">
        <f ca="1">IFERROR(__xludf.DUMMYFUNCTION("""COMPUTED_VALUE"""),1000)</f>
        <v>1000</v>
      </c>
      <c r="J1064" s="5">
        <f ca="1">IFERROR(__xludf.DUMMYFUNCTION("""COMPUTED_VALUE"""),510)</f>
        <v>510</v>
      </c>
      <c r="K1064" s="3"/>
      <c r="L1064" s="3" t="str">
        <f ca="1">IFERROR(__xludf.DUMMYFUNCTION("""COMPUTED_VALUE"""),"Cost per period")</f>
        <v>Cost per period</v>
      </c>
      <c r="M1064" s="3"/>
      <c r="N1064" s="3"/>
      <c r="O1064" s="3" t="str">
        <f ca="1">IFERROR(__xludf.DUMMYFUNCTION("""COMPUTED_VALUE"""),"300")</f>
        <v>300</v>
      </c>
      <c r="P1064" s="3" t="str">
        <f ca="1">IFERROR(__xludf.DUMMYFUNCTION("""COMPUTED_VALUE"""),"120")</f>
        <v>120</v>
      </c>
      <c r="Q1064" s="3" t="str">
        <f ca="1">IFERROR(__xludf.DUMMYFUNCTION("""COMPUTED_VALUE"""),"300x120")</f>
        <v>300x120</v>
      </c>
      <c r="R1064" s="3"/>
      <c r="S1064" s="3" t="str">
        <f ca="1">IFERROR(__xludf.DUMMYFUNCTION("""COMPUTED_VALUE"""),"100")</f>
        <v>100</v>
      </c>
      <c r="T1064" s="3"/>
      <c r="U1064" s="3" t="str">
        <f ca="1">IFERROR(__xludf.DUMMYFUNCTION("""COMPUTED_VALUE"""),"banner standard")</f>
        <v>banner standard</v>
      </c>
      <c r="V1064" s="3"/>
      <c r="W1064" s="4" t="str">
        <f ca="1">IFERROR(__xludf.DUMMYFUNCTION("""COMPUTED_VALUE"""),"https://reklama.cncenter.cz/Online/mobilni-slide-up")</f>
        <v>https://reklama.cncenter.cz/Online/mobilni-slide-up</v>
      </c>
      <c r="X1064" s="3"/>
      <c r="Y1064" s="3"/>
      <c r="Z1064" s="3" t="str">
        <f ca="1">IFERROR(__xludf.DUMMYFUNCTION("""COMPUTED_VALUE"""),"podklady@cncenter.cz")</f>
        <v>podklady@cncenter.cz</v>
      </c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 t="str">
        <f ca="1">IFERROR(__xludf.DUMMYFUNCTION("""COMPUTED_VALUE"""),"mobile")</f>
        <v>mobile</v>
      </c>
      <c r="AO1064" s="3"/>
      <c r="AP1064" s="3"/>
      <c r="AQ1064" s="3"/>
      <c r="AR1064" s="3"/>
      <c r="AS1064" s="3"/>
      <c r="AT1064" s="3"/>
      <c r="AU1064" s="3" t="str">
        <f ca="1">IFERROR(__xludf.DUMMYFUNCTION("""COMPUTED_VALUE"""),"mobilní slide-up")</f>
        <v>mobilní slide-up</v>
      </c>
    </row>
    <row r="1065" spans="1:47" x14ac:dyDescent="0.3">
      <c r="A1065" s="3">
        <f ca="1"/>
        <v>2346826</v>
      </c>
      <c r="B1065" s="3" t="str">
        <f ca="1"/>
        <v>CZECH NEWS CENTER a. s.</v>
      </c>
      <c r="C1065" s="3" t="str">
        <f ca="1">IFERROR(__xludf.DUMMYFUNCTION("""COMPUTED_VALUE"""),"Živě")</f>
        <v>Živě</v>
      </c>
      <c r="D1065" s="4" t="str">
        <f ca="1">IFERROR(__xludf.DUMMYFUNCTION("""COMPUTED_VALUE"""),"https://zive.cz")</f>
        <v>https://zive.cz</v>
      </c>
      <c r="E1065" s="3" t="str">
        <f ca="1">IFERROR(__xludf.DUMMYFUNCTION("""COMPUTED_VALUE"""),"celý web")</f>
        <v>celý web</v>
      </c>
      <c r="F1065" s="4" t="str">
        <f ca="1">IFERROR(__xludf.DUMMYFUNCTION("""COMPUTED_VALUE"""),"https://zive.cz")</f>
        <v>https://zive.cz</v>
      </c>
      <c r="G1065" s="3" t="str">
        <f ca="1">IFERROR(__xludf.DUMMYFUNCTION("""COMPUTED_VALUE"""),"mobilní viněta low season")</f>
        <v>mobilní viněta low season</v>
      </c>
      <c r="H1065" s="3">
        <f ca="1">IFERROR(__xludf.DUMMYFUNCTION("""COMPUTED_VALUE"""),7)</f>
        <v>7</v>
      </c>
      <c r="I1065" s="5">
        <f ca="1">IFERROR(__xludf.DUMMYFUNCTION("""COMPUTED_VALUE"""),1000)</f>
        <v>1000</v>
      </c>
      <c r="J1065" s="5">
        <f ca="1">IFERROR(__xludf.DUMMYFUNCTION("""COMPUTED_VALUE"""),880)</f>
        <v>880</v>
      </c>
      <c r="K1065" s="3"/>
      <c r="L1065" s="3" t="str">
        <f ca="1">IFERROR(__xludf.DUMMYFUNCTION("""COMPUTED_VALUE"""),"Cost per period")</f>
        <v>Cost per period</v>
      </c>
      <c r="M1065" s="3"/>
      <c r="N1065" s="3"/>
      <c r="O1065" s="3" t="str">
        <f ca="1">IFERROR(__xludf.DUMMYFUNCTION("""COMPUTED_VALUE"""),"600")</f>
        <v>600</v>
      </c>
      <c r="P1065" s="3" t="str">
        <f ca="1">IFERROR(__xludf.DUMMYFUNCTION("""COMPUTED_VALUE"""),"800")</f>
        <v>800</v>
      </c>
      <c r="Q1065" s="3" t="str">
        <f ca="1">IFERROR(__xludf.DUMMYFUNCTION("""COMPUTED_VALUE"""),"300x250 nebo 600x800")</f>
        <v>300x250 nebo 600x800</v>
      </c>
      <c r="R1065" s="3"/>
      <c r="S1065" s="3" t="str">
        <f ca="1">IFERROR(__xludf.DUMMYFUNCTION("""COMPUTED_VALUE"""),"100")</f>
        <v>100</v>
      </c>
      <c r="T1065" s="3"/>
      <c r="U1065" s="3" t="str">
        <f ca="1">IFERROR(__xludf.DUMMYFUNCTION("""COMPUTED_VALUE"""),"banner standard")</f>
        <v>banner standard</v>
      </c>
      <c r="V1065" s="3"/>
      <c r="W1065" s="4" t="str">
        <f ca="1">IFERROR(__xludf.DUMMYFUNCTION("""COMPUTED_VALUE"""),"https://reklama.cncenter.cz/Online/mobilni-vineta")</f>
        <v>https://reklama.cncenter.cz/Online/mobilni-vineta</v>
      </c>
      <c r="X1065" s="3"/>
      <c r="Y1065" s="3"/>
      <c r="Z1065" s="3" t="str">
        <f ca="1">IFERROR(__xludf.DUMMYFUNCTION("""COMPUTED_VALUE"""),"podklady@cncenter.cz")</f>
        <v>podklady@cncenter.cz</v>
      </c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 t="str">
        <f ca="1">IFERROR(__xludf.DUMMYFUNCTION("""COMPUTED_VALUE"""),"mobile")</f>
        <v>mobile</v>
      </c>
      <c r="AO1065" s="3"/>
      <c r="AP1065" s="3"/>
      <c r="AQ1065" s="3"/>
      <c r="AR1065" s="3"/>
      <c r="AS1065" s="3"/>
      <c r="AT1065" s="3"/>
      <c r="AU1065" s="3" t="str">
        <f ca="1">IFERROR(__xludf.DUMMYFUNCTION("""COMPUTED_VALUE"""),"mobilní viněta")</f>
        <v>mobilní viněta</v>
      </c>
    </row>
    <row r="1066" spans="1:47" x14ac:dyDescent="0.3">
      <c r="A1066" s="3">
        <f ca="1"/>
        <v>2346826</v>
      </c>
      <c r="B1066" s="3" t="str">
        <f ca="1"/>
        <v>CZECH NEWS CENTER a. s.</v>
      </c>
      <c r="C1066" s="3" t="str">
        <f ca="1">IFERROR(__xludf.DUMMYFUNCTION("""COMPUTED_VALUE"""),"Živě")</f>
        <v>Živě</v>
      </c>
      <c r="D1066" s="4" t="str">
        <f ca="1">IFERROR(__xludf.DUMMYFUNCTION("""COMPUTED_VALUE"""),"https://zive.cz")</f>
        <v>https://zive.cz</v>
      </c>
      <c r="E1066" s="3" t="str">
        <f ca="1">IFERROR(__xludf.DUMMYFUNCTION("""COMPUTED_VALUE"""),"celý web")</f>
        <v>celý web</v>
      </c>
      <c r="F1066" s="4" t="str">
        <f ca="1">IFERROR(__xludf.DUMMYFUNCTION("""COMPUTED_VALUE"""),"https://zive.cz")</f>
        <v>https://zive.cz</v>
      </c>
      <c r="G1066" s="3" t="str">
        <f ca="1">IFERROR(__xludf.DUMMYFUNCTION("""COMPUTED_VALUE"""),"Native Standard low season")</f>
        <v>Native Standard low season</v>
      </c>
      <c r="H1066" s="3">
        <f ca="1">IFERROR(__xludf.DUMMYFUNCTION("""COMPUTED_VALUE"""),1)</f>
        <v>1</v>
      </c>
      <c r="I1066" s="5">
        <f ca="1">IFERROR(__xludf.DUMMYFUNCTION("""COMPUTED_VALUE"""),1)</f>
        <v>1</v>
      </c>
      <c r="J1066" s="5">
        <f ca="1">IFERROR(__xludf.DUMMYFUNCTION("""COMPUTED_VALUE"""),330000)</f>
        <v>330000</v>
      </c>
      <c r="K1066" s="3"/>
      <c r="L1066" s="3" t="str">
        <f ca="1">IFERROR(__xludf.DUMMYFUNCTION("""COMPUTED_VALUE"""),"Cost per instance")</f>
        <v>Cost per instance</v>
      </c>
      <c r="M1066" s="3"/>
      <c r="N1066" s="3"/>
      <c r="O1066" s="3"/>
      <c r="P1066" s="3"/>
      <c r="Q1066" s="3"/>
      <c r="R1066" s="3"/>
      <c r="S1066" s="3" t="str">
        <f ca="1">IFERROR(__xludf.DUMMYFUNCTION("""COMPUTED_VALUE"""),"100")</f>
        <v>100</v>
      </c>
      <c r="T1066" s="3"/>
      <c r="U1066" s="3" t="str">
        <f ca="1">IFERROR(__xludf.DUMMYFUNCTION("""COMPUTED_VALUE"""),"microsite")</f>
        <v>microsite</v>
      </c>
      <c r="V1066" s="3"/>
      <c r="W1066" s="3"/>
      <c r="X1066" s="3"/>
      <c r="Y1066" s="3"/>
      <c r="Z1066" s="3" t="str">
        <f ca="1">IFERROR(__xludf.DUMMYFUNCTION("""COMPUTED_VALUE"""),"podklady@cncenter.cz")</f>
        <v>podklady@cncenter.cz</v>
      </c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 t="str">
        <f ca="1">IFERROR(__xludf.DUMMYFUNCTION("""COMPUTED_VALUE"""),"cross-device")</f>
        <v>cross-device</v>
      </c>
      <c r="AO1066" s="3"/>
      <c r="AP1066" s="3"/>
      <c r="AQ1066" s="3"/>
      <c r="AR1066" s="3"/>
      <c r="AS1066" s="3"/>
      <c r="AT1066" s="3"/>
      <c r="AU1066" s="3" t="str">
        <f ca="1">IFERROR(__xludf.DUMMYFUNCTION("""COMPUTED_VALUE"""),"Native Standard")</f>
        <v>Native Standard</v>
      </c>
    </row>
    <row r="1067" spans="1:47" x14ac:dyDescent="0.3">
      <c r="A1067" s="3">
        <f ca="1"/>
        <v>2346826</v>
      </c>
      <c r="B1067" s="3" t="str">
        <f ca="1"/>
        <v>CZECH NEWS CENTER a. s.</v>
      </c>
      <c r="C1067" s="3" t="str">
        <f ca="1">IFERROR(__xludf.DUMMYFUNCTION("""COMPUTED_VALUE"""),"Živě")</f>
        <v>Živě</v>
      </c>
      <c r="D1067" s="4" t="str">
        <f ca="1">IFERROR(__xludf.DUMMYFUNCTION("""COMPUTED_VALUE"""),"https://zive.cz")</f>
        <v>https://zive.cz</v>
      </c>
      <c r="E1067" s="3" t="str">
        <f ca="1">IFERROR(__xludf.DUMMYFUNCTION("""COMPUTED_VALUE"""),"celý web")</f>
        <v>celý web</v>
      </c>
      <c r="F1067" s="4" t="str">
        <f ca="1">IFERROR(__xludf.DUMMYFUNCTION("""COMPUTED_VALUE"""),"https://zive.cz")</f>
        <v>https://zive.cz</v>
      </c>
      <c r="G1067" s="3" t="str">
        <f ca="1">IFERROR(__xludf.DUMMYFUNCTION("""COMPUTED_VALUE"""),"nativní pr premium low season")</f>
        <v>nativní pr premium low season</v>
      </c>
      <c r="H1067" s="3">
        <f ca="1">IFERROR(__xludf.DUMMYFUNCTION("""COMPUTED_VALUE"""),7)</f>
        <v>7</v>
      </c>
      <c r="I1067" s="5">
        <f ca="1">IFERROR(__xludf.DUMMYFUNCTION("""COMPUTED_VALUE"""),1000)</f>
        <v>1000</v>
      </c>
      <c r="J1067" s="5">
        <f ca="1">IFERROR(__xludf.DUMMYFUNCTION("""COMPUTED_VALUE"""),100)</f>
        <v>100</v>
      </c>
      <c r="K1067" s="3"/>
      <c r="L1067" s="3" t="str">
        <f ca="1">IFERROR(__xludf.DUMMYFUNCTION("""COMPUTED_VALUE"""),"Cost per period")</f>
        <v>Cost per period</v>
      </c>
      <c r="M1067" s="3"/>
      <c r="N1067" s="3"/>
      <c r="O1067" s="3" t="str">
        <f ca="1">IFERROR(__xludf.DUMMYFUNCTION("""COMPUTED_VALUE"""),"640")</f>
        <v>640</v>
      </c>
      <c r="P1067" s="3" t="str">
        <f ca="1">IFERROR(__xludf.DUMMYFUNCTION("""COMPUTED_VALUE"""),"335, 640")</f>
        <v>335, 640</v>
      </c>
      <c r="Q1067" s="3" t="str">
        <f ca="1">IFERROR(__xludf.DUMMYFUNCTION("""COMPUTED_VALUE"""),"640x640 a 640x335 + text + logo")</f>
        <v>640x640 a 640x335 + text + logo</v>
      </c>
      <c r="R1067" s="3" t="str">
        <f ca="1">IFERROR(__xludf.DUMMYFUNCTION("""COMPUTED_VALUE"""),"detailní specifikace na URL odkaze")</f>
        <v>detailní specifikace na URL odkaze</v>
      </c>
      <c r="S1067" s="3" t="str">
        <f ca="1">IFERROR(__xludf.DUMMYFUNCTION("""COMPUTED_VALUE"""),"100")</f>
        <v>100</v>
      </c>
      <c r="T1067" s="3"/>
      <c r="U1067" s="3" t="str">
        <f ca="1">IFERROR(__xludf.DUMMYFUNCTION("""COMPUTED_VALUE"""),"nativní reklama")</f>
        <v>nativní reklama</v>
      </c>
      <c r="V1067" s="3"/>
      <c r="W1067" s="4" t="str">
        <f ca="1">IFERROR(__xludf.DUMMYFUNCTION("""COMPUTED_VALUE"""),"https://reklama.cncenter.cz/Online/nativni-PR-premium")</f>
        <v>https://reklama.cncenter.cz/Online/nativni-PR-premium</v>
      </c>
      <c r="X1067" s="3"/>
      <c r="Y1067" s="3"/>
      <c r="Z1067" s="3" t="str">
        <f ca="1">IFERROR(__xludf.DUMMYFUNCTION("""COMPUTED_VALUE"""),"podklady@cncenter.cz")</f>
        <v>podklady@cncenter.cz</v>
      </c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 t="str">
        <f ca="1">IFERROR(__xludf.DUMMYFUNCTION("""COMPUTED_VALUE"""),"cross-device")</f>
        <v>cross-device</v>
      </c>
      <c r="AO1067" s="3"/>
      <c r="AP1067" s="3"/>
      <c r="AQ1067" s="3"/>
      <c r="AR1067" s="3"/>
      <c r="AS1067" s="3"/>
      <c r="AT1067" s="3"/>
      <c r="AU1067" s="3" t="str">
        <f ca="1">IFERROR(__xludf.DUMMYFUNCTION("""COMPUTED_VALUE"""),"nativní pr premium")</f>
        <v>nativní pr premium</v>
      </c>
    </row>
    <row r="1068" spans="1:47" x14ac:dyDescent="0.3">
      <c r="A1068" s="3">
        <f ca="1"/>
        <v>2346826</v>
      </c>
      <c r="B1068" s="3" t="str">
        <f ca="1"/>
        <v>CZECH NEWS CENTER a. s.</v>
      </c>
      <c r="C1068" s="3" t="str">
        <f ca="1">IFERROR(__xludf.DUMMYFUNCTION("""COMPUTED_VALUE"""),"Živě")</f>
        <v>Živě</v>
      </c>
      <c r="D1068" s="4" t="str">
        <f ca="1">IFERROR(__xludf.DUMMYFUNCTION("""COMPUTED_VALUE"""),"https://zive.cz")</f>
        <v>https://zive.cz</v>
      </c>
      <c r="E1068" s="3" t="str">
        <f ca="1">IFERROR(__xludf.DUMMYFUNCTION("""COMPUTED_VALUE"""),"celý web")</f>
        <v>celý web</v>
      </c>
      <c r="F1068" s="4" t="str">
        <f ca="1">IFERROR(__xludf.DUMMYFUNCTION("""COMPUTED_VALUE"""),"https://zive.cz")</f>
        <v>https://zive.cz</v>
      </c>
      <c r="G1068" s="3" t="str">
        <f ca="1">IFERROR(__xludf.DUMMYFUNCTION("""COMPUTED_VALUE"""),"nativní rectangle cross-device low season")</f>
        <v>nativní rectangle cross-device low season</v>
      </c>
      <c r="H1068" s="3">
        <f ca="1">IFERROR(__xludf.DUMMYFUNCTION("""COMPUTED_VALUE"""),7)</f>
        <v>7</v>
      </c>
      <c r="I1068" s="5">
        <f ca="1">IFERROR(__xludf.DUMMYFUNCTION("""COMPUTED_VALUE"""),1000)</f>
        <v>1000</v>
      </c>
      <c r="J1068" s="5">
        <f ca="1">IFERROR(__xludf.DUMMYFUNCTION("""COMPUTED_VALUE"""),200)</f>
        <v>200</v>
      </c>
      <c r="K1068" s="3"/>
      <c r="L1068" s="3" t="str">
        <f ca="1">IFERROR(__xludf.DUMMYFUNCTION("""COMPUTED_VALUE"""),"Cost per period")</f>
        <v>Cost per period</v>
      </c>
      <c r="M1068" s="3"/>
      <c r="N1068" s="3"/>
      <c r="O1068" s="3" t="str">
        <f ca="1">IFERROR(__xludf.DUMMYFUNCTION("""COMPUTED_VALUE"""),"640")</f>
        <v>640</v>
      </c>
      <c r="P1068" s="3" t="str">
        <f ca="1">IFERROR(__xludf.DUMMYFUNCTION("""COMPUTED_VALUE"""),"335, 640")</f>
        <v>335, 640</v>
      </c>
      <c r="Q1068" s="3" t="str">
        <f ca="1">IFERROR(__xludf.DUMMYFUNCTION("""COMPUTED_VALUE"""),"640x640 a 640x335 + text + logo")</f>
        <v>640x640 a 640x335 + text + logo</v>
      </c>
      <c r="R1068" s="3"/>
      <c r="S1068" s="3" t="str">
        <f ca="1">IFERROR(__xludf.DUMMYFUNCTION("""COMPUTED_VALUE"""),"45")</f>
        <v>45</v>
      </c>
      <c r="T1068" s="3"/>
      <c r="U1068" s="3" t="str">
        <f ca="1">IFERROR(__xludf.DUMMYFUNCTION("""COMPUTED_VALUE"""),"nativní reklama")</f>
        <v>nativní reklama</v>
      </c>
      <c r="V1068" s="3"/>
      <c r="W1068" s="4" t="str">
        <f ca="1">IFERROR(__xludf.DUMMYFUNCTION("""COMPUTED_VALUE"""),"https://reklama.cncenter.cz/Online/nativni-rectangle-cross-device")</f>
        <v>https://reklama.cncenter.cz/Online/nativni-rectangle-cross-device</v>
      </c>
      <c r="X1068" s="3"/>
      <c r="Y1068" s="3"/>
      <c r="Z1068" s="3" t="str">
        <f ca="1">IFERROR(__xludf.DUMMYFUNCTION("""COMPUTED_VALUE"""),"podklady@cncenter.cz")</f>
        <v>podklady@cncenter.cz</v>
      </c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 t="str">
        <f ca="1">IFERROR(__xludf.DUMMYFUNCTION("""COMPUTED_VALUE"""),"cross-device")</f>
        <v>cross-device</v>
      </c>
      <c r="AO1068" s="3"/>
      <c r="AP1068" s="3"/>
      <c r="AQ1068" s="3"/>
      <c r="AR1068" s="3"/>
      <c r="AS1068" s="3"/>
      <c r="AT1068" s="3"/>
      <c r="AU1068" s="3" t="str">
        <f ca="1">IFERROR(__xludf.DUMMYFUNCTION("""COMPUTED_VALUE"""),"nativní rectangle cross-device")</f>
        <v>nativní rectangle cross-device</v>
      </c>
    </row>
    <row r="1069" spans="1:47" x14ac:dyDescent="0.3">
      <c r="A1069" s="3">
        <f ca="1"/>
        <v>2346826</v>
      </c>
      <c r="B1069" s="3" t="str">
        <f ca="1"/>
        <v>CZECH NEWS CENTER a. s.</v>
      </c>
      <c r="C1069" s="3" t="str">
        <f ca="1">IFERROR(__xludf.DUMMYFUNCTION("""COMPUTED_VALUE"""),"Živě")</f>
        <v>Živě</v>
      </c>
      <c r="D1069" s="4" t="str">
        <f ca="1">IFERROR(__xludf.DUMMYFUNCTION("""COMPUTED_VALUE"""),"https://zive.cz")</f>
        <v>https://zive.cz</v>
      </c>
      <c r="E1069" s="3" t="str">
        <f ca="1">IFERROR(__xludf.DUMMYFUNCTION("""COMPUTED_VALUE"""),"celý web")</f>
        <v>celý web</v>
      </c>
      <c r="F1069" s="4" t="str">
        <f ca="1">IFERROR(__xludf.DUMMYFUNCTION("""COMPUTED_VALUE"""),"https://zive.cz")</f>
        <v>https://zive.cz</v>
      </c>
      <c r="G1069" s="3" t="str">
        <f ca="1">IFERROR(__xludf.DUMMYFUNCTION("""COMPUTED_VALUE"""),"outstream low season")</f>
        <v>outstream low season</v>
      </c>
      <c r="H1069" s="3">
        <f ca="1">IFERROR(__xludf.DUMMYFUNCTION("""COMPUTED_VALUE"""),7)</f>
        <v>7</v>
      </c>
      <c r="I1069" s="5">
        <f ca="1">IFERROR(__xludf.DUMMYFUNCTION("""COMPUTED_VALUE"""),1000)</f>
        <v>1000</v>
      </c>
      <c r="J1069" s="5">
        <f ca="1">IFERROR(__xludf.DUMMYFUNCTION("""COMPUTED_VALUE"""),250)</f>
        <v>250</v>
      </c>
      <c r="K1069" s="3"/>
      <c r="L1069" s="3" t="str">
        <f ca="1">IFERROR(__xludf.DUMMYFUNCTION("""COMPUTED_VALUE"""),"Cost per period")</f>
        <v>Cost per period</v>
      </c>
      <c r="M1069" s="3"/>
      <c r="N1069" s="3"/>
      <c r="O1069" s="3" t="str">
        <f ca="1">IFERROR(__xludf.DUMMYFUNCTION("""COMPUTED_VALUE"""),"1280")</f>
        <v>1280</v>
      </c>
      <c r="P1069" s="3" t="str">
        <f ca="1">IFERROR(__xludf.DUMMYFUNCTION("""COMPUTED_VALUE"""),"720")</f>
        <v>720</v>
      </c>
      <c r="Q1069" s="3" t="str">
        <f ca="1">IFERROR(__xludf.DUMMYFUNCTION("""COMPUTED_VALUE"""),"16:9")</f>
        <v>16:9</v>
      </c>
      <c r="R1069" s="3"/>
      <c r="S1069" s="3" t="str">
        <f ca="1">IFERROR(__xludf.DUMMYFUNCTION("""COMPUTED_VALUE"""),"100")</f>
        <v>100</v>
      </c>
      <c r="T1069" s="3"/>
      <c r="U1069" s="3" t="str">
        <f ca="1">IFERROR(__xludf.DUMMYFUNCTION("""COMPUTED_VALUE"""),"videospot")</f>
        <v>videospot</v>
      </c>
      <c r="V1069" s="3"/>
      <c r="W1069" s="4" t="str">
        <f ca="1">IFERROR(__xludf.DUMMYFUNCTION("""COMPUTED_VALUE"""),"https://reklama.cncenter.cz/Online/Outstream")</f>
        <v>https://reklama.cncenter.cz/Online/Outstream</v>
      </c>
      <c r="X1069" s="3"/>
      <c r="Y1069" s="3"/>
      <c r="Z1069" s="3" t="str">
        <f ca="1">IFERROR(__xludf.DUMMYFUNCTION("""COMPUTED_VALUE"""),"podklady@cncenter.cz")</f>
        <v>podklady@cncenter.cz</v>
      </c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 t="str">
        <f ca="1">IFERROR(__xludf.DUMMYFUNCTION("""COMPUTED_VALUE"""),"cross-device")</f>
        <v>cross-device</v>
      </c>
      <c r="AO1069" s="3"/>
      <c r="AP1069" s="3"/>
      <c r="AQ1069" s="3"/>
      <c r="AR1069" s="3"/>
      <c r="AS1069" s="3"/>
      <c r="AT1069" s="3"/>
      <c r="AU1069" s="3" t="str">
        <f ca="1">IFERROR(__xludf.DUMMYFUNCTION("""COMPUTED_VALUE"""),"outstream")</f>
        <v>outstream</v>
      </c>
    </row>
    <row r="1070" spans="1:47" x14ac:dyDescent="0.3">
      <c r="A1070" s="3">
        <f ca="1"/>
        <v>2346826</v>
      </c>
      <c r="B1070" s="3" t="str">
        <f ca="1"/>
        <v>CZECH NEWS CENTER a. s.</v>
      </c>
      <c r="C1070" s="3" t="str">
        <f ca="1">IFERROR(__xludf.DUMMYFUNCTION("""COMPUTED_VALUE"""),"Živě")</f>
        <v>Živě</v>
      </c>
      <c r="D1070" s="4" t="str">
        <f ca="1">IFERROR(__xludf.DUMMYFUNCTION("""COMPUTED_VALUE"""),"https://zive.cz")</f>
        <v>https://zive.cz</v>
      </c>
      <c r="E1070" s="3" t="str">
        <f ca="1">IFERROR(__xludf.DUMMYFUNCTION("""COMPUTED_VALUE"""),"celý web")</f>
        <v>celý web</v>
      </c>
      <c r="F1070" s="4" t="str">
        <f ca="1">IFERROR(__xludf.DUMMYFUNCTION("""COMPUTED_VALUE"""),"https://zive.cz")</f>
        <v>https://zive.cz</v>
      </c>
      <c r="G1070" s="3" t="str">
        <f ca="1">IFERROR(__xludf.DUMMYFUNCTION("""COMPUTED_VALUE"""),"PR článek low season")</f>
        <v>PR článek low season</v>
      </c>
      <c r="H1070" s="3">
        <f ca="1">IFERROR(__xludf.DUMMYFUNCTION("""COMPUTED_VALUE"""),1)</f>
        <v>1</v>
      </c>
      <c r="I1070" s="5">
        <f ca="1">IFERROR(__xludf.DUMMYFUNCTION("""COMPUTED_VALUE"""),1)</f>
        <v>1</v>
      </c>
      <c r="J1070" s="5">
        <f ca="1">IFERROR(__xludf.DUMMYFUNCTION("""COMPUTED_VALUE"""),50000)</f>
        <v>50000</v>
      </c>
      <c r="K1070" s="3"/>
      <c r="L1070" s="3" t="str">
        <f ca="1">IFERROR(__xludf.DUMMYFUNCTION("""COMPUTED_VALUE"""),"Cost per instance")</f>
        <v>Cost per instance</v>
      </c>
      <c r="M1070" s="3"/>
      <c r="N1070" s="3"/>
      <c r="O1070" s="3"/>
      <c r="P1070" s="3"/>
      <c r="Q1070" s="3"/>
      <c r="R1070" s="3"/>
      <c r="S1070" s="3" t="str">
        <f ca="1">IFERROR(__xludf.DUMMYFUNCTION("""COMPUTED_VALUE"""),"100")</f>
        <v>100</v>
      </c>
      <c r="T1070" s="3"/>
      <c r="U1070" s="3" t="str">
        <f ca="1">IFERROR(__xludf.DUMMYFUNCTION("""COMPUTED_VALUE"""),"pr článek")</f>
        <v>pr článek</v>
      </c>
      <c r="V1070" s="3"/>
      <c r="W1070" s="4" t="str">
        <f ca="1">IFERROR(__xludf.DUMMYFUNCTION("""COMPUTED_VALUE"""),"https://reklama.cncenter.cz/?ads=PR%2520%25C4%258Dl%25C3%25A1nky")</f>
        <v>https://reklama.cncenter.cz/?ads=PR%2520%25C4%258Dl%25C3%25A1nky</v>
      </c>
      <c r="X1070" s="3"/>
      <c r="Y1070" s="3"/>
      <c r="Z1070" s="3" t="str">
        <f ca="1">IFERROR(__xludf.DUMMYFUNCTION("""COMPUTED_VALUE"""),"podklady@cncenter.cz")</f>
        <v>podklady@cncenter.cz</v>
      </c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 t="str">
        <f ca="1">IFERROR(__xludf.DUMMYFUNCTION("""COMPUTED_VALUE"""),"cross-device")</f>
        <v>cross-device</v>
      </c>
      <c r="AO1070" s="3"/>
      <c r="AP1070" s="3"/>
      <c r="AQ1070" s="3"/>
      <c r="AR1070" s="3"/>
      <c r="AS1070" s="3"/>
      <c r="AT1070" s="3"/>
      <c r="AU1070" s="3" t="str">
        <f ca="1">IFERROR(__xludf.DUMMYFUNCTION("""COMPUTED_VALUE"""),"PR článek")</f>
        <v>PR článek</v>
      </c>
    </row>
    <row r="1071" spans="1:47" x14ac:dyDescent="0.3">
      <c r="A1071" s="3">
        <f ca="1"/>
        <v>2346826</v>
      </c>
      <c r="B1071" s="3" t="str">
        <f ca="1"/>
        <v>CZECH NEWS CENTER a. s.</v>
      </c>
      <c r="C1071" s="3" t="str">
        <f ca="1">IFERROR(__xludf.DUMMYFUNCTION("""COMPUTED_VALUE"""),"Živě")</f>
        <v>Živě</v>
      </c>
      <c r="D1071" s="4" t="str">
        <f ca="1">IFERROR(__xludf.DUMMYFUNCTION("""COMPUTED_VALUE"""),"https://zive.cz")</f>
        <v>https://zive.cz</v>
      </c>
      <c r="E1071" s="3" t="str">
        <f ca="1">IFERROR(__xludf.DUMMYFUNCTION("""COMPUTED_VALUE"""),"celý web")</f>
        <v>celý web</v>
      </c>
      <c r="F1071" s="4" t="str">
        <f ca="1">IFERROR(__xludf.DUMMYFUNCTION("""COMPUTED_VALUE"""),"https://zive.cz")</f>
        <v>https://zive.cz</v>
      </c>
      <c r="G1071" s="3" t="str">
        <f ca="1">IFERROR(__xludf.DUMMYFUNCTION("""COMPUTED_VALUE"""),"Prodloužení existující microsite, bez úprav low season")</f>
        <v>Prodloužení existující microsite, bez úprav low season</v>
      </c>
      <c r="H1071" s="3">
        <f ca="1">IFERROR(__xludf.DUMMYFUNCTION("""COMPUTED_VALUE"""),1)</f>
        <v>1</v>
      </c>
      <c r="I1071" s="5">
        <f ca="1">IFERROR(__xludf.DUMMYFUNCTION("""COMPUTED_VALUE"""),1)</f>
        <v>1</v>
      </c>
      <c r="J1071" s="5">
        <f ca="1">IFERROR(__xludf.DUMMYFUNCTION("""COMPUTED_VALUE"""),15000)</f>
        <v>15000</v>
      </c>
      <c r="K1071" s="3"/>
      <c r="L1071" s="3" t="str">
        <f ca="1">IFERROR(__xludf.DUMMYFUNCTION("""COMPUTED_VALUE"""),"Cost per instance")</f>
        <v>Cost per instance</v>
      </c>
      <c r="M1071" s="3"/>
      <c r="N1071" s="3"/>
      <c r="O1071" s="3"/>
      <c r="P1071" s="3"/>
      <c r="Q1071" s="3"/>
      <c r="R1071" s="3"/>
      <c r="S1071" s="3" t="str">
        <f ca="1">IFERROR(__xludf.DUMMYFUNCTION("""COMPUTED_VALUE"""),"100")</f>
        <v>100</v>
      </c>
      <c r="T1071" s="3"/>
      <c r="U1071" s="3" t="str">
        <f ca="1">IFERROR(__xludf.DUMMYFUNCTION("""COMPUTED_VALUE"""),"microsite")</f>
        <v>microsite</v>
      </c>
      <c r="V1071" s="3"/>
      <c r="W1071" s="3"/>
      <c r="X1071" s="3"/>
      <c r="Y1071" s="3"/>
      <c r="Z1071" s="3" t="str">
        <f ca="1">IFERROR(__xludf.DUMMYFUNCTION("""COMPUTED_VALUE"""),"podklady@cncenter.cz")</f>
        <v>podklady@cncenter.cz</v>
      </c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 t="str">
        <f ca="1">IFERROR(__xludf.DUMMYFUNCTION("""COMPUTED_VALUE"""),"cross-device")</f>
        <v>cross-device</v>
      </c>
      <c r="AO1071" s="3"/>
      <c r="AP1071" s="3"/>
      <c r="AQ1071" s="3"/>
      <c r="AR1071" s="3"/>
      <c r="AS1071" s="3"/>
      <c r="AT1071" s="3"/>
      <c r="AU1071" s="3" t="str">
        <f ca="1">IFERROR(__xludf.DUMMYFUNCTION("""COMPUTED_VALUE"""),"Prodloužení existující microsite, bez úprav")</f>
        <v>Prodloužení existující microsite, bez úprav</v>
      </c>
    </row>
    <row r="1072" spans="1:47" x14ac:dyDescent="0.3">
      <c r="A1072" s="3">
        <f ca="1"/>
        <v>2346826</v>
      </c>
      <c r="B1072" s="3" t="str">
        <f ca="1"/>
        <v>CZECH NEWS CENTER a. s.</v>
      </c>
      <c r="C1072" s="3" t="str">
        <f ca="1">IFERROR(__xludf.DUMMYFUNCTION("""COMPUTED_VALUE"""),"Živě")</f>
        <v>Živě</v>
      </c>
      <c r="D1072" s="4" t="str">
        <f ca="1">IFERROR(__xludf.DUMMYFUNCTION("""COMPUTED_VALUE"""),"https://zive.cz")</f>
        <v>https://zive.cz</v>
      </c>
      <c r="E1072" s="3" t="str">
        <f ca="1">IFERROR(__xludf.DUMMYFUNCTION("""COMPUTED_VALUE"""),"celý web")</f>
        <v>celý web</v>
      </c>
      <c r="F1072" s="4" t="str">
        <f ca="1">IFERROR(__xludf.DUMMYFUNCTION("""COMPUTED_VALUE"""),"https://zive.cz")</f>
        <v>https://zive.cz</v>
      </c>
      <c r="G1072" s="3" t="str">
        <f ca="1">IFERROR(__xludf.DUMMYFUNCTION("""COMPUTED_VALUE"""),"Prodloužení existující microsite, bez úprav low season")</f>
        <v>Prodloužení existující microsite, bez úprav low season</v>
      </c>
      <c r="H1072" s="3">
        <f ca="1">IFERROR(__xludf.DUMMYFUNCTION("""COMPUTED_VALUE"""),1)</f>
        <v>1</v>
      </c>
      <c r="I1072" s="5">
        <f ca="1">IFERROR(__xludf.DUMMYFUNCTION("""COMPUTED_VALUE"""),1)</f>
        <v>1</v>
      </c>
      <c r="J1072" s="5">
        <f ca="1">IFERROR(__xludf.DUMMYFUNCTION("""COMPUTED_VALUE"""),15000)</f>
        <v>15000</v>
      </c>
      <c r="K1072" s="3"/>
      <c r="L1072" s="3" t="str">
        <f ca="1">IFERROR(__xludf.DUMMYFUNCTION("""COMPUTED_VALUE"""),"Cost per instance")</f>
        <v>Cost per instance</v>
      </c>
      <c r="M1072" s="3"/>
      <c r="N1072" s="3"/>
      <c r="O1072" s="3"/>
      <c r="P1072" s="3"/>
      <c r="Q1072" s="3"/>
      <c r="R1072" s="3"/>
      <c r="S1072" s="3" t="str">
        <f ca="1">IFERROR(__xludf.DUMMYFUNCTION("""COMPUTED_VALUE"""),"100")</f>
        <v>100</v>
      </c>
      <c r="T1072" s="3"/>
      <c r="U1072" s="3" t="str">
        <f ca="1">IFERROR(__xludf.DUMMYFUNCTION("""COMPUTED_VALUE"""),"microsite")</f>
        <v>microsite</v>
      </c>
      <c r="V1072" s="3"/>
      <c r="W1072" s="3"/>
      <c r="X1072" s="3"/>
      <c r="Y1072" s="3"/>
      <c r="Z1072" s="3" t="str">
        <f ca="1">IFERROR(__xludf.DUMMYFUNCTION("""COMPUTED_VALUE"""),"podklady@cncenter.cz")</f>
        <v>podklady@cncenter.cz</v>
      </c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 t="str">
        <f ca="1">IFERROR(__xludf.DUMMYFUNCTION("""COMPUTED_VALUE"""),"cross-device")</f>
        <v>cross-device</v>
      </c>
      <c r="AO1072" s="3"/>
      <c r="AP1072" s="3"/>
      <c r="AQ1072" s="3"/>
      <c r="AR1072" s="3"/>
      <c r="AS1072" s="3"/>
      <c r="AT1072" s="3"/>
      <c r="AU1072" s="3" t="str">
        <f ca="1">IFERROR(__xludf.DUMMYFUNCTION("""COMPUTED_VALUE"""),"Prodloužení existující microsite, bez úprav")</f>
        <v>Prodloužení existující microsite, bez úprav</v>
      </c>
    </row>
    <row r="1073" spans="1:47" x14ac:dyDescent="0.3">
      <c r="A1073" s="3">
        <f ca="1"/>
        <v>2346826</v>
      </c>
      <c r="B1073" s="3" t="str">
        <f ca="1"/>
        <v>CZECH NEWS CENTER a. s.</v>
      </c>
      <c r="C1073" s="3" t="str">
        <f ca="1">IFERROR(__xludf.DUMMYFUNCTION("""COMPUTED_VALUE"""),"Živě")</f>
        <v>Živě</v>
      </c>
      <c r="D1073" s="4" t="str">
        <f ca="1">IFERROR(__xludf.DUMMYFUNCTION("""COMPUTED_VALUE"""),"https://zive.cz")</f>
        <v>https://zive.cz</v>
      </c>
      <c r="E1073" s="3" t="str">
        <f ca="1">IFERROR(__xludf.DUMMYFUNCTION("""COMPUTED_VALUE"""),"celý web")</f>
        <v>celý web</v>
      </c>
      <c r="F1073" s="4" t="str">
        <f ca="1">IFERROR(__xludf.DUMMYFUNCTION("""COMPUTED_VALUE"""),"https://zive.cz")</f>
        <v>https://zive.cz</v>
      </c>
      <c r="G1073" s="3" t="str">
        <f ca="1">IFERROR(__xludf.DUMMYFUNCTION("""COMPUTED_VALUE"""),"Prodloužení existující microsite, bez úprav low season")</f>
        <v>Prodloužení existující microsite, bez úprav low season</v>
      </c>
      <c r="H1073" s="3">
        <f ca="1">IFERROR(__xludf.DUMMYFUNCTION("""COMPUTED_VALUE"""),1)</f>
        <v>1</v>
      </c>
      <c r="I1073" s="5">
        <f ca="1">IFERROR(__xludf.DUMMYFUNCTION("""COMPUTED_VALUE"""),1)</f>
        <v>1</v>
      </c>
      <c r="J1073" s="5">
        <f ca="1">IFERROR(__xludf.DUMMYFUNCTION("""COMPUTED_VALUE"""),15000)</f>
        <v>15000</v>
      </c>
      <c r="K1073" s="3"/>
      <c r="L1073" s="3" t="str">
        <f ca="1">IFERROR(__xludf.DUMMYFUNCTION("""COMPUTED_VALUE"""),"Cost per instance")</f>
        <v>Cost per instance</v>
      </c>
      <c r="M1073" s="3"/>
      <c r="N1073" s="3"/>
      <c r="O1073" s="3"/>
      <c r="P1073" s="3"/>
      <c r="Q1073" s="3"/>
      <c r="R1073" s="3"/>
      <c r="S1073" s="3" t="str">
        <f ca="1">IFERROR(__xludf.DUMMYFUNCTION("""COMPUTED_VALUE"""),"100")</f>
        <v>100</v>
      </c>
      <c r="T1073" s="3"/>
      <c r="U1073" s="3" t="str">
        <f ca="1">IFERROR(__xludf.DUMMYFUNCTION("""COMPUTED_VALUE"""),"microsite")</f>
        <v>microsite</v>
      </c>
      <c r="V1073" s="3"/>
      <c r="W1073" s="3"/>
      <c r="X1073" s="3"/>
      <c r="Y1073" s="3"/>
      <c r="Z1073" s="3" t="str">
        <f ca="1">IFERROR(__xludf.DUMMYFUNCTION("""COMPUTED_VALUE"""),"podklady@cncenter.cz")</f>
        <v>podklady@cncenter.cz</v>
      </c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 t="str">
        <f ca="1">IFERROR(__xludf.DUMMYFUNCTION("""COMPUTED_VALUE"""),"cross-device")</f>
        <v>cross-device</v>
      </c>
      <c r="AO1073" s="3"/>
      <c r="AP1073" s="3"/>
      <c r="AQ1073" s="3"/>
      <c r="AR1073" s="3"/>
      <c r="AS1073" s="3"/>
      <c r="AT1073" s="3"/>
      <c r="AU1073" s="3" t="str">
        <f ca="1">IFERROR(__xludf.DUMMYFUNCTION("""COMPUTED_VALUE"""),"Prodloužení existující microsite, bez úprav")</f>
        <v>Prodloužení existující microsite, bez úprav</v>
      </c>
    </row>
    <row r="1074" spans="1:47" x14ac:dyDescent="0.3">
      <c r="A1074" s="3">
        <f ca="1"/>
        <v>2346826</v>
      </c>
      <c r="B1074" s="3" t="str">
        <f ca="1"/>
        <v>CZECH NEWS CENTER a. s.</v>
      </c>
      <c r="C1074" s="3" t="str">
        <f ca="1">IFERROR(__xludf.DUMMYFUNCTION("""COMPUTED_VALUE"""),"Živě")</f>
        <v>Živě</v>
      </c>
      <c r="D1074" s="4" t="str">
        <f ca="1">IFERROR(__xludf.DUMMYFUNCTION("""COMPUTED_VALUE"""),"https://zive.cz")</f>
        <v>https://zive.cz</v>
      </c>
      <c r="E1074" s="3" t="str">
        <f ca="1">IFERROR(__xludf.DUMMYFUNCTION("""COMPUTED_VALUE"""),"celý web")</f>
        <v>celý web</v>
      </c>
      <c r="F1074" s="4" t="str">
        <f ca="1">IFERROR(__xludf.DUMMYFUNCTION("""COMPUTED_VALUE"""),"https://zive.cz")</f>
        <v>https://zive.cz</v>
      </c>
      <c r="G1074" s="3" t="str">
        <f ca="1">IFERROR(__xludf.DUMMYFUNCTION("""COMPUTED_VALUE"""),"videospot - max. 30 sec. / bumper low season")</f>
        <v>videospot - max. 30 sec. / bumper low season</v>
      </c>
      <c r="H1074" s="3">
        <f ca="1">IFERROR(__xludf.DUMMYFUNCTION("""COMPUTED_VALUE"""),7)</f>
        <v>7</v>
      </c>
      <c r="I1074" s="5">
        <f ca="1">IFERROR(__xludf.DUMMYFUNCTION("""COMPUTED_VALUE"""),1000)</f>
        <v>1000</v>
      </c>
      <c r="J1074" s="5">
        <f ca="1">IFERROR(__xludf.DUMMYFUNCTION("""COMPUTED_VALUE"""),740)</f>
        <v>740</v>
      </c>
      <c r="K1074" s="3"/>
      <c r="L1074" s="3" t="str">
        <f ca="1">IFERROR(__xludf.DUMMYFUNCTION("""COMPUTED_VALUE"""),"Cost per period")</f>
        <v>Cost per period</v>
      </c>
      <c r="M1074" s="3"/>
      <c r="N1074" s="3"/>
      <c r="O1074" s="3" t="str">
        <f ca="1">IFERROR(__xludf.DUMMYFUNCTION("""COMPUTED_VALUE"""),"1280")</f>
        <v>1280</v>
      </c>
      <c r="P1074" s="3" t="str">
        <f ca="1">IFERROR(__xludf.DUMMYFUNCTION("""COMPUTED_VALUE"""),"720")</f>
        <v>720</v>
      </c>
      <c r="Q1074" s="3" t="str">
        <f ca="1">IFERROR(__xludf.DUMMYFUNCTION("""COMPUTED_VALUE"""),"16:9 / umístění po domluvě dle možností")</f>
        <v>16:9 / umístění po domluvě dle možností</v>
      </c>
      <c r="R1074" s="3" t="str">
        <f ca="1">IFERROR(__xludf.DUMMYFUNCTION("""COMPUTED_VALUE"""),"přeskočení po 7 sekundách")</f>
        <v>přeskočení po 7 sekundách</v>
      </c>
      <c r="S1074" s="3" t="str">
        <f ca="1">IFERROR(__xludf.DUMMYFUNCTION("""COMPUTED_VALUE"""),"100")</f>
        <v>100</v>
      </c>
      <c r="T1074" s="3"/>
      <c r="U1074" s="3" t="str">
        <f ca="1">IFERROR(__xludf.DUMMYFUNCTION("""COMPUTED_VALUE"""),"videospot")</f>
        <v>videospot</v>
      </c>
      <c r="V1074" s="3"/>
      <c r="W1074" s="4" t="str">
        <f ca="1">IFERROR(__xludf.DUMMYFUNCTION("""COMPUTED_VALUE"""),"https://reklama.cncenter.cz/Online/Bumper")</f>
        <v>https://reklama.cncenter.cz/Online/Bumper</v>
      </c>
      <c r="X1074" s="3"/>
      <c r="Y1074" s="3"/>
      <c r="Z1074" s="3" t="str">
        <f ca="1">IFERROR(__xludf.DUMMYFUNCTION("""COMPUTED_VALUE"""),"podklady@cncenter.cz")</f>
        <v>podklady@cncenter.cz</v>
      </c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 t="str">
        <f ca="1">IFERROR(__xludf.DUMMYFUNCTION("""COMPUTED_VALUE"""),"cross-device")</f>
        <v>cross-device</v>
      </c>
      <c r="AO1074" s="3"/>
      <c r="AP1074" s="3"/>
      <c r="AQ1074" s="3"/>
      <c r="AR1074" s="3"/>
      <c r="AS1074" s="3"/>
      <c r="AT1074" s="3"/>
      <c r="AU1074" s="3" t="str">
        <f ca="1">IFERROR(__xludf.DUMMYFUNCTION("""COMPUTED_VALUE"""),"videospot - max. 30 sec. / bumper")</f>
        <v>videospot - max. 30 sec. / bumper</v>
      </c>
    </row>
  </sheetData>
  <hyperlinks>
    <hyperlink ref="D2" r:id="rId1" display="https://abecedazahrady.dama.cz/"/>
    <hyperlink ref="F2" r:id="rId2" display="https://abecedazahrady.dama.cz/"/>
    <hyperlink ref="D3" r:id="rId3" display="https://abecedazahrady.dama.cz/"/>
    <hyperlink ref="F3" r:id="rId4" display="https://abecedazahrady.dama.cz/"/>
    <hyperlink ref="W3" r:id="rId5" display="https://reklama.cncenter.cz/Online/billboard-bottom"/>
    <hyperlink ref="D4" r:id="rId6" display="https://abecedazahrady.dama.cz/"/>
    <hyperlink ref="F4" r:id="rId7" display="https://abecedazahrady.dama.cz/"/>
    <hyperlink ref="W4" r:id="rId8" display="https://reklama.cncenter.cz/Online/branding-cross-device"/>
    <hyperlink ref="D5" r:id="rId9" display="https://abecedazahrady.dama.cz/"/>
    <hyperlink ref="F5" r:id="rId10" display="https://abecedazahrady.dama.cz/"/>
    <hyperlink ref="W5" r:id="rId11" display="https://reklama.cncenter.cz/Online/branding"/>
    <hyperlink ref="D6" r:id="rId12" display="https://abecedazahrady.dama.cz/"/>
    <hyperlink ref="F6" r:id="rId13" display="https://abecedazahrady.dama.cz/"/>
    <hyperlink ref="W6" r:id="rId14" display="https://reklama.cncenter.cz/Online/billboard-bottom"/>
    <hyperlink ref="D7" r:id="rId15" display="https://abecedazahrady.dama.cz/"/>
    <hyperlink ref="F7" r:id="rId16" display="https://abecedazahrady.dama.cz/"/>
    <hyperlink ref="W7" r:id="rId17" display="https://reklama.cncenter.cz/Online/branding-cross-device"/>
    <hyperlink ref="D8" r:id="rId18" display="https://abecedazahrady.dama.cz/"/>
    <hyperlink ref="F8" r:id="rId19" display="https://abecedazahrady.dama.cz/"/>
    <hyperlink ref="W8" r:id="rId20" display="https://reklama.cncenter.cz/Online/branding"/>
    <hyperlink ref="D9" r:id="rId21" display="https://abecedazahrady.dama.cz/"/>
    <hyperlink ref="F9" r:id="rId22" display="https://abecedazahrady.dama.cz/"/>
    <hyperlink ref="W9" r:id="rId23" display="https://reklama.cncenter.cz/Online/double-skyscraper"/>
    <hyperlink ref="D10" r:id="rId24" display="https://abecedazahrady.dama.cz/"/>
    <hyperlink ref="F10" r:id="rId25" display="https://abecedazahrady.dama.cz/"/>
    <hyperlink ref="W10" r:id="rId26" display="https://reklama.cncenter.cz/Online/mobilni-interscroller"/>
    <hyperlink ref="D11" r:id="rId27" display="https://abecedazahrady.dama.cz/"/>
    <hyperlink ref="F11" r:id="rId28" display="https://abecedazahrady.dama.cz/"/>
    <hyperlink ref="W11" r:id="rId29" display="https://reklama.cncenter.cz/Online/mobilni-slide-up"/>
    <hyperlink ref="D12" r:id="rId30" display="https://abecedazahrady.dama.cz/"/>
    <hyperlink ref="F12" r:id="rId31" display="https://abecedazahrady.dama.cz/"/>
    <hyperlink ref="W12" r:id="rId32" display="https://reklama.cncenter.cz/Online/mobilni-vineta"/>
    <hyperlink ref="D13" r:id="rId33" display="https://abecedazahrady.dama.cz/"/>
    <hyperlink ref="F13" r:id="rId34" display="https://abecedazahrady.dama.cz/"/>
    <hyperlink ref="W13" r:id="rId35" display="https://reklama.cncenter.cz/Online/nativni-rectangle-cross-device"/>
    <hyperlink ref="D14" r:id="rId36" display="https://abecedazahrady.dama.cz/"/>
    <hyperlink ref="F14" r:id="rId37" display="https://abecedazahrady.dama.cz/"/>
    <hyperlink ref="W14" r:id="rId38" display="https://reklama.cncenter.cz/Online/Outstream"/>
    <hyperlink ref="D15" r:id="rId39" display="https://abecedazahrady.dama.cz/"/>
    <hyperlink ref="F15" r:id="rId40" display="https://abecedazahrady.dama.cz/"/>
    <hyperlink ref="D16" r:id="rId41" display="https://abecedazahrady.dama.cz/"/>
    <hyperlink ref="F16" r:id="rId42" display="https://abecedazahrady.dama.cz/"/>
    <hyperlink ref="W16" r:id="rId43" display="https://reklama.cncenter.cz/Online/double-skyscraper"/>
    <hyperlink ref="D17" r:id="rId44" display="https://abecedazahrady.dama.cz/"/>
    <hyperlink ref="F17" r:id="rId45" display="https://abecedazahrady.dama.cz/"/>
    <hyperlink ref="W17" r:id="rId46" display="https://reklama.cncenter.cz/Online/mobilni-interscroller"/>
    <hyperlink ref="D18" r:id="rId47" display="https://abecedazahrady.dama.cz/"/>
    <hyperlink ref="F18" r:id="rId48" display="https://abecedazahrady.dama.cz/"/>
    <hyperlink ref="W18" r:id="rId49" display="https://reklama.cncenter.cz/Online/mobilni-slide-up"/>
    <hyperlink ref="D19" r:id="rId50" display="https://abecedazahrady.dama.cz/"/>
    <hyperlink ref="F19" r:id="rId51" display="https://abecedazahrady.dama.cz/"/>
    <hyperlink ref="W19" r:id="rId52" display="https://reklama.cncenter.cz/Online/mobilni-vineta"/>
    <hyperlink ref="D20" r:id="rId53" display="https://abecedazahrady.dama.cz/"/>
    <hyperlink ref="F20" r:id="rId54" display="https://abecedazahrady.dama.cz/"/>
    <hyperlink ref="D21" r:id="rId55" display="https://abecedazahrady.dama.cz/"/>
    <hyperlink ref="F21" r:id="rId56" display="https://abecedazahrady.dama.cz/"/>
    <hyperlink ref="W21" r:id="rId57" display="https://reklama.cncenter.cz/Online/nativni-rectangle-cross-device"/>
    <hyperlink ref="D22" r:id="rId58" display="https://abecedazahrady.dama.cz/"/>
    <hyperlink ref="F22" r:id="rId59" display="https://abecedazahrady.dama.cz/"/>
    <hyperlink ref="W22" r:id="rId60" display="https://reklama.cncenter.cz/Online/Outstream"/>
    <hyperlink ref="D23" r:id="rId61" display="https://abecedazahrady.dama.cz/"/>
    <hyperlink ref="F23" r:id="rId62" display="https://abecedazahrady.dama.cz/"/>
    <hyperlink ref="W23" r:id="rId63" display="https://reklama.cncenter.cz/?ads=PR%2520%25C4%258Dl%25C3%25A1nky"/>
    <hyperlink ref="D24" r:id="rId64" display="https://abecedazahrady.dama.cz/"/>
    <hyperlink ref="F24" r:id="rId65" display="https://abecedazahrady.dama.cz/"/>
    <hyperlink ref="D25" r:id="rId66" display="https://abecedazahrady.dama.cz/"/>
    <hyperlink ref="F25" r:id="rId67" display="https://abecedazahrady.dama.cz/"/>
    <hyperlink ref="D26" r:id="rId68" display="https://abecedazahrady.dama.cz/"/>
    <hyperlink ref="F26" r:id="rId69" display="https://abecedazahrady.dama.cz/"/>
    <hyperlink ref="D27" r:id="rId70" display="https://abicko.cz/"/>
    <hyperlink ref="F27" r:id="rId71" display="https://abicko.cz/"/>
    <hyperlink ref="D28" r:id="rId72" display="https://abicko.cz/"/>
    <hyperlink ref="F28" r:id="rId73" display="https://abicko.cz/"/>
    <hyperlink ref="W28" r:id="rId74" display="https://reklama.cncenter.cz/Online/billboard-bottom"/>
    <hyperlink ref="D29" r:id="rId75" display="https://abicko.cz/"/>
    <hyperlink ref="F29" r:id="rId76" display="https://abicko.cz/"/>
    <hyperlink ref="W29" r:id="rId77" display="https://reklama.cncenter.cz/Online/branding-cross-device"/>
    <hyperlink ref="D30" r:id="rId78" display="https://abicko.cz/"/>
    <hyperlink ref="F30" r:id="rId79" display="https://abicko.cz/"/>
    <hyperlink ref="W30" r:id="rId80" display="https://reklama.cncenter.cz/Online/branding"/>
    <hyperlink ref="D31" r:id="rId81" display="https://abicko.cz/"/>
    <hyperlink ref="F31" r:id="rId82" display="https://abicko.cz/"/>
    <hyperlink ref="W31" r:id="rId83" display="https://reklama.cncenter.cz/Online/billboard-bottom"/>
    <hyperlink ref="D32" r:id="rId84" display="https://abicko.cz/"/>
    <hyperlink ref="F32" r:id="rId85" display="https://abicko.cz/"/>
    <hyperlink ref="W32" r:id="rId86" display="https://reklama.cncenter.cz/Online/branding-cross-device"/>
    <hyperlink ref="D33" r:id="rId87" display="https://abicko.cz/"/>
    <hyperlink ref="F33" r:id="rId88" display="https://abicko.cz/"/>
    <hyperlink ref="W33" r:id="rId89" display="https://reklama.cncenter.cz/Online/branding"/>
    <hyperlink ref="D34" r:id="rId90" display="https://abicko.cz/"/>
    <hyperlink ref="F34" r:id="rId91" display="https://abicko.cz/"/>
    <hyperlink ref="W34" r:id="rId92" display="https://reklama.cncenter.cz/Online/double-skyscraper"/>
    <hyperlink ref="D35" r:id="rId93" display="https://abicko.cz/"/>
    <hyperlink ref="F35" r:id="rId94" display="https://abicko.cz/"/>
    <hyperlink ref="W35" r:id="rId95" display="https://reklama.cncenter.cz/Online/mobilni-interscroller"/>
    <hyperlink ref="D36" r:id="rId96" display="https://abicko.cz/"/>
    <hyperlink ref="F36" r:id="rId97" display="https://abicko.cz/"/>
    <hyperlink ref="W36" r:id="rId98" display="https://reklama.cncenter.cz/Online/mobilni-slide-up"/>
    <hyperlink ref="D37" r:id="rId99" display="https://abicko.cz/"/>
    <hyperlink ref="F37" r:id="rId100" display="https://abicko.cz/"/>
    <hyperlink ref="W37" r:id="rId101" display="https://reklama.cncenter.cz/Online/mobilni-vineta"/>
    <hyperlink ref="D38" r:id="rId102" display="https://abicko.cz/"/>
    <hyperlink ref="F38" r:id="rId103" display="https://abicko.cz/"/>
    <hyperlink ref="W38" r:id="rId104" display="https://reklama.cncenter.cz/Online/nativni-PR-premium"/>
    <hyperlink ref="D39" r:id="rId105" display="https://abicko.cz/"/>
    <hyperlink ref="F39" r:id="rId106" display="https://abicko.cz/"/>
    <hyperlink ref="W39" r:id="rId107" display="https://reklama.cncenter.cz/Online/nativni-rectangle-cross-device"/>
    <hyperlink ref="D40" r:id="rId108" display="https://abicko.cz/"/>
    <hyperlink ref="F40" r:id="rId109" display="https://abicko.cz/"/>
    <hyperlink ref="W40" r:id="rId110" display="https://reklama.cncenter.cz/Online/Outstream"/>
    <hyperlink ref="D41" r:id="rId111" display="https://abicko.cz/"/>
    <hyperlink ref="F41" r:id="rId112" display="https://abicko.cz/"/>
    <hyperlink ref="W41" r:id="rId113" display="https://reklama.cncenter.cz/Online/Bumper"/>
    <hyperlink ref="D42" r:id="rId114" display="https://abicko.cz/"/>
    <hyperlink ref="F42" r:id="rId115" display="https://abicko.cz/"/>
    <hyperlink ref="D43" r:id="rId116" display="https://abicko.cz/"/>
    <hyperlink ref="F43" r:id="rId117" display="https://abicko.cz/"/>
    <hyperlink ref="W43" r:id="rId118" display="https://reklama.cncenter.cz/Online/double-skyscraper"/>
    <hyperlink ref="D44" r:id="rId119" display="https://abicko.cz/"/>
    <hyperlink ref="F44" r:id="rId120" display="https://abicko.cz/"/>
    <hyperlink ref="W44" r:id="rId121" display="https://reklama.cncenter.cz/Online/mobilni-interscroller"/>
    <hyperlink ref="D45" r:id="rId122" display="https://abicko.cz/"/>
    <hyperlink ref="F45" r:id="rId123" display="https://abicko.cz/"/>
    <hyperlink ref="W45" r:id="rId124" display="https://reklama.cncenter.cz/Online/mobilni-slide-up"/>
    <hyperlink ref="D46" r:id="rId125" display="https://abicko.cz/"/>
    <hyperlink ref="F46" r:id="rId126" display="https://abicko.cz/"/>
    <hyperlink ref="W46" r:id="rId127" display="https://reklama.cncenter.cz/Online/mobilni-vineta"/>
    <hyperlink ref="D47" r:id="rId128" display="https://abicko.cz/"/>
    <hyperlink ref="F47" r:id="rId129" display="https://abicko.cz/"/>
    <hyperlink ref="D48" r:id="rId130" display="https://abicko.cz/"/>
    <hyperlink ref="F48" r:id="rId131" display="https://abicko.cz/"/>
    <hyperlink ref="W48" r:id="rId132" display="https://reklama.cncenter.cz/Online/nativni-PR-premium"/>
    <hyperlink ref="D49" r:id="rId133" display="https://abicko.cz/"/>
    <hyperlink ref="F49" r:id="rId134" display="https://abicko.cz/"/>
    <hyperlink ref="W49" r:id="rId135" display="https://reklama.cncenter.cz/Online/nativni-rectangle-cross-device"/>
    <hyperlink ref="D50" r:id="rId136" display="https://abicko.cz/"/>
    <hyperlink ref="F50" r:id="rId137" display="https://abicko.cz/"/>
    <hyperlink ref="W50" r:id="rId138" display="https://reklama.cncenter.cz/Online/Outstream"/>
    <hyperlink ref="D51" r:id="rId139" display="https://abicko.cz/"/>
    <hyperlink ref="F51" r:id="rId140" display="https://abicko.cz/"/>
    <hyperlink ref="W51" r:id="rId141" display="https://reklama.cncenter.cz/?ads=PR%2520%25C4%258Dl%25C3%25A1nky"/>
    <hyperlink ref="D52" r:id="rId142" display="https://abicko.cz/"/>
    <hyperlink ref="F52" r:id="rId143" display="https://abicko.cz/"/>
    <hyperlink ref="D53" r:id="rId144" display="https://abicko.cz/"/>
    <hyperlink ref="F53" r:id="rId145" display="https://abicko.cz/"/>
    <hyperlink ref="D54" r:id="rId146" display="https://abicko.cz/"/>
    <hyperlink ref="F54" r:id="rId147" display="https://abicko.cz/"/>
    <hyperlink ref="D55" r:id="rId148" display="https://abicko.cz/"/>
    <hyperlink ref="F55" r:id="rId149" display="https://abicko.cz/"/>
    <hyperlink ref="W55" r:id="rId150" display="https://reklama.cncenter.cz/Online/Bumper"/>
    <hyperlink ref="W56" r:id="rId151" display="https://www.activegroup.cz/reklama"/>
    <hyperlink ref="W57" r:id="rId152" display="https://www.activegroup.cz/reklama"/>
    <hyperlink ref="W58" r:id="rId153" display="https://www.activegroup.cz/reklama"/>
    <hyperlink ref="W59" r:id="rId154" display="https://www.activegroup.cz/reklama"/>
    <hyperlink ref="W60" r:id="rId155" display="https://www.activegroup.cz/reklama"/>
    <hyperlink ref="W61" r:id="rId156" display="https://www.activegroup.cz/reklama"/>
    <hyperlink ref="W62" r:id="rId157" display="https://www.activegroup.cz/reklama"/>
    <hyperlink ref="D63" r:id="rId158" display="https://ahaonline.cz/"/>
    <hyperlink ref="F63" r:id="rId159" display="https://ahaonline.cz/"/>
    <hyperlink ref="D64" r:id="rId160" display="https://ahaonline.cz/"/>
    <hyperlink ref="F64" r:id="rId161" display="https://ahaonline.cz/"/>
    <hyperlink ref="W64" r:id="rId162" display="https://reklama.cncenter.cz/Online/billboard-bottom"/>
    <hyperlink ref="D65" r:id="rId163" display="https://ahaonline.cz/"/>
    <hyperlink ref="F65" r:id="rId164" display="https://ahaonline.cz/"/>
    <hyperlink ref="W65" r:id="rId165" display="https://reklama.cncenter.cz/Online/branding-cross-device"/>
    <hyperlink ref="D66" r:id="rId166" display="https://ahaonline.cz/"/>
    <hyperlink ref="F66" r:id="rId167" display="https://ahaonline.cz/"/>
    <hyperlink ref="W66" r:id="rId168" display="https://reklama.cncenter.cz/Online/branding"/>
    <hyperlink ref="D67" r:id="rId169" display="https://ahaonline.cz/"/>
    <hyperlink ref="F67" r:id="rId170" display="https://ahaonline.cz/"/>
    <hyperlink ref="W67" r:id="rId171" display="https://reklama.cncenter.cz/Online/billboard-bottom"/>
    <hyperlink ref="D68" r:id="rId172" display="https://ahaonline.cz/"/>
    <hyperlink ref="F68" r:id="rId173" display="https://ahaonline.cz/"/>
    <hyperlink ref="W68" r:id="rId174" display="https://reklama.cncenter.cz/Online/branding-cross-device"/>
    <hyperlink ref="D69" r:id="rId175" display="https://ahaonline.cz/"/>
    <hyperlink ref="F69" r:id="rId176" display="https://ahaonline.cz/"/>
    <hyperlink ref="W69" r:id="rId177" display="https://reklama.cncenter.cz/Online/branding"/>
    <hyperlink ref="D70" r:id="rId178" display="https://ahaonline.cz/"/>
    <hyperlink ref="F70" r:id="rId179" display="https://ahaonline.cz/"/>
    <hyperlink ref="W70" r:id="rId180" display="https://reklama.cncenter.cz/Online/double-skyscraper"/>
    <hyperlink ref="D71" r:id="rId181" display="https://ahaonline.cz/"/>
    <hyperlink ref="F71" r:id="rId182" display="https://ahaonline.cz/"/>
    <hyperlink ref="W71" r:id="rId183" display="https://reklama.cncenter.cz/Online/mobilni-interscroller"/>
    <hyperlink ref="D72" r:id="rId184" display="https://ahaonline.cz/"/>
    <hyperlink ref="F72" r:id="rId185" display="https://ahaonline.cz/"/>
    <hyperlink ref="W72" r:id="rId186" display="https://reklama.cncenter.cz/Online/mobilni-slide-up"/>
    <hyperlink ref="D73" r:id="rId187" display="https://ahaonline.cz/"/>
    <hyperlink ref="F73" r:id="rId188" display="https://ahaonline.cz/"/>
    <hyperlink ref="W73" r:id="rId189" display="https://reklama.cncenter.cz/Online/mobilni-vineta"/>
    <hyperlink ref="D74" r:id="rId190" display="https://ahaonline.cz/"/>
    <hyperlink ref="F74" r:id="rId191" display="https://ahaonline.cz/"/>
    <hyperlink ref="W74" r:id="rId192" display="https://reklama.cncenter.cz/Online/nativni-PR-premium"/>
    <hyperlink ref="D75" r:id="rId193" display="https://ahaonline.cz/"/>
    <hyperlink ref="F75" r:id="rId194" display="https://ahaonline.cz/"/>
    <hyperlink ref="W75" r:id="rId195" display="https://reklama.cncenter.cz/Online/nativni-rectangle-cross-device"/>
    <hyperlink ref="D76" r:id="rId196" display="https://ahaonline.cz/"/>
    <hyperlink ref="F76" r:id="rId197" display="https://ahaonline.cz/"/>
    <hyperlink ref="W76" r:id="rId198" display="https://reklama.cncenter.cz/Online/Outstream"/>
    <hyperlink ref="D77" r:id="rId199" display="https://ahaonline.cz/"/>
    <hyperlink ref="F77" r:id="rId200" display="https://ahaonline.cz/"/>
    <hyperlink ref="W77" r:id="rId201" display="https://reklama.cncenter.cz/Online/Bumper"/>
    <hyperlink ref="D78" r:id="rId202" display="https://ahaonline.cz/"/>
    <hyperlink ref="F78" r:id="rId203" display="https://ahaonline.cz/"/>
    <hyperlink ref="D79" r:id="rId204" display="https://ahaonline.cz/"/>
    <hyperlink ref="F79" r:id="rId205" display="https://ahaonline.cz/"/>
    <hyperlink ref="W79" r:id="rId206" display="https://reklama.cncenter.cz/Online/double-skyscraper"/>
    <hyperlink ref="D80" r:id="rId207" display="https://ahaonline.cz/"/>
    <hyperlink ref="F80" r:id="rId208" display="https://ahaonline.cz/"/>
    <hyperlink ref="W80" r:id="rId209" display="https://reklama.cncenter.cz/Online/mobilni-interscroller"/>
    <hyperlink ref="D81" r:id="rId210" display="https://ahaonline.cz/"/>
    <hyperlink ref="F81" r:id="rId211" display="https://ahaonline.cz/"/>
    <hyperlink ref="W81" r:id="rId212" display="https://reklama.cncenter.cz/Online/mobilni-slide-up"/>
    <hyperlink ref="D82" r:id="rId213" display="https://ahaonline.cz/"/>
    <hyperlink ref="F82" r:id="rId214" display="https://ahaonline.cz/"/>
    <hyperlink ref="W82" r:id="rId215" display="https://reklama.cncenter.cz/Online/mobilni-vineta"/>
    <hyperlink ref="D83" r:id="rId216" display="https://ahaonline.cz/"/>
    <hyperlink ref="F83" r:id="rId217" display="https://ahaonline.cz/"/>
    <hyperlink ref="D84" r:id="rId218" display="https://ahaonline.cz/"/>
    <hyperlink ref="F84" r:id="rId219" display="https://ahaonline.cz/"/>
    <hyperlink ref="W84" r:id="rId220" display="https://reklama.cncenter.cz/Online/nativni-PR-premium"/>
    <hyperlink ref="D85" r:id="rId221" display="https://ahaonline.cz/"/>
    <hyperlink ref="F85" r:id="rId222" display="https://ahaonline.cz/"/>
    <hyperlink ref="W85" r:id="rId223" display="https://reklama.cncenter.cz/Online/nativni-rectangle-cross-device"/>
    <hyperlink ref="D86" r:id="rId224" display="https://ahaonline.cz/"/>
    <hyperlink ref="F86" r:id="rId225" display="https://ahaonline.cz/"/>
    <hyperlink ref="W86" r:id="rId226" display="https://reklama.cncenter.cz/Online/Outstream"/>
    <hyperlink ref="D87" r:id="rId227" display="https://ahaonline.cz/"/>
    <hyperlink ref="F87" r:id="rId228" display="https://ahaonline.cz/"/>
    <hyperlink ref="W87" r:id="rId229" display="https://reklama.cncenter.cz/?ads=PR%2520%25C4%258Dl%25C3%25A1nky"/>
    <hyperlink ref="D88" r:id="rId230" display="https://ahaonline.cz/"/>
    <hyperlink ref="F88" r:id="rId231" display="https://ahaonline.cz/"/>
    <hyperlink ref="D89" r:id="rId232" display="https://ahaonline.cz/"/>
    <hyperlink ref="F89" r:id="rId233" display="https://ahaonline.cz/"/>
    <hyperlink ref="D90" r:id="rId234" display="https://ahaonline.cz/"/>
    <hyperlink ref="F90" r:id="rId235" display="https://ahaonline.cz/"/>
    <hyperlink ref="D91" r:id="rId236" display="https://ahaonline.cz/"/>
    <hyperlink ref="F91" r:id="rId237" display="https://ahaonline.cz/"/>
    <hyperlink ref="W91" r:id="rId238" display="https://reklama.cncenter.cz/Online/Bumper"/>
    <hyperlink ref="D92" r:id="rId239" display="https://auto.cz/"/>
    <hyperlink ref="F92" r:id="rId240" display="https://auto.cz/"/>
    <hyperlink ref="D93" r:id="rId241" display="https://auto.cz/"/>
    <hyperlink ref="F93" r:id="rId242" display="https://auto.cz/"/>
    <hyperlink ref="W93" r:id="rId243" display="https://reklama.cncenter.cz/Online/billboard-bottom"/>
    <hyperlink ref="D94" r:id="rId244" display="https://auto.cz/"/>
    <hyperlink ref="F94" r:id="rId245" display="https://auto.cz/"/>
    <hyperlink ref="W94" r:id="rId246" display="https://reklama.cncenter.cz/Online/branding-cross-device"/>
    <hyperlink ref="D95" r:id="rId247" display="https://auto.cz/"/>
    <hyperlink ref="F95" r:id="rId248" display="https://auto.cz/"/>
    <hyperlink ref="W95" r:id="rId249" display="https://reklama.cncenter.cz/Online/branding"/>
    <hyperlink ref="D96" r:id="rId250" display="https://auto.cz/"/>
    <hyperlink ref="F96" r:id="rId251" display="https://auto.cz/"/>
    <hyperlink ref="W96" r:id="rId252" display="https://reklama.cncenter.cz/Online/billboard-bottom"/>
    <hyperlink ref="D97" r:id="rId253" display="https://auto.cz/"/>
    <hyperlink ref="F97" r:id="rId254" display="https://auto.cz/"/>
    <hyperlink ref="W97" r:id="rId255" display="https://reklama.cncenter.cz/Online/branding-cross-device"/>
    <hyperlink ref="D98" r:id="rId256" display="https://auto.cz/"/>
    <hyperlink ref="F98" r:id="rId257" display="https://auto.cz/"/>
    <hyperlink ref="W98" r:id="rId258" display="https://reklama.cncenter.cz/Online/branding"/>
    <hyperlink ref="D99" r:id="rId259" display="https://auto.cz/"/>
    <hyperlink ref="F99" r:id="rId260" display="https://auto.cz/"/>
    <hyperlink ref="W99" r:id="rId261" display="https://reklama.cncenter.cz/Online/double-skyscraper"/>
    <hyperlink ref="D100" r:id="rId262" display="https://auto.cz/"/>
    <hyperlink ref="F100" r:id="rId263" display="https://auto.cz/"/>
    <hyperlink ref="W100" r:id="rId264" display="https://reklama.cncenter.cz/Online/Videospot"/>
    <hyperlink ref="D101" r:id="rId265" display="https://auto.cz/"/>
    <hyperlink ref="F101" r:id="rId266" display="https://auto.cz/"/>
    <hyperlink ref="W101" r:id="rId267" display="https://reklama.cncenter.cz/Online/mobilni-interscroller"/>
    <hyperlink ref="D102" r:id="rId268" display="https://auto.cz/"/>
    <hyperlink ref="F102" r:id="rId269" display="https://auto.cz/"/>
    <hyperlink ref="W102" r:id="rId270" display="https://reklama.cncenter.cz/Online/mobilni-slide-up"/>
    <hyperlink ref="D103" r:id="rId271" display="https://auto.cz/"/>
    <hyperlink ref="F103" r:id="rId272" display="https://auto.cz/"/>
    <hyperlink ref="W103" r:id="rId273" display="https://reklama.cncenter.cz/Online/mobilni-vineta"/>
    <hyperlink ref="D104" r:id="rId274" display="https://auto.cz/"/>
    <hyperlink ref="F104" r:id="rId275" display="https://auto.cz/"/>
    <hyperlink ref="W104" r:id="rId276" display="https://reklama.cncenter.cz/Online/nativni-PR-premium"/>
    <hyperlink ref="D105" r:id="rId277" display="https://auto.cz/"/>
    <hyperlink ref="F105" r:id="rId278" display="https://auto.cz/"/>
    <hyperlink ref="W105" r:id="rId279" display="https://reklama.cncenter.cz/Online/nativni-rectangle-cross-device"/>
    <hyperlink ref="D106" r:id="rId280" display="https://auto.cz/"/>
    <hyperlink ref="F106" r:id="rId281" display="https://auto.cz/"/>
    <hyperlink ref="W106" r:id="rId282" display="https://reklama.cncenter.cz/Online/Outstream"/>
    <hyperlink ref="D107" r:id="rId283" display="https://auto.cz/"/>
    <hyperlink ref="F107" r:id="rId284" display="https://auto.cz/"/>
    <hyperlink ref="W107" r:id="rId285" display="https://reklama.cncenter.cz/Online/Bumper"/>
    <hyperlink ref="D108" r:id="rId286" display="https://auto.cz/"/>
    <hyperlink ref="F108" r:id="rId287" display="https://auto.cz/"/>
    <hyperlink ref="D109" r:id="rId288" display="https://auto.cz/"/>
    <hyperlink ref="F109" r:id="rId289" display="https://auto.cz/"/>
    <hyperlink ref="W109" r:id="rId290" display="https://reklama.cncenter.cz/Online/double-skyscraper"/>
    <hyperlink ref="D110" r:id="rId291" display="https://auto.cz/"/>
    <hyperlink ref="F110" r:id="rId292" display="https://auto.cz/"/>
    <hyperlink ref="W110" r:id="rId293" display="https://reklama.cncenter.cz/Online/Videospot"/>
    <hyperlink ref="D111" r:id="rId294" display="https://auto.cz/"/>
    <hyperlink ref="F111" r:id="rId295" display="https://auto.cz/"/>
    <hyperlink ref="W111" r:id="rId296" display="https://reklama.cncenter.cz/Online/mobilni-interscroller"/>
    <hyperlink ref="D112" r:id="rId297" display="https://auto.cz/"/>
    <hyperlink ref="F112" r:id="rId298" display="https://auto.cz/"/>
    <hyperlink ref="W112" r:id="rId299" display="https://reklama.cncenter.cz/Online/mobilni-slide-up"/>
    <hyperlink ref="D113" r:id="rId300" display="https://auto.cz/"/>
    <hyperlink ref="F113" r:id="rId301" display="https://auto.cz/"/>
    <hyperlink ref="W113" r:id="rId302" display="https://reklama.cncenter.cz/Online/mobilni-vineta"/>
    <hyperlink ref="D114" r:id="rId303" display="https://auto.cz/"/>
    <hyperlink ref="F114" r:id="rId304" display="https://auto.cz/"/>
    <hyperlink ref="D115" r:id="rId305" display="https://auto.cz/"/>
    <hyperlink ref="F115" r:id="rId306" display="https://auto.cz/"/>
    <hyperlink ref="W115" r:id="rId307" display="https://reklama.cncenter.cz/Online/nativni-PR-premium"/>
    <hyperlink ref="D116" r:id="rId308" display="https://auto.cz/"/>
    <hyperlink ref="F116" r:id="rId309" display="https://auto.cz/"/>
    <hyperlink ref="W116" r:id="rId310" display="https://reklama.cncenter.cz/Online/nativni-rectangle-cross-device"/>
    <hyperlink ref="D117" r:id="rId311" display="https://auto.cz/"/>
    <hyperlink ref="F117" r:id="rId312" display="https://auto.cz/"/>
    <hyperlink ref="W117" r:id="rId313" display="https://reklama.cncenter.cz/Online/Outstream"/>
    <hyperlink ref="D118" r:id="rId314" display="https://auto.cz/"/>
    <hyperlink ref="F118" r:id="rId315" display="https://auto.cz/"/>
    <hyperlink ref="W118" r:id="rId316" display="https://reklama.cncenter.cz/?ads=PR%2520%25C4%258Dl%25C3%25A1nky"/>
    <hyperlink ref="D119" r:id="rId317" display="https://auto.cz/"/>
    <hyperlink ref="F119" r:id="rId318" display="https://auto.cz/"/>
    <hyperlink ref="D120" r:id="rId319" display="https://auto.cz/"/>
    <hyperlink ref="F120" r:id="rId320" display="https://auto.cz/"/>
    <hyperlink ref="D121" r:id="rId321" display="https://auto.cz/"/>
    <hyperlink ref="F121" r:id="rId322" display="https://auto.cz/"/>
    <hyperlink ref="D122" r:id="rId323" display="https://auto.cz/"/>
    <hyperlink ref="F122" r:id="rId324" display="https://auto.cz/"/>
    <hyperlink ref="W122" r:id="rId325" display="https://reklama.cncenter.cz/Online/Bumper"/>
    <hyperlink ref="D123" r:id="rId326" display="https://autorevue.cz/"/>
    <hyperlink ref="F123" r:id="rId327" display="https://autorevue.cz/"/>
    <hyperlink ref="D124" r:id="rId328" display="https://autorevue.cz/"/>
    <hyperlink ref="F124" r:id="rId329" display="https://autorevue.cz/"/>
    <hyperlink ref="W124" r:id="rId330" display="https://reklama.cncenter.cz/Online/billboard-bottom"/>
    <hyperlink ref="D125" r:id="rId331" display="https://autorevue.cz/"/>
    <hyperlink ref="F125" r:id="rId332" display="https://autorevue.cz/"/>
    <hyperlink ref="W125" r:id="rId333" display="https://reklama.cncenter.cz/Online/branding-cross-device"/>
    <hyperlink ref="D126" r:id="rId334" display="https://autorevue.cz/"/>
    <hyperlink ref="F126" r:id="rId335" display="https://autorevue.cz/"/>
    <hyperlink ref="W126" r:id="rId336" display="https://reklama.cncenter.cz/Online/branding"/>
    <hyperlink ref="D127" r:id="rId337" display="https://autorevue.cz/"/>
    <hyperlink ref="F127" r:id="rId338" display="https://autorevue.cz/"/>
    <hyperlink ref="W127" r:id="rId339" display="https://reklama.cncenter.cz/Online/billboard-bottom"/>
    <hyperlink ref="D128" r:id="rId340" display="https://autorevue.cz/"/>
    <hyperlink ref="F128" r:id="rId341" display="https://autorevue.cz/"/>
    <hyperlink ref="W128" r:id="rId342" display="https://reklama.cncenter.cz/Online/branding-cross-device"/>
    <hyperlink ref="D129" r:id="rId343" display="https://autorevue.cz/"/>
    <hyperlink ref="F129" r:id="rId344" display="https://autorevue.cz/"/>
    <hyperlink ref="W129" r:id="rId345" display="https://reklama.cncenter.cz/Online/branding"/>
    <hyperlink ref="D130" r:id="rId346" display="https://autorevue.cz/"/>
    <hyperlink ref="F130" r:id="rId347" display="https://autorevue.cz/"/>
    <hyperlink ref="W130" r:id="rId348" display="https://reklama.cncenter.cz/Online/double-skyscraper"/>
    <hyperlink ref="D131" r:id="rId349" display="https://autorevue.cz/"/>
    <hyperlink ref="F131" r:id="rId350" display="https://autorevue.cz/"/>
    <hyperlink ref="W131" r:id="rId351" display="https://reklama.cncenter.cz/Online/mobilni-interscroller"/>
    <hyperlink ref="D132" r:id="rId352" display="https://autorevue.cz/"/>
    <hyperlink ref="F132" r:id="rId353" display="https://autorevue.cz/"/>
    <hyperlink ref="W132" r:id="rId354" display="https://reklama.cncenter.cz/Online/mobilni-slide-up"/>
    <hyperlink ref="D133" r:id="rId355" display="https://autorevue.cz/"/>
    <hyperlink ref="F133" r:id="rId356" display="https://autorevue.cz/"/>
    <hyperlink ref="W133" r:id="rId357" display="https://reklama.cncenter.cz/Online/mobilni-vineta"/>
    <hyperlink ref="D134" r:id="rId358" display="https://autorevue.cz/"/>
    <hyperlink ref="F134" r:id="rId359" display="https://autorevue.cz/"/>
    <hyperlink ref="W134" r:id="rId360" display="https://reklama.cncenter.cz/Online/nativni-PR-premium"/>
    <hyperlink ref="D135" r:id="rId361" display="https://autorevue.cz/"/>
    <hyperlink ref="F135" r:id="rId362" display="https://autorevue.cz/"/>
    <hyperlink ref="W135" r:id="rId363" display="https://reklama.cncenter.cz/Online/nativni-rectangle-cross-device"/>
    <hyperlink ref="D136" r:id="rId364" display="https://autorevue.cz/"/>
    <hyperlink ref="F136" r:id="rId365" display="https://autorevue.cz/"/>
    <hyperlink ref="W136" r:id="rId366" display="https://reklama.cncenter.cz/Online/Outstream"/>
    <hyperlink ref="D137" r:id="rId367" display="https://autorevue.cz/"/>
    <hyperlink ref="F137" r:id="rId368" display="https://autorevue.cz/"/>
    <hyperlink ref="W137" r:id="rId369" display="https://reklama.cncenter.cz/Online/Bumper"/>
    <hyperlink ref="D138" r:id="rId370" display="https://autorevue.cz/"/>
    <hyperlink ref="F138" r:id="rId371" display="https://autorevue.cz/"/>
    <hyperlink ref="D139" r:id="rId372" display="https://autorevue.cz/"/>
    <hyperlink ref="F139" r:id="rId373" display="https://autorevue.cz/"/>
    <hyperlink ref="W139" r:id="rId374" display="https://reklama.cncenter.cz/Online/double-skyscraper"/>
    <hyperlink ref="D140" r:id="rId375" display="https://autorevue.cz/"/>
    <hyperlink ref="F140" r:id="rId376" display="https://autorevue.cz/"/>
    <hyperlink ref="W140" r:id="rId377" display="https://reklama.cncenter.cz/Online/mobilni-interscroller"/>
    <hyperlink ref="D141" r:id="rId378" display="https://autorevue.cz/"/>
    <hyperlink ref="F141" r:id="rId379" display="https://autorevue.cz/"/>
    <hyperlink ref="W141" r:id="rId380" display="https://reklama.cncenter.cz/Online/mobilni-slide-up"/>
    <hyperlink ref="D142" r:id="rId381" display="https://autorevue.cz/"/>
    <hyperlink ref="F142" r:id="rId382" display="https://autorevue.cz/"/>
    <hyperlink ref="W142" r:id="rId383" display="https://reklama.cncenter.cz/Online/mobilni-vineta"/>
    <hyperlink ref="D143" r:id="rId384" display="https://autorevue.cz/"/>
    <hyperlink ref="F143" r:id="rId385" display="https://autorevue.cz/"/>
    <hyperlink ref="D144" r:id="rId386" display="https://autorevue.cz/"/>
    <hyperlink ref="F144" r:id="rId387" display="https://autorevue.cz/"/>
    <hyperlink ref="W144" r:id="rId388" display="https://reklama.cncenter.cz/Online/nativni-PR-premium"/>
    <hyperlink ref="D145" r:id="rId389" display="https://autorevue.cz/"/>
    <hyperlink ref="F145" r:id="rId390" display="https://autorevue.cz/"/>
    <hyperlink ref="W145" r:id="rId391" display="https://reklama.cncenter.cz/Online/nativni-rectangle-cross-device"/>
    <hyperlink ref="D146" r:id="rId392" display="https://autorevue.cz/"/>
    <hyperlink ref="F146" r:id="rId393" display="https://autorevue.cz/"/>
    <hyperlink ref="W146" r:id="rId394" display="https://reklama.cncenter.cz/Online/Outstream"/>
    <hyperlink ref="D147" r:id="rId395" display="https://autorevue.cz/"/>
    <hyperlink ref="F147" r:id="rId396" display="https://autorevue.cz/"/>
    <hyperlink ref="W147" r:id="rId397" display="https://reklama.cncenter.cz/?ads=PR%2520%25C4%258Dl%25C3%25A1nky"/>
    <hyperlink ref="D148" r:id="rId398" display="https://autorevue.cz/"/>
    <hyperlink ref="F148" r:id="rId399" display="https://autorevue.cz/"/>
    <hyperlink ref="D149" r:id="rId400" display="https://autorevue.cz/"/>
    <hyperlink ref="F149" r:id="rId401" display="https://autorevue.cz/"/>
    <hyperlink ref="D150" r:id="rId402" display="https://autorevue.cz/"/>
    <hyperlink ref="F150" r:id="rId403" display="https://autorevue.cz/"/>
    <hyperlink ref="D151" r:id="rId404" display="https://autorevue.cz/"/>
    <hyperlink ref="F151" r:id="rId405" display="https://autorevue.cz/"/>
    <hyperlink ref="W151" r:id="rId406" display="https://reklama.cncenter.cz/Online/Bumper"/>
    <hyperlink ref="D152" r:id="rId407" display="https://avmania.zive.cz/"/>
    <hyperlink ref="F152" r:id="rId408" display="https://avmania.zive.cz/"/>
    <hyperlink ref="D153" r:id="rId409" display="https://avmania.zive.cz/"/>
    <hyperlink ref="F153" r:id="rId410" display="https://avmania.zive.cz/"/>
    <hyperlink ref="W153" r:id="rId411" display="https://reklama.cncenter.cz/Online/billboard-bottom"/>
    <hyperlink ref="D154" r:id="rId412" display="https://avmania.zive.cz/"/>
    <hyperlink ref="F154" r:id="rId413" display="https://avmania.zive.cz/"/>
    <hyperlink ref="W154" r:id="rId414" display="https://reklama.cncenter.cz/Online/branding-cross-device"/>
    <hyperlink ref="D155" r:id="rId415" display="https://avmania.zive.cz/"/>
    <hyperlink ref="F155" r:id="rId416" display="https://avmania.zive.cz/"/>
    <hyperlink ref="W155" r:id="rId417" display="https://reklama.cncenter.cz/Online/branding"/>
    <hyperlink ref="D156" r:id="rId418" display="https://avmania.zive.cz/"/>
    <hyperlink ref="F156" r:id="rId419" display="https://avmania.zive.cz/"/>
    <hyperlink ref="W156" r:id="rId420" display="https://reklama.cncenter.cz/Online/billboard-bottom"/>
    <hyperlink ref="D157" r:id="rId421" display="https://avmania.zive.cz/"/>
    <hyperlink ref="F157" r:id="rId422" display="https://avmania.zive.cz/"/>
    <hyperlink ref="W157" r:id="rId423" display="https://reklama.cncenter.cz/Online/branding-cross-device"/>
    <hyperlink ref="D158" r:id="rId424" display="https://avmania.zive.cz/"/>
    <hyperlink ref="F158" r:id="rId425" display="https://avmania.zive.cz/"/>
    <hyperlink ref="W158" r:id="rId426" display="https://reklama.cncenter.cz/Online/branding"/>
    <hyperlink ref="D159" r:id="rId427" display="https://avmania.zive.cz/"/>
    <hyperlink ref="F159" r:id="rId428" display="https://avmania.zive.cz/"/>
    <hyperlink ref="W159" r:id="rId429" display="https://reklama.cncenter.cz/Online/double-skyscraper"/>
    <hyperlink ref="D160" r:id="rId430" display="https://avmania.zive.cz/"/>
    <hyperlink ref="F160" r:id="rId431" display="https://avmania.zive.cz/"/>
    <hyperlink ref="W160" r:id="rId432" display="https://reklama.cncenter.cz/Online/mobilni-interscroller"/>
    <hyperlink ref="D161" r:id="rId433" display="https://avmania.zive.cz/"/>
    <hyperlink ref="F161" r:id="rId434" display="https://avmania.zive.cz/"/>
    <hyperlink ref="W161" r:id="rId435" display="https://reklama.cncenter.cz/Online/mobilni-slide-up"/>
    <hyperlink ref="D162" r:id="rId436" display="https://avmania.zive.cz/"/>
    <hyperlink ref="F162" r:id="rId437" display="https://avmania.zive.cz/"/>
    <hyperlink ref="W162" r:id="rId438" display="https://reklama.cncenter.cz/Online/mobilni-vineta"/>
    <hyperlink ref="D163" r:id="rId439" display="https://avmania.zive.cz/"/>
    <hyperlink ref="F163" r:id="rId440" display="https://avmania.zive.cz/"/>
    <hyperlink ref="W163" r:id="rId441" display="https://reklama.cncenter.cz/Online/nativni-rectangle-cross-device"/>
    <hyperlink ref="D164" r:id="rId442" display="https://avmania.zive.cz/"/>
    <hyperlink ref="F164" r:id="rId443" display="https://avmania.zive.cz/"/>
    <hyperlink ref="W164" r:id="rId444" display="https://reklama.cncenter.cz/Online/Outstream"/>
    <hyperlink ref="D165" r:id="rId445" display="https://avmania.zive.cz/"/>
    <hyperlink ref="F165" r:id="rId446" display="https://avmania.zive.cz/"/>
    <hyperlink ref="D166" r:id="rId447" display="https://avmania.zive.cz/"/>
    <hyperlink ref="F166" r:id="rId448" display="https://avmania.zive.cz/"/>
    <hyperlink ref="W166" r:id="rId449" display="https://reklama.cncenter.cz/Online/double-skyscraper"/>
    <hyperlink ref="D167" r:id="rId450" display="https://avmania.zive.cz/"/>
    <hyperlink ref="F167" r:id="rId451" display="https://avmania.zive.cz/"/>
    <hyperlink ref="W167" r:id="rId452" display="https://reklama.cncenter.cz/Online/mobilni-interscroller"/>
    <hyperlink ref="D168" r:id="rId453" display="https://avmania.zive.cz/"/>
    <hyperlink ref="F168" r:id="rId454" display="https://avmania.zive.cz/"/>
    <hyperlink ref="W168" r:id="rId455" display="https://reklama.cncenter.cz/Online/mobilni-slide-up"/>
    <hyperlink ref="D169" r:id="rId456" display="https://avmania.zive.cz/"/>
    <hyperlink ref="F169" r:id="rId457" display="https://avmania.zive.cz/"/>
    <hyperlink ref="W169" r:id="rId458" display="https://reklama.cncenter.cz/Online/mobilni-vineta"/>
    <hyperlink ref="D170" r:id="rId459" display="https://avmania.zive.cz/"/>
    <hyperlink ref="F170" r:id="rId460" display="https://avmania.zive.cz/"/>
    <hyperlink ref="D171" r:id="rId461" display="https://avmania.zive.cz/"/>
    <hyperlink ref="F171" r:id="rId462" display="https://avmania.zive.cz/"/>
    <hyperlink ref="W171" r:id="rId463" display="https://reklama.cncenter.cz/Online/nativni-rectangle-cross-device"/>
    <hyperlink ref="D172" r:id="rId464" display="https://avmania.zive.cz/"/>
    <hyperlink ref="F172" r:id="rId465" display="https://avmania.zive.cz/"/>
    <hyperlink ref="W172" r:id="rId466" display="https://reklama.cncenter.cz/Online/Outstream"/>
    <hyperlink ref="D173" r:id="rId467" display="https://avmania.zive.cz/"/>
    <hyperlink ref="F173" r:id="rId468" display="https://avmania.zive.cz/"/>
    <hyperlink ref="W173" r:id="rId469" display="https://reklama.cncenter.cz/?ads=PR%2520%25C4%258Dl%25C3%25A1nky"/>
    <hyperlink ref="D174" r:id="rId470" display="https://avmania.zive.cz/"/>
    <hyperlink ref="F174" r:id="rId471" display="https://avmania.zive.cz/"/>
    <hyperlink ref="D175" r:id="rId472" display="https://avmania.zive.cz/"/>
    <hyperlink ref="F175" r:id="rId473" display="https://avmania.zive.cz/"/>
    <hyperlink ref="D176" r:id="rId474" display="https://avmania.zive.cz/"/>
    <hyperlink ref="F176" r:id="rId475" display="https://avmania.zive.cz/"/>
    <hyperlink ref="D177" r:id="rId476" display="https://blesk.cz/"/>
    <hyperlink ref="F177" r:id="rId477" display="https://blesk.cz/"/>
    <hyperlink ref="D178" r:id="rId478" display="https://blesk.cz/"/>
    <hyperlink ref="F178" r:id="rId479" display="https://blesk.cz/"/>
    <hyperlink ref="W178" r:id="rId480" display="https://reklama.cncenter.cz/Online/nativni-rectangle-cross-device"/>
    <hyperlink ref="D179" r:id="rId481" display="https://blesk.cz/"/>
    <hyperlink ref="F179" r:id="rId482" display="https://blesk.cz/"/>
    <hyperlink ref="D180" r:id="rId483" display="https://blesk.cz/"/>
    <hyperlink ref="F180" r:id="rId484" display="https://blesk.cz/"/>
    <hyperlink ref="D181" r:id="rId485" display="https://blesk.cz/"/>
    <hyperlink ref="F181" r:id="rId486" display="https://blesk.cz/"/>
    <hyperlink ref="W181" r:id="rId487" display="https://reklama.cncenter.cz/Online/nativni-rectangle-cross-device"/>
    <hyperlink ref="D182" r:id="rId488" display="https://blesk.cz/"/>
    <hyperlink ref="F182" r:id="rId489" display="https://blesk.cz/"/>
    <hyperlink ref="W182" r:id="rId490" display="https://reklama.cncenter.cz/?ads=PR%2520%25C4%258Dl%25C3%25A1nky"/>
    <hyperlink ref="D183" r:id="rId491" display="https://blesk.cz/"/>
    <hyperlink ref="F183" r:id="rId492" display="https://blesk.cz/"/>
    <hyperlink ref="D184" r:id="rId493" display="https://blesk.cz/"/>
    <hyperlink ref="F184" r:id="rId494" display="https://blesk.cz/"/>
    <hyperlink ref="D185" r:id="rId495" display="https://blesk.cz/"/>
    <hyperlink ref="F185" r:id="rId496" display="https://blesk.cz/"/>
    <hyperlink ref="W186" r:id="rId497" display="https://reklama.cncenter.cz/Online/billboard-bottom"/>
    <hyperlink ref="W187" r:id="rId498" display="https://reklama.cncenter.cz/Online/branding-cross-device"/>
    <hyperlink ref="W188" r:id="rId499" display="https://reklama.cncenter.cz/Online/branding"/>
    <hyperlink ref="W189" r:id="rId500" display="https://reklama.cncenter.cz/Online/billboard-bottom"/>
    <hyperlink ref="W190" r:id="rId501" display="https://reklama.cncenter.cz/Online/branding-cross-device"/>
    <hyperlink ref="W191" r:id="rId502" display="https://reklama.cncenter.cz/Online/branding"/>
    <hyperlink ref="W192" r:id="rId503" display="https://reklama.cncenter.cz/Online/double-skyscraper"/>
    <hyperlink ref="W193" r:id="rId504" display="https://reklama.cncenter.cz/Online/Videospot"/>
    <hyperlink ref="W194" r:id="rId505" display="https://reklama.cncenter.cz/Online/mobilni-interscroller"/>
    <hyperlink ref="W195" r:id="rId506" display="https://reklama.cncenter.cz/Online/mobilni-slide-up"/>
    <hyperlink ref="W196" r:id="rId507" display="https://reklama.cncenter.cz/Online/mobilni-vineta"/>
    <hyperlink ref="W197" r:id="rId508" display="https://reklama.cncenter.cz/Online/nativni-rectangle-cross-device"/>
    <hyperlink ref="W198" r:id="rId509" display="https://reklama.cncenter.cz/Online/Outstream"/>
    <hyperlink ref="W199" r:id="rId510" display="https://reklama.cncenter.cz/Online/Smarticle"/>
    <hyperlink ref="W200" r:id="rId511" display="https://reklama.cncenter.cz/Online/Bumper"/>
    <hyperlink ref="W201" r:id="rId512" display="https://reklama.cncenter.cz/Online/double-skyscraper"/>
    <hyperlink ref="W202" r:id="rId513" display="https://reklama.cncenter.cz/Online/Videospot"/>
    <hyperlink ref="W203" r:id="rId514" display="https://reklama.cncenter.cz/Online/mobilni-interscroller"/>
    <hyperlink ref="W204" r:id="rId515" display="https://reklama.cncenter.cz/Online/mobilni-slide-up"/>
    <hyperlink ref="W205" r:id="rId516" display="https://reklama.cncenter.cz/Online/mobilni-vineta"/>
    <hyperlink ref="W206" r:id="rId517" display="https://reklama.cncenter.cz/Online/nativni-rectangle-cross-device"/>
    <hyperlink ref="W207" r:id="rId518" display="https://reklama.cncenter.cz/Online/Outstream"/>
    <hyperlink ref="W208" r:id="rId519" display="https://reklama.cncenter.cz/Online/Smarticle"/>
    <hyperlink ref="W209" r:id="rId520" display="https://reklama.cncenter.cz/Online/Bumper"/>
    <hyperlink ref="D210" r:id="rId521" display="https://blesk.cz/"/>
    <hyperlink ref="F210" r:id="rId522" display="https://blesk.cz/"/>
    <hyperlink ref="W210" r:id="rId523" display="https://reklama.cncenter.cz/Online/branding-cross-device"/>
    <hyperlink ref="D211" r:id="rId524" display="https://blesk.cz/"/>
    <hyperlink ref="F211" r:id="rId525" display="https://blesk.cz/"/>
    <hyperlink ref="W211" r:id="rId526" display="https://reklama.cncenter.cz/Online/branding"/>
    <hyperlink ref="D212" r:id="rId527" display="https://blesk.cz/"/>
    <hyperlink ref="F212" r:id="rId528" display="https://blesk.cz/"/>
    <hyperlink ref="W212" r:id="rId529" display="https://reklama.cncenter.cz/Online/branding-cross-device"/>
    <hyperlink ref="D213" r:id="rId530" display="https://blesk.cz/"/>
    <hyperlink ref="F213" r:id="rId531" display="https://blesk.cz/"/>
    <hyperlink ref="W213" r:id="rId532" display="https://reklama.cncenter.cz/Online/branding"/>
    <hyperlink ref="D214" r:id="rId533" display="https://blesk.cz/"/>
    <hyperlink ref="F214" r:id="rId534" display="https://blesk.cz/"/>
    <hyperlink ref="W214" r:id="rId535" display="https://reklama.cncenter.cz/Online/mobilni-interscroller"/>
    <hyperlink ref="D215" r:id="rId536" display="https://blesk.cz/"/>
    <hyperlink ref="F215" r:id="rId537" display="https://blesk.cz/"/>
    <hyperlink ref="W215" r:id="rId538" display="https://reklama.cncenter.cz/Online/mobilni-slide-up"/>
    <hyperlink ref="D216" r:id="rId539" display="https://blesk.cz/"/>
    <hyperlink ref="F216" r:id="rId540" display="https://blesk.cz/"/>
    <hyperlink ref="W216" r:id="rId541" display="https://reklama.cncenter.cz/Online/mobilni-interscroller"/>
    <hyperlink ref="D217" r:id="rId542" display="https://blesk.cz/"/>
    <hyperlink ref="F217" r:id="rId543" display="https://blesk.cz/"/>
    <hyperlink ref="W217" r:id="rId544" display="https://reklama.cncenter.cz/Online/mobilni-slide-up"/>
    <hyperlink ref="D218" r:id="rId545" display="https://bleskprozeny.cz/"/>
    <hyperlink ref="F218" r:id="rId546" display="https://bleskprozeny.cz/"/>
    <hyperlink ref="D219" r:id="rId547" display="https://bleskprozeny.cz/"/>
    <hyperlink ref="F219" r:id="rId548" display="https://bleskprozeny.cz/"/>
    <hyperlink ref="W219" r:id="rId549" display="https://reklama.cncenter.cz/Online/billboard-bottom"/>
    <hyperlink ref="D220" r:id="rId550" display="https://bleskprozeny.cz/"/>
    <hyperlink ref="F220" r:id="rId551" display="https://bleskprozeny.cz/"/>
    <hyperlink ref="W220" r:id="rId552" display="https://reklama.cncenter.cz/Online/branding-cross-device"/>
    <hyperlink ref="D221" r:id="rId553" display="https://bleskprozeny.cz/"/>
    <hyperlink ref="F221" r:id="rId554" display="https://bleskprozeny.cz/"/>
    <hyperlink ref="W221" r:id="rId555" display="https://reklama.cncenter.cz/Online/branding"/>
    <hyperlink ref="D222" r:id="rId556" display="https://bleskprozeny.cz/"/>
    <hyperlink ref="F222" r:id="rId557" display="https://bleskprozeny.cz/"/>
    <hyperlink ref="W222" r:id="rId558" display="https://reklama.cncenter.cz/Online/billboard-bottom"/>
    <hyperlink ref="D223" r:id="rId559" display="https://bleskprozeny.cz/"/>
    <hyperlink ref="F223" r:id="rId560" display="https://bleskprozeny.cz/"/>
    <hyperlink ref="W223" r:id="rId561" display="https://reklama.cncenter.cz/Online/branding-cross-device"/>
    <hyperlink ref="D224" r:id="rId562" display="https://bleskprozeny.cz/"/>
    <hyperlink ref="F224" r:id="rId563" display="https://bleskprozeny.cz/"/>
    <hyperlink ref="W224" r:id="rId564" display="https://reklama.cncenter.cz/Online/branding"/>
    <hyperlink ref="D225" r:id="rId565" display="https://bleskprozeny.cz/"/>
    <hyperlink ref="F225" r:id="rId566" display="https://bleskprozeny.cz/"/>
    <hyperlink ref="W225" r:id="rId567" display="https://reklama.cncenter.cz/Online/double-skyscraper"/>
    <hyperlink ref="D226" r:id="rId568" display="https://bleskprozeny.cz/"/>
    <hyperlink ref="F226" r:id="rId569" display="https://bleskprozeny.cz/"/>
    <hyperlink ref="W226" r:id="rId570" display="https://reklama.cncenter.cz/Online/Videospot"/>
    <hyperlink ref="D227" r:id="rId571" display="https://bleskprozeny.cz/"/>
    <hyperlink ref="F227" r:id="rId572" display="https://bleskprozeny.cz/"/>
    <hyperlink ref="W227" r:id="rId573" display="https://reklama.cncenter.cz/Online/mobilni-interscroller"/>
    <hyperlink ref="D228" r:id="rId574" display="https://bleskprozeny.cz/"/>
    <hyperlink ref="F228" r:id="rId575" display="https://bleskprozeny.cz/"/>
    <hyperlink ref="W228" r:id="rId576" display="https://reklama.cncenter.cz/Online/mobilni-slide-up"/>
    <hyperlink ref="D229" r:id="rId577" display="https://bleskprozeny.cz/"/>
    <hyperlink ref="F229" r:id="rId578" display="https://bleskprozeny.cz/"/>
    <hyperlink ref="W229" r:id="rId579" display="https://reklama.cncenter.cz/Online/mobilni-vineta"/>
    <hyperlink ref="D230" r:id="rId580" display="https://bleskprozeny.cz/"/>
    <hyperlink ref="F230" r:id="rId581" display="https://bleskprozeny.cz/"/>
    <hyperlink ref="W230" r:id="rId582" display="https://reklama.cncenter.cz/Online/nativni-PR-premium"/>
    <hyperlink ref="D231" r:id="rId583" display="https://bleskprozeny.cz/"/>
    <hyperlink ref="F231" r:id="rId584" display="https://bleskprozeny.cz/"/>
    <hyperlink ref="W231" r:id="rId585" display="https://reklama.cncenter.cz/Online/nativni-rectangle-cross-device"/>
    <hyperlink ref="D232" r:id="rId586" display="https://bleskprozeny.cz/"/>
    <hyperlink ref="F232" r:id="rId587" display="https://bleskprozeny.cz/"/>
    <hyperlink ref="W232" r:id="rId588" display="https://reklama.cncenter.cz/Online/Outstream"/>
    <hyperlink ref="D233" r:id="rId589" display="https://bleskprozeny.cz/"/>
    <hyperlink ref="F233" r:id="rId590" display="https://bleskprozeny.cz/"/>
    <hyperlink ref="W233" r:id="rId591" display="https://reklama.cncenter.cz/Online/Bumper"/>
    <hyperlink ref="D234" r:id="rId592" display="https://bleskprozeny.cz/"/>
    <hyperlink ref="F234" r:id="rId593" display="https://bleskprozeny.cz/"/>
    <hyperlink ref="D235" r:id="rId594" display="https://bleskprozeny.cz/"/>
    <hyperlink ref="F235" r:id="rId595" display="https://bleskprozeny.cz/"/>
    <hyperlink ref="W235" r:id="rId596" display="https://reklama.cncenter.cz/Online/double-skyscraper"/>
    <hyperlink ref="D236" r:id="rId597" display="https://bleskprozeny.cz/"/>
    <hyperlink ref="F236" r:id="rId598" display="https://bleskprozeny.cz/"/>
    <hyperlink ref="W236" r:id="rId599" display="https://reklama.cncenter.cz/Online/Videospot"/>
    <hyperlink ref="D237" r:id="rId600" display="https://bleskprozeny.cz/"/>
    <hyperlink ref="F237" r:id="rId601" display="https://bleskprozeny.cz/"/>
    <hyperlink ref="W237" r:id="rId602" display="https://reklama.cncenter.cz/Online/mobilni-interscroller"/>
    <hyperlink ref="D238" r:id="rId603" display="https://bleskprozeny.cz/"/>
    <hyperlink ref="F238" r:id="rId604" display="https://bleskprozeny.cz/"/>
    <hyperlink ref="W238" r:id="rId605" display="https://reklama.cncenter.cz/Online/mobilni-slide-up"/>
    <hyperlink ref="D239" r:id="rId606" display="https://bleskprozeny.cz/"/>
    <hyperlink ref="F239" r:id="rId607" display="https://bleskprozeny.cz/"/>
    <hyperlink ref="W239" r:id="rId608" display="https://reklama.cncenter.cz/Online/mobilni-vineta"/>
    <hyperlink ref="D240" r:id="rId609" display="https://bleskprozeny.cz/"/>
    <hyperlink ref="F240" r:id="rId610" display="https://bleskprozeny.cz/"/>
    <hyperlink ref="D241" r:id="rId611" display="https://bleskprozeny.cz/"/>
    <hyperlink ref="F241" r:id="rId612" display="https://bleskprozeny.cz/"/>
    <hyperlink ref="W241" r:id="rId613" display="https://reklama.cncenter.cz/Online/nativni-PR-premium"/>
    <hyperlink ref="D242" r:id="rId614" display="https://bleskprozeny.cz/"/>
    <hyperlink ref="F242" r:id="rId615" display="https://bleskprozeny.cz/"/>
    <hyperlink ref="W242" r:id="rId616" display="https://reklama.cncenter.cz/Online/nativni-rectangle-cross-device"/>
    <hyperlink ref="D243" r:id="rId617" display="https://bleskprozeny.cz/"/>
    <hyperlink ref="F243" r:id="rId618" display="https://bleskprozeny.cz/"/>
    <hyperlink ref="W243" r:id="rId619" display="https://reklama.cncenter.cz/Online/Outstream"/>
    <hyperlink ref="D244" r:id="rId620" display="https://bleskprozeny.cz/"/>
    <hyperlink ref="F244" r:id="rId621" display="https://bleskprozeny.cz/"/>
    <hyperlink ref="W244" r:id="rId622" display="https://reklama.cncenter.cz/?ads=PR%2520%25C4%258Dl%25C3%25A1nky"/>
    <hyperlink ref="D245" r:id="rId623" display="https://bleskprozeny.cz/"/>
    <hyperlink ref="F245" r:id="rId624" display="https://bleskprozeny.cz/"/>
    <hyperlink ref="D246" r:id="rId625" display="https://bleskprozeny.cz/"/>
    <hyperlink ref="F246" r:id="rId626" display="https://bleskprozeny.cz/"/>
    <hyperlink ref="D247" r:id="rId627" display="https://bleskprozeny.cz/"/>
    <hyperlink ref="F247" r:id="rId628" display="https://bleskprozeny.cz/"/>
    <hyperlink ref="D248" r:id="rId629" display="https://bleskprozeny.cz/"/>
    <hyperlink ref="F248" r:id="rId630" display="https://bleskprozeny.cz/"/>
    <hyperlink ref="W248" r:id="rId631" display="https://reklama.cncenter.cz/Online/Bumper"/>
    <hyperlink ref="W249" r:id="rId632" display="https://reklama.cncenter.cz/Online/billboard-bottom"/>
    <hyperlink ref="W250" r:id="rId633" display="https://reklama.cncenter.cz/Online/branding-cross-device"/>
    <hyperlink ref="W251" r:id="rId634" display="https://reklama.cncenter.cz/Online/branding"/>
    <hyperlink ref="W252" r:id="rId635" display="https://reklama.cncenter.cz/Online/billboard-bottom"/>
    <hyperlink ref="W253" r:id="rId636" display="https://reklama.cncenter.cz/Online/branding-cross-device"/>
    <hyperlink ref="W254" r:id="rId637" display="https://reklama.cncenter.cz/Online/branding"/>
    <hyperlink ref="W255" r:id="rId638" display="https://reklama.cncenter.cz/Online/double-skyscraper"/>
    <hyperlink ref="W256" r:id="rId639" display="https://reklama.cncenter.cz/Online/Videospot"/>
    <hyperlink ref="W257" r:id="rId640" display="https://reklama.cncenter.cz/Online/mobilni-interscroller"/>
    <hyperlink ref="W258" r:id="rId641" display="https://reklama.cncenter.cz/Online/mobilni-slide-up"/>
    <hyperlink ref="W259" r:id="rId642" display="https://reklama.cncenter.cz/Online/mobilni-vineta"/>
    <hyperlink ref="W260" r:id="rId643" display="https://reklama.cncenter.cz/Online/nativni-rectangle-cross-device"/>
    <hyperlink ref="W261" r:id="rId644" display="https://reklama.cncenter.cz/Online/Outstream"/>
    <hyperlink ref="W262" r:id="rId645" display="https://reklama.cncenter.cz/Online/Smarticle"/>
    <hyperlink ref="W263" r:id="rId646" display="https://reklama.cncenter.cz/Online/Bumper"/>
    <hyperlink ref="W264" r:id="rId647" display="https://reklama.cncenter.cz/Online/double-skyscraper"/>
    <hyperlink ref="W265" r:id="rId648" display="https://reklama.cncenter.cz/Online/Videospot"/>
    <hyperlink ref="W266" r:id="rId649" display="https://reklama.cncenter.cz/Online/mobilni-interscroller"/>
    <hyperlink ref="W267" r:id="rId650" display="https://reklama.cncenter.cz/Online/mobilni-slide-up"/>
    <hyperlink ref="W268" r:id="rId651" display="https://reklama.cncenter.cz/Online/mobilni-vineta"/>
    <hyperlink ref="W269" r:id="rId652" display="https://reklama.cncenter.cz/Online/nativni-rectangle-cross-device"/>
    <hyperlink ref="W270" r:id="rId653" display="https://reklama.cncenter.cz/Online/Outstream"/>
    <hyperlink ref="W271" r:id="rId654" display="https://reklama.cncenter.cz/Online/Smarticle"/>
    <hyperlink ref="W272" r:id="rId655" display="https://reklama.cncenter.cz/Online/Bumper"/>
    <hyperlink ref="W273" r:id="rId656" display="https://reklama.cncenter.cz/Online/billboard-bottom"/>
    <hyperlink ref="W274" r:id="rId657" display="https://reklama.cncenter.cz/Online/branding-cross-device"/>
    <hyperlink ref="W275" r:id="rId658" display="https://reklama.cncenter.cz/Online/branding"/>
    <hyperlink ref="W276" r:id="rId659" display="https://reklama.cncenter.cz/Online/billboard-bottom"/>
    <hyperlink ref="W277" r:id="rId660" display="https://reklama.cncenter.cz/Online/branding-cross-device"/>
    <hyperlink ref="W278" r:id="rId661" display="https://reklama.cncenter.cz/Online/branding"/>
    <hyperlink ref="W279" r:id="rId662" display="https://reklama.cncenter.cz/Online/double-skyscraper"/>
    <hyperlink ref="W280" r:id="rId663" display="https://reklama.cncenter.cz/Online/Videospot"/>
    <hyperlink ref="W281" r:id="rId664" display="https://reklama.cncenter.cz/Online/mobilni-interscroller"/>
    <hyperlink ref="W282" r:id="rId665" display="https://reklama.cncenter.cz/Online/mobilni-slide-up"/>
    <hyperlink ref="W283" r:id="rId666" display="https://reklama.cncenter.cz/Online/mobilni-vineta"/>
    <hyperlink ref="W284" r:id="rId667" display="https://reklama.cncenter.cz/Online/nativni-rectangle-cross-device"/>
    <hyperlink ref="W285" r:id="rId668" display="https://reklama.cncenter.cz/Online/Outstream"/>
    <hyperlink ref="W286" r:id="rId669" display="https://reklama.cncenter.cz/Online/Smarticle"/>
    <hyperlink ref="W287" r:id="rId670" display="https://reklama.cncenter.cz/Online/Bumper"/>
    <hyperlink ref="W288" r:id="rId671" display="https://reklama.cncenter.cz/Online/double-skyscraper"/>
    <hyperlink ref="W290" r:id="rId672" display="https://reklama.cncenter.cz/Online/Videospot"/>
    <hyperlink ref="W291" r:id="rId673" display="https://reklama.cncenter.cz/Online/mobilni-interscroller"/>
    <hyperlink ref="W292" r:id="rId674" display="https://reklama.cncenter.cz/Online/mobilni-slide-up"/>
    <hyperlink ref="W293" r:id="rId675" display="https://reklama.cncenter.cz/Online/mobilni-vineta"/>
    <hyperlink ref="W294" r:id="rId676" display="https://reklama.cncenter.cz/Online/nativni-rectangle-cross-device"/>
    <hyperlink ref="W295" r:id="rId677" display="https://reklama.cncenter.cz/Online/Outstream"/>
    <hyperlink ref="W297" r:id="rId678" display="https://reklama.cncenter.cz/Online/Smarticle"/>
    <hyperlink ref="W302" r:id="rId679" display="https://reklama.cncenter.cz/Online/Bumper"/>
    <hyperlink ref="W304" r:id="rId680" display="https://reklama.cncenter.cz/Online/billboard-bottom"/>
    <hyperlink ref="W305" r:id="rId681" display="https://reklama.cncenter.cz/Online/branding-cross-device"/>
    <hyperlink ref="W306" r:id="rId682" display="https://reklama.cncenter.cz/Online/branding"/>
    <hyperlink ref="W307" r:id="rId683" display="https://reklama.cncenter.cz/Online/billboard-bottom"/>
    <hyperlink ref="W308" r:id="rId684" display="https://reklama.cncenter.cz/Online/branding-cross-device"/>
    <hyperlink ref="W309" r:id="rId685" display="https://reklama.cncenter.cz/Online/branding"/>
    <hyperlink ref="W310" r:id="rId686" display="https://reklama.cncenter.cz/Online/double-skyscraper"/>
    <hyperlink ref="W311" r:id="rId687" display="https://reklama.cncenter.cz/Online/mobilni-interscroller"/>
    <hyperlink ref="W312" r:id="rId688" display="https://reklama.cncenter.cz/Online/mobilni-slide-up"/>
    <hyperlink ref="W313" r:id="rId689" display="https://reklama.cncenter.cz/Online/mobilni-vineta"/>
    <hyperlink ref="W314" r:id="rId690" display="https://reklama.cncenter.cz/Online/nativni-rectangle-cross-device"/>
    <hyperlink ref="W315" r:id="rId691" display="https://reklama.cncenter.cz/Online/Outstream"/>
    <hyperlink ref="W316" r:id="rId692" display="https://reklama.cncenter.cz/Online/Smarticle"/>
    <hyperlink ref="W317" r:id="rId693" display="https://reklama.cncenter.cz/Online/Bumper"/>
    <hyperlink ref="W318" r:id="rId694" display="https://reklama.cncenter.cz/Online/double-skyscraper"/>
    <hyperlink ref="W319" r:id="rId695" display="https://reklama.cncenter.cz/Online/mobilni-interscroller"/>
    <hyperlink ref="W320" r:id="rId696" display="https://reklama.cncenter.cz/Online/mobilni-slide-up"/>
    <hyperlink ref="W321" r:id="rId697" display="https://reklama.cncenter.cz/Online/mobilni-vineta"/>
    <hyperlink ref="W322" r:id="rId698" display="https://reklama.cncenter.cz/Online/nativni-rectangle-cross-device"/>
    <hyperlink ref="W323" r:id="rId699" display="https://reklama.cncenter.cz/Online/Outstream"/>
    <hyperlink ref="W324" r:id="rId700" display="https://reklama.cncenter.cz/Online/Smarticle"/>
    <hyperlink ref="W325" r:id="rId701" display="https://reklama.cncenter.cz/Online/Bumper"/>
    <hyperlink ref="W326" r:id="rId702" display="https://reklama.cncenter.cz/Online/billboard-bottom"/>
    <hyperlink ref="W327" r:id="rId703" display="https://reklama.cncenter.cz/Online/branding-cross-device"/>
    <hyperlink ref="W328" r:id="rId704" display="https://reklama.cncenter.cz/Online/branding"/>
    <hyperlink ref="W329" r:id="rId705" display="https://reklama.cncenter.cz/Online/billboard-bottom"/>
    <hyperlink ref="W330" r:id="rId706" display="https://reklama.cncenter.cz/Online/branding-cross-device"/>
    <hyperlink ref="W331" r:id="rId707" display="https://reklama.cncenter.cz/Online/branding"/>
    <hyperlink ref="W332" r:id="rId708" display="https://reklama.cncenter.cz/Online/double-skyscraper"/>
    <hyperlink ref="W333" r:id="rId709" display="https://reklama.cncenter.cz/Online/Videospot"/>
    <hyperlink ref="W334" r:id="rId710" display="https://reklama.cncenter.cz/Online/mobilni-interscroller"/>
    <hyperlink ref="W335" r:id="rId711" display="https://reklama.cncenter.cz/Online/mobilni-slide-up"/>
    <hyperlink ref="W336" r:id="rId712" display="https://reklama.cncenter.cz/Online/mobilni-vineta"/>
    <hyperlink ref="W337" r:id="rId713" display="https://reklama.cncenter.cz/Online/nativni-rectangle-cross-device"/>
    <hyperlink ref="W338" r:id="rId714" display="https://reklama.cncenter.cz/Online/Outstream"/>
    <hyperlink ref="W339" r:id="rId715" display="https://reklama.cncenter.cz/Online/Smarticle"/>
    <hyperlink ref="W340" r:id="rId716" display="https://reklama.cncenter.cz/Online/Bumper"/>
    <hyperlink ref="W341" r:id="rId717" display="https://reklama.cncenter.cz/Online/double-skyscraper"/>
    <hyperlink ref="W342" r:id="rId718" display="https://reklama.cncenter.cz/Online/Videospot"/>
    <hyperlink ref="W343" r:id="rId719" display="https://reklama.cncenter.cz/Online/mobilni-interscroller"/>
    <hyperlink ref="W344" r:id="rId720" display="https://reklama.cncenter.cz/Online/mobilni-slide-up"/>
    <hyperlink ref="W345" r:id="rId721" display="https://reklama.cncenter.cz/Online/mobilni-vineta"/>
    <hyperlink ref="W346" r:id="rId722" display="https://reklama.cncenter.cz/Online/nativni-rectangle-cross-device"/>
    <hyperlink ref="W347" r:id="rId723" display="https://reklama.cncenter.cz/Online/Outstream"/>
    <hyperlink ref="W348" r:id="rId724" display="https://reklama.cncenter.cz/Online/Smarticle"/>
    <hyperlink ref="W349" r:id="rId725" display="https://reklama.cncenter.cz/Online/Bumper"/>
    <hyperlink ref="W350" r:id="rId726" display="https://reklama.cncenter.cz/Online/billboard-bottom"/>
    <hyperlink ref="W351" r:id="rId727" display="https://reklama.cncenter.cz/Online/branding-cross-device"/>
    <hyperlink ref="W352" r:id="rId728" display="https://reklama.cncenter.cz/Online/branding"/>
    <hyperlink ref="W353" r:id="rId729" display="https://reklama.cncenter.cz/Online/billboard-bottom"/>
    <hyperlink ref="W354" r:id="rId730" display="https://reklama.cncenter.cz/Online/branding-cross-device"/>
    <hyperlink ref="W355" r:id="rId731" display="https://reklama.cncenter.cz/Online/branding"/>
    <hyperlink ref="W356" r:id="rId732" display="https://reklama.cncenter.cz/Online/double-skyscraper"/>
    <hyperlink ref="W357" r:id="rId733" display="https://reklama.cncenter.cz/Online/Videospot"/>
    <hyperlink ref="W358" r:id="rId734" display="https://reklama.cncenter.cz/Online/mobilni-interscroller"/>
    <hyperlink ref="W359" r:id="rId735" display="https://reklama.cncenter.cz/Online/mobilni-slide-up"/>
    <hyperlink ref="W360" r:id="rId736" display="https://reklama.cncenter.cz/Online/mobilni-vineta"/>
    <hyperlink ref="W361" r:id="rId737" display="https://reklama.cncenter.cz/Online/nativni-rectangle-cross-device"/>
    <hyperlink ref="W362" r:id="rId738" display="https://reklama.cncenter.cz/Online/Outstream"/>
    <hyperlink ref="W363" r:id="rId739" display="https://reklama.cncenter.cz/Online/Smarticle"/>
    <hyperlink ref="W364" r:id="rId740" display="https://reklama.cncenter.cz/Online/Bumper"/>
    <hyperlink ref="W365" r:id="rId741" display="https://reklama.cncenter.cz/Online/double-skyscraper"/>
    <hyperlink ref="W366" r:id="rId742" display="https://reklama.cncenter.cz/Online/Videospot"/>
    <hyperlink ref="W367" r:id="rId743" display="https://reklama.cncenter.cz/Online/mobilni-interscroller"/>
    <hyperlink ref="W368" r:id="rId744" display="https://reklama.cncenter.cz/Online/mobilni-slide-up"/>
    <hyperlink ref="W369" r:id="rId745" display="https://reklama.cncenter.cz/Online/mobilni-vineta"/>
    <hyperlink ref="W370" r:id="rId746" display="https://reklama.cncenter.cz/Online/nativni-rectangle-cross-device"/>
    <hyperlink ref="W371" r:id="rId747" display="https://reklama.cncenter.cz/Online/Outstream"/>
    <hyperlink ref="W372" r:id="rId748" display="https://reklama.cncenter.cz/Online/Smarticle"/>
    <hyperlink ref="W373" r:id="rId749" display="https://reklama.cncenter.cz/Online/Bumper"/>
    <hyperlink ref="W374" r:id="rId750" display="https://reklama.cncenter.cz/Online/billboard-bottom"/>
    <hyperlink ref="W375" r:id="rId751" display="https://reklama.cncenter.cz/Online/branding-cross-device"/>
    <hyperlink ref="W376" r:id="rId752" display="https://reklama.cncenter.cz/Online/branding"/>
    <hyperlink ref="W377" r:id="rId753" display="https://reklama.cncenter.cz/Online/billboard-bottom"/>
    <hyperlink ref="W378" r:id="rId754" display="https://reklama.cncenter.cz/Online/branding-cross-device"/>
    <hyperlink ref="W379" r:id="rId755" display="https://reklama.cncenter.cz/Online/branding"/>
    <hyperlink ref="W380" r:id="rId756" display="https://reklama.cncenter.cz/Online/double-skyscraper"/>
    <hyperlink ref="W381" r:id="rId757" display="https://reklama.cncenter.cz/Online/Videospot"/>
    <hyperlink ref="W382" r:id="rId758" display="https://reklama.cncenter.cz/Online/mobilni-interscroller"/>
    <hyperlink ref="W383" r:id="rId759" display="https://reklama.cncenter.cz/Online/mobilni-slide-up"/>
    <hyperlink ref="W384" r:id="rId760" display="https://reklama.cncenter.cz/Online/mobilni-vineta"/>
    <hyperlink ref="W385" r:id="rId761" display="https://reklama.cncenter.cz/Online/nativni-rectangle-cross-device"/>
    <hyperlink ref="W386" r:id="rId762" display="https://reklama.cncenter.cz/Online/Outstream"/>
    <hyperlink ref="W387" r:id="rId763" display="https://reklama.cncenter.cz/Online/Smarticle"/>
    <hyperlink ref="W388" r:id="rId764" display="https://reklama.cncenter.cz/Online/Bumper"/>
    <hyperlink ref="W389" r:id="rId765" display="https://reklama.cncenter.cz/Online/double-skyscraper"/>
    <hyperlink ref="W390" r:id="rId766" display="https://reklama.cncenter.cz/Online/Videospot"/>
    <hyperlink ref="W391" r:id="rId767" display="https://reklama.cncenter.cz/Online/mobilni-interscroller"/>
    <hyperlink ref="W392" r:id="rId768" display="https://reklama.cncenter.cz/Online/mobilni-slide-up"/>
    <hyperlink ref="W393" r:id="rId769" display="https://reklama.cncenter.cz/Online/mobilni-vineta"/>
    <hyperlink ref="W394" r:id="rId770" display="https://reklama.cncenter.cz/Online/nativni-rectangle-cross-device"/>
    <hyperlink ref="W395" r:id="rId771" display="https://reklama.cncenter.cz/Online/Outstream"/>
    <hyperlink ref="W396" r:id="rId772" display="https://reklama.cncenter.cz/Online/Smarticle"/>
    <hyperlink ref="W397" r:id="rId773" display="https://reklama.cncenter.cz/Online/Bumper"/>
    <hyperlink ref="D398" r:id="rId774" display="https://digiarena.zive.cz/"/>
    <hyperlink ref="F398" r:id="rId775" display="https://digiarena.zive.cz/"/>
    <hyperlink ref="D399" r:id="rId776" display="https://digiarena.zive.cz/"/>
    <hyperlink ref="F399" r:id="rId777" display="https://digiarena.zive.cz/"/>
    <hyperlink ref="W399" r:id="rId778" display="https://reklama.cncenter.cz/Online/billboard-bottom"/>
    <hyperlink ref="D400" r:id="rId779" display="https://digiarena.zive.cz/"/>
    <hyperlink ref="F400" r:id="rId780" display="https://digiarena.zive.cz/"/>
    <hyperlink ref="W400" r:id="rId781" display="https://reklama.cncenter.cz/Online/branding-cross-device"/>
    <hyperlink ref="D401" r:id="rId782" display="https://digiarena.zive.cz/"/>
    <hyperlink ref="F401" r:id="rId783" display="https://digiarena.zive.cz/"/>
    <hyperlink ref="W401" r:id="rId784" display="https://reklama.cncenter.cz/Online/branding"/>
    <hyperlink ref="D402" r:id="rId785" display="https://digiarena.zive.cz/"/>
    <hyperlink ref="F402" r:id="rId786" display="https://digiarena.zive.cz/"/>
    <hyperlink ref="W402" r:id="rId787" display="https://reklama.cncenter.cz/Online/billboard-bottom"/>
    <hyperlink ref="D403" r:id="rId788" display="https://digiarena.zive.cz/"/>
    <hyperlink ref="F403" r:id="rId789" display="https://digiarena.zive.cz/"/>
    <hyperlink ref="W403" r:id="rId790" display="https://reklama.cncenter.cz/Online/branding-cross-device"/>
    <hyperlink ref="D404" r:id="rId791" display="https://digiarena.zive.cz/"/>
    <hyperlink ref="F404" r:id="rId792" display="https://digiarena.zive.cz/"/>
    <hyperlink ref="W404" r:id="rId793" display="https://reklama.cncenter.cz/Online/branding"/>
    <hyperlink ref="D405" r:id="rId794" display="https://digiarena.zive.cz/"/>
    <hyperlink ref="F405" r:id="rId795" display="https://digiarena.zive.cz/"/>
    <hyperlink ref="W405" r:id="rId796" display="https://reklama.cncenter.cz/Online/double-skyscraper"/>
    <hyperlink ref="D406" r:id="rId797" display="https://digiarena.zive.cz/"/>
    <hyperlink ref="F406" r:id="rId798" display="https://digiarena.zive.cz/"/>
    <hyperlink ref="W406" r:id="rId799" display="https://reklama.cncenter.cz/Online/mobilni-interscroller"/>
    <hyperlink ref="D407" r:id="rId800" display="https://digiarena.zive.cz/"/>
    <hyperlink ref="F407" r:id="rId801" display="https://digiarena.zive.cz/"/>
    <hyperlink ref="W407" r:id="rId802" display="https://reklama.cncenter.cz/Online/mobilni-slide-up"/>
    <hyperlink ref="D408" r:id="rId803" display="https://digiarena.zive.cz/"/>
    <hyperlink ref="F408" r:id="rId804" display="https://digiarena.zive.cz/"/>
    <hyperlink ref="W408" r:id="rId805" display="https://reklama.cncenter.cz/Online/mobilni-vineta"/>
    <hyperlink ref="D409" r:id="rId806" display="https://digiarena.zive.cz/"/>
    <hyperlink ref="F409" r:id="rId807" display="https://digiarena.zive.cz/"/>
    <hyperlink ref="W409" r:id="rId808" display="https://reklama.cncenter.cz/Online/nativni-rectangle-cross-device"/>
    <hyperlink ref="D410" r:id="rId809" display="https://digiarena.zive.cz/"/>
    <hyperlink ref="F410" r:id="rId810" display="https://digiarena.zive.cz/"/>
    <hyperlink ref="W410" r:id="rId811" display="https://reklama.cncenter.cz/Online/Outstream"/>
    <hyperlink ref="D411" r:id="rId812" display="https://digiarena.zive.cz/"/>
    <hyperlink ref="F411" r:id="rId813" display="https://digiarena.zive.cz/"/>
    <hyperlink ref="D412" r:id="rId814" display="https://digiarena.zive.cz/"/>
    <hyperlink ref="F412" r:id="rId815" display="https://digiarena.zive.cz/"/>
    <hyperlink ref="W412" r:id="rId816" display="https://reklama.cncenter.cz/Online/double-skyscraper"/>
    <hyperlink ref="D413" r:id="rId817" display="https://digiarena.zive.cz/"/>
    <hyperlink ref="F413" r:id="rId818" display="https://digiarena.zive.cz/"/>
    <hyperlink ref="W413" r:id="rId819" display="https://reklama.cncenter.cz/Online/mobilni-interscroller"/>
    <hyperlink ref="D414" r:id="rId820" display="https://digiarena.zive.cz/"/>
    <hyperlink ref="F414" r:id="rId821" display="https://digiarena.zive.cz/"/>
    <hyperlink ref="W414" r:id="rId822" display="https://reklama.cncenter.cz/Online/mobilni-slide-up"/>
    <hyperlink ref="D415" r:id="rId823" display="https://digiarena.zive.cz/"/>
    <hyperlink ref="F415" r:id="rId824" display="https://digiarena.zive.cz/"/>
    <hyperlink ref="W415" r:id="rId825" display="https://reklama.cncenter.cz/Online/mobilni-vineta"/>
    <hyperlink ref="D416" r:id="rId826" display="https://digiarena.zive.cz/"/>
    <hyperlink ref="F416" r:id="rId827" display="https://digiarena.zive.cz/"/>
    <hyperlink ref="D417" r:id="rId828" display="https://digiarena.zive.cz/"/>
    <hyperlink ref="F417" r:id="rId829" display="https://digiarena.zive.cz/"/>
    <hyperlink ref="W417" r:id="rId830" display="https://reklama.cncenter.cz/Online/nativni-rectangle-cross-device"/>
    <hyperlink ref="D418" r:id="rId831" display="https://digiarena.zive.cz/"/>
    <hyperlink ref="F418" r:id="rId832" display="https://digiarena.zive.cz/"/>
    <hyperlink ref="W418" r:id="rId833" display="https://reklama.cncenter.cz/Online/Outstream"/>
    <hyperlink ref="D419" r:id="rId834" display="https://digiarena.zive.cz/"/>
    <hyperlink ref="F419" r:id="rId835" display="https://digiarena.zive.cz/"/>
    <hyperlink ref="W419" r:id="rId836" display="https://reklama.cncenter.cz/?ads=PR%2520%25C4%258Dl%25C3%25A1nky"/>
    <hyperlink ref="D420" r:id="rId837" display="https://digiarena.zive.cz/"/>
    <hyperlink ref="F420" r:id="rId838" display="https://digiarena.zive.cz/"/>
    <hyperlink ref="D421" r:id="rId839" display="https://digiarena.zive.cz/"/>
    <hyperlink ref="F421" r:id="rId840" display="https://digiarena.zive.cz/"/>
    <hyperlink ref="D422" r:id="rId841" display="https://digiarena.zive.cz/"/>
    <hyperlink ref="F422" r:id="rId842" display="https://digiarena.zive.cz/"/>
    <hyperlink ref="D423" r:id="rId843" display="https://doupe.zive.cz/"/>
    <hyperlink ref="F423" r:id="rId844" display="https://doupe.zive.cz/"/>
    <hyperlink ref="D424" r:id="rId845" display="https://doupe.zive.cz/"/>
    <hyperlink ref="F424" r:id="rId846" display="https://doupe.zive.cz/"/>
    <hyperlink ref="W424" r:id="rId847" display="https://reklama.cncenter.cz/Online/billboard-bottom"/>
    <hyperlink ref="D425" r:id="rId848" display="https://doupe.zive.cz/"/>
    <hyperlink ref="F425" r:id="rId849" display="https://doupe.zive.cz/"/>
    <hyperlink ref="W425" r:id="rId850" display="https://reklama.cncenter.cz/Online/branding-cross-device"/>
    <hyperlink ref="D426" r:id="rId851" display="https://doupe.zive.cz/"/>
    <hyperlink ref="F426" r:id="rId852" display="https://doupe.zive.cz/"/>
    <hyperlink ref="W426" r:id="rId853" display="https://reklama.cncenter.cz/Online/branding"/>
    <hyperlink ref="D427" r:id="rId854" display="https://doupe.zive.cz/"/>
    <hyperlink ref="F427" r:id="rId855" display="https://doupe.zive.cz/"/>
    <hyperlink ref="W427" r:id="rId856" display="https://reklama.cncenter.cz/Online/billboard-bottom"/>
    <hyperlink ref="D428" r:id="rId857" display="https://doupe.zive.cz/"/>
    <hyperlink ref="F428" r:id="rId858" display="https://doupe.zive.cz/"/>
    <hyperlink ref="W428" r:id="rId859" display="https://reklama.cncenter.cz/Online/branding-cross-device"/>
    <hyperlink ref="D429" r:id="rId860" display="https://doupe.zive.cz/"/>
    <hyperlink ref="F429" r:id="rId861" display="https://doupe.zive.cz/"/>
    <hyperlink ref="W429" r:id="rId862" display="https://reklama.cncenter.cz/Online/branding"/>
    <hyperlink ref="D430" r:id="rId863" display="https://doupe.zive.cz/"/>
    <hyperlink ref="F430" r:id="rId864" display="https://doupe.zive.cz/"/>
    <hyperlink ref="W430" r:id="rId865" display="https://reklama.cncenter.cz/Online/double-skyscraper"/>
    <hyperlink ref="D431" r:id="rId866" display="https://doupe.zive.cz/"/>
    <hyperlink ref="F431" r:id="rId867" display="https://doupe.zive.cz/"/>
    <hyperlink ref="W431" r:id="rId868" display="https://reklama.cncenter.cz/Online/mobilni-interscroller"/>
    <hyperlink ref="D432" r:id="rId869" display="https://doupe.zive.cz/"/>
    <hyperlink ref="F432" r:id="rId870" display="https://doupe.zive.cz/"/>
    <hyperlink ref="W432" r:id="rId871" display="https://reklama.cncenter.cz/Online/mobilni-slide-up"/>
    <hyperlink ref="D433" r:id="rId872" display="https://doupe.zive.cz/"/>
    <hyperlink ref="F433" r:id="rId873" display="https://doupe.zive.cz/"/>
    <hyperlink ref="W433" r:id="rId874" display="https://reklama.cncenter.cz/Online/mobilni-vineta"/>
    <hyperlink ref="D434" r:id="rId875" display="https://doupe.zive.cz/"/>
    <hyperlink ref="F434" r:id="rId876" display="https://doupe.zive.cz/"/>
    <hyperlink ref="W434" r:id="rId877" display="https://reklama.cncenter.cz/Online/nativni-rectangle-cross-device"/>
    <hyperlink ref="D435" r:id="rId878" display="https://doupe.zive.cz/"/>
    <hyperlink ref="F435" r:id="rId879" display="https://doupe.zive.cz/"/>
    <hyperlink ref="W435" r:id="rId880" display="https://reklama.cncenter.cz/Online/Outstream"/>
    <hyperlink ref="D436" r:id="rId881" display="https://doupe.zive.cz/"/>
    <hyperlink ref="F436" r:id="rId882" display="https://doupe.zive.cz/"/>
    <hyperlink ref="D437" r:id="rId883" display="https://doupe.zive.cz/"/>
    <hyperlink ref="F437" r:id="rId884" display="https://doupe.zive.cz/"/>
    <hyperlink ref="W437" r:id="rId885" display="https://reklama.cncenter.cz/Online/double-skyscraper"/>
    <hyperlink ref="D438" r:id="rId886" display="https://doupe.zive.cz/"/>
    <hyperlink ref="F438" r:id="rId887" display="https://doupe.zive.cz/"/>
    <hyperlink ref="W438" r:id="rId888" display="https://reklama.cncenter.cz/Online/mobilni-interscroller"/>
    <hyperlink ref="D439" r:id="rId889" display="https://doupe.zive.cz/"/>
    <hyperlink ref="F439" r:id="rId890" display="https://doupe.zive.cz/"/>
    <hyperlink ref="W439" r:id="rId891" display="https://reklama.cncenter.cz/Online/mobilni-slide-up"/>
    <hyperlink ref="D440" r:id="rId892" display="https://doupe.zive.cz/"/>
    <hyperlink ref="F440" r:id="rId893" display="https://doupe.zive.cz/"/>
    <hyperlink ref="W440" r:id="rId894" display="https://reklama.cncenter.cz/Online/mobilni-vineta"/>
    <hyperlink ref="D441" r:id="rId895" display="https://doupe.zive.cz/"/>
    <hyperlink ref="F441" r:id="rId896" display="https://doupe.zive.cz/"/>
    <hyperlink ref="D442" r:id="rId897" display="https://doupe.zive.cz/"/>
    <hyperlink ref="F442" r:id="rId898" display="https://doupe.zive.cz/"/>
    <hyperlink ref="W442" r:id="rId899" display="https://reklama.cncenter.cz/Online/nativni-rectangle-cross-device"/>
    <hyperlink ref="D443" r:id="rId900" display="https://doupe.zive.cz/"/>
    <hyperlink ref="F443" r:id="rId901" display="https://doupe.zive.cz/"/>
    <hyperlink ref="W443" r:id="rId902" display="https://reklama.cncenter.cz/Online/Outstream"/>
    <hyperlink ref="D444" r:id="rId903" display="https://doupe.zive.cz/"/>
    <hyperlink ref="F444" r:id="rId904" display="https://doupe.zive.cz/"/>
    <hyperlink ref="W444" r:id="rId905" display="https://reklama.cncenter.cz/?ads=PR%2520%25C4%258Dl%25C3%25A1nky"/>
    <hyperlink ref="D445" r:id="rId906" display="https://doupe.zive.cz/"/>
    <hyperlink ref="F445" r:id="rId907" display="https://doupe.zive.cz/"/>
    <hyperlink ref="D446" r:id="rId908" display="https://doupe.zive.cz/"/>
    <hyperlink ref="F446" r:id="rId909" display="https://doupe.zive.cz/"/>
    <hyperlink ref="D447" r:id="rId910" display="https://doupe.zive.cz/"/>
    <hyperlink ref="F447" r:id="rId911" display="https://doupe.zive.cz/"/>
    <hyperlink ref="D448" r:id="rId912" display="https://dama.cz/"/>
    <hyperlink ref="F448" r:id="rId913" display="https://dama.cz/"/>
    <hyperlink ref="D449" r:id="rId914" display="https://dama.cz/"/>
    <hyperlink ref="F449" r:id="rId915" display="https://dama.cz/"/>
    <hyperlink ref="W449" r:id="rId916" display="https://reklama.cncenter.cz/Online/billboard-bottom"/>
    <hyperlink ref="D450" r:id="rId917" display="https://dama.cz/"/>
    <hyperlink ref="F450" r:id="rId918" display="https://dama.cz/"/>
    <hyperlink ref="W450" r:id="rId919" display="https://reklama.cncenter.cz/Online/branding-cross-device"/>
    <hyperlink ref="D451" r:id="rId920" display="https://dama.cz/"/>
    <hyperlink ref="F451" r:id="rId921" display="https://dama.cz/"/>
    <hyperlink ref="W451" r:id="rId922" display="https://reklama.cncenter.cz/Online/branding"/>
    <hyperlink ref="D452" r:id="rId923" display="https://dama.cz/"/>
    <hyperlink ref="F452" r:id="rId924" display="https://dama.cz/"/>
    <hyperlink ref="W452" r:id="rId925" display="https://reklama.cncenter.cz/Online/billboard-bottom"/>
    <hyperlink ref="D453" r:id="rId926" display="https://dama.cz/"/>
    <hyperlink ref="F453" r:id="rId927" display="https://dama.cz/"/>
    <hyperlink ref="W453" r:id="rId928" display="https://reklama.cncenter.cz/Online/branding-cross-device"/>
    <hyperlink ref="D454" r:id="rId929" display="https://dama.cz/"/>
    <hyperlink ref="F454" r:id="rId930" display="https://dama.cz/"/>
    <hyperlink ref="W454" r:id="rId931" display="https://reklama.cncenter.cz/Online/branding"/>
    <hyperlink ref="D455" r:id="rId932" display="https://dama.cz/"/>
    <hyperlink ref="F455" r:id="rId933" display="https://dama.cz/"/>
    <hyperlink ref="W455" r:id="rId934" display="https://reklama.cncenter.cz/Online/double-skyscraper"/>
    <hyperlink ref="D456" r:id="rId935" display="https://dama.cz/"/>
    <hyperlink ref="F456" r:id="rId936" display="https://dama.cz/"/>
    <hyperlink ref="W456" r:id="rId937" display="https://reklama.cncenter.cz/Online/Videospot"/>
    <hyperlink ref="D457" r:id="rId938" display="https://dama.cz/"/>
    <hyperlink ref="F457" r:id="rId939" display="https://dama.cz/"/>
    <hyperlink ref="W457" r:id="rId940" display="https://reklama.cncenter.cz/Online/mobilni-interscroller"/>
    <hyperlink ref="D458" r:id="rId941" display="https://dama.cz/"/>
    <hyperlink ref="F458" r:id="rId942" display="https://dama.cz/"/>
    <hyperlink ref="W458" r:id="rId943" display="https://reklama.cncenter.cz/Online/mobilni-slide-up"/>
    <hyperlink ref="D459" r:id="rId944" display="https://dama.cz/"/>
    <hyperlink ref="F459" r:id="rId945" display="https://dama.cz/"/>
    <hyperlink ref="W459" r:id="rId946" display="https://reklama.cncenter.cz/Online/mobilni-vineta"/>
    <hyperlink ref="D460" r:id="rId947" display="https://dama.cz/"/>
    <hyperlink ref="F460" r:id="rId948" display="https://dama.cz/"/>
    <hyperlink ref="W460" r:id="rId949" display="https://reklama.cncenter.cz/Online/nativni-PR-premium"/>
    <hyperlink ref="D461" r:id="rId950" display="https://dama.cz/"/>
    <hyperlink ref="F461" r:id="rId951" display="https://dama.cz/"/>
    <hyperlink ref="W461" r:id="rId952" display="https://reklama.cncenter.cz/Online/nativni-rectangle-cross-device"/>
    <hyperlink ref="D462" r:id="rId953" display="https://dama.cz/"/>
    <hyperlink ref="F462" r:id="rId954" display="https://dama.cz/"/>
    <hyperlink ref="W462" r:id="rId955" display="https://reklama.cncenter.cz/Online/Outstream"/>
    <hyperlink ref="D463" r:id="rId956" display="https://dama.cz/"/>
    <hyperlink ref="F463" r:id="rId957" display="https://dama.cz/"/>
    <hyperlink ref="W463" r:id="rId958" display="https://reklama.cncenter.cz/Online/Bumper"/>
    <hyperlink ref="D464" r:id="rId959" display="https://dama.cz/"/>
    <hyperlink ref="F464" r:id="rId960" display="https://dama.cz/"/>
    <hyperlink ref="D465" r:id="rId961" display="https://dama.cz/"/>
    <hyperlink ref="F465" r:id="rId962" display="https://dama.cz/"/>
    <hyperlink ref="W465" r:id="rId963" display="https://reklama.cncenter.cz/Online/double-skyscraper"/>
    <hyperlink ref="D466" r:id="rId964" display="https://dama.cz/"/>
    <hyperlink ref="F466" r:id="rId965" display="https://dama.cz/"/>
    <hyperlink ref="W466" r:id="rId966" display="https://reklama.cncenter.cz/Online/Videospot"/>
    <hyperlink ref="D467" r:id="rId967" display="https://dama.cz/"/>
    <hyperlink ref="F467" r:id="rId968" display="https://dama.cz/"/>
    <hyperlink ref="W467" r:id="rId969" display="https://reklama.cncenter.cz/Online/mobilni-interscroller"/>
    <hyperlink ref="D468" r:id="rId970" display="https://dama.cz/"/>
    <hyperlink ref="F468" r:id="rId971" display="https://dama.cz/"/>
    <hyperlink ref="W468" r:id="rId972" display="https://reklama.cncenter.cz/Online/mobilni-slide-up"/>
    <hyperlink ref="D469" r:id="rId973" display="https://dama.cz/"/>
    <hyperlink ref="F469" r:id="rId974" display="https://dama.cz/"/>
    <hyperlink ref="W469" r:id="rId975" display="https://reklama.cncenter.cz/Online/mobilni-vineta"/>
    <hyperlink ref="D470" r:id="rId976" display="https://dama.cz/"/>
    <hyperlink ref="F470" r:id="rId977" display="https://dama.cz/"/>
    <hyperlink ref="D471" r:id="rId978" display="https://dama.cz/"/>
    <hyperlink ref="F471" r:id="rId979" display="https://dama.cz/"/>
    <hyperlink ref="W471" r:id="rId980" display="https://reklama.cncenter.cz/Online/nativni-PR-premium"/>
    <hyperlink ref="D472" r:id="rId981" display="https://dama.cz/"/>
    <hyperlink ref="F472" r:id="rId982" display="https://dama.cz/"/>
    <hyperlink ref="W472" r:id="rId983" display="https://reklama.cncenter.cz/Online/nativni-rectangle-cross-device"/>
    <hyperlink ref="D473" r:id="rId984" display="https://dama.cz/"/>
    <hyperlink ref="F473" r:id="rId985" display="https://dama.cz/"/>
    <hyperlink ref="W473" r:id="rId986" display="https://reklama.cncenter.cz/Online/Outstream"/>
    <hyperlink ref="D474" r:id="rId987" display="https://dama.cz/"/>
    <hyperlink ref="F474" r:id="rId988" display="https://dama.cz/"/>
    <hyperlink ref="W474" r:id="rId989" display="https://reklama.cncenter.cz/?ads=PR%2520%25C4%258Dl%25C3%25A1nky"/>
    <hyperlink ref="D475" r:id="rId990" display="https://dama.cz/"/>
    <hyperlink ref="F475" r:id="rId991" display="https://dama.cz/"/>
    <hyperlink ref="D476" r:id="rId992" display="https://dama.cz/"/>
    <hyperlink ref="F476" r:id="rId993" display="https://dama.cz/"/>
    <hyperlink ref="D477" r:id="rId994" display="https://dama.cz/"/>
    <hyperlink ref="F477" r:id="rId995" display="https://dama.cz/"/>
    <hyperlink ref="D478" r:id="rId996" display="https://dama.cz/"/>
    <hyperlink ref="F478" r:id="rId997" display="https://dama.cz/"/>
    <hyperlink ref="W478" r:id="rId998" display="https://reklama.cncenter.cz/Online/Bumper"/>
    <hyperlink ref="W480" r:id="rId999" display="https://reklama.cncenter.cz/Online/billboard-bottom"/>
    <hyperlink ref="W481" r:id="rId1000" display="https://reklama.cncenter.cz/Online/branding-cross-device"/>
    <hyperlink ref="W482" r:id="rId1001" display="https://reklama.cncenter.cz/Online/branding"/>
    <hyperlink ref="W483" r:id="rId1002" display="https://reklama.cncenter.cz/Online/billboard-bottom"/>
    <hyperlink ref="W484" r:id="rId1003" display="https://reklama.cncenter.cz/Online/branding-cross-device"/>
    <hyperlink ref="W485" r:id="rId1004" display="https://reklama.cncenter.cz/Online/branding"/>
    <hyperlink ref="W486" r:id="rId1005" display="https://reklama.cncenter.cz/Online/double-skyscraper"/>
    <hyperlink ref="W487" r:id="rId1006" display="https://reklama.cncenter.cz/Online/Videospot"/>
    <hyperlink ref="W488" r:id="rId1007" display="https://reklama.cncenter.cz/Online/mobilni-interscroller"/>
    <hyperlink ref="W489" r:id="rId1008" display="https://reklama.cncenter.cz/Online/mobilni-slide-up"/>
    <hyperlink ref="W490" r:id="rId1009" display="https://reklama.cncenter.cz/Online/mobilni-vineta"/>
    <hyperlink ref="W491" r:id="rId1010" display="https://reklama.cncenter.cz/Online/nativni-rectangle-cross-device"/>
    <hyperlink ref="W492" r:id="rId1011" display="https://reklama.cncenter.cz/Online/Outstream"/>
    <hyperlink ref="W493" r:id="rId1012" display="https://reklama.cncenter.cz/Online/Bumper"/>
    <hyperlink ref="W495" r:id="rId1013" display="https://reklama.cncenter.cz/Online/double-skyscraper"/>
    <hyperlink ref="W496" r:id="rId1014" display="https://reklama.cncenter.cz/Online/Videospot"/>
    <hyperlink ref="W497" r:id="rId1015" display="https://reklama.cncenter.cz/Online/mobilni-interscroller"/>
    <hyperlink ref="W498" r:id="rId1016" display="https://reklama.cncenter.cz/Online/mobilni-slide-up"/>
    <hyperlink ref="W499" r:id="rId1017" display="https://reklama.cncenter.cz/Online/mobilni-vineta"/>
    <hyperlink ref="W501" r:id="rId1018" display="https://reklama.cncenter.cz/Online/nativni-rectangle-cross-device"/>
    <hyperlink ref="W502" r:id="rId1019" display="https://reklama.cncenter.cz/Online/Outstream"/>
    <hyperlink ref="W504" r:id="rId1020" display="https://reklama.cncenter.cz/?ads=PR%2520%25C4%258Dl%25C3%25A1nky"/>
    <hyperlink ref="W508" r:id="rId1021" display="https://reklama.cncenter.cz/Online/Bumper"/>
    <hyperlink ref="D509" r:id="rId1022" display="https://evropa2.cz/"/>
    <hyperlink ref="F509" r:id="rId1023" display="https://evropa2.cz/"/>
    <hyperlink ref="W509" r:id="rId1024" display="https://reklama.cncenter.cz/Online/branding-cross-device"/>
    <hyperlink ref="D510" r:id="rId1025" display="https://evropa2.cz/"/>
    <hyperlink ref="F510" r:id="rId1026" display="https://evropa2.cz/"/>
    <hyperlink ref="W510" r:id="rId1027" display="https://reklama.cncenter.cz/Online/branding"/>
    <hyperlink ref="D511" r:id="rId1028" display="https://evropa2.cz/"/>
    <hyperlink ref="F511" r:id="rId1029" display="https://evropa2.cz/"/>
    <hyperlink ref="W511" r:id="rId1030" display="https://reklama.cncenter.cz/Online/branding-cross-device"/>
    <hyperlink ref="D512" r:id="rId1031" display="https://evropa2.cz/"/>
    <hyperlink ref="F512" r:id="rId1032" display="https://evropa2.cz/"/>
    <hyperlink ref="W512" r:id="rId1033" display="https://reklama.cncenter.cz/Online/branding"/>
    <hyperlink ref="D513" r:id="rId1034" display="https://evropa2.cz/"/>
    <hyperlink ref="F513" r:id="rId1035" display="https://evropa2.cz/"/>
    <hyperlink ref="W513" r:id="rId1036" display="https://reklama.cncenter.cz/Online/double-skyscraper"/>
    <hyperlink ref="D514" r:id="rId1037" display="https://evropa2.cz/"/>
    <hyperlink ref="F514" r:id="rId1038" display="https://evropa2.cz/"/>
    <hyperlink ref="W514" r:id="rId1039" display="https://reklama.cncenter.cz/Online/Videospot"/>
    <hyperlink ref="D515" r:id="rId1040" display="https://evropa2.cz/"/>
    <hyperlink ref="F515" r:id="rId1041" display="https://evropa2.cz/"/>
    <hyperlink ref="W515" r:id="rId1042" display="https://reklama.cncenter.cz/Online/mobilni-interscroller"/>
    <hyperlink ref="D516" r:id="rId1043" display="https://evropa2.cz/"/>
    <hyperlink ref="F516" r:id="rId1044" display="https://evropa2.cz/"/>
    <hyperlink ref="W516" r:id="rId1045" display="https://reklama.cncenter.cz/Online/mobilni-slide-up"/>
    <hyperlink ref="D517" r:id="rId1046" display="https://evropa2.cz/"/>
    <hyperlink ref="F517" r:id="rId1047" display="https://evropa2.cz/"/>
    <hyperlink ref="W517" r:id="rId1048" display="https://reklama.cncenter.cz/Online/mobilni-vineta"/>
    <hyperlink ref="D518" r:id="rId1049" display="https://evropa2.cz/"/>
    <hyperlink ref="F518" r:id="rId1050" display="https://evropa2.cz/"/>
    <hyperlink ref="W518" r:id="rId1051" display="https://reklama.cncenter.cz/Online/nativni-rectangle-cross-device"/>
    <hyperlink ref="D519" r:id="rId1052" display="https://evropa2.cz/"/>
    <hyperlink ref="F519" r:id="rId1053" display="https://evropa2.cz/"/>
    <hyperlink ref="W519" r:id="rId1054" display="https://reklama.cncenter.cz/Online/Bumper"/>
    <hyperlink ref="D520" r:id="rId1055" display="https://evropa2.cz/"/>
    <hyperlink ref="F520" r:id="rId1056" display="https://evropa2.cz/"/>
    <hyperlink ref="W520" r:id="rId1057" display="https://reklama.cncenter.cz/Online/double-skyscraper"/>
    <hyperlink ref="D521" r:id="rId1058" display="https://evropa2.cz/"/>
    <hyperlink ref="F521" r:id="rId1059" display="https://evropa2.cz/"/>
    <hyperlink ref="W521" r:id="rId1060" display="https://reklama.cncenter.cz/Online/Videospot"/>
    <hyperlink ref="D522" r:id="rId1061" display="https://evropa2.cz/"/>
    <hyperlink ref="F522" r:id="rId1062" display="https://evropa2.cz/"/>
    <hyperlink ref="W522" r:id="rId1063" display="https://reklama.cncenter.cz/Online/mobilni-interscroller"/>
    <hyperlink ref="D523" r:id="rId1064" display="https://evropa2.cz/"/>
    <hyperlink ref="F523" r:id="rId1065" display="https://evropa2.cz/"/>
    <hyperlink ref="W523" r:id="rId1066" display="https://reklama.cncenter.cz/Online/mobilni-slide-up"/>
    <hyperlink ref="D524" r:id="rId1067" display="https://evropa2.cz/"/>
    <hyperlink ref="F524" r:id="rId1068" display="https://evropa2.cz/"/>
    <hyperlink ref="W524" r:id="rId1069" display="https://reklama.cncenter.cz/Online/mobilni-vineta"/>
    <hyperlink ref="D525" r:id="rId1070" display="https://evropa2.cz/"/>
    <hyperlink ref="F525" r:id="rId1071" display="https://evropa2.cz/"/>
    <hyperlink ref="W525" r:id="rId1072" display="https://reklama.cncenter.cz/Online/nativni-rectangle-cross-device"/>
    <hyperlink ref="D526" r:id="rId1073" display="https://evropa2.cz/"/>
    <hyperlink ref="F526" r:id="rId1074" display="https://evropa2.cz/"/>
    <hyperlink ref="W526" r:id="rId1075" display="https://reklama.cncenter.cz/Online/Bumper"/>
    <hyperlink ref="D527" r:id="rId1076" display="https://f1sport.auto.cz/"/>
    <hyperlink ref="F527" r:id="rId1077" display="https://f1sport.auto.cz/"/>
    <hyperlink ref="D528" r:id="rId1078" display="https://f1sport.auto.cz/"/>
    <hyperlink ref="F528" r:id="rId1079" display="https://f1sport.auto.cz/"/>
    <hyperlink ref="W528" r:id="rId1080" display="https://reklama.cncenter.cz/Online/billboard-bottom"/>
    <hyperlink ref="D529" r:id="rId1081" display="https://f1sport.auto.cz/"/>
    <hyperlink ref="F529" r:id="rId1082" display="https://f1sport.auto.cz/"/>
    <hyperlink ref="W529" r:id="rId1083" display="https://reklama.cncenter.cz/Online/branding-cross-device"/>
    <hyperlink ref="D530" r:id="rId1084" display="https://f1sport.auto.cz/"/>
    <hyperlink ref="F530" r:id="rId1085" display="https://f1sport.auto.cz/"/>
    <hyperlink ref="W530" r:id="rId1086" display="https://reklama.cncenter.cz/Online/branding"/>
    <hyperlink ref="D531" r:id="rId1087" display="https://f1sport.auto.cz/"/>
    <hyperlink ref="F531" r:id="rId1088" display="https://f1sport.auto.cz/"/>
    <hyperlink ref="W531" r:id="rId1089" display="https://reklama.cncenter.cz/Online/billboard-bottom"/>
    <hyperlink ref="D532" r:id="rId1090" display="https://f1sport.auto.cz/"/>
    <hyperlink ref="F532" r:id="rId1091" display="https://f1sport.auto.cz/"/>
    <hyperlink ref="W532" r:id="rId1092" display="https://reklama.cncenter.cz/Online/branding-cross-device"/>
    <hyperlink ref="D533" r:id="rId1093" display="https://f1sport.auto.cz/"/>
    <hyperlink ref="F533" r:id="rId1094" display="https://f1sport.auto.cz/"/>
    <hyperlink ref="W533" r:id="rId1095" display="https://reklama.cncenter.cz/Online/branding"/>
    <hyperlink ref="D534" r:id="rId1096" display="https://f1sport.auto.cz/"/>
    <hyperlink ref="F534" r:id="rId1097" display="https://f1sport.auto.cz/"/>
    <hyperlink ref="W534" r:id="rId1098" display="https://reklama.cncenter.cz/Online/double-skyscraper"/>
    <hyperlink ref="D535" r:id="rId1099" display="https://f1sport.auto.cz/"/>
    <hyperlink ref="F535" r:id="rId1100" display="https://f1sport.auto.cz/"/>
    <hyperlink ref="W535" r:id="rId1101" display="https://reklama.cncenter.cz/Online/mobilni-interscroller"/>
    <hyperlink ref="D536" r:id="rId1102" display="https://f1sport.auto.cz/"/>
    <hyperlink ref="F536" r:id="rId1103" display="https://f1sport.auto.cz/"/>
    <hyperlink ref="W536" r:id="rId1104" display="https://reklama.cncenter.cz/Online/mobilni-slide-up"/>
    <hyperlink ref="D537" r:id="rId1105" display="https://f1sport.auto.cz/"/>
    <hyperlink ref="F537" r:id="rId1106" display="https://f1sport.auto.cz/"/>
    <hyperlink ref="W537" r:id="rId1107" display="https://reklama.cncenter.cz/Online/mobilni-vineta"/>
    <hyperlink ref="D538" r:id="rId1108" display="https://f1sport.auto.cz/"/>
    <hyperlink ref="F538" r:id="rId1109" display="https://f1sport.auto.cz/"/>
    <hyperlink ref="W538" r:id="rId1110" display="https://reklama.cncenter.cz/Online/nativni-rectangle-cross-device"/>
    <hyperlink ref="D539" r:id="rId1111" display="https://f1sport.auto.cz/"/>
    <hyperlink ref="F539" r:id="rId1112" display="https://f1sport.auto.cz/"/>
    <hyperlink ref="W539" r:id="rId1113" display="https://reklama.cncenter.cz/Online/Outstream"/>
    <hyperlink ref="D540" r:id="rId1114" display="https://f1sport.auto.cz/"/>
    <hyperlink ref="F540" r:id="rId1115" display="https://f1sport.auto.cz/"/>
    <hyperlink ref="D541" r:id="rId1116" display="https://f1sport.auto.cz/"/>
    <hyperlink ref="F541" r:id="rId1117" display="https://f1sport.auto.cz/"/>
    <hyperlink ref="W541" r:id="rId1118" display="https://reklama.cncenter.cz/Online/double-skyscraper"/>
    <hyperlink ref="D542" r:id="rId1119" display="https://f1sport.auto.cz/"/>
    <hyperlink ref="F542" r:id="rId1120" display="https://f1sport.auto.cz/"/>
    <hyperlink ref="W542" r:id="rId1121" display="https://reklama.cncenter.cz/Online/mobilni-interscroller"/>
    <hyperlink ref="D543" r:id="rId1122" display="https://f1sport.auto.cz/"/>
    <hyperlink ref="F543" r:id="rId1123" display="https://f1sport.auto.cz/"/>
    <hyperlink ref="W543" r:id="rId1124" display="https://reklama.cncenter.cz/Online/mobilni-slide-up"/>
    <hyperlink ref="D544" r:id="rId1125" display="https://f1sport.auto.cz/"/>
    <hyperlink ref="F544" r:id="rId1126" display="https://f1sport.auto.cz/"/>
    <hyperlink ref="W544" r:id="rId1127" display="https://reklama.cncenter.cz/Online/mobilni-vineta"/>
    <hyperlink ref="D545" r:id="rId1128" display="https://f1sport.auto.cz/"/>
    <hyperlink ref="F545" r:id="rId1129" display="https://f1sport.auto.cz/"/>
    <hyperlink ref="D546" r:id="rId1130" display="https://f1sport.auto.cz/"/>
    <hyperlink ref="F546" r:id="rId1131" display="https://f1sport.auto.cz/"/>
    <hyperlink ref="W546" r:id="rId1132" display="https://reklama.cncenter.cz/Online/nativni-rectangle-cross-device"/>
    <hyperlink ref="D547" r:id="rId1133" display="https://f1sport.auto.cz/"/>
    <hyperlink ref="F547" r:id="rId1134" display="https://f1sport.auto.cz/"/>
    <hyperlink ref="W547" r:id="rId1135" display="https://reklama.cncenter.cz/Online/Outstream"/>
    <hyperlink ref="D548" r:id="rId1136" display="https://f1sport.auto.cz/"/>
    <hyperlink ref="F548" r:id="rId1137" display="https://f1sport.auto.cz/"/>
    <hyperlink ref="W548" r:id="rId1138" display="https://reklama.cncenter.cz/?ads=PR%2520%25C4%258Dl%25C3%25A1nky"/>
    <hyperlink ref="D549" r:id="rId1139" display="https://f1sport.auto.cz/"/>
    <hyperlink ref="F549" r:id="rId1140" display="https://f1sport.auto.cz/"/>
    <hyperlink ref="D550" r:id="rId1141" display="https://f1sport.auto.cz/"/>
    <hyperlink ref="F550" r:id="rId1142" display="https://f1sport.auto.cz/"/>
    <hyperlink ref="D551" r:id="rId1143" display="https://f1sport.auto.cz/"/>
    <hyperlink ref="F551" r:id="rId1144" display="https://f1sport.auto.cz/"/>
    <hyperlink ref="D552" r:id="rId1145" display="http://www.facebook.com/"/>
    <hyperlink ref="F552" r:id="rId1146" display="http://www.facebook.com/"/>
    <hyperlink ref="W552" r:id="rId1147" display="https://www.facebook.com/business/ads-guide/image/facebook-feed"/>
    <hyperlink ref="D553" r:id="rId1148" display="http://www.facebook.com/"/>
    <hyperlink ref="F553" r:id="rId1149" display="http://www.facebook.com/"/>
    <hyperlink ref="W553" r:id="rId1150" display="https://www.facebook.com/business/ads-guide/image/facebook-feed"/>
    <hyperlink ref="D554" r:id="rId1151" display="http://www.facebook.com/"/>
    <hyperlink ref="F554" r:id="rId1152" display="http://www.facebook.com/"/>
    <hyperlink ref="W554" r:id="rId1153" display="https://www.facebook.com/business/ads-guide/image/facebook-feed"/>
    <hyperlink ref="D555" r:id="rId1154" display="http://www.facebook.com/"/>
    <hyperlink ref="F555" r:id="rId1155" display="http://www.facebook.com/"/>
    <hyperlink ref="W555" r:id="rId1156" display="https://www.facebook.com/business/ads-guide/image/facebook-feed"/>
    <hyperlink ref="D556" r:id="rId1157" display="http://www.facebook.com/"/>
    <hyperlink ref="F556" r:id="rId1158" display="http://www.facebook.com/"/>
    <hyperlink ref="W556" r:id="rId1159" display="https://www.facebook.com/business/ads-guide/image/facebook-feed"/>
    <hyperlink ref="D557" r:id="rId1160" display="http://www.facebook.com/"/>
    <hyperlink ref="F557" r:id="rId1161" display="http://www.facebook.com/"/>
    <hyperlink ref="W557" r:id="rId1162" display="https://www.facebook.com/business/ads-guide/image/facebook-feed"/>
    <hyperlink ref="D558" r:id="rId1163" display="http://www.facebook.com/"/>
    <hyperlink ref="F558" r:id="rId1164" display="http://www.facebook.com/"/>
    <hyperlink ref="W558" r:id="rId1165" display="https://www.facebook.com/business/ads-guide/image/facebook-feed"/>
    <hyperlink ref="D559" r:id="rId1166" display="http://www.facebook.com/"/>
    <hyperlink ref="F559" r:id="rId1167" display="http://www.facebook.com/"/>
    <hyperlink ref="W559" r:id="rId1168" display="https://www.facebook.com/business/ads-guide/image/facebook-feed"/>
    <hyperlink ref="D560" r:id="rId1169" display="http://www.facebook.com/"/>
    <hyperlink ref="F560" r:id="rId1170" display="http://www.facebook.com/"/>
    <hyperlink ref="W560" r:id="rId1171" display="https://www.facebook.com/business/ads-guide/image/facebook-feed"/>
    <hyperlink ref="D561" r:id="rId1172" display="http://www.facebook.com/"/>
    <hyperlink ref="F561" r:id="rId1173" display="http://www.facebook.com/"/>
    <hyperlink ref="W561" r:id="rId1174" display="https://www.facebook.com/business/ads-guide/image/facebook-feed"/>
    <hyperlink ref="D562" r:id="rId1175" display="http://www.facebook.com/"/>
    <hyperlink ref="F562" r:id="rId1176" display="http://www.facebook.com/"/>
    <hyperlink ref="W562" r:id="rId1177" display="https://www.facebook.com/business/ads-guide/image/facebook-feed"/>
    <hyperlink ref="D563" r:id="rId1178" display="http://www.facebook.com/"/>
    <hyperlink ref="F563" r:id="rId1179" display="http://www.facebook.com/"/>
    <hyperlink ref="W563" r:id="rId1180" display="https://www.facebook.com/business/ads-guide/image/facebook-feed"/>
    <hyperlink ref="D564" r:id="rId1181" display="http://www.facebook.com/"/>
    <hyperlink ref="F564" r:id="rId1182" display="http://www.facebook.com/"/>
    <hyperlink ref="W564" r:id="rId1183" display="https://www.facebook.com/business/ads-guide/image/facebook-feed"/>
    <hyperlink ref="D565" r:id="rId1184" display="http://www.facebook.com/"/>
    <hyperlink ref="F565" r:id="rId1185" display="http://www.facebook.com/"/>
    <hyperlink ref="W565" r:id="rId1186" display="https://www.facebook.com/business/ads-guide/image/facebook-feed"/>
    <hyperlink ref="D566" r:id="rId1187" display="http://www.facebook.com/"/>
    <hyperlink ref="F566" r:id="rId1188" display="http://www.facebook.com/"/>
    <hyperlink ref="W566" r:id="rId1189" display="https://www.facebook.com/business/ads-guide/image/facebook-feed"/>
    <hyperlink ref="D567" r:id="rId1190" display="http://www.facebook.com/"/>
    <hyperlink ref="F567" r:id="rId1191" display="http://www.facebook.com/"/>
    <hyperlink ref="W567" r:id="rId1192" display="https://www.facebook.com/business/ads-guide/image/facebook-feed"/>
    <hyperlink ref="D568" r:id="rId1193" display="http://www.facebook.com/"/>
    <hyperlink ref="F568" r:id="rId1194" display="http://www.facebook.com/"/>
    <hyperlink ref="W568" r:id="rId1195" display="https://www.facebook.com/business/ads-guide/image/facebook-feed"/>
    <hyperlink ref="D569" r:id="rId1196" display="http://www.facebook.com/"/>
    <hyperlink ref="F569" r:id="rId1197" display="http://www.facebook.com/"/>
    <hyperlink ref="W569" r:id="rId1198" display="https://www.facebook.com/business/ads-guide/image/facebook-feed"/>
    <hyperlink ref="D570" r:id="rId1199" display="http://www.facebook.com/"/>
    <hyperlink ref="F570" r:id="rId1200" display="http://www.facebook.com/"/>
    <hyperlink ref="W570" r:id="rId1201" display="https://www.facebook.com/business/ads-guide/image/facebook-feed"/>
    <hyperlink ref="D571" r:id="rId1202" display="http://www.facebook.com/"/>
    <hyperlink ref="F571" r:id="rId1203" display="http://www.facebook.com/"/>
    <hyperlink ref="W571" r:id="rId1204" display="https://www.facebook.com/business/ads-guide/image/facebook-feed"/>
    <hyperlink ref="D572" r:id="rId1205" display="http://www.facebook.com/"/>
    <hyperlink ref="F572" r:id="rId1206" display="http://www.facebook.com/"/>
    <hyperlink ref="W572" r:id="rId1207" display="https://www.facebook.com/business/ads-guide/image/facebook-feed"/>
    <hyperlink ref="D573" r:id="rId1208" display="http://www.facebook.com/"/>
    <hyperlink ref="F573" r:id="rId1209" display="http://www.facebook.com/"/>
    <hyperlink ref="W573" r:id="rId1210" display="https://www.facebook.com/business/ads-guide/image/facebook-feed"/>
    <hyperlink ref="D574" r:id="rId1211" display="http://www.facebook.com/"/>
    <hyperlink ref="F574" r:id="rId1212" display="http://www.facebook.com/"/>
    <hyperlink ref="W574" r:id="rId1213" display="https://www.facebook.com/business/ads-guide/image/facebook-feed"/>
    <hyperlink ref="D575" r:id="rId1214" display="http://www.facebook.com/"/>
    <hyperlink ref="F575" r:id="rId1215" display="http://www.facebook.com/"/>
    <hyperlink ref="W575" r:id="rId1216" display="https://www.facebook.com/business/ads-guide/image/facebook-feed"/>
    <hyperlink ref="D576" r:id="rId1217" display="http://www.facebook.com/"/>
    <hyperlink ref="F576" r:id="rId1218" display="http://www.facebook.com/"/>
    <hyperlink ref="W576" r:id="rId1219" display="https://www.facebook.com/business/ads-guide/image/facebook-feed"/>
    <hyperlink ref="D577" r:id="rId1220" display="https://finexpert.cz/"/>
    <hyperlink ref="F577" r:id="rId1221" display="https://finexpert.cz/"/>
    <hyperlink ref="D578" r:id="rId1222" display="https://finexpert.cz/"/>
    <hyperlink ref="F578" r:id="rId1223" display="https://finexpert.cz/"/>
    <hyperlink ref="D579" r:id="rId1224" display="https://finexpert.cz/"/>
    <hyperlink ref="F579" r:id="rId1225" display="https://finexpert.cz/"/>
    <hyperlink ref="D580" r:id="rId1226" display="https://finexpert.cz/"/>
    <hyperlink ref="F580" r:id="rId1227" display="https://finexpert.cz/"/>
    <hyperlink ref="W580" r:id="rId1228" display="https://reklama.cncenter.cz/?ads=PR%2520%25C4%258Dl%25C3%25A1nky"/>
    <hyperlink ref="D581" r:id="rId1229" display="https://finexpert.cz/"/>
    <hyperlink ref="F581" r:id="rId1230" display="https://finexpert.cz/"/>
    <hyperlink ref="D582" r:id="rId1231" display="https://finexpert.cz/"/>
    <hyperlink ref="F582" r:id="rId1232" display="https://finexpert.cz/"/>
    <hyperlink ref="D583" r:id="rId1233" display="https://finexpert.cz/"/>
    <hyperlink ref="F583" r:id="rId1234" display="https://finexpert.cz/"/>
    <hyperlink ref="D584" r:id="rId1235" display="https://fitweb.cz/"/>
    <hyperlink ref="F584" r:id="rId1236" display="https://fitweb.cz/"/>
    <hyperlink ref="W584" r:id="rId1237" display="https://reklama.cncenter.cz/Online/billboard-bottom"/>
    <hyperlink ref="D585" r:id="rId1238" display="https://fitweb.cz/"/>
    <hyperlink ref="F585" r:id="rId1239" display="https://fitweb.cz/"/>
    <hyperlink ref="W585" r:id="rId1240" display="https://reklama.cncenter.cz/Online/branding-cross-device"/>
    <hyperlink ref="D586" r:id="rId1241" display="https://fitweb.cz/"/>
    <hyperlink ref="F586" r:id="rId1242" display="https://fitweb.cz/"/>
    <hyperlink ref="W586" r:id="rId1243" display="https://reklama.cncenter.cz/Online/branding"/>
    <hyperlink ref="D587" r:id="rId1244" display="https://fitweb.cz/"/>
    <hyperlink ref="F587" r:id="rId1245" display="https://fitweb.cz/"/>
    <hyperlink ref="W587" r:id="rId1246" display="https://reklama.cncenter.cz/Online/billboard-bottom"/>
    <hyperlink ref="D588" r:id="rId1247" display="https://fitweb.cz/"/>
    <hyperlink ref="F588" r:id="rId1248" display="https://fitweb.cz/"/>
    <hyperlink ref="W588" r:id="rId1249" display="https://reklama.cncenter.cz/Online/branding-cross-device"/>
    <hyperlink ref="D589" r:id="rId1250" display="https://fitweb.cz/"/>
    <hyperlink ref="F589" r:id="rId1251" display="https://fitweb.cz/"/>
    <hyperlink ref="W589" r:id="rId1252" display="https://reklama.cncenter.cz/Online/branding"/>
    <hyperlink ref="D590" r:id="rId1253" display="https://fitweb.cz/"/>
    <hyperlink ref="F590" r:id="rId1254" display="https://fitweb.cz/"/>
    <hyperlink ref="W590" r:id="rId1255" display="https://reklama.cncenter.cz/Online/double-skyscraper"/>
    <hyperlink ref="D591" r:id="rId1256" display="https://fitweb.cz/"/>
    <hyperlink ref="F591" r:id="rId1257" display="https://fitweb.cz/"/>
    <hyperlink ref="W591" r:id="rId1258" display="https://reklama.cncenter.cz/Online/mobilni-interscroller"/>
    <hyperlink ref="D592" r:id="rId1259" display="https://fitweb.cz/"/>
    <hyperlink ref="F592" r:id="rId1260" display="https://fitweb.cz/"/>
    <hyperlink ref="W592" r:id="rId1261" display="https://reklama.cncenter.cz/Online/mobilni-slide-up"/>
    <hyperlink ref="D593" r:id="rId1262" display="https://fitweb.cz/"/>
    <hyperlink ref="F593" r:id="rId1263" display="https://fitweb.cz/"/>
    <hyperlink ref="W593" r:id="rId1264" display="https://reklama.cncenter.cz/Online/mobilni-vineta"/>
    <hyperlink ref="D594" r:id="rId1265" display="https://fitweb.cz/"/>
    <hyperlink ref="F594" r:id="rId1266" display="https://fitweb.cz/"/>
    <hyperlink ref="W594" r:id="rId1267" display="https://reklama.cncenter.cz/Online/nativni-rectangle-cross-device"/>
    <hyperlink ref="D595" r:id="rId1268" display="https://fitweb.cz/"/>
    <hyperlink ref="F595" r:id="rId1269" display="https://fitweb.cz/"/>
    <hyperlink ref="W595" r:id="rId1270" display="https://reklama.cncenter.cz/Online/Outstream"/>
    <hyperlink ref="D596" r:id="rId1271" display="https://fitweb.cz/"/>
    <hyperlink ref="F596" r:id="rId1272" display="https://fitweb.cz/"/>
    <hyperlink ref="W596" r:id="rId1273" display="https://reklama.cncenter.cz/Online/double-skyscraper"/>
    <hyperlink ref="D597" r:id="rId1274" display="https://fitweb.cz/"/>
    <hyperlink ref="F597" r:id="rId1275" display="https://fitweb.cz/"/>
    <hyperlink ref="W597" r:id="rId1276" display="https://reklama.cncenter.cz/Online/mobilni-interscroller"/>
    <hyperlink ref="D598" r:id="rId1277" display="https://fitweb.cz/"/>
    <hyperlink ref="F598" r:id="rId1278" display="https://fitweb.cz/"/>
    <hyperlink ref="W598" r:id="rId1279" display="https://reklama.cncenter.cz/Online/mobilni-slide-up"/>
    <hyperlink ref="D599" r:id="rId1280" display="https://fitweb.cz/"/>
    <hyperlink ref="F599" r:id="rId1281" display="https://fitweb.cz/"/>
    <hyperlink ref="W599" r:id="rId1282" display="https://reklama.cncenter.cz/Online/mobilni-vineta"/>
    <hyperlink ref="D600" r:id="rId1283" display="https://fitweb.cz/"/>
    <hyperlink ref="F600" r:id="rId1284" display="https://fitweb.cz/"/>
    <hyperlink ref="W600" r:id="rId1285" display="https://reklama.cncenter.cz/Online/nativni-rectangle-cross-device"/>
    <hyperlink ref="D601" r:id="rId1286" display="https://fitweb.cz/"/>
    <hyperlink ref="F601" r:id="rId1287" display="https://fitweb.cz/"/>
    <hyperlink ref="W601" r:id="rId1288" display="https://reklama.cncenter.cz/Online/Outstream"/>
    <hyperlink ref="D602" r:id="rId1289" display="https://heyfomo.cz/"/>
    <hyperlink ref="F602" r:id="rId1290" display="https://heyfomo.cz/"/>
    <hyperlink ref="D603" r:id="rId1291" display="https://heyfomo.cz/"/>
    <hyperlink ref="F603" r:id="rId1292" display="https://heyfomo.cz/"/>
    <hyperlink ref="D604" r:id="rId1293" display="https://heyfomo.cz/"/>
    <hyperlink ref="F604" r:id="rId1294" display="https://heyfomo.cz/"/>
    <hyperlink ref="D605" r:id="rId1295" display="https://heyfomo.cz/"/>
    <hyperlink ref="F605" r:id="rId1296" display="https://heyfomo.cz/"/>
    <hyperlink ref="W605" r:id="rId1297" display="https://reklama.cncenter.cz/?ads=PR%2520%25C4%258Dl%25C3%25A1nky"/>
    <hyperlink ref="D606" r:id="rId1298" display="https://heyfomo.cz/"/>
    <hyperlink ref="F606" r:id="rId1299" display="https://heyfomo.cz/"/>
    <hyperlink ref="D607" r:id="rId1300" display="https://heyfomo.cz/"/>
    <hyperlink ref="F607" r:id="rId1301" display="https://heyfomo.cz/"/>
    <hyperlink ref="D608" r:id="rId1302" display="https://heyfomo.cz/"/>
    <hyperlink ref="F608" r:id="rId1303" display="https://heyfomo.cz/"/>
    <hyperlink ref="D609" r:id="rId1304" display="https://frekvence1.cz/"/>
    <hyperlink ref="F609" r:id="rId1305" display="https://frekvence1.cz/"/>
    <hyperlink ref="W609" r:id="rId1306" display="https://reklama.cncenter.cz/Online/branding-cross-device"/>
    <hyperlink ref="D610" r:id="rId1307" display="https://frekvence1.cz/"/>
    <hyperlink ref="F610" r:id="rId1308" display="https://frekvence1.cz/"/>
    <hyperlink ref="W610" r:id="rId1309" display="https://reklama.cncenter.cz/Online/branding"/>
    <hyperlink ref="D611" r:id="rId1310" display="https://frekvence1.cz/"/>
    <hyperlink ref="F611" r:id="rId1311" display="https://frekvence1.cz/"/>
    <hyperlink ref="W611" r:id="rId1312" display="https://reklama.cncenter.cz/Online/branding-cross-device"/>
    <hyperlink ref="D612" r:id="rId1313" display="https://frekvence1.cz/"/>
    <hyperlink ref="F612" r:id="rId1314" display="https://frekvence1.cz/"/>
    <hyperlink ref="W612" r:id="rId1315" display="https://reklama.cncenter.cz/Online/branding"/>
    <hyperlink ref="D613" r:id="rId1316" display="https://frekvence1.cz/"/>
    <hyperlink ref="F613" r:id="rId1317" display="https://frekvence1.cz/"/>
    <hyperlink ref="W613" r:id="rId1318" display="https://reklama.cncenter.cz/Online/double-skyscraper"/>
    <hyperlink ref="D614" r:id="rId1319" display="https://frekvence1.cz/"/>
    <hyperlink ref="F614" r:id="rId1320" display="https://frekvence1.cz/"/>
    <hyperlink ref="W614" r:id="rId1321" display="https://reklama.cncenter.cz/Online/mobilni-interscroller"/>
    <hyperlink ref="D615" r:id="rId1322" display="https://frekvence1.cz/"/>
    <hyperlink ref="F615" r:id="rId1323" display="https://frekvence1.cz/"/>
    <hyperlink ref="W615" r:id="rId1324" display="https://reklama.cncenter.cz/Online/mobilni-slide-up"/>
    <hyperlink ref="D616" r:id="rId1325" display="https://frekvence1.cz/"/>
    <hyperlink ref="F616" r:id="rId1326" display="https://frekvence1.cz/"/>
    <hyperlink ref="W616" r:id="rId1327" display="https://reklama.cncenter.cz/Online/mobilni-vineta"/>
    <hyperlink ref="D617" r:id="rId1328" display="https://frekvence1.cz/"/>
    <hyperlink ref="F617" r:id="rId1329" display="https://frekvence1.cz/"/>
    <hyperlink ref="W617" r:id="rId1330" display="https://reklama.cncenter.cz/Online/nativni-rectangle-cross-device"/>
    <hyperlink ref="D618" r:id="rId1331" display="https://frekvence1.cz/"/>
    <hyperlink ref="F618" r:id="rId1332" display="https://frekvence1.cz/"/>
    <hyperlink ref="W618" r:id="rId1333" display="https://reklama.cncenter.cz/Online/Bumper"/>
    <hyperlink ref="D619" r:id="rId1334" display="https://frekvence1.cz/"/>
    <hyperlink ref="F619" r:id="rId1335" display="https://frekvence1.cz/"/>
    <hyperlink ref="W619" r:id="rId1336" display="https://reklama.cncenter.cz/Online/double-skyscraper"/>
    <hyperlink ref="D620" r:id="rId1337" display="https://frekvence1.cz/"/>
    <hyperlink ref="F620" r:id="rId1338" display="https://frekvence1.cz/"/>
    <hyperlink ref="W620" r:id="rId1339" display="https://reklama.cncenter.cz/Online/mobilni-interscroller"/>
    <hyperlink ref="D621" r:id="rId1340" display="https://frekvence1.cz/"/>
    <hyperlink ref="F621" r:id="rId1341" display="https://frekvence1.cz/"/>
    <hyperlink ref="W621" r:id="rId1342" display="https://reklama.cncenter.cz/Online/mobilni-slide-up"/>
    <hyperlink ref="D622" r:id="rId1343" display="https://frekvence1.cz/"/>
    <hyperlink ref="F622" r:id="rId1344" display="https://frekvence1.cz/"/>
    <hyperlink ref="W622" r:id="rId1345" display="https://reklama.cncenter.cz/Online/mobilni-vineta"/>
    <hyperlink ref="D623" r:id="rId1346" display="https://frekvence1.cz/"/>
    <hyperlink ref="F623" r:id="rId1347" display="https://frekvence1.cz/"/>
    <hyperlink ref="W623" r:id="rId1348" display="https://reklama.cncenter.cz/Online/nativni-rectangle-cross-device"/>
    <hyperlink ref="D624" r:id="rId1349" display="https://frekvence1.cz/"/>
    <hyperlink ref="F624" r:id="rId1350" display="https://frekvence1.cz/"/>
    <hyperlink ref="W624" r:id="rId1351" display="https://reklama.cncenter.cz/Online/Bumper"/>
    <hyperlink ref="D625" r:id="rId1352" display="https://www.heureka.cz/"/>
    <hyperlink ref="F625" r:id="rId1353" display="https://www.heureka.cz/"/>
    <hyperlink ref="W625" r:id="rId1354" display="https://reklama.cncenter.cz/Online/heureka-wallpaper"/>
    <hyperlink ref="D626" r:id="rId1355" display="https://hledejceny.cz/"/>
    <hyperlink ref="F626" r:id="rId1356" display="https://hledejceny.cz/"/>
    <hyperlink ref="W626" r:id="rId1357" display="https://reklama.cncenter.cz/Online/billboard-bottom"/>
    <hyperlink ref="D627" r:id="rId1358" display="https://hledejceny.cz/"/>
    <hyperlink ref="F627" r:id="rId1359" display="https://hledejceny.cz/"/>
    <hyperlink ref="W627" r:id="rId1360" display="https://reklama.cncenter.cz/Online/branding-cross-device"/>
    <hyperlink ref="D628" r:id="rId1361" display="https://hledejceny.cz/"/>
    <hyperlink ref="F628" r:id="rId1362" display="https://hledejceny.cz/"/>
    <hyperlink ref="W628" r:id="rId1363" display="https://reklama.cncenter.cz/Online/branding"/>
    <hyperlink ref="D629" r:id="rId1364" display="https://hledejceny.cz/"/>
    <hyperlink ref="F629" r:id="rId1365" display="https://hledejceny.cz/"/>
    <hyperlink ref="W629" r:id="rId1366" display="https://reklama.cncenter.cz/Online/billboard-bottom"/>
    <hyperlink ref="D630" r:id="rId1367" display="https://hledejceny.cz/"/>
    <hyperlink ref="F630" r:id="rId1368" display="https://hledejceny.cz/"/>
    <hyperlink ref="W630" r:id="rId1369" display="https://reklama.cncenter.cz/Online/branding-cross-device"/>
    <hyperlink ref="D631" r:id="rId1370" display="https://hledejceny.cz/"/>
    <hyperlink ref="F631" r:id="rId1371" display="https://hledejceny.cz/"/>
    <hyperlink ref="W631" r:id="rId1372" display="https://reklama.cncenter.cz/Online/branding"/>
    <hyperlink ref="D632" r:id="rId1373" display="https://hledejceny.cz/"/>
    <hyperlink ref="F632" r:id="rId1374" display="https://hledejceny.cz/"/>
    <hyperlink ref="W632" r:id="rId1375" display="https://reklama.cncenter.cz/Online/double-skyscraper"/>
    <hyperlink ref="D633" r:id="rId1376" display="https://hledejceny.cz/"/>
    <hyperlink ref="F633" r:id="rId1377" display="https://hledejceny.cz/"/>
    <hyperlink ref="W633" r:id="rId1378" display="https://reklama.cncenter.cz/Online/double-skyscraper"/>
    <hyperlink ref="D634" r:id="rId1379" display="http://www.instagram.com/"/>
    <hyperlink ref="F634" r:id="rId1380" display="http://www.instagram.com/"/>
    <hyperlink ref="D635" r:id="rId1381" display="http://www.instagram.com/"/>
    <hyperlink ref="F635" r:id="rId1382" display="http://www.instagram.com/"/>
    <hyperlink ref="D636" r:id="rId1383" display="http://www.instagram.com/"/>
    <hyperlink ref="F636" r:id="rId1384" display="http://www.instagram.com/"/>
    <hyperlink ref="D637" r:id="rId1385" display="http://www.instagram.com/"/>
    <hyperlink ref="F637" r:id="rId1386" display="http://www.instagram.com/"/>
    <hyperlink ref="D638" r:id="rId1387" display="http://www.instagram.com/"/>
    <hyperlink ref="F638" r:id="rId1388" display="http://www.instagram.com/"/>
    <hyperlink ref="D639" r:id="rId1389" display="http://www.instagram.com/"/>
    <hyperlink ref="F639" r:id="rId1390" display="http://www.instagram.com/"/>
    <hyperlink ref="D640" r:id="rId1391" display="http://www.instagram.com/"/>
    <hyperlink ref="F640" r:id="rId1392" display="http://www.instagram.com/"/>
    <hyperlink ref="D641" r:id="rId1393" display="http://www.instagram.com/"/>
    <hyperlink ref="F641" r:id="rId1394" display="http://www.instagram.com/"/>
    <hyperlink ref="D642" r:id="rId1395" display="http://www.instagram.com/"/>
    <hyperlink ref="F642" r:id="rId1396" display="http://www.instagram.com/"/>
    <hyperlink ref="D643" r:id="rId1397" display="http://www.instagram.com/"/>
    <hyperlink ref="F643" r:id="rId1398" display="http://www.instagram.com/"/>
    <hyperlink ref="D644" r:id="rId1399" display="http://www.instagram.com/"/>
    <hyperlink ref="F644" r:id="rId1400" display="http://www.instagram.com/"/>
    <hyperlink ref="D645" r:id="rId1401" display="http://www.instagram.com/"/>
    <hyperlink ref="F645" r:id="rId1402" display="http://www.instagram.com/"/>
    <hyperlink ref="D646" r:id="rId1403" display="http://www.instagram.com/"/>
    <hyperlink ref="F646" r:id="rId1404" display="http://www.instagram.com/"/>
    <hyperlink ref="D647" r:id="rId1405" display="http://www.instagram.com/"/>
    <hyperlink ref="F647" r:id="rId1406" display="http://www.instagram.com/"/>
    <hyperlink ref="D648" r:id="rId1407" display="http://www.instagram.com/"/>
    <hyperlink ref="F648" r:id="rId1408" display="http://www.instagram.com/"/>
    <hyperlink ref="D649" r:id="rId1409" display="http://www.instagram.com/"/>
    <hyperlink ref="F649" r:id="rId1410" display="http://www.instagram.com/"/>
    <hyperlink ref="D650" r:id="rId1411" display="http://www.instagram.com/"/>
    <hyperlink ref="F650" r:id="rId1412" display="http://www.instagram.com/"/>
    <hyperlink ref="D651" r:id="rId1413" display="http://www.instagram.com/"/>
    <hyperlink ref="F651" r:id="rId1414" display="http://www.instagram.com/"/>
    <hyperlink ref="D652" r:id="rId1415" display="http://www.instagram.com/"/>
    <hyperlink ref="F652" r:id="rId1416" display="http://www.instagram.com/"/>
    <hyperlink ref="D653" r:id="rId1417" display="http://www.instagram.com/"/>
    <hyperlink ref="F653" r:id="rId1418" display="http://www.instagram.com/"/>
    <hyperlink ref="D654" r:id="rId1419" display="http://www.instagram.com/"/>
    <hyperlink ref="F654" r:id="rId1420" display="http://www.instagram.com/"/>
    <hyperlink ref="D655" r:id="rId1421" display="http://www.instagram.com/"/>
    <hyperlink ref="F655" r:id="rId1422" display="http://www.instagram.com/"/>
    <hyperlink ref="D656" r:id="rId1423" display="http://www.instagram.com/"/>
    <hyperlink ref="F656" r:id="rId1424" display="http://www.instagram.com/"/>
    <hyperlink ref="D657" r:id="rId1425" display="http://www.instagram.com/"/>
    <hyperlink ref="F657" r:id="rId1426" display="http://www.instagram.com/"/>
    <hyperlink ref="D658" r:id="rId1427" display="http://www.instagram.com/"/>
    <hyperlink ref="F658" r:id="rId1428" display="http://www.instagram.com/"/>
    <hyperlink ref="D659" r:id="rId1429" display="http://www.instagram.com/"/>
    <hyperlink ref="F659" r:id="rId1430" display="http://www.instagram.com/"/>
    <hyperlink ref="D660" r:id="rId1431" display="http://www.instagram.com/"/>
    <hyperlink ref="F660" r:id="rId1432" display="http://www.instagram.com/"/>
    <hyperlink ref="D661" r:id="rId1433" display="http://www.instagram.com/"/>
    <hyperlink ref="F661" r:id="rId1434" display="http://www.instagram.com/"/>
    <hyperlink ref="D662" r:id="rId1435" display="http://www.instagram.com/"/>
    <hyperlink ref="F662" r:id="rId1436" display="http://www.instagram.com/"/>
    <hyperlink ref="D663" r:id="rId1437" display="http://www.instagram.com/"/>
    <hyperlink ref="F663" r:id="rId1438" display="http://www.instagram.com/"/>
    <hyperlink ref="D664" r:id="rId1439" display="http://www.instagram.com/"/>
    <hyperlink ref="F664" r:id="rId1440" display="http://www.instagram.com/"/>
    <hyperlink ref="D665" r:id="rId1441" display="http://www.instagram.com/"/>
    <hyperlink ref="F665" r:id="rId1442" display="http://www.instagram.com/"/>
    <hyperlink ref="D666" r:id="rId1443" display="http://www.instagram.com/"/>
    <hyperlink ref="F666" r:id="rId1444" display="http://www.instagram.com/"/>
    <hyperlink ref="D667" r:id="rId1445" display="http://www.instagram.com/"/>
    <hyperlink ref="F667" r:id="rId1446" display="http://www.instagram.com/"/>
    <hyperlink ref="D668" r:id="rId1447" display="http://www.instagram.com/"/>
    <hyperlink ref="F668" r:id="rId1448" display="http://www.instagram.com/"/>
    <hyperlink ref="D669" r:id="rId1449" display="http://www.instagram.com/"/>
    <hyperlink ref="F669" r:id="rId1450" display="http://www.instagram.com/"/>
    <hyperlink ref="D670" r:id="rId1451" display="http://www.instagram.com/"/>
    <hyperlink ref="F670" r:id="rId1452" display="http://www.instagram.com/"/>
    <hyperlink ref="D671" r:id="rId1453" display="http://www.instagram.com/"/>
    <hyperlink ref="F671" r:id="rId1454" display="http://www.instagram.com/"/>
    <hyperlink ref="D672" r:id="rId1455" display="http://www.instagram.com/"/>
    <hyperlink ref="F672" r:id="rId1456" display="http://www.instagram.com/"/>
    <hyperlink ref="D673" r:id="rId1457" display="http://www.instagram.com/"/>
    <hyperlink ref="F673" r:id="rId1458" display="http://www.instagram.com/"/>
    <hyperlink ref="D674" r:id="rId1459" display="http://www.instagram.com/"/>
    <hyperlink ref="F674" r:id="rId1460" display="http://www.instagram.com/"/>
    <hyperlink ref="D675" r:id="rId1461" display="http://www.instagram.com/"/>
    <hyperlink ref="F675" r:id="rId1462" display="http://www.instagram.com/"/>
    <hyperlink ref="D676" r:id="rId1463" display="http://www.instagram.com/"/>
    <hyperlink ref="F676" r:id="rId1464" display="http://www.instagram.com/"/>
    <hyperlink ref="W678" r:id="rId1465" display="https://reklama.cncenter.cz/Online/billboard-bottom"/>
    <hyperlink ref="W679" r:id="rId1466" display="https://reklama.cncenter.cz/Online/branding-cross-device"/>
    <hyperlink ref="W680" r:id="rId1467" display="https://reklama.cncenter.cz/Online/branding"/>
    <hyperlink ref="W681" r:id="rId1468" display="https://reklama.cncenter.cz/Online/billboard-bottom"/>
    <hyperlink ref="W682" r:id="rId1469" display="https://reklama.cncenter.cz/Online/branding-cross-device"/>
    <hyperlink ref="W683" r:id="rId1470" display="https://reklama.cncenter.cz/Online/branding"/>
    <hyperlink ref="W684" r:id="rId1471" display="https://reklama.cncenter.cz/Online/double-skyscraper"/>
    <hyperlink ref="W685" r:id="rId1472" display="https://reklama.cncenter.cz/Online/Videospot"/>
    <hyperlink ref="W686" r:id="rId1473" display="https://reklama.cncenter.cz/Online/mobilni-interscroller"/>
    <hyperlink ref="W687" r:id="rId1474" display="https://reklama.cncenter.cz/Online/mobilni-slide-up"/>
    <hyperlink ref="W688" r:id="rId1475" display="https://reklama.cncenter.cz/Online/mobilni-vineta"/>
    <hyperlink ref="W689" r:id="rId1476" display="https://reklama.cncenter.cz/Online/nativni-rectangle-cross-device"/>
    <hyperlink ref="W690" r:id="rId1477" display="https://reklama.cncenter.cz/Online/Outstream"/>
    <hyperlink ref="W691" r:id="rId1478" display="https://reklama.cncenter.cz/Online/Bumper"/>
    <hyperlink ref="W693" r:id="rId1479" display="https://reklama.cncenter.cz/Online/double-skyscraper"/>
    <hyperlink ref="W694" r:id="rId1480" display="https://reklama.cncenter.cz/Online/Videospot"/>
    <hyperlink ref="W695" r:id="rId1481" display="https://reklama.cncenter.cz/Online/mobilni-interscroller"/>
    <hyperlink ref="W696" r:id="rId1482" display="https://reklama.cncenter.cz/Online/mobilni-slide-up"/>
    <hyperlink ref="W697" r:id="rId1483" display="https://reklama.cncenter.cz/Online/mobilni-vineta"/>
    <hyperlink ref="W699" r:id="rId1484" display="https://reklama.cncenter.cz/Online/nativni-rectangle-cross-device"/>
    <hyperlink ref="W700" r:id="rId1485" display="https://reklama.cncenter.cz/Online/Outstream"/>
    <hyperlink ref="W701" r:id="rId1486" display="https://reklama.cncenter.cz/?ads=PR%2520%25C4%258Dl%25C3%25A1nky"/>
    <hyperlink ref="W705" r:id="rId1487" display="https://reklama.cncenter.cz/Online/Bumper"/>
    <hyperlink ref="D706" r:id="rId1488" display="https://lideazeme.cz/"/>
    <hyperlink ref="F706" r:id="rId1489" display="https://lideazeme.cz/"/>
    <hyperlink ref="D707" r:id="rId1490" display="https://lideazeme.cz/"/>
    <hyperlink ref="F707" r:id="rId1491" display="https://lideazeme.cz/"/>
    <hyperlink ref="W707" r:id="rId1492" display="https://reklama.cncenter.cz/Online/billboard-bottom"/>
    <hyperlink ref="D708" r:id="rId1493" display="https://lideazeme.cz/"/>
    <hyperlink ref="F708" r:id="rId1494" display="https://lideazeme.cz/"/>
    <hyperlink ref="W708" r:id="rId1495" display="https://reklama.cncenter.cz/Online/branding-cross-device"/>
    <hyperlink ref="D709" r:id="rId1496" display="https://lideazeme.cz/"/>
    <hyperlink ref="F709" r:id="rId1497" display="https://lideazeme.cz/"/>
    <hyperlink ref="W709" r:id="rId1498" display="https://reklama.cncenter.cz/Online/branding"/>
    <hyperlink ref="D710" r:id="rId1499" display="https://lideazeme.cz/"/>
    <hyperlink ref="F710" r:id="rId1500" display="https://lideazeme.cz/"/>
    <hyperlink ref="W710" r:id="rId1501" display="https://reklama.cncenter.cz/Online/billboard-bottom"/>
    <hyperlink ref="D711" r:id="rId1502" display="https://lideazeme.cz/"/>
    <hyperlink ref="F711" r:id="rId1503" display="https://lideazeme.cz/"/>
    <hyperlink ref="W711" r:id="rId1504" display="https://reklama.cncenter.cz/Online/branding-cross-device"/>
    <hyperlink ref="D712" r:id="rId1505" display="https://lideazeme.cz/"/>
    <hyperlink ref="F712" r:id="rId1506" display="https://lideazeme.cz/"/>
    <hyperlink ref="W712" r:id="rId1507" display="https://reklama.cncenter.cz/Online/branding"/>
    <hyperlink ref="D713" r:id="rId1508" display="https://lideazeme.cz/"/>
    <hyperlink ref="F713" r:id="rId1509" display="https://lideazeme.cz/"/>
    <hyperlink ref="W713" r:id="rId1510" display="https://reklama.cncenter.cz/Online/double-skyscraper"/>
    <hyperlink ref="D714" r:id="rId1511" display="https://lideazeme.cz/"/>
    <hyperlink ref="F714" r:id="rId1512" display="https://lideazeme.cz/"/>
    <hyperlink ref="W714" r:id="rId1513" display="https://reklama.cncenter.cz/Online/mobilni-interscroller"/>
    <hyperlink ref="D715" r:id="rId1514" display="https://lideazeme.cz/"/>
    <hyperlink ref="F715" r:id="rId1515" display="https://lideazeme.cz/"/>
    <hyperlink ref="W715" r:id="rId1516" display="https://reklama.cncenter.cz/Online/mobilni-slide-up"/>
    <hyperlink ref="D716" r:id="rId1517" display="https://lideazeme.cz/"/>
    <hyperlink ref="F716" r:id="rId1518" display="https://lideazeme.cz/"/>
    <hyperlink ref="W716" r:id="rId1519" display="https://reklama.cncenter.cz/Online/mobilni-vineta"/>
    <hyperlink ref="D717" r:id="rId1520" display="https://lideazeme.cz/"/>
    <hyperlink ref="F717" r:id="rId1521" display="https://lideazeme.cz/"/>
    <hyperlink ref="W717" r:id="rId1522" display="https://reklama.cncenter.cz/Online/nativni-rectangle-cross-device"/>
    <hyperlink ref="D718" r:id="rId1523" display="https://lideazeme.cz/"/>
    <hyperlink ref="F718" r:id="rId1524" display="https://lideazeme.cz/"/>
    <hyperlink ref="W718" r:id="rId1525" display="https://reklama.cncenter.cz/Online/Outstream"/>
    <hyperlink ref="D719" r:id="rId1526" display="https://lideazeme.cz/"/>
    <hyperlink ref="F719" r:id="rId1527" display="https://lideazeme.cz/"/>
    <hyperlink ref="D720" r:id="rId1528" display="https://lideazeme.cz/"/>
    <hyperlink ref="F720" r:id="rId1529" display="https://lideazeme.cz/"/>
    <hyperlink ref="W720" r:id="rId1530" display="https://reklama.cncenter.cz/Online/double-skyscraper"/>
    <hyperlink ref="D721" r:id="rId1531" display="https://lideazeme.cz/"/>
    <hyperlink ref="F721" r:id="rId1532" display="https://lideazeme.cz/"/>
    <hyperlink ref="W721" r:id="rId1533" display="https://reklama.cncenter.cz/Online/mobilni-interscroller"/>
    <hyperlink ref="D722" r:id="rId1534" display="https://lideazeme.cz/"/>
    <hyperlink ref="F722" r:id="rId1535" display="https://lideazeme.cz/"/>
    <hyperlink ref="W722" r:id="rId1536" display="https://reklama.cncenter.cz/Online/mobilni-slide-up"/>
    <hyperlink ref="D723" r:id="rId1537" display="https://lideazeme.cz/"/>
    <hyperlink ref="F723" r:id="rId1538" display="https://lideazeme.cz/"/>
    <hyperlink ref="W723" r:id="rId1539" display="https://reklama.cncenter.cz/Online/mobilni-vineta"/>
    <hyperlink ref="D724" r:id="rId1540" display="https://lideazeme.cz/"/>
    <hyperlink ref="F724" r:id="rId1541" display="https://lideazeme.cz/"/>
    <hyperlink ref="D725" r:id="rId1542" display="https://lideazeme.cz/"/>
    <hyperlink ref="F725" r:id="rId1543" display="https://lideazeme.cz/"/>
    <hyperlink ref="W725" r:id="rId1544" display="https://reklama.cncenter.cz/Online/nativni-rectangle-cross-device"/>
    <hyperlink ref="D726" r:id="rId1545" display="https://lideazeme.cz/"/>
    <hyperlink ref="F726" r:id="rId1546" display="https://lideazeme.cz/"/>
    <hyperlink ref="W726" r:id="rId1547" display="https://reklama.cncenter.cz/Online/Outstream"/>
    <hyperlink ref="D727" r:id="rId1548" display="https://lideazeme.cz/"/>
    <hyperlink ref="F727" r:id="rId1549" display="https://lideazeme.cz/"/>
    <hyperlink ref="W727" r:id="rId1550" display="https://reklama.cncenter.cz/?ads=PR%2520%25C4%258Dl%25C3%25A1nky"/>
    <hyperlink ref="D728" r:id="rId1551" display="https://lideazeme.cz/"/>
    <hyperlink ref="F728" r:id="rId1552" display="https://lideazeme.cz/"/>
    <hyperlink ref="D729" r:id="rId1553" display="https://lideazeme.cz/"/>
    <hyperlink ref="F729" r:id="rId1554" display="https://lideazeme.cz/"/>
    <hyperlink ref="D730" r:id="rId1555" display="https://lideazeme.cz/"/>
    <hyperlink ref="F730" r:id="rId1556" display="https://lideazeme.cz/"/>
    <hyperlink ref="D731" r:id="rId1557" display="https://maminka.cz/"/>
    <hyperlink ref="F731" r:id="rId1558" display="https://maminka.cz/"/>
    <hyperlink ref="D732" r:id="rId1559" display="https://maminka.cz/"/>
    <hyperlink ref="F732" r:id="rId1560" display="https://maminka.cz/"/>
    <hyperlink ref="W732" r:id="rId1561" display="https://reklama.cncenter.cz/Online/billboard-bottom"/>
    <hyperlink ref="D733" r:id="rId1562" display="https://maminka.cz/"/>
    <hyperlink ref="F733" r:id="rId1563" display="https://maminka.cz/"/>
    <hyperlink ref="W733" r:id="rId1564" display="https://reklama.cncenter.cz/Online/branding-cross-device"/>
    <hyperlink ref="D734" r:id="rId1565" display="https://maminka.cz/"/>
    <hyperlink ref="F734" r:id="rId1566" display="https://maminka.cz/"/>
    <hyperlink ref="W734" r:id="rId1567" display="https://reklama.cncenter.cz/Online/branding"/>
    <hyperlink ref="D735" r:id="rId1568" display="https://maminka.cz/"/>
    <hyperlink ref="F735" r:id="rId1569" display="https://maminka.cz/"/>
    <hyperlink ref="W735" r:id="rId1570" display="https://reklama.cncenter.cz/Online/billboard-bottom"/>
    <hyperlink ref="D736" r:id="rId1571" display="https://maminka.cz/"/>
    <hyperlink ref="F736" r:id="rId1572" display="https://maminka.cz/"/>
    <hyperlink ref="W736" r:id="rId1573" display="https://reklama.cncenter.cz/Online/branding-cross-device"/>
    <hyperlink ref="D737" r:id="rId1574" display="https://maminka.cz/"/>
    <hyperlink ref="F737" r:id="rId1575" display="https://maminka.cz/"/>
    <hyperlink ref="W737" r:id="rId1576" display="https://reklama.cncenter.cz/Online/branding"/>
    <hyperlink ref="D738" r:id="rId1577" display="https://maminka.cz/"/>
    <hyperlink ref="F738" r:id="rId1578" display="https://maminka.cz/"/>
    <hyperlink ref="W738" r:id="rId1579" display="https://reklama.cncenter.cz/Online/double-skyscraper"/>
    <hyperlink ref="D739" r:id="rId1580" display="https://maminka.cz/"/>
    <hyperlink ref="F739" r:id="rId1581" display="https://maminka.cz/"/>
    <hyperlink ref="W739" r:id="rId1582" display="https://reklama.cncenter.cz/Online/Videospot"/>
    <hyperlink ref="D740" r:id="rId1583" display="https://maminka.cz/"/>
    <hyperlink ref="F740" r:id="rId1584" display="https://maminka.cz/"/>
    <hyperlink ref="W740" r:id="rId1585" display="https://reklama.cncenter.cz/Online/mobilni-interscroller"/>
    <hyperlink ref="D741" r:id="rId1586" display="https://maminka.cz/"/>
    <hyperlink ref="F741" r:id="rId1587" display="https://maminka.cz/"/>
    <hyperlink ref="W741" r:id="rId1588" display="https://reklama.cncenter.cz/Online/mobilni-slide-up"/>
    <hyperlink ref="D742" r:id="rId1589" display="https://maminka.cz/"/>
    <hyperlink ref="F742" r:id="rId1590" display="https://maminka.cz/"/>
    <hyperlink ref="W742" r:id="rId1591" display="https://reklama.cncenter.cz/Online/mobilni-vineta"/>
    <hyperlink ref="D743" r:id="rId1592" display="https://maminka.cz/"/>
    <hyperlink ref="F743" r:id="rId1593" display="https://maminka.cz/"/>
    <hyperlink ref="W743" r:id="rId1594" display="https://reklama.cncenter.cz/Online/nativni-PR-premium"/>
    <hyperlink ref="D744" r:id="rId1595" display="https://maminka.cz/"/>
    <hyperlink ref="F744" r:id="rId1596" display="https://maminka.cz/"/>
    <hyperlink ref="W744" r:id="rId1597" display="https://reklama.cncenter.cz/Online/nativni-rectangle-cross-device"/>
    <hyperlink ref="D745" r:id="rId1598" display="https://maminka.cz/"/>
    <hyperlink ref="F745" r:id="rId1599" display="https://maminka.cz/"/>
    <hyperlink ref="W745" r:id="rId1600" display="https://reklama.cncenter.cz/Online/Outstream"/>
    <hyperlink ref="D746" r:id="rId1601" display="https://maminka.cz/"/>
    <hyperlink ref="F746" r:id="rId1602" display="https://maminka.cz/"/>
    <hyperlink ref="W746" r:id="rId1603" display="https://reklama.cncenter.cz/Online/Bumper"/>
    <hyperlink ref="D747" r:id="rId1604" display="https://maminka.cz/"/>
    <hyperlink ref="F747" r:id="rId1605" display="https://maminka.cz/"/>
    <hyperlink ref="D748" r:id="rId1606" display="https://maminka.cz/"/>
    <hyperlink ref="F748" r:id="rId1607" display="https://maminka.cz/"/>
    <hyperlink ref="W748" r:id="rId1608" display="https://reklama.cncenter.cz/Online/double-skyscraper"/>
    <hyperlink ref="D749" r:id="rId1609" display="https://maminka.cz/"/>
    <hyperlink ref="F749" r:id="rId1610" display="https://maminka.cz/"/>
    <hyperlink ref="W749" r:id="rId1611" display="https://reklama.cncenter.cz/Online/Videospot"/>
    <hyperlink ref="D750" r:id="rId1612" display="https://maminka.cz/"/>
    <hyperlink ref="F750" r:id="rId1613" display="https://maminka.cz/"/>
    <hyperlink ref="W750" r:id="rId1614" display="https://reklama.cncenter.cz/Online/mobilni-interscroller"/>
    <hyperlink ref="D751" r:id="rId1615" display="https://maminka.cz/"/>
    <hyperlink ref="F751" r:id="rId1616" display="https://maminka.cz/"/>
    <hyperlink ref="W751" r:id="rId1617" display="https://reklama.cncenter.cz/Online/mobilni-slide-up"/>
    <hyperlink ref="D752" r:id="rId1618" display="https://maminka.cz/"/>
    <hyperlink ref="F752" r:id="rId1619" display="https://maminka.cz/"/>
    <hyperlink ref="W752" r:id="rId1620" display="https://reklama.cncenter.cz/Online/mobilni-vineta"/>
    <hyperlink ref="D753" r:id="rId1621" display="https://maminka.cz/"/>
    <hyperlink ref="F753" r:id="rId1622" display="https://maminka.cz/"/>
    <hyperlink ref="D754" r:id="rId1623" display="https://maminka.cz/"/>
    <hyperlink ref="F754" r:id="rId1624" display="https://maminka.cz/"/>
    <hyperlink ref="W754" r:id="rId1625" display="https://reklama.cncenter.cz/Online/nativni-PR-premium"/>
    <hyperlink ref="D755" r:id="rId1626" display="https://maminka.cz/"/>
    <hyperlink ref="F755" r:id="rId1627" display="https://maminka.cz/"/>
    <hyperlink ref="W755" r:id="rId1628" display="https://reklama.cncenter.cz/Online/nativni-rectangle-cross-device"/>
    <hyperlink ref="D756" r:id="rId1629" display="https://maminka.cz/"/>
    <hyperlink ref="F756" r:id="rId1630" display="https://maminka.cz/"/>
    <hyperlink ref="W756" r:id="rId1631" display="https://reklama.cncenter.cz/Online/Outstream"/>
    <hyperlink ref="D757" r:id="rId1632" display="https://maminka.cz/"/>
    <hyperlink ref="F757" r:id="rId1633" display="https://maminka.cz/"/>
    <hyperlink ref="W757" r:id="rId1634" display="https://reklama.cncenter.cz/?ads=PR%2520%25C4%258Dl%25C3%25A1nky"/>
    <hyperlink ref="D758" r:id="rId1635" display="https://maminka.cz/"/>
    <hyperlink ref="F758" r:id="rId1636" display="https://maminka.cz/"/>
    <hyperlink ref="D759" r:id="rId1637" display="https://maminka.cz/"/>
    <hyperlink ref="F759" r:id="rId1638" display="https://maminka.cz/"/>
    <hyperlink ref="D760" r:id="rId1639" display="https://maminka.cz/"/>
    <hyperlink ref="F760" r:id="rId1640" display="https://maminka.cz/"/>
    <hyperlink ref="D761" r:id="rId1641" display="https://maminka.cz/"/>
    <hyperlink ref="F761" r:id="rId1642" display="https://maminka.cz/"/>
    <hyperlink ref="W761" r:id="rId1643" display="https://reklama.cncenter.cz/Online/Bumper"/>
    <hyperlink ref="W763" r:id="rId1644" display="https://reklama.cncenter.cz/Online/billboard-bottom"/>
    <hyperlink ref="W764" r:id="rId1645" display="https://reklama.cncenter.cz/Online/branding-cross-device"/>
    <hyperlink ref="W765" r:id="rId1646" display="https://reklama.cncenter.cz/Online/branding"/>
    <hyperlink ref="W766" r:id="rId1647" display="https://reklama.cncenter.cz/Online/billboard-bottom"/>
    <hyperlink ref="W767" r:id="rId1648" display="https://reklama.cncenter.cz/Online/branding-cross-device"/>
    <hyperlink ref="W768" r:id="rId1649" display="https://reklama.cncenter.cz/Online/branding"/>
    <hyperlink ref="W769" r:id="rId1650" display="https://reklama.cncenter.cz/Online/double-skyscraper"/>
    <hyperlink ref="W770" r:id="rId1651" display="https://reklama.cncenter.cz/Online/mobilni-interscroller"/>
    <hyperlink ref="W771" r:id="rId1652" display="https://reklama.cncenter.cz/Online/mobilni-slide-up"/>
    <hyperlink ref="W772" r:id="rId1653" display="https://reklama.cncenter.cz/Online/mobilni-vineta"/>
    <hyperlink ref="W773" r:id="rId1654" display="https://reklama.cncenter.cz/Online/nativni-rectangle-cross-device"/>
    <hyperlink ref="W774" r:id="rId1655" display="https://reklama.cncenter.cz/Online/Outstream"/>
    <hyperlink ref="W775" r:id="rId1656" display="https://reklama.cncenter.cz/Online/Bumper"/>
    <hyperlink ref="W777" r:id="rId1657" display="https://reklama.cncenter.cz/Online/double-skyscraper"/>
    <hyperlink ref="W778" r:id="rId1658" display="https://reklama.cncenter.cz/Online/mobilni-interscroller"/>
    <hyperlink ref="W779" r:id="rId1659" display="https://reklama.cncenter.cz/Online/mobilni-slide-up"/>
    <hyperlink ref="W780" r:id="rId1660" display="https://reklama.cncenter.cz/Online/mobilni-vineta"/>
    <hyperlink ref="W782" r:id="rId1661" display="https://reklama.cncenter.cz/Online/nativni-rectangle-cross-device"/>
    <hyperlink ref="W783" r:id="rId1662" display="https://reklama.cncenter.cz/Online/Outstream"/>
    <hyperlink ref="W784" r:id="rId1663" display="https://reklama.cncenter.cz/?ads=PR%2520%25C4%258Dl%25C3%25A1nky"/>
    <hyperlink ref="W788" r:id="rId1664" display="https://reklama.cncenter.cz/Online/Bumper"/>
    <hyperlink ref="D789" r:id="rId1665" display="https://mobilmania.cz/"/>
    <hyperlink ref="F789" r:id="rId1666" display="https://mobilmania.cz/"/>
    <hyperlink ref="D790" r:id="rId1667" display="https://mobilmania.cz/"/>
    <hyperlink ref="F790" r:id="rId1668" display="https://mobilmania.cz/"/>
    <hyperlink ref="W790" r:id="rId1669" display="https://reklama.cncenter.cz/Online/billboard-bottom"/>
    <hyperlink ref="D791" r:id="rId1670" display="https://mobilmania.cz/"/>
    <hyperlink ref="F791" r:id="rId1671" display="https://mobilmania.cz/"/>
    <hyperlink ref="W791" r:id="rId1672" display="https://reklama.cncenter.cz/Online/branding-cross-device"/>
    <hyperlink ref="D792" r:id="rId1673" display="https://mobilmania.cz/"/>
    <hyperlink ref="F792" r:id="rId1674" display="https://mobilmania.cz/"/>
    <hyperlink ref="W792" r:id="rId1675" display="https://reklama.cncenter.cz/Online/branding"/>
    <hyperlink ref="D793" r:id="rId1676" display="https://mobilmania.cz/"/>
    <hyperlink ref="F793" r:id="rId1677" display="https://mobilmania.cz/"/>
    <hyperlink ref="W793" r:id="rId1678" display="https://reklama.cncenter.cz/Online/billboard-bottom"/>
    <hyperlink ref="D794" r:id="rId1679" display="https://mobilmania.cz/"/>
    <hyperlink ref="F794" r:id="rId1680" display="https://mobilmania.cz/"/>
    <hyperlink ref="W794" r:id="rId1681" display="https://reklama.cncenter.cz/Online/branding-cross-device"/>
    <hyperlink ref="D795" r:id="rId1682" display="https://mobilmania.cz/"/>
    <hyperlink ref="F795" r:id="rId1683" display="https://mobilmania.cz/"/>
    <hyperlink ref="W795" r:id="rId1684" display="https://reklama.cncenter.cz/Online/branding"/>
    <hyperlink ref="D796" r:id="rId1685" display="https://mobilmania.cz/"/>
    <hyperlink ref="F796" r:id="rId1686" display="https://mobilmania.cz/"/>
    <hyperlink ref="W796" r:id="rId1687" display="https://reklama.cncenter.cz/Online/double-skyscraper"/>
    <hyperlink ref="D797" r:id="rId1688" display="https://mobilmania.cz/"/>
    <hyperlink ref="F797" r:id="rId1689" display="https://mobilmania.cz/"/>
    <hyperlink ref="W797" r:id="rId1690" display="https://reklama.cncenter.cz/Online/mobilni-interscroller"/>
    <hyperlink ref="D798" r:id="rId1691" display="https://mobilmania.cz/"/>
    <hyperlink ref="F798" r:id="rId1692" display="https://mobilmania.cz/"/>
    <hyperlink ref="W798" r:id="rId1693" display="https://reklama.cncenter.cz/Online/mobilni-slide-up"/>
    <hyperlink ref="D799" r:id="rId1694" display="https://mobilmania.cz/"/>
    <hyperlink ref="F799" r:id="rId1695" display="https://mobilmania.cz/"/>
    <hyperlink ref="W799" r:id="rId1696" display="https://reklama.cncenter.cz/Online/mobilni-vineta"/>
    <hyperlink ref="D800" r:id="rId1697" display="https://mobilmania.cz/"/>
    <hyperlink ref="F800" r:id="rId1698" display="https://mobilmania.cz/"/>
    <hyperlink ref="W800" r:id="rId1699" display="https://reklama.cncenter.cz/Online/nativni-PR-premium"/>
    <hyperlink ref="D801" r:id="rId1700" display="https://mobilmania.cz/"/>
    <hyperlink ref="F801" r:id="rId1701" display="https://mobilmania.cz/"/>
    <hyperlink ref="W801" r:id="rId1702" display="https://reklama.cncenter.cz/Online/nativni-rectangle-cross-device"/>
    <hyperlink ref="D802" r:id="rId1703" display="https://mobilmania.cz/"/>
    <hyperlink ref="F802" r:id="rId1704" display="https://mobilmania.cz/"/>
    <hyperlink ref="W802" r:id="rId1705" display="https://reklama.cncenter.cz/Online/Outstream"/>
    <hyperlink ref="D803" r:id="rId1706" display="https://mobilmania.cz/"/>
    <hyperlink ref="F803" r:id="rId1707" display="https://mobilmania.cz/"/>
    <hyperlink ref="W803" r:id="rId1708" display="https://reklama.cncenter.cz/Online/Bumper"/>
    <hyperlink ref="D804" r:id="rId1709" display="https://mobilmania.cz/"/>
    <hyperlink ref="F804" r:id="rId1710" display="https://mobilmania.cz/"/>
    <hyperlink ref="D805" r:id="rId1711" display="https://mobilmania.cz/"/>
    <hyperlink ref="F805" r:id="rId1712" display="https://mobilmania.cz/"/>
    <hyperlink ref="W805" r:id="rId1713" display="https://reklama.cncenter.cz/Online/double-skyscraper"/>
    <hyperlink ref="D806" r:id="rId1714" display="https://mobilmania.cz/"/>
    <hyperlink ref="F806" r:id="rId1715" display="https://mobilmania.cz/"/>
    <hyperlink ref="W806" r:id="rId1716" display="https://reklama.cncenter.cz/Online/mobilni-interscroller"/>
    <hyperlink ref="D807" r:id="rId1717" display="https://mobilmania.cz/"/>
    <hyperlink ref="F807" r:id="rId1718" display="https://mobilmania.cz/"/>
    <hyperlink ref="W807" r:id="rId1719" display="https://reklama.cncenter.cz/Online/mobilni-slide-up"/>
    <hyperlink ref="D808" r:id="rId1720" display="https://mobilmania.cz/"/>
    <hyperlink ref="F808" r:id="rId1721" display="https://mobilmania.cz/"/>
    <hyperlink ref="W808" r:id="rId1722" display="https://reklama.cncenter.cz/Online/mobilni-vineta"/>
    <hyperlink ref="D809" r:id="rId1723" display="https://mobilmania.cz/"/>
    <hyperlink ref="F809" r:id="rId1724" display="https://mobilmania.cz/"/>
    <hyperlink ref="D810" r:id="rId1725" display="https://mobilmania.cz/"/>
    <hyperlink ref="F810" r:id="rId1726" display="https://mobilmania.cz/"/>
    <hyperlink ref="W810" r:id="rId1727" display="https://reklama.cncenter.cz/Online/nativni-PR-premium"/>
    <hyperlink ref="D811" r:id="rId1728" display="https://mobilmania.cz/"/>
    <hyperlink ref="F811" r:id="rId1729" display="https://mobilmania.cz/"/>
    <hyperlink ref="W811" r:id="rId1730" display="https://reklama.cncenter.cz/Online/nativni-rectangle-cross-device"/>
    <hyperlink ref="D812" r:id="rId1731" display="https://mobilmania.cz/"/>
    <hyperlink ref="F812" r:id="rId1732" display="https://mobilmania.cz/"/>
    <hyperlink ref="W812" r:id="rId1733" display="https://reklama.cncenter.cz/Online/Outstream"/>
    <hyperlink ref="D813" r:id="rId1734" display="https://mobilmania.cz/"/>
    <hyperlink ref="F813" r:id="rId1735" display="https://mobilmania.cz/"/>
    <hyperlink ref="W813" r:id="rId1736" display="https://reklama.cncenter.cz/?ads=PR%2520%25C4%258Dl%25C3%25A1nky"/>
    <hyperlink ref="D814" r:id="rId1737" display="https://mobilmania.cz/"/>
    <hyperlink ref="F814" r:id="rId1738" display="https://mobilmania.cz/"/>
    <hyperlink ref="D815" r:id="rId1739" display="https://mobilmania.cz/"/>
    <hyperlink ref="F815" r:id="rId1740" display="https://mobilmania.cz/"/>
    <hyperlink ref="D816" r:id="rId1741" display="https://mobilmania.cz/"/>
    <hyperlink ref="F816" r:id="rId1742" display="https://mobilmania.cz/"/>
    <hyperlink ref="D817" r:id="rId1743" display="https://mobilmania.cz/"/>
    <hyperlink ref="F817" r:id="rId1744" display="https://mobilmania.cz/"/>
    <hyperlink ref="W817" r:id="rId1745" display="https://reklama.cncenter.cz/Online/Bumper"/>
    <hyperlink ref="D818" r:id="rId1746" display="https://mojezdravi.cz/"/>
    <hyperlink ref="F818" r:id="rId1747" display="https://mojezdravi.cz/"/>
    <hyperlink ref="D819" r:id="rId1748" display="https://mojezdravi.cz/"/>
    <hyperlink ref="F819" r:id="rId1749" display="https://mojezdravi.cz/"/>
    <hyperlink ref="W819" r:id="rId1750" display="https://reklama.cncenter.cz/Online/billboard-bottom"/>
    <hyperlink ref="D820" r:id="rId1751" display="https://mojezdravi.cz/"/>
    <hyperlink ref="F820" r:id="rId1752" display="https://mojezdravi.cz/"/>
    <hyperlink ref="W820" r:id="rId1753" display="https://reklama.cncenter.cz/Online/branding-cross-device"/>
    <hyperlink ref="D821" r:id="rId1754" display="https://mojezdravi.cz/"/>
    <hyperlink ref="F821" r:id="rId1755" display="https://mojezdravi.cz/"/>
    <hyperlink ref="W821" r:id="rId1756" display="https://reklama.cncenter.cz/Online/branding"/>
    <hyperlink ref="D822" r:id="rId1757" display="https://mojezdravi.cz/"/>
    <hyperlink ref="F822" r:id="rId1758" display="https://mojezdravi.cz/"/>
    <hyperlink ref="W822" r:id="rId1759" display="https://reklama.cncenter.cz/Online/billboard-bottom"/>
    <hyperlink ref="D823" r:id="rId1760" display="https://mojezdravi.cz/"/>
    <hyperlink ref="F823" r:id="rId1761" display="https://mojezdravi.cz/"/>
    <hyperlink ref="W823" r:id="rId1762" display="https://reklama.cncenter.cz/Online/branding-cross-device"/>
    <hyperlink ref="D824" r:id="rId1763" display="https://mojezdravi.cz/"/>
    <hyperlink ref="F824" r:id="rId1764" display="https://mojezdravi.cz/"/>
    <hyperlink ref="W824" r:id="rId1765" display="https://reklama.cncenter.cz/Online/branding"/>
    <hyperlink ref="D825" r:id="rId1766" display="https://mojezdravi.cz/"/>
    <hyperlink ref="F825" r:id="rId1767" display="https://mojezdravi.cz/"/>
    <hyperlink ref="W825" r:id="rId1768" display="https://reklama.cncenter.cz/Online/double-skyscraper"/>
    <hyperlink ref="D826" r:id="rId1769" display="https://mojezdravi.cz/"/>
    <hyperlink ref="F826" r:id="rId1770" display="https://mojezdravi.cz/"/>
    <hyperlink ref="W826" r:id="rId1771" display="https://reklama.cncenter.cz/Online/Videospot"/>
    <hyperlink ref="D827" r:id="rId1772" display="https://mojezdravi.cz/"/>
    <hyperlink ref="F827" r:id="rId1773" display="https://mojezdravi.cz/"/>
    <hyperlink ref="W827" r:id="rId1774" display="https://reklama.cncenter.cz/Online/mobilni-interscroller"/>
    <hyperlink ref="D828" r:id="rId1775" display="https://mojezdravi.cz/"/>
    <hyperlink ref="F828" r:id="rId1776" display="https://mojezdravi.cz/"/>
    <hyperlink ref="W828" r:id="rId1777" display="https://reklama.cncenter.cz/Online/mobilni-slide-up"/>
    <hyperlink ref="D829" r:id="rId1778" display="https://mojezdravi.cz/"/>
    <hyperlink ref="F829" r:id="rId1779" display="https://mojezdravi.cz/"/>
    <hyperlink ref="W829" r:id="rId1780" display="https://reklama.cncenter.cz/Online/mobilni-vineta"/>
    <hyperlink ref="D830" r:id="rId1781" display="https://mojezdravi.cz/"/>
    <hyperlink ref="F830" r:id="rId1782" display="https://mojezdravi.cz/"/>
    <hyperlink ref="W830" r:id="rId1783" display="https://reklama.cncenter.cz/Online/nativni-rectangle-cross-device"/>
    <hyperlink ref="D831" r:id="rId1784" display="https://mojezdravi.cz/"/>
    <hyperlink ref="F831" r:id="rId1785" display="https://mojezdravi.cz/"/>
    <hyperlink ref="W831" r:id="rId1786" display="https://reklama.cncenter.cz/Online/Outstream"/>
    <hyperlink ref="D832" r:id="rId1787" display="https://mojezdravi.cz/"/>
    <hyperlink ref="F832" r:id="rId1788" display="https://mojezdravi.cz/"/>
    <hyperlink ref="W832" r:id="rId1789" display="https://reklama.cncenter.cz/Online/Bumper"/>
    <hyperlink ref="D833" r:id="rId1790" display="https://mojezdravi.cz/"/>
    <hyperlink ref="F833" r:id="rId1791" display="https://mojezdravi.cz/"/>
    <hyperlink ref="D834" r:id="rId1792" display="https://mojezdravi.cz/"/>
    <hyperlink ref="F834" r:id="rId1793" display="https://mojezdravi.cz/"/>
    <hyperlink ref="W834" r:id="rId1794" display="https://reklama.cncenter.cz/Online/double-skyscraper"/>
    <hyperlink ref="D835" r:id="rId1795" display="https://mojezdravi.cz/"/>
    <hyperlink ref="F835" r:id="rId1796" display="https://mojezdravi.cz/"/>
    <hyperlink ref="W835" r:id="rId1797" display="https://reklama.cncenter.cz/Online/Videospot"/>
    <hyperlink ref="D836" r:id="rId1798" display="https://mojezdravi.cz/"/>
    <hyperlink ref="F836" r:id="rId1799" display="https://mojezdravi.cz/"/>
    <hyperlink ref="W836" r:id="rId1800" display="https://reklama.cncenter.cz/Online/mobilni-interscroller"/>
    <hyperlink ref="D837" r:id="rId1801" display="https://mojezdravi.cz/"/>
    <hyperlink ref="F837" r:id="rId1802" display="https://mojezdravi.cz/"/>
    <hyperlink ref="W837" r:id="rId1803" display="https://reklama.cncenter.cz/Online/mobilni-slide-up"/>
    <hyperlink ref="D838" r:id="rId1804" display="https://mojezdravi.cz/"/>
    <hyperlink ref="F838" r:id="rId1805" display="https://mojezdravi.cz/"/>
    <hyperlink ref="W838" r:id="rId1806" display="https://reklama.cncenter.cz/Online/mobilni-vineta"/>
    <hyperlink ref="D839" r:id="rId1807" display="https://mojezdravi.cz/"/>
    <hyperlink ref="F839" r:id="rId1808" display="https://mojezdravi.cz/"/>
    <hyperlink ref="D840" r:id="rId1809" display="https://mojezdravi.cz/"/>
    <hyperlink ref="F840" r:id="rId1810" display="https://mojezdravi.cz/"/>
    <hyperlink ref="W840" r:id="rId1811" display="https://reklama.cncenter.cz/Online/nativni-rectangle-cross-device"/>
    <hyperlink ref="D841" r:id="rId1812" display="https://mojezdravi.cz/"/>
    <hyperlink ref="F841" r:id="rId1813" display="https://mojezdravi.cz/"/>
    <hyperlink ref="W841" r:id="rId1814" display="https://reklama.cncenter.cz/Online/Outstream"/>
    <hyperlink ref="D842" r:id="rId1815" display="https://mojezdravi.cz/"/>
    <hyperlink ref="F842" r:id="rId1816" display="https://mojezdravi.cz/"/>
    <hyperlink ref="W842" r:id="rId1817" display="https://reklama.cncenter.cz/?ads=PR%2520%25C4%258Dl%25C3%25A1nky"/>
    <hyperlink ref="D843" r:id="rId1818" display="https://mojezdravi.cz/"/>
    <hyperlink ref="F843" r:id="rId1819" display="https://mojezdravi.cz/"/>
    <hyperlink ref="D844" r:id="rId1820" display="https://mojezdravi.cz/"/>
    <hyperlink ref="F844" r:id="rId1821" display="https://mojezdravi.cz/"/>
    <hyperlink ref="D845" r:id="rId1822" display="https://mojezdravi.cz/"/>
    <hyperlink ref="F845" r:id="rId1823" display="https://mojezdravi.cz/"/>
    <hyperlink ref="D846" r:id="rId1824" display="https://mojezdravi.cz/"/>
    <hyperlink ref="F846" r:id="rId1825" display="https://mojezdravi.cz/"/>
    <hyperlink ref="W846" r:id="rId1826" display="https://reklama.cncenter.cz/Online/Bumper"/>
    <hyperlink ref="D847" r:id="rId1827" display="https://motogpsport.cz/"/>
    <hyperlink ref="F847" r:id="rId1828" display="https://motogpsport.cz/"/>
    <hyperlink ref="D848" r:id="rId1829" display="https://motogpsport.cz/"/>
    <hyperlink ref="F848" r:id="rId1830" display="https://motogpsport.cz/"/>
    <hyperlink ref="W848" r:id="rId1831" display="https://reklama.cncenter.cz/Online/billboard-bottom"/>
    <hyperlink ref="D849" r:id="rId1832" display="https://motogpsport.cz/"/>
    <hyperlink ref="F849" r:id="rId1833" display="https://motogpsport.cz/"/>
    <hyperlink ref="W849" r:id="rId1834" display="https://reklama.cncenter.cz/Online/branding-cross-device"/>
    <hyperlink ref="D850" r:id="rId1835" display="https://motogpsport.cz/"/>
    <hyperlink ref="F850" r:id="rId1836" display="https://motogpsport.cz/"/>
    <hyperlink ref="W850" r:id="rId1837" display="https://reklama.cncenter.cz/Online/branding"/>
    <hyperlink ref="D851" r:id="rId1838" display="https://motogpsport.cz/"/>
    <hyperlink ref="F851" r:id="rId1839" display="https://motogpsport.cz/"/>
    <hyperlink ref="W851" r:id="rId1840" display="https://reklama.cncenter.cz/Online/billboard-bottom"/>
    <hyperlink ref="D852" r:id="rId1841" display="https://motogpsport.cz/"/>
    <hyperlink ref="F852" r:id="rId1842" display="https://motogpsport.cz/"/>
    <hyperlink ref="W852" r:id="rId1843" display="https://reklama.cncenter.cz/Online/branding-cross-device"/>
    <hyperlink ref="D853" r:id="rId1844" display="https://motogpsport.cz/"/>
    <hyperlink ref="F853" r:id="rId1845" display="https://motogpsport.cz/"/>
    <hyperlink ref="W853" r:id="rId1846" display="https://reklama.cncenter.cz/Online/branding"/>
    <hyperlink ref="D854" r:id="rId1847" display="https://motogpsport.cz/"/>
    <hyperlink ref="F854" r:id="rId1848" display="https://motogpsport.cz/"/>
    <hyperlink ref="W854" r:id="rId1849" display="https://reklama.cncenter.cz/Online/double-skyscraper"/>
    <hyperlink ref="D855" r:id="rId1850" display="https://motogpsport.cz/"/>
    <hyperlink ref="F855" r:id="rId1851" display="https://motogpsport.cz/"/>
    <hyperlink ref="W855" r:id="rId1852" display="https://reklama.cncenter.cz/Online/mobilni-interscroller"/>
    <hyperlink ref="D856" r:id="rId1853" display="https://motogpsport.cz/"/>
    <hyperlink ref="F856" r:id="rId1854" display="https://motogpsport.cz/"/>
    <hyperlink ref="W856" r:id="rId1855" display="https://reklama.cncenter.cz/Online/mobilni-slide-up"/>
    <hyperlink ref="D857" r:id="rId1856" display="https://motogpsport.cz/"/>
    <hyperlink ref="F857" r:id="rId1857" display="https://motogpsport.cz/"/>
    <hyperlink ref="W857" r:id="rId1858" display="https://reklama.cncenter.cz/Online/mobilni-vineta"/>
    <hyperlink ref="D858" r:id="rId1859" display="https://motogpsport.cz/"/>
    <hyperlink ref="F858" r:id="rId1860" display="https://motogpsport.cz/"/>
    <hyperlink ref="W858" r:id="rId1861" display="https://reklama.cncenter.cz/Online/nativni-rectangle-cross-device"/>
    <hyperlink ref="D859" r:id="rId1862" display="https://motogpsport.cz/"/>
    <hyperlink ref="F859" r:id="rId1863" display="https://motogpsport.cz/"/>
    <hyperlink ref="W859" r:id="rId1864" display="https://reklama.cncenter.cz/Online/Outstream"/>
    <hyperlink ref="D860" r:id="rId1865" display="https://motogpsport.cz/"/>
    <hyperlink ref="F860" r:id="rId1866" display="https://motogpsport.cz/"/>
    <hyperlink ref="D861" r:id="rId1867" display="https://motogpsport.cz/"/>
    <hyperlink ref="F861" r:id="rId1868" display="https://motogpsport.cz/"/>
    <hyperlink ref="W861" r:id="rId1869" display="https://reklama.cncenter.cz/Online/double-skyscraper"/>
    <hyperlink ref="D862" r:id="rId1870" display="https://motogpsport.cz/"/>
    <hyperlink ref="F862" r:id="rId1871" display="https://motogpsport.cz/"/>
    <hyperlink ref="W862" r:id="rId1872" display="https://reklama.cncenter.cz/Online/mobilni-interscroller"/>
    <hyperlink ref="D863" r:id="rId1873" display="https://motogpsport.cz/"/>
    <hyperlink ref="F863" r:id="rId1874" display="https://motogpsport.cz/"/>
    <hyperlink ref="W863" r:id="rId1875" display="https://reklama.cncenter.cz/Online/mobilni-slide-up"/>
    <hyperlink ref="D864" r:id="rId1876" display="https://motogpsport.cz/"/>
    <hyperlink ref="F864" r:id="rId1877" display="https://motogpsport.cz/"/>
    <hyperlink ref="W864" r:id="rId1878" display="https://reklama.cncenter.cz/Online/mobilni-vineta"/>
    <hyperlink ref="D865" r:id="rId1879" display="https://motogpsport.cz/"/>
    <hyperlink ref="F865" r:id="rId1880" display="https://motogpsport.cz/"/>
    <hyperlink ref="D866" r:id="rId1881" display="https://motogpsport.cz/"/>
    <hyperlink ref="F866" r:id="rId1882" display="https://motogpsport.cz/"/>
    <hyperlink ref="W866" r:id="rId1883" display="https://reklama.cncenter.cz/Online/nativni-rectangle-cross-device"/>
    <hyperlink ref="D867" r:id="rId1884" display="https://motogpsport.cz/"/>
    <hyperlink ref="F867" r:id="rId1885" display="https://motogpsport.cz/"/>
    <hyperlink ref="W867" r:id="rId1886" display="https://reklama.cncenter.cz/Online/Outstream"/>
    <hyperlink ref="D868" r:id="rId1887" display="https://motogpsport.cz/"/>
    <hyperlink ref="F868" r:id="rId1888" display="https://motogpsport.cz/"/>
    <hyperlink ref="W868" r:id="rId1889" display="https://reklama.cncenter.cz/?ads=PR%2520%25C4%258Dl%25C3%25A1nky"/>
    <hyperlink ref="D869" r:id="rId1890" display="https://motogpsport.cz/"/>
    <hyperlink ref="F869" r:id="rId1891" display="https://motogpsport.cz/"/>
    <hyperlink ref="D870" r:id="rId1892" display="https://motogpsport.cz/"/>
    <hyperlink ref="F870" r:id="rId1893" display="https://motogpsport.cz/"/>
    <hyperlink ref="D871" r:id="rId1894" display="https://motogpsport.cz/"/>
    <hyperlink ref="F871" r:id="rId1895" display="https://motogpsport.cz/"/>
    <hyperlink ref="C872" r:id="rId1896" display="http://nemovitosti.blesk.cz/"/>
    <hyperlink ref="D872" r:id="rId1897" display="https://nemovitosti.blesk.cz/"/>
    <hyperlink ref="F872" r:id="rId1898" display="https://nemovitosti.blesk.cz/"/>
    <hyperlink ref="C873" r:id="rId1899" display="http://nemovitosti.blesk.cz/"/>
    <hyperlink ref="D873" r:id="rId1900" display="https://nemovitosti.blesk.cz/"/>
    <hyperlink ref="F873" r:id="rId1901" display="https://nemovitosti.blesk.cz/"/>
    <hyperlink ref="W873" r:id="rId1902" display="https://reklama.cncenter.cz/Online/billboard-bottom"/>
    <hyperlink ref="C874" r:id="rId1903" display="http://nemovitosti.blesk.cz/"/>
    <hyperlink ref="D874" r:id="rId1904" display="https://nemovitosti.blesk.cz/"/>
    <hyperlink ref="F874" r:id="rId1905" display="https://nemovitosti.blesk.cz/"/>
    <hyperlink ref="W874" r:id="rId1906" display="https://reklama.cncenter.cz/Online/branding-cross-device"/>
    <hyperlink ref="C875" r:id="rId1907" display="http://nemovitosti.blesk.cz/"/>
    <hyperlink ref="D875" r:id="rId1908" display="https://nemovitosti.blesk.cz/"/>
    <hyperlink ref="F875" r:id="rId1909" display="https://nemovitosti.blesk.cz/"/>
    <hyperlink ref="W875" r:id="rId1910" display="https://reklama.cncenter.cz/Online/branding"/>
    <hyperlink ref="C876" r:id="rId1911" display="http://nemovitosti.blesk.cz/"/>
    <hyperlink ref="D876" r:id="rId1912" display="https://nemovitosti.blesk.cz/"/>
    <hyperlink ref="F876" r:id="rId1913" display="https://nemovitosti.blesk.cz/"/>
    <hyperlink ref="W876" r:id="rId1914" display="https://reklama.cncenter.cz/Online/billboard-bottom"/>
    <hyperlink ref="C877" r:id="rId1915" display="http://nemovitosti.blesk.cz/"/>
    <hyperlink ref="D877" r:id="rId1916" display="https://nemovitosti.blesk.cz/"/>
    <hyperlink ref="F877" r:id="rId1917" display="https://nemovitosti.blesk.cz/"/>
    <hyperlink ref="W877" r:id="rId1918" display="https://reklama.cncenter.cz/Online/branding-cross-device"/>
    <hyperlink ref="C878" r:id="rId1919" display="http://nemovitosti.blesk.cz/"/>
    <hyperlink ref="D878" r:id="rId1920" display="https://nemovitosti.blesk.cz/"/>
    <hyperlink ref="F878" r:id="rId1921" display="https://nemovitosti.blesk.cz/"/>
    <hyperlink ref="W878" r:id="rId1922" display="https://reklama.cncenter.cz/Online/branding"/>
    <hyperlink ref="C879" r:id="rId1923" display="http://nemovitosti.blesk.cz/"/>
    <hyperlink ref="D879" r:id="rId1924" display="https://nemovitosti.blesk.cz/"/>
    <hyperlink ref="F879" r:id="rId1925" display="https://nemovitosti.blesk.cz/"/>
    <hyperlink ref="W879" r:id="rId1926" display="https://reklama.cncenter.cz/Online/double-skyscraper"/>
    <hyperlink ref="C880" r:id="rId1927" display="http://nemovitosti.blesk.cz/"/>
    <hyperlink ref="D880" r:id="rId1928" display="https://nemovitosti.blesk.cz/"/>
    <hyperlink ref="F880" r:id="rId1929" display="https://nemovitosti.blesk.cz/"/>
    <hyperlink ref="W880" r:id="rId1930" display="https://reklama.cncenter.cz/Online/mobilni-interscroller"/>
    <hyperlink ref="C881" r:id="rId1931" display="http://nemovitosti.blesk.cz/"/>
    <hyperlink ref="D881" r:id="rId1932" display="https://nemovitosti.blesk.cz/"/>
    <hyperlink ref="F881" r:id="rId1933" display="https://nemovitosti.blesk.cz/"/>
    <hyperlink ref="W881" r:id="rId1934" display="https://reklama.cncenter.cz/Online/nativni-PR-premium"/>
    <hyperlink ref="C882" r:id="rId1935" display="http://nemovitosti.blesk.cz/"/>
    <hyperlink ref="D882" r:id="rId1936" display="https://nemovitosti.blesk.cz/"/>
    <hyperlink ref="F882" r:id="rId1937" display="https://nemovitosti.blesk.cz/"/>
    <hyperlink ref="W882" r:id="rId1938" display="https://reklama.cncenter.cz/Online/nativni-rectangle-cross-device"/>
    <hyperlink ref="C883" r:id="rId1939" display="http://nemovitosti.blesk.cz/"/>
    <hyperlink ref="D883" r:id="rId1940" display="https://nemovitosti.blesk.cz/"/>
    <hyperlink ref="F883" r:id="rId1941" display="https://nemovitosti.blesk.cz/"/>
    <hyperlink ref="W883" r:id="rId1942" display="https://reklama.cncenter.cz/Online/Outstream"/>
    <hyperlink ref="C884" r:id="rId1943" display="http://nemovitosti.blesk.cz/"/>
    <hyperlink ref="D884" r:id="rId1944" display="https://nemovitosti.blesk.cz/"/>
    <hyperlink ref="F884" r:id="rId1945" display="https://nemovitosti.blesk.cz/"/>
    <hyperlink ref="C885" r:id="rId1946" display="http://nemovitosti.blesk.cz/"/>
    <hyperlink ref="D885" r:id="rId1947" display="https://nemovitosti.blesk.cz/"/>
    <hyperlink ref="F885" r:id="rId1948" display="https://nemovitosti.blesk.cz/"/>
    <hyperlink ref="W885" r:id="rId1949" display="https://reklama.cncenter.cz/Online/double-skyscraper"/>
    <hyperlink ref="C886" r:id="rId1950" display="http://nemovitosti.blesk.cz/"/>
    <hyperlink ref="D886" r:id="rId1951" display="https://nemovitosti.blesk.cz/"/>
    <hyperlink ref="F886" r:id="rId1952" display="https://nemovitosti.blesk.cz/"/>
    <hyperlink ref="W886" r:id="rId1953" display="https://reklama.cncenter.cz/Online/mobilni-interscroller"/>
    <hyperlink ref="C887" r:id="rId1954" display="http://nemovitosti.blesk.cz/"/>
    <hyperlink ref="D887" r:id="rId1955" display="https://nemovitosti.blesk.cz/"/>
    <hyperlink ref="F887" r:id="rId1956" display="https://nemovitosti.blesk.cz/"/>
    <hyperlink ref="C888" r:id="rId1957" display="http://nemovitosti.blesk.cz/"/>
    <hyperlink ref="D888" r:id="rId1958" display="https://nemovitosti.blesk.cz/"/>
    <hyperlink ref="F888" r:id="rId1959" display="https://nemovitosti.blesk.cz/"/>
    <hyperlink ref="C889" r:id="rId1960" display="http://nemovitosti.blesk.cz/"/>
    <hyperlink ref="D889" r:id="rId1961" display="https://nemovitosti.blesk.cz/"/>
    <hyperlink ref="F889" r:id="rId1962" display="https://nemovitosti.blesk.cz/"/>
    <hyperlink ref="C890" r:id="rId1963" display="http://nemovitosti.blesk.cz/"/>
    <hyperlink ref="D890" r:id="rId1964" display="https://nemovitosti.blesk.cz/"/>
    <hyperlink ref="F890" r:id="rId1965" display="https://nemovitosti.blesk.cz/"/>
    <hyperlink ref="W890" r:id="rId1966" display="https://reklama.cncenter.cz/Online/nativni-PR-premium"/>
    <hyperlink ref="C891" r:id="rId1967" display="http://nemovitosti.blesk.cz/"/>
    <hyperlink ref="D891" r:id="rId1968" display="https://nemovitosti.blesk.cz/"/>
    <hyperlink ref="F891" r:id="rId1969" display="https://nemovitosti.blesk.cz/"/>
    <hyperlink ref="W891" r:id="rId1970" display="https://reklama.cncenter.cz/Online/nativni-rectangle-cross-device"/>
    <hyperlink ref="C892" r:id="rId1971" display="http://nemovitosti.blesk.cz/"/>
    <hyperlink ref="D892" r:id="rId1972" display="https://nemovitosti.blesk.cz/"/>
    <hyperlink ref="F892" r:id="rId1973" display="https://nemovitosti.blesk.cz/"/>
    <hyperlink ref="W892" r:id="rId1974" display="https://reklama.cncenter.cz/Online/Outstream"/>
    <hyperlink ref="C893" r:id="rId1975" display="http://nemovitosti.blesk.cz/"/>
    <hyperlink ref="D893" r:id="rId1976" display="https://nemovitosti.blesk.cz/"/>
    <hyperlink ref="F893" r:id="rId1977" display="https://nemovitosti.blesk.cz/"/>
    <hyperlink ref="W893" r:id="rId1978" display="https://reklama.cncenter.cz/?ads=PR%2520%25C4%258Dl%25C3%25A1nky"/>
    <hyperlink ref="C894" r:id="rId1979" display="http://nemovitosti.blesk.cz/"/>
    <hyperlink ref="D894" r:id="rId1980" display="https://nemovitosti.blesk.cz/"/>
    <hyperlink ref="F894" r:id="rId1981" display="https://nemovitosti.blesk.cz/"/>
    <hyperlink ref="C895" r:id="rId1982" display="http://nemovitosti.blesk.cz/"/>
    <hyperlink ref="D895" r:id="rId1983" display="https://nemovitosti.blesk.cz/"/>
    <hyperlink ref="F895" r:id="rId1984" display="https://nemovitosti.blesk.cz/"/>
    <hyperlink ref="C896" r:id="rId1985" display="http://nemovitosti.blesk.cz/"/>
    <hyperlink ref="D896" r:id="rId1986" display="https://nemovitosti.blesk.cz/"/>
    <hyperlink ref="F896" r:id="rId1987" display="https://nemovitosti.blesk.cz/"/>
    <hyperlink ref="D897" r:id="rId1988" display="https://www.poggers.cz/"/>
    <hyperlink ref="F897" r:id="rId1989" display="https://www.poggers.cz/"/>
    <hyperlink ref="W897" r:id="rId1990" display="https://reklama.cncenter.cz/Online/branding-cross-device"/>
    <hyperlink ref="D898" r:id="rId1991" display="https://www.poggers.cz/"/>
    <hyperlink ref="F898" r:id="rId1992" display="https://www.poggers.cz/"/>
    <hyperlink ref="W898" r:id="rId1993" display="https://reklama.cncenter.cz/Online/double-skyscraper"/>
    <hyperlink ref="D899" r:id="rId1994" display="https://www.poggers.cz/"/>
    <hyperlink ref="F899" r:id="rId1995" display="https://www.poggers.cz/"/>
    <hyperlink ref="W899" r:id="rId1996" display="https://reklama.cncenter.cz/Online/nativni-rectangle-cross-device"/>
    <hyperlink ref="D900" r:id="rId1997" display="https://www.realitnitrh.cz/"/>
    <hyperlink ref="F900" r:id="rId1998" display="https://www.realitnitrh.cz/"/>
    <hyperlink ref="D901" r:id="rId1999" display="https://www.realitnitrh.cz/"/>
    <hyperlink ref="F901" r:id="rId2000" display="https://www.realitnitrh.cz/"/>
    <hyperlink ref="W901" r:id="rId2001" display="https://reklama.cncenter.cz/Online/billboard-bottom"/>
    <hyperlink ref="D902" r:id="rId2002" display="https://www.realitnitrh.cz/"/>
    <hyperlink ref="F902" r:id="rId2003" display="https://www.realitnitrh.cz/"/>
    <hyperlink ref="W902" r:id="rId2004" display="https://reklama.cncenter.cz/Online/branding-cross-device"/>
    <hyperlink ref="D903" r:id="rId2005" display="https://www.realitnitrh.cz/"/>
    <hyperlink ref="F903" r:id="rId2006" display="https://www.realitnitrh.cz/"/>
    <hyperlink ref="W903" r:id="rId2007" display="https://reklama.cncenter.cz/Online/branding"/>
    <hyperlink ref="D904" r:id="rId2008" display="https://www.realitnitrh.cz/"/>
    <hyperlink ref="F904" r:id="rId2009" display="https://www.realitnitrh.cz/"/>
    <hyperlink ref="W904" r:id="rId2010" display="https://reklama.cncenter.cz/Online/billboard-bottom"/>
    <hyperlink ref="D905" r:id="rId2011" display="https://www.realitnitrh.cz/"/>
    <hyperlink ref="F905" r:id="rId2012" display="https://www.realitnitrh.cz/"/>
    <hyperlink ref="W905" r:id="rId2013" display="https://reklama.cncenter.cz/Online/branding-cross-device"/>
    <hyperlink ref="D906" r:id="rId2014" display="https://www.realitnitrh.cz/"/>
    <hyperlink ref="F906" r:id="rId2015" display="https://www.realitnitrh.cz/"/>
    <hyperlink ref="W906" r:id="rId2016" display="https://reklama.cncenter.cz/Online/branding"/>
    <hyperlink ref="D907" r:id="rId2017" display="https://www.realitnitrh.cz/"/>
    <hyperlink ref="F907" r:id="rId2018" display="https://www.realitnitrh.cz/"/>
    <hyperlink ref="W907" r:id="rId2019" display="https://reklama.cncenter.cz/Online/double-skyscraper"/>
    <hyperlink ref="D908" r:id="rId2020" display="https://www.realitnitrh.cz/"/>
    <hyperlink ref="F908" r:id="rId2021" display="https://www.realitnitrh.cz/"/>
    <hyperlink ref="W908" r:id="rId2022" display="https://reklama.cncenter.cz/Online/mobilni-interscroller"/>
    <hyperlink ref="D909" r:id="rId2023" display="https://www.realitnitrh.cz/"/>
    <hyperlink ref="F909" r:id="rId2024" display="https://www.realitnitrh.cz/"/>
    <hyperlink ref="W909" r:id="rId2025" display="https://reklama.cncenter.cz/Online/nativni-PR-premium"/>
    <hyperlink ref="D910" r:id="rId2026" display="https://www.realitnitrh.cz/"/>
    <hyperlink ref="F910" r:id="rId2027" display="https://www.realitnitrh.cz/"/>
    <hyperlink ref="W910" r:id="rId2028" display="https://reklama.cncenter.cz/Online/nativni-rectangle-cross-device"/>
    <hyperlink ref="D911" r:id="rId2029" display="https://www.realitnitrh.cz/"/>
    <hyperlink ref="F911" r:id="rId2030" display="https://www.realitnitrh.cz/"/>
    <hyperlink ref="W911" r:id="rId2031" display="https://reklama.cncenter.cz/Online/Outstream"/>
    <hyperlink ref="D912" r:id="rId2032" display="https://www.realitnitrh.cz/"/>
    <hyperlink ref="F912" r:id="rId2033" display="https://www.realitnitrh.cz/"/>
    <hyperlink ref="D913" r:id="rId2034" display="https://www.realitnitrh.cz/"/>
    <hyperlink ref="F913" r:id="rId2035" display="https://www.realitnitrh.cz/"/>
    <hyperlink ref="W913" r:id="rId2036" display="https://reklama.cncenter.cz/Online/double-skyscraper"/>
    <hyperlink ref="D914" r:id="rId2037" display="https://www.realitnitrh.cz/"/>
    <hyperlink ref="F914" r:id="rId2038" display="https://www.realitnitrh.cz/"/>
    <hyperlink ref="W914" r:id="rId2039" display="https://reklama.cncenter.cz/Online/mobilni-interscroller"/>
    <hyperlink ref="D915" r:id="rId2040" display="https://www.realitnitrh.cz/"/>
    <hyperlink ref="F915" r:id="rId2041" display="https://www.realitnitrh.cz/"/>
    <hyperlink ref="D916" r:id="rId2042" display="https://www.realitnitrh.cz/"/>
    <hyperlink ref="F916" r:id="rId2043" display="https://www.realitnitrh.cz/"/>
    <hyperlink ref="W916" r:id="rId2044" display="https://reklama.cncenter.cz/Online/nativni-PR-premium"/>
    <hyperlink ref="D917" r:id="rId2045" display="https://www.realitnitrh.cz/"/>
    <hyperlink ref="F917" r:id="rId2046" display="https://www.realitnitrh.cz/"/>
    <hyperlink ref="W917" r:id="rId2047" display="https://reklama.cncenter.cz/Online/nativni-rectangle-cross-device"/>
    <hyperlink ref="D918" r:id="rId2048" display="https://www.realitnitrh.cz/"/>
    <hyperlink ref="F918" r:id="rId2049" display="https://www.realitnitrh.cz/"/>
    <hyperlink ref="W918" r:id="rId2050" display="https://reklama.cncenter.cz/Online/Outstream"/>
    <hyperlink ref="D919" r:id="rId2051" display="https://www.realitnitrh.cz/"/>
    <hyperlink ref="F919" r:id="rId2052" display="https://www.realitnitrh.cz/"/>
    <hyperlink ref="W919" r:id="rId2053" display="https://reklama.cncenter.cz/?ads=PR%2520%25C4%258Dl%25C3%25A1nky"/>
    <hyperlink ref="D920" r:id="rId2054" display="https://www.realitnitrh.cz/"/>
    <hyperlink ref="F920" r:id="rId2055" display="https://www.realitnitrh.cz/"/>
    <hyperlink ref="D921" r:id="rId2056" display="https://www.realitnitrh.cz/"/>
    <hyperlink ref="F921" r:id="rId2057" display="https://www.realitnitrh.cz/"/>
    <hyperlink ref="D922" r:id="rId2058" display="https://www.realitnitrh.cz/"/>
    <hyperlink ref="F922" r:id="rId2059" display="https://www.realitnitrh.cz/"/>
    <hyperlink ref="D923" r:id="rId2060" display="https://recepty.cz/"/>
    <hyperlink ref="F923" r:id="rId2061" display="https://recepty.cz/"/>
    <hyperlink ref="D924" r:id="rId2062" display="https://recepty.cz/"/>
    <hyperlink ref="F924" r:id="rId2063" display="https://recepty.cz/"/>
    <hyperlink ref="W924" r:id="rId2064" display="https://reklama.cncenter.cz/Online/billboard-bottom"/>
    <hyperlink ref="D925" r:id="rId2065" display="https://recepty.cz/"/>
    <hyperlink ref="F925" r:id="rId2066" display="https://recepty.cz/"/>
    <hyperlink ref="W925" r:id="rId2067" display="https://reklama.cncenter.cz/Online/branding-cross-device"/>
    <hyperlink ref="D926" r:id="rId2068" display="https://recepty.cz/"/>
    <hyperlink ref="F926" r:id="rId2069" display="https://recepty.cz/"/>
    <hyperlink ref="W926" r:id="rId2070" display="https://reklama.cncenter.cz/Online/branding"/>
    <hyperlink ref="D927" r:id="rId2071" display="https://recepty.cz/"/>
    <hyperlink ref="F927" r:id="rId2072" display="https://recepty.cz/"/>
    <hyperlink ref="W927" r:id="rId2073" display="https://reklama.cncenter.cz/Online/billboard-bottom"/>
    <hyperlink ref="D928" r:id="rId2074" display="https://recepty.cz/"/>
    <hyperlink ref="F928" r:id="rId2075" display="https://recepty.cz/"/>
    <hyperlink ref="W928" r:id="rId2076" display="https://reklama.cncenter.cz/Online/branding-cross-device"/>
    <hyperlink ref="D929" r:id="rId2077" display="https://recepty.cz/"/>
    <hyperlink ref="F929" r:id="rId2078" display="https://recepty.cz/"/>
    <hyperlink ref="W929" r:id="rId2079" display="https://reklama.cncenter.cz/Online/branding"/>
    <hyperlink ref="D930" r:id="rId2080" display="https://recepty.cz/"/>
    <hyperlink ref="F930" r:id="rId2081" display="https://recepty.cz/"/>
    <hyperlink ref="W930" r:id="rId2082" display="https://reklama.cncenter.cz/Online/double-skyscraper"/>
    <hyperlink ref="D931" r:id="rId2083" display="https://recepty.cz/"/>
    <hyperlink ref="F931" r:id="rId2084" display="https://recepty.cz/"/>
    <hyperlink ref="W931" r:id="rId2085" display="https://reklama.cncenter.cz/Online/Videospot"/>
    <hyperlink ref="D932" r:id="rId2086" display="https://recepty.cz/"/>
    <hyperlink ref="F932" r:id="rId2087" display="https://recepty.cz/"/>
    <hyperlink ref="W932" r:id="rId2088" display="https://reklama.cncenter.cz/Online/mobilni-interscroller"/>
    <hyperlink ref="D933" r:id="rId2089" display="https://recepty.cz/"/>
    <hyperlink ref="F933" r:id="rId2090" display="https://recepty.cz/"/>
    <hyperlink ref="W933" r:id="rId2091" display="https://reklama.cncenter.cz/Online/mobilni-slide-up"/>
    <hyperlink ref="D934" r:id="rId2092" display="https://recepty.cz/"/>
    <hyperlink ref="F934" r:id="rId2093" display="https://recepty.cz/"/>
    <hyperlink ref="W934" r:id="rId2094" display="https://reklama.cncenter.cz/Online/mobilni-vineta"/>
    <hyperlink ref="D935" r:id="rId2095" display="https://recepty.cz/"/>
    <hyperlink ref="F935" r:id="rId2096" display="https://recepty.cz/"/>
    <hyperlink ref="W935" r:id="rId2097" display="https://reklama.cncenter.cz/Online/nativni-PR-premium"/>
    <hyperlink ref="D936" r:id="rId2098" display="https://recepty.cz/"/>
    <hyperlink ref="F936" r:id="rId2099" display="https://recepty.cz/"/>
    <hyperlink ref="W936" r:id="rId2100" display="https://reklama.cncenter.cz/Online/nativni-rectangle-cross-device"/>
    <hyperlink ref="D937" r:id="rId2101" display="https://recepty.cz/"/>
    <hyperlink ref="F937" r:id="rId2102" display="https://recepty.cz/"/>
    <hyperlink ref="W937" r:id="rId2103" display="https://reklama.cncenter.cz/Online/Outstream"/>
    <hyperlink ref="D938" r:id="rId2104" display="https://recepty.cz/"/>
    <hyperlink ref="F938" r:id="rId2105" display="https://recepty.cz/"/>
    <hyperlink ref="W938" r:id="rId2106" display="https://reklama.cncenter.cz/Online/Bumper"/>
    <hyperlink ref="D939" r:id="rId2107" display="https://recepty.cz/"/>
    <hyperlink ref="F939" r:id="rId2108" display="https://recepty.cz/"/>
    <hyperlink ref="D940" r:id="rId2109" display="https://recepty.cz/"/>
    <hyperlink ref="F940" r:id="rId2110" display="https://recepty.cz/"/>
    <hyperlink ref="W940" r:id="rId2111" display="https://reklama.cncenter.cz/Online/double-skyscraper"/>
    <hyperlink ref="D941" r:id="rId2112" display="https://recepty.cz/"/>
    <hyperlink ref="F941" r:id="rId2113" display="https://recepty.cz/"/>
    <hyperlink ref="W941" r:id="rId2114" display="https://reklama.cncenter.cz/Online/Videospot"/>
    <hyperlink ref="D942" r:id="rId2115" display="https://recepty.cz/"/>
    <hyperlink ref="F942" r:id="rId2116" display="https://recepty.cz/"/>
    <hyperlink ref="W942" r:id="rId2117" display="https://reklama.cncenter.cz/Online/mobilni-interscroller"/>
    <hyperlink ref="D943" r:id="rId2118" display="https://recepty.cz/"/>
    <hyperlink ref="F943" r:id="rId2119" display="https://recepty.cz/"/>
    <hyperlink ref="W943" r:id="rId2120" display="https://reklama.cncenter.cz/Online/mobilni-slide-up"/>
    <hyperlink ref="D944" r:id="rId2121" display="https://recepty.cz/"/>
    <hyperlink ref="F944" r:id="rId2122" display="https://recepty.cz/"/>
    <hyperlink ref="W944" r:id="rId2123" display="https://reklama.cncenter.cz/Online/mobilni-vineta"/>
    <hyperlink ref="D945" r:id="rId2124" display="https://recepty.cz/"/>
    <hyperlink ref="F945" r:id="rId2125" display="https://recepty.cz/"/>
    <hyperlink ref="D946" r:id="rId2126" display="https://recepty.cz/"/>
    <hyperlink ref="F946" r:id="rId2127" display="https://recepty.cz/"/>
    <hyperlink ref="W946" r:id="rId2128" display="https://reklama.cncenter.cz/Online/nativni-PR-premium"/>
    <hyperlink ref="D947" r:id="rId2129" display="https://recepty.cz/"/>
    <hyperlink ref="F947" r:id="rId2130" display="https://recepty.cz/"/>
    <hyperlink ref="W947" r:id="rId2131" display="https://reklama.cncenter.cz/Online/nativni-rectangle-cross-device"/>
    <hyperlink ref="D948" r:id="rId2132" display="https://recepty.cz/"/>
    <hyperlink ref="F948" r:id="rId2133" display="https://recepty.cz/"/>
    <hyperlink ref="W948" r:id="rId2134" display="https://reklama.cncenter.cz/Online/Outstream"/>
    <hyperlink ref="D949" r:id="rId2135" display="https://recepty.cz/"/>
    <hyperlink ref="F949" r:id="rId2136" display="https://recepty.cz/"/>
    <hyperlink ref="W949" r:id="rId2137" display="https://reklama.cncenter.cz/?ads=PR%2520%25C4%258Dl%25C3%25A1nky"/>
    <hyperlink ref="D950" r:id="rId2138" display="https://recepty.cz/"/>
    <hyperlink ref="F950" r:id="rId2139" display="https://recepty.cz/"/>
    <hyperlink ref="D951" r:id="rId2140" display="https://recepty.cz/"/>
    <hyperlink ref="F951" r:id="rId2141" display="https://recepty.cz/"/>
    <hyperlink ref="D952" r:id="rId2142" display="https://recepty.cz/"/>
    <hyperlink ref="F952" r:id="rId2143" display="https://recepty.cz/"/>
    <hyperlink ref="D953" r:id="rId2144" display="https://recepty.cz/"/>
    <hyperlink ref="F953" r:id="rId2145" display="https://recepty.cz/"/>
    <hyperlink ref="W953" r:id="rId2146" display="https://reklama.cncenter.cz/Online/Bumper"/>
    <hyperlink ref="D954" r:id="rId2147" display="https://reflex.cz/"/>
    <hyperlink ref="F954" r:id="rId2148" display="https://reflex.cz/"/>
    <hyperlink ref="D955" r:id="rId2149" display="https://reflex.cz/"/>
    <hyperlink ref="F955" r:id="rId2150" display="https://reflex.cz/"/>
    <hyperlink ref="W955" r:id="rId2151" display="https://reklama.cncenter.cz/Online/billboard-bottom"/>
    <hyperlink ref="D956" r:id="rId2152" display="https://reflex.cz/"/>
    <hyperlink ref="F956" r:id="rId2153" display="https://reflex.cz/"/>
    <hyperlink ref="W956" r:id="rId2154" display="https://reklama.cncenter.cz/Online/branding-cross-device"/>
    <hyperlink ref="D957" r:id="rId2155" display="https://reflex.cz/"/>
    <hyperlink ref="F957" r:id="rId2156" display="https://reflex.cz/"/>
    <hyperlink ref="W957" r:id="rId2157" display="https://reklama.cncenter.cz/Online/branding"/>
    <hyperlink ref="D958" r:id="rId2158" display="https://reflex.cz/"/>
    <hyperlink ref="F958" r:id="rId2159" display="https://reflex.cz/"/>
    <hyperlink ref="W958" r:id="rId2160" display="https://reklama.cncenter.cz/Online/billboard-bottom"/>
    <hyperlink ref="D959" r:id="rId2161" display="https://reflex.cz/"/>
    <hyperlink ref="F959" r:id="rId2162" display="https://reflex.cz/"/>
    <hyperlink ref="W959" r:id="rId2163" display="https://reklama.cncenter.cz/Online/branding-cross-device"/>
    <hyperlink ref="D960" r:id="rId2164" display="https://reflex.cz/"/>
    <hyperlink ref="F960" r:id="rId2165" display="https://reflex.cz/"/>
    <hyperlink ref="W960" r:id="rId2166" display="https://reklama.cncenter.cz/Online/branding"/>
    <hyperlink ref="D961" r:id="rId2167" display="https://reflex.cz/"/>
    <hyperlink ref="F961" r:id="rId2168" display="https://reflex.cz/"/>
    <hyperlink ref="W961" r:id="rId2169" display="https://reklama.cncenter.cz/Online/double-skyscraper"/>
    <hyperlink ref="D962" r:id="rId2170" display="https://reflex.cz/"/>
    <hyperlink ref="F962" r:id="rId2171" display="https://reflex.cz/"/>
    <hyperlink ref="W962" r:id="rId2172" display="https://reklama.cncenter.cz/Online/Videospot"/>
    <hyperlink ref="D963" r:id="rId2173" display="https://reflex.cz/"/>
    <hyperlink ref="F963" r:id="rId2174" display="https://reflex.cz/"/>
    <hyperlink ref="W963" r:id="rId2175" display="https://reklama.cncenter.cz/Online/mobilni-interscroller"/>
    <hyperlink ref="D964" r:id="rId2176" display="https://reflex.cz/"/>
    <hyperlink ref="F964" r:id="rId2177" display="https://reflex.cz/"/>
    <hyperlink ref="W964" r:id="rId2178" display="https://reklama.cncenter.cz/Online/mobilni-slide-up"/>
    <hyperlink ref="D965" r:id="rId2179" display="https://reflex.cz/"/>
    <hyperlink ref="F965" r:id="rId2180" display="https://reflex.cz/"/>
    <hyperlink ref="W965" r:id="rId2181" display="https://reklama.cncenter.cz/Online/mobilni-vineta"/>
    <hyperlink ref="D966" r:id="rId2182" display="https://reflex.cz/"/>
    <hyperlink ref="F966" r:id="rId2183" display="https://reflex.cz/"/>
    <hyperlink ref="W966" r:id="rId2184" display="https://reklama.cncenter.cz/Online/nativni-PR-premium"/>
    <hyperlink ref="D967" r:id="rId2185" display="https://reflex.cz/"/>
    <hyperlink ref="F967" r:id="rId2186" display="https://reflex.cz/"/>
    <hyperlink ref="W967" r:id="rId2187" display="https://reklama.cncenter.cz/Online/nativni-rectangle-cross-device"/>
    <hyperlink ref="D968" r:id="rId2188" display="https://reflex.cz/"/>
    <hyperlink ref="F968" r:id="rId2189" display="https://reflex.cz/"/>
    <hyperlink ref="W968" r:id="rId2190" display="https://reklama.cncenter.cz/Online/Outstream"/>
    <hyperlink ref="D969" r:id="rId2191" display="https://reflex.cz/"/>
    <hyperlink ref="F969" r:id="rId2192" display="https://reflex.cz/"/>
    <hyperlink ref="W969" r:id="rId2193" display="https://reklama.cncenter.cz/Online/Bumper"/>
    <hyperlink ref="D970" r:id="rId2194" display="https://reflex.cz/"/>
    <hyperlink ref="F970" r:id="rId2195" display="https://reflex.cz/"/>
    <hyperlink ref="D971" r:id="rId2196" display="https://reflex.cz/"/>
    <hyperlink ref="F971" r:id="rId2197" display="https://reflex.cz/"/>
    <hyperlink ref="W971" r:id="rId2198" display="https://reklama.cncenter.cz/Online/double-skyscraper"/>
    <hyperlink ref="D972" r:id="rId2199" display="https://reflex.cz/"/>
    <hyperlink ref="F972" r:id="rId2200" display="https://reflex.cz/"/>
    <hyperlink ref="W972" r:id="rId2201" display="https://reklama.cncenter.cz/Online/Videospot"/>
    <hyperlink ref="D973" r:id="rId2202" display="https://reflex.cz/"/>
    <hyperlink ref="F973" r:id="rId2203" display="https://reflex.cz/"/>
    <hyperlink ref="W973" r:id="rId2204" display="https://reklama.cncenter.cz/Online/mobilni-interscroller"/>
    <hyperlink ref="D974" r:id="rId2205" display="https://reflex.cz/"/>
    <hyperlink ref="F974" r:id="rId2206" display="https://reflex.cz/"/>
    <hyperlink ref="W974" r:id="rId2207" display="https://reklama.cncenter.cz/Online/mobilni-slide-up"/>
    <hyperlink ref="D975" r:id="rId2208" display="https://reflex.cz/"/>
    <hyperlink ref="F975" r:id="rId2209" display="https://reflex.cz/"/>
    <hyperlink ref="W975" r:id="rId2210" display="https://reklama.cncenter.cz/Online/mobilni-vineta"/>
    <hyperlink ref="D976" r:id="rId2211" display="https://reflex.cz/"/>
    <hyperlink ref="F976" r:id="rId2212" display="https://reflex.cz/"/>
    <hyperlink ref="D977" r:id="rId2213" display="https://reflex.cz/"/>
    <hyperlink ref="F977" r:id="rId2214" display="https://reflex.cz/"/>
    <hyperlink ref="W977" r:id="rId2215" display="https://reklama.cncenter.cz/Online/nativni-PR-premium"/>
    <hyperlink ref="D978" r:id="rId2216" display="https://reflex.cz/"/>
    <hyperlink ref="F978" r:id="rId2217" display="https://reflex.cz/"/>
    <hyperlink ref="W978" r:id="rId2218" display="https://reklama.cncenter.cz/Online/nativni-rectangle-cross-device"/>
    <hyperlink ref="D979" r:id="rId2219" display="https://reflex.cz/"/>
    <hyperlink ref="F979" r:id="rId2220" display="https://reflex.cz/"/>
    <hyperlink ref="W979" r:id="rId2221" display="https://reklama.cncenter.cz/Online/Outstream"/>
    <hyperlink ref="D980" r:id="rId2222" display="https://reflex.cz/"/>
    <hyperlink ref="F980" r:id="rId2223" display="https://reflex.cz/"/>
    <hyperlink ref="W980" r:id="rId2224" display="https://reklama.cncenter.cz/?ads=PR%2520%25C4%258Dl%25C3%25A1nky"/>
    <hyperlink ref="D981" r:id="rId2225" display="https://reflex.cz/"/>
    <hyperlink ref="F981" r:id="rId2226" display="https://reflex.cz/"/>
    <hyperlink ref="D982" r:id="rId2227" display="https://reflex.cz/"/>
    <hyperlink ref="F982" r:id="rId2228" display="https://reflex.cz/"/>
    <hyperlink ref="D983" r:id="rId2229" display="https://reflex.cz/"/>
    <hyperlink ref="F983" r:id="rId2230" display="https://reflex.cz/"/>
    <hyperlink ref="D984" r:id="rId2231" display="https://reflex.cz/"/>
    <hyperlink ref="F984" r:id="rId2232" display="https://reflex.cz/"/>
    <hyperlink ref="W984" r:id="rId2233" display="https://reklama.cncenter.cz/Online/Bumper"/>
    <hyperlink ref="D985" r:id="rId2234" display="https://sportrevue.cz/"/>
    <hyperlink ref="F985" r:id="rId2235" display="https://sportrevue.cz/"/>
    <hyperlink ref="D986" r:id="rId2236" display="https://sportrevue.cz/"/>
    <hyperlink ref="F986" r:id="rId2237" display="https://sportrevue.cz/"/>
    <hyperlink ref="D987" r:id="rId2238" display="https://sportrevue.cz/"/>
    <hyperlink ref="F987" r:id="rId2239" display="https://sportrevue.cz/"/>
    <hyperlink ref="D988" r:id="rId2240" display="https://sportrevue.cz/"/>
    <hyperlink ref="F988" r:id="rId2241" display="https://sportrevue.cz/"/>
    <hyperlink ref="W988" r:id="rId2242" display="https://reklama.cncenter.cz/?ads=PR%2520%25C4%258Dl%25C3%25A1nky"/>
    <hyperlink ref="D989" r:id="rId2243" display="https://sportrevue.cz/"/>
    <hyperlink ref="F989" r:id="rId2244" display="https://sportrevue.cz/"/>
    <hyperlink ref="D990" r:id="rId2245" display="https://sportrevue.cz/"/>
    <hyperlink ref="F990" r:id="rId2246" display="https://sportrevue.cz/"/>
    <hyperlink ref="D991" r:id="rId2247" display="https://sportrevue.cz/"/>
    <hyperlink ref="F991" r:id="rId2248" display="https://sportrevue.cz/"/>
    <hyperlink ref="D992" r:id="rId2249" display="http://www.tiktok.com/"/>
    <hyperlink ref="F992" r:id="rId2250" display="http://www.tiktok.com/"/>
    <hyperlink ref="D993" r:id="rId2251" display="https://vtm.zive.cz/"/>
    <hyperlink ref="F993" r:id="rId2252" display="https://vtm.zive.cz/"/>
    <hyperlink ref="W993" r:id="rId2253" display="https://reklama.cncenter.cz/Online/billboard-bottom"/>
    <hyperlink ref="D994" r:id="rId2254" display="https://vtm.zive.cz/"/>
    <hyperlink ref="F994" r:id="rId2255" display="https://vtm.zive.cz/"/>
    <hyperlink ref="W994" r:id="rId2256" display="https://reklama.cncenter.cz/Online/branding-cross-device"/>
    <hyperlink ref="D995" r:id="rId2257" display="https://vtm.zive.cz/"/>
    <hyperlink ref="F995" r:id="rId2258" display="https://vtm.zive.cz/"/>
    <hyperlink ref="W995" r:id="rId2259" display="https://reklama.cncenter.cz/Online/branding"/>
    <hyperlink ref="D996" r:id="rId2260" display="https://vtm.zive.cz/"/>
    <hyperlink ref="F996" r:id="rId2261" display="https://vtm.zive.cz/"/>
    <hyperlink ref="W996" r:id="rId2262" display="https://reklama.cncenter.cz/Online/billboard-bottom"/>
    <hyperlink ref="D997" r:id="rId2263" display="https://vtm.zive.cz/"/>
    <hyperlink ref="F997" r:id="rId2264" display="https://vtm.zive.cz/"/>
    <hyperlink ref="W997" r:id="rId2265" display="https://reklama.cncenter.cz/Online/branding-cross-device"/>
    <hyperlink ref="D998" r:id="rId2266" display="https://vtm.zive.cz/"/>
    <hyperlink ref="F998" r:id="rId2267" display="https://vtm.zive.cz/"/>
    <hyperlink ref="W998" r:id="rId2268" display="https://reklama.cncenter.cz/Online/branding"/>
    <hyperlink ref="D999" r:id="rId2269" display="https://vtm.zive.cz/"/>
    <hyperlink ref="F999" r:id="rId2270" display="https://vtm.zive.cz/"/>
    <hyperlink ref="W999" r:id="rId2271" display="https://reklama.cncenter.cz/Online/double-skyscraper"/>
    <hyperlink ref="D1000" r:id="rId2272" display="https://vtm.zive.cz/"/>
    <hyperlink ref="F1000" r:id="rId2273" display="https://vtm.zive.cz/"/>
    <hyperlink ref="W1000" r:id="rId2274" display="https://reklama.cncenter.cz/Online/mobilni-interscroller"/>
    <hyperlink ref="D1001" r:id="rId2275" display="https://vtm.zive.cz/"/>
    <hyperlink ref="F1001" r:id="rId2276" display="https://vtm.zive.cz/"/>
    <hyperlink ref="W1001" r:id="rId2277" display="https://reklama.cncenter.cz/Online/mobilni-slide-up"/>
    <hyperlink ref="D1002" r:id="rId2278" display="https://vtm.zive.cz/"/>
    <hyperlink ref="F1002" r:id="rId2279" display="https://vtm.zive.cz/"/>
    <hyperlink ref="W1002" r:id="rId2280" display="https://reklama.cncenter.cz/Online/mobilni-vineta"/>
    <hyperlink ref="D1003" r:id="rId2281" display="https://vtm.zive.cz/"/>
    <hyperlink ref="F1003" r:id="rId2282" display="https://vtm.zive.cz/"/>
    <hyperlink ref="W1003" r:id="rId2283" display="https://reklama.cncenter.cz/Online/nativni-rectangle-cross-device"/>
    <hyperlink ref="D1004" r:id="rId2284" display="https://vtm.zive.cz/"/>
    <hyperlink ref="F1004" r:id="rId2285" display="https://vtm.zive.cz/"/>
    <hyperlink ref="W1004" r:id="rId2286" display="https://reklama.cncenter.cz/Online/Outstream"/>
    <hyperlink ref="D1005" r:id="rId2287" display="https://vtm.zive.cz/"/>
    <hyperlink ref="F1005" r:id="rId2288" display="https://vtm.zive.cz/"/>
    <hyperlink ref="W1005" r:id="rId2289" display="https://reklama.cncenter.cz/Online/double-skyscraper"/>
    <hyperlink ref="D1006" r:id="rId2290" display="https://vtm.zive.cz/"/>
    <hyperlink ref="F1006" r:id="rId2291" display="https://vtm.zive.cz/"/>
    <hyperlink ref="W1006" r:id="rId2292" display="https://reklama.cncenter.cz/Online/mobilni-interscroller"/>
    <hyperlink ref="D1007" r:id="rId2293" display="https://vtm.zive.cz/"/>
    <hyperlink ref="F1007" r:id="rId2294" display="https://vtm.zive.cz/"/>
    <hyperlink ref="W1007" r:id="rId2295" display="https://reklama.cncenter.cz/Online/mobilni-slide-up"/>
    <hyperlink ref="D1008" r:id="rId2296" display="https://vtm.zive.cz/"/>
    <hyperlink ref="F1008" r:id="rId2297" display="https://vtm.zive.cz/"/>
    <hyperlink ref="W1008" r:id="rId2298" display="https://reklama.cncenter.cz/Online/mobilni-vineta"/>
    <hyperlink ref="D1009" r:id="rId2299" display="https://vtm.zive.cz/"/>
    <hyperlink ref="F1009" r:id="rId2300" display="https://vtm.zive.cz/"/>
    <hyperlink ref="W1009" r:id="rId2301" display="https://reklama.cncenter.cz/Online/nativni-rectangle-cross-device"/>
    <hyperlink ref="D1010" r:id="rId2302" display="https://vtm.zive.cz/"/>
    <hyperlink ref="F1010" r:id="rId2303" display="https://vtm.zive.cz/"/>
    <hyperlink ref="W1010" r:id="rId2304" display="https://reklama.cncenter.cz/Online/Outstream"/>
    <hyperlink ref="D1011" r:id="rId2305" display="https://x.com/"/>
    <hyperlink ref="F1011" r:id="rId2306" display="https://x.com/"/>
    <hyperlink ref="D1012" r:id="rId2307" display="https://x.com/"/>
    <hyperlink ref="F1012" r:id="rId2308" display="https://x.com/"/>
    <hyperlink ref="D1013" r:id="rId2309" display="https://youradio.cz/"/>
    <hyperlink ref="F1013" r:id="rId2310" display="https://youradio.cz/"/>
    <hyperlink ref="W1013" r:id="rId2311" display="https://reklama.cncenter.cz/Online/double-skyscraper"/>
    <hyperlink ref="D1014" r:id="rId2312" display="https://youradio.cz/"/>
    <hyperlink ref="F1014" r:id="rId2313" display="https://youradio.cz/"/>
    <hyperlink ref="W1014" r:id="rId2314" display="https://reklama.cncenter.cz/Online/double-skyscraper"/>
    <hyperlink ref="D1015" r:id="rId2315" display="https://zeny.cz/"/>
    <hyperlink ref="F1015" r:id="rId2316" display="https://zeny.cz/"/>
    <hyperlink ref="D1016" r:id="rId2317" display="https://zeny.cz/"/>
    <hyperlink ref="F1016" r:id="rId2318" display="https://zeny.cz/"/>
    <hyperlink ref="W1016" r:id="rId2319" display="https://reklama.cncenter.cz/Online/billboard-bottom"/>
    <hyperlink ref="D1017" r:id="rId2320" display="https://zeny.cz/"/>
    <hyperlink ref="F1017" r:id="rId2321" display="https://zeny.cz/"/>
    <hyperlink ref="W1017" r:id="rId2322" display="https://reklama.cncenter.cz/Online/branding-cross-device"/>
    <hyperlink ref="D1018" r:id="rId2323" display="https://zeny.cz/"/>
    <hyperlink ref="F1018" r:id="rId2324" display="https://zeny.cz/"/>
    <hyperlink ref="W1018" r:id="rId2325" display="https://reklama.cncenter.cz/Online/branding"/>
    <hyperlink ref="D1019" r:id="rId2326" display="https://zeny.cz/"/>
    <hyperlink ref="F1019" r:id="rId2327" display="https://zeny.cz/"/>
    <hyperlink ref="W1019" r:id="rId2328" display="https://reklama.cncenter.cz/Online/billboard-bottom"/>
    <hyperlink ref="D1020" r:id="rId2329" display="https://zeny.cz/"/>
    <hyperlink ref="F1020" r:id="rId2330" display="https://zeny.cz/"/>
    <hyperlink ref="W1020" r:id="rId2331" display="https://reklama.cncenter.cz/Online/branding-cross-device"/>
    <hyperlink ref="D1021" r:id="rId2332" display="https://zeny.cz/"/>
    <hyperlink ref="F1021" r:id="rId2333" display="https://zeny.cz/"/>
    <hyperlink ref="W1021" r:id="rId2334" display="https://reklama.cncenter.cz/Online/branding"/>
    <hyperlink ref="D1022" r:id="rId2335" display="https://zeny.cz/"/>
    <hyperlink ref="F1022" r:id="rId2336" display="https://zeny.cz/"/>
    <hyperlink ref="W1022" r:id="rId2337" display="https://reklama.cncenter.cz/Online/double-skyscraper"/>
    <hyperlink ref="D1023" r:id="rId2338" display="https://zeny.cz/"/>
    <hyperlink ref="F1023" r:id="rId2339" display="https://zeny.cz/"/>
    <hyperlink ref="W1023" r:id="rId2340" display="https://reklama.cncenter.cz/Online/Videospot"/>
    <hyperlink ref="D1024" r:id="rId2341" display="https://zeny.cz/"/>
    <hyperlink ref="F1024" r:id="rId2342" display="https://zeny.cz/"/>
    <hyperlink ref="W1024" r:id="rId2343" display="https://reklama.cncenter.cz/Online/mobilni-interscroller"/>
    <hyperlink ref="D1025" r:id="rId2344" display="https://zeny.cz/"/>
    <hyperlink ref="F1025" r:id="rId2345" display="https://zeny.cz/"/>
    <hyperlink ref="W1025" r:id="rId2346" display="https://reklama.cncenter.cz/Online/mobilni-slide-up"/>
    <hyperlink ref="D1026" r:id="rId2347" display="https://zeny.cz/"/>
    <hyperlink ref="F1026" r:id="rId2348" display="https://zeny.cz/"/>
    <hyperlink ref="W1026" r:id="rId2349" display="https://reklama.cncenter.cz/Online/mobilni-vineta"/>
    <hyperlink ref="D1027" r:id="rId2350" display="https://zeny.cz/"/>
    <hyperlink ref="F1027" r:id="rId2351" display="https://zeny.cz/"/>
    <hyperlink ref="W1027" r:id="rId2352" display="https://reklama.cncenter.cz/Online/nativni-PR-premium"/>
    <hyperlink ref="D1028" r:id="rId2353" display="https://zeny.cz/"/>
    <hyperlink ref="F1028" r:id="rId2354" display="https://zeny.cz/"/>
    <hyperlink ref="W1028" r:id="rId2355" display="https://reklama.cncenter.cz/Online/nativni-rectangle-cross-device"/>
    <hyperlink ref="D1029" r:id="rId2356" display="https://zeny.cz/"/>
    <hyperlink ref="F1029" r:id="rId2357" display="https://zeny.cz/"/>
    <hyperlink ref="W1029" r:id="rId2358" display="https://reklama.cncenter.cz/Online/Outstream"/>
    <hyperlink ref="D1030" r:id="rId2359" display="https://zeny.cz/"/>
    <hyperlink ref="F1030" r:id="rId2360" display="https://zeny.cz/"/>
    <hyperlink ref="W1030" r:id="rId2361" display="https://reklama.cncenter.cz/Online/Bumper"/>
    <hyperlink ref="D1031" r:id="rId2362" display="https://zeny.cz/"/>
    <hyperlink ref="F1031" r:id="rId2363" display="https://zeny.cz/"/>
    <hyperlink ref="D1032" r:id="rId2364" display="https://zeny.cz/"/>
    <hyperlink ref="F1032" r:id="rId2365" display="https://zeny.cz/"/>
    <hyperlink ref="W1032" r:id="rId2366" display="https://reklama.cncenter.cz/Online/double-skyscraper"/>
    <hyperlink ref="D1033" r:id="rId2367" display="https://zeny.cz/"/>
    <hyperlink ref="F1033" r:id="rId2368" display="https://zeny.cz/"/>
    <hyperlink ref="W1033" r:id="rId2369" display="https://reklama.cncenter.cz/Online/Videospot"/>
    <hyperlink ref="D1034" r:id="rId2370" display="https://zeny.cz/"/>
    <hyperlink ref="F1034" r:id="rId2371" display="https://zeny.cz/"/>
    <hyperlink ref="W1034" r:id="rId2372" display="https://reklama.cncenter.cz/Online/mobilni-interscroller"/>
    <hyperlink ref="D1035" r:id="rId2373" display="https://zeny.cz/"/>
    <hyperlink ref="F1035" r:id="rId2374" display="https://zeny.cz/"/>
    <hyperlink ref="W1035" r:id="rId2375" display="https://reklama.cncenter.cz/Online/mobilni-slide-up"/>
    <hyperlink ref="D1036" r:id="rId2376" display="https://zeny.cz/"/>
    <hyperlink ref="F1036" r:id="rId2377" display="https://zeny.cz/"/>
    <hyperlink ref="W1036" r:id="rId2378" display="https://reklama.cncenter.cz/Online/mobilni-vineta"/>
    <hyperlink ref="D1037" r:id="rId2379" display="https://zeny.cz/"/>
    <hyperlink ref="F1037" r:id="rId2380" display="https://zeny.cz/"/>
    <hyperlink ref="D1038" r:id="rId2381" display="https://zeny.cz/"/>
    <hyperlink ref="F1038" r:id="rId2382" display="https://zeny.cz/"/>
    <hyperlink ref="W1038" r:id="rId2383" display="https://reklama.cncenter.cz/Online/nativni-PR-premium"/>
    <hyperlink ref="D1039" r:id="rId2384" display="https://zeny.cz/"/>
    <hyperlink ref="F1039" r:id="rId2385" display="https://zeny.cz/"/>
    <hyperlink ref="W1039" r:id="rId2386" display="https://reklama.cncenter.cz/Online/nativni-rectangle-cross-device"/>
    <hyperlink ref="D1040" r:id="rId2387" display="https://zeny.cz/"/>
    <hyperlink ref="F1040" r:id="rId2388" display="https://zeny.cz/"/>
    <hyperlink ref="W1040" r:id="rId2389" display="https://reklama.cncenter.cz/Online/Outstream"/>
    <hyperlink ref="D1041" r:id="rId2390" display="https://zeny.cz/"/>
    <hyperlink ref="F1041" r:id="rId2391" display="https://zeny.cz/"/>
    <hyperlink ref="W1041" r:id="rId2392" display="https://reklama.cncenter.cz/?ads=PR%2520%25C4%258Dl%25C3%25A1nky"/>
    <hyperlink ref="D1042" r:id="rId2393" display="https://zeny.cz/"/>
    <hyperlink ref="F1042" r:id="rId2394" display="https://zeny.cz/"/>
    <hyperlink ref="D1043" r:id="rId2395" display="https://zeny.cz/"/>
    <hyperlink ref="F1043" r:id="rId2396" display="https://zeny.cz/"/>
    <hyperlink ref="D1044" r:id="rId2397" display="https://zeny.cz/"/>
    <hyperlink ref="F1044" r:id="rId2398" display="https://zeny.cz/"/>
    <hyperlink ref="D1045" r:id="rId2399" display="https://zeny.cz/"/>
    <hyperlink ref="F1045" r:id="rId2400" display="https://zeny.cz/"/>
    <hyperlink ref="W1045" r:id="rId2401" display="https://reklama.cncenter.cz/Online/Bumper"/>
    <hyperlink ref="D1046" r:id="rId2402" display="https://zive.cz/"/>
    <hyperlink ref="F1046" r:id="rId2403" display="https://zive.cz/"/>
    <hyperlink ref="D1047" r:id="rId2404" display="https://zive.cz/"/>
    <hyperlink ref="F1047" r:id="rId2405" display="https://zive.cz/"/>
    <hyperlink ref="W1047" r:id="rId2406" display="https://reklama.cncenter.cz/Online/billboard-bottom"/>
    <hyperlink ref="D1048" r:id="rId2407" display="https://zive.cz/"/>
    <hyperlink ref="F1048" r:id="rId2408" display="https://zive.cz/"/>
    <hyperlink ref="W1048" r:id="rId2409" display="https://reklama.cncenter.cz/Online/branding-cross-device"/>
    <hyperlink ref="D1049" r:id="rId2410" display="https://zive.cz/"/>
    <hyperlink ref="F1049" r:id="rId2411" display="https://zive.cz/"/>
    <hyperlink ref="W1049" r:id="rId2412" display="https://reklama.cncenter.cz/Online/branding"/>
    <hyperlink ref="D1050" r:id="rId2413" display="https://zive.cz/"/>
    <hyperlink ref="F1050" r:id="rId2414" display="https://zive.cz/"/>
    <hyperlink ref="W1050" r:id="rId2415" display="https://reklama.cncenter.cz/Online/billboard-bottom"/>
    <hyperlink ref="D1051" r:id="rId2416" display="https://zive.cz/"/>
    <hyperlink ref="F1051" r:id="rId2417" display="https://zive.cz/"/>
    <hyperlink ref="W1051" r:id="rId2418" display="https://reklama.cncenter.cz/Online/branding-cross-device"/>
    <hyperlink ref="D1052" r:id="rId2419" display="https://zive.cz/"/>
    <hyperlink ref="F1052" r:id="rId2420" display="https://zive.cz/"/>
    <hyperlink ref="W1052" r:id="rId2421" display="https://reklama.cncenter.cz/Online/branding"/>
    <hyperlink ref="D1053" r:id="rId2422" display="https://zive.cz/"/>
    <hyperlink ref="F1053" r:id="rId2423" display="https://zive.cz/"/>
    <hyperlink ref="W1053" r:id="rId2424" display="https://reklama.cncenter.cz/Online/double-skyscraper"/>
    <hyperlink ref="D1054" r:id="rId2425" display="https://zive.cz/"/>
    <hyperlink ref="F1054" r:id="rId2426" display="https://zive.cz/"/>
    <hyperlink ref="W1054" r:id="rId2427" display="https://reklama.cncenter.cz/Online/mobilni-interscroller"/>
    <hyperlink ref="D1055" r:id="rId2428" display="https://zive.cz/"/>
    <hyperlink ref="F1055" r:id="rId2429" display="https://zive.cz/"/>
    <hyperlink ref="W1055" r:id="rId2430" display="https://reklama.cncenter.cz/Online/mobilni-slide-up"/>
    <hyperlink ref="D1056" r:id="rId2431" display="https://zive.cz/"/>
    <hyperlink ref="F1056" r:id="rId2432" display="https://zive.cz/"/>
    <hyperlink ref="W1056" r:id="rId2433" display="https://reklama.cncenter.cz/Online/mobilni-vineta"/>
    <hyperlink ref="D1057" r:id="rId2434" display="https://zive.cz/"/>
    <hyperlink ref="F1057" r:id="rId2435" display="https://zive.cz/"/>
    <hyperlink ref="W1057" r:id="rId2436" display="https://reklama.cncenter.cz/Online/nativni-PR-premium"/>
    <hyperlink ref="D1058" r:id="rId2437" display="https://zive.cz/"/>
    <hyperlink ref="F1058" r:id="rId2438" display="https://zive.cz/"/>
    <hyperlink ref="W1058" r:id="rId2439" display="https://reklama.cncenter.cz/Online/nativni-rectangle-cross-device"/>
    <hyperlink ref="D1059" r:id="rId2440" display="https://zive.cz/"/>
    <hyperlink ref="F1059" r:id="rId2441" display="https://zive.cz/"/>
    <hyperlink ref="W1059" r:id="rId2442" display="https://reklama.cncenter.cz/Online/Outstream"/>
    <hyperlink ref="D1060" r:id="rId2443" display="https://zive.cz/"/>
    <hyperlink ref="F1060" r:id="rId2444" display="https://zive.cz/"/>
    <hyperlink ref="W1060" r:id="rId2445" display="https://reklama.cncenter.cz/Online/Bumper"/>
    <hyperlink ref="D1061" r:id="rId2446" display="https://zive.cz/"/>
    <hyperlink ref="F1061" r:id="rId2447" display="https://zive.cz/"/>
    <hyperlink ref="D1062" r:id="rId2448" display="https://zive.cz/"/>
    <hyperlink ref="F1062" r:id="rId2449" display="https://zive.cz/"/>
    <hyperlink ref="W1062" r:id="rId2450" display="https://reklama.cncenter.cz/Online/double-skyscraper"/>
    <hyperlink ref="D1063" r:id="rId2451" display="https://zive.cz/"/>
    <hyperlink ref="F1063" r:id="rId2452" display="https://zive.cz/"/>
    <hyperlink ref="W1063" r:id="rId2453" display="https://reklama.cncenter.cz/Online/mobilni-interscroller"/>
    <hyperlink ref="D1064" r:id="rId2454" display="https://zive.cz/"/>
    <hyperlink ref="F1064" r:id="rId2455" display="https://zive.cz/"/>
    <hyperlink ref="W1064" r:id="rId2456" display="https://reklama.cncenter.cz/Online/mobilni-slide-up"/>
    <hyperlink ref="D1065" r:id="rId2457" display="https://zive.cz/"/>
    <hyperlink ref="F1065" r:id="rId2458" display="https://zive.cz/"/>
    <hyperlink ref="W1065" r:id="rId2459" display="https://reklama.cncenter.cz/Online/mobilni-vineta"/>
    <hyperlink ref="D1066" r:id="rId2460" display="https://zive.cz/"/>
    <hyperlink ref="F1066" r:id="rId2461" display="https://zive.cz/"/>
    <hyperlink ref="D1067" r:id="rId2462" display="https://zive.cz/"/>
    <hyperlink ref="F1067" r:id="rId2463" display="https://zive.cz/"/>
    <hyperlink ref="W1067" r:id="rId2464" display="https://reklama.cncenter.cz/Online/nativni-PR-premium"/>
    <hyperlink ref="D1068" r:id="rId2465" display="https://zive.cz/"/>
    <hyperlink ref="F1068" r:id="rId2466" display="https://zive.cz/"/>
    <hyperlink ref="W1068" r:id="rId2467" display="https://reklama.cncenter.cz/Online/nativni-rectangle-cross-device"/>
    <hyperlink ref="D1069" r:id="rId2468" display="https://zive.cz/"/>
    <hyperlink ref="F1069" r:id="rId2469" display="https://zive.cz/"/>
    <hyperlink ref="W1069" r:id="rId2470" display="https://reklama.cncenter.cz/Online/Outstream"/>
    <hyperlink ref="D1070" r:id="rId2471" display="https://zive.cz/"/>
    <hyperlink ref="F1070" r:id="rId2472" display="https://zive.cz/"/>
    <hyperlink ref="W1070" r:id="rId2473" display="https://reklama.cncenter.cz/?ads=PR%2520%25C4%258Dl%25C3%25A1nky"/>
    <hyperlink ref="D1071" r:id="rId2474" display="https://zive.cz/"/>
    <hyperlink ref="F1071" r:id="rId2475" display="https://zive.cz/"/>
    <hyperlink ref="D1072" r:id="rId2476" display="https://zive.cz/"/>
    <hyperlink ref="F1072" r:id="rId2477" display="https://zive.cz/"/>
    <hyperlink ref="D1073" r:id="rId2478" display="https://zive.cz/"/>
    <hyperlink ref="F1073" r:id="rId2479" display="https://zive.cz/"/>
    <hyperlink ref="D1074" r:id="rId2480" display="https://zive.cz/"/>
    <hyperlink ref="F1074" r:id="rId2481" display="https://zive.cz/"/>
    <hyperlink ref="W1074" r:id="rId2482" display="https://reklama.cncenter.cz/Online/Bumper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074"/>
  <sheetViews>
    <sheetView workbookViewId="0">
      <selection sqref="A1:XFD1"/>
    </sheetView>
  </sheetViews>
  <sheetFormatPr defaultColWidth="14.44140625" defaultRowHeight="14.4" x14ac:dyDescent="0.3"/>
  <cols>
    <col min="1" max="1" width="20.109375" style="2" customWidth="1"/>
    <col min="2" max="2" width="21.33203125" style="2" customWidth="1"/>
    <col min="3" max="3" width="30" style="2" customWidth="1"/>
    <col min="4" max="4" width="40" style="2" customWidth="1"/>
    <col min="5" max="5" width="12" style="2" customWidth="1"/>
    <col min="6" max="6" width="25.33203125" style="2" customWidth="1"/>
    <col min="7" max="7" width="60.88671875" style="2" customWidth="1"/>
    <col min="8" max="8" width="12.44140625" style="2" customWidth="1"/>
    <col min="9" max="9" width="16.88671875" style="2" customWidth="1"/>
    <col min="10" max="10" width="7.88671875" style="2" customWidth="1"/>
    <col min="11" max="11" width="5.109375" style="2" customWidth="1"/>
    <col min="12" max="12" width="14.44140625" style="2" customWidth="1"/>
    <col min="13" max="13" width="12.109375" style="2" customWidth="1"/>
    <col min="14" max="14" width="17.88671875" style="2" customWidth="1"/>
    <col min="15" max="15" width="11.88671875" style="2" customWidth="1"/>
    <col min="16" max="16" width="12.33203125" style="2" customWidth="1"/>
    <col min="17" max="17" width="41.33203125" style="2" customWidth="1"/>
    <col min="18" max="18" width="46.5546875" style="2" customWidth="1"/>
    <col min="19" max="19" width="13.5546875" style="2" customWidth="1"/>
    <col min="20" max="20" width="7.33203125" style="2" customWidth="1"/>
    <col min="21" max="21" width="15.88671875" style="2" customWidth="1"/>
    <col min="22" max="22" width="16.5546875" style="2" customWidth="1"/>
    <col min="23" max="23" width="58.109375" style="2" customWidth="1"/>
    <col min="24" max="24" width="20.33203125" style="2" customWidth="1"/>
    <col min="25" max="25" width="15.6640625" style="2" customWidth="1"/>
    <col min="26" max="26" width="24" style="2" customWidth="1"/>
    <col min="27" max="27" width="17.5546875" style="2" customWidth="1"/>
    <col min="28" max="28" width="12.6640625" style="2" customWidth="1"/>
    <col min="29" max="31" width="14.5546875" style="2" customWidth="1"/>
    <col min="32" max="32" width="6.88671875" style="2" customWidth="1"/>
    <col min="33" max="33" width="7.5546875" style="2" customWidth="1"/>
    <col min="34" max="34" width="13.6640625" style="2" customWidth="1"/>
    <col min="35" max="35" width="14.33203125" style="2" customWidth="1"/>
    <col min="36" max="36" width="16.109375" style="2" customWidth="1"/>
    <col min="37" max="37" width="8.109375" style="2" customWidth="1"/>
    <col min="38" max="38" width="7.88671875" style="2" customWidth="1"/>
    <col min="39" max="39" width="8.6640625" style="2" customWidth="1"/>
    <col min="40" max="40" width="10.6640625" style="2" customWidth="1"/>
    <col min="41" max="46" width="4.44140625" style="2" customWidth="1"/>
    <col min="47" max="47" width="52.109375" style="2" customWidth="1"/>
    <col min="48" max="67" width="6.88671875" style="2" customWidth="1"/>
    <col min="68" max="16384" width="14.44140625" style="2"/>
  </cols>
  <sheetData>
    <row r="1" spans="1:67" ht="46.5" customHeight="1" x14ac:dyDescent="0.3">
      <c r="A1" s="1" t="s">
        <v>0</v>
      </c>
      <c r="B1" s="1" t="s">
        <v>1</v>
      </c>
      <c r="C1" s="1" t="str">
        <f ca="1">IFERROR(__xludf.DUMMYFUNCTION("QUERY({'weby  packy sprava'!C1:BD1242;  'pr produkty sprava'!C2:BD1242; 'idvert sprava'!C2:BD1242; 'SoMe site sprava'!C2:BD1242; 'active radio sprava'!C2:BD1242;  'kvizuj sprava'!C2:BD1242;  'heureka sprava'!C2:BD1242;  'tivio sprava'!C2:BD1242}, ""SELECT"&amp;" Col1, Col2, Col3, Col4, Col5, Col6, Col7, Col8, Col9, Col10, Col11, Col12, Col13, Col14, Col15, Col16, Col17,Col18, Col19, Col20, Col21, Col22, Col23, Col24, Col25, Col26, Col27, Col28, Col29, Col30, Col31, Col32, Col33, Col34, Col35, Col36, Col37, Col38"&amp;", Col39, Col40, Col41, Col42,  Col44, Col45, Col54 WHERE (Not Col50 Like '%bazary%' OR Not Col50 Like '%zbozaky%') And (Col51 Like '%mid season%' OR Col51 Like '%Celorok%') And Col53 is null Order By Col1, Col5 "")"),"web_name")</f>
        <v>web_name</v>
      </c>
      <c r="D1" s="1" t="str">
        <f ca="1">IFERROR(__xludf.DUMMYFUNCTION("""COMPUTED_VALUE"""),"web_url")</f>
        <v>web_url</v>
      </c>
      <c r="E1" s="1" t="str">
        <f ca="1">IFERROR(__xludf.DUMMYFUNCTION("""COMPUTED_VALUE"""),"section_name")</f>
        <v>section_name</v>
      </c>
      <c r="F1" s="1" t="str">
        <f ca="1">IFERROR(__xludf.DUMMYFUNCTION("""COMPUTED_VALUE"""),"section_url")</f>
        <v>section_url</v>
      </c>
      <c r="G1" s="1" t="str">
        <f ca="1">IFERROR(__xludf.DUMMYFUNCTION("""COMPUTED_VALUE"""),"format_name")</f>
        <v>format_name</v>
      </c>
      <c r="H1" s="1" t="str">
        <f ca="1">IFERROR(__xludf.DUMMYFUNCTION("""COMPUTED_VALUE"""),"buy_unit_days")</f>
        <v>buy_unit_days</v>
      </c>
      <c r="I1" s="1" t="str">
        <f ca="1">IFERROR(__xludf.DUMMYFUNCTION("""COMPUTED_VALUE"""),"price_units_number")</f>
        <v>price_units_number</v>
      </c>
      <c r="J1" s="1" t="str">
        <f ca="1">IFERROR(__xludf.DUMMYFUNCTION("""COMPUTED_VALUE"""),"price")</f>
        <v>price</v>
      </c>
      <c r="K1" s="1" t="str">
        <f ca="1">IFERROR(__xludf.DUMMYFUNCTION("""COMPUTED_VALUE"""),"users")</f>
        <v>users</v>
      </c>
      <c r="L1" s="1" t="str">
        <f ca="1">IFERROR(__xludf.DUMMYFUNCTION("""COMPUTED_VALUE"""),"buying_model")</f>
        <v>buying_model</v>
      </c>
      <c r="M1" s="1" t="str">
        <f ca="1">IFERROR(__xludf.DUMMYFUNCTION("""COMPUTED_VALUE"""),"fixed_position")</f>
        <v>fixed_position</v>
      </c>
      <c r="N1" s="1" t="str">
        <f ca="1">IFERROR(__xludf.DUMMYFUNCTION("""COMPUTED_VALUE"""),"format_max_symbols")</f>
        <v>format_max_symbols</v>
      </c>
      <c r="O1" s="1" t="str">
        <f ca="1">IFERROR(__xludf.DUMMYFUNCTION("""COMPUTED_VALUE"""),"format_width")</f>
        <v>format_width</v>
      </c>
      <c r="P1" s="1" t="str">
        <f ca="1">IFERROR(__xludf.DUMMYFUNCTION("""COMPUTED_VALUE"""),"format_height")</f>
        <v>format_height</v>
      </c>
      <c r="Q1" s="1" t="str">
        <f ca="1">IFERROR(__xludf.DUMMYFUNCTION("""COMPUTED_VALUE"""),"format_next_dimensions")</f>
        <v>format_next_dimensions</v>
      </c>
      <c r="R1" s="1" t="str">
        <f ca="1">IFERROR(__xludf.DUMMYFUNCTION("""COMPUTED_VALUE"""),"position_description")</f>
        <v>position_description</v>
      </c>
      <c r="S1" s="1" t="str">
        <f ca="1">IFERROR(__xludf.DUMMYFUNCTION("""COMPUTED_VALUE"""),"format_max_KB")</f>
        <v>format_max_KB</v>
      </c>
      <c r="T1" s="1" t="str">
        <f ca="1">IFERROR(__xludf.DUMMYFUNCTION("""COMPUTED_VALUE"""),"rotation")</f>
        <v>rotation</v>
      </c>
      <c r="U1" s="1" t="str">
        <f ca="1">IFERROR(__xludf.DUMMYFUNCTION("""COMPUTED_VALUE"""),"position_category")</f>
        <v>position_category</v>
      </c>
      <c r="V1" s="1" t="str">
        <f ca="1">IFERROR(__xludf.DUMMYFUNCTION("""COMPUTED_VALUE"""),"web_description_tp")</f>
        <v>web_description_tp</v>
      </c>
      <c r="W1" s="1" t="str">
        <f ca="1">IFERROR(__xludf.DUMMYFUNCTION("""COMPUTED_VALUE"""),"position_description_tp")</f>
        <v>position_description_tp</v>
      </c>
      <c r="X1" s="1" t="str">
        <f ca="1">IFERROR(__xludf.DUMMYFUNCTION("""COMPUTED_VALUE"""),"seller_email_reservation")</f>
        <v>seller_email_reservation</v>
      </c>
      <c r="Y1" s="1" t="str">
        <f ca="1">IFERROR(__xludf.DUMMYFUNCTION("""COMPUTED_VALUE"""),"seller_email_order")</f>
        <v>seller_email_order</v>
      </c>
      <c r="Z1" s="1" t="str">
        <f ca="1">IFERROR(__xludf.DUMMYFUNCTION("""COMPUTED_VALUE"""),"seller_email_materials")</f>
        <v>seller_email_materials</v>
      </c>
      <c r="AA1" s="1" t="str">
        <f ca="1">IFERROR(__xludf.DUMMYFUNCTION("""COMPUTED_VALUE"""),"seller_description_tp")</f>
        <v>seller_description_tp</v>
      </c>
      <c r="AB1" s="1" t="str">
        <f ca="1">IFERROR(__xludf.DUMMYFUNCTION("""COMPUTED_VALUE"""),"screenshot_url")</f>
        <v>screenshot_url</v>
      </c>
      <c r="AC1" s="1" t="str">
        <f ca="1">IFERROR(__xludf.DUMMYFUNCTION("""COMPUTED_VALUE"""),"screenshot_url_0")</f>
        <v>screenshot_url_0</v>
      </c>
      <c r="AD1" s="1" t="str">
        <f ca="1">IFERROR(__xludf.DUMMYFUNCTION("""COMPUTED_VALUE"""),"screenshot_url_1")</f>
        <v>screenshot_url_1</v>
      </c>
      <c r="AE1" s="1" t="str">
        <f ca="1">IFERROR(__xludf.DUMMYFUNCTION("""COMPUTED_VALUE"""),"screenshot_url_2")</f>
        <v>screenshot_url_2</v>
      </c>
      <c r="AF1" s="1" t="str">
        <f ca="1">IFERROR(__xludf.DUMMYFUNCTION("""COMPUTED_VALUE"""),"non_ac")</f>
        <v>non_ac</v>
      </c>
      <c r="AG1" s="1" t="str">
        <f ca="1">IFERROR(__xludf.DUMMYFUNCTION("""COMPUTED_VALUE"""),"non_fee")</f>
        <v>non_fee</v>
      </c>
      <c r="AH1" s="1" t="str">
        <f ca="1">IFERROR(__xludf.DUMMYFUNCTION("""COMPUTED_VALUE"""),"private_position")</f>
        <v>private_position</v>
      </c>
      <c r="AI1" s="1" t="str">
        <f ca="1">IFERROR(__xludf.DUMMYFUNCTION("""COMPUTED_VALUE"""),"position_charges")</f>
        <v>position_charges</v>
      </c>
      <c r="AJ1" s="1" t="str">
        <f ca="1">IFERROR(__xludf.DUMMYFUNCTION("""COMPUTED_VALUE"""),"maximum_capacity")</f>
        <v>maximum_capacity</v>
      </c>
      <c r="AK1" s="1" t="str">
        <f ca="1">IFERROR(__xludf.DUMMYFUNCTION("""COMPUTED_VALUE"""),"language")</f>
        <v>language</v>
      </c>
      <c r="AL1" s="1" t="str">
        <f ca="1">IFERROR(__xludf.DUMMYFUNCTION("""COMPUTED_VALUE"""),"click_tag")</f>
        <v>click_tag</v>
      </c>
      <c r="AM1" s="1" t="str">
        <f ca="1">IFERROR(__xludf.DUMMYFUNCTION("""COMPUTED_VALUE"""),"file_types")</f>
        <v>file_types</v>
      </c>
      <c r="AN1" s="1" t="str">
        <f ca="1">IFERROR(__xludf.DUMMYFUNCTION("""COMPUTED_VALUE"""),"platform")</f>
        <v>platform</v>
      </c>
      <c r="AO1" s="1" t="str">
        <f ca="1">IFERROR(__xludf.DUMMYFUNCTION("""COMPUTED_VALUE"""),"cat1")</f>
        <v>cat1</v>
      </c>
      <c r="AP1" s="1" t="str">
        <f ca="1">IFERROR(__xludf.DUMMYFUNCTION("""COMPUTED_VALUE"""),"cat2")</f>
        <v>cat2</v>
      </c>
      <c r="AQ1" s="1" t="str">
        <f ca="1">IFERROR(__xludf.DUMMYFUNCTION("""COMPUTED_VALUE"""),"cat3")</f>
        <v>cat3</v>
      </c>
      <c r="AR1" s="1" t="str">
        <f ca="1">IFERROR(__xludf.DUMMYFUNCTION("""COMPUTED_VALUE"""),"cat4")</f>
        <v>cat4</v>
      </c>
      <c r="AS1" s="1" t="str">
        <f ca="1">IFERROR(__xludf.DUMMYFUNCTION("""COMPUTED_VALUE"""),"cat6")</f>
        <v>cat6</v>
      </c>
      <c r="AT1" s="1" t="str">
        <f ca="1">IFERROR(__xludf.DUMMYFUNCTION("""COMPUTED_VALUE"""),"cat7")</f>
        <v>cat7</v>
      </c>
      <c r="AU1" s="1" t="str">
        <f ca="1">IFERROR(__xludf.DUMMYFUNCTION("""COMPUTED_VALUE"""),"format_name_admon")</f>
        <v>format_name_admon</v>
      </c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 x14ac:dyDescent="0.3">
      <c r="A2" s="3">
        <f t="array" ref="A2:A1074" ca="1">IF(ISTEXT(C2:INDIRECT("C"&amp;(COUNTA(C:C)))),seller_ic_def,"")</f>
        <v>2346826</v>
      </c>
      <c r="B2" s="3" t="str">
        <f t="array" ref="B2:B1074" ca="1">IF(ISTEXT(C2:INDIRECT("C"&amp;(COUNTA(C:C)))),seller_name_def,"")</f>
        <v>CZECH NEWS CENTER a. s.</v>
      </c>
      <c r="C2" s="3" t="str">
        <f ca="1">IFERROR(__xludf.DUMMYFUNCTION("""COMPUTED_VALUE"""),"Abeceda zahrady")</f>
        <v>Abeceda zahrady</v>
      </c>
      <c r="D2" s="4" t="str">
        <f ca="1">IFERROR(__xludf.DUMMYFUNCTION("""COMPUTED_VALUE"""),"https://abecedazahrady.dama.cz")</f>
        <v>https://abecedazahrady.dama.cz</v>
      </c>
      <c r="E2" s="3" t="str">
        <f ca="1">IFERROR(__xludf.DUMMYFUNCTION("""COMPUTED_VALUE"""),"celý web")</f>
        <v>celý web</v>
      </c>
      <c r="F2" s="4" t="str">
        <f ca="1">IFERROR(__xludf.DUMMYFUNCTION("""COMPUTED_VALUE"""),"https://abecedazahrady.dama.cz")</f>
        <v>https://abecedazahrady.dama.cz</v>
      </c>
      <c r="G2" s="3" t="str">
        <f ca="1">IFERROR(__xludf.DUMMYFUNCTION("""COMPUTED_VALUE"""),"Advertorial mid season")</f>
        <v>Advertorial mid season</v>
      </c>
      <c r="H2" s="3">
        <f ca="1">IFERROR(__xludf.DUMMYFUNCTION("""COMPUTED_VALUE"""),1)</f>
        <v>1</v>
      </c>
      <c r="I2" s="5">
        <f ca="1">IFERROR(__xludf.DUMMYFUNCTION("""COMPUTED_VALUE"""),1)</f>
        <v>1</v>
      </c>
      <c r="J2" s="5">
        <f ca="1">IFERROR(__xludf.DUMMYFUNCTION("""COMPUTED_VALUE"""),90000)</f>
        <v>90000</v>
      </c>
      <c r="K2" s="3"/>
      <c r="L2" s="3" t="str">
        <f ca="1">IFERROR(__xludf.DUMMYFUNCTION("""COMPUTED_VALUE"""),"Cost per instance")</f>
        <v>Cost per instance</v>
      </c>
      <c r="M2" s="3"/>
      <c r="N2" s="3"/>
      <c r="O2" s="3"/>
      <c r="P2" s="3"/>
      <c r="Q2" s="3"/>
      <c r="R2" s="3"/>
      <c r="S2" s="3" t="str">
        <f ca="1">IFERROR(__xludf.DUMMYFUNCTION("""COMPUTED_VALUE"""),"100")</f>
        <v>100</v>
      </c>
      <c r="T2" s="3"/>
      <c r="U2" s="3" t="str">
        <f ca="1">IFERROR(__xludf.DUMMYFUNCTION("""COMPUTED_VALUE"""),"pr článek")</f>
        <v>pr článek</v>
      </c>
      <c r="V2" s="3"/>
      <c r="W2" s="3"/>
      <c r="X2" s="3"/>
      <c r="Y2" s="3"/>
      <c r="Z2" s="3" t="str">
        <f ca="1">IFERROR(__xludf.DUMMYFUNCTION("""COMPUTED_VALUE"""),"podklady@cncenter.cz")</f>
        <v>podklady@cncenter.cz</v>
      </c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 t="str">
        <f ca="1">IFERROR(__xludf.DUMMYFUNCTION("""COMPUTED_VALUE"""),"cross-device")</f>
        <v>cross-device</v>
      </c>
      <c r="AO2" s="3"/>
      <c r="AP2" s="3"/>
      <c r="AQ2" s="3"/>
      <c r="AR2" s="3"/>
      <c r="AS2" s="3"/>
      <c r="AT2" s="3"/>
      <c r="AU2" s="3" t="str">
        <f ca="1">IFERROR(__xludf.DUMMYFUNCTION("""COMPUTED_VALUE"""),"Advertorial")</f>
        <v>Advertorial</v>
      </c>
    </row>
    <row r="3" spans="1:67" x14ac:dyDescent="0.3">
      <c r="A3" s="3">
        <f ca="1"/>
        <v>2346826</v>
      </c>
      <c r="B3" s="3" t="str">
        <f ca="1"/>
        <v>CZECH NEWS CENTER a. s.</v>
      </c>
      <c r="C3" s="3" t="str">
        <f ca="1">IFERROR(__xludf.DUMMYFUNCTION("""COMPUTED_VALUE"""),"Abeceda zahrady")</f>
        <v>Abeceda zahrady</v>
      </c>
      <c r="D3" s="4" t="str">
        <f ca="1">IFERROR(__xludf.DUMMYFUNCTION("""COMPUTED_VALUE"""),"https://abecedazahrady.dama.cz")</f>
        <v>https://abecedazahrady.dama.cz</v>
      </c>
      <c r="E3" s="3" t="str">
        <f ca="1">IFERROR(__xludf.DUMMYFUNCTION("""COMPUTED_VALUE"""),"celý web")</f>
        <v>celý web</v>
      </c>
      <c r="F3" s="4" t="str">
        <f ca="1">IFERROR(__xludf.DUMMYFUNCTION("""COMPUTED_VALUE"""),"https://abecedazahrady.dama.cz")</f>
        <v>https://abecedazahrady.dama.cz</v>
      </c>
      <c r="G3" s="3" t="str">
        <f ca="1">IFERROR(__xludf.DUMMYFUNCTION("""COMPUTED_VALUE"""),"billboard bottom mid season")</f>
        <v>billboard bottom mid season</v>
      </c>
      <c r="H3" s="3">
        <f ca="1">IFERROR(__xludf.DUMMYFUNCTION("""COMPUTED_VALUE"""),7)</f>
        <v>7</v>
      </c>
      <c r="I3" s="5">
        <f ca="1">IFERROR(__xludf.DUMMYFUNCTION("""COMPUTED_VALUE"""),1000)</f>
        <v>1000</v>
      </c>
      <c r="J3" s="5">
        <f ca="1">IFERROR(__xludf.DUMMYFUNCTION("""COMPUTED_VALUE"""),340)</f>
        <v>340</v>
      </c>
      <c r="K3" s="3"/>
      <c r="L3" s="3" t="str">
        <f ca="1">IFERROR(__xludf.DUMMYFUNCTION("""COMPUTED_VALUE"""),"Cost per period")</f>
        <v>Cost per period</v>
      </c>
      <c r="M3" s="3"/>
      <c r="N3" s="3"/>
      <c r="O3" s="3" t="str">
        <f ca="1">IFERROR(__xludf.DUMMYFUNCTION("""COMPUTED_VALUE"""),"970")</f>
        <v>970</v>
      </c>
      <c r="P3" s="3" t="str">
        <f ca="1">IFERROR(__xludf.DUMMYFUNCTION("""COMPUTED_VALUE"""),"250")</f>
        <v>250</v>
      </c>
      <c r="Q3" s="3" t="str">
        <f ca="1">IFERROR(__xludf.DUMMYFUNCTION("""COMPUTED_VALUE"""),"970x250")</f>
        <v>970x250</v>
      </c>
      <c r="R3" s="3"/>
      <c r="S3" s="3" t="str">
        <f ca="1">IFERROR(__xludf.DUMMYFUNCTION("""COMPUTED_VALUE"""),"100 (200 - HTML5)")</f>
        <v>100 (200 - HTML5)</v>
      </c>
      <c r="T3" s="3"/>
      <c r="U3" s="3" t="str">
        <f ca="1">IFERROR(__xludf.DUMMYFUNCTION("""COMPUTED_VALUE"""),"banner standard")</f>
        <v>banner standard</v>
      </c>
      <c r="V3" s="3"/>
      <c r="W3" s="4" t="str">
        <f ca="1">IFERROR(__xludf.DUMMYFUNCTION("""COMPUTED_VALUE"""),"https://reklama.cncenter.cz/Online/billboard-bottom")</f>
        <v>https://reklama.cncenter.cz/Online/billboard-bottom</v>
      </c>
      <c r="X3" s="3"/>
      <c r="Y3" s="3"/>
      <c r="Z3" s="3" t="str">
        <f ca="1">IFERROR(__xludf.DUMMYFUNCTION("""COMPUTED_VALUE"""),"podklady@cncenter.cz")</f>
        <v>podklady@cncenter.cz</v>
      </c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 t="str">
        <f ca="1">IFERROR(__xludf.DUMMYFUNCTION("""COMPUTED_VALUE"""),"desktop")</f>
        <v>desktop</v>
      </c>
      <c r="AO3" s="3"/>
      <c r="AP3" s="3"/>
      <c r="AQ3" s="3"/>
      <c r="AR3" s="3"/>
      <c r="AS3" s="3"/>
      <c r="AT3" s="3"/>
      <c r="AU3" s="3" t="str">
        <f ca="1">IFERROR(__xludf.DUMMYFUNCTION("""COMPUTED_VALUE"""),"billboard bottom")</f>
        <v>billboard bottom</v>
      </c>
    </row>
    <row r="4" spans="1:67" x14ac:dyDescent="0.3">
      <c r="A4" s="3">
        <f ca="1"/>
        <v>2346826</v>
      </c>
      <c r="B4" s="3" t="str">
        <f ca="1"/>
        <v>CZECH NEWS CENTER a. s.</v>
      </c>
      <c r="C4" s="3" t="str">
        <f ca="1">IFERROR(__xludf.DUMMYFUNCTION("""COMPUTED_VALUE"""),"Abeceda zahrady")</f>
        <v>Abeceda zahrady</v>
      </c>
      <c r="D4" s="4" t="str">
        <f ca="1">IFERROR(__xludf.DUMMYFUNCTION("""COMPUTED_VALUE"""),"https://abecedazahrady.dama.cz")</f>
        <v>https://abecedazahrady.dama.cz</v>
      </c>
      <c r="E4" s="3" t="str">
        <f ca="1">IFERROR(__xludf.DUMMYFUNCTION("""COMPUTED_VALUE"""),"celý web")</f>
        <v>celý web</v>
      </c>
      <c r="F4" s="4" t="str">
        <f ca="1">IFERROR(__xludf.DUMMYFUNCTION("""COMPUTED_VALUE"""),"https://abecedazahrady.dama.cz")</f>
        <v>https://abecedazahrady.dama.cz</v>
      </c>
      <c r="G4" s="3" t="str">
        <f ca="1">IFERROR(__xludf.DUMMYFUNCTION("""COMPUTED_VALUE"""),"branding cross-device mid season")</f>
        <v>branding cross-device mid season</v>
      </c>
      <c r="H4" s="3">
        <f ca="1">IFERROR(__xludf.DUMMYFUNCTION("""COMPUTED_VALUE"""),7)</f>
        <v>7</v>
      </c>
      <c r="I4" s="5">
        <f ca="1">IFERROR(__xludf.DUMMYFUNCTION("""COMPUTED_VALUE"""),1000)</f>
        <v>1000</v>
      </c>
      <c r="J4" s="5">
        <f ca="1">IFERROR(__xludf.DUMMYFUNCTION("""COMPUTED_VALUE"""),420)</f>
        <v>420</v>
      </c>
      <c r="K4" s="3"/>
      <c r="L4" s="3" t="str">
        <f ca="1">IFERROR(__xludf.DUMMYFUNCTION("""COMPUTED_VALUE"""),"Cost per period")</f>
        <v>Cost per period</v>
      </c>
      <c r="M4" s="3"/>
      <c r="N4" s="3"/>
      <c r="O4" s="3" t="str">
        <f ca="1">IFERROR(__xludf.DUMMYFUNCTION("""COMPUTED_VALUE"""),"2000")</f>
        <v>2000</v>
      </c>
      <c r="P4" s="3" t="str">
        <f ca="1">IFERROR(__xludf.DUMMYFUNCTION("""COMPUTED_VALUE"""),"1400")</f>
        <v>1400</v>
      </c>
      <c r="Q4" s="3" t="str">
        <f ca="1">IFERROR(__xludf.DUMMYFUNCTION("""COMPUTED_VALUE"""),"2000x1400 + 600x1080")</f>
        <v>2000x1400 + 600x1080</v>
      </c>
      <c r="R4" s="3"/>
      <c r="S4" s="3" t="str">
        <f ca="1">IFERROR(__xludf.DUMMYFUNCTION("""COMPUTED_VALUE"""),"500 (600 - HTLM5)")</f>
        <v>500 (600 - HTLM5)</v>
      </c>
      <c r="T4" s="3"/>
      <c r="U4" s="3" t="str">
        <f ca="1">IFERROR(__xludf.DUMMYFUNCTION("""COMPUTED_VALUE"""),"banner standard")</f>
        <v>banner standard</v>
      </c>
      <c r="V4" s="3"/>
      <c r="W4" s="4" t="str">
        <f ca="1">IFERROR(__xludf.DUMMYFUNCTION("""COMPUTED_VALUE"""),"https://reklama.cncenter.cz/Online/branding-cross-device")</f>
        <v>https://reklama.cncenter.cz/Online/branding-cross-device</v>
      </c>
      <c r="X4" s="3"/>
      <c r="Y4" s="3"/>
      <c r="Z4" s="3" t="str">
        <f ca="1">IFERROR(__xludf.DUMMYFUNCTION("""COMPUTED_VALUE"""),"podklady@cncenter.cz")</f>
        <v>podklady@cncenter.cz</v>
      </c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 t="str">
        <f ca="1">IFERROR(__xludf.DUMMYFUNCTION("""COMPUTED_VALUE"""),"cross-device")</f>
        <v>cross-device</v>
      </c>
      <c r="AO4" s="3"/>
      <c r="AP4" s="3"/>
      <c r="AQ4" s="3"/>
      <c r="AR4" s="3"/>
      <c r="AS4" s="3"/>
      <c r="AT4" s="3"/>
      <c r="AU4" s="3" t="str">
        <f ca="1">IFERROR(__xludf.DUMMYFUNCTION("""COMPUTED_VALUE"""),"branding cross-device")</f>
        <v>branding cross-device</v>
      </c>
    </row>
    <row r="5" spans="1:67" x14ac:dyDescent="0.3">
      <c r="A5" s="3">
        <f ca="1"/>
        <v>2346826</v>
      </c>
      <c r="B5" s="3" t="str">
        <f ca="1"/>
        <v>CZECH NEWS CENTER a. s.</v>
      </c>
      <c r="C5" s="3" t="str">
        <f ca="1">IFERROR(__xludf.DUMMYFUNCTION("""COMPUTED_VALUE"""),"Abeceda zahrady")</f>
        <v>Abeceda zahrady</v>
      </c>
      <c r="D5" s="4" t="str">
        <f ca="1">IFERROR(__xludf.DUMMYFUNCTION("""COMPUTED_VALUE"""),"https://abecedazahrady.dama.cz")</f>
        <v>https://abecedazahrady.dama.cz</v>
      </c>
      <c r="E5" s="3" t="str">
        <f ca="1">IFERROR(__xludf.DUMMYFUNCTION("""COMPUTED_VALUE"""),"celý web")</f>
        <v>celý web</v>
      </c>
      <c r="F5" s="4" t="str">
        <f ca="1">IFERROR(__xludf.DUMMYFUNCTION("""COMPUTED_VALUE"""),"https://abecedazahrady.dama.cz")</f>
        <v>https://abecedazahrady.dama.cz</v>
      </c>
      <c r="G5" s="3" t="str">
        <f ca="1">IFERROR(__xludf.DUMMYFUNCTION("""COMPUTED_VALUE"""),"branding mid season")</f>
        <v>branding mid season</v>
      </c>
      <c r="H5" s="3">
        <f ca="1">IFERROR(__xludf.DUMMYFUNCTION("""COMPUTED_VALUE"""),7)</f>
        <v>7</v>
      </c>
      <c r="I5" s="5">
        <f ca="1">IFERROR(__xludf.DUMMYFUNCTION("""COMPUTED_VALUE"""),1000)</f>
        <v>1000</v>
      </c>
      <c r="J5" s="5">
        <f ca="1">IFERROR(__xludf.DUMMYFUNCTION("""COMPUTED_VALUE"""),690)</f>
        <v>690</v>
      </c>
      <c r="K5" s="3"/>
      <c r="L5" s="3" t="str">
        <f ca="1">IFERROR(__xludf.DUMMYFUNCTION("""COMPUTED_VALUE"""),"Cost per period")</f>
        <v>Cost per period</v>
      </c>
      <c r="M5" s="3"/>
      <c r="N5" s="3"/>
      <c r="O5" s="3" t="str">
        <f ca="1">IFERROR(__xludf.DUMMYFUNCTION("""COMPUTED_VALUE"""),"2000")</f>
        <v>2000</v>
      </c>
      <c r="P5" s="3" t="str">
        <f ca="1">IFERROR(__xludf.DUMMYFUNCTION("""COMPUTED_VALUE"""),"1400")</f>
        <v>1400</v>
      </c>
      <c r="Q5" s="3" t="str">
        <f ca="1">IFERROR(__xludf.DUMMYFUNCTION("""COMPUTED_VALUE"""),"2000x1400")</f>
        <v>2000x1400</v>
      </c>
      <c r="R5" s="3"/>
      <c r="S5" s="3" t="str">
        <f ca="1">IFERROR(__xludf.DUMMYFUNCTION("""COMPUTED_VALUE"""),"500 + 200 (600+200 HTML5)")</f>
        <v>500 + 200 (600+200 HTML5)</v>
      </c>
      <c r="T5" s="3"/>
      <c r="U5" s="3" t="str">
        <f ca="1">IFERROR(__xludf.DUMMYFUNCTION("""COMPUTED_VALUE"""),"banner standard")</f>
        <v>banner standard</v>
      </c>
      <c r="V5" s="3"/>
      <c r="W5" s="4" t="str">
        <f ca="1">IFERROR(__xludf.DUMMYFUNCTION("""COMPUTED_VALUE"""),"https://reklama.cncenter.cz/Online/branding")</f>
        <v>https://reklama.cncenter.cz/Online/branding</v>
      </c>
      <c r="X5" s="3"/>
      <c r="Y5" s="3"/>
      <c r="Z5" s="3" t="str">
        <f ca="1">IFERROR(__xludf.DUMMYFUNCTION("""COMPUTED_VALUE"""),"podklady@cncenter.cz")</f>
        <v>podklady@cncenter.cz</v>
      </c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 t="str">
        <f ca="1">IFERROR(__xludf.DUMMYFUNCTION("""COMPUTED_VALUE"""),"desktop")</f>
        <v>desktop</v>
      </c>
      <c r="AO5" s="3"/>
      <c r="AP5" s="3"/>
      <c r="AQ5" s="3"/>
      <c r="AR5" s="3"/>
      <c r="AS5" s="3"/>
      <c r="AT5" s="3"/>
      <c r="AU5" s="3" t="str">
        <f ca="1">IFERROR(__xludf.DUMMYFUNCTION("""COMPUTED_VALUE"""),"branding")</f>
        <v>branding</v>
      </c>
    </row>
    <row r="6" spans="1:67" x14ac:dyDescent="0.3">
      <c r="A6" s="3">
        <f ca="1"/>
        <v>2346826</v>
      </c>
      <c r="B6" s="3" t="str">
        <f ca="1"/>
        <v>CZECH NEWS CENTER a. s.</v>
      </c>
      <c r="C6" s="3" t="str">
        <f ca="1">IFERROR(__xludf.DUMMYFUNCTION("""COMPUTED_VALUE"""),"Abeceda zahrady")</f>
        <v>Abeceda zahrady</v>
      </c>
      <c r="D6" s="4" t="str">
        <f ca="1">IFERROR(__xludf.DUMMYFUNCTION("""COMPUTED_VALUE"""),"https://abecedazahrady.dama.cz")</f>
        <v>https://abecedazahrady.dama.cz</v>
      </c>
      <c r="E6" s="3" t="str">
        <f ca="1">IFERROR(__xludf.DUMMYFUNCTION("""COMPUTED_VALUE"""),"celý web")</f>
        <v>celý web</v>
      </c>
      <c r="F6" s="4" t="str">
        <f ca="1">IFERROR(__xludf.DUMMYFUNCTION("""COMPUTED_VALUE"""),"https://abecedazahrady.dama.cz")</f>
        <v>https://abecedazahrady.dama.cz</v>
      </c>
      <c r="G6" s="3" t="str">
        <f ca="1">IFERROR(__xludf.DUMMYFUNCTION("""COMPUTED_VALUE"""),"cílený billboard bottom mid season")</f>
        <v>cílený billboard bottom mid season</v>
      </c>
      <c r="H6" s="3">
        <f ca="1">IFERROR(__xludf.DUMMYFUNCTION("""COMPUTED_VALUE"""),7)</f>
        <v>7</v>
      </c>
      <c r="I6" s="5">
        <f ca="1">IFERROR(__xludf.DUMMYFUNCTION("""COMPUTED_VALUE"""),1000)</f>
        <v>1000</v>
      </c>
      <c r="J6" s="5">
        <f ca="1">IFERROR(__xludf.DUMMYFUNCTION("""COMPUTED_VALUE"""),408)</f>
        <v>408</v>
      </c>
      <c r="K6" s="3"/>
      <c r="L6" s="3" t="str">
        <f ca="1">IFERROR(__xludf.DUMMYFUNCTION("""COMPUTED_VALUE"""),"Cost per period")</f>
        <v>Cost per period</v>
      </c>
      <c r="M6" s="3"/>
      <c r="N6" s="3"/>
      <c r="O6" s="3" t="str">
        <f ca="1">IFERROR(__xludf.DUMMYFUNCTION("""COMPUTED_VALUE"""),"970")</f>
        <v>970</v>
      </c>
      <c r="P6" s="3" t="str">
        <f ca="1">IFERROR(__xludf.DUMMYFUNCTION("""COMPUTED_VALUE"""),"250")</f>
        <v>250</v>
      </c>
      <c r="Q6" s="3" t="str">
        <f ca="1">IFERROR(__xludf.DUMMYFUNCTION("""COMPUTED_VALUE"""),"970x250")</f>
        <v>970x250</v>
      </c>
      <c r="R6" s="3"/>
      <c r="S6" s="3" t="str">
        <f ca="1">IFERROR(__xludf.DUMMYFUNCTION("""COMPUTED_VALUE"""),"100 (200 - HTML5)")</f>
        <v>100 (200 - HTML5)</v>
      </c>
      <c r="T6" s="3"/>
      <c r="U6" s="3" t="str">
        <f ca="1">IFERROR(__xludf.DUMMYFUNCTION("""COMPUTED_VALUE"""),"banner standard")</f>
        <v>banner standard</v>
      </c>
      <c r="V6" s="3"/>
      <c r="W6" s="4" t="str">
        <f ca="1">IFERROR(__xludf.DUMMYFUNCTION("""COMPUTED_VALUE"""),"https://reklama.cncenter.cz/Online/billboard-bottom")</f>
        <v>https://reklama.cncenter.cz/Online/billboard-bottom</v>
      </c>
      <c r="X6" s="3"/>
      <c r="Y6" s="3"/>
      <c r="Z6" s="3" t="str">
        <f ca="1">IFERROR(__xludf.DUMMYFUNCTION("""COMPUTED_VALUE"""),"podklady@cncenter.cz")</f>
        <v>podklady@cncenter.cz</v>
      </c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 t="str">
        <f ca="1">IFERROR(__xludf.DUMMYFUNCTION("""COMPUTED_VALUE"""),"desktop")</f>
        <v>desktop</v>
      </c>
      <c r="AO6" s="3"/>
      <c r="AP6" s="3"/>
      <c r="AQ6" s="3"/>
      <c r="AR6" s="3"/>
      <c r="AS6" s="3"/>
      <c r="AT6" s="3"/>
      <c r="AU6" s="3" t="str">
        <f ca="1">IFERROR(__xludf.DUMMYFUNCTION("""COMPUTED_VALUE"""),"cílený billboard bottom")</f>
        <v>cílený billboard bottom</v>
      </c>
    </row>
    <row r="7" spans="1:67" x14ac:dyDescent="0.3">
      <c r="A7" s="3">
        <f ca="1"/>
        <v>2346826</v>
      </c>
      <c r="B7" s="3" t="str">
        <f ca="1"/>
        <v>CZECH NEWS CENTER a. s.</v>
      </c>
      <c r="C7" s="3" t="str">
        <f ca="1">IFERROR(__xludf.DUMMYFUNCTION("""COMPUTED_VALUE"""),"Abeceda zahrady")</f>
        <v>Abeceda zahrady</v>
      </c>
      <c r="D7" s="4" t="str">
        <f ca="1">IFERROR(__xludf.DUMMYFUNCTION("""COMPUTED_VALUE"""),"https://abecedazahrady.dama.cz")</f>
        <v>https://abecedazahrady.dama.cz</v>
      </c>
      <c r="E7" s="3" t="str">
        <f ca="1">IFERROR(__xludf.DUMMYFUNCTION("""COMPUTED_VALUE"""),"celý web")</f>
        <v>celý web</v>
      </c>
      <c r="F7" s="4" t="str">
        <f ca="1">IFERROR(__xludf.DUMMYFUNCTION("""COMPUTED_VALUE"""),"https://abecedazahrady.dama.cz")</f>
        <v>https://abecedazahrady.dama.cz</v>
      </c>
      <c r="G7" s="3" t="str">
        <f ca="1">IFERROR(__xludf.DUMMYFUNCTION("""COMPUTED_VALUE"""),"cílený branding cross-device mid season")</f>
        <v>cílený branding cross-device mid season</v>
      </c>
      <c r="H7" s="3">
        <f ca="1">IFERROR(__xludf.DUMMYFUNCTION("""COMPUTED_VALUE"""),7)</f>
        <v>7</v>
      </c>
      <c r="I7" s="5">
        <f ca="1">IFERROR(__xludf.DUMMYFUNCTION("""COMPUTED_VALUE"""),1000)</f>
        <v>1000</v>
      </c>
      <c r="J7" s="5">
        <f ca="1">IFERROR(__xludf.DUMMYFUNCTION("""COMPUTED_VALUE"""),504)</f>
        <v>504</v>
      </c>
      <c r="K7" s="3"/>
      <c r="L7" s="3" t="str">
        <f ca="1">IFERROR(__xludf.DUMMYFUNCTION("""COMPUTED_VALUE"""),"Cost per period")</f>
        <v>Cost per period</v>
      </c>
      <c r="M7" s="3"/>
      <c r="N7" s="3"/>
      <c r="O7" s="3" t="str">
        <f ca="1">IFERROR(__xludf.DUMMYFUNCTION("""COMPUTED_VALUE"""),"2000")</f>
        <v>2000</v>
      </c>
      <c r="P7" s="3" t="str">
        <f ca="1">IFERROR(__xludf.DUMMYFUNCTION("""COMPUTED_VALUE"""),"1400")</f>
        <v>1400</v>
      </c>
      <c r="Q7" s="3" t="str">
        <f ca="1">IFERROR(__xludf.DUMMYFUNCTION("""COMPUTED_VALUE"""),"2000x1400 + 600x1080")</f>
        <v>2000x1400 + 600x1080</v>
      </c>
      <c r="R7" s="3"/>
      <c r="S7" s="3" t="str">
        <f ca="1">IFERROR(__xludf.DUMMYFUNCTION("""COMPUTED_VALUE"""),"500 (600 - HTLM5)")</f>
        <v>500 (600 - HTLM5)</v>
      </c>
      <c r="T7" s="3"/>
      <c r="U7" s="3" t="str">
        <f ca="1">IFERROR(__xludf.DUMMYFUNCTION("""COMPUTED_VALUE"""),"banner standard")</f>
        <v>banner standard</v>
      </c>
      <c r="V7" s="3"/>
      <c r="W7" s="4" t="str">
        <f ca="1">IFERROR(__xludf.DUMMYFUNCTION("""COMPUTED_VALUE"""),"https://reklama.cncenter.cz/Online/branding-cross-device")</f>
        <v>https://reklama.cncenter.cz/Online/branding-cross-device</v>
      </c>
      <c r="X7" s="3"/>
      <c r="Y7" s="3"/>
      <c r="Z7" s="3" t="str">
        <f ca="1">IFERROR(__xludf.DUMMYFUNCTION("""COMPUTED_VALUE"""),"podklady@cncenter.cz")</f>
        <v>podklady@cncenter.cz</v>
      </c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 t="str">
        <f ca="1">IFERROR(__xludf.DUMMYFUNCTION("""COMPUTED_VALUE"""),"cross-device")</f>
        <v>cross-device</v>
      </c>
      <c r="AO7" s="3"/>
      <c r="AP7" s="3"/>
      <c r="AQ7" s="3"/>
      <c r="AR7" s="3"/>
      <c r="AS7" s="3"/>
      <c r="AT7" s="3"/>
      <c r="AU7" s="3" t="str">
        <f ca="1">IFERROR(__xludf.DUMMYFUNCTION("""COMPUTED_VALUE"""),"cílený branding cross-device")</f>
        <v>cílený branding cross-device</v>
      </c>
    </row>
    <row r="8" spans="1:67" x14ac:dyDescent="0.3">
      <c r="A8" s="3">
        <f ca="1"/>
        <v>2346826</v>
      </c>
      <c r="B8" s="3" t="str">
        <f ca="1"/>
        <v>CZECH NEWS CENTER a. s.</v>
      </c>
      <c r="C8" s="3" t="str">
        <f ca="1">IFERROR(__xludf.DUMMYFUNCTION("""COMPUTED_VALUE"""),"Abeceda zahrady")</f>
        <v>Abeceda zahrady</v>
      </c>
      <c r="D8" s="4" t="str">
        <f ca="1">IFERROR(__xludf.DUMMYFUNCTION("""COMPUTED_VALUE"""),"https://abecedazahrady.dama.cz")</f>
        <v>https://abecedazahrady.dama.cz</v>
      </c>
      <c r="E8" s="3" t="str">
        <f ca="1">IFERROR(__xludf.DUMMYFUNCTION("""COMPUTED_VALUE"""),"celý web")</f>
        <v>celý web</v>
      </c>
      <c r="F8" s="4" t="str">
        <f ca="1">IFERROR(__xludf.DUMMYFUNCTION("""COMPUTED_VALUE"""),"https://abecedazahrady.dama.cz")</f>
        <v>https://abecedazahrady.dama.cz</v>
      </c>
      <c r="G8" s="3" t="str">
        <f ca="1">IFERROR(__xludf.DUMMYFUNCTION("""COMPUTED_VALUE"""),"cílený branding mid season")</f>
        <v>cílený branding mid season</v>
      </c>
      <c r="H8" s="3">
        <f ca="1">IFERROR(__xludf.DUMMYFUNCTION("""COMPUTED_VALUE"""),7)</f>
        <v>7</v>
      </c>
      <c r="I8" s="5">
        <f ca="1">IFERROR(__xludf.DUMMYFUNCTION("""COMPUTED_VALUE"""),1000)</f>
        <v>1000</v>
      </c>
      <c r="J8" s="5">
        <f ca="1">IFERROR(__xludf.DUMMYFUNCTION("""COMPUTED_VALUE"""),828)</f>
        <v>828</v>
      </c>
      <c r="K8" s="3"/>
      <c r="L8" s="3" t="str">
        <f ca="1">IFERROR(__xludf.DUMMYFUNCTION("""COMPUTED_VALUE"""),"Cost per period")</f>
        <v>Cost per period</v>
      </c>
      <c r="M8" s="3"/>
      <c r="N8" s="3"/>
      <c r="O8" s="3" t="str">
        <f ca="1">IFERROR(__xludf.DUMMYFUNCTION("""COMPUTED_VALUE"""),"2000")</f>
        <v>2000</v>
      </c>
      <c r="P8" s="3" t="str">
        <f ca="1">IFERROR(__xludf.DUMMYFUNCTION("""COMPUTED_VALUE"""),"1400")</f>
        <v>1400</v>
      </c>
      <c r="Q8" s="3" t="str">
        <f ca="1">IFERROR(__xludf.DUMMYFUNCTION("""COMPUTED_VALUE"""),"2000x1400")</f>
        <v>2000x1400</v>
      </c>
      <c r="R8" s="3"/>
      <c r="S8" s="3" t="str">
        <f ca="1">IFERROR(__xludf.DUMMYFUNCTION("""COMPUTED_VALUE"""),"500 + 200 (600+200 HTML5)")</f>
        <v>500 + 200 (600+200 HTML5)</v>
      </c>
      <c r="T8" s="3"/>
      <c r="U8" s="3" t="str">
        <f ca="1">IFERROR(__xludf.DUMMYFUNCTION("""COMPUTED_VALUE"""),"banner standard")</f>
        <v>banner standard</v>
      </c>
      <c r="V8" s="3"/>
      <c r="W8" s="4" t="str">
        <f ca="1">IFERROR(__xludf.DUMMYFUNCTION("""COMPUTED_VALUE"""),"https://reklama.cncenter.cz/Online/branding")</f>
        <v>https://reklama.cncenter.cz/Online/branding</v>
      </c>
      <c r="X8" s="3"/>
      <c r="Y8" s="3"/>
      <c r="Z8" s="3" t="str">
        <f ca="1">IFERROR(__xludf.DUMMYFUNCTION("""COMPUTED_VALUE"""),"podklady@cncenter.cz")</f>
        <v>podklady@cncenter.cz</v>
      </c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 t="str">
        <f ca="1">IFERROR(__xludf.DUMMYFUNCTION("""COMPUTED_VALUE"""),"desktop")</f>
        <v>desktop</v>
      </c>
      <c r="AO8" s="3"/>
      <c r="AP8" s="3"/>
      <c r="AQ8" s="3"/>
      <c r="AR8" s="3"/>
      <c r="AS8" s="3"/>
      <c r="AT8" s="3"/>
      <c r="AU8" s="3" t="str">
        <f ca="1">IFERROR(__xludf.DUMMYFUNCTION("""COMPUTED_VALUE"""),"cílený branding")</f>
        <v>cílený branding</v>
      </c>
    </row>
    <row r="9" spans="1:67" x14ac:dyDescent="0.3">
      <c r="A9" s="3">
        <f ca="1"/>
        <v>2346826</v>
      </c>
      <c r="B9" s="3" t="str">
        <f ca="1"/>
        <v>CZECH NEWS CENTER a. s.</v>
      </c>
      <c r="C9" s="3" t="str">
        <f ca="1">IFERROR(__xludf.DUMMYFUNCTION("""COMPUTED_VALUE"""),"Abeceda zahrady")</f>
        <v>Abeceda zahrady</v>
      </c>
      <c r="D9" s="4" t="str">
        <f ca="1">IFERROR(__xludf.DUMMYFUNCTION("""COMPUTED_VALUE"""),"https://abecedazahrady.dama.cz")</f>
        <v>https://abecedazahrady.dama.cz</v>
      </c>
      <c r="E9" s="3" t="str">
        <f ca="1">IFERROR(__xludf.DUMMYFUNCTION("""COMPUTED_VALUE"""),"celý web")</f>
        <v>celý web</v>
      </c>
      <c r="F9" s="4" t="str">
        <f ca="1">IFERROR(__xludf.DUMMYFUNCTION("""COMPUTED_VALUE"""),"https://abecedazahrady.dama.cz")</f>
        <v>https://abecedazahrady.dama.cz</v>
      </c>
      <c r="G9" s="3" t="str">
        <f ca="1">IFERROR(__xludf.DUMMYFUNCTION("""COMPUTED_VALUE"""),"cílený double skyscraper mid season")</f>
        <v>cílený double skyscraper mid season</v>
      </c>
      <c r="H9" s="3">
        <f ca="1">IFERROR(__xludf.DUMMYFUNCTION("""COMPUTED_VALUE"""),7)</f>
        <v>7</v>
      </c>
      <c r="I9" s="5">
        <f ca="1">IFERROR(__xludf.DUMMYFUNCTION("""COMPUTED_VALUE"""),1000)</f>
        <v>1000</v>
      </c>
      <c r="J9" s="5">
        <f ca="1">IFERROR(__xludf.DUMMYFUNCTION("""COMPUTED_VALUE"""),324)</f>
        <v>324</v>
      </c>
      <c r="K9" s="3"/>
      <c r="L9" s="3" t="str">
        <f ca="1">IFERROR(__xludf.DUMMYFUNCTION("""COMPUTED_VALUE"""),"Cost per period")</f>
        <v>Cost per period</v>
      </c>
      <c r="M9" s="3"/>
      <c r="N9" s="3"/>
      <c r="O9" s="3" t="str">
        <f ca="1">IFERROR(__xludf.DUMMYFUNCTION("""COMPUTED_VALUE"""),"300")</f>
        <v>300</v>
      </c>
      <c r="P9" s="3" t="str">
        <f ca="1">IFERROR(__xludf.DUMMYFUNCTION("""COMPUTED_VALUE"""),"600")</f>
        <v>600</v>
      </c>
      <c r="Q9" s="3" t="str">
        <f ca="1">IFERROR(__xludf.DUMMYFUNCTION("""COMPUTED_VALUE"""),"300x600")</f>
        <v>300x600</v>
      </c>
      <c r="R9" s="3"/>
      <c r="S9" s="3" t="str">
        <f ca="1">IFERROR(__xludf.DUMMYFUNCTION("""COMPUTED_VALUE"""),"100 (200 - HTML5)")</f>
        <v>100 (200 - HTML5)</v>
      </c>
      <c r="T9" s="3"/>
      <c r="U9" s="3" t="str">
        <f ca="1">IFERROR(__xludf.DUMMYFUNCTION("""COMPUTED_VALUE"""),"banner standard")</f>
        <v>banner standard</v>
      </c>
      <c r="V9" s="3"/>
      <c r="W9" s="4" t="str">
        <f ca="1">IFERROR(__xludf.DUMMYFUNCTION("""COMPUTED_VALUE"""),"https://reklama.cncenter.cz/Online/double-skyscraper")</f>
        <v>https://reklama.cncenter.cz/Online/double-skyscraper</v>
      </c>
      <c r="X9" s="3"/>
      <c r="Y9" s="3"/>
      <c r="Z9" s="3" t="str">
        <f ca="1">IFERROR(__xludf.DUMMYFUNCTION("""COMPUTED_VALUE"""),"podklady@cncenter.cz")</f>
        <v>podklady@cncenter.cz</v>
      </c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 t="str">
        <f ca="1">IFERROR(__xludf.DUMMYFUNCTION("""COMPUTED_VALUE"""),"desktop")</f>
        <v>desktop</v>
      </c>
      <c r="AO9" s="3"/>
      <c r="AP9" s="3"/>
      <c r="AQ9" s="3"/>
      <c r="AR9" s="3"/>
      <c r="AS9" s="3"/>
      <c r="AT9" s="3"/>
      <c r="AU9" s="3" t="str">
        <f ca="1">IFERROR(__xludf.DUMMYFUNCTION("""COMPUTED_VALUE"""),"cílený double skyscraper")</f>
        <v>cílený double skyscraper</v>
      </c>
    </row>
    <row r="10" spans="1:67" x14ac:dyDescent="0.3">
      <c r="A10" s="3">
        <f ca="1"/>
        <v>2346826</v>
      </c>
      <c r="B10" s="3" t="str">
        <f ca="1"/>
        <v>CZECH NEWS CENTER a. s.</v>
      </c>
      <c r="C10" s="3" t="str">
        <f ca="1">IFERROR(__xludf.DUMMYFUNCTION("""COMPUTED_VALUE"""),"Abeceda zahrady")</f>
        <v>Abeceda zahrady</v>
      </c>
      <c r="D10" s="4" t="str">
        <f ca="1">IFERROR(__xludf.DUMMYFUNCTION("""COMPUTED_VALUE"""),"https://abecedazahrady.dama.cz")</f>
        <v>https://abecedazahrady.dama.cz</v>
      </c>
      <c r="E10" s="3" t="str">
        <f ca="1">IFERROR(__xludf.DUMMYFUNCTION("""COMPUTED_VALUE"""),"celý web")</f>
        <v>celý web</v>
      </c>
      <c r="F10" s="4" t="str">
        <f ca="1">IFERROR(__xludf.DUMMYFUNCTION("""COMPUTED_VALUE"""),"https://abecedazahrady.dama.cz")</f>
        <v>https://abecedazahrady.dama.cz</v>
      </c>
      <c r="G10" s="3" t="str">
        <f ca="1">IFERROR(__xludf.DUMMYFUNCTION("""COMPUTED_VALUE"""),"cílený mobilní interscroller mid season")</f>
        <v>cílený mobilní interscroller mid season</v>
      </c>
      <c r="H10" s="3">
        <f ca="1">IFERROR(__xludf.DUMMYFUNCTION("""COMPUTED_VALUE"""),7)</f>
        <v>7</v>
      </c>
      <c r="I10" s="5">
        <f ca="1">IFERROR(__xludf.DUMMYFUNCTION("""COMPUTED_VALUE"""),1000)</f>
        <v>1000</v>
      </c>
      <c r="J10" s="5">
        <f ca="1">IFERROR(__xludf.DUMMYFUNCTION("""COMPUTED_VALUE"""),420)</f>
        <v>420</v>
      </c>
      <c r="K10" s="3"/>
      <c r="L10" s="3" t="str">
        <f ca="1">IFERROR(__xludf.DUMMYFUNCTION("""COMPUTED_VALUE"""),"Cost per period")</f>
        <v>Cost per period</v>
      </c>
      <c r="M10" s="3"/>
      <c r="N10" s="3"/>
      <c r="O10" s="3" t="str">
        <f ca="1">IFERROR(__xludf.DUMMYFUNCTION("""COMPUTED_VALUE"""),"600")</f>
        <v>600</v>
      </c>
      <c r="P10" s="3" t="str">
        <f ca="1">IFERROR(__xludf.DUMMYFUNCTION("""COMPUTED_VALUE"""),"1080")</f>
        <v>1080</v>
      </c>
      <c r="Q10" s="3" t="str">
        <f ca="1">IFERROR(__xludf.DUMMYFUNCTION("""COMPUTED_VALUE"""),"600x1080")</f>
        <v>600x1080</v>
      </c>
      <c r="R10" s="3"/>
      <c r="S10" s="3" t="str">
        <f ca="1">IFERROR(__xludf.DUMMYFUNCTION("""COMPUTED_VALUE"""),"200")</f>
        <v>200</v>
      </c>
      <c r="T10" s="3"/>
      <c r="U10" s="3" t="str">
        <f ca="1">IFERROR(__xludf.DUMMYFUNCTION("""COMPUTED_VALUE"""),"banner standard")</f>
        <v>banner standard</v>
      </c>
      <c r="V10" s="3"/>
      <c r="W10" s="4" t="str">
        <f ca="1">IFERROR(__xludf.DUMMYFUNCTION("""COMPUTED_VALUE"""),"https://reklama.cncenter.cz/Online/mobilni-interscroller")</f>
        <v>https://reklama.cncenter.cz/Online/mobilni-interscroller</v>
      </c>
      <c r="X10" s="3"/>
      <c r="Y10" s="3"/>
      <c r="Z10" s="3" t="str">
        <f ca="1">IFERROR(__xludf.DUMMYFUNCTION("""COMPUTED_VALUE"""),"podklady@cncenter.cz")</f>
        <v>podklady@cncenter.cz</v>
      </c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 t="str">
        <f ca="1">IFERROR(__xludf.DUMMYFUNCTION("""COMPUTED_VALUE"""),"mobile")</f>
        <v>mobile</v>
      </c>
      <c r="AO10" s="3"/>
      <c r="AP10" s="3"/>
      <c r="AQ10" s="3"/>
      <c r="AR10" s="3"/>
      <c r="AS10" s="3"/>
      <c r="AT10" s="3"/>
      <c r="AU10" s="3" t="str">
        <f ca="1">IFERROR(__xludf.DUMMYFUNCTION("""COMPUTED_VALUE"""),"cílený mobilní interscroller")</f>
        <v>cílený mobilní interscroller</v>
      </c>
    </row>
    <row r="11" spans="1:67" x14ac:dyDescent="0.3">
      <c r="A11" s="3">
        <f ca="1"/>
        <v>2346826</v>
      </c>
      <c r="B11" s="3" t="str">
        <f ca="1"/>
        <v>CZECH NEWS CENTER a. s.</v>
      </c>
      <c r="C11" s="3" t="str">
        <f ca="1">IFERROR(__xludf.DUMMYFUNCTION("""COMPUTED_VALUE"""),"Abeceda zahrady")</f>
        <v>Abeceda zahrady</v>
      </c>
      <c r="D11" s="4" t="str">
        <f ca="1">IFERROR(__xludf.DUMMYFUNCTION("""COMPUTED_VALUE"""),"https://abecedazahrady.dama.cz")</f>
        <v>https://abecedazahrady.dama.cz</v>
      </c>
      <c r="E11" s="3" t="str">
        <f ca="1">IFERROR(__xludf.DUMMYFUNCTION("""COMPUTED_VALUE"""),"celý web")</f>
        <v>celý web</v>
      </c>
      <c r="F11" s="4" t="str">
        <f ca="1">IFERROR(__xludf.DUMMYFUNCTION("""COMPUTED_VALUE"""),"https://abecedazahrady.dama.cz")</f>
        <v>https://abecedazahrady.dama.cz</v>
      </c>
      <c r="G11" s="3" t="str">
        <f ca="1">IFERROR(__xludf.DUMMYFUNCTION("""COMPUTED_VALUE"""),"cílený mobilní slide-up mid season")</f>
        <v>cílený mobilní slide-up mid season</v>
      </c>
      <c r="H11" s="3">
        <f ca="1">IFERROR(__xludf.DUMMYFUNCTION("""COMPUTED_VALUE"""),7)</f>
        <v>7</v>
      </c>
      <c r="I11" s="5">
        <f ca="1">IFERROR(__xludf.DUMMYFUNCTION("""COMPUTED_VALUE"""),1000)</f>
        <v>1000</v>
      </c>
      <c r="J11" s="5">
        <f ca="1">IFERROR(__xludf.DUMMYFUNCTION("""COMPUTED_VALUE"""),864)</f>
        <v>864</v>
      </c>
      <c r="K11" s="3"/>
      <c r="L11" s="3" t="str">
        <f ca="1">IFERROR(__xludf.DUMMYFUNCTION("""COMPUTED_VALUE"""),"Cost per period")</f>
        <v>Cost per period</v>
      </c>
      <c r="M11" s="3"/>
      <c r="N11" s="3"/>
      <c r="O11" s="3" t="str">
        <f ca="1">IFERROR(__xludf.DUMMYFUNCTION("""COMPUTED_VALUE"""),"300")</f>
        <v>300</v>
      </c>
      <c r="P11" s="3" t="str">
        <f ca="1">IFERROR(__xludf.DUMMYFUNCTION("""COMPUTED_VALUE"""),"120")</f>
        <v>120</v>
      </c>
      <c r="Q11" s="3" t="str">
        <f ca="1">IFERROR(__xludf.DUMMYFUNCTION("""COMPUTED_VALUE"""),"300x120")</f>
        <v>300x120</v>
      </c>
      <c r="R11" s="3"/>
      <c r="S11" s="3" t="str">
        <f ca="1">IFERROR(__xludf.DUMMYFUNCTION("""COMPUTED_VALUE"""),"100")</f>
        <v>100</v>
      </c>
      <c r="T11" s="3"/>
      <c r="U11" s="3" t="str">
        <f ca="1">IFERROR(__xludf.DUMMYFUNCTION("""COMPUTED_VALUE"""),"banner standard")</f>
        <v>banner standard</v>
      </c>
      <c r="V11" s="3"/>
      <c r="W11" s="4" t="str">
        <f ca="1">IFERROR(__xludf.DUMMYFUNCTION("""COMPUTED_VALUE"""),"https://reklama.cncenter.cz/Online/mobilni-slide-up")</f>
        <v>https://reklama.cncenter.cz/Online/mobilni-slide-up</v>
      </c>
      <c r="X11" s="3"/>
      <c r="Y11" s="3"/>
      <c r="Z11" s="3" t="str">
        <f ca="1">IFERROR(__xludf.DUMMYFUNCTION("""COMPUTED_VALUE"""),"podklady@cncenter.cz")</f>
        <v>podklady@cncenter.cz</v>
      </c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 t="str">
        <f ca="1">IFERROR(__xludf.DUMMYFUNCTION("""COMPUTED_VALUE"""),"mobile")</f>
        <v>mobile</v>
      </c>
      <c r="AO11" s="3"/>
      <c r="AP11" s="3"/>
      <c r="AQ11" s="3"/>
      <c r="AR11" s="3"/>
      <c r="AS11" s="3"/>
      <c r="AT11" s="3"/>
      <c r="AU11" s="3" t="str">
        <f ca="1">IFERROR(__xludf.DUMMYFUNCTION("""COMPUTED_VALUE"""),"cílený mobilní slide-up")</f>
        <v>cílený mobilní slide-up</v>
      </c>
    </row>
    <row r="12" spans="1:67" x14ac:dyDescent="0.3">
      <c r="A12" s="3">
        <f ca="1"/>
        <v>2346826</v>
      </c>
      <c r="B12" s="3" t="str">
        <f ca="1"/>
        <v>CZECH NEWS CENTER a. s.</v>
      </c>
      <c r="C12" s="3" t="str">
        <f ca="1">IFERROR(__xludf.DUMMYFUNCTION("""COMPUTED_VALUE"""),"Abeceda zahrady")</f>
        <v>Abeceda zahrady</v>
      </c>
      <c r="D12" s="4" t="str">
        <f ca="1">IFERROR(__xludf.DUMMYFUNCTION("""COMPUTED_VALUE"""),"https://abecedazahrady.dama.cz")</f>
        <v>https://abecedazahrady.dama.cz</v>
      </c>
      <c r="E12" s="3" t="str">
        <f ca="1">IFERROR(__xludf.DUMMYFUNCTION("""COMPUTED_VALUE"""),"celý web")</f>
        <v>celý web</v>
      </c>
      <c r="F12" s="4" t="str">
        <f ca="1">IFERROR(__xludf.DUMMYFUNCTION("""COMPUTED_VALUE"""),"https://abecedazahrady.dama.cz")</f>
        <v>https://abecedazahrady.dama.cz</v>
      </c>
      <c r="G12" s="3" t="str">
        <f ca="1">IFERROR(__xludf.DUMMYFUNCTION("""COMPUTED_VALUE"""),"cílený mobilní viněta mid season")</f>
        <v>cílený mobilní viněta mid season</v>
      </c>
      <c r="H12" s="3">
        <f ca="1">IFERROR(__xludf.DUMMYFUNCTION("""COMPUTED_VALUE"""),7)</f>
        <v>7</v>
      </c>
      <c r="I12" s="5">
        <f ca="1">IFERROR(__xludf.DUMMYFUNCTION("""COMPUTED_VALUE"""),1000)</f>
        <v>1000</v>
      </c>
      <c r="J12" s="5">
        <f ca="1">IFERROR(__xludf.DUMMYFUNCTION("""COMPUTED_VALUE"""),1488)</f>
        <v>1488</v>
      </c>
      <c r="K12" s="3"/>
      <c r="L12" s="3" t="str">
        <f ca="1">IFERROR(__xludf.DUMMYFUNCTION("""COMPUTED_VALUE"""),"Cost per period")</f>
        <v>Cost per period</v>
      </c>
      <c r="M12" s="3"/>
      <c r="N12" s="3"/>
      <c r="O12" s="3" t="str">
        <f ca="1">IFERROR(__xludf.DUMMYFUNCTION("""COMPUTED_VALUE"""),"600")</f>
        <v>600</v>
      </c>
      <c r="P12" s="3" t="str">
        <f ca="1">IFERROR(__xludf.DUMMYFUNCTION("""COMPUTED_VALUE"""),"800")</f>
        <v>800</v>
      </c>
      <c r="Q12" s="3" t="str">
        <f ca="1">IFERROR(__xludf.DUMMYFUNCTION("""COMPUTED_VALUE"""),"300x250 nebo 600x800")</f>
        <v>300x250 nebo 600x800</v>
      </c>
      <c r="R12" s="3"/>
      <c r="S12" s="3" t="str">
        <f ca="1">IFERROR(__xludf.DUMMYFUNCTION("""COMPUTED_VALUE"""),"100")</f>
        <v>100</v>
      </c>
      <c r="T12" s="3"/>
      <c r="U12" s="3" t="str">
        <f ca="1">IFERROR(__xludf.DUMMYFUNCTION("""COMPUTED_VALUE"""),"banner standard")</f>
        <v>banner standard</v>
      </c>
      <c r="V12" s="3"/>
      <c r="W12" s="4" t="str">
        <f ca="1">IFERROR(__xludf.DUMMYFUNCTION("""COMPUTED_VALUE"""),"https://reklama.cncenter.cz/Online/mobilni-vineta")</f>
        <v>https://reklama.cncenter.cz/Online/mobilni-vineta</v>
      </c>
      <c r="X12" s="3"/>
      <c r="Y12" s="3"/>
      <c r="Z12" s="3" t="str">
        <f ca="1">IFERROR(__xludf.DUMMYFUNCTION("""COMPUTED_VALUE"""),"podklady@cncenter.cz")</f>
        <v>podklady@cncenter.cz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 t="str">
        <f ca="1">IFERROR(__xludf.DUMMYFUNCTION("""COMPUTED_VALUE"""),"mobile")</f>
        <v>mobile</v>
      </c>
      <c r="AO12" s="3"/>
      <c r="AP12" s="3"/>
      <c r="AQ12" s="3"/>
      <c r="AR12" s="3"/>
      <c r="AS12" s="3"/>
      <c r="AT12" s="3"/>
      <c r="AU12" s="3" t="str">
        <f ca="1">IFERROR(__xludf.DUMMYFUNCTION("""COMPUTED_VALUE"""),"cílený mobilní viněta")</f>
        <v>cílený mobilní viněta</v>
      </c>
    </row>
    <row r="13" spans="1:67" x14ac:dyDescent="0.3">
      <c r="A13" s="3">
        <f ca="1"/>
        <v>2346826</v>
      </c>
      <c r="B13" s="3" t="str">
        <f ca="1"/>
        <v>CZECH NEWS CENTER a. s.</v>
      </c>
      <c r="C13" s="3" t="str">
        <f ca="1">IFERROR(__xludf.DUMMYFUNCTION("""COMPUTED_VALUE"""),"Abeceda zahrady")</f>
        <v>Abeceda zahrady</v>
      </c>
      <c r="D13" s="4" t="str">
        <f ca="1">IFERROR(__xludf.DUMMYFUNCTION("""COMPUTED_VALUE"""),"https://abecedazahrady.dama.cz")</f>
        <v>https://abecedazahrady.dama.cz</v>
      </c>
      <c r="E13" s="3" t="str">
        <f ca="1">IFERROR(__xludf.DUMMYFUNCTION("""COMPUTED_VALUE"""),"celý web")</f>
        <v>celý web</v>
      </c>
      <c r="F13" s="4" t="str">
        <f ca="1">IFERROR(__xludf.DUMMYFUNCTION("""COMPUTED_VALUE"""),"https://abecedazahrady.dama.cz")</f>
        <v>https://abecedazahrady.dama.cz</v>
      </c>
      <c r="G13" s="3" t="str">
        <f ca="1">IFERROR(__xludf.DUMMYFUNCTION("""COMPUTED_VALUE"""),"cílený nativní rectangle cross-device mid season")</f>
        <v>cílený nativní rectangle cross-device mid season</v>
      </c>
      <c r="H13" s="3">
        <f ca="1">IFERROR(__xludf.DUMMYFUNCTION("""COMPUTED_VALUE"""),7)</f>
        <v>7</v>
      </c>
      <c r="I13" s="5">
        <f ca="1">IFERROR(__xludf.DUMMYFUNCTION("""COMPUTED_VALUE"""),1000)</f>
        <v>1000</v>
      </c>
      <c r="J13" s="5">
        <f ca="1">IFERROR(__xludf.DUMMYFUNCTION("""COMPUTED_VALUE"""),336)</f>
        <v>336</v>
      </c>
      <c r="K13" s="3"/>
      <c r="L13" s="3" t="str">
        <f ca="1">IFERROR(__xludf.DUMMYFUNCTION("""COMPUTED_VALUE"""),"Cost per period")</f>
        <v>Cost per period</v>
      </c>
      <c r="M13" s="3"/>
      <c r="N13" s="3"/>
      <c r="O13" s="3" t="str">
        <f ca="1">IFERROR(__xludf.DUMMYFUNCTION("""COMPUTED_VALUE"""),"640")</f>
        <v>640</v>
      </c>
      <c r="P13" s="3" t="str">
        <f ca="1">IFERROR(__xludf.DUMMYFUNCTION("""COMPUTED_VALUE"""),"335, 640")</f>
        <v>335, 640</v>
      </c>
      <c r="Q13" s="3" t="str">
        <f ca="1">IFERROR(__xludf.DUMMYFUNCTION("""COMPUTED_VALUE"""),"640x640 a 640x335 + text + logo")</f>
        <v>640x640 a 640x335 + text + logo</v>
      </c>
      <c r="R13" s="3"/>
      <c r="S13" s="3" t="str">
        <f ca="1">IFERROR(__xludf.DUMMYFUNCTION("""COMPUTED_VALUE"""),"45")</f>
        <v>45</v>
      </c>
      <c r="T13" s="3"/>
      <c r="U13" s="3" t="str">
        <f ca="1">IFERROR(__xludf.DUMMYFUNCTION("""COMPUTED_VALUE"""),"nativní reklama")</f>
        <v>nativní reklama</v>
      </c>
      <c r="V13" s="3"/>
      <c r="W13" s="4" t="str">
        <f ca="1">IFERROR(__xludf.DUMMYFUNCTION("""COMPUTED_VALUE"""),"https://reklama.cncenter.cz/Online/nativni-rectangle-cross-device")</f>
        <v>https://reklama.cncenter.cz/Online/nativni-rectangle-cross-device</v>
      </c>
      <c r="X13" s="3"/>
      <c r="Y13" s="3"/>
      <c r="Z13" s="3" t="str">
        <f ca="1">IFERROR(__xludf.DUMMYFUNCTION("""COMPUTED_VALUE"""),"podklady@cncenter.cz")</f>
        <v>podklady@cncenter.cz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 t="str">
        <f ca="1">IFERROR(__xludf.DUMMYFUNCTION("""COMPUTED_VALUE"""),"cross-device")</f>
        <v>cross-device</v>
      </c>
      <c r="AO13" s="3"/>
      <c r="AP13" s="3"/>
      <c r="AQ13" s="3"/>
      <c r="AR13" s="3"/>
      <c r="AS13" s="3"/>
      <c r="AT13" s="3"/>
      <c r="AU13" s="3" t="str">
        <f ca="1">IFERROR(__xludf.DUMMYFUNCTION("""COMPUTED_VALUE"""),"cílený nativní rectangle cross-device")</f>
        <v>cílený nativní rectangle cross-device</v>
      </c>
    </row>
    <row r="14" spans="1:67" x14ac:dyDescent="0.3">
      <c r="A14" s="3">
        <f ca="1"/>
        <v>2346826</v>
      </c>
      <c r="B14" s="3" t="str">
        <f ca="1"/>
        <v>CZECH NEWS CENTER a. s.</v>
      </c>
      <c r="C14" s="3" t="str">
        <f ca="1">IFERROR(__xludf.DUMMYFUNCTION("""COMPUTED_VALUE"""),"Abeceda zahrady")</f>
        <v>Abeceda zahrady</v>
      </c>
      <c r="D14" s="4" t="str">
        <f ca="1">IFERROR(__xludf.DUMMYFUNCTION("""COMPUTED_VALUE"""),"https://abecedazahrady.dama.cz")</f>
        <v>https://abecedazahrady.dama.cz</v>
      </c>
      <c r="E14" s="3" t="str">
        <f ca="1">IFERROR(__xludf.DUMMYFUNCTION("""COMPUTED_VALUE"""),"celý web")</f>
        <v>celý web</v>
      </c>
      <c r="F14" s="4" t="str">
        <f ca="1">IFERROR(__xludf.DUMMYFUNCTION("""COMPUTED_VALUE"""),"https://abecedazahrady.dama.cz")</f>
        <v>https://abecedazahrady.dama.cz</v>
      </c>
      <c r="G14" s="3" t="str">
        <f ca="1">IFERROR(__xludf.DUMMYFUNCTION("""COMPUTED_VALUE"""),"cílený outstream mid season")</f>
        <v>cílený outstream mid season</v>
      </c>
      <c r="H14" s="3">
        <f ca="1">IFERROR(__xludf.DUMMYFUNCTION("""COMPUTED_VALUE"""),7)</f>
        <v>7</v>
      </c>
      <c r="I14" s="5">
        <f ca="1">IFERROR(__xludf.DUMMYFUNCTION("""COMPUTED_VALUE"""),1000)</f>
        <v>1000</v>
      </c>
      <c r="J14" s="5">
        <f ca="1">IFERROR(__xludf.DUMMYFUNCTION("""COMPUTED_VALUE"""),420)</f>
        <v>420</v>
      </c>
      <c r="K14" s="3"/>
      <c r="L14" s="3" t="str">
        <f ca="1">IFERROR(__xludf.DUMMYFUNCTION("""COMPUTED_VALUE"""),"Cost per period")</f>
        <v>Cost per period</v>
      </c>
      <c r="M14" s="3"/>
      <c r="N14" s="3"/>
      <c r="O14" s="3" t="str">
        <f ca="1">IFERROR(__xludf.DUMMYFUNCTION("""COMPUTED_VALUE"""),"1280")</f>
        <v>1280</v>
      </c>
      <c r="P14" s="3" t="str">
        <f ca="1">IFERROR(__xludf.DUMMYFUNCTION("""COMPUTED_VALUE"""),"720")</f>
        <v>720</v>
      </c>
      <c r="Q14" s="3" t="str">
        <f ca="1">IFERROR(__xludf.DUMMYFUNCTION("""COMPUTED_VALUE"""),"16:9")</f>
        <v>16:9</v>
      </c>
      <c r="R14" s="3"/>
      <c r="S14" s="3" t="str">
        <f ca="1">IFERROR(__xludf.DUMMYFUNCTION("""COMPUTED_VALUE"""),"100")</f>
        <v>100</v>
      </c>
      <c r="T14" s="3"/>
      <c r="U14" s="3" t="str">
        <f ca="1">IFERROR(__xludf.DUMMYFUNCTION("""COMPUTED_VALUE"""),"videospot")</f>
        <v>videospot</v>
      </c>
      <c r="V14" s="3"/>
      <c r="W14" s="4" t="str">
        <f ca="1">IFERROR(__xludf.DUMMYFUNCTION("""COMPUTED_VALUE"""),"https://reklama.cncenter.cz/Online/Outstream")</f>
        <v>https://reklama.cncenter.cz/Online/Outstream</v>
      </c>
      <c r="X14" s="3"/>
      <c r="Y14" s="3"/>
      <c r="Z14" s="3" t="str">
        <f ca="1">IFERROR(__xludf.DUMMYFUNCTION("""COMPUTED_VALUE"""),"podklady@cncenter.cz")</f>
        <v>podklady@cncenter.cz</v>
      </c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 t="str">
        <f ca="1">IFERROR(__xludf.DUMMYFUNCTION("""COMPUTED_VALUE"""),"cross-device")</f>
        <v>cross-device</v>
      </c>
      <c r="AO14" s="3"/>
      <c r="AP14" s="3"/>
      <c r="AQ14" s="3"/>
      <c r="AR14" s="3"/>
      <c r="AS14" s="3"/>
      <c r="AT14" s="3"/>
      <c r="AU14" s="3" t="str">
        <f ca="1">IFERROR(__xludf.DUMMYFUNCTION("""COMPUTED_VALUE"""),"cílený outstream")</f>
        <v>cílený outstream</v>
      </c>
    </row>
    <row r="15" spans="1:67" x14ac:dyDescent="0.3">
      <c r="A15" s="3">
        <f ca="1"/>
        <v>2346826</v>
      </c>
      <c r="B15" s="3" t="str">
        <f ca="1"/>
        <v>CZECH NEWS CENTER a. s.</v>
      </c>
      <c r="C15" s="3" t="str">
        <f ca="1">IFERROR(__xludf.DUMMYFUNCTION("""COMPUTED_VALUE"""),"Abeceda zahrady")</f>
        <v>Abeceda zahrady</v>
      </c>
      <c r="D15" s="4" t="str">
        <f ca="1">IFERROR(__xludf.DUMMYFUNCTION("""COMPUTED_VALUE"""),"https://abecedazahrady.dama.cz")</f>
        <v>https://abecedazahrady.dama.cz</v>
      </c>
      <c r="E15" s="3" t="str">
        <f ca="1">IFERROR(__xludf.DUMMYFUNCTION("""COMPUTED_VALUE"""),"celý web")</f>
        <v>celý web</v>
      </c>
      <c r="F15" s="4" t="str">
        <f ca="1">IFERROR(__xludf.DUMMYFUNCTION("""COMPUTED_VALUE"""),"https://abecedazahrady.dama.cz")</f>
        <v>https://abecedazahrady.dama.cz</v>
      </c>
      <c r="G15" s="3" t="str">
        <f ca="1">IFERROR(__xludf.DUMMYFUNCTION("""COMPUTED_VALUE"""),"dokoupení proma o 2 týdny - 10 000 PV *** mid season")</f>
        <v>dokoupení proma o 2 týdny - 10 000 PV *** mid season</v>
      </c>
      <c r="H15" s="3">
        <f ca="1">IFERROR(__xludf.DUMMYFUNCTION("""COMPUTED_VALUE"""),1)</f>
        <v>1</v>
      </c>
      <c r="I15" s="5">
        <f ca="1">IFERROR(__xludf.DUMMYFUNCTION("""COMPUTED_VALUE"""),1)</f>
        <v>1</v>
      </c>
      <c r="J15" s="5">
        <f ca="1">IFERROR(__xludf.DUMMYFUNCTION("""COMPUTED_VALUE"""),60000)</f>
        <v>60000</v>
      </c>
      <c r="K15" s="3"/>
      <c r="L15" s="3" t="str">
        <f ca="1">IFERROR(__xludf.DUMMYFUNCTION("""COMPUTED_VALUE"""),"Cost per instance")</f>
        <v>Cost per instance</v>
      </c>
      <c r="M15" s="3"/>
      <c r="N15" s="3"/>
      <c r="O15" s="3"/>
      <c r="P15" s="3"/>
      <c r="Q15" s="3"/>
      <c r="R15" s="3"/>
      <c r="S15" s="3" t="str">
        <f ca="1">IFERROR(__xludf.DUMMYFUNCTION("""COMPUTED_VALUE"""),"100")</f>
        <v>100</v>
      </c>
      <c r="T15" s="3"/>
      <c r="U15" s="3" t="str">
        <f ca="1">IFERROR(__xludf.DUMMYFUNCTION("""COMPUTED_VALUE"""),"microsite")</f>
        <v>microsite</v>
      </c>
      <c r="V15" s="3"/>
      <c r="W15" s="3"/>
      <c r="X15" s="3"/>
      <c r="Y15" s="3"/>
      <c r="Z15" s="3" t="str">
        <f ca="1">IFERROR(__xludf.DUMMYFUNCTION("""COMPUTED_VALUE"""),"podklady@cncenter.cz")</f>
        <v>podklady@cncenter.cz</v>
      </c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 t="str">
        <f ca="1">IFERROR(__xludf.DUMMYFUNCTION("""COMPUTED_VALUE"""),"cross-device")</f>
        <v>cross-device</v>
      </c>
      <c r="AO15" s="3"/>
      <c r="AP15" s="3"/>
      <c r="AQ15" s="3"/>
      <c r="AR15" s="3"/>
      <c r="AS15" s="3"/>
      <c r="AT15" s="3"/>
      <c r="AU15" s="3" t="str">
        <f ca="1">IFERROR(__xludf.DUMMYFUNCTION("""COMPUTED_VALUE"""),"dokoupení proma o 2 týdny - 10 000 PV ***")</f>
        <v>dokoupení proma o 2 týdny - 10 000 PV ***</v>
      </c>
    </row>
    <row r="16" spans="1:67" x14ac:dyDescent="0.3">
      <c r="A16" s="3">
        <f ca="1"/>
        <v>2346826</v>
      </c>
      <c r="B16" s="3" t="str">
        <f ca="1"/>
        <v>CZECH NEWS CENTER a. s.</v>
      </c>
      <c r="C16" s="3" t="str">
        <f ca="1">IFERROR(__xludf.DUMMYFUNCTION("""COMPUTED_VALUE"""),"Abeceda zahrady")</f>
        <v>Abeceda zahrady</v>
      </c>
      <c r="D16" s="4" t="str">
        <f ca="1">IFERROR(__xludf.DUMMYFUNCTION("""COMPUTED_VALUE"""),"https://abecedazahrady.dama.cz")</f>
        <v>https://abecedazahrady.dama.cz</v>
      </c>
      <c r="E16" s="3" t="str">
        <f ca="1">IFERROR(__xludf.DUMMYFUNCTION("""COMPUTED_VALUE"""),"celý web")</f>
        <v>celý web</v>
      </c>
      <c r="F16" s="4" t="str">
        <f ca="1">IFERROR(__xludf.DUMMYFUNCTION("""COMPUTED_VALUE"""),"https://abecedazahrady.dama.cz")</f>
        <v>https://abecedazahrady.dama.cz</v>
      </c>
      <c r="G16" s="3" t="str">
        <f ca="1">IFERROR(__xludf.DUMMYFUNCTION("""COMPUTED_VALUE"""),"double skyscraper mid season")</f>
        <v>double skyscraper mid season</v>
      </c>
      <c r="H16" s="3">
        <f ca="1">IFERROR(__xludf.DUMMYFUNCTION("""COMPUTED_VALUE"""),7)</f>
        <v>7</v>
      </c>
      <c r="I16" s="5">
        <f ca="1">IFERROR(__xludf.DUMMYFUNCTION("""COMPUTED_VALUE"""),1000)</f>
        <v>1000</v>
      </c>
      <c r="J16" s="5">
        <f ca="1">IFERROR(__xludf.DUMMYFUNCTION("""COMPUTED_VALUE"""),270)</f>
        <v>270</v>
      </c>
      <c r="K16" s="3"/>
      <c r="L16" s="3" t="str">
        <f ca="1">IFERROR(__xludf.DUMMYFUNCTION("""COMPUTED_VALUE"""),"Cost per period")</f>
        <v>Cost per period</v>
      </c>
      <c r="M16" s="3"/>
      <c r="N16" s="3"/>
      <c r="O16" s="3" t="str">
        <f ca="1">IFERROR(__xludf.DUMMYFUNCTION("""COMPUTED_VALUE"""),"300")</f>
        <v>300</v>
      </c>
      <c r="P16" s="3" t="str">
        <f ca="1">IFERROR(__xludf.DUMMYFUNCTION("""COMPUTED_VALUE"""),"600")</f>
        <v>600</v>
      </c>
      <c r="Q16" s="3" t="str">
        <f ca="1">IFERROR(__xludf.DUMMYFUNCTION("""COMPUTED_VALUE"""),"300x600")</f>
        <v>300x600</v>
      </c>
      <c r="R16" s="3"/>
      <c r="S16" s="3" t="str">
        <f ca="1">IFERROR(__xludf.DUMMYFUNCTION("""COMPUTED_VALUE"""),"100 (200 - HTML5)")</f>
        <v>100 (200 - HTML5)</v>
      </c>
      <c r="T16" s="3"/>
      <c r="U16" s="3" t="str">
        <f ca="1">IFERROR(__xludf.DUMMYFUNCTION("""COMPUTED_VALUE"""),"banner standard")</f>
        <v>banner standard</v>
      </c>
      <c r="V16" s="3"/>
      <c r="W16" s="4" t="str">
        <f ca="1">IFERROR(__xludf.DUMMYFUNCTION("""COMPUTED_VALUE"""),"https://reklama.cncenter.cz/Online/double-skyscraper")</f>
        <v>https://reklama.cncenter.cz/Online/double-skyscraper</v>
      </c>
      <c r="X16" s="3"/>
      <c r="Y16" s="3"/>
      <c r="Z16" s="3" t="str">
        <f ca="1">IFERROR(__xludf.DUMMYFUNCTION("""COMPUTED_VALUE"""),"podklady@cncenter.cz")</f>
        <v>podklady@cncenter.cz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 t="str">
        <f ca="1">IFERROR(__xludf.DUMMYFUNCTION("""COMPUTED_VALUE"""),"desktop")</f>
        <v>desktop</v>
      </c>
      <c r="AO16" s="3"/>
      <c r="AP16" s="3"/>
      <c r="AQ16" s="3"/>
      <c r="AR16" s="3"/>
      <c r="AS16" s="3"/>
      <c r="AT16" s="3"/>
      <c r="AU16" s="3" t="str">
        <f ca="1">IFERROR(__xludf.DUMMYFUNCTION("""COMPUTED_VALUE"""),"double skyscraper")</f>
        <v>double skyscraper</v>
      </c>
    </row>
    <row r="17" spans="1:47" x14ac:dyDescent="0.3">
      <c r="A17" s="3">
        <f ca="1"/>
        <v>2346826</v>
      </c>
      <c r="B17" s="3" t="str">
        <f ca="1"/>
        <v>CZECH NEWS CENTER a. s.</v>
      </c>
      <c r="C17" s="3" t="str">
        <f ca="1">IFERROR(__xludf.DUMMYFUNCTION("""COMPUTED_VALUE"""),"Abeceda zahrady")</f>
        <v>Abeceda zahrady</v>
      </c>
      <c r="D17" s="4" t="str">
        <f ca="1">IFERROR(__xludf.DUMMYFUNCTION("""COMPUTED_VALUE"""),"https://abecedazahrady.dama.cz")</f>
        <v>https://abecedazahrady.dama.cz</v>
      </c>
      <c r="E17" s="3" t="str">
        <f ca="1">IFERROR(__xludf.DUMMYFUNCTION("""COMPUTED_VALUE"""),"celý web")</f>
        <v>celý web</v>
      </c>
      <c r="F17" s="4" t="str">
        <f ca="1">IFERROR(__xludf.DUMMYFUNCTION("""COMPUTED_VALUE"""),"https://abecedazahrady.dama.cz")</f>
        <v>https://abecedazahrady.dama.cz</v>
      </c>
      <c r="G17" s="3" t="str">
        <f ca="1">IFERROR(__xludf.DUMMYFUNCTION("""COMPUTED_VALUE"""),"mobilní interscroller mid season")</f>
        <v>mobilní interscroller mid season</v>
      </c>
      <c r="H17" s="3">
        <f ca="1">IFERROR(__xludf.DUMMYFUNCTION("""COMPUTED_VALUE"""),7)</f>
        <v>7</v>
      </c>
      <c r="I17" s="5">
        <f ca="1">IFERROR(__xludf.DUMMYFUNCTION("""COMPUTED_VALUE"""),1000)</f>
        <v>1000</v>
      </c>
      <c r="J17" s="5">
        <f ca="1">IFERROR(__xludf.DUMMYFUNCTION("""COMPUTED_VALUE"""),350)</f>
        <v>350</v>
      </c>
      <c r="K17" s="3"/>
      <c r="L17" s="3" t="str">
        <f ca="1">IFERROR(__xludf.DUMMYFUNCTION("""COMPUTED_VALUE"""),"Cost per period")</f>
        <v>Cost per period</v>
      </c>
      <c r="M17" s="3"/>
      <c r="N17" s="3"/>
      <c r="O17" s="3" t="str">
        <f ca="1">IFERROR(__xludf.DUMMYFUNCTION("""COMPUTED_VALUE"""),"600")</f>
        <v>600</v>
      </c>
      <c r="P17" s="3" t="str">
        <f ca="1">IFERROR(__xludf.DUMMYFUNCTION("""COMPUTED_VALUE"""),"1080")</f>
        <v>1080</v>
      </c>
      <c r="Q17" s="3" t="str">
        <f ca="1">IFERROR(__xludf.DUMMYFUNCTION("""COMPUTED_VALUE"""),"600x1080")</f>
        <v>600x1080</v>
      </c>
      <c r="R17" s="3"/>
      <c r="S17" s="3" t="str">
        <f ca="1">IFERROR(__xludf.DUMMYFUNCTION("""COMPUTED_VALUE"""),"200")</f>
        <v>200</v>
      </c>
      <c r="T17" s="3"/>
      <c r="U17" s="3" t="str">
        <f ca="1">IFERROR(__xludf.DUMMYFUNCTION("""COMPUTED_VALUE"""),"banner standard")</f>
        <v>banner standard</v>
      </c>
      <c r="V17" s="3"/>
      <c r="W17" s="4" t="str">
        <f ca="1">IFERROR(__xludf.DUMMYFUNCTION("""COMPUTED_VALUE"""),"https://reklama.cncenter.cz/Online/mobilni-interscroller")</f>
        <v>https://reklama.cncenter.cz/Online/mobilni-interscroller</v>
      </c>
      <c r="X17" s="3"/>
      <c r="Y17" s="3"/>
      <c r="Z17" s="3" t="str">
        <f ca="1">IFERROR(__xludf.DUMMYFUNCTION("""COMPUTED_VALUE"""),"podklady@cncenter.cz")</f>
        <v>podklady@cncenter.cz</v>
      </c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 t="str">
        <f ca="1">IFERROR(__xludf.DUMMYFUNCTION("""COMPUTED_VALUE"""),"mobile")</f>
        <v>mobile</v>
      </c>
      <c r="AO17" s="3"/>
      <c r="AP17" s="3"/>
      <c r="AQ17" s="3"/>
      <c r="AR17" s="3"/>
      <c r="AS17" s="3"/>
      <c r="AT17" s="3"/>
      <c r="AU17" s="3" t="str">
        <f ca="1">IFERROR(__xludf.DUMMYFUNCTION("""COMPUTED_VALUE"""),"mobilní interscroller")</f>
        <v>mobilní interscroller</v>
      </c>
    </row>
    <row r="18" spans="1:47" x14ac:dyDescent="0.3">
      <c r="A18" s="3">
        <f ca="1"/>
        <v>2346826</v>
      </c>
      <c r="B18" s="3" t="str">
        <f ca="1"/>
        <v>CZECH NEWS CENTER a. s.</v>
      </c>
      <c r="C18" s="3" t="str">
        <f ca="1">IFERROR(__xludf.DUMMYFUNCTION("""COMPUTED_VALUE"""),"Abeceda zahrady")</f>
        <v>Abeceda zahrady</v>
      </c>
      <c r="D18" s="4" t="str">
        <f ca="1">IFERROR(__xludf.DUMMYFUNCTION("""COMPUTED_VALUE"""),"https://abecedazahrady.dama.cz")</f>
        <v>https://abecedazahrady.dama.cz</v>
      </c>
      <c r="E18" s="3" t="str">
        <f ca="1">IFERROR(__xludf.DUMMYFUNCTION("""COMPUTED_VALUE"""),"celý web")</f>
        <v>celý web</v>
      </c>
      <c r="F18" s="4" t="str">
        <f ca="1">IFERROR(__xludf.DUMMYFUNCTION("""COMPUTED_VALUE"""),"https://abecedazahrady.dama.cz")</f>
        <v>https://abecedazahrady.dama.cz</v>
      </c>
      <c r="G18" s="3" t="str">
        <f ca="1">IFERROR(__xludf.DUMMYFUNCTION("""COMPUTED_VALUE"""),"mobilní slide-up mid season")</f>
        <v>mobilní slide-up mid season</v>
      </c>
      <c r="H18" s="3">
        <f ca="1">IFERROR(__xludf.DUMMYFUNCTION("""COMPUTED_VALUE"""),7)</f>
        <v>7</v>
      </c>
      <c r="I18" s="5">
        <f ca="1">IFERROR(__xludf.DUMMYFUNCTION("""COMPUTED_VALUE"""),1000)</f>
        <v>1000</v>
      </c>
      <c r="J18" s="5">
        <f ca="1">IFERROR(__xludf.DUMMYFUNCTION("""COMPUTED_VALUE"""),720)</f>
        <v>720</v>
      </c>
      <c r="K18" s="3"/>
      <c r="L18" s="3" t="str">
        <f ca="1">IFERROR(__xludf.DUMMYFUNCTION("""COMPUTED_VALUE"""),"Cost per period")</f>
        <v>Cost per period</v>
      </c>
      <c r="M18" s="3"/>
      <c r="N18" s="3"/>
      <c r="O18" s="3" t="str">
        <f ca="1">IFERROR(__xludf.DUMMYFUNCTION("""COMPUTED_VALUE"""),"300")</f>
        <v>300</v>
      </c>
      <c r="P18" s="3" t="str">
        <f ca="1">IFERROR(__xludf.DUMMYFUNCTION("""COMPUTED_VALUE"""),"120")</f>
        <v>120</v>
      </c>
      <c r="Q18" s="3" t="str">
        <f ca="1">IFERROR(__xludf.DUMMYFUNCTION("""COMPUTED_VALUE"""),"300x120")</f>
        <v>300x120</v>
      </c>
      <c r="R18" s="3"/>
      <c r="S18" s="3" t="str">
        <f ca="1">IFERROR(__xludf.DUMMYFUNCTION("""COMPUTED_VALUE"""),"100")</f>
        <v>100</v>
      </c>
      <c r="T18" s="3"/>
      <c r="U18" s="3" t="str">
        <f ca="1">IFERROR(__xludf.DUMMYFUNCTION("""COMPUTED_VALUE"""),"banner standard")</f>
        <v>banner standard</v>
      </c>
      <c r="V18" s="3"/>
      <c r="W18" s="4" t="str">
        <f ca="1">IFERROR(__xludf.DUMMYFUNCTION("""COMPUTED_VALUE"""),"https://reklama.cncenter.cz/Online/mobilni-slide-up")</f>
        <v>https://reklama.cncenter.cz/Online/mobilni-slide-up</v>
      </c>
      <c r="X18" s="3"/>
      <c r="Y18" s="3"/>
      <c r="Z18" s="3" t="str">
        <f ca="1">IFERROR(__xludf.DUMMYFUNCTION("""COMPUTED_VALUE"""),"podklady@cncenter.cz")</f>
        <v>podklady@cncenter.cz</v>
      </c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 t="str">
        <f ca="1">IFERROR(__xludf.DUMMYFUNCTION("""COMPUTED_VALUE"""),"mobile")</f>
        <v>mobile</v>
      </c>
      <c r="AO18" s="3"/>
      <c r="AP18" s="3"/>
      <c r="AQ18" s="3"/>
      <c r="AR18" s="3"/>
      <c r="AS18" s="3"/>
      <c r="AT18" s="3"/>
      <c r="AU18" s="3" t="str">
        <f ca="1">IFERROR(__xludf.DUMMYFUNCTION("""COMPUTED_VALUE"""),"mobilní slide-up")</f>
        <v>mobilní slide-up</v>
      </c>
    </row>
    <row r="19" spans="1:47" x14ac:dyDescent="0.3">
      <c r="A19" s="3">
        <f ca="1"/>
        <v>2346826</v>
      </c>
      <c r="B19" s="3" t="str">
        <f ca="1"/>
        <v>CZECH NEWS CENTER a. s.</v>
      </c>
      <c r="C19" s="3" t="str">
        <f ca="1">IFERROR(__xludf.DUMMYFUNCTION("""COMPUTED_VALUE"""),"Abeceda zahrady")</f>
        <v>Abeceda zahrady</v>
      </c>
      <c r="D19" s="4" t="str">
        <f ca="1">IFERROR(__xludf.DUMMYFUNCTION("""COMPUTED_VALUE"""),"https://abecedazahrady.dama.cz")</f>
        <v>https://abecedazahrady.dama.cz</v>
      </c>
      <c r="E19" s="3" t="str">
        <f ca="1">IFERROR(__xludf.DUMMYFUNCTION("""COMPUTED_VALUE"""),"celý web")</f>
        <v>celý web</v>
      </c>
      <c r="F19" s="4" t="str">
        <f ca="1">IFERROR(__xludf.DUMMYFUNCTION("""COMPUTED_VALUE"""),"https://abecedazahrady.dama.cz")</f>
        <v>https://abecedazahrady.dama.cz</v>
      </c>
      <c r="G19" s="3" t="str">
        <f ca="1">IFERROR(__xludf.DUMMYFUNCTION("""COMPUTED_VALUE"""),"mobilní viněta mid season")</f>
        <v>mobilní viněta mid season</v>
      </c>
      <c r="H19" s="3">
        <f ca="1">IFERROR(__xludf.DUMMYFUNCTION("""COMPUTED_VALUE"""),7)</f>
        <v>7</v>
      </c>
      <c r="I19" s="5">
        <f ca="1">IFERROR(__xludf.DUMMYFUNCTION("""COMPUTED_VALUE"""),1000)</f>
        <v>1000</v>
      </c>
      <c r="J19" s="5">
        <f ca="1">IFERROR(__xludf.DUMMYFUNCTION("""COMPUTED_VALUE"""),1240)</f>
        <v>1240</v>
      </c>
      <c r="K19" s="3"/>
      <c r="L19" s="3" t="str">
        <f ca="1">IFERROR(__xludf.DUMMYFUNCTION("""COMPUTED_VALUE"""),"Cost per period")</f>
        <v>Cost per period</v>
      </c>
      <c r="M19" s="3"/>
      <c r="N19" s="3"/>
      <c r="O19" s="3" t="str">
        <f ca="1">IFERROR(__xludf.DUMMYFUNCTION("""COMPUTED_VALUE"""),"600")</f>
        <v>600</v>
      </c>
      <c r="P19" s="3" t="str">
        <f ca="1">IFERROR(__xludf.DUMMYFUNCTION("""COMPUTED_VALUE"""),"800")</f>
        <v>800</v>
      </c>
      <c r="Q19" s="3" t="str">
        <f ca="1">IFERROR(__xludf.DUMMYFUNCTION("""COMPUTED_VALUE"""),"300x250 nebo 600x800")</f>
        <v>300x250 nebo 600x800</v>
      </c>
      <c r="R19" s="3"/>
      <c r="S19" s="3" t="str">
        <f ca="1">IFERROR(__xludf.DUMMYFUNCTION("""COMPUTED_VALUE"""),"100")</f>
        <v>100</v>
      </c>
      <c r="T19" s="3"/>
      <c r="U19" s="3" t="str">
        <f ca="1">IFERROR(__xludf.DUMMYFUNCTION("""COMPUTED_VALUE"""),"banner standard")</f>
        <v>banner standard</v>
      </c>
      <c r="V19" s="3"/>
      <c r="W19" s="4" t="str">
        <f ca="1">IFERROR(__xludf.DUMMYFUNCTION("""COMPUTED_VALUE"""),"https://reklama.cncenter.cz/Online/mobilni-vineta")</f>
        <v>https://reklama.cncenter.cz/Online/mobilni-vineta</v>
      </c>
      <c r="X19" s="3"/>
      <c r="Y19" s="3"/>
      <c r="Z19" s="3" t="str">
        <f ca="1">IFERROR(__xludf.DUMMYFUNCTION("""COMPUTED_VALUE"""),"podklady@cncenter.cz")</f>
        <v>podklady@cncenter.cz</v>
      </c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 t="str">
        <f ca="1">IFERROR(__xludf.DUMMYFUNCTION("""COMPUTED_VALUE"""),"mobile")</f>
        <v>mobile</v>
      </c>
      <c r="AO19" s="3"/>
      <c r="AP19" s="3"/>
      <c r="AQ19" s="3"/>
      <c r="AR19" s="3"/>
      <c r="AS19" s="3"/>
      <c r="AT19" s="3"/>
      <c r="AU19" s="3" t="str">
        <f ca="1">IFERROR(__xludf.DUMMYFUNCTION("""COMPUTED_VALUE"""),"mobilní viněta")</f>
        <v>mobilní viněta</v>
      </c>
    </row>
    <row r="20" spans="1:47" x14ac:dyDescent="0.3">
      <c r="A20" s="3">
        <f ca="1"/>
        <v>2346826</v>
      </c>
      <c r="B20" s="3" t="str">
        <f ca="1"/>
        <v>CZECH NEWS CENTER a. s.</v>
      </c>
      <c r="C20" s="3" t="str">
        <f ca="1">IFERROR(__xludf.DUMMYFUNCTION("""COMPUTED_VALUE"""),"Abeceda zahrady")</f>
        <v>Abeceda zahrady</v>
      </c>
      <c r="D20" s="4" t="str">
        <f ca="1">IFERROR(__xludf.DUMMYFUNCTION("""COMPUTED_VALUE"""),"https://abecedazahrady.dama.cz")</f>
        <v>https://abecedazahrady.dama.cz</v>
      </c>
      <c r="E20" s="3" t="str">
        <f ca="1">IFERROR(__xludf.DUMMYFUNCTION("""COMPUTED_VALUE"""),"celý web")</f>
        <v>celý web</v>
      </c>
      <c r="F20" s="4" t="str">
        <f ca="1">IFERROR(__xludf.DUMMYFUNCTION("""COMPUTED_VALUE"""),"https://abecedazahrady.dama.cz")</f>
        <v>https://abecedazahrady.dama.cz</v>
      </c>
      <c r="G20" s="3" t="str">
        <f ca="1">IFERROR(__xludf.DUMMYFUNCTION("""COMPUTED_VALUE"""),"Native Standard mid season")</f>
        <v>Native Standard mid season</v>
      </c>
      <c r="H20" s="3">
        <f ca="1">IFERROR(__xludf.DUMMYFUNCTION("""COMPUTED_VALUE"""),1)</f>
        <v>1</v>
      </c>
      <c r="I20" s="5">
        <f ca="1">IFERROR(__xludf.DUMMYFUNCTION("""COMPUTED_VALUE"""),1)</f>
        <v>1</v>
      </c>
      <c r="J20" s="5">
        <f ca="1">IFERROR(__xludf.DUMMYFUNCTION("""COMPUTED_VALUE"""),330000)</f>
        <v>330000</v>
      </c>
      <c r="K20" s="3"/>
      <c r="L20" s="3" t="str">
        <f ca="1">IFERROR(__xludf.DUMMYFUNCTION("""COMPUTED_VALUE"""),"Cost per instance")</f>
        <v>Cost per instance</v>
      </c>
      <c r="M20" s="3"/>
      <c r="N20" s="3"/>
      <c r="O20" s="3"/>
      <c r="P20" s="3"/>
      <c r="Q20" s="3"/>
      <c r="R20" s="3"/>
      <c r="S20" s="3" t="str">
        <f ca="1">IFERROR(__xludf.DUMMYFUNCTION("""COMPUTED_VALUE"""),"100")</f>
        <v>100</v>
      </c>
      <c r="T20" s="3"/>
      <c r="U20" s="3" t="str">
        <f ca="1">IFERROR(__xludf.DUMMYFUNCTION("""COMPUTED_VALUE"""),"microsite")</f>
        <v>microsite</v>
      </c>
      <c r="V20" s="3"/>
      <c r="W20" s="3"/>
      <c r="X20" s="3"/>
      <c r="Y20" s="3"/>
      <c r="Z20" s="3" t="str">
        <f ca="1">IFERROR(__xludf.DUMMYFUNCTION("""COMPUTED_VALUE"""),"podklady@cncenter.cz")</f>
        <v>podklady@cncenter.cz</v>
      </c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 t="str">
        <f ca="1">IFERROR(__xludf.DUMMYFUNCTION("""COMPUTED_VALUE"""),"cross-device")</f>
        <v>cross-device</v>
      </c>
      <c r="AO20" s="3"/>
      <c r="AP20" s="3"/>
      <c r="AQ20" s="3"/>
      <c r="AR20" s="3"/>
      <c r="AS20" s="3"/>
      <c r="AT20" s="3"/>
      <c r="AU20" s="3" t="str">
        <f ca="1">IFERROR(__xludf.DUMMYFUNCTION("""COMPUTED_VALUE"""),"Native Standard")</f>
        <v>Native Standard</v>
      </c>
    </row>
    <row r="21" spans="1:47" x14ac:dyDescent="0.3">
      <c r="A21" s="3">
        <f ca="1"/>
        <v>2346826</v>
      </c>
      <c r="B21" s="3" t="str">
        <f ca="1"/>
        <v>CZECH NEWS CENTER a. s.</v>
      </c>
      <c r="C21" s="3" t="str">
        <f ca="1">IFERROR(__xludf.DUMMYFUNCTION("""COMPUTED_VALUE"""),"Abeceda zahrady")</f>
        <v>Abeceda zahrady</v>
      </c>
      <c r="D21" s="4" t="str">
        <f ca="1">IFERROR(__xludf.DUMMYFUNCTION("""COMPUTED_VALUE"""),"https://abecedazahrady.dama.cz")</f>
        <v>https://abecedazahrady.dama.cz</v>
      </c>
      <c r="E21" s="3" t="str">
        <f ca="1">IFERROR(__xludf.DUMMYFUNCTION("""COMPUTED_VALUE"""),"celý web")</f>
        <v>celý web</v>
      </c>
      <c r="F21" s="4" t="str">
        <f ca="1">IFERROR(__xludf.DUMMYFUNCTION("""COMPUTED_VALUE"""),"https://abecedazahrady.dama.cz")</f>
        <v>https://abecedazahrady.dama.cz</v>
      </c>
      <c r="G21" s="3" t="str">
        <f ca="1">IFERROR(__xludf.DUMMYFUNCTION("""COMPUTED_VALUE"""),"nativní rectangle cross-device mid season")</f>
        <v>nativní rectangle cross-device mid season</v>
      </c>
      <c r="H21" s="3">
        <f ca="1">IFERROR(__xludf.DUMMYFUNCTION("""COMPUTED_VALUE"""),7)</f>
        <v>7</v>
      </c>
      <c r="I21" s="5">
        <f ca="1">IFERROR(__xludf.DUMMYFUNCTION("""COMPUTED_VALUE"""),1000)</f>
        <v>1000</v>
      </c>
      <c r="J21" s="5">
        <f ca="1">IFERROR(__xludf.DUMMYFUNCTION("""COMPUTED_VALUE"""),280)</f>
        <v>280</v>
      </c>
      <c r="K21" s="3"/>
      <c r="L21" s="3" t="str">
        <f ca="1">IFERROR(__xludf.DUMMYFUNCTION("""COMPUTED_VALUE"""),"Cost per period")</f>
        <v>Cost per period</v>
      </c>
      <c r="M21" s="3"/>
      <c r="N21" s="3"/>
      <c r="O21" s="3" t="str">
        <f ca="1">IFERROR(__xludf.DUMMYFUNCTION("""COMPUTED_VALUE"""),"640")</f>
        <v>640</v>
      </c>
      <c r="P21" s="3" t="str">
        <f ca="1">IFERROR(__xludf.DUMMYFUNCTION("""COMPUTED_VALUE"""),"335, 640")</f>
        <v>335, 640</v>
      </c>
      <c r="Q21" s="3" t="str">
        <f ca="1">IFERROR(__xludf.DUMMYFUNCTION("""COMPUTED_VALUE"""),"640x640 a 640x335 + text + logo")</f>
        <v>640x640 a 640x335 + text + logo</v>
      </c>
      <c r="R21" s="3"/>
      <c r="S21" s="3" t="str">
        <f ca="1">IFERROR(__xludf.DUMMYFUNCTION("""COMPUTED_VALUE"""),"45")</f>
        <v>45</v>
      </c>
      <c r="T21" s="3"/>
      <c r="U21" s="3" t="str">
        <f ca="1">IFERROR(__xludf.DUMMYFUNCTION("""COMPUTED_VALUE"""),"nativní reklama")</f>
        <v>nativní reklama</v>
      </c>
      <c r="V21" s="3"/>
      <c r="W21" s="4" t="str">
        <f ca="1">IFERROR(__xludf.DUMMYFUNCTION("""COMPUTED_VALUE"""),"https://reklama.cncenter.cz/Online/nativni-rectangle-cross-device")</f>
        <v>https://reklama.cncenter.cz/Online/nativni-rectangle-cross-device</v>
      </c>
      <c r="X21" s="3"/>
      <c r="Y21" s="3"/>
      <c r="Z21" s="3" t="str">
        <f ca="1">IFERROR(__xludf.DUMMYFUNCTION("""COMPUTED_VALUE"""),"podklady@cncenter.cz")</f>
        <v>podklady@cncenter.cz</v>
      </c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 t="str">
        <f ca="1">IFERROR(__xludf.DUMMYFUNCTION("""COMPUTED_VALUE"""),"cross-device")</f>
        <v>cross-device</v>
      </c>
      <c r="AO21" s="3"/>
      <c r="AP21" s="3"/>
      <c r="AQ21" s="3"/>
      <c r="AR21" s="3"/>
      <c r="AS21" s="3"/>
      <c r="AT21" s="3"/>
      <c r="AU21" s="3" t="str">
        <f ca="1">IFERROR(__xludf.DUMMYFUNCTION("""COMPUTED_VALUE"""),"nativní rectangle cross-device")</f>
        <v>nativní rectangle cross-device</v>
      </c>
    </row>
    <row r="22" spans="1:47" x14ac:dyDescent="0.3">
      <c r="A22" s="3">
        <f ca="1"/>
        <v>2346826</v>
      </c>
      <c r="B22" s="3" t="str">
        <f ca="1"/>
        <v>CZECH NEWS CENTER a. s.</v>
      </c>
      <c r="C22" s="3" t="str">
        <f ca="1">IFERROR(__xludf.DUMMYFUNCTION("""COMPUTED_VALUE"""),"Abeceda zahrady")</f>
        <v>Abeceda zahrady</v>
      </c>
      <c r="D22" s="4" t="str">
        <f ca="1">IFERROR(__xludf.DUMMYFUNCTION("""COMPUTED_VALUE"""),"https://abecedazahrady.dama.cz")</f>
        <v>https://abecedazahrady.dama.cz</v>
      </c>
      <c r="E22" s="3" t="str">
        <f ca="1">IFERROR(__xludf.DUMMYFUNCTION("""COMPUTED_VALUE"""),"celý web")</f>
        <v>celý web</v>
      </c>
      <c r="F22" s="4" t="str">
        <f ca="1">IFERROR(__xludf.DUMMYFUNCTION("""COMPUTED_VALUE"""),"https://abecedazahrady.dama.cz")</f>
        <v>https://abecedazahrady.dama.cz</v>
      </c>
      <c r="G22" s="3" t="str">
        <f ca="1">IFERROR(__xludf.DUMMYFUNCTION("""COMPUTED_VALUE"""),"outstream mid season")</f>
        <v>outstream mid season</v>
      </c>
      <c r="H22" s="3">
        <f ca="1">IFERROR(__xludf.DUMMYFUNCTION("""COMPUTED_VALUE"""),7)</f>
        <v>7</v>
      </c>
      <c r="I22" s="5">
        <f ca="1">IFERROR(__xludf.DUMMYFUNCTION("""COMPUTED_VALUE"""),1000)</f>
        <v>1000</v>
      </c>
      <c r="J22" s="5">
        <f ca="1">IFERROR(__xludf.DUMMYFUNCTION("""COMPUTED_VALUE"""),350)</f>
        <v>350</v>
      </c>
      <c r="K22" s="3"/>
      <c r="L22" s="3" t="str">
        <f ca="1">IFERROR(__xludf.DUMMYFUNCTION("""COMPUTED_VALUE"""),"Cost per period")</f>
        <v>Cost per period</v>
      </c>
      <c r="M22" s="3"/>
      <c r="N22" s="3"/>
      <c r="O22" s="3" t="str">
        <f ca="1">IFERROR(__xludf.DUMMYFUNCTION("""COMPUTED_VALUE"""),"1280")</f>
        <v>1280</v>
      </c>
      <c r="P22" s="3" t="str">
        <f ca="1">IFERROR(__xludf.DUMMYFUNCTION("""COMPUTED_VALUE"""),"720")</f>
        <v>720</v>
      </c>
      <c r="Q22" s="3" t="str">
        <f ca="1">IFERROR(__xludf.DUMMYFUNCTION("""COMPUTED_VALUE"""),"16:9")</f>
        <v>16:9</v>
      </c>
      <c r="R22" s="3"/>
      <c r="S22" s="3" t="str">
        <f ca="1">IFERROR(__xludf.DUMMYFUNCTION("""COMPUTED_VALUE"""),"100")</f>
        <v>100</v>
      </c>
      <c r="T22" s="3"/>
      <c r="U22" s="3" t="str">
        <f ca="1">IFERROR(__xludf.DUMMYFUNCTION("""COMPUTED_VALUE"""),"videospot")</f>
        <v>videospot</v>
      </c>
      <c r="V22" s="3"/>
      <c r="W22" s="4" t="str">
        <f ca="1">IFERROR(__xludf.DUMMYFUNCTION("""COMPUTED_VALUE"""),"https://reklama.cncenter.cz/Online/Outstream")</f>
        <v>https://reklama.cncenter.cz/Online/Outstream</v>
      </c>
      <c r="X22" s="3"/>
      <c r="Y22" s="3"/>
      <c r="Z22" s="3" t="str">
        <f ca="1">IFERROR(__xludf.DUMMYFUNCTION("""COMPUTED_VALUE"""),"podklady@cncenter.cz")</f>
        <v>podklady@cncenter.cz</v>
      </c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 t="str">
        <f ca="1">IFERROR(__xludf.DUMMYFUNCTION("""COMPUTED_VALUE"""),"cross-device")</f>
        <v>cross-device</v>
      </c>
      <c r="AO22" s="3"/>
      <c r="AP22" s="3"/>
      <c r="AQ22" s="3"/>
      <c r="AR22" s="3"/>
      <c r="AS22" s="3"/>
      <c r="AT22" s="3"/>
      <c r="AU22" s="3" t="str">
        <f ca="1">IFERROR(__xludf.DUMMYFUNCTION("""COMPUTED_VALUE"""),"outstream")</f>
        <v>outstream</v>
      </c>
    </row>
    <row r="23" spans="1:47" x14ac:dyDescent="0.3">
      <c r="A23" s="3">
        <f ca="1"/>
        <v>2346826</v>
      </c>
      <c r="B23" s="3" t="str">
        <f ca="1"/>
        <v>CZECH NEWS CENTER a. s.</v>
      </c>
      <c r="C23" s="3" t="str">
        <f ca="1">IFERROR(__xludf.DUMMYFUNCTION("""COMPUTED_VALUE"""),"Abeceda zahrady")</f>
        <v>Abeceda zahrady</v>
      </c>
      <c r="D23" s="4" t="str">
        <f ca="1">IFERROR(__xludf.DUMMYFUNCTION("""COMPUTED_VALUE"""),"https://abecedazahrady.dama.cz")</f>
        <v>https://abecedazahrady.dama.cz</v>
      </c>
      <c r="E23" s="3" t="str">
        <f ca="1">IFERROR(__xludf.DUMMYFUNCTION("""COMPUTED_VALUE"""),"celý web")</f>
        <v>celý web</v>
      </c>
      <c r="F23" s="4" t="str">
        <f ca="1">IFERROR(__xludf.DUMMYFUNCTION("""COMPUTED_VALUE"""),"https://abecedazahrady.dama.cz")</f>
        <v>https://abecedazahrady.dama.cz</v>
      </c>
      <c r="G23" s="3" t="str">
        <f ca="1">IFERROR(__xludf.DUMMYFUNCTION("""COMPUTED_VALUE"""),"PR článek mid season")</f>
        <v>PR článek mid season</v>
      </c>
      <c r="H23" s="3">
        <f ca="1">IFERROR(__xludf.DUMMYFUNCTION("""COMPUTED_VALUE"""),1)</f>
        <v>1</v>
      </c>
      <c r="I23" s="5">
        <f ca="1">IFERROR(__xludf.DUMMYFUNCTION("""COMPUTED_VALUE"""),1)</f>
        <v>1</v>
      </c>
      <c r="J23" s="5">
        <f ca="1">IFERROR(__xludf.DUMMYFUNCTION("""COMPUTED_VALUE"""),20000)</f>
        <v>20000</v>
      </c>
      <c r="K23" s="3"/>
      <c r="L23" s="3" t="str">
        <f ca="1">IFERROR(__xludf.DUMMYFUNCTION("""COMPUTED_VALUE"""),"Cost per instance")</f>
        <v>Cost per instance</v>
      </c>
      <c r="M23" s="3"/>
      <c r="N23" s="3"/>
      <c r="O23" s="3"/>
      <c r="P23" s="3"/>
      <c r="Q23" s="3"/>
      <c r="R23" s="3"/>
      <c r="S23" s="3" t="str">
        <f ca="1">IFERROR(__xludf.DUMMYFUNCTION("""COMPUTED_VALUE"""),"100")</f>
        <v>100</v>
      </c>
      <c r="T23" s="3"/>
      <c r="U23" s="3" t="str">
        <f ca="1">IFERROR(__xludf.DUMMYFUNCTION("""COMPUTED_VALUE"""),"pr článek")</f>
        <v>pr článek</v>
      </c>
      <c r="V23" s="3"/>
      <c r="W23" s="4" t="str">
        <f ca="1">IFERROR(__xludf.DUMMYFUNCTION("""COMPUTED_VALUE"""),"https://reklama.cncenter.cz/?ads=PR%2520%25C4%258Dl%25C3%25A1nky")</f>
        <v>https://reklama.cncenter.cz/?ads=PR%2520%25C4%258Dl%25C3%25A1nky</v>
      </c>
      <c r="X23" s="3"/>
      <c r="Y23" s="3"/>
      <c r="Z23" s="3" t="str">
        <f ca="1">IFERROR(__xludf.DUMMYFUNCTION("""COMPUTED_VALUE"""),"podklady@cncenter.cz")</f>
        <v>podklady@cncenter.cz</v>
      </c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 t="str">
        <f ca="1">IFERROR(__xludf.DUMMYFUNCTION("""COMPUTED_VALUE"""),"cross-device")</f>
        <v>cross-device</v>
      </c>
      <c r="AO23" s="3"/>
      <c r="AP23" s="3"/>
      <c r="AQ23" s="3"/>
      <c r="AR23" s="3"/>
      <c r="AS23" s="3"/>
      <c r="AT23" s="3"/>
      <c r="AU23" s="3" t="str">
        <f ca="1">IFERROR(__xludf.DUMMYFUNCTION("""COMPUTED_VALUE"""),"PR článek")</f>
        <v>PR článek</v>
      </c>
    </row>
    <row r="24" spans="1:47" x14ac:dyDescent="0.3">
      <c r="A24" s="3">
        <f ca="1"/>
        <v>2346826</v>
      </c>
      <c r="B24" s="3" t="str">
        <f ca="1"/>
        <v>CZECH NEWS CENTER a. s.</v>
      </c>
      <c r="C24" s="3" t="str">
        <f ca="1">IFERROR(__xludf.DUMMYFUNCTION("""COMPUTED_VALUE"""),"Abeceda zahrady")</f>
        <v>Abeceda zahrady</v>
      </c>
      <c r="D24" s="4" t="str">
        <f ca="1">IFERROR(__xludf.DUMMYFUNCTION("""COMPUTED_VALUE"""),"https://abecedazahrady.dama.cz")</f>
        <v>https://abecedazahrady.dama.cz</v>
      </c>
      <c r="E24" s="3" t="str">
        <f ca="1">IFERROR(__xludf.DUMMYFUNCTION("""COMPUTED_VALUE"""),"celý web")</f>
        <v>celý web</v>
      </c>
      <c r="F24" s="4" t="str">
        <f ca="1">IFERROR(__xludf.DUMMYFUNCTION("""COMPUTED_VALUE"""),"https://abecedazahrady.dama.cz")</f>
        <v>https://abecedazahrady.dama.cz</v>
      </c>
      <c r="G24" s="3" t="str">
        <f ca="1">IFERROR(__xludf.DUMMYFUNCTION("""COMPUTED_VALUE"""),"Prodloužení existující microsite, bez úprav mid season")</f>
        <v>Prodloužení existující microsite, bez úprav mid season</v>
      </c>
      <c r="H24" s="3">
        <f ca="1">IFERROR(__xludf.DUMMYFUNCTION("""COMPUTED_VALUE"""),1)</f>
        <v>1</v>
      </c>
      <c r="I24" s="5">
        <f ca="1">IFERROR(__xludf.DUMMYFUNCTION("""COMPUTED_VALUE"""),1)</f>
        <v>1</v>
      </c>
      <c r="J24" s="5">
        <f ca="1">IFERROR(__xludf.DUMMYFUNCTION("""COMPUTED_VALUE"""),15000)</f>
        <v>15000</v>
      </c>
      <c r="K24" s="3"/>
      <c r="L24" s="3" t="str">
        <f ca="1">IFERROR(__xludf.DUMMYFUNCTION("""COMPUTED_VALUE"""),"Cost per instance")</f>
        <v>Cost per instance</v>
      </c>
      <c r="M24" s="3"/>
      <c r="N24" s="3"/>
      <c r="O24" s="3"/>
      <c r="P24" s="3"/>
      <c r="Q24" s="3"/>
      <c r="R24" s="3"/>
      <c r="S24" s="3" t="str">
        <f ca="1">IFERROR(__xludf.DUMMYFUNCTION("""COMPUTED_VALUE"""),"100")</f>
        <v>100</v>
      </c>
      <c r="T24" s="3"/>
      <c r="U24" s="3" t="str">
        <f ca="1">IFERROR(__xludf.DUMMYFUNCTION("""COMPUTED_VALUE"""),"microsite")</f>
        <v>microsite</v>
      </c>
      <c r="V24" s="3"/>
      <c r="W24" s="3"/>
      <c r="X24" s="3"/>
      <c r="Y24" s="3"/>
      <c r="Z24" s="3" t="str">
        <f ca="1">IFERROR(__xludf.DUMMYFUNCTION("""COMPUTED_VALUE"""),"podklady@cncenter.cz")</f>
        <v>podklady@cncenter.cz</v>
      </c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 t="str">
        <f ca="1">IFERROR(__xludf.DUMMYFUNCTION("""COMPUTED_VALUE"""),"cross-device")</f>
        <v>cross-device</v>
      </c>
      <c r="AO24" s="3"/>
      <c r="AP24" s="3"/>
      <c r="AQ24" s="3"/>
      <c r="AR24" s="3"/>
      <c r="AS24" s="3"/>
      <c r="AT24" s="3"/>
      <c r="AU24" s="3" t="str">
        <f ca="1">IFERROR(__xludf.DUMMYFUNCTION("""COMPUTED_VALUE"""),"Prodloužení existující microsite, bez úprav")</f>
        <v>Prodloužení existující microsite, bez úprav</v>
      </c>
    </row>
    <row r="25" spans="1:47" x14ac:dyDescent="0.3">
      <c r="A25" s="3">
        <f ca="1"/>
        <v>2346826</v>
      </c>
      <c r="B25" s="3" t="str">
        <f ca="1"/>
        <v>CZECH NEWS CENTER a. s.</v>
      </c>
      <c r="C25" s="3" t="str">
        <f ca="1">IFERROR(__xludf.DUMMYFUNCTION("""COMPUTED_VALUE"""),"Abeceda zahrady")</f>
        <v>Abeceda zahrady</v>
      </c>
      <c r="D25" s="4" t="str">
        <f ca="1">IFERROR(__xludf.DUMMYFUNCTION("""COMPUTED_VALUE"""),"https://abecedazahrady.dama.cz")</f>
        <v>https://abecedazahrady.dama.cz</v>
      </c>
      <c r="E25" s="3" t="str">
        <f ca="1">IFERROR(__xludf.DUMMYFUNCTION("""COMPUTED_VALUE"""),"celý web")</f>
        <v>celý web</v>
      </c>
      <c r="F25" s="4" t="str">
        <f ca="1">IFERROR(__xludf.DUMMYFUNCTION("""COMPUTED_VALUE"""),"https://abecedazahrady.dama.cz")</f>
        <v>https://abecedazahrady.dama.cz</v>
      </c>
      <c r="G25" s="3" t="str">
        <f ca="1">IFERROR(__xludf.DUMMYFUNCTION("""COMPUTED_VALUE"""),"Prodloužení existující microsite, bez úprav mid season")</f>
        <v>Prodloužení existující microsite, bez úprav mid season</v>
      </c>
      <c r="H25" s="3">
        <f ca="1">IFERROR(__xludf.DUMMYFUNCTION("""COMPUTED_VALUE"""),1)</f>
        <v>1</v>
      </c>
      <c r="I25" s="5">
        <f ca="1">IFERROR(__xludf.DUMMYFUNCTION("""COMPUTED_VALUE"""),1)</f>
        <v>1</v>
      </c>
      <c r="J25" s="5">
        <f ca="1">IFERROR(__xludf.DUMMYFUNCTION("""COMPUTED_VALUE"""),15000)</f>
        <v>15000</v>
      </c>
      <c r="K25" s="3"/>
      <c r="L25" s="3" t="str">
        <f ca="1">IFERROR(__xludf.DUMMYFUNCTION("""COMPUTED_VALUE"""),"Cost per instance")</f>
        <v>Cost per instance</v>
      </c>
      <c r="M25" s="3"/>
      <c r="N25" s="3"/>
      <c r="O25" s="3"/>
      <c r="P25" s="3"/>
      <c r="Q25" s="3"/>
      <c r="R25" s="3"/>
      <c r="S25" s="3" t="str">
        <f ca="1">IFERROR(__xludf.DUMMYFUNCTION("""COMPUTED_VALUE"""),"100")</f>
        <v>100</v>
      </c>
      <c r="T25" s="3"/>
      <c r="U25" s="3" t="str">
        <f ca="1">IFERROR(__xludf.DUMMYFUNCTION("""COMPUTED_VALUE"""),"microsite")</f>
        <v>microsite</v>
      </c>
      <c r="V25" s="3"/>
      <c r="W25" s="3"/>
      <c r="X25" s="3"/>
      <c r="Y25" s="3"/>
      <c r="Z25" s="3" t="str">
        <f ca="1">IFERROR(__xludf.DUMMYFUNCTION("""COMPUTED_VALUE"""),"podklady@cncenter.cz")</f>
        <v>podklady@cncenter.cz</v>
      </c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 t="str">
        <f ca="1">IFERROR(__xludf.DUMMYFUNCTION("""COMPUTED_VALUE"""),"cross-device")</f>
        <v>cross-device</v>
      </c>
      <c r="AO25" s="3"/>
      <c r="AP25" s="3"/>
      <c r="AQ25" s="3"/>
      <c r="AR25" s="3"/>
      <c r="AS25" s="3"/>
      <c r="AT25" s="3"/>
      <c r="AU25" s="3" t="str">
        <f ca="1">IFERROR(__xludf.DUMMYFUNCTION("""COMPUTED_VALUE"""),"Prodloužení existující microsite, bez úprav")</f>
        <v>Prodloužení existující microsite, bez úprav</v>
      </c>
    </row>
    <row r="26" spans="1:47" x14ac:dyDescent="0.3">
      <c r="A26" s="3">
        <f ca="1"/>
        <v>2346826</v>
      </c>
      <c r="B26" s="3" t="str">
        <f ca="1"/>
        <v>CZECH NEWS CENTER a. s.</v>
      </c>
      <c r="C26" s="3" t="str">
        <f ca="1">IFERROR(__xludf.DUMMYFUNCTION("""COMPUTED_VALUE"""),"Abeceda zahrady")</f>
        <v>Abeceda zahrady</v>
      </c>
      <c r="D26" s="4" t="str">
        <f ca="1">IFERROR(__xludf.DUMMYFUNCTION("""COMPUTED_VALUE"""),"https://abecedazahrady.dama.cz")</f>
        <v>https://abecedazahrady.dama.cz</v>
      </c>
      <c r="E26" s="3" t="str">
        <f ca="1">IFERROR(__xludf.DUMMYFUNCTION("""COMPUTED_VALUE"""),"celý web")</f>
        <v>celý web</v>
      </c>
      <c r="F26" s="4" t="str">
        <f ca="1">IFERROR(__xludf.DUMMYFUNCTION("""COMPUTED_VALUE"""),"https://abecedazahrady.dama.cz")</f>
        <v>https://abecedazahrady.dama.cz</v>
      </c>
      <c r="G26" s="3" t="str">
        <f ca="1">IFERROR(__xludf.DUMMYFUNCTION("""COMPUTED_VALUE"""),"Prodloužení existující microsite, bez úprav mid season")</f>
        <v>Prodloužení existující microsite, bez úprav mid season</v>
      </c>
      <c r="H26" s="3">
        <f ca="1">IFERROR(__xludf.DUMMYFUNCTION("""COMPUTED_VALUE"""),1)</f>
        <v>1</v>
      </c>
      <c r="I26" s="5">
        <f ca="1">IFERROR(__xludf.DUMMYFUNCTION("""COMPUTED_VALUE"""),1)</f>
        <v>1</v>
      </c>
      <c r="J26" s="5">
        <f ca="1">IFERROR(__xludf.DUMMYFUNCTION("""COMPUTED_VALUE"""),15000)</f>
        <v>15000</v>
      </c>
      <c r="K26" s="3"/>
      <c r="L26" s="3" t="str">
        <f ca="1">IFERROR(__xludf.DUMMYFUNCTION("""COMPUTED_VALUE"""),"Cost per instance")</f>
        <v>Cost per instance</v>
      </c>
      <c r="M26" s="3"/>
      <c r="N26" s="3"/>
      <c r="O26" s="3"/>
      <c r="P26" s="3"/>
      <c r="Q26" s="3"/>
      <c r="R26" s="3"/>
      <c r="S26" s="3" t="str">
        <f ca="1">IFERROR(__xludf.DUMMYFUNCTION("""COMPUTED_VALUE"""),"100")</f>
        <v>100</v>
      </c>
      <c r="T26" s="3"/>
      <c r="U26" s="3" t="str">
        <f ca="1">IFERROR(__xludf.DUMMYFUNCTION("""COMPUTED_VALUE"""),"microsite")</f>
        <v>microsite</v>
      </c>
      <c r="V26" s="3"/>
      <c r="W26" s="3"/>
      <c r="X26" s="3"/>
      <c r="Y26" s="3"/>
      <c r="Z26" s="3" t="str">
        <f ca="1">IFERROR(__xludf.DUMMYFUNCTION("""COMPUTED_VALUE"""),"podklady@cncenter.cz")</f>
        <v>podklady@cncenter.cz</v>
      </c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 t="str">
        <f ca="1">IFERROR(__xludf.DUMMYFUNCTION("""COMPUTED_VALUE"""),"cross-device")</f>
        <v>cross-device</v>
      </c>
      <c r="AO26" s="3"/>
      <c r="AP26" s="3"/>
      <c r="AQ26" s="3"/>
      <c r="AR26" s="3"/>
      <c r="AS26" s="3"/>
      <c r="AT26" s="3"/>
      <c r="AU26" s="3" t="str">
        <f ca="1">IFERROR(__xludf.DUMMYFUNCTION("""COMPUTED_VALUE"""),"Prodloužení existující microsite, bez úprav")</f>
        <v>Prodloužení existující microsite, bez úprav</v>
      </c>
    </row>
    <row r="27" spans="1:47" x14ac:dyDescent="0.3">
      <c r="A27" s="3">
        <f ca="1"/>
        <v>2346826</v>
      </c>
      <c r="B27" s="3" t="str">
        <f ca="1"/>
        <v>CZECH NEWS CENTER a. s.</v>
      </c>
      <c r="C27" s="3" t="str">
        <f ca="1">IFERROR(__xludf.DUMMYFUNCTION("""COMPUTED_VALUE"""),"Abicko")</f>
        <v>Abicko</v>
      </c>
      <c r="D27" s="4" t="str">
        <f ca="1">IFERROR(__xludf.DUMMYFUNCTION("""COMPUTED_VALUE"""),"https://abicko.cz")</f>
        <v>https://abicko.cz</v>
      </c>
      <c r="E27" s="3" t="str">
        <f ca="1">IFERROR(__xludf.DUMMYFUNCTION("""COMPUTED_VALUE"""),"celý web")</f>
        <v>celý web</v>
      </c>
      <c r="F27" s="4" t="str">
        <f ca="1">IFERROR(__xludf.DUMMYFUNCTION("""COMPUTED_VALUE"""),"https://abicko.cz")</f>
        <v>https://abicko.cz</v>
      </c>
      <c r="G27" s="3" t="str">
        <f ca="1">IFERROR(__xludf.DUMMYFUNCTION("""COMPUTED_VALUE"""),"Advertorial mid season")</f>
        <v>Advertorial mid season</v>
      </c>
      <c r="H27" s="3">
        <f ca="1">IFERROR(__xludf.DUMMYFUNCTION("""COMPUTED_VALUE"""),1)</f>
        <v>1</v>
      </c>
      <c r="I27" s="5">
        <f ca="1">IFERROR(__xludf.DUMMYFUNCTION("""COMPUTED_VALUE"""),1)</f>
        <v>1</v>
      </c>
      <c r="J27" s="5">
        <f ca="1">IFERROR(__xludf.DUMMYFUNCTION("""COMPUTED_VALUE"""),90000)</f>
        <v>90000</v>
      </c>
      <c r="K27" s="3"/>
      <c r="L27" s="3" t="str">
        <f ca="1">IFERROR(__xludf.DUMMYFUNCTION("""COMPUTED_VALUE"""),"Cost per instance")</f>
        <v>Cost per instance</v>
      </c>
      <c r="M27" s="3"/>
      <c r="N27" s="3"/>
      <c r="O27" s="3"/>
      <c r="P27" s="3"/>
      <c r="Q27" s="3"/>
      <c r="R27" s="3"/>
      <c r="S27" s="3" t="str">
        <f ca="1">IFERROR(__xludf.DUMMYFUNCTION("""COMPUTED_VALUE"""),"100")</f>
        <v>100</v>
      </c>
      <c r="T27" s="3"/>
      <c r="U27" s="3" t="str">
        <f ca="1">IFERROR(__xludf.DUMMYFUNCTION("""COMPUTED_VALUE"""),"pr článek")</f>
        <v>pr článek</v>
      </c>
      <c r="V27" s="3"/>
      <c r="W27" s="3"/>
      <c r="X27" s="3"/>
      <c r="Y27" s="3"/>
      <c r="Z27" s="3" t="str">
        <f ca="1">IFERROR(__xludf.DUMMYFUNCTION("""COMPUTED_VALUE"""),"podklady@cncenter.cz")</f>
        <v>podklady@cncenter.cz</v>
      </c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 t="str">
        <f ca="1">IFERROR(__xludf.DUMMYFUNCTION("""COMPUTED_VALUE"""),"cross-device")</f>
        <v>cross-device</v>
      </c>
      <c r="AO27" s="3"/>
      <c r="AP27" s="3"/>
      <c r="AQ27" s="3"/>
      <c r="AR27" s="3"/>
      <c r="AS27" s="3"/>
      <c r="AT27" s="3"/>
      <c r="AU27" s="3" t="str">
        <f ca="1">IFERROR(__xludf.DUMMYFUNCTION("""COMPUTED_VALUE"""),"Advertorial")</f>
        <v>Advertorial</v>
      </c>
    </row>
    <row r="28" spans="1:47" x14ac:dyDescent="0.3">
      <c r="A28" s="3">
        <f ca="1"/>
        <v>2346826</v>
      </c>
      <c r="B28" s="3" t="str">
        <f ca="1"/>
        <v>CZECH NEWS CENTER a. s.</v>
      </c>
      <c r="C28" s="3" t="str">
        <f ca="1">IFERROR(__xludf.DUMMYFUNCTION("""COMPUTED_VALUE"""),"Abicko")</f>
        <v>Abicko</v>
      </c>
      <c r="D28" s="4" t="str">
        <f ca="1">IFERROR(__xludf.DUMMYFUNCTION("""COMPUTED_VALUE"""),"https://abicko.cz")</f>
        <v>https://abicko.cz</v>
      </c>
      <c r="E28" s="3" t="str">
        <f ca="1">IFERROR(__xludf.DUMMYFUNCTION("""COMPUTED_VALUE"""),"celý web")</f>
        <v>celý web</v>
      </c>
      <c r="F28" s="4" t="str">
        <f ca="1">IFERROR(__xludf.DUMMYFUNCTION("""COMPUTED_VALUE"""),"https://abicko.cz")</f>
        <v>https://abicko.cz</v>
      </c>
      <c r="G28" s="3" t="str">
        <f ca="1">IFERROR(__xludf.DUMMYFUNCTION("""COMPUTED_VALUE"""),"billboard bottom mid season")</f>
        <v>billboard bottom mid season</v>
      </c>
      <c r="H28" s="3">
        <f ca="1">IFERROR(__xludf.DUMMYFUNCTION("""COMPUTED_VALUE"""),7)</f>
        <v>7</v>
      </c>
      <c r="I28" s="5">
        <f ca="1">IFERROR(__xludf.DUMMYFUNCTION("""COMPUTED_VALUE"""),1000)</f>
        <v>1000</v>
      </c>
      <c r="J28" s="5">
        <f ca="1">IFERROR(__xludf.DUMMYFUNCTION("""COMPUTED_VALUE"""),340)</f>
        <v>340</v>
      </c>
      <c r="K28" s="3"/>
      <c r="L28" s="3" t="str">
        <f ca="1">IFERROR(__xludf.DUMMYFUNCTION("""COMPUTED_VALUE"""),"Cost per period")</f>
        <v>Cost per period</v>
      </c>
      <c r="M28" s="3"/>
      <c r="N28" s="3"/>
      <c r="O28" s="3" t="str">
        <f ca="1">IFERROR(__xludf.DUMMYFUNCTION("""COMPUTED_VALUE"""),"970")</f>
        <v>970</v>
      </c>
      <c r="P28" s="3" t="str">
        <f ca="1">IFERROR(__xludf.DUMMYFUNCTION("""COMPUTED_VALUE"""),"250")</f>
        <v>250</v>
      </c>
      <c r="Q28" s="3" t="str">
        <f ca="1">IFERROR(__xludf.DUMMYFUNCTION("""COMPUTED_VALUE"""),"970x250")</f>
        <v>970x250</v>
      </c>
      <c r="R28" s="3"/>
      <c r="S28" s="3" t="str">
        <f ca="1">IFERROR(__xludf.DUMMYFUNCTION("""COMPUTED_VALUE"""),"100 (200 - HTML5)")</f>
        <v>100 (200 - HTML5)</v>
      </c>
      <c r="T28" s="3"/>
      <c r="U28" s="3" t="str">
        <f ca="1">IFERROR(__xludf.DUMMYFUNCTION("""COMPUTED_VALUE"""),"banner standard")</f>
        <v>banner standard</v>
      </c>
      <c r="V28" s="3"/>
      <c r="W28" s="4" t="str">
        <f ca="1">IFERROR(__xludf.DUMMYFUNCTION("""COMPUTED_VALUE"""),"https://reklama.cncenter.cz/Online/billboard-bottom")</f>
        <v>https://reklama.cncenter.cz/Online/billboard-bottom</v>
      </c>
      <c r="X28" s="3"/>
      <c r="Y28" s="3"/>
      <c r="Z28" s="3" t="str">
        <f ca="1">IFERROR(__xludf.DUMMYFUNCTION("""COMPUTED_VALUE"""),"podklady@cncenter.cz")</f>
        <v>podklady@cncenter.cz</v>
      </c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 t="str">
        <f ca="1">IFERROR(__xludf.DUMMYFUNCTION("""COMPUTED_VALUE"""),"desktop")</f>
        <v>desktop</v>
      </c>
      <c r="AO28" s="3"/>
      <c r="AP28" s="3"/>
      <c r="AQ28" s="3"/>
      <c r="AR28" s="3"/>
      <c r="AS28" s="3"/>
      <c r="AT28" s="3"/>
      <c r="AU28" s="3" t="str">
        <f ca="1">IFERROR(__xludf.DUMMYFUNCTION("""COMPUTED_VALUE"""),"billboard bottom")</f>
        <v>billboard bottom</v>
      </c>
    </row>
    <row r="29" spans="1:47" x14ac:dyDescent="0.3">
      <c r="A29" s="3">
        <f ca="1"/>
        <v>2346826</v>
      </c>
      <c r="B29" s="3" t="str">
        <f ca="1"/>
        <v>CZECH NEWS CENTER a. s.</v>
      </c>
      <c r="C29" s="3" t="str">
        <f ca="1">IFERROR(__xludf.DUMMYFUNCTION("""COMPUTED_VALUE"""),"Abicko")</f>
        <v>Abicko</v>
      </c>
      <c r="D29" s="4" t="str">
        <f ca="1">IFERROR(__xludf.DUMMYFUNCTION("""COMPUTED_VALUE"""),"https://abicko.cz")</f>
        <v>https://abicko.cz</v>
      </c>
      <c r="E29" s="3" t="str">
        <f ca="1">IFERROR(__xludf.DUMMYFUNCTION("""COMPUTED_VALUE"""),"celý web")</f>
        <v>celý web</v>
      </c>
      <c r="F29" s="4" t="str">
        <f ca="1">IFERROR(__xludf.DUMMYFUNCTION("""COMPUTED_VALUE"""),"https://abicko.cz")</f>
        <v>https://abicko.cz</v>
      </c>
      <c r="G29" s="3" t="str">
        <f ca="1">IFERROR(__xludf.DUMMYFUNCTION("""COMPUTED_VALUE"""),"branding cross-device mid season")</f>
        <v>branding cross-device mid season</v>
      </c>
      <c r="H29" s="3">
        <f ca="1">IFERROR(__xludf.DUMMYFUNCTION("""COMPUTED_VALUE"""),7)</f>
        <v>7</v>
      </c>
      <c r="I29" s="5">
        <f ca="1">IFERROR(__xludf.DUMMYFUNCTION("""COMPUTED_VALUE"""),1000)</f>
        <v>1000</v>
      </c>
      <c r="J29" s="5">
        <f ca="1">IFERROR(__xludf.DUMMYFUNCTION("""COMPUTED_VALUE"""),420)</f>
        <v>420</v>
      </c>
      <c r="K29" s="3"/>
      <c r="L29" s="3" t="str">
        <f ca="1">IFERROR(__xludf.DUMMYFUNCTION("""COMPUTED_VALUE"""),"Cost per period")</f>
        <v>Cost per period</v>
      </c>
      <c r="M29" s="3"/>
      <c r="N29" s="3"/>
      <c r="O29" s="3" t="str">
        <f ca="1">IFERROR(__xludf.DUMMYFUNCTION("""COMPUTED_VALUE"""),"2000")</f>
        <v>2000</v>
      </c>
      <c r="P29" s="3" t="str">
        <f ca="1">IFERROR(__xludf.DUMMYFUNCTION("""COMPUTED_VALUE"""),"1400")</f>
        <v>1400</v>
      </c>
      <c r="Q29" s="3" t="str">
        <f ca="1">IFERROR(__xludf.DUMMYFUNCTION("""COMPUTED_VALUE"""),"2000x1400 + 600x1080")</f>
        <v>2000x1400 + 600x1080</v>
      </c>
      <c r="R29" s="3"/>
      <c r="S29" s="3" t="str">
        <f ca="1">IFERROR(__xludf.DUMMYFUNCTION("""COMPUTED_VALUE"""),"500 (600 - HTLM5)")</f>
        <v>500 (600 - HTLM5)</v>
      </c>
      <c r="T29" s="3"/>
      <c r="U29" s="3" t="str">
        <f ca="1">IFERROR(__xludf.DUMMYFUNCTION("""COMPUTED_VALUE"""),"banner standard")</f>
        <v>banner standard</v>
      </c>
      <c r="V29" s="3"/>
      <c r="W29" s="4" t="str">
        <f ca="1">IFERROR(__xludf.DUMMYFUNCTION("""COMPUTED_VALUE"""),"https://reklama.cncenter.cz/Online/branding-cross-device")</f>
        <v>https://reklama.cncenter.cz/Online/branding-cross-device</v>
      </c>
      <c r="X29" s="3"/>
      <c r="Y29" s="3"/>
      <c r="Z29" s="3" t="str">
        <f ca="1">IFERROR(__xludf.DUMMYFUNCTION("""COMPUTED_VALUE"""),"podklady@cncenter.cz")</f>
        <v>podklady@cncenter.cz</v>
      </c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 t="str">
        <f ca="1">IFERROR(__xludf.DUMMYFUNCTION("""COMPUTED_VALUE"""),"cross-device")</f>
        <v>cross-device</v>
      </c>
      <c r="AO29" s="3"/>
      <c r="AP29" s="3"/>
      <c r="AQ29" s="3"/>
      <c r="AR29" s="3"/>
      <c r="AS29" s="3"/>
      <c r="AT29" s="3"/>
      <c r="AU29" s="3" t="str">
        <f ca="1">IFERROR(__xludf.DUMMYFUNCTION("""COMPUTED_VALUE"""),"branding cross-device")</f>
        <v>branding cross-device</v>
      </c>
    </row>
    <row r="30" spans="1:47" x14ac:dyDescent="0.3">
      <c r="A30" s="3">
        <f ca="1"/>
        <v>2346826</v>
      </c>
      <c r="B30" s="3" t="str">
        <f ca="1"/>
        <v>CZECH NEWS CENTER a. s.</v>
      </c>
      <c r="C30" s="3" t="str">
        <f ca="1">IFERROR(__xludf.DUMMYFUNCTION("""COMPUTED_VALUE"""),"Abicko")</f>
        <v>Abicko</v>
      </c>
      <c r="D30" s="4" t="str">
        <f ca="1">IFERROR(__xludf.DUMMYFUNCTION("""COMPUTED_VALUE"""),"https://abicko.cz")</f>
        <v>https://abicko.cz</v>
      </c>
      <c r="E30" s="3" t="str">
        <f ca="1">IFERROR(__xludf.DUMMYFUNCTION("""COMPUTED_VALUE"""),"celý web")</f>
        <v>celý web</v>
      </c>
      <c r="F30" s="4" t="str">
        <f ca="1">IFERROR(__xludf.DUMMYFUNCTION("""COMPUTED_VALUE"""),"https://abicko.cz")</f>
        <v>https://abicko.cz</v>
      </c>
      <c r="G30" s="3" t="str">
        <f ca="1">IFERROR(__xludf.DUMMYFUNCTION("""COMPUTED_VALUE"""),"branding mid season")</f>
        <v>branding mid season</v>
      </c>
      <c r="H30" s="3">
        <f ca="1">IFERROR(__xludf.DUMMYFUNCTION("""COMPUTED_VALUE"""),7)</f>
        <v>7</v>
      </c>
      <c r="I30" s="5">
        <f ca="1">IFERROR(__xludf.DUMMYFUNCTION("""COMPUTED_VALUE"""),1000)</f>
        <v>1000</v>
      </c>
      <c r="J30" s="5">
        <f ca="1">IFERROR(__xludf.DUMMYFUNCTION("""COMPUTED_VALUE"""),690)</f>
        <v>690</v>
      </c>
      <c r="K30" s="3"/>
      <c r="L30" s="3" t="str">
        <f ca="1">IFERROR(__xludf.DUMMYFUNCTION("""COMPUTED_VALUE"""),"Cost per period")</f>
        <v>Cost per period</v>
      </c>
      <c r="M30" s="3"/>
      <c r="N30" s="3"/>
      <c r="O30" s="3" t="str">
        <f ca="1">IFERROR(__xludf.DUMMYFUNCTION("""COMPUTED_VALUE"""),"2000")</f>
        <v>2000</v>
      </c>
      <c r="P30" s="3" t="str">
        <f ca="1">IFERROR(__xludf.DUMMYFUNCTION("""COMPUTED_VALUE"""),"1400")</f>
        <v>1400</v>
      </c>
      <c r="Q30" s="3" t="str">
        <f ca="1">IFERROR(__xludf.DUMMYFUNCTION("""COMPUTED_VALUE"""),"2000x1400")</f>
        <v>2000x1400</v>
      </c>
      <c r="R30" s="3"/>
      <c r="S30" s="3" t="str">
        <f ca="1">IFERROR(__xludf.DUMMYFUNCTION("""COMPUTED_VALUE"""),"500 + 200 (600+200 HTML5)")</f>
        <v>500 + 200 (600+200 HTML5)</v>
      </c>
      <c r="T30" s="3"/>
      <c r="U30" s="3" t="str">
        <f ca="1">IFERROR(__xludf.DUMMYFUNCTION("""COMPUTED_VALUE"""),"banner standard")</f>
        <v>banner standard</v>
      </c>
      <c r="V30" s="3"/>
      <c r="W30" s="4" t="str">
        <f ca="1">IFERROR(__xludf.DUMMYFUNCTION("""COMPUTED_VALUE"""),"https://reklama.cncenter.cz/Online/branding")</f>
        <v>https://reklama.cncenter.cz/Online/branding</v>
      </c>
      <c r="X30" s="3"/>
      <c r="Y30" s="3"/>
      <c r="Z30" s="3" t="str">
        <f ca="1">IFERROR(__xludf.DUMMYFUNCTION("""COMPUTED_VALUE"""),"podklady@cncenter.cz")</f>
        <v>podklady@cncenter.cz</v>
      </c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 t="str">
        <f ca="1">IFERROR(__xludf.DUMMYFUNCTION("""COMPUTED_VALUE"""),"desktop")</f>
        <v>desktop</v>
      </c>
      <c r="AO30" s="3"/>
      <c r="AP30" s="3"/>
      <c r="AQ30" s="3"/>
      <c r="AR30" s="3"/>
      <c r="AS30" s="3"/>
      <c r="AT30" s="3"/>
      <c r="AU30" s="3" t="str">
        <f ca="1">IFERROR(__xludf.DUMMYFUNCTION("""COMPUTED_VALUE"""),"branding")</f>
        <v>branding</v>
      </c>
    </row>
    <row r="31" spans="1:47" x14ac:dyDescent="0.3">
      <c r="A31" s="3">
        <f ca="1"/>
        <v>2346826</v>
      </c>
      <c r="B31" s="3" t="str">
        <f ca="1"/>
        <v>CZECH NEWS CENTER a. s.</v>
      </c>
      <c r="C31" s="3" t="str">
        <f ca="1">IFERROR(__xludf.DUMMYFUNCTION("""COMPUTED_VALUE"""),"Abicko")</f>
        <v>Abicko</v>
      </c>
      <c r="D31" s="4" t="str">
        <f ca="1">IFERROR(__xludf.DUMMYFUNCTION("""COMPUTED_VALUE"""),"https://abicko.cz")</f>
        <v>https://abicko.cz</v>
      </c>
      <c r="E31" s="3" t="str">
        <f ca="1">IFERROR(__xludf.DUMMYFUNCTION("""COMPUTED_VALUE"""),"celý web")</f>
        <v>celý web</v>
      </c>
      <c r="F31" s="4" t="str">
        <f ca="1">IFERROR(__xludf.DUMMYFUNCTION("""COMPUTED_VALUE"""),"https://abicko.cz")</f>
        <v>https://abicko.cz</v>
      </c>
      <c r="G31" s="3" t="str">
        <f ca="1">IFERROR(__xludf.DUMMYFUNCTION("""COMPUTED_VALUE"""),"cílený billboard bottom mid season")</f>
        <v>cílený billboard bottom mid season</v>
      </c>
      <c r="H31" s="3">
        <f ca="1">IFERROR(__xludf.DUMMYFUNCTION("""COMPUTED_VALUE"""),7)</f>
        <v>7</v>
      </c>
      <c r="I31" s="5">
        <f ca="1">IFERROR(__xludf.DUMMYFUNCTION("""COMPUTED_VALUE"""),1000)</f>
        <v>1000</v>
      </c>
      <c r="J31" s="5">
        <f ca="1">IFERROR(__xludf.DUMMYFUNCTION("""COMPUTED_VALUE"""),408)</f>
        <v>408</v>
      </c>
      <c r="K31" s="3"/>
      <c r="L31" s="3" t="str">
        <f ca="1">IFERROR(__xludf.DUMMYFUNCTION("""COMPUTED_VALUE"""),"Cost per period")</f>
        <v>Cost per period</v>
      </c>
      <c r="M31" s="3"/>
      <c r="N31" s="3"/>
      <c r="O31" s="3" t="str">
        <f ca="1">IFERROR(__xludf.DUMMYFUNCTION("""COMPUTED_VALUE"""),"970")</f>
        <v>970</v>
      </c>
      <c r="P31" s="3" t="str">
        <f ca="1">IFERROR(__xludf.DUMMYFUNCTION("""COMPUTED_VALUE"""),"250")</f>
        <v>250</v>
      </c>
      <c r="Q31" s="3" t="str">
        <f ca="1">IFERROR(__xludf.DUMMYFUNCTION("""COMPUTED_VALUE"""),"970x250")</f>
        <v>970x250</v>
      </c>
      <c r="R31" s="3"/>
      <c r="S31" s="3" t="str">
        <f ca="1">IFERROR(__xludf.DUMMYFUNCTION("""COMPUTED_VALUE"""),"100 (200 - HTML5)")</f>
        <v>100 (200 - HTML5)</v>
      </c>
      <c r="T31" s="3"/>
      <c r="U31" s="3" t="str">
        <f ca="1">IFERROR(__xludf.DUMMYFUNCTION("""COMPUTED_VALUE"""),"banner standard")</f>
        <v>banner standard</v>
      </c>
      <c r="V31" s="3"/>
      <c r="W31" s="4" t="str">
        <f ca="1">IFERROR(__xludf.DUMMYFUNCTION("""COMPUTED_VALUE"""),"https://reklama.cncenter.cz/Online/billboard-bottom")</f>
        <v>https://reklama.cncenter.cz/Online/billboard-bottom</v>
      </c>
      <c r="X31" s="3"/>
      <c r="Y31" s="3"/>
      <c r="Z31" s="3" t="str">
        <f ca="1">IFERROR(__xludf.DUMMYFUNCTION("""COMPUTED_VALUE"""),"podklady@cncenter.cz")</f>
        <v>podklady@cncenter.cz</v>
      </c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 t="str">
        <f ca="1">IFERROR(__xludf.DUMMYFUNCTION("""COMPUTED_VALUE"""),"desktop")</f>
        <v>desktop</v>
      </c>
      <c r="AO31" s="3"/>
      <c r="AP31" s="3"/>
      <c r="AQ31" s="3"/>
      <c r="AR31" s="3"/>
      <c r="AS31" s="3"/>
      <c r="AT31" s="3"/>
      <c r="AU31" s="3" t="str">
        <f ca="1">IFERROR(__xludf.DUMMYFUNCTION("""COMPUTED_VALUE"""),"cílený billboard bottom")</f>
        <v>cílený billboard bottom</v>
      </c>
    </row>
    <row r="32" spans="1:47" x14ac:dyDescent="0.3">
      <c r="A32" s="3">
        <f ca="1"/>
        <v>2346826</v>
      </c>
      <c r="B32" s="3" t="str">
        <f ca="1"/>
        <v>CZECH NEWS CENTER a. s.</v>
      </c>
      <c r="C32" s="3" t="str">
        <f ca="1">IFERROR(__xludf.DUMMYFUNCTION("""COMPUTED_VALUE"""),"Abicko")</f>
        <v>Abicko</v>
      </c>
      <c r="D32" s="4" t="str">
        <f ca="1">IFERROR(__xludf.DUMMYFUNCTION("""COMPUTED_VALUE"""),"https://abicko.cz")</f>
        <v>https://abicko.cz</v>
      </c>
      <c r="E32" s="3" t="str">
        <f ca="1">IFERROR(__xludf.DUMMYFUNCTION("""COMPUTED_VALUE"""),"celý web")</f>
        <v>celý web</v>
      </c>
      <c r="F32" s="4" t="str">
        <f ca="1">IFERROR(__xludf.DUMMYFUNCTION("""COMPUTED_VALUE"""),"https://abicko.cz")</f>
        <v>https://abicko.cz</v>
      </c>
      <c r="G32" s="3" t="str">
        <f ca="1">IFERROR(__xludf.DUMMYFUNCTION("""COMPUTED_VALUE"""),"cílený branding cross-device mid season")</f>
        <v>cílený branding cross-device mid season</v>
      </c>
      <c r="H32" s="3">
        <f ca="1">IFERROR(__xludf.DUMMYFUNCTION("""COMPUTED_VALUE"""),7)</f>
        <v>7</v>
      </c>
      <c r="I32" s="5">
        <f ca="1">IFERROR(__xludf.DUMMYFUNCTION("""COMPUTED_VALUE"""),1000)</f>
        <v>1000</v>
      </c>
      <c r="J32" s="5">
        <f ca="1">IFERROR(__xludf.DUMMYFUNCTION("""COMPUTED_VALUE"""),504)</f>
        <v>504</v>
      </c>
      <c r="K32" s="3"/>
      <c r="L32" s="3" t="str">
        <f ca="1">IFERROR(__xludf.DUMMYFUNCTION("""COMPUTED_VALUE"""),"Cost per period")</f>
        <v>Cost per period</v>
      </c>
      <c r="M32" s="3"/>
      <c r="N32" s="3"/>
      <c r="O32" s="3" t="str">
        <f ca="1">IFERROR(__xludf.DUMMYFUNCTION("""COMPUTED_VALUE"""),"2000")</f>
        <v>2000</v>
      </c>
      <c r="P32" s="3" t="str">
        <f ca="1">IFERROR(__xludf.DUMMYFUNCTION("""COMPUTED_VALUE"""),"1400")</f>
        <v>1400</v>
      </c>
      <c r="Q32" s="3" t="str">
        <f ca="1">IFERROR(__xludf.DUMMYFUNCTION("""COMPUTED_VALUE"""),"2000x1400 + 600x1080")</f>
        <v>2000x1400 + 600x1080</v>
      </c>
      <c r="R32" s="3"/>
      <c r="S32" s="3" t="str">
        <f ca="1">IFERROR(__xludf.DUMMYFUNCTION("""COMPUTED_VALUE"""),"500 (600 - HTLM5)")</f>
        <v>500 (600 - HTLM5)</v>
      </c>
      <c r="T32" s="3"/>
      <c r="U32" s="3" t="str">
        <f ca="1">IFERROR(__xludf.DUMMYFUNCTION("""COMPUTED_VALUE"""),"banner standard")</f>
        <v>banner standard</v>
      </c>
      <c r="V32" s="3"/>
      <c r="W32" s="4" t="str">
        <f ca="1">IFERROR(__xludf.DUMMYFUNCTION("""COMPUTED_VALUE"""),"https://reklama.cncenter.cz/Online/branding-cross-device")</f>
        <v>https://reklama.cncenter.cz/Online/branding-cross-device</v>
      </c>
      <c r="X32" s="3"/>
      <c r="Y32" s="3"/>
      <c r="Z32" s="3" t="str">
        <f ca="1">IFERROR(__xludf.DUMMYFUNCTION("""COMPUTED_VALUE"""),"podklady@cncenter.cz")</f>
        <v>podklady@cncenter.cz</v>
      </c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 t="str">
        <f ca="1">IFERROR(__xludf.DUMMYFUNCTION("""COMPUTED_VALUE"""),"cross-device")</f>
        <v>cross-device</v>
      </c>
      <c r="AO32" s="3"/>
      <c r="AP32" s="3"/>
      <c r="AQ32" s="3"/>
      <c r="AR32" s="3"/>
      <c r="AS32" s="3"/>
      <c r="AT32" s="3"/>
      <c r="AU32" s="3" t="str">
        <f ca="1">IFERROR(__xludf.DUMMYFUNCTION("""COMPUTED_VALUE"""),"cílený branding cross-device")</f>
        <v>cílený branding cross-device</v>
      </c>
    </row>
    <row r="33" spans="1:47" x14ac:dyDescent="0.3">
      <c r="A33" s="3">
        <f ca="1"/>
        <v>2346826</v>
      </c>
      <c r="B33" s="3" t="str">
        <f ca="1"/>
        <v>CZECH NEWS CENTER a. s.</v>
      </c>
      <c r="C33" s="3" t="str">
        <f ca="1">IFERROR(__xludf.DUMMYFUNCTION("""COMPUTED_VALUE"""),"Abicko")</f>
        <v>Abicko</v>
      </c>
      <c r="D33" s="4" t="str">
        <f ca="1">IFERROR(__xludf.DUMMYFUNCTION("""COMPUTED_VALUE"""),"https://abicko.cz")</f>
        <v>https://abicko.cz</v>
      </c>
      <c r="E33" s="3" t="str">
        <f ca="1">IFERROR(__xludf.DUMMYFUNCTION("""COMPUTED_VALUE"""),"celý web")</f>
        <v>celý web</v>
      </c>
      <c r="F33" s="4" t="str">
        <f ca="1">IFERROR(__xludf.DUMMYFUNCTION("""COMPUTED_VALUE"""),"https://abicko.cz")</f>
        <v>https://abicko.cz</v>
      </c>
      <c r="G33" s="3" t="str">
        <f ca="1">IFERROR(__xludf.DUMMYFUNCTION("""COMPUTED_VALUE"""),"cílený branding mid season")</f>
        <v>cílený branding mid season</v>
      </c>
      <c r="H33" s="3">
        <f ca="1">IFERROR(__xludf.DUMMYFUNCTION("""COMPUTED_VALUE"""),7)</f>
        <v>7</v>
      </c>
      <c r="I33" s="5">
        <f ca="1">IFERROR(__xludf.DUMMYFUNCTION("""COMPUTED_VALUE"""),1000)</f>
        <v>1000</v>
      </c>
      <c r="J33" s="5">
        <f ca="1">IFERROR(__xludf.DUMMYFUNCTION("""COMPUTED_VALUE"""),828)</f>
        <v>828</v>
      </c>
      <c r="K33" s="3"/>
      <c r="L33" s="3" t="str">
        <f ca="1">IFERROR(__xludf.DUMMYFUNCTION("""COMPUTED_VALUE"""),"Cost per period")</f>
        <v>Cost per period</v>
      </c>
      <c r="M33" s="3"/>
      <c r="N33" s="3"/>
      <c r="O33" s="3" t="str">
        <f ca="1">IFERROR(__xludf.DUMMYFUNCTION("""COMPUTED_VALUE"""),"2000")</f>
        <v>2000</v>
      </c>
      <c r="P33" s="3" t="str">
        <f ca="1">IFERROR(__xludf.DUMMYFUNCTION("""COMPUTED_VALUE"""),"1400")</f>
        <v>1400</v>
      </c>
      <c r="Q33" s="3" t="str">
        <f ca="1">IFERROR(__xludf.DUMMYFUNCTION("""COMPUTED_VALUE"""),"2000x1400")</f>
        <v>2000x1400</v>
      </c>
      <c r="R33" s="3"/>
      <c r="S33" s="3" t="str">
        <f ca="1">IFERROR(__xludf.DUMMYFUNCTION("""COMPUTED_VALUE"""),"500 + 200 (600+200 HTML5)")</f>
        <v>500 + 200 (600+200 HTML5)</v>
      </c>
      <c r="T33" s="3"/>
      <c r="U33" s="3" t="str">
        <f ca="1">IFERROR(__xludf.DUMMYFUNCTION("""COMPUTED_VALUE"""),"banner standard")</f>
        <v>banner standard</v>
      </c>
      <c r="V33" s="3"/>
      <c r="W33" s="4" t="str">
        <f ca="1">IFERROR(__xludf.DUMMYFUNCTION("""COMPUTED_VALUE"""),"https://reklama.cncenter.cz/Online/branding")</f>
        <v>https://reklama.cncenter.cz/Online/branding</v>
      </c>
      <c r="X33" s="3"/>
      <c r="Y33" s="3"/>
      <c r="Z33" s="3" t="str">
        <f ca="1">IFERROR(__xludf.DUMMYFUNCTION("""COMPUTED_VALUE"""),"podklady@cncenter.cz")</f>
        <v>podklady@cncenter.cz</v>
      </c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 t="str">
        <f ca="1">IFERROR(__xludf.DUMMYFUNCTION("""COMPUTED_VALUE"""),"desktop")</f>
        <v>desktop</v>
      </c>
      <c r="AO33" s="3"/>
      <c r="AP33" s="3"/>
      <c r="AQ33" s="3"/>
      <c r="AR33" s="3"/>
      <c r="AS33" s="3"/>
      <c r="AT33" s="3"/>
      <c r="AU33" s="3" t="str">
        <f ca="1">IFERROR(__xludf.DUMMYFUNCTION("""COMPUTED_VALUE"""),"cílený branding")</f>
        <v>cílený branding</v>
      </c>
    </row>
    <row r="34" spans="1:47" x14ac:dyDescent="0.3">
      <c r="A34" s="3">
        <f ca="1"/>
        <v>2346826</v>
      </c>
      <c r="B34" s="3" t="str">
        <f ca="1"/>
        <v>CZECH NEWS CENTER a. s.</v>
      </c>
      <c r="C34" s="3" t="str">
        <f ca="1">IFERROR(__xludf.DUMMYFUNCTION("""COMPUTED_VALUE"""),"Abicko")</f>
        <v>Abicko</v>
      </c>
      <c r="D34" s="4" t="str">
        <f ca="1">IFERROR(__xludf.DUMMYFUNCTION("""COMPUTED_VALUE"""),"https://abicko.cz")</f>
        <v>https://abicko.cz</v>
      </c>
      <c r="E34" s="3" t="str">
        <f ca="1">IFERROR(__xludf.DUMMYFUNCTION("""COMPUTED_VALUE"""),"celý web")</f>
        <v>celý web</v>
      </c>
      <c r="F34" s="4" t="str">
        <f ca="1">IFERROR(__xludf.DUMMYFUNCTION("""COMPUTED_VALUE"""),"https://abicko.cz")</f>
        <v>https://abicko.cz</v>
      </c>
      <c r="G34" s="3" t="str">
        <f ca="1">IFERROR(__xludf.DUMMYFUNCTION("""COMPUTED_VALUE"""),"cílený double skyscraper mid season")</f>
        <v>cílený double skyscraper mid season</v>
      </c>
      <c r="H34" s="3">
        <f ca="1">IFERROR(__xludf.DUMMYFUNCTION("""COMPUTED_VALUE"""),7)</f>
        <v>7</v>
      </c>
      <c r="I34" s="5">
        <f ca="1">IFERROR(__xludf.DUMMYFUNCTION("""COMPUTED_VALUE"""),1000)</f>
        <v>1000</v>
      </c>
      <c r="J34" s="5">
        <f ca="1">IFERROR(__xludf.DUMMYFUNCTION("""COMPUTED_VALUE"""),324)</f>
        <v>324</v>
      </c>
      <c r="K34" s="3"/>
      <c r="L34" s="3" t="str">
        <f ca="1">IFERROR(__xludf.DUMMYFUNCTION("""COMPUTED_VALUE"""),"Cost per period")</f>
        <v>Cost per period</v>
      </c>
      <c r="M34" s="3"/>
      <c r="N34" s="3"/>
      <c r="O34" s="3" t="str">
        <f ca="1">IFERROR(__xludf.DUMMYFUNCTION("""COMPUTED_VALUE"""),"300")</f>
        <v>300</v>
      </c>
      <c r="P34" s="3" t="str">
        <f ca="1">IFERROR(__xludf.DUMMYFUNCTION("""COMPUTED_VALUE"""),"600")</f>
        <v>600</v>
      </c>
      <c r="Q34" s="3" t="str">
        <f ca="1">IFERROR(__xludf.DUMMYFUNCTION("""COMPUTED_VALUE"""),"300x600")</f>
        <v>300x600</v>
      </c>
      <c r="R34" s="3"/>
      <c r="S34" s="3" t="str">
        <f ca="1">IFERROR(__xludf.DUMMYFUNCTION("""COMPUTED_VALUE"""),"100 (200 - HTML5)")</f>
        <v>100 (200 - HTML5)</v>
      </c>
      <c r="T34" s="3"/>
      <c r="U34" s="3" t="str">
        <f ca="1">IFERROR(__xludf.DUMMYFUNCTION("""COMPUTED_VALUE"""),"banner standard")</f>
        <v>banner standard</v>
      </c>
      <c r="V34" s="3"/>
      <c r="W34" s="4" t="str">
        <f ca="1">IFERROR(__xludf.DUMMYFUNCTION("""COMPUTED_VALUE"""),"https://reklama.cncenter.cz/Online/double-skyscraper")</f>
        <v>https://reklama.cncenter.cz/Online/double-skyscraper</v>
      </c>
      <c r="X34" s="3"/>
      <c r="Y34" s="3"/>
      <c r="Z34" s="3" t="str">
        <f ca="1">IFERROR(__xludf.DUMMYFUNCTION("""COMPUTED_VALUE"""),"podklady@cncenter.cz")</f>
        <v>podklady@cncenter.cz</v>
      </c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 t="str">
        <f ca="1">IFERROR(__xludf.DUMMYFUNCTION("""COMPUTED_VALUE"""),"desktop")</f>
        <v>desktop</v>
      </c>
      <c r="AO34" s="3"/>
      <c r="AP34" s="3"/>
      <c r="AQ34" s="3"/>
      <c r="AR34" s="3"/>
      <c r="AS34" s="3"/>
      <c r="AT34" s="3"/>
      <c r="AU34" s="3" t="str">
        <f ca="1">IFERROR(__xludf.DUMMYFUNCTION("""COMPUTED_VALUE"""),"cílený double skyscraper")</f>
        <v>cílený double skyscraper</v>
      </c>
    </row>
    <row r="35" spans="1:47" x14ac:dyDescent="0.3">
      <c r="A35" s="3">
        <f ca="1"/>
        <v>2346826</v>
      </c>
      <c r="B35" s="3" t="str">
        <f ca="1"/>
        <v>CZECH NEWS CENTER a. s.</v>
      </c>
      <c r="C35" s="3" t="str">
        <f ca="1">IFERROR(__xludf.DUMMYFUNCTION("""COMPUTED_VALUE"""),"Abicko")</f>
        <v>Abicko</v>
      </c>
      <c r="D35" s="4" t="str">
        <f ca="1">IFERROR(__xludf.DUMMYFUNCTION("""COMPUTED_VALUE"""),"https://abicko.cz")</f>
        <v>https://abicko.cz</v>
      </c>
      <c r="E35" s="3" t="str">
        <f ca="1">IFERROR(__xludf.DUMMYFUNCTION("""COMPUTED_VALUE"""),"celý web")</f>
        <v>celý web</v>
      </c>
      <c r="F35" s="4" t="str">
        <f ca="1">IFERROR(__xludf.DUMMYFUNCTION("""COMPUTED_VALUE"""),"https://abicko.cz")</f>
        <v>https://abicko.cz</v>
      </c>
      <c r="G35" s="3" t="str">
        <f ca="1">IFERROR(__xludf.DUMMYFUNCTION("""COMPUTED_VALUE"""),"cílený mobilní interscroller mid season")</f>
        <v>cílený mobilní interscroller mid season</v>
      </c>
      <c r="H35" s="3">
        <f ca="1">IFERROR(__xludf.DUMMYFUNCTION("""COMPUTED_VALUE"""),7)</f>
        <v>7</v>
      </c>
      <c r="I35" s="5">
        <f ca="1">IFERROR(__xludf.DUMMYFUNCTION("""COMPUTED_VALUE"""),1000)</f>
        <v>1000</v>
      </c>
      <c r="J35" s="5">
        <f ca="1">IFERROR(__xludf.DUMMYFUNCTION("""COMPUTED_VALUE"""),420)</f>
        <v>420</v>
      </c>
      <c r="K35" s="3"/>
      <c r="L35" s="3" t="str">
        <f ca="1">IFERROR(__xludf.DUMMYFUNCTION("""COMPUTED_VALUE"""),"Cost per period")</f>
        <v>Cost per period</v>
      </c>
      <c r="M35" s="3"/>
      <c r="N35" s="3"/>
      <c r="O35" s="3" t="str">
        <f ca="1">IFERROR(__xludf.DUMMYFUNCTION("""COMPUTED_VALUE"""),"600")</f>
        <v>600</v>
      </c>
      <c r="P35" s="3" t="str">
        <f ca="1">IFERROR(__xludf.DUMMYFUNCTION("""COMPUTED_VALUE"""),"1080")</f>
        <v>1080</v>
      </c>
      <c r="Q35" s="3" t="str">
        <f ca="1">IFERROR(__xludf.DUMMYFUNCTION("""COMPUTED_VALUE"""),"600x1080")</f>
        <v>600x1080</v>
      </c>
      <c r="R35" s="3"/>
      <c r="S35" s="3" t="str">
        <f ca="1">IFERROR(__xludf.DUMMYFUNCTION("""COMPUTED_VALUE"""),"200")</f>
        <v>200</v>
      </c>
      <c r="T35" s="3"/>
      <c r="U35" s="3" t="str">
        <f ca="1">IFERROR(__xludf.DUMMYFUNCTION("""COMPUTED_VALUE"""),"banner standard")</f>
        <v>banner standard</v>
      </c>
      <c r="V35" s="3"/>
      <c r="W35" s="4" t="str">
        <f ca="1">IFERROR(__xludf.DUMMYFUNCTION("""COMPUTED_VALUE"""),"https://reklama.cncenter.cz/Online/mobilni-interscroller")</f>
        <v>https://reklama.cncenter.cz/Online/mobilni-interscroller</v>
      </c>
      <c r="X35" s="3"/>
      <c r="Y35" s="3"/>
      <c r="Z35" s="3" t="str">
        <f ca="1">IFERROR(__xludf.DUMMYFUNCTION("""COMPUTED_VALUE"""),"podklady@cncenter.cz")</f>
        <v>podklady@cncenter.cz</v>
      </c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 t="str">
        <f ca="1">IFERROR(__xludf.DUMMYFUNCTION("""COMPUTED_VALUE"""),"mobile")</f>
        <v>mobile</v>
      </c>
      <c r="AO35" s="3"/>
      <c r="AP35" s="3"/>
      <c r="AQ35" s="3"/>
      <c r="AR35" s="3"/>
      <c r="AS35" s="3"/>
      <c r="AT35" s="3"/>
      <c r="AU35" s="3" t="str">
        <f ca="1">IFERROR(__xludf.DUMMYFUNCTION("""COMPUTED_VALUE"""),"cílený mobilní interscroller")</f>
        <v>cílený mobilní interscroller</v>
      </c>
    </row>
    <row r="36" spans="1:47" x14ac:dyDescent="0.3">
      <c r="A36" s="3">
        <f ca="1"/>
        <v>2346826</v>
      </c>
      <c r="B36" s="3" t="str">
        <f ca="1"/>
        <v>CZECH NEWS CENTER a. s.</v>
      </c>
      <c r="C36" s="3" t="str">
        <f ca="1">IFERROR(__xludf.DUMMYFUNCTION("""COMPUTED_VALUE"""),"Abicko")</f>
        <v>Abicko</v>
      </c>
      <c r="D36" s="4" t="str">
        <f ca="1">IFERROR(__xludf.DUMMYFUNCTION("""COMPUTED_VALUE"""),"https://abicko.cz")</f>
        <v>https://abicko.cz</v>
      </c>
      <c r="E36" s="3" t="str">
        <f ca="1">IFERROR(__xludf.DUMMYFUNCTION("""COMPUTED_VALUE"""),"celý web")</f>
        <v>celý web</v>
      </c>
      <c r="F36" s="4" t="str">
        <f ca="1">IFERROR(__xludf.DUMMYFUNCTION("""COMPUTED_VALUE"""),"https://abicko.cz")</f>
        <v>https://abicko.cz</v>
      </c>
      <c r="G36" s="3" t="str">
        <f ca="1">IFERROR(__xludf.DUMMYFUNCTION("""COMPUTED_VALUE"""),"cílený mobilní slide-up mid season")</f>
        <v>cílený mobilní slide-up mid season</v>
      </c>
      <c r="H36" s="3">
        <f ca="1">IFERROR(__xludf.DUMMYFUNCTION("""COMPUTED_VALUE"""),7)</f>
        <v>7</v>
      </c>
      <c r="I36" s="5">
        <f ca="1">IFERROR(__xludf.DUMMYFUNCTION("""COMPUTED_VALUE"""),1000)</f>
        <v>1000</v>
      </c>
      <c r="J36" s="5">
        <f ca="1">IFERROR(__xludf.DUMMYFUNCTION("""COMPUTED_VALUE"""),864)</f>
        <v>864</v>
      </c>
      <c r="K36" s="3"/>
      <c r="L36" s="3" t="str">
        <f ca="1">IFERROR(__xludf.DUMMYFUNCTION("""COMPUTED_VALUE"""),"Cost per period")</f>
        <v>Cost per period</v>
      </c>
      <c r="M36" s="3"/>
      <c r="N36" s="3"/>
      <c r="O36" s="3" t="str">
        <f ca="1">IFERROR(__xludf.DUMMYFUNCTION("""COMPUTED_VALUE"""),"300")</f>
        <v>300</v>
      </c>
      <c r="P36" s="3" t="str">
        <f ca="1">IFERROR(__xludf.DUMMYFUNCTION("""COMPUTED_VALUE"""),"120")</f>
        <v>120</v>
      </c>
      <c r="Q36" s="3" t="str">
        <f ca="1">IFERROR(__xludf.DUMMYFUNCTION("""COMPUTED_VALUE"""),"300x120")</f>
        <v>300x120</v>
      </c>
      <c r="R36" s="3"/>
      <c r="S36" s="3" t="str">
        <f ca="1">IFERROR(__xludf.DUMMYFUNCTION("""COMPUTED_VALUE"""),"100")</f>
        <v>100</v>
      </c>
      <c r="T36" s="3"/>
      <c r="U36" s="3" t="str">
        <f ca="1">IFERROR(__xludf.DUMMYFUNCTION("""COMPUTED_VALUE"""),"banner standard")</f>
        <v>banner standard</v>
      </c>
      <c r="V36" s="3"/>
      <c r="W36" s="4" t="str">
        <f ca="1">IFERROR(__xludf.DUMMYFUNCTION("""COMPUTED_VALUE"""),"https://reklama.cncenter.cz/Online/mobilni-slide-up")</f>
        <v>https://reklama.cncenter.cz/Online/mobilni-slide-up</v>
      </c>
      <c r="X36" s="3"/>
      <c r="Y36" s="3"/>
      <c r="Z36" s="3" t="str">
        <f ca="1">IFERROR(__xludf.DUMMYFUNCTION("""COMPUTED_VALUE"""),"podklady@cncenter.cz")</f>
        <v>podklady@cncenter.cz</v>
      </c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 t="str">
        <f ca="1">IFERROR(__xludf.DUMMYFUNCTION("""COMPUTED_VALUE"""),"mobile")</f>
        <v>mobile</v>
      </c>
      <c r="AO36" s="3"/>
      <c r="AP36" s="3"/>
      <c r="AQ36" s="3"/>
      <c r="AR36" s="3"/>
      <c r="AS36" s="3"/>
      <c r="AT36" s="3"/>
      <c r="AU36" s="3" t="str">
        <f ca="1">IFERROR(__xludf.DUMMYFUNCTION("""COMPUTED_VALUE"""),"cílený mobilní slide-up")</f>
        <v>cílený mobilní slide-up</v>
      </c>
    </row>
    <row r="37" spans="1:47" x14ac:dyDescent="0.3">
      <c r="A37" s="3">
        <f ca="1"/>
        <v>2346826</v>
      </c>
      <c r="B37" s="3" t="str">
        <f ca="1"/>
        <v>CZECH NEWS CENTER a. s.</v>
      </c>
      <c r="C37" s="3" t="str">
        <f ca="1">IFERROR(__xludf.DUMMYFUNCTION("""COMPUTED_VALUE"""),"Abicko")</f>
        <v>Abicko</v>
      </c>
      <c r="D37" s="4" t="str">
        <f ca="1">IFERROR(__xludf.DUMMYFUNCTION("""COMPUTED_VALUE"""),"https://abicko.cz")</f>
        <v>https://abicko.cz</v>
      </c>
      <c r="E37" s="3" t="str">
        <f ca="1">IFERROR(__xludf.DUMMYFUNCTION("""COMPUTED_VALUE"""),"celý web")</f>
        <v>celý web</v>
      </c>
      <c r="F37" s="4" t="str">
        <f ca="1">IFERROR(__xludf.DUMMYFUNCTION("""COMPUTED_VALUE"""),"https://abicko.cz")</f>
        <v>https://abicko.cz</v>
      </c>
      <c r="G37" s="3" t="str">
        <f ca="1">IFERROR(__xludf.DUMMYFUNCTION("""COMPUTED_VALUE"""),"cílený mobilní viněta mid season")</f>
        <v>cílený mobilní viněta mid season</v>
      </c>
      <c r="H37" s="3">
        <f ca="1">IFERROR(__xludf.DUMMYFUNCTION("""COMPUTED_VALUE"""),7)</f>
        <v>7</v>
      </c>
      <c r="I37" s="5">
        <f ca="1">IFERROR(__xludf.DUMMYFUNCTION("""COMPUTED_VALUE"""),1000)</f>
        <v>1000</v>
      </c>
      <c r="J37" s="5">
        <f ca="1">IFERROR(__xludf.DUMMYFUNCTION("""COMPUTED_VALUE"""),1488)</f>
        <v>1488</v>
      </c>
      <c r="K37" s="3"/>
      <c r="L37" s="3" t="str">
        <f ca="1">IFERROR(__xludf.DUMMYFUNCTION("""COMPUTED_VALUE"""),"Cost per period")</f>
        <v>Cost per period</v>
      </c>
      <c r="M37" s="3"/>
      <c r="N37" s="3"/>
      <c r="O37" s="3" t="str">
        <f ca="1">IFERROR(__xludf.DUMMYFUNCTION("""COMPUTED_VALUE"""),"600")</f>
        <v>600</v>
      </c>
      <c r="P37" s="3" t="str">
        <f ca="1">IFERROR(__xludf.DUMMYFUNCTION("""COMPUTED_VALUE"""),"800")</f>
        <v>800</v>
      </c>
      <c r="Q37" s="3" t="str">
        <f ca="1">IFERROR(__xludf.DUMMYFUNCTION("""COMPUTED_VALUE"""),"300x250 nebo 600x800")</f>
        <v>300x250 nebo 600x800</v>
      </c>
      <c r="R37" s="3"/>
      <c r="S37" s="3" t="str">
        <f ca="1">IFERROR(__xludf.DUMMYFUNCTION("""COMPUTED_VALUE"""),"100")</f>
        <v>100</v>
      </c>
      <c r="T37" s="3"/>
      <c r="U37" s="3" t="str">
        <f ca="1">IFERROR(__xludf.DUMMYFUNCTION("""COMPUTED_VALUE"""),"banner standard")</f>
        <v>banner standard</v>
      </c>
      <c r="V37" s="3"/>
      <c r="W37" s="4" t="str">
        <f ca="1">IFERROR(__xludf.DUMMYFUNCTION("""COMPUTED_VALUE"""),"https://reklama.cncenter.cz/Online/mobilni-vineta")</f>
        <v>https://reklama.cncenter.cz/Online/mobilni-vineta</v>
      </c>
      <c r="X37" s="3"/>
      <c r="Y37" s="3"/>
      <c r="Z37" s="3" t="str">
        <f ca="1">IFERROR(__xludf.DUMMYFUNCTION("""COMPUTED_VALUE"""),"podklady@cncenter.cz")</f>
        <v>podklady@cncenter.cz</v>
      </c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 t="str">
        <f ca="1">IFERROR(__xludf.DUMMYFUNCTION("""COMPUTED_VALUE"""),"mobile")</f>
        <v>mobile</v>
      </c>
      <c r="AO37" s="3"/>
      <c r="AP37" s="3"/>
      <c r="AQ37" s="3"/>
      <c r="AR37" s="3"/>
      <c r="AS37" s="3"/>
      <c r="AT37" s="3"/>
      <c r="AU37" s="3" t="str">
        <f ca="1">IFERROR(__xludf.DUMMYFUNCTION("""COMPUTED_VALUE"""),"cílený mobilní viněta")</f>
        <v>cílený mobilní viněta</v>
      </c>
    </row>
    <row r="38" spans="1:47" x14ac:dyDescent="0.3">
      <c r="A38" s="3">
        <f ca="1"/>
        <v>2346826</v>
      </c>
      <c r="B38" s="3" t="str">
        <f ca="1"/>
        <v>CZECH NEWS CENTER a. s.</v>
      </c>
      <c r="C38" s="3" t="str">
        <f ca="1">IFERROR(__xludf.DUMMYFUNCTION("""COMPUTED_VALUE"""),"Abicko")</f>
        <v>Abicko</v>
      </c>
      <c r="D38" s="4" t="str">
        <f ca="1">IFERROR(__xludf.DUMMYFUNCTION("""COMPUTED_VALUE"""),"https://abicko.cz")</f>
        <v>https://abicko.cz</v>
      </c>
      <c r="E38" s="3" t="str">
        <f ca="1">IFERROR(__xludf.DUMMYFUNCTION("""COMPUTED_VALUE"""),"celý web")</f>
        <v>celý web</v>
      </c>
      <c r="F38" s="4" t="str">
        <f ca="1">IFERROR(__xludf.DUMMYFUNCTION("""COMPUTED_VALUE"""),"https://abicko.cz")</f>
        <v>https://abicko.cz</v>
      </c>
      <c r="G38" s="3" t="str">
        <f ca="1">IFERROR(__xludf.DUMMYFUNCTION("""COMPUTED_VALUE"""),"cílený nativní pr premium mid season")</f>
        <v>cílený nativní pr premium mid season</v>
      </c>
      <c r="H38" s="3">
        <f ca="1">IFERROR(__xludf.DUMMYFUNCTION("""COMPUTED_VALUE"""),7)</f>
        <v>7</v>
      </c>
      <c r="I38" s="5">
        <f ca="1">IFERROR(__xludf.DUMMYFUNCTION("""COMPUTED_VALUE"""),1000)</f>
        <v>1000</v>
      </c>
      <c r="J38" s="5">
        <f ca="1">IFERROR(__xludf.DUMMYFUNCTION("""COMPUTED_VALUE"""),168)</f>
        <v>168</v>
      </c>
      <c r="K38" s="3"/>
      <c r="L38" s="3" t="str">
        <f ca="1">IFERROR(__xludf.DUMMYFUNCTION("""COMPUTED_VALUE"""),"Cost per period")</f>
        <v>Cost per period</v>
      </c>
      <c r="M38" s="3"/>
      <c r="N38" s="3"/>
      <c r="O38" s="3" t="str">
        <f ca="1">IFERROR(__xludf.DUMMYFUNCTION("""COMPUTED_VALUE"""),"640")</f>
        <v>640</v>
      </c>
      <c r="P38" s="3" t="str">
        <f ca="1">IFERROR(__xludf.DUMMYFUNCTION("""COMPUTED_VALUE"""),"335, 640")</f>
        <v>335, 640</v>
      </c>
      <c r="Q38" s="3" t="str">
        <f ca="1">IFERROR(__xludf.DUMMYFUNCTION("""COMPUTED_VALUE"""),"640x640 a 640x335 + text + logo")</f>
        <v>640x640 a 640x335 + text + logo</v>
      </c>
      <c r="R38" s="3" t="str">
        <f ca="1">IFERROR(__xludf.DUMMYFUNCTION("""COMPUTED_VALUE"""),"detailní specifikace na URL odkaze")</f>
        <v>detailní specifikace na URL odkaze</v>
      </c>
      <c r="S38" s="3" t="str">
        <f ca="1">IFERROR(__xludf.DUMMYFUNCTION("""COMPUTED_VALUE"""),"100")</f>
        <v>100</v>
      </c>
      <c r="T38" s="3"/>
      <c r="U38" s="3" t="str">
        <f ca="1">IFERROR(__xludf.DUMMYFUNCTION("""COMPUTED_VALUE"""),"nativní reklama")</f>
        <v>nativní reklama</v>
      </c>
      <c r="V38" s="3"/>
      <c r="W38" s="4" t="str">
        <f ca="1">IFERROR(__xludf.DUMMYFUNCTION("""COMPUTED_VALUE"""),"https://reklama.cncenter.cz/Online/nativni-PR-premium")</f>
        <v>https://reklama.cncenter.cz/Online/nativni-PR-premium</v>
      </c>
      <c r="X38" s="3"/>
      <c r="Y38" s="3"/>
      <c r="Z38" s="3" t="str">
        <f ca="1">IFERROR(__xludf.DUMMYFUNCTION("""COMPUTED_VALUE"""),"podklady@cncenter.cz")</f>
        <v>podklady@cncenter.cz</v>
      </c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 t="str">
        <f ca="1">IFERROR(__xludf.DUMMYFUNCTION("""COMPUTED_VALUE"""),"cross-device")</f>
        <v>cross-device</v>
      </c>
      <c r="AO38" s="3"/>
      <c r="AP38" s="3"/>
      <c r="AQ38" s="3"/>
      <c r="AR38" s="3"/>
      <c r="AS38" s="3"/>
      <c r="AT38" s="3"/>
      <c r="AU38" s="3" t="str">
        <f ca="1">IFERROR(__xludf.DUMMYFUNCTION("""COMPUTED_VALUE"""),"cílený nativní pr premium")</f>
        <v>cílený nativní pr premium</v>
      </c>
    </row>
    <row r="39" spans="1:47" x14ac:dyDescent="0.3">
      <c r="A39" s="3">
        <f ca="1"/>
        <v>2346826</v>
      </c>
      <c r="B39" s="3" t="str">
        <f ca="1"/>
        <v>CZECH NEWS CENTER a. s.</v>
      </c>
      <c r="C39" s="3" t="str">
        <f ca="1">IFERROR(__xludf.DUMMYFUNCTION("""COMPUTED_VALUE"""),"Abicko")</f>
        <v>Abicko</v>
      </c>
      <c r="D39" s="4" t="str">
        <f ca="1">IFERROR(__xludf.DUMMYFUNCTION("""COMPUTED_VALUE"""),"https://abicko.cz")</f>
        <v>https://abicko.cz</v>
      </c>
      <c r="E39" s="3" t="str">
        <f ca="1">IFERROR(__xludf.DUMMYFUNCTION("""COMPUTED_VALUE"""),"celý web")</f>
        <v>celý web</v>
      </c>
      <c r="F39" s="4" t="str">
        <f ca="1">IFERROR(__xludf.DUMMYFUNCTION("""COMPUTED_VALUE"""),"https://abicko.cz")</f>
        <v>https://abicko.cz</v>
      </c>
      <c r="G39" s="3" t="str">
        <f ca="1">IFERROR(__xludf.DUMMYFUNCTION("""COMPUTED_VALUE"""),"cílený nativní rectangle cross-device mid season")</f>
        <v>cílený nativní rectangle cross-device mid season</v>
      </c>
      <c r="H39" s="3">
        <f ca="1">IFERROR(__xludf.DUMMYFUNCTION("""COMPUTED_VALUE"""),7)</f>
        <v>7</v>
      </c>
      <c r="I39" s="5">
        <f ca="1">IFERROR(__xludf.DUMMYFUNCTION("""COMPUTED_VALUE"""),1000)</f>
        <v>1000</v>
      </c>
      <c r="J39" s="5">
        <f ca="1">IFERROR(__xludf.DUMMYFUNCTION("""COMPUTED_VALUE"""),336)</f>
        <v>336</v>
      </c>
      <c r="K39" s="3"/>
      <c r="L39" s="3" t="str">
        <f ca="1">IFERROR(__xludf.DUMMYFUNCTION("""COMPUTED_VALUE"""),"Cost per period")</f>
        <v>Cost per period</v>
      </c>
      <c r="M39" s="3"/>
      <c r="N39" s="3"/>
      <c r="O39" s="3" t="str">
        <f ca="1">IFERROR(__xludf.DUMMYFUNCTION("""COMPUTED_VALUE"""),"640")</f>
        <v>640</v>
      </c>
      <c r="P39" s="3" t="str">
        <f ca="1">IFERROR(__xludf.DUMMYFUNCTION("""COMPUTED_VALUE"""),"335, 640")</f>
        <v>335, 640</v>
      </c>
      <c r="Q39" s="3" t="str">
        <f ca="1">IFERROR(__xludf.DUMMYFUNCTION("""COMPUTED_VALUE"""),"640x640 a 640x335 + text + logo")</f>
        <v>640x640 a 640x335 + text + logo</v>
      </c>
      <c r="R39" s="3"/>
      <c r="S39" s="3" t="str">
        <f ca="1">IFERROR(__xludf.DUMMYFUNCTION("""COMPUTED_VALUE"""),"45")</f>
        <v>45</v>
      </c>
      <c r="T39" s="3"/>
      <c r="U39" s="3" t="str">
        <f ca="1">IFERROR(__xludf.DUMMYFUNCTION("""COMPUTED_VALUE"""),"nativní reklama")</f>
        <v>nativní reklama</v>
      </c>
      <c r="V39" s="3"/>
      <c r="W39" s="4" t="str">
        <f ca="1">IFERROR(__xludf.DUMMYFUNCTION("""COMPUTED_VALUE"""),"https://reklama.cncenter.cz/Online/nativni-rectangle-cross-device")</f>
        <v>https://reklama.cncenter.cz/Online/nativni-rectangle-cross-device</v>
      </c>
      <c r="X39" s="3"/>
      <c r="Y39" s="3"/>
      <c r="Z39" s="3" t="str">
        <f ca="1">IFERROR(__xludf.DUMMYFUNCTION("""COMPUTED_VALUE"""),"podklady@cncenter.cz")</f>
        <v>podklady@cncenter.cz</v>
      </c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 t="str">
        <f ca="1">IFERROR(__xludf.DUMMYFUNCTION("""COMPUTED_VALUE"""),"cross-device")</f>
        <v>cross-device</v>
      </c>
      <c r="AO39" s="3"/>
      <c r="AP39" s="3"/>
      <c r="AQ39" s="3"/>
      <c r="AR39" s="3"/>
      <c r="AS39" s="3"/>
      <c r="AT39" s="3"/>
      <c r="AU39" s="3" t="str">
        <f ca="1">IFERROR(__xludf.DUMMYFUNCTION("""COMPUTED_VALUE"""),"cílený nativní rectangle cross-device")</f>
        <v>cílený nativní rectangle cross-device</v>
      </c>
    </row>
    <row r="40" spans="1:47" x14ac:dyDescent="0.3">
      <c r="A40" s="3">
        <f ca="1"/>
        <v>2346826</v>
      </c>
      <c r="B40" s="3" t="str">
        <f ca="1"/>
        <v>CZECH NEWS CENTER a. s.</v>
      </c>
      <c r="C40" s="3" t="str">
        <f ca="1">IFERROR(__xludf.DUMMYFUNCTION("""COMPUTED_VALUE"""),"Abicko")</f>
        <v>Abicko</v>
      </c>
      <c r="D40" s="4" t="str">
        <f ca="1">IFERROR(__xludf.DUMMYFUNCTION("""COMPUTED_VALUE"""),"https://abicko.cz")</f>
        <v>https://abicko.cz</v>
      </c>
      <c r="E40" s="3" t="str">
        <f ca="1">IFERROR(__xludf.DUMMYFUNCTION("""COMPUTED_VALUE"""),"celý web")</f>
        <v>celý web</v>
      </c>
      <c r="F40" s="4" t="str">
        <f ca="1">IFERROR(__xludf.DUMMYFUNCTION("""COMPUTED_VALUE"""),"https://abicko.cz")</f>
        <v>https://abicko.cz</v>
      </c>
      <c r="G40" s="3" t="str">
        <f ca="1">IFERROR(__xludf.DUMMYFUNCTION("""COMPUTED_VALUE"""),"cílený outstream mid season")</f>
        <v>cílený outstream mid season</v>
      </c>
      <c r="H40" s="3">
        <f ca="1">IFERROR(__xludf.DUMMYFUNCTION("""COMPUTED_VALUE"""),7)</f>
        <v>7</v>
      </c>
      <c r="I40" s="5">
        <f ca="1">IFERROR(__xludf.DUMMYFUNCTION("""COMPUTED_VALUE"""),1000)</f>
        <v>1000</v>
      </c>
      <c r="J40" s="5">
        <f ca="1">IFERROR(__xludf.DUMMYFUNCTION("""COMPUTED_VALUE"""),420)</f>
        <v>420</v>
      </c>
      <c r="K40" s="3"/>
      <c r="L40" s="3" t="str">
        <f ca="1">IFERROR(__xludf.DUMMYFUNCTION("""COMPUTED_VALUE"""),"Cost per period")</f>
        <v>Cost per period</v>
      </c>
      <c r="M40" s="3"/>
      <c r="N40" s="3"/>
      <c r="O40" s="3" t="str">
        <f ca="1">IFERROR(__xludf.DUMMYFUNCTION("""COMPUTED_VALUE"""),"1280")</f>
        <v>1280</v>
      </c>
      <c r="P40" s="3" t="str">
        <f ca="1">IFERROR(__xludf.DUMMYFUNCTION("""COMPUTED_VALUE"""),"720")</f>
        <v>720</v>
      </c>
      <c r="Q40" s="3" t="str">
        <f ca="1">IFERROR(__xludf.DUMMYFUNCTION("""COMPUTED_VALUE"""),"16:9")</f>
        <v>16:9</v>
      </c>
      <c r="R40" s="3"/>
      <c r="S40" s="3" t="str">
        <f ca="1">IFERROR(__xludf.DUMMYFUNCTION("""COMPUTED_VALUE"""),"100")</f>
        <v>100</v>
      </c>
      <c r="T40" s="3"/>
      <c r="U40" s="3" t="str">
        <f ca="1">IFERROR(__xludf.DUMMYFUNCTION("""COMPUTED_VALUE"""),"videospot")</f>
        <v>videospot</v>
      </c>
      <c r="V40" s="3"/>
      <c r="W40" s="4" t="str">
        <f ca="1">IFERROR(__xludf.DUMMYFUNCTION("""COMPUTED_VALUE"""),"https://reklama.cncenter.cz/Online/Outstream")</f>
        <v>https://reklama.cncenter.cz/Online/Outstream</v>
      </c>
      <c r="X40" s="3"/>
      <c r="Y40" s="3"/>
      <c r="Z40" s="3" t="str">
        <f ca="1">IFERROR(__xludf.DUMMYFUNCTION("""COMPUTED_VALUE"""),"podklady@cncenter.cz")</f>
        <v>podklady@cncenter.cz</v>
      </c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 t="str">
        <f ca="1">IFERROR(__xludf.DUMMYFUNCTION("""COMPUTED_VALUE"""),"cross-device")</f>
        <v>cross-device</v>
      </c>
      <c r="AO40" s="3"/>
      <c r="AP40" s="3"/>
      <c r="AQ40" s="3"/>
      <c r="AR40" s="3"/>
      <c r="AS40" s="3"/>
      <c r="AT40" s="3"/>
      <c r="AU40" s="3" t="str">
        <f ca="1">IFERROR(__xludf.DUMMYFUNCTION("""COMPUTED_VALUE"""),"cílený outstream")</f>
        <v>cílený outstream</v>
      </c>
    </row>
    <row r="41" spans="1:47" x14ac:dyDescent="0.3">
      <c r="A41" s="3">
        <f ca="1"/>
        <v>2346826</v>
      </c>
      <c r="B41" s="3" t="str">
        <f ca="1"/>
        <v>CZECH NEWS CENTER a. s.</v>
      </c>
      <c r="C41" s="3" t="str">
        <f ca="1">IFERROR(__xludf.DUMMYFUNCTION("""COMPUTED_VALUE"""),"Abicko")</f>
        <v>Abicko</v>
      </c>
      <c r="D41" s="4" t="str">
        <f ca="1">IFERROR(__xludf.DUMMYFUNCTION("""COMPUTED_VALUE"""),"https://abicko.cz")</f>
        <v>https://abicko.cz</v>
      </c>
      <c r="E41" s="3" t="str">
        <f ca="1">IFERROR(__xludf.DUMMYFUNCTION("""COMPUTED_VALUE"""),"celý web")</f>
        <v>celý web</v>
      </c>
      <c r="F41" s="4" t="str">
        <f ca="1">IFERROR(__xludf.DUMMYFUNCTION("""COMPUTED_VALUE"""),"https://abicko.cz")</f>
        <v>https://abicko.cz</v>
      </c>
      <c r="G41" s="3" t="str">
        <f ca="1">IFERROR(__xludf.DUMMYFUNCTION("""COMPUTED_VALUE"""),"cílený videospot - max. 30 sec. / bumper mid season")</f>
        <v>cílený videospot - max. 30 sec. / bumper mid season</v>
      </c>
      <c r="H41" s="3">
        <f ca="1">IFERROR(__xludf.DUMMYFUNCTION("""COMPUTED_VALUE"""),7)</f>
        <v>7</v>
      </c>
      <c r="I41" s="5">
        <f ca="1">IFERROR(__xludf.DUMMYFUNCTION("""COMPUTED_VALUE"""),1000)</f>
        <v>1000</v>
      </c>
      <c r="J41" s="5">
        <f ca="1">IFERROR(__xludf.DUMMYFUNCTION("""COMPUTED_VALUE"""),1248)</f>
        <v>1248</v>
      </c>
      <c r="K41" s="3"/>
      <c r="L41" s="3" t="str">
        <f ca="1">IFERROR(__xludf.DUMMYFUNCTION("""COMPUTED_VALUE"""),"Cost per period")</f>
        <v>Cost per period</v>
      </c>
      <c r="M41" s="3"/>
      <c r="N41" s="3"/>
      <c r="O41" s="3" t="str">
        <f ca="1">IFERROR(__xludf.DUMMYFUNCTION("""COMPUTED_VALUE"""),"1280")</f>
        <v>1280</v>
      </c>
      <c r="P41" s="3" t="str">
        <f ca="1">IFERROR(__xludf.DUMMYFUNCTION("""COMPUTED_VALUE"""),"720")</f>
        <v>720</v>
      </c>
      <c r="Q41" s="3" t="str">
        <f ca="1">IFERROR(__xludf.DUMMYFUNCTION("""COMPUTED_VALUE"""),"16:9 / umístění po domluvě dle možností")</f>
        <v>16:9 / umístění po domluvě dle možností</v>
      </c>
      <c r="R41" s="3" t="str">
        <f ca="1">IFERROR(__xludf.DUMMYFUNCTION("""COMPUTED_VALUE"""),"přeskočení po 7 sekundách")</f>
        <v>přeskočení po 7 sekundách</v>
      </c>
      <c r="S41" s="3" t="str">
        <f ca="1">IFERROR(__xludf.DUMMYFUNCTION("""COMPUTED_VALUE"""),"100")</f>
        <v>100</v>
      </c>
      <c r="T41" s="3"/>
      <c r="U41" s="3" t="str">
        <f ca="1">IFERROR(__xludf.DUMMYFUNCTION("""COMPUTED_VALUE"""),"videospot")</f>
        <v>videospot</v>
      </c>
      <c r="V41" s="3"/>
      <c r="W41" s="4" t="str">
        <f ca="1">IFERROR(__xludf.DUMMYFUNCTION("""COMPUTED_VALUE"""),"https://reklama.cncenter.cz/Online/Bumper")</f>
        <v>https://reklama.cncenter.cz/Online/Bumper</v>
      </c>
      <c r="X41" s="3"/>
      <c r="Y41" s="3"/>
      <c r="Z41" s="3" t="str">
        <f ca="1">IFERROR(__xludf.DUMMYFUNCTION("""COMPUTED_VALUE"""),"podklady@cncenter.cz")</f>
        <v>podklady@cncenter.cz</v>
      </c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 t="str">
        <f ca="1">IFERROR(__xludf.DUMMYFUNCTION("""COMPUTED_VALUE"""),"cross-device")</f>
        <v>cross-device</v>
      </c>
      <c r="AO41" s="3"/>
      <c r="AP41" s="3"/>
      <c r="AQ41" s="3"/>
      <c r="AR41" s="3"/>
      <c r="AS41" s="3"/>
      <c r="AT41" s="3"/>
      <c r="AU41" s="3" t="str">
        <f ca="1">IFERROR(__xludf.DUMMYFUNCTION("""COMPUTED_VALUE"""),"cílený videospot - max. 30 sec. / bumper")</f>
        <v>cílený videospot - max. 30 sec. / bumper</v>
      </c>
    </row>
    <row r="42" spans="1:47" x14ac:dyDescent="0.3">
      <c r="A42" s="3">
        <f ca="1"/>
        <v>2346826</v>
      </c>
      <c r="B42" s="3" t="str">
        <f ca="1"/>
        <v>CZECH NEWS CENTER a. s.</v>
      </c>
      <c r="C42" s="3" t="str">
        <f ca="1">IFERROR(__xludf.DUMMYFUNCTION("""COMPUTED_VALUE"""),"Abicko")</f>
        <v>Abicko</v>
      </c>
      <c r="D42" s="4" t="str">
        <f ca="1">IFERROR(__xludf.DUMMYFUNCTION("""COMPUTED_VALUE"""),"https://abicko.cz")</f>
        <v>https://abicko.cz</v>
      </c>
      <c r="E42" s="3" t="str">
        <f ca="1">IFERROR(__xludf.DUMMYFUNCTION("""COMPUTED_VALUE"""),"celý web")</f>
        <v>celý web</v>
      </c>
      <c r="F42" s="4" t="str">
        <f ca="1">IFERROR(__xludf.DUMMYFUNCTION("""COMPUTED_VALUE"""),"https://abicko.cz")</f>
        <v>https://abicko.cz</v>
      </c>
      <c r="G42" s="3" t="str">
        <f ca="1">IFERROR(__xludf.DUMMYFUNCTION("""COMPUTED_VALUE"""),"dokoupení proma o 2 týdny - 10 000 PV *** mid season")</f>
        <v>dokoupení proma o 2 týdny - 10 000 PV *** mid season</v>
      </c>
      <c r="H42" s="3">
        <f ca="1">IFERROR(__xludf.DUMMYFUNCTION("""COMPUTED_VALUE"""),1)</f>
        <v>1</v>
      </c>
      <c r="I42" s="5">
        <f ca="1">IFERROR(__xludf.DUMMYFUNCTION("""COMPUTED_VALUE"""),1)</f>
        <v>1</v>
      </c>
      <c r="J42" s="5">
        <f ca="1">IFERROR(__xludf.DUMMYFUNCTION("""COMPUTED_VALUE"""),60000)</f>
        <v>60000</v>
      </c>
      <c r="K42" s="3"/>
      <c r="L42" s="3" t="str">
        <f ca="1">IFERROR(__xludf.DUMMYFUNCTION("""COMPUTED_VALUE"""),"Cost per instance")</f>
        <v>Cost per instance</v>
      </c>
      <c r="M42" s="3"/>
      <c r="N42" s="3"/>
      <c r="O42" s="3"/>
      <c r="P42" s="3"/>
      <c r="Q42" s="3"/>
      <c r="R42" s="3"/>
      <c r="S42" s="3" t="str">
        <f ca="1">IFERROR(__xludf.DUMMYFUNCTION("""COMPUTED_VALUE"""),"100")</f>
        <v>100</v>
      </c>
      <c r="T42" s="3"/>
      <c r="U42" s="3" t="str">
        <f ca="1">IFERROR(__xludf.DUMMYFUNCTION("""COMPUTED_VALUE"""),"microsite")</f>
        <v>microsite</v>
      </c>
      <c r="V42" s="3"/>
      <c r="W42" s="3"/>
      <c r="X42" s="3"/>
      <c r="Y42" s="3"/>
      <c r="Z42" s="3" t="str">
        <f ca="1">IFERROR(__xludf.DUMMYFUNCTION("""COMPUTED_VALUE"""),"podklady@cncenter.cz")</f>
        <v>podklady@cncenter.cz</v>
      </c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 t="str">
        <f ca="1">IFERROR(__xludf.DUMMYFUNCTION("""COMPUTED_VALUE"""),"cross-device")</f>
        <v>cross-device</v>
      </c>
      <c r="AO42" s="3"/>
      <c r="AP42" s="3"/>
      <c r="AQ42" s="3"/>
      <c r="AR42" s="3"/>
      <c r="AS42" s="3"/>
      <c r="AT42" s="3"/>
      <c r="AU42" s="3" t="str">
        <f ca="1">IFERROR(__xludf.DUMMYFUNCTION("""COMPUTED_VALUE"""),"dokoupení proma o 2 týdny - 10 000 PV ***")</f>
        <v>dokoupení proma o 2 týdny - 10 000 PV ***</v>
      </c>
    </row>
    <row r="43" spans="1:47" x14ac:dyDescent="0.3">
      <c r="A43" s="3">
        <f ca="1"/>
        <v>2346826</v>
      </c>
      <c r="B43" s="3" t="str">
        <f ca="1"/>
        <v>CZECH NEWS CENTER a. s.</v>
      </c>
      <c r="C43" s="3" t="str">
        <f ca="1">IFERROR(__xludf.DUMMYFUNCTION("""COMPUTED_VALUE"""),"Abicko")</f>
        <v>Abicko</v>
      </c>
      <c r="D43" s="4" t="str">
        <f ca="1">IFERROR(__xludf.DUMMYFUNCTION("""COMPUTED_VALUE"""),"https://abicko.cz")</f>
        <v>https://abicko.cz</v>
      </c>
      <c r="E43" s="3" t="str">
        <f ca="1">IFERROR(__xludf.DUMMYFUNCTION("""COMPUTED_VALUE"""),"celý web")</f>
        <v>celý web</v>
      </c>
      <c r="F43" s="4" t="str">
        <f ca="1">IFERROR(__xludf.DUMMYFUNCTION("""COMPUTED_VALUE"""),"https://abicko.cz")</f>
        <v>https://abicko.cz</v>
      </c>
      <c r="G43" s="3" t="str">
        <f ca="1">IFERROR(__xludf.DUMMYFUNCTION("""COMPUTED_VALUE"""),"double skyscraper mid season")</f>
        <v>double skyscraper mid season</v>
      </c>
      <c r="H43" s="3">
        <f ca="1">IFERROR(__xludf.DUMMYFUNCTION("""COMPUTED_VALUE"""),7)</f>
        <v>7</v>
      </c>
      <c r="I43" s="5">
        <f ca="1">IFERROR(__xludf.DUMMYFUNCTION("""COMPUTED_VALUE"""),1000)</f>
        <v>1000</v>
      </c>
      <c r="J43" s="5">
        <f ca="1">IFERROR(__xludf.DUMMYFUNCTION("""COMPUTED_VALUE"""),270)</f>
        <v>270</v>
      </c>
      <c r="K43" s="3"/>
      <c r="L43" s="3" t="str">
        <f ca="1">IFERROR(__xludf.DUMMYFUNCTION("""COMPUTED_VALUE"""),"Cost per period")</f>
        <v>Cost per period</v>
      </c>
      <c r="M43" s="3"/>
      <c r="N43" s="3"/>
      <c r="O43" s="3" t="str">
        <f ca="1">IFERROR(__xludf.DUMMYFUNCTION("""COMPUTED_VALUE"""),"300")</f>
        <v>300</v>
      </c>
      <c r="P43" s="3" t="str">
        <f ca="1">IFERROR(__xludf.DUMMYFUNCTION("""COMPUTED_VALUE"""),"600")</f>
        <v>600</v>
      </c>
      <c r="Q43" s="3" t="str">
        <f ca="1">IFERROR(__xludf.DUMMYFUNCTION("""COMPUTED_VALUE"""),"300x600")</f>
        <v>300x600</v>
      </c>
      <c r="R43" s="3"/>
      <c r="S43" s="3" t="str">
        <f ca="1">IFERROR(__xludf.DUMMYFUNCTION("""COMPUTED_VALUE"""),"100 (200 - HTML5)")</f>
        <v>100 (200 - HTML5)</v>
      </c>
      <c r="T43" s="3"/>
      <c r="U43" s="3" t="str">
        <f ca="1">IFERROR(__xludf.DUMMYFUNCTION("""COMPUTED_VALUE"""),"banner standard")</f>
        <v>banner standard</v>
      </c>
      <c r="V43" s="3"/>
      <c r="W43" s="4" t="str">
        <f ca="1">IFERROR(__xludf.DUMMYFUNCTION("""COMPUTED_VALUE"""),"https://reklama.cncenter.cz/Online/double-skyscraper")</f>
        <v>https://reklama.cncenter.cz/Online/double-skyscraper</v>
      </c>
      <c r="X43" s="3"/>
      <c r="Y43" s="3"/>
      <c r="Z43" s="3" t="str">
        <f ca="1">IFERROR(__xludf.DUMMYFUNCTION("""COMPUTED_VALUE"""),"podklady@cncenter.cz")</f>
        <v>podklady@cncenter.cz</v>
      </c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 t="str">
        <f ca="1">IFERROR(__xludf.DUMMYFUNCTION("""COMPUTED_VALUE"""),"desktop")</f>
        <v>desktop</v>
      </c>
      <c r="AO43" s="3"/>
      <c r="AP43" s="3"/>
      <c r="AQ43" s="3"/>
      <c r="AR43" s="3"/>
      <c r="AS43" s="3"/>
      <c r="AT43" s="3"/>
      <c r="AU43" s="3" t="str">
        <f ca="1">IFERROR(__xludf.DUMMYFUNCTION("""COMPUTED_VALUE"""),"double skyscraper")</f>
        <v>double skyscraper</v>
      </c>
    </row>
    <row r="44" spans="1:47" x14ac:dyDescent="0.3">
      <c r="A44" s="3">
        <f ca="1"/>
        <v>2346826</v>
      </c>
      <c r="B44" s="3" t="str">
        <f ca="1"/>
        <v>CZECH NEWS CENTER a. s.</v>
      </c>
      <c r="C44" s="3" t="str">
        <f ca="1">IFERROR(__xludf.DUMMYFUNCTION("""COMPUTED_VALUE"""),"Abicko")</f>
        <v>Abicko</v>
      </c>
      <c r="D44" s="4" t="str">
        <f ca="1">IFERROR(__xludf.DUMMYFUNCTION("""COMPUTED_VALUE"""),"https://abicko.cz")</f>
        <v>https://abicko.cz</v>
      </c>
      <c r="E44" s="3" t="str">
        <f ca="1">IFERROR(__xludf.DUMMYFUNCTION("""COMPUTED_VALUE"""),"celý web")</f>
        <v>celý web</v>
      </c>
      <c r="F44" s="4" t="str">
        <f ca="1">IFERROR(__xludf.DUMMYFUNCTION("""COMPUTED_VALUE"""),"https://abicko.cz")</f>
        <v>https://abicko.cz</v>
      </c>
      <c r="G44" s="3" t="str">
        <f ca="1">IFERROR(__xludf.DUMMYFUNCTION("""COMPUTED_VALUE"""),"mobilní interscroller mid season")</f>
        <v>mobilní interscroller mid season</v>
      </c>
      <c r="H44" s="3">
        <f ca="1">IFERROR(__xludf.DUMMYFUNCTION("""COMPUTED_VALUE"""),7)</f>
        <v>7</v>
      </c>
      <c r="I44" s="5">
        <f ca="1">IFERROR(__xludf.DUMMYFUNCTION("""COMPUTED_VALUE"""),1000)</f>
        <v>1000</v>
      </c>
      <c r="J44" s="5">
        <f ca="1">IFERROR(__xludf.DUMMYFUNCTION("""COMPUTED_VALUE"""),350)</f>
        <v>350</v>
      </c>
      <c r="K44" s="3"/>
      <c r="L44" s="3" t="str">
        <f ca="1">IFERROR(__xludf.DUMMYFUNCTION("""COMPUTED_VALUE"""),"Cost per period")</f>
        <v>Cost per period</v>
      </c>
      <c r="M44" s="3"/>
      <c r="N44" s="3"/>
      <c r="O44" s="3" t="str">
        <f ca="1">IFERROR(__xludf.DUMMYFUNCTION("""COMPUTED_VALUE"""),"600")</f>
        <v>600</v>
      </c>
      <c r="P44" s="3" t="str">
        <f ca="1">IFERROR(__xludf.DUMMYFUNCTION("""COMPUTED_VALUE"""),"1080")</f>
        <v>1080</v>
      </c>
      <c r="Q44" s="3" t="str">
        <f ca="1">IFERROR(__xludf.DUMMYFUNCTION("""COMPUTED_VALUE"""),"600x1080")</f>
        <v>600x1080</v>
      </c>
      <c r="R44" s="3"/>
      <c r="S44" s="3" t="str">
        <f ca="1">IFERROR(__xludf.DUMMYFUNCTION("""COMPUTED_VALUE"""),"200")</f>
        <v>200</v>
      </c>
      <c r="T44" s="3"/>
      <c r="U44" s="3" t="str">
        <f ca="1">IFERROR(__xludf.DUMMYFUNCTION("""COMPUTED_VALUE"""),"banner standard")</f>
        <v>banner standard</v>
      </c>
      <c r="V44" s="3"/>
      <c r="W44" s="4" t="str">
        <f ca="1">IFERROR(__xludf.DUMMYFUNCTION("""COMPUTED_VALUE"""),"https://reklama.cncenter.cz/Online/mobilni-interscroller")</f>
        <v>https://reklama.cncenter.cz/Online/mobilni-interscroller</v>
      </c>
      <c r="X44" s="3"/>
      <c r="Y44" s="3"/>
      <c r="Z44" s="3" t="str">
        <f ca="1">IFERROR(__xludf.DUMMYFUNCTION("""COMPUTED_VALUE"""),"podklady@cncenter.cz")</f>
        <v>podklady@cncenter.cz</v>
      </c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 t="str">
        <f ca="1">IFERROR(__xludf.DUMMYFUNCTION("""COMPUTED_VALUE"""),"mobile")</f>
        <v>mobile</v>
      </c>
      <c r="AO44" s="3"/>
      <c r="AP44" s="3"/>
      <c r="AQ44" s="3"/>
      <c r="AR44" s="3"/>
      <c r="AS44" s="3"/>
      <c r="AT44" s="3"/>
      <c r="AU44" s="3" t="str">
        <f ca="1">IFERROR(__xludf.DUMMYFUNCTION("""COMPUTED_VALUE"""),"mobilní interscroller")</f>
        <v>mobilní interscroller</v>
      </c>
    </row>
    <row r="45" spans="1:47" x14ac:dyDescent="0.3">
      <c r="A45" s="3">
        <f ca="1"/>
        <v>2346826</v>
      </c>
      <c r="B45" s="3" t="str">
        <f ca="1"/>
        <v>CZECH NEWS CENTER a. s.</v>
      </c>
      <c r="C45" s="3" t="str">
        <f ca="1">IFERROR(__xludf.DUMMYFUNCTION("""COMPUTED_VALUE"""),"Abicko")</f>
        <v>Abicko</v>
      </c>
      <c r="D45" s="4" t="str">
        <f ca="1">IFERROR(__xludf.DUMMYFUNCTION("""COMPUTED_VALUE"""),"https://abicko.cz")</f>
        <v>https://abicko.cz</v>
      </c>
      <c r="E45" s="3" t="str">
        <f ca="1">IFERROR(__xludf.DUMMYFUNCTION("""COMPUTED_VALUE"""),"celý web")</f>
        <v>celý web</v>
      </c>
      <c r="F45" s="4" t="str">
        <f ca="1">IFERROR(__xludf.DUMMYFUNCTION("""COMPUTED_VALUE"""),"https://abicko.cz")</f>
        <v>https://abicko.cz</v>
      </c>
      <c r="G45" s="3" t="str">
        <f ca="1">IFERROR(__xludf.DUMMYFUNCTION("""COMPUTED_VALUE"""),"mobilní slide-up mid season")</f>
        <v>mobilní slide-up mid season</v>
      </c>
      <c r="H45" s="3">
        <f ca="1">IFERROR(__xludf.DUMMYFUNCTION("""COMPUTED_VALUE"""),7)</f>
        <v>7</v>
      </c>
      <c r="I45" s="5">
        <f ca="1">IFERROR(__xludf.DUMMYFUNCTION("""COMPUTED_VALUE"""),1000)</f>
        <v>1000</v>
      </c>
      <c r="J45" s="5">
        <f ca="1">IFERROR(__xludf.DUMMYFUNCTION("""COMPUTED_VALUE"""),720)</f>
        <v>720</v>
      </c>
      <c r="K45" s="3"/>
      <c r="L45" s="3" t="str">
        <f ca="1">IFERROR(__xludf.DUMMYFUNCTION("""COMPUTED_VALUE"""),"Cost per period")</f>
        <v>Cost per period</v>
      </c>
      <c r="M45" s="3"/>
      <c r="N45" s="3"/>
      <c r="O45" s="3" t="str">
        <f ca="1">IFERROR(__xludf.DUMMYFUNCTION("""COMPUTED_VALUE"""),"300")</f>
        <v>300</v>
      </c>
      <c r="P45" s="3" t="str">
        <f ca="1">IFERROR(__xludf.DUMMYFUNCTION("""COMPUTED_VALUE"""),"120")</f>
        <v>120</v>
      </c>
      <c r="Q45" s="3" t="str">
        <f ca="1">IFERROR(__xludf.DUMMYFUNCTION("""COMPUTED_VALUE"""),"300x120")</f>
        <v>300x120</v>
      </c>
      <c r="R45" s="3"/>
      <c r="S45" s="3" t="str">
        <f ca="1">IFERROR(__xludf.DUMMYFUNCTION("""COMPUTED_VALUE"""),"100")</f>
        <v>100</v>
      </c>
      <c r="T45" s="3"/>
      <c r="U45" s="3" t="str">
        <f ca="1">IFERROR(__xludf.DUMMYFUNCTION("""COMPUTED_VALUE"""),"banner standard")</f>
        <v>banner standard</v>
      </c>
      <c r="V45" s="3"/>
      <c r="W45" s="4" t="str">
        <f ca="1">IFERROR(__xludf.DUMMYFUNCTION("""COMPUTED_VALUE"""),"https://reklama.cncenter.cz/Online/mobilni-slide-up")</f>
        <v>https://reklama.cncenter.cz/Online/mobilni-slide-up</v>
      </c>
      <c r="X45" s="3"/>
      <c r="Y45" s="3"/>
      <c r="Z45" s="3" t="str">
        <f ca="1">IFERROR(__xludf.DUMMYFUNCTION("""COMPUTED_VALUE"""),"podklady@cncenter.cz")</f>
        <v>podklady@cncenter.cz</v>
      </c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 t="str">
        <f ca="1">IFERROR(__xludf.DUMMYFUNCTION("""COMPUTED_VALUE"""),"mobile")</f>
        <v>mobile</v>
      </c>
      <c r="AO45" s="3"/>
      <c r="AP45" s="3"/>
      <c r="AQ45" s="3"/>
      <c r="AR45" s="3"/>
      <c r="AS45" s="3"/>
      <c r="AT45" s="3"/>
      <c r="AU45" s="3" t="str">
        <f ca="1">IFERROR(__xludf.DUMMYFUNCTION("""COMPUTED_VALUE"""),"mobilní slide-up")</f>
        <v>mobilní slide-up</v>
      </c>
    </row>
    <row r="46" spans="1:47" x14ac:dyDescent="0.3">
      <c r="A46" s="3">
        <f ca="1"/>
        <v>2346826</v>
      </c>
      <c r="B46" s="3" t="str">
        <f ca="1"/>
        <v>CZECH NEWS CENTER a. s.</v>
      </c>
      <c r="C46" s="3" t="str">
        <f ca="1">IFERROR(__xludf.DUMMYFUNCTION("""COMPUTED_VALUE"""),"Abicko")</f>
        <v>Abicko</v>
      </c>
      <c r="D46" s="4" t="str">
        <f ca="1">IFERROR(__xludf.DUMMYFUNCTION("""COMPUTED_VALUE"""),"https://abicko.cz")</f>
        <v>https://abicko.cz</v>
      </c>
      <c r="E46" s="3" t="str">
        <f ca="1">IFERROR(__xludf.DUMMYFUNCTION("""COMPUTED_VALUE"""),"celý web")</f>
        <v>celý web</v>
      </c>
      <c r="F46" s="4" t="str">
        <f ca="1">IFERROR(__xludf.DUMMYFUNCTION("""COMPUTED_VALUE"""),"https://abicko.cz")</f>
        <v>https://abicko.cz</v>
      </c>
      <c r="G46" s="3" t="str">
        <f ca="1">IFERROR(__xludf.DUMMYFUNCTION("""COMPUTED_VALUE"""),"mobilní viněta mid season")</f>
        <v>mobilní viněta mid season</v>
      </c>
      <c r="H46" s="3">
        <f ca="1">IFERROR(__xludf.DUMMYFUNCTION("""COMPUTED_VALUE"""),7)</f>
        <v>7</v>
      </c>
      <c r="I46" s="5">
        <f ca="1">IFERROR(__xludf.DUMMYFUNCTION("""COMPUTED_VALUE"""),1000)</f>
        <v>1000</v>
      </c>
      <c r="J46" s="5">
        <f ca="1">IFERROR(__xludf.DUMMYFUNCTION("""COMPUTED_VALUE"""),1240)</f>
        <v>1240</v>
      </c>
      <c r="K46" s="3"/>
      <c r="L46" s="3" t="str">
        <f ca="1">IFERROR(__xludf.DUMMYFUNCTION("""COMPUTED_VALUE"""),"Cost per period")</f>
        <v>Cost per period</v>
      </c>
      <c r="M46" s="3"/>
      <c r="N46" s="3"/>
      <c r="O46" s="3" t="str">
        <f ca="1">IFERROR(__xludf.DUMMYFUNCTION("""COMPUTED_VALUE"""),"600")</f>
        <v>600</v>
      </c>
      <c r="P46" s="3" t="str">
        <f ca="1">IFERROR(__xludf.DUMMYFUNCTION("""COMPUTED_VALUE"""),"800")</f>
        <v>800</v>
      </c>
      <c r="Q46" s="3" t="str">
        <f ca="1">IFERROR(__xludf.DUMMYFUNCTION("""COMPUTED_VALUE"""),"300x250 nebo 600x800")</f>
        <v>300x250 nebo 600x800</v>
      </c>
      <c r="R46" s="3"/>
      <c r="S46" s="3" t="str">
        <f ca="1">IFERROR(__xludf.DUMMYFUNCTION("""COMPUTED_VALUE"""),"100")</f>
        <v>100</v>
      </c>
      <c r="T46" s="3"/>
      <c r="U46" s="3" t="str">
        <f ca="1">IFERROR(__xludf.DUMMYFUNCTION("""COMPUTED_VALUE"""),"banner standard")</f>
        <v>banner standard</v>
      </c>
      <c r="V46" s="3"/>
      <c r="W46" s="4" t="str">
        <f ca="1">IFERROR(__xludf.DUMMYFUNCTION("""COMPUTED_VALUE"""),"https://reklama.cncenter.cz/Online/mobilni-vineta")</f>
        <v>https://reklama.cncenter.cz/Online/mobilni-vineta</v>
      </c>
      <c r="X46" s="3"/>
      <c r="Y46" s="3"/>
      <c r="Z46" s="3" t="str">
        <f ca="1">IFERROR(__xludf.DUMMYFUNCTION("""COMPUTED_VALUE"""),"podklady@cncenter.cz")</f>
        <v>podklady@cncenter.cz</v>
      </c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 t="str">
        <f ca="1">IFERROR(__xludf.DUMMYFUNCTION("""COMPUTED_VALUE"""),"mobile")</f>
        <v>mobile</v>
      </c>
      <c r="AO46" s="3"/>
      <c r="AP46" s="3"/>
      <c r="AQ46" s="3"/>
      <c r="AR46" s="3"/>
      <c r="AS46" s="3"/>
      <c r="AT46" s="3"/>
      <c r="AU46" s="3" t="str">
        <f ca="1">IFERROR(__xludf.DUMMYFUNCTION("""COMPUTED_VALUE"""),"mobilní viněta")</f>
        <v>mobilní viněta</v>
      </c>
    </row>
    <row r="47" spans="1:47" x14ac:dyDescent="0.3">
      <c r="A47" s="3">
        <f ca="1"/>
        <v>2346826</v>
      </c>
      <c r="B47" s="3" t="str">
        <f ca="1"/>
        <v>CZECH NEWS CENTER a. s.</v>
      </c>
      <c r="C47" s="3" t="str">
        <f ca="1">IFERROR(__xludf.DUMMYFUNCTION("""COMPUTED_VALUE"""),"Abicko")</f>
        <v>Abicko</v>
      </c>
      <c r="D47" s="4" t="str">
        <f ca="1">IFERROR(__xludf.DUMMYFUNCTION("""COMPUTED_VALUE"""),"https://abicko.cz")</f>
        <v>https://abicko.cz</v>
      </c>
      <c r="E47" s="3" t="str">
        <f ca="1">IFERROR(__xludf.DUMMYFUNCTION("""COMPUTED_VALUE"""),"celý web")</f>
        <v>celý web</v>
      </c>
      <c r="F47" s="4" t="str">
        <f ca="1">IFERROR(__xludf.DUMMYFUNCTION("""COMPUTED_VALUE"""),"https://abicko.cz")</f>
        <v>https://abicko.cz</v>
      </c>
      <c r="G47" s="3" t="str">
        <f ca="1">IFERROR(__xludf.DUMMYFUNCTION("""COMPUTED_VALUE"""),"Native Standard mid season")</f>
        <v>Native Standard mid season</v>
      </c>
      <c r="H47" s="3">
        <f ca="1">IFERROR(__xludf.DUMMYFUNCTION("""COMPUTED_VALUE"""),1)</f>
        <v>1</v>
      </c>
      <c r="I47" s="5">
        <f ca="1">IFERROR(__xludf.DUMMYFUNCTION("""COMPUTED_VALUE"""),1)</f>
        <v>1</v>
      </c>
      <c r="J47" s="5">
        <f ca="1">IFERROR(__xludf.DUMMYFUNCTION("""COMPUTED_VALUE"""),330000)</f>
        <v>330000</v>
      </c>
      <c r="K47" s="3"/>
      <c r="L47" s="3" t="str">
        <f ca="1">IFERROR(__xludf.DUMMYFUNCTION("""COMPUTED_VALUE"""),"Cost per instance")</f>
        <v>Cost per instance</v>
      </c>
      <c r="M47" s="3"/>
      <c r="N47" s="3"/>
      <c r="O47" s="3"/>
      <c r="P47" s="3"/>
      <c r="Q47" s="3"/>
      <c r="R47" s="3"/>
      <c r="S47" s="3" t="str">
        <f ca="1">IFERROR(__xludf.DUMMYFUNCTION("""COMPUTED_VALUE"""),"100")</f>
        <v>100</v>
      </c>
      <c r="T47" s="3"/>
      <c r="U47" s="3" t="str">
        <f ca="1">IFERROR(__xludf.DUMMYFUNCTION("""COMPUTED_VALUE"""),"microsite")</f>
        <v>microsite</v>
      </c>
      <c r="V47" s="3"/>
      <c r="W47" s="3"/>
      <c r="X47" s="3"/>
      <c r="Y47" s="3"/>
      <c r="Z47" s="3" t="str">
        <f ca="1">IFERROR(__xludf.DUMMYFUNCTION("""COMPUTED_VALUE"""),"podklady@cncenter.cz")</f>
        <v>podklady@cncenter.cz</v>
      </c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 t="str">
        <f ca="1">IFERROR(__xludf.DUMMYFUNCTION("""COMPUTED_VALUE"""),"cross-device")</f>
        <v>cross-device</v>
      </c>
      <c r="AO47" s="3"/>
      <c r="AP47" s="3"/>
      <c r="AQ47" s="3"/>
      <c r="AR47" s="3"/>
      <c r="AS47" s="3"/>
      <c r="AT47" s="3"/>
      <c r="AU47" s="3" t="str">
        <f ca="1">IFERROR(__xludf.DUMMYFUNCTION("""COMPUTED_VALUE"""),"Native Standard")</f>
        <v>Native Standard</v>
      </c>
    </row>
    <row r="48" spans="1:47" x14ac:dyDescent="0.3">
      <c r="A48" s="3">
        <f ca="1"/>
        <v>2346826</v>
      </c>
      <c r="B48" s="3" t="str">
        <f ca="1"/>
        <v>CZECH NEWS CENTER a. s.</v>
      </c>
      <c r="C48" s="3" t="str">
        <f ca="1">IFERROR(__xludf.DUMMYFUNCTION("""COMPUTED_VALUE"""),"Abicko")</f>
        <v>Abicko</v>
      </c>
      <c r="D48" s="4" t="str">
        <f ca="1">IFERROR(__xludf.DUMMYFUNCTION("""COMPUTED_VALUE"""),"https://abicko.cz")</f>
        <v>https://abicko.cz</v>
      </c>
      <c r="E48" s="3" t="str">
        <f ca="1">IFERROR(__xludf.DUMMYFUNCTION("""COMPUTED_VALUE"""),"celý web")</f>
        <v>celý web</v>
      </c>
      <c r="F48" s="4" t="str">
        <f ca="1">IFERROR(__xludf.DUMMYFUNCTION("""COMPUTED_VALUE"""),"https://abicko.cz")</f>
        <v>https://abicko.cz</v>
      </c>
      <c r="G48" s="3" t="str">
        <f ca="1">IFERROR(__xludf.DUMMYFUNCTION("""COMPUTED_VALUE"""),"nativní pr premium mid season")</f>
        <v>nativní pr premium mid season</v>
      </c>
      <c r="H48" s="3">
        <f ca="1">IFERROR(__xludf.DUMMYFUNCTION("""COMPUTED_VALUE"""),7)</f>
        <v>7</v>
      </c>
      <c r="I48" s="5">
        <f ca="1">IFERROR(__xludf.DUMMYFUNCTION("""COMPUTED_VALUE"""),1000)</f>
        <v>1000</v>
      </c>
      <c r="J48" s="5">
        <f ca="1">IFERROR(__xludf.DUMMYFUNCTION("""COMPUTED_VALUE"""),140)</f>
        <v>140</v>
      </c>
      <c r="K48" s="3"/>
      <c r="L48" s="3" t="str">
        <f ca="1">IFERROR(__xludf.DUMMYFUNCTION("""COMPUTED_VALUE"""),"Cost per period")</f>
        <v>Cost per period</v>
      </c>
      <c r="M48" s="3"/>
      <c r="N48" s="3"/>
      <c r="O48" s="3" t="str">
        <f ca="1">IFERROR(__xludf.DUMMYFUNCTION("""COMPUTED_VALUE"""),"640")</f>
        <v>640</v>
      </c>
      <c r="P48" s="3" t="str">
        <f ca="1">IFERROR(__xludf.DUMMYFUNCTION("""COMPUTED_VALUE"""),"335, 640")</f>
        <v>335, 640</v>
      </c>
      <c r="Q48" s="3" t="str">
        <f ca="1">IFERROR(__xludf.DUMMYFUNCTION("""COMPUTED_VALUE"""),"640x640 a 640x335 + text + logo")</f>
        <v>640x640 a 640x335 + text + logo</v>
      </c>
      <c r="R48" s="3" t="str">
        <f ca="1">IFERROR(__xludf.DUMMYFUNCTION("""COMPUTED_VALUE"""),"detailní specifikace na URL odkaze")</f>
        <v>detailní specifikace na URL odkaze</v>
      </c>
      <c r="S48" s="3" t="str">
        <f ca="1">IFERROR(__xludf.DUMMYFUNCTION("""COMPUTED_VALUE"""),"100")</f>
        <v>100</v>
      </c>
      <c r="T48" s="3"/>
      <c r="U48" s="3" t="str">
        <f ca="1">IFERROR(__xludf.DUMMYFUNCTION("""COMPUTED_VALUE"""),"nativní reklama")</f>
        <v>nativní reklama</v>
      </c>
      <c r="V48" s="3"/>
      <c r="W48" s="4" t="str">
        <f ca="1">IFERROR(__xludf.DUMMYFUNCTION("""COMPUTED_VALUE"""),"https://reklama.cncenter.cz/Online/nativni-PR-premium")</f>
        <v>https://reklama.cncenter.cz/Online/nativni-PR-premium</v>
      </c>
      <c r="X48" s="3"/>
      <c r="Y48" s="3"/>
      <c r="Z48" s="3" t="str">
        <f ca="1">IFERROR(__xludf.DUMMYFUNCTION("""COMPUTED_VALUE"""),"podklady@cncenter.cz")</f>
        <v>podklady@cncenter.cz</v>
      </c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 t="str">
        <f ca="1">IFERROR(__xludf.DUMMYFUNCTION("""COMPUTED_VALUE"""),"cross-device")</f>
        <v>cross-device</v>
      </c>
      <c r="AO48" s="3"/>
      <c r="AP48" s="3"/>
      <c r="AQ48" s="3"/>
      <c r="AR48" s="3"/>
      <c r="AS48" s="3"/>
      <c r="AT48" s="3"/>
      <c r="AU48" s="3" t="str">
        <f ca="1">IFERROR(__xludf.DUMMYFUNCTION("""COMPUTED_VALUE"""),"nativní pr premium")</f>
        <v>nativní pr premium</v>
      </c>
    </row>
    <row r="49" spans="1:47" x14ac:dyDescent="0.3">
      <c r="A49" s="3">
        <f ca="1"/>
        <v>2346826</v>
      </c>
      <c r="B49" s="3" t="str">
        <f ca="1"/>
        <v>CZECH NEWS CENTER a. s.</v>
      </c>
      <c r="C49" s="3" t="str">
        <f ca="1">IFERROR(__xludf.DUMMYFUNCTION("""COMPUTED_VALUE"""),"Abicko")</f>
        <v>Abicko</v>
      </c>
      <c r="D49" s="4" t="str">
        <f ca="1">IFERROR(__xludf.DUMMYFUNCTION("""COMPUTED_VALUE"""),"https://abicko.cz")</f>
        <v>https://abicko.cz</v>
      </c>
      <c r="E49" s="3" t="str">
        <f ca="1">IFERROR(__xludf.DUMMYFUNCTION("""COMPUTED_VALUE"""),"celý web")</f>
        <v>celý web</v>
      </c>
      <c r="F49" s="4" t="str">
        <f ca="1">IFERROR(__xludf.DUMMYFUNCTION("""COMPUTED_VALUE"""),"https://abicko.cz")</f>
        <v>https://abicko.cz</v>
      </c>
      <c r="G49" s="3" t="str">
        <f ca="1">IFERROR(__xludf.DUMMYFUNCTION("""COMPUTED_VALUE"""),"nativní rectangle cross-device mid season")</f>
        <v>nativní rectangle cross-device mid season</v>
      </c>
      <c r="H49" s="3">
        <f ca="1">IFERROR(__xludf.DUMMYFUNCTION("""COMPUTED_VALUE"""),7)</f>
        <v>7</v>
      </c>
      <c r="I49" s="5">
        <f ca="1">IFERROR(__xludf.DUMMYFUNCTION("""COMPUTED_VALUE"""),1000)</f>
        <v>1000</v>
      </c>
      <c r="J49" s="5">
        <f ca="1">IFERROR(__xludf.DUMMYFUNCTION("""COMPUTED_VALUE"""),280)</f>
        <v>280</v>
      </c>
      <c r="K49" s="3"/>
      <c r="L49" s="3" t="str">
        <f ca="1">IFERROR(__xludf.DUMMYFUNCTION("""COMPUTED_VALUE"""),"Cost per period")</f>
        <v>Cost per period</v>
      </c>
      <c r="M49" s="3"/>
      <c r="N49" s="3"/>
      <c r="O49" s="3" t="str">
        <f ca="1">IFERROR(__xludf.DUMMYFUNCTION("""COMPUTED_VALUE"""),"640")</f>
        <v>640</v>
      </c>
      <c r="P49" s="3" t="str">
        <f ca="1">IFERROR(__xludf.DUMMYFUNCTION("""COMPUTED_VALUE"""),"335, 640")</f>
        <v>335, 640</v>
      </c>
      <c r="Q49" s="3" t="str">
        <f ca="1">IFERROR(__xludf.DUMMYFUNCTION("""COMPUTED_VALUE"""),"640x640 a 640x335 + text + logo")</f>
        <v>640x640 a 640x335 + text + logo</v>
      </c>
      <c r="R49" s="3"/>
      <c r="S49" s="3" t="str">
        <f ca="1">IFERROR(__xludf.DUMMYFUNCTION("""COMPUTED_VALUE"""),"45")</f>
        <v>45</v>
      </c>
      <c r="T49" s="3"/>
      <c r="U49" s="3" t="str">
        <f ca="1">IFERROR(__xludf.DUMMYFUNCTION("""COMPUTED_VALUE"""),"nativní reklama")</f>
        <v>nativní reklama</v>
      </c>
      <c r="V49" s="3"/>
      <c r="W49" s="4" t="str">
        <f ca="1">IFERROR(__xludf.DUMMYFUNCTION("""COMPUTED_VALUE"""),"https://reklama.cncenter.cz/Online/nativni-rectangle-cross-device")</f>
        <v>https://reklama.cncenter.cz/Online/nativni-rectangle-cross-device</v>
      </c>
      <c r="X49" s="3"/>
      <c r="Y49" s="3"/>
      <c r="Z49" s="3" t="str">
        <f ca="1">IFERROR(__xludf.DUMMYFUNCTION("""COMPUTED_VALUE"""),"podklady@cncenter.cz")</f>
        <v>podklady@cncenter.cz</v>
      </c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 t="str">
        <f ca="1">IFERROR(__xludf.DUMMYFUNCTION("""COMPUTED_VALUE"""),"cross-device")</f>
        <v>cross-device</v>
      </c>
      <c r="AO49" s="3"/>
      <c r="AP49" s="3"/>
      <c r="AQ49" s="3"/>
      <c r="AR49" s="3"/>
      <c r="AS49" s="3"/>
      <c r="AT49" s="3"/>
      <c r="AU49" s="3" t="str">
        <f ca="1">IFERROR(__xludf.DUMMYFUNCTION("""COMPUTED_VALUE"""),"nativní rectangle cross-device")</f>
        <v>nativní rectangle cross-device</v>
      </c>
    </row>
    <row r="50" spans="1:47" x14ac:dyDescent="0.3">
      <c r="A50" s="3">
        <f ca="1"/>
        <v>2346826</v>
      </c>
      <c r="B50" s="3" t="str">
        <f ca="1"/>
        <v>CZECH NEWS CENTER a. s.</v>
      </c>
      <c r="C50" s="3" t="str">
        <f ca="1">IFERROR(__xludf.DUMMYFUNCTION("""COMPUTED_VALUE"""),"Abicko")</f>
        <v>Abicko</v>
      </c>
      <c r="D50" s="4" t="str">
        <f ca="1">IFERROR(__xludf.DUMMYFUNCTION("""COMPUTED_VALUE"""),"https://abicko.cz")</f>
        <v>https://abicko.cz</v>
      </c>
      <c r="E50" s="3" t="str">
        <f ca="1">IFERROR(__xludf.DUMMYFUNCTION("""COMPUTED_VALUE"""),"celý web")</f>
        <v>celý web</v>
      </c>
      <c r="F50" s="4" t="str">
        <f ca="1">IFERROR(__xludf.DUMMYFUNCTION("""COMPUTED_VALUE"""),"https://abicko.cz")</f>
        <v>https://abicko.cz</v>
      </c>
      <c r="G50" s="3" t="str">
        <f ca="1">IFERROR(__xludf.DUMMYFUNCTION("""COMPUTED_VALUE"""),"outstream mid season")</f>
        <v>outstream mid season</v>
      </c>
      <c r="H50" s="3">
        <f ca="1">IFERROR(__xludf.DUMMYFUNCTION("""COMPUTED_VALUE"""),7)</f>
        <v>7</v>
      </c>
      <c r="I50" s="5">
        <f ca="1">IFERROR(__xludf.DUMMYFUNCTION("""COMPUTED_VALUE"""),1000)</f>
        <v>1000</v>
      </c>
      <c r="J50" s="5">
        <f ca="1">IFERROR(__xludf.DUMMYFUNCTION("""COMPUTED_VALUE"""),350)</f>
        <v>350</v>
      </c>
      <c r="K50" s="3"/>
      <c r="L50" s="3" t="str">
        <f ca="1">IFERROR(__xludf.DUMMYFUNCTION("""COMPUTED_VALUE"""),"Cost per period")</f>
        <v>Cost per period</v>
      </c>
      <c r="M50" s="3"/>
      <c r="N50" s="3"/>
      <c r="O50" s="3" t="str">
        <f ca="1">IFERROR(__xludf.DUMMYFUNCTION("""COMPUTED_VALUE"""),"1280")</f>
        <v>1280</v>
      </c>
      <c r="P50" s="3" t="str">
        <f ca="1">IFERROR(__xludf.DUMMYFUNCTION("""COMPUTED_VALUE"""),"720")</f>
        <v>720</v>
      </c>
      <c r="Q50" s="3" t="str">
        <f ca="1">IFERROR(__xludf.DUMMYFUNCTION("""COMPUTED_VALUE"""),"16:9")</f>
        <v>16:9</v>
      </c>
      <c r="R50" s="3"/>
      <c r="S50" s="3" t="str">
        <f ca="1">IFERROR(__xludf.DUMMYFUNCTION("""COMPUTED_VALUE"""),"100")</f>
        <v>100</v>
      </c>
      <c r="T50" s="3"/>
      <c r="U50" s="3" t="str">
        <f ca="1">IFERROR(__xludf.DUMMYFUNCTION("""COMPUTED_VALUE"""),"videospot")</f>
        <v>videospot</v>
      </c>
      <c r="V50" s="3"/>
      <c r="W50" s="4" t="str">
        <f ca="1">IFERROR(__xludf.DUMMYFUNCTION("""COMPUTED_VALUE"""),"https://reklama.cncenter.cz/Online/Outstream")</f>
        <v>https://reklama.cncenter.cz/Online/Outstream</v>
      </c>
      <c r="X50" s="3"/>
      <c r="Y50" s="3"/>
      <c r="Z50" s="3" t="str">
        <f ca="1">IFERROR(__xludf.DUMMYFUNCTION("""COMPUTED_VALUE"""),"podklady@cncenter.cz")</f>
        <v>podklady@cncenter.cz</v>
      </c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 t="str">
        <f ca="1">IFERROR(__xludf.DUMMYFUNCTION("""COMPUTED_VALUE"""),"cross-device")</f>
        <v>cross-device</v>
      </c>
      <c r="AO50" s="3"/>
      <c r="AP50" s="3"/>
      <c r="AQ50" s="3"/>
      <c r="AR50" s="3"/>
      <c r="AS50" s="3"/>
      <c r="AT50" s="3"/>
      <c r="AU50" s="3" t="str">
        <f ca="1">IFERROR(__xludf.DUMMYFUNCTION("""COMPUTED_VALUE"""),"outstream")</f>
        <v>outstream</v>
      </c>
    </row>
    <row r="51" spans="1:47" x14ac:dyDescent="0.3">
      <c r="A51" s="3">
        <f ca="1"/>
        <v>2346826</v>
      </c>
      <c r="B51" s="3" t="str">
        <f ca="1"/>
        <v>CZECH NEWS CENTER a. s.</v>
      </c>
      <c r="C51" s="3" t="str">
        <f ca="1">IFERROR(__xludf.DUMMYFUNCTION("""COMPUTED_VALUE"""),"Abicko")</f>
        <v>Abicko</v>
      </c>
      <c r="D51" s="4" t="str">
        <f ca="1">IFERROR(__xludf.DUMMYFUNCTION("""COMPUTED_VALUE"""),"https://abicko.cz")</f>
        <v>https://abicko.cz</v>
      </c>
      <c r="E51" s="3" t="str">
        <f ca="1">IFERROR(__xludf.DUMMYFUNCTION("""COMPUTED_VALUE"""),"celý web")</f>
        <v>celý web</v>
      </c>
      <c r="F51" s="4" t="str">
        <f ca="1">IFERROR(__xludf.DUMMYFUNCTION("""COMPUTED_VALUE"""),"https://abicko.cz")</f>
        <v>https://abicko.cz</v>
      </c>
      <c r="G51" s="3" t="str">
        <f ca="1">IFERROR(__xludf.DUMMYFUNCTION("""COMPUTED_VALUE"""),"PR článek mid season")</f>
        <v>PR článek mid season</v>
      </c>
      <c r="H51" s="3">
        <f ca="1">IFERROR(__xludf.DUMMYFUNCTION("""COMPUTED_VALUE"""),1)</f>
        <v>1</v>
      </c>
      <c r="I51" s="5">
        <f ca="1">IFERROR(__xludf.DUMMYFUNCTION("""COMPUTED_VALUE"""),1)</f>
        <v>1</v>
      </c>
      <c r="J51" s="5">
        <f ca="1">IFERROR(__xludf.DUMMYFUNCTION("""COMPUTED_VALUE"""),20000)</f>
        <v>20000</v>
      </c>
      <c r="K51" s="3"/>
      <c r="L51" s="3" t="str">
        <f ca="1">IFERROR(__xludf.DUMMYFUNCTION("""COMPUTED_VALUE"""),"Cost per instance")</f>
        <v>Cost per instance</v>
      </c>
      <c r="M51" s="3"/>
      <c r="N51" s="3"/>
      <c r="O51" s="3"/>
      <c r="P51" s="3"/>
      <c r="Q51" s="3"/>
      <c r="R51" s="3"/>
      <c r="S51" s="3" t="str">
        <f ca="1">IFERROR(__xludf.DUMMYFUNCTION("""COMPUTED_VALUE"""),"100")</f>
        <v>100</v>
      </c>
      <c r="T51" s="3"/>
      <c r="U51" s="3" t="str">
        <f ca="1">IFERROR(__xludf.DUMMYFUNCTION("""COMPUTED_VALUE"""),"pr článek")</f>
        <v>pr článek</v>
      </c>
      <c r="V51" s="3"/>
      <c r="W51" s="4" t="str">
        <f ca="1">IFERROR(__xludf.DUMMYFUNCTION("""COMPUTED_VALUE"""),"https://reklama.cncenter.cz/?ads=PR%2520%25C4%258Dl%25C3%25A1nky")</f>
        <v>https://reklama.cncenter.cz/?ads=PR%2520%25C4%258Dl%25C3%25A1nky</v>
      </c>
      <c r="X51" s="3"/>
      <c r="Y51" s="3"/>
      <c r="Z51" s="3" t="str">
        <f ca="1">IFERROR(__xludf.DUMMYFUNCTION("""COMPUTED_VALUE"""),"podklady@cncenter.cz")</f>
        <v>podklady@cncenter.cz</v>
      </c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 t="str">
        <f ca="1">IFERROR(__xludf.DUMMYFUNCTION("""COMPUTED_VALUE"""),"cross-device")</f>
        <v>cross-device</v>
      </c>
      <c r="AO51" s="3"/>
      <c r="AP51" s="3"/>
      <c r="AQ51" s="3"/>
      <c r="AR51" s="3"/>
      <c r="AS51" s="3"/>
      <c r="AT51" s="3"/>
      <c r="AU51" s="3" t="str">
        <f ca="1">IFERROR(__xludf.DUMMYFUNCTION("""COMPUTED_VALUE"""),"PR článek")</f>
        <v>PR článek</v>
      </c>
    </row>
    <row r="52" spans="1:47" x14ac:dyDescent="0.3">
      <c r="A52" s="3">
        <f ca="1"/>
        <v>2346826</v>
      </c>
      <c r="B52" s="3" t="str">
        <f ca="1"/>
        <v>CZECH NEWS CENTER a. s.</v>
      </c>
      <c r="C52" s="3" t="str">
        <f ca="1">IFERROR(__xludf.DUMMYFUNCTION("""COMPUTED_VALUE"""),"Abicko")</f>
        <v>Abicko</v>
      </c>
      <c r="D52" s="4" t="str">
        <f ca="1">IFERROR(__xludf.DUMMYFUNCTION("""COMPUTED_VALUE"""),"https://abicko.cz")</f>
        <v>https://abicko.cz</v>
      </c>
      <c r="E52" s="3" t="str">
        <f ca="1">IFERROR(__xludf.DUMMYFUNCTION("""COMPUTED_VALUE"""),"celý web")</f>
        <v>celý web</v>
      </c>
      <c r="F52" s="4" t="str">
        <f ca="1">IFERROR(__xludf.DUMMYFUNCTION("""COMPUTED_VALUE"""),"https://abicko.cz")</f>
        <v>https://abicko.cz</v>
      </c>
      <c r="G52" s="3" t="str">
        <f ca="1">IFERROR(__xludf.DUMMYFUNCTION("""COMPUTED_VALUE"""),"Prodloužení existující microsite, bez úprav mid season")</f>
        <v>Prodloužení existující microsite, bez úprav mid season</v>
      </c>
      <c r="H52" s="3">
        <f ca="1">IFERROR(__xludf.DUMMYFUNCTION("""COMPUTED_VALUE"""),1)</f>
        <v>1</v>
      </c>
      <c r="I52" s="5">
        <f ca="1">IFERROR(__xludf.DUMMYFUNCTION("""COMPUTED_VALUE"""),1)</f>
        <v>1</v>
      </c>
      <c r="J52" s="5">
        <f ca="1">IFERROR(__xludf.DUMMYFUNCTION("""COMPUTED_VALUE"""),15000)</f>
        <v>15000</v>
      </c>
      <c r="K52" s="3"/>
      <c r="L52" s="3" t="str">
        <f ca="1">IFERROR(__xludf.DUMMYFUNCTION("""COMPUTED_VALUE"""),"Cost per instance")</f>
        <v>Cost per instance</v>
      </c>
      <c r="M52" s="3"/>
      <c r="N52" s="3"/>
      <c r="O52" s="3"/>
      <c r="P52" s="3"/>
      <c r="Q52" s="3"/>
      <c r="R52" s="3"/>
      <c r="S52" s="3" t="str">
        <f ca="1">IFERROR(__xludf.DUMMYFUNCTION("""COMPUTED_VALUE"""),"100")</f>
        <v>100</v>
      </c>
      <c r="T52" s="3"/>
      <c r="U52" s="3" t="str">
        <f ca="1">IFERROR(__xludf.DUMMYFUNCTION("""COMPUTED_VALUE"""),"microsite")</f>
        <v>microsite</v>
      </c>
      <c r="V52" s="3"/>
      <c r="W52" s="3"/>
      <c r="X52" s="3"/>
      <c r="Y52" s="3"/>
      <c r="Z52" s="3" t="str">
        <f ca="1">IFERROR(__xludf.DUMMYFUNCTION("""COMPUTED_VALUE"""),"podklady@cncenter.cz")</f>
        <v>podklady@cncenter.cz</v>
      </c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 t="str">
        <f ca="1">IFERROR(__xludf.DUMMYFUNCTION("""COMPUTED_VALUE"""),"cross-device")</f>
        <v>cross-device</v>
      </c>
      <c r="AO52" s="3"/>
      <c r="AP52" s="3"/>
      <c r="AQ52" s="3"/>
      <c r="AR52" s="3"/>
      <c r="AS52" s="3"/>
      <c r="AT52" s="3"/>
      <c r="AU52" s="3" t="str">
        <f ca="1">IFERROR(__xludf.DUMMYFUNCTION("""COMPUTED_VALUE"""),"Prodloužení existující microsite, bez úprav")</f>
        <v>Prodloužení existující microsite, bez úprav</v>
      </c>
    </row>
    <row r="53" spans="1:47" x14ac:dyDescent="0.3">
      <c r="A53" s="3">
        <f ca="1"/>
        <v>2346826</v>
      </c>
      <c r="B53" s="3" t="str">
        <f ca="1"/>
        <v>CZECH NEWS CENTER a. s.</v>
      </c>
      <c r="C53" s="3" t="str">
        <f ca="1">IFERROR(__xludf.DUMMYFUNCTION("""COMPUTED_VALUE"""),"Abicko")</f>
        <v>Abicko</v>
      </c>
      <c r="D53" s="4" t="str">
        <f ca="1">IFERROR(__xludf.DUMMYFUNCTION("""COMPUTED_VALUE"""),"https://abicko.cz")</f>
        <v>https://abicko.cz</v>
      </c>
      <c r="E53" s="3" t="str">
        <f ca="1">IFERROR(__xludf.DUMMYFUNCTION("""COMPUTED_VALUE"""),"celý web")</f>
        <v>celý web</v>
      </c>
      <c r="F53" s="4" t="str">
        <f ca="1">IFERROR(__xludf.DUMMYFUNCTION("""COMPUTED_VALUE"""),"https://abicko.cz")</f>
        <v>https://abicko.cz</v>
      </c>
      <c r="G53" s="3" t="str">
        <f ca="1">IFERROR(__xludf.DUMMYFUNCTION("""COMPUTED_VALUE"""),"Prodloužení existující microsite, bez úprav mid season")</f>
        <v>Prodloužení existující microsite, bez úprav mid season</v>
      </c>
      <c r="H53" s="3">
        <f ca="1">IFERROR(__xludf.DUMMYFUNCTION("""COMPUTED_VALUE"""),1)</f>
        <v>1</v>
      </c>
      <c r="I53" s="5">
        <f ca="1">IFERROR(__xludf.DUMMYFUNCTION("""COMPUTED_VALUE"""),1)</f>
        <v>1</v>
      </c>
      <c r="J53" s="5">
        <f ca="1">IFERROR(__xludf.DUMMYFUNCTION("""COMPUTED_VALUE"""),15000)</f>
        <v>15000</v>
      </c>
      <c r="K53" s="3"/>
      <c r="L53" s="3" t="str">
        <f ca="1">IFERROR(__xludf.DUMMYFUNCTION("""COMPUTED_VALUE"""),"Cost per instance")</f>
        <v>Cost per instance</v>
      </c>
      <c r="M53" s="3"/>
      <c r="N53" s="3"/>
      <c r="O53" s="3"/>
      <c r="P53" s="3"/>
      <c r="Q53" s="3"/>
      <c r="R53" s="3"/>
      <c r="S53" s="3" t="str">
        <f ca="1">IFERROR(__xludf.DUMMYFUNCTION("""COMPUTED_VALUE"""),"100")</f>
        <v>100</v>
      </c>
      <c r="T53" s="3"/>
      <c r="U53" s="3" t="str">
        <f ca="1">IFERROR(__xludf.DUMMYFUNCTION("""COMPUTED_VALUE"""),"microsite")</f>
        <v>microsite</v>
      </c>
      <c r="V53" s="3"/>
      <c r="W53" s="3"/>
      <c r="X53" s="3"/>
      <c r="Y53" s="3"/>
      <c r="Z53" s="3" t="str">
        <f ca="1">IFERROR(__xludf.DUMMYFUNCTION("""COMPUTED_VALUE"""),"podklady@cncenter.cz")</f>
        <v>podklady@cncenter.cz</v>
      </c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 t="str">
        <f ca="1">IFERROR(__xludf.DUMMYFUNCTION("""COMPUTED_VALUE"""),"cross-device")</f>
        <v>cross-device</v>
      </c>
      <c r="AO53" s="3"/>
      <c r="AP53" s="3"/>
      <c r="AQ53" s="3"/>
      <c r="AR53" s="3"/>
      <c r="AS53" s="3"/>
      <c r="AT53" s="3"/>
      <c r="AU53" s="3" t="str">
        <f ca="1">IFERROR(__xludf.DUMMYFUNCTION("""COMPUTED_VALUE"""),"Prodloužení existující microsite, bez úprav")</f>
        <v>Prodloužení existující microsite, bez úprav</v>
      </c>
    </row>
    <row r="54" spans="1:47" x14ac:dyDescent="0.3">
      <c r="A54" s="3">
        <f ca="1"/>
        <v>2346826</v>
      </c>
      <c r="B54" s="3" t="str">
        <f ca="1"/>
        <v>CZECH NEWS CENTER a. s.</v>
      </c>
      <c r="C54" s="3" t="str">
        <f ca="1">IFERROR(__xludf.DUMMYFUNCTION("""COMPUTED_VALUE"""),"Abicko")</f>
        <v>Abicko</v>
      </c>
      <c r="D54" s="4" t="str">
        <f ca="1">IFERROR(__xludf.DUMMYFUNCTION("""COMPUTED_VALUE"""),"https://abicko.cz")</f>
        <v>https://abicko.cz</v>
      </c>
      <c r="E54" s="3" t="str">
        <f ca="1">IFERROR(__xludf.DUMMYFUNCTION("""COMPUTED_VALUE"""),"celý web")</f>
        <v>celý web</v>
      </c>
      <c r="F54" s="4" t="str">
        <f ca="1">IFERROR(__xludf.DUMMYFUNCTION("""COMPUTED_VALUE"""),"https://abicko.cz")</f>
        <v>https://abicko.cz</v>
      </c>
      <c r="G54" s="3" t="str">
        <f ca="1">IFERROR(__xludf.DUMMYFUNCTION("""COMPUTED_VALUE"""),"Prodloužení existující microsite, bez úprav mid season")</f>
        <v>Prodloužení existující microsite, bez úprav mid season</v>
      </c>
      <c r="H54" s="3">
        <f ca="1">IFERROR(__xludf.DUMMYFUNCTION("""COMPUTED_VALUE"""),1)</f>
        <v>1</v>
      </c>
      <c r="I54" s="5">
        <f ca="1">IFERROR(__xludf.DUMMYFUNCTION("""COMPUTED_VALUE"""),1)</f>
        <v>1</v>
      </c>
      <c r="J54" s="5">
        <f ca="1">IFERROR(__xludf.DUMMYFUNCTION("""COMPUTED_VALUE"""),15000)</f>
        <v>15000</v>
      </c>
      <c r="K54" s="3"/>
      <c r="L54" s="3" t="str">
        <f ca="1">IFERROR(__xludf.DUMMYFUNCTION("""COMPUTED_VALUE"""),"Cost per instance")</f>
        <v>Cost per instance</v>
      </c>
      <c r="M54" s="3"/>
      <c r="N54" s="3"/>
      <c r="O54" s="3"/>
      <c r="P54" s="3"/>
      <c r="Q54" s="3"/>
      <c r="R54" s="3"/>
      <c r="S54" s="3" t="str">
        <f ca="1">IFERROR(__xludf.DUMMYFUNCTION("""COMPUTED_VALUE"""),"100")</f>
        <v>100</v>
      </c>
      <c r="T54" s="3"/>
      <c r="U54" s="3" t="str">
        <f ca="1">IFERROR(__xludf.DUMMYFUNCTION("""COMPUTED_VALUE"""),"microsite")</f>
        <v>microsite</v>
      </c>
      <c r="V54" s="3"/>
      <c r="W54" s="3"/>
      <c r="X54" s="3"/>
      <c r="Y54" s="3"/>
      <c r="Z54" s="3" t="str">
        <f ca="1">IFERROR(__xludf.DUMMYFUNCTION("""COMPUTED_VALUE"""),"podklady@cncenter.cz")</f>
        <v>podklady@cncenter.cz</v>
      </c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 t="str">
        <f ca="1">IFERROR(__xludf.DUMMYFUNCTION("""COMPUTED_VALUE"""),"cross-device")</f>
        <v>cross-device</v>
      </c>
      <c r="AO54" s="3"/>
      <c r="AP54" s="3"/>
      <c r="AQ54" s="3"/>
      <c r="AR54" s="3"/>
      <c r="AS54" s="3"/>
      <c r="AT54" s="3"/>
      <c r="AU54" s="3" t="str">
        <f ca="1">IFERROR(__xludf.DUMMYFUNCTION("""COMPUTED_VALUE"""),"Prodloužení existující microsite, bez úprav")</f>
        <v>Prodloužení existující microsite, bez úprav</v>
      </c>
    </row>
    <row r="55" spans="1:47" x14ac:dyDescent="0.3">
      <c r="A55" s="3">
        <f ca="1"/>
        <v>2346826</v>
      </c>
      <c r="B55" s="3" t="str">
        <f ca="1"/>
        <v>CZECH NEWS CENTER a. s.</v>
      </c>
      <c r="C55" s="3" t="str">
        <f ca="1">IFERROR(__xludf.DUMMYFUNCTION("""COMPUTED_VALUE"""),"Abicko")</f>
        <v>Abicko</v>
      </c>
      <c r="D55" s="4" t="str">
        <f ca="1">IFERROR(__xludf.DUMMYFUNCTION("""COMPUTED_VALUE"""),"https://abicko.cz")</f>
        <v>https://abicko.cz</v>
      </c>
      <c r="E55" s="3" t="str">
        <f ca="1">IFERROR(__xludf.DUMMYFUNCTION("""COMPUTED_VALUE"""),"celý web")</f>
        <v>celý web</v>
      </c>
      <c r="F55" s="4" t="str">
        <f ca="1">IFERROR(__xludf.DUMMYFUNCTION("""COMPUTED_VALUE"""),"https://abicko.cz")</f>
        <v>https://abicko.cz</v>
      </c>
      <c r="G55" s="3" t="str">
        <f ca="1">IFERROR(__xludf.DUMMYFUNCTION("""COMPUTED_VALUE"""),"videospot - max. 30 sec. / bumper mid season")</f>
        <v>videospot - max. 30 sec. / bumper mid season</v>
      </c>
      <c r="H55" s="3">
        <f ca="1">IFERROR(__xludf.DUMMYFUNCTION("""COMPUTED_VALUE"""),7)</f>
        <v>7</v>
      </c>
      <c r="I55" s="5">
        <f ca="1">IFERROR(__xludf.DUMMYFUNCTION("""COMPUTED_VALUE"""),1000)</f>
        <v>1000</v>
      </c>
      <c r="J55" s="5">
        <f ca="1">IFERROR(__xludf.DUMMYFUNCTION("""COMPUTED_VALUE"""),1040)</f>
        <v>1040</v>
      </c>
      <c r="K55" s="3"/>
      <c r="L55" s="3" t="str">
        <f ca="1">IFERROR(__xludf.DUMMYFUNCTION("""COMPUTED_VALUE"""),"Cost per period")</f>
        <v>Cost per period</v>
      </c>
      <c r="M55" s="3"/>
      <c r="N55" s="3"/>
      <c r="O55" s="3" t="str">
        <f ca="1">IFERROR(__xludf.DUMMYFUNCTION("""COMPUTED_VALUE"""),"1280")</f>
        <v>1280</v>
      </c>
      <c r="P55" s="3" t="str">
        <f ca="1">IFERROR(__xludf.DUMMYFUNCTION("""COMPUTED_VALUE"""),"720")</f>
        <v>720</v>
      </c>
      <c r="Q55" s="3" t="str">
        <f ca="1">IFERROR(__xludf.DUMMYFUNCTION("""COMPUTED_VALUE"""),"16:9 / umístění po domluvě dle možností")</f>
        <v>16:9 / umístění po domluvě dle možností</v>
      </c>
      <c r="R55" s="3" t="str">
        <f ca="1">IFERROR(__xludf.DUMMYFUNCTION("""COMPUTED_VALUE"""),"přeskočení po 7 sekundách")</f>
        <v>přeskočení po 7 sekundách</v>
      </c>
      <c r="S55" s="3" t="str">
        <f ca="1">IFERROR(__xludf.DUMMYFUNCTION("""COMPUTED_VALUE"""),"100")</f>
        <v>100</v>
      </c>
      <c r="T55" s="3"/>
      <c r="U55" s="3" t="str">
        <f ca="1">IFERROR(__xludf.DUMMYFUNCTION("""COMPUTED_VALUE"""),"videospot")</f>
        <v>videospot</v>
      </c>
      <c r="V55" s="3"/>
      <c r="W55" s="4" t="str">
        <f ca="1">IFERROR(__xludf.DUMMYFUNCTION("""COMPUTED_VALUE"""),"https://reklama.cncenter.cz/Online/Bumper")</f>
        <v>https://reklama.cncenter.cz/Online/Bumper</v>
      </c>
      <c r="X55" s="3"/>
      <c r="Y55" s="3"/>
      <c r="Z55" s="3" t="str">
        <f ca="1">IFERROR(__xludf.DUMMYFUNCTION("""COMPUTED_VALUE"""),"podklady@cncenter.cz")</f>
        <v>podklady@cncenter.cz</v>
      </c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 t="str">
        <f ca="1">IFERROR(__xludf.DUMMYFUNCTION("""COMPUTED_VALUE"""),"cross-device")</f>
        <v>cross-device</v>
      </c>
      <c r="AO55" s="3"/>
      <c r="AP55" s="3"/>
      <c r="AQ55" s="3"/>
      <c r="AR55" s="3"/>
      <c r="AS55" s="3"/>
      <c r="AT55" s="3"/>
      <c r="AU55" s="3" t="str">
        <f ca="1">IFERROR(__xludf.DUMMYFUNCTION("""COMPUTED_VALUE"""),"videospot - max. 30 sec. / bumper")</f>
        <v>videospot - max. 30 sec. / bumper</v>
      </c>
    </row>
    <row r="56" spans="1:47" x14ac:dyDescent="0.3">
      <c r="A56" s="3">
        <f ca="1"/>
        <v>2346826</v>
      </c>
      <c r="B56" s="3" t="str">
        <f ca="1"/>
        <v>CZECH NEWS CENTER a. s.</v>
      </c>
      <c r="C56" s="3" t="str">
        <f ca="1">IFERROR(__xludf.DUMMYFUNCTION("""COMPUTED_VALUE"""),"Active Radio")</f>
        <v>Active Radio</v>
      </c>
      <c r="D56" s="3" t="str">
        <f ca="1">IFERROR(__xludf.DUMMYFUNCTION("""COMPUTED_VALUE"""),"https://evropa2.cz, https://frekvence1.cz")</f>
        <v>https://evropa2.cz, https://frekvence1.cz</v>
      </c>
      <c r="E56" s="3" t="str">
        <f ca="1">IFERROR(__xludf.DUMMYFUNCTION("""COMPUTED_VALUE"""),"celý web")</f>
        <v>celý web</v>
      </c>
      <c r="F56" s="3" t="str">
        <f ca="1">IFERROR(__xludf.DUMMYFUNCTION("""COMPUTED_VALUE"""),"https://evropa2.cz, https://frekvence1.cz")</f>
        <v>https://evropa2.cz, https://frekvence1.cz</v>
      </c>
      <c r="G56" s="3" t="str">
        <f ca="1">IFERROR(__xludf.DUMMYFUNCTION("""COMPUTED_VALUE"""),"audio ad (15-30"" audio + 640x640) - bez cílení mid season")</f>
        <v>audio ad (15-30" audio + 640x640) - bez cílení mid season</v>
      </c>
      <c r="H56" s="3">
        <f ca="1">IFERROR(__xludf.DUMMYFUNCTION("""COMPUTED_VALUE"""),7)</f>
        <v>7</v>
      </c>
      <c r="I56" s="5">
        <f ca="1">IFERROR(__xludf.DUMMYFUNCTION("""COMPUTED_VALUE"""),1000)</f>
        <v>1000</v>
      </c>
      <c r="J56" s="5">
        <f ca="1">IFERROR(__xludf.DUMMYFUNCTION("""COMPUTED_VALUE"""),250)</f>
        <v>250</v>
      </c>
      <c r="K56" s="3"/>
      <c r="L56" s="3" t="str">
        <f ca="1">IFERROR(__xludf.DUMMYFUNCTION("""COMPUTED_VALUE"""),"Cost per period")</f>
        <v>Cost per period</v>
      </c>
      <c r="M56" s="3"/>
      <c r="N56" s="3"/>
      <c r="O56" s="3"/>
      <c r="P56" s="3"/>
      <c r="Q56" s="3"/>
      <c r="R56" s="3"/>
      <c r="S56" s="3" t="str">
        <f ca="1">IFERROR(__xludf.DUMMYFUNCTION("""COMPUTED_VALUE"""),"100")</f>
        <v>100</v>
      </c>
      <c r="T56" s="3"/>
      <c r="U56" s="3" t="str">
        <f ca="1">IFERROR(__xludf.DUMMYFUNCTION("""COMPUTED_VALUE"""),"audio")</f>
        <v>audio</v>
      </c>
      <c r="V56" s="3"/>
      <c r="W56" s="4" t="str">
        <f ca="1">IFERROR(__xludf.DUMMYFUNCTION("""COMPUTED_VALUE"""),"https://www.activegroup.cz/reklama")</f>
        <v>https://www.activegroup.cz/reklama</v>
      </c>
      <c r="X56" s="3"/>
      <c r="Y56" s="3"/>
      <c r="Z56" s="3" t="str">
        <f ca="1">IFERROR(__xludf.DUMMYFUNCTION("""COMPUTED_VALUE"""),"monika.cerna@cncenter.cz")</f>
        <v>monika.cerna@cncenter.cz</v>
      </c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 t="str">
        <f ca="1">IFERROR(__xludf.DUMMYFUNCTION("""COMPUTED_VALUE"""),"cross-device")</f>
        <v>cross-device</v>
      </c>
      <c r="AO56" s="3"/>
      <c r="AP56" s="3"/>
      <c r="AQ56" s="3"/>
      <c r="AR56" s="3"/>
      <c r="AS56" s="3"/>
      <c r="AT56" s="3"/>
      <c r="AU56" s="3" t="str">
        <f ca="1">IFERROR(__xludf.DUMMYFUNCTION("""COMPUTED_VALUE"""),"audio ad (15-30"" audio + 640x640) - bez cílení")</f>
        <v>audio ad (15-30" audio + 640x640) - bez cílení</v>
      </c>
    </row>
    <row r="57" spans="1:47" x14ac:dyDescent="0.3">
      <c r="A57" s="3">
        <f ca="1"/>
        <v>2346826</v>
      </c>
      <c r="B57" s="3" t="str">
        <f ca="1"/>
        <v>CZECH NEWS CENTER a. s.</v>
      </c>
      <c r="C57" s="3" t="str">
        <f ca="1">IFERROR(__xludf.DUMMYFUNCTION("""COMPUTED_VALUE"""),"Active Radio")</f>
        <v>Active Radio</v>
      </c>
      <c r="D57" s="3" t="str">
        <f ca="1">IFERROR(__xludf.DUMMYFUNCTION("""COMPUTED_VALUE"""),"https://evropa2.cz, https://frekvence1.cz")</f>
        <v>https://evropa2.cz, https://frekvence1.cz</v>
      </c>
      <c r="E57" s="3" t="str">
        <f ca="1">IFERROR(__xludf.DUMMYFUNCTION("""COMPUTED_VALUE"""),"celý web")</f>
        <v>celý web</v>
      </c>
      <c r="F57" s="3" t="str">
        <f ca="1">IFERROR(__xludf.DUMMYFUNCTION("""COMPUTED_VALUE"""),"https://evropa2.cz, https://frekvence1.cz")</f>
        <v>https://evropa2.cz, https://frekvence1.cz</v>
      </c>
      <c r="G57" s="3" t="str">
        <f ca="1">IFERROR(__xludf.DUMMYFUNCTION("""COMPUTED_VALUE"""),"audio ad (15-30"" audio + 640x640) - pohlaví, lokace mid season")</f>
        <v>audio ad (15-30" audio + 640x640) - pohlaví, lokace mid season</v>
      </c>
      <c r="H57" s="3">
        <f ca="1">IFERROR(__xludf.DUMMYFUNCTION("""COMPUTED_VALUE"""),7)</f>
        <v>7</v>
      </c>
      <c r="I57" s="5">
        <f ca="1">IFERROR(__xludf.DUMMYFUNCTION("""COMPUTED_VALUE"""),1000)</f>
        <v>1000</v>
      </c>
      <c r="J57" s="5">
        <f ca="1">IFERROR(__xludf.DUMMYFUNCTION("""COMPUTED_VALUE"""),300)</f>
        <v>300</v>
      </c>
      <c r="K57" s="3"/>
      <c r="L57" s="3" t="str">
        <f ca="1">IFERROR(__xludf.DUMMYFUNCTION("""COMPUTED_VALUE"""),"Cost per period")</f>
        <v>Cost per period</v>
      </c>
      <c r="M57" s="3"/>
      <c r="N57" s="3"/>
      <c r="O57" s="3"/>
      <c r="P57" s="3"/>
      <c r="Q57" s="3"/>
      <c r="R57" s="3"/>
      <c r="S57" s="3" t="str">
        <f ca="1">IFERROR(__xludf.DUMMYFUNCTION("""COMPUTED_VALUE"""),"100")</f>
        <v>100</v>
      </c>
      <c r="T57" s="3"/>
      <c r="U57" s="3" t="str">
        <f ca="1">IFERROR(__xludf.DUMMYFUNCTION("""COMPUTED_VALUE"""),"audio")</f>
        <v>audio</v>
      </c>
      <c r="V57" s="3"/>
      <c r="W57" s="4" t="str">
        <f ca="1">IFERROR(__xludf.DUMMYFUNCTION("""COMPUTED_VALUE"""),"https://www.activegroup.cz/reklama")</f>
        <v>https://www.activegroup.cz/reklama</v>
      </c>
      <c r="X57" s="3"/>
      <c r="Y57" s="3"/>
      <c r="Z57" s="3" t="str">
        <f ca="1">IFERROR(__xludf.DUMMYFUNCTION("""COMPUTED_VALUE"""),"monika.cerna@cncenter.cz")</f>
        <v>monika.cerna@cncenter.cz</v>
      </c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 t="str">
        <f ca="1">IFERROR(__xludf.DUMMYFUNCTION("""COMPUTED_VALUE"""),"cross-device")</f>
        <v>cross-device</v>
      </c>
      <c r="AO57" s="3"/>
      <c r="AP57" s="3"/>
      <c r="AQ57" s="3"/>
      <c r="AR57" s="3"/>
      <c r="AS57" s="3"/>
      <c r="AT57" s="3"/>
      <c r="AU57" s="3" t="str">
        <f ca="1">IFERROR(__xludf.DUMMYFUNCTION("""COMPUTED_VALUE"""),"audio ad (15-30"" audio + 640x640) - pohlaví, lokace")</f>
        <v>audio ad (15-30" audio + 640x640) - pohlaví, lokace</v>
      </c>
    </row>
    <row r="58" spans="1:47" x14ac:dyDescent="0.3">
      <c r="A58" s="3">
        <f ca="1"/>
        <v>2346826</v>
      </c>
      <c r="B58" s="3" t="str">
        <f ca="1"/>
        <v>CZECH NEWS CENTER a. s.</v>
      </c>
      <c r="C58" s="3" t="str">
        <f ca="1">IFERROR(__xludf.DUMMYFUNCTION("""COMPUTED_VALUE"""),"Active Radio")</f>
        <v>Active Radio</v>
      </c>
      <c r="D58" s="3" t="str">
        <f ca="1">IFERROR(__xludf.DUMMYFUNCTION("""COMPUTED_VALUE"""),"https://evropa2.cz, https://frekvence1.cz")</f>
        <v>https://evropa2.cz, https://frekvence1.cz</v>
      </c>
      <c r="E58" s="3" t="str">
        <f ca="1">IFERROR(__xludf.DUMMYFUNCTION("""COMPUTED_VALUE"""),"celý web")</f>
        <v>celý web</v>
      </c>
      <c r="F58" s="3" t="str">
        <f ca="1">IFERROR(__xludf.DUMMYFUNCTION("""COMPUTED_VALUE"""),"https://evropa2.cz, https://frekvence1.cz")</f>
        <v>https://evropa2.cz, https://frekvence1.cz</v>
      </c>
      <c r="G58" s="3" t="str">
        <f ca="1">IFERROR(__xludf.DUMMYFUNCTION("""COMPUTED_VALUE"""),"audio spot (5-30"") - bez cílení mid season")</f>
        <v>audio spot (5-30") - bez cílení mid season</v>
      </c>
      <c r="H58" s="3">
        <f ca="1">IFERROR(__xludf.DUMMYFUNCTION("""COMPUTED_VALUE"""),7)</f>
        <v>7</v>
      </c>
      <c r="I58" s="5">
        <f ca="1">IFERROR(__xludf.DUMMYFUNCTION("""COMPUTED_VALUE"""),1000)</f>
        <v>1000</v>
      </c>
      <c r="J58" s="5">
        <f ca="1">IFERROR(__xludf.DUMMYFUNCTION("""COMPUTED_VALUE"""),185)</f>
        <v>185</v>
      </c>
      <c r="K58" s="3"/>
      <c r="L58" s="3" t="str">
        <f ca="1">IFERROR(__xludf.DUMMYFUNCTION("""COMPUTED_VALUE"""),"Cost per period")</f>
        <v>Cost per period</v>
      </c>
      <c r="M58" s="3"/>
      <c r="N58" s="3"/>
      <c r="O58" s="3"/>
      <c r="P58" s="3"/>
      <c r="Q58" s="3"/>
      <c r="R58" s="3"/>
      <c r="S58" s="3" t="str">
        <f ca="1">IFERROR(__xludf.DUMMYFUNCTION("""COMPUTED_VALUE"""),"100")</f>
        <v>100</v>
      </c>
      <c r="T58" s="3"/>
      <c r="U58" s="3" t="str">
        <f ca="1">IFERROR(__xludf.DUMMYFUNCTION("""COMPUTED_VALUE"""),"audio")</f>
        <v>audio</v>
      </c>
      <c r="V58" s="3"/>
      <c r="W58" s="4" t="str">
        <f ca="1">IFERROR(__xludf.DUMMYFUNCTION("""COMPUTED_VALUE"""),"https://www.activegroup.cz/reklama")</f>
        <v>https://www.activegroup.cz/reklama</v>
      </c>
      <c r="X58" s="3"/>
      <c r="Y58" s="3"/>
      <c r="Z58" s="3" t="str">
        <f ca="1">IFERROR(__xludf.DUMMYFUNCTION("""COMPUTED_VALUE"""),"monika.cerna@cncenter.cz")</f>
        <v>monika.cerna@cncenter.cz</v>
      </c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 t="str">
        <f ca="1">IFERROR(__xludf.DUMMYFUNCTION("""COMPUTED_VALUE"""),"cross-device")</f>
        <v>cross-device</v>
      </c>
      <c r="AO58" s="3"/>
      <c r="AP58" s="3"/>
      <c r="AQ58" s="3"/>
      <c r="AR58" s="3"/>
      <c r="AS58" s="3"/>
      <c r="AT58" s="3"/>
      <c r="AU58" s="3" t="str">
        <f ca="1">IFERROR(__xludf.DUMMYFUNCTION("""COMPUTED_VALUE"""),"audio spot (5-30"") - bez cílení")</f>
        <v>audio spot (5-30") - bez cílení</v>
      </c>
    </row>
    <row r="59" spans="1:47" x14ac:dyDescent="0.3">
      <c r="A59" s="3">
        <f ca="1"/>
        <v>2346826</v>
      </c>
      <c r="B59" s="3" t="str">
        <f ca="1"/>
        <v>CZECH NEWS CENTER a. s.</v>
      </c>
      <c r="C59" s="3" t="str">
        <f ca="1">IFERROR(__xludf.DUMMYFUNCTION("""COMPUTED_VALUE"""),"Active Radio")</f>
        <v>Active Radio</v>
      </c>
      <c r="D59" s="3" t="str">
        <f ca="1">IFERROR(__xludf.DUMMYFUNCTION("""COMPUTED_VALUE"""),"https://evropa2.cz, https://frekvence1.cz")</f>
        <v>https://evropa2.cz, https://frekvence1.cz</v>
      </c>
      <c r="E59" s="3" t="str">
        <f ca="1">IFERROR(__xludf.DUMMYFUNCTION("""COMPUTED_VALUE"""),"celý web")</f>
        <v>celý web</v>
      </c>
      <c r="F59" s="3" t="str">
        <f ca="1">IFERROR(__xludf.DUMMYFUNCTION("""COMPUTED_VALUE"""),"https://evropa2.cz, https://frekvence1.cz")</f>
        <v>https://evropa2.cz, https://frekvence1.cz</v>
      </c>
      <c r="G59" s="3" t="str">
        <f ca="1">IFERROR(__xludf.DUMMYFUNCTION("""COMPUTED_VALUE"""),"audio spot (5-30"") - pohlaví, lokace mid season")</f>
        <v>audio spot (5-30") - pohlaví, lokace mid season</v>
      </c>
      <c r="H59" s="3">
        <f ca="1">IFERROR(__xludf.DUMMYFUNCTION("""COMPUTED_VALUE"""),7)</f>
        <v>7</v>
      </c>
      <c r="I59" s="5">
        <f ca="1">IFERROR(__xludf.DUMMYFUNCTION("""COMPUTED_VALUE"""),1000)</f>
        <v>1000</v>
      </c>
      <c r="J59" s="5">
        <f ca="1">IFERROR(__xludf.DUMMYFUNCTION("""COMPUTED_VALUE"""),250)</f>
        <v>250</v>
      </c>
      <c r="K59" s="3"/>
      <c r="L59" s="3" t="str">
        <f ca="1">IFERROR(__xludf.DUMMYFUNCTION("""COMPUTED_VALUE"""),"Cost per period")</f>
        <v>Cost per period</v>
      </c>
      <c r="M59" s="3"/>
      <c r="N59" s="3"/>
      <c r="O59" s="3"/>
      <c r="P59" s="3"/>
      <c r="Q59" s="3"/>
      <c r="R59" s="3"/>
      <c r="S59" s="3" t="str">
        <f ca="1">IFERROR(__xludf.DUMMYFUNCTION("""COMPUTED_VALUE"""),"100")</f>
        <v>100</v>
      </c>
      <c r="T59" s="3"/>
      <c r="U59" s="3" t="str">
        <f ca="1">IFERROR(__xludf.DUMMYFUNCTION("""COMPUTED_VALUE"""),"audio")</f>
        <v>audio</v>
      </c>
      <c r="V59" s="3"/>
      <c r="W59" s="4" t="str">
        <f ca="1">IFERROR(__xludf.DUMMYFUNCTION("""COMPUTED_VALUE"""),"https://www.activegroup.cz/reklama")</f>
        <v>https://www.activegroup.cz/reklama</v>
      </c>
      <c r="X59" s="3"/>
      <c r="Y59" s="3"/>
      <c r="Z59" s="3" t="str">
        <f ca="1">IFERROR(__xludf.DUMMYFUNCTION("""COMPUTED_VALUE"""),"monika.cerna@cncenter.cz")</f>
        <v>monika.cerna@cncenter.cz</v>
      </c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 t="str">
        <f ca="1">IFERROR(__xludf.DUMMYFUNCTION("""COMPUTED_VALUE"""),"cross-device")</f>
        <v>cross-device</v>
      </c>
      <c r="AO59" s="3"/>
      <c r="AP59" s="3"/>
      <c r="AQ59" s="3"/>
      <c r="AR59" s="3"/>
      <c r="AS59" s="3"/>
      <c r="AT59" s="3"/>
      <c r="AU59" s="3" t="str">
        <f ca="1">IFERROR(__xludf.DUMMYFUNCTION("""COMPUTED_VALUE"""),"audio spot (5-30"") - pohlaví, lokace")</f>
        <v>audio spot (5-30") - pohlaví, lokace</v>
      </c>
    </row>
    <row r="60" spans="1:47" x14ac:dyDescent="0.3">
      <c r="A60" s="3">
        <f ca="1"/>
        <v>2346826</v>
      </c>
      <c r="B60" s="3" t="str">
        <f ca="1"/>
        <v>CZECH NEWS CENTER a. s.</v>
      </c>
      <c r="C60" s="3" t="str">
        <f ca="1">IFERROR(__xludf.DUMMYFUNCTION("""COMPUTED_VALUE"""),"Active Radio")</f>
        <v>Active Radio</v>
      </c>
      <c r="D60" s="3" t="str">
        <f ca="1">IFERROR(__xludf.DUMMYFUNCTION("""COMPUTED_VALUE"""),"https://evropa2.cz, https://frekvence1.cz")</f>
        <v>https://evropa2.cz, https://frekvence1.cz</v>
      </c>
      <c r="E60" s="3" t="str">
        <f ca="1">IFERROR(__xludf.DUMMYFUNCTION("""COMPUTED_VALUE"""),"celý web")</f>
        <v>celý web</v>
      </c>
      <c r="F60" s="3" t="str">
        <f ca="1">IFERROR(__xludf.DUMMYFUNCTION("""COMPUTED_VALUE"""),"https://evropa2.cz, https://frekvence1.cz")</f>
        <v>https://evropa2.cz, https://frekvence1.cz</v>
      </c>
      <c r="G60" s="3" t="str">
        <f ca="1">IFERROR(__xludf.DUMMYFUNCTION("""COMPUTED_VALUE"""),"premium audio Pack (5-30"") mid season")</f>
        <v>premium audio Pack (5-30") mid season</v>
      </c>
      <c r="H60" s="3">
        <f ca="1">IFERROR(__xludf.DUMMYFUNCTION("""COMPUTED_VALUE"""),7)</f>
        <v>7</v>
      </c>
      <c r="I60" s="5">
        <f ca="1">IFERROR(__xludf.DUMMYFUNCTION("""COMPUTED_VALUE"""),1000)</f>
        <v>1000</v>
      </c>
      <c r="J60" s="5">
        <f ca="1">IFERROR(__xludf.DUMMYFUNCTION("""COMPUTED_VALUE"""),300)</f>
        <v>300</v>
      </c>
      <c r="K60" s="3"/>
      <c r="L60" s="3" t="str">
        <f ca="1">IFERROR(__xludf.DUMMYFUNCTION("""COMPUTED_VALUE"""),"Cost per period")</f>
        <v>Cost per period</v>
      </c>
      <c r="M60" s="3"/>
      <c r="N60" s="3"/>
      <c r="O60" s="3"/>
      <c r="P60" s="3"/>
      <c r="Q60" s="3"/>
      <c r="R60" s="3"/>
      <c r="S60" s="3" t="str">
        <f ca="1">IFERROR(__xludf.DUMMYFUNCTION("""COMPUTED_VALUE"""),"100")</f>
        <v>100</v>
      </c>
      <c r="T60" s="3"/>
      <c r="U60" s="3" t="str">
        <f ca="1">IFERROR(__xludf.DUMMYFUNCTION("""COMPUTED_VALUE"""),"audio")</f>
        <v>audio</v>
      </c>
      <c r="V60" s="3"/>
      <c r="W60" s="4" t="str">
        <f ca="1">IFERROR(__xludf.DUMMYFUNCTION("""COMPUTED_VALUE"""),"https://www.activegroup.cz/reklama")</f>
        <v>https://www.activegroup.cz/reklama</v>
      </c>
      <c r="X60" s="3"/>
      <c r="Y60" s="3"/>
      <c r="Z60" s="3" t="str">
        <f ca="1">IFERROR(__xludf.DUMMYFUNCTION("""COMPUTED_VALUE"""),"monika.cerna@cncenter.cz")</f>
        <v>monika.cerna@cncenter.cz</v>
      </c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 t="str">
        <f ca="1">IFERROR(__xludf.DUMMYFUNCTION("""COMPUTED_VALUE"""),"cross-device")</f>
        <v>cross-device</v>
      </c>
      <c r="AO60" s="3"/>
      <c r="AP60" s="3"/>
      <c r="AQ60" s="3"/>
      <c r="AR60" s="3"/>
      <c r="AS60" s="3"/>
      <c r="AT60" s="3"/>
      <c r="AU60" s="3" t="str">
        <f ca="1">IFERROR(__xludf.DUMMYFUNCTION("""COMPUTED_VALUE"""),"premium audio Pack (5-30"")")</f>
        <v>premium audio Pack (5-30")</v>
      </c>
    </row>
    <row r="61" spans="1:47" x14ac:dyDescent="0.3">
      <c r="A61" s="3">
        <f ca="1"/>
        <v>2346826</v>
      </c>
      <c r="B61" s="3" t="str">
        <f ca="1"/>
        <v>CZECH NEWS CENTER a. s.</v>
      </c>
      <c r="C61" s="3" t="str">
        <f ca="1">IFERROR(__xludf.DUMMYFUNCTION("""COMPUTED_VALUE"""),"Active Radio")</f>
        <v>Active Radio</v>
      </c>
      <c r="D61" s="3" t="str">
        <f ca="1">IFERROR(__xludf.DUMMYFUNCTION("""COMPUTED_VALUE"""),"https://evropa2.cz, https://frekvence1.cz")</f>
        <v>https://evropa2.cz, https://frekvence1.cz</v>
      </c>
      <c r="E61" s="3" t="str">
        <f ca="1">IFERROR(__xludf.DUMMYFUNCTION("""COMPUTED_VALUE"""),"celý web")</f>
        <v>celý web</v>
      </c>
      <c r="F61" s="3" t="str">
        <f ca="1">IFERROR(__xludf.DUMMYFUNCTION("""COMPUTED_VALUE"""),"https://evropa2.cz, https://frekvence1.cz")</f>
        <v>https://evropa2.cz, https://frekvence1.cz</v>
      </c>
      <c r="G61" s="3" t="str">
        <f ca="1">IFERROR(__xludf.DUMMYFUNCTION("""COMPUTED_VALUE"""),"SoMe Soutěž Social network Evropa 2 mid season")</f>
        <v>SoMe Soutěž Social network Evropa 2 mid season</v>
      </c>
      <c r="H61" s="3">
        <f ca="1">IFERROR(__xludf.DUMMYFUNCTION("""COMPUTED_VALUE"""),1)</f>
        <v>1</v>
      </c>
      <c r="I61" s="5">
        <f ca="1">IFERROR(__xludf.DUMMYFUNCTION("""COMPUTED_VALUE"""),1)</f>
        <v>1</v>
      </c>
      <c r="J61" s="5">
        <f ca="1">IFERROR(__xludf.DUMMYFUNCTION("""COMPUTED_VALUE"""),225000)</f>
        <v>225000</v>
      </c>
      <c r="K61" s="3"/>
      <c r="L61" s="3" t="str">
        <f ca="1">IFERROR(__xludf.DUMMYFUNCTION("""COMPUTED_VALUE"""),"Cost per instance")</f>
        <v>Cost per instance</v>
      </c>
      <c r="M61" s="3"/>
      <c r="N61" s="3"/>
      <c r="O61" s="3"/>
      <c r="P61" s="3"/>
      <c r="Q61" s="3"/>
      <c r="R61" s="3"/>
      <c r="S61" s="3" t="str">
        <f ca="1">IFERROR(__xludf.DUMMYFUNCTION("""COMPUTED_VALUE"""),"100")</f>
        <v>100</v>
      </c>
      <c r="T61" s="3"/>
      <c r="U61" s="3" t="str">
        <f ca="1">IFERROR(__xludf.DUMMYFUNCTION("""COMPUTED_VALUE"""),"audio")</f>
        <v>audio</v>
      </c>
      <c r="V61" s="3"/>
      <c r="W61" s="4" t="str">
        <f ca="1">IFERROR(__xludf.DUMMYFUNCTION("""COMPUTED_VALUE"""),"https://www.activegroup.cz/reklama")</f>
        <v>https://www.activegroup.cz/reklama</v>
      </c>
      <c r="X61" s="3"/>
      <c r="Y61" s="3"/>
      <c r="Z61" s="3" t="str">
        <f ca="1">IFERROR(__xludf.DUMMYFUNCTION("""COMPUTED_VALUE"""),"monika.cerna@cncenter.cz")</f>
        <v>monika.cerna@cncenter.cz</v>
      </c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 t="str">
        <f ca="1">IFERROR(__xludf.DUMMYFUNCTION("""COMPUTED_VALUE"""),"cross-device")</f>
        <v>cross-device</v>
      </c>
      <c r="AO61" s="3"/>
      <c r="AP61" s="3"/>
      <c r="AQ61" s="3"/>
      <c r="AR61" s="3"/>
      <c r="AS61" s="3"/>
      <c r="AT61" s="3"/>
      <c r="AU61" s="3" t="str">
        <f ca="1">IFERROR(__xludf.DUMMYFUNCTION("""COMPUTED_VALUE"""),"SoMe Soutěž Social network Evropa 2")</f>
        <v>SoMe Soutěž Social network Evropa 2</v>
      </c>
    </row>
    <row r="62" spans="1:47" x14ac:dyDescent="0.3">
      <c r="A62" s="3">
        <f ca="1"/>
        <v>2346826</v>
      </c>
      <c r="B62" s="3" t="str">
        <f ca="1"/>
        <v>CZECH NEWS CENTER a. s.</v>
      </c>
      <c r="C62" s="3" t="str">
        <f ca="1">IFERROR(__xludf.DUMMYFUNCTION("""COMPUTED_VALUE"""),"Active Radio")</f>
        <v>Active Radio</v>
      </c>
      <c r="D62" s="3" t="str">
        <f ca="1">IFERROR(__xludf.DUMMYFUNCTION("""COMPUTED_VALUE"""),"https://evropa2.cz, https://frekvence1.cz")</f>
        <v>https://evropa2.cz, https://frekvence1.cz</v>
      </c>
      <c r="E62" s="3" t="str">
        <f ca="1">IFERROR(__xludf.DUMMYFUNCTION("""COMPUTED_VALUE"""),"celý web")</f>
        <v>celý web</v>
      </c>
      <c r="F62" s="3" t="str">
        <f ca="1">IFERROR(__xludf.DUMMYFUNCTION("""COMPUTED_VALUE"""),"https://evropa2.cz, https://frekvence1.cz")</f>
        <v>https://evropa2.cz, https://frekvence1.cz</v>
      </c>
      <c r="G62" s="3" t="str">
        <f ca="1">IFERROR(__xludf.DUMMYFUNCTION("""COMPUTED_VALUE"""),"SoMe Soutěž Social network Frekvence 1 mid season")</f>
        <v>SoMe Soutěž Social network Frekvence 1 mid season</v>
      </c>
      <c r="H62" s="3">
        <f ca="1">IFERROR(__xludf.DUMMYFUNCTION("""COMPUTED_VALUE"""),1)</f>
        <v>1</v>
      </c>
      <c r="I62" s="5">
        <f ca="1">IFERROR(__xludf.DUMMYFUNCTION("""COMPUTED_VALUE"""),1)</f>
        <v>1</v>
      </c>
      <c r="J62" s="5">
        <f ca="1">IFERROR(__xludf.DUMMYFUNCTION("""COMPUTED_VALUE"""),225000)</f>
        <v>225000</v>
      </c>
      <c r="K62" s="3"/>
      <c r="L62" s="3" t="str">
        <f ca="1">IFERROR(__xludf.DUMMYFUNCTION("""COMPUTED_VALUE"""),"Cost per instance")</f>
        <v>Cost per instance</v>
      </c>
      <c r="M62" s="3"/>
      <c r="N62" s="3"/>
      <c r="O62" s="3"/>
      <c r="P62" s="3"/>
      <c r="Q62" s="3"/>
      <c r="R62" s="3"/>
      <c r="S62" s="3" t="str">
        <f ca="1">IFERROR(__xludf.DUMMYFUNCTION("""COMPUTED_VALUE"""),"100")</f>
        <v>100</v>
      </c>
      <c r="T62" s="3"/>
      <c r="U62" s="3" t="str">
        <f ca="1">IFERROR(__xludf.DUMMYFUNCTION("""COMPUTED_VALUE"""),"audio")</f>
        <v>audio</v>
      </c>
      <c r="V62" s="3"/>
      <c r="W62" s="4" t="str">
        <f ca="1">IFERROR(__xludf.DUMMYFUNCTION("""COMPUTED_VALUE"""),"https://www.activegroup.cz/reklama")</f>
        <v>https://www.activegroup.cz/reklama</v>
      </c>
      <c r="X62" s="3"/>
      <c r="Y62" s="3"/>
      <c r="Z62" s="3" t="str">
        <f ca="1">IFERROR(__xludf.DUMMYFUNCTION("""COMPUTED_VALUE"""),"monika.cerna@cncenter.cz")</f>
        <v>monika.cerna@cncenter.cz</v>
      </c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 t="str">
        <f ca="1">IFERROR(__xludf.DUMMYFUNCTION("""COMPUTED_VALUE"""),"cross-device")</f>
        <v>cross-device</v>
      </c>
      <c r="AO62" s="3"/>
      <c r="AP62" s="3"/>
      <c r="AQ62" s="3"/>
      <c r="AR62" s="3"/>
      <c r="AS62" s="3"/>
      <c r="AT62" s="3"/>
      <c r="AU62" s="3" t="str">
        <f ca="1">IFERROR(__xludf.DUMMYFUNCTION("""COMPUTED_VALUE"""),"SoMe Soutěž Social network Frekvence 1")</f>
        <v>SoMe Soutěž Social network Frekvence 1</v>
      </c>
    </row>
    <row r="63" spans="1:47" x14ac:dyDescent="0.3">
      <c r="A63" s="3">
        <f ca="1"/>
        <v>2346826</v>
      </c>
      <c r="B63" s="3" t="str">
        <f ca="1"/>
        <v>CZECH NEWS CENTER a. s.</v>
      </c>
      <c r="C63" s="3" t="str">
        <f ca="1">IFERROR(__xludf.DUMMYFUNCTION("""COMPUTED_VALUE"""),"Ahaonline")</f>
        <v>Ahaonline</v>
      </c>
      <c r="D63" s="4" t="str">
        <f ca="1">IFERROR(__xludf.DUMMYFUNCTION("""COMPUTED_VALUE"""),"https://ahaonline.cz")</f>
        <v>https://ahaonline.cz</v>
      </c>
      <c r="E63" s="3" t="str">
        <f ca="1">IFERROR(__xludf.DUMMYFUNCTION("""COMPUTED_VALUE"""),"celý web")</f>
        <v>celý web</v>
      </c>
      <c r="F63" s="4" t="str">
        <f ca="1">IFERROR(__xludf.DUMMYFUNCTION("""COMPUTED_VALUE"""),"https://ahaonline.cz")</f>
        <v>https://ahaonline.cz</v>
      </c>
      <c r="G63" s="3" t="str">
        <f ca="1">IFERROR(__xludf.DUMMYFUNCTION("""COMPUTED_VALUE"""),"Advertorial mid season")</f>
        <v>Advertorial mid season</v>
      </c>
      <c r="H63" s="3">
        <f ca="1">IFERROR(__xludf.DUMMYFUNCTION("""COMPUTED_VALUE"""),1)</f>
        <v>1</v>
      </c>
      <c r="I63" s="5">
        <f ca="1">IFERROR(__xludf.DUMMYFUNCTION("""COMPUTED_VALUE"""),1)</f>
        <v>1</v>
      </c>
      <c r="J63" s="5">
        <f ca="1">IFERROR(__xludf.DUMMYFUNCTION("""COMPUTED_VALUE"""),90000)</f>
        <v>90000</v>
      </c>
      <c r="K63" s="3"/>
      <c r="L63" s="3" t="str">
        <f ca="1">IFERROR(__xludf.DUMMYFUNCTION("""COMPUTED_VALUE"""),"Cost per instance")</f>
        <v>Cost per instance</v>
      </c>
      <c r="M63" s="3"/>
      <c r="N63" s="3"/>
      <c r="O63" s="3"/>
      <c r="P63" s="3"/>
      <c r="Q63" s="3"/>
      <c r="R63" s="3"/>
      <c r="S63" s="3" t="str">
        <f ca="1">IFERROR(__xludf.DUMMYFUNCTION("""COMPUTED_VALUE"""),"100")</f>
        <v>100</v>
      </c>
      <c r="T63" s="3"/>
      <c r="U63" s="3" t="str">
        <f ca="1">IFERROR(__xludf.DUMMYFUNCTION("""COMPUTED_VALUE"""),"pr článek")</f>
        <v>pr článek</v>
      </c>
      <c r="V63" s="3"/>
      <c r="W63" s="3"/>
      <c r="X63" s="3"/>
      <c r="Y63" s="3"/>
      <c r="Z63" s="3" t="str">
        <f ca="1">IFERROR(__xludf.DUMMYFUNCTION("""COMPUTED_VALUE"""),"podklady@cncenter.cz")</f>
        <v>podklady@cncenter.cz</v>
      </c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 t="str">
        <f ca="1">IFERROR(__xludf.DUMMYFUNCTION("""COMPUTED_VALUE"""),"cross-device")</f>
        <v>cross-device</v>
      </c>
      <c r="AO63" s="3"/>
      <c r="AP63" s="3"/>
      <c r="AQ63" s="3"/>
      <c r="AR63" s="3"/>
      <c r="AS63" s="3"/>
      <c r="AT63" s="3"/>
      <c r="AU63" s="3" t="str">
        <f ca="1">IFERROR(__xludf.DUMMYFUNCTION("""COMPUTED_VALUE"""),"Advertorial")</f>
        <v>Advertorial</v>
      </c>
    </row>
    <row r="64" spans="1:47" x14ac:dyDescent="0.3">
      <c r="A64" s="3">
        <f ca="1"/>
        <v>2346826</v>
      </c>
      <c r="B64" s="3" t="str">
        <f ca="1"/>
        <v>CZECH NEWS CENTER a. s.</v>
      </c>
      <c r="C64" s="3" t="str">
        <f ca="1">IFERROR(__xludf.DUMMYFUNCTION("""COMPUTED_VALUE"""),"Ahaonline")</f>
        <v>Ahaonline</v>
      </c>
      <c r="D64" s="4" t="str">
        <f ca="1">IFERROR(__xludf.DUMMYFUNCTION("""COMPUTED_VALUE"""),"https://ahaonline.cz")</f>
        <v>https://ahaonline.cz</v>
      </c>
      <c r="E64" s="3" t="str">
        <f ca="1">IFERROR(__xludf.DUMMYFUNCTION("""COMPUTED_VALUE"""),"celý web")</f>
        <v>celý web</v>
      </c>
      <c r="F64" s="4" t="str">
        <f ca="1">IFERROR(__xludf.DUMMYFUNCTION("""COMPUTED_VALUE"""),"https://ahaonline.cz")</f>
        <v>https://ahaonline.cz</v>
      </c>
      <c r="G64" s="3" t="str">
        <f ca="1">IFERROR(__xludf.DUMMYFUNCTION("""COMPUTED_VALUE"""),"billboard bottom mid season")</f>
        <v>billboard bottom mid season</v>
      </c>
      <c r="H64" s="3">
        <f ca="1">IFERROR(__xludf.DUMMYFUNCTION("""COMPUTED_VALUE"""),7)</f>
        <v>7</v>
      </c>
      <c r="I64" s="5">
        <f ca="1">IFERROR(__xludf.DUMMYFUNCTION("""COMPUTED_VALUE"""),1000)</f>
        <v>1000</v>
      </c>
      <c r="J64" s="5">
        <f ca="1">IFERROR(__xludf.DUMMYFUNCTION("""COMPUTED_VALUE"""),340)</f>
        <v>340</v>
      </c>
      <c r="K64" s="3"/>
      <c r="L64" s="3" t="str">
        <f ca="1">IFERROR(__xludf.DUMMYFUNCTION("""COMPUTED_VALUE"""),"Cost per period")</f>
        <v>Cost per period</v>
      </c>
      <c r="M64" s="3"/>
      <c r="N64" s="3"/>
      <c r="O64" s="3" t="str">
        <f ca="1">IFERROR(__xludf.DUMMYFUNCTION("""COMPUTED_VALUE"""),"970")</f>
        <v>970</v>
      </c>
      <c r="P64" s="3" t="str">
        <f ca="1">IFERROR(__xludf.DUMMYFUNCTION("""COMPUTED_VALUE"""),"250")</f>
        <v>250</v>
      </c>
      <c r="Q64" s="3" t="str">
        <f ca="1">IFERROR(__xludf.DUMMYFUNCTION("""COMPUTED_VALUE"""),"970x250")</f>
        <v>970x250</v>
      </c>
      <c r="R64" s="3"/>
      <c r="S64" s="3" t="str">
        <f ca="1">IFERROR(__xludf.DUMMYFUNCTION("""COMPUTED_VALUE"""),"100 (200 - HTML5)")</f>
        <v>100 (200 - HTML5)</v>
      </c>
      <c r="T64" s="3"/>
      <c r="U64" s="3" t="str">
        <f ca="1">IFERROR(__xludf.DUMMYFUNCTION("""COMPUTED_VALUE"""),"banner standard")</f>
        <v>banner standard</v>
      </c>
      <c r="V64" s="3"/>
      <c r="W64" s="4" t="str">
        <f ca="1">IFERROR(__xludf.DUMMYFUNCTION("""COMPUTED_VALUE"""),"https://reklama.cncenter.cz/Online/billboard-bottom")</f>
        <v>https://reklama.cncenter.cz/Online/billboard-bottom</v>
      </c>
      <c r="X64" s="3"/>
      <c r="Y64" s="3"/>
      <c r="Z64" s="3" t="str">
        <f ca="1">IFERROR(__xludf.DUMMYFUNCTION("""COMPUTED_VALUE"""),"podklady@cncenter.cz")</f>
        <v>podklady@cncenter.cz</v>
      </c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 t="str">
        <f ca="1">IFERROR(__xludf.DUMMYFUNCTION("""COMPUTED_VALUE"""),"desktop")</f>
        <v>desktop</v>
      </c>
      <c r="AO64" s="3"/>
      <c r="AP64" s="3"/>
      <c r="AQ64" s="3"/>
      <c r="AR64" s="3"/>
      <c r="AS64" s="3"/>
      <c r="AT64" s="3"/>
      <c r="AU64" s="3" t="str">
        <f ca="1">IFERROR(__xludf.DUMMYFUNCTION("""COMPUTED_VALUE"""),"billboard bottom")</f>
        <v>billboard bottom</v>
      </c>
    </row>
    <row r="65" spans="1:47" x14ac:dyDescent="0.3">
      <c r="A65" s="3">
        <f ca="1"/>
        <v>2346826</v>
      </c>
      <c r="B65" s="3" t="str">
        <f ca="1"/>
        <v>CZECH NEWS CENTER a. s.</v>
      </c>
      <c r="C65" s="3" t="str">
        <f ca="1">IFERROR(__xludf.DUMMYFUNCTION("""COMPUTED_VALUE"""),"Ahaonline")</f>
        <v>Ahaonline</v>
      </c>
      <c r="D65" s="4" t="str">
        <f ca="1">IFERROR(__xludf.DUMMYFUNCTION("""COMPUTED_VALUE"""),"https://ahaonline.cz")</f>
        <v>https://ahaonline.cz</v>
      </c>
      <c r="E65" s="3" t="str">
        <f ca="1">IFERROR(__xludf.DUMMYFUNCTION("""COMPUTED_VALUE"""),"celý web")</f>
        <v>celý web</v>
      </c>
      <c r="F65" s="4" t="str">
        <f ca="1">IFERROR(__xludf.DUMMYFUNCTION("""COMPUTED_VALUE"""),"https://ahaonline.cz")</f>
        <v>https://ahaonline.cz</v>
      </c>
      <c r="G65" s="3" t="str">
        <f ca="1">IFERROR(__xludf.DUMMYFUNCTION("""COMPUTED_VALUE"""),"branding cross-device mid season")</f>
        <v>branding cross-device mid season</v>
      </c>
      <c r="H65" s="3">
        <f ca="1">IFERROR(__xludf.DUMMYFUNCTION("""COMPUTED_VALUE"""),7)</f>
        <v>7</v>
      </c>
      <c r="I65" s="5">
        <f ca="1">IFERROR(__xludf.DUMMYFUNCTION("""COMPUTED_VALUE"""),1000)</f>
        <v>1000</v>
      </c>
      <c r="J65" s="5">
        <f ca="1">IFERROR(__xludf.DUMMYFUNCTION("""COMPUTED_VALUE"""),420)</f>
        <v>420</v>
      </c>
      <c r="K65" s="3"/>
      <c r="L65" s="3" t="str">
        <f ca="1">IFERROR(__xludf.DUMMYFUNCTION("""COMPUTED_VALUE"""),"Cost per period")</f>
        <v>Cost per period</v>
      </c>
      <c r="M65" s="3"/>
      <c r="N65" s="3"/>
      <c r="O65" s="3" t="str">
        <f ca="1">IFERROR(__xludf.DUMMYFUNCTION("""COMPUTED_VALUE"""),"2000")</f>
        <v>2000</v>
      </c>
      <c r="P65" s="3" t="str">
        <f ca="1">IFERROR(__xludf.DUMMYFUNCTION("""COMPUTED_VALUE"""),"1400")</f>
        <v>1400</v>
      </c>
      <c r="Q65" s="3" t="str">
        <f ca="1">IFERROR(__xludf.DUMMYFUNCTION("""COMPUTED_VALUE"""),"2000x1400 + 600x1080")</f>
        <v>2000x1400 + 600x1080</v>
      </c>
      <c r="R65" s="3"/>
      <c r="S65" s="3" t="str">
        <f ca="1">IFERROR(__xludf.DUMMYFUNCTION("""COMPUTED_VALUE"""),"500 (600 - HTLM5)")</f>
        <v>500 (600 - HTLM5)</v>
      </c>
      <c r="T65" s="3"/>
      <c r="U65" s="3" t="str">
        <f ca="1">IFERROR(__xludf.DUMMYFUNCTION("""COMPUTED_VALUE"""),"banner standard")</f>
        <v>banner standard</v>
      </c>
      <c r="V65" s="3"/>
      <c r="W65" s="4" t="str">
        <f ca="1">IFERROR(__xludf.DUMMYFUNCTION("""COMPUTED_VALUE"""),"https://reklama.cncenter.cz/Online/branding-cross-device")</f>
        <v>https://reklama.cncenter.cz/Online/branding-cross-device</v>
      </c>
      <c r="X65" s="3"/>
      <c r="Y65" s="3"/>
      <c r="Z65" s="3" t="str">
        <f ca="1">IFERROR(__xludf.DUMMYFUNCTION("""COMPUTED_VALUE"""),"podklady@cncenter.cz")</f>
        <v>podklady@cncenter.cz</v>
      </c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 t="str">
        <f ca="1">IFERROR(__xludf.DUMMYFUNCTION("""COMPUTED_VALUE"""),"cross-device")</f>
        <v>cross-device</v>
      </c>
      <c r="AO65" s="3"/>
      <c r="AP65" s="3"/>
      <c r="AQ65" s="3"/>
      <c r="AR65" s="3"/>
      <c r="AS65" s="3"/>
      <c r="AT65" s="3"/>
      <c r="AU65" s="3" t="str">
        <f ca="1">IFERROR(__xludf.DUMMYFUNCTION("""COMPUTED_VALUE"""),"branding cross-device")</f>
        <v>branding cross-device</v>
      </c>
    </row>
    <row r="66" spans="1:47" x14ac:dyDescent="0.3">
      <c r="A66" s="3">
        <f ca="1"/>
        <v>2346826</v>
      </c>
      <c r="B66" s="3" t="str">
        <f ca="1"/>
        <v>CZECH NEWS CENTER a. s.</v>
      </c>
      <c r="C66" s="3" t="str">
        <f ca="1">IFERROR(__xludf.DUMMYFUNCTION("""COMPUTED_VALUE"""),"Ahaonline")</f>
        <v>Ahaonline</v>
      </c>
      <c r="D66" s="4" t="str">
        <f ca="1">IFERROR(__xludf.DUMMYFUNCTION("""COMPUTED_VALUE"""),"https://ahaonline.cz")</f>
        <v>https://ahaonline.cz</v>
      </c>
      <c r="E66" s="3" t="str">
        <f ca="1">IFERROR(__xludf.DUMMYFUNCTION("""COMPUTED_VALUE"""),"celý web")</f>
        <v>celý web</v>
      </c>
      <c r="F66" s="4" t="str">
        <f ca="1">IFERROR(__xludf.DUMMYFUNCTION("""COMPUTED_VALUE"""),"https://ahaonline.cz")</f>
        <v>https://ahaonline.cz</v>
      </c>
      <c r="G66" s="3" t="str">
        <f ca="1">IFERROR(__xludf.DUMMYFUNCTION("""COMPUTED_VALUE"""),"branding mid season")</f>
        <v>branding mid season</v>
      </c>
      <c r="H66" s="3">
        <f ca="1">IFERROR(__xludf.DUMMYFUNCTION("""COMPUTED_VALUE"""),7)</f>
        <v>7</v>
      </c>
      <c r="I66" s="5">
        <f ca="1">IFERROR(__xludf.DUMMYFUNCTION("""COMPUTED_VALUE"""),1000)</f>
        <v>1000</v>
      </c>
      <c r="J66" s="5">
        <f ca="1">IFERROR(__xludf.DUMMYFUNCTION("""COMPUTED_VALUE"""),690)</f>
        <v>690</v>
      </c>
      <c r="K66" s="3"/>
      <c r="L66" s="3" t="str">
        <f ca="1">IFERROR(__xludf.DUMMYFUNCTION("""COMPUTED_VALUE"""),"Cost per period")</f>
        <v>Cost per period</v>
      </c>
      <c r="M66" s="3"/>
      <c r="N66" s="3"/>
      <c r="O66" s="3" t="str">
        <f ca="1">IFERROR(__xludf.DUMMYFUNCTION("""COMPUTED_VALUE"""),"2000")</f>
        <v>2000</v>
      </c>
      <c r="P66" s="3" t="str">
        <f ca="1">IFERROR(__xludf.DUMMYFUNCTION("""COMPUTED_VALUE"""),"1400")</f>
        <v>1400</v>
      </c>
      <c r="Q66" s="3" t="str">
        <f ca="1">IFERROR(__xludf.DUMMYFUNCTION("""COMPUTED_VALUE"""),"2000x1400")</f>
        <v>2000x1400</v>
      </c>
      <c r="R66" s="3"/>
      <c r="S66" s="3" t="str">
        <f ca="1">IFERROR(__xludf.DUMMYFUNCTION("""COMPUTED_VALUE"""),"500 + 200 (600+200 HTML5)")</f>
        <v>500 + 200 (600+200 HTML5)</v>
      </c>
      <c r="T66" s="3"/>
      <c r="U66" s="3" t="str">
        <f ca="1">IFERROR(__xludf.DUMMYFUNCTION("""COMPUTED_VALUE"""),"banner standard")</f>
        <v>banner standard</v>
      </c>
      <c r="V66" s="3"/>
      <c r="W66" s="4" t="str">
        <f ca="1">IFERROR(__xludf.DUMMYFUNCTION("""COMPUTED_VALUE"""),"https://reklama.cncenter.cz/Online/branding")</f>
        <v>https://reklama.cncenter.cz/Online/branding</v>
      </c>
      <c r="X66" s="3"/>
      <c r="Y66" s="3"/>
      <c r="Z66" s="3" t="str">
        <f ca="1">IFERROR(__xludf.DUMMYFUNCTION("""COMPUTED_VALUE"""),"podklady@cncenter.cz")</f>
        <v>podklady@cncenter.cz</v>
      </c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 t="str">
        <f ca="1">IFERROR(__xludf.DUMMYFUNCTION("""COMPUTED_VALUE"""),"desktop")</f>
        <v>desktop</v>
      </c>
      <c r="AO66" s="3"/>
      <c r="AP66" s="3"/>
      <c r="AQ66" s="3"/>
      <c r="AR66" s="3"/>
      <c r="AS66" s="3"/>
      <c r="AT66" s="3"/>
      <c r="AU66" s="3" t="str">
        <f ca="1">IFERROR(__xludf.DUMMYFUNCTION("""COMPUTED_VALUE"""),"branding")</f>
        <v>branding</v>
      </c>
    </row>
    <row r="67" spans="1:47" x14ac:dyDescent="0.3">
      <c r="A67" s="3">
        <f ca="1"/>
        <v>2346826</v>
      </c>
      <c r="B67" s="3" t="str">
        <f ca="1"/>
        <v>CZECH NEWS CENTER a. s.</v>
      </c>
      <c r="C67" s="3" t="str">
        <f ca="1">IFERROR(__xludf.DUMMYFUNCTION("""COMPUTED_VALUE"""),"Ahaonline")</f>
        <v>Ahaonline</v>
      </c>
      <c r="D67" s="4" t="str">
        <f ca="1">IFERROR(__xludf.DUMMYFUNCTION("""COMPUTED_VALUE"""),"https://ahaonline.cz")</f>
        <v>https://ahaonline.cz</v>
      </c>
      <c r="E67" s="3" t="str">
        <f ca="1">IFERROR(__xludf.DUMMYFUNCTION("""COMPUTED_VALUE"""),"celý web")</f>
        <v>celý web</v>
      </c>
      <c r="F67" s="4" t="str">
        <f ca="1">IFERROR(__xludf.DUMMYFUNCTION("""COMPUTED_VALUE"""),"https://ahaonline.cz")</f>
        <v>https://ahaonline.cz</v>
      </c>
      <c r="G67" s="3" t="str">
        <f ca="1">IFERROR(__xludf.DUMMYFUNCTION("""COMPUTED_VALUE"""),"cílený billboard bottom mid season")</f>
        <v>cílený billboard bottom mid season</v>
      </c>
      <c r="H67" s="3">
        <f ca="1">IFERROR(__xludf.DUMMYFUNCTION("""COMPUTED_VALUE"""),7)</f>
        <v>7</v>
      </c>
      <c r="I67" s="5">
        <f ca="1">IFERROR(__xludf.DUMMYFUNCTION("""COMPUTED_VALUE"""),1000)</f>
        <v>1000</v>
      </c>
      <c r="J67" s="5">
        <f ca="1">IFERROR(__xludf.DUMMYFUNCTION("""COMPUTED_VALUE"""),408)</f>
        <v>408</v>
      </c>
      <c r="K67" s="3"/>
      <c r="L67" s="3" t="str">
        <f ca="1">IFERROR(__xludf.DUMMYFUNCTION("""COMPUTED_VALUE"""),"Cost per period")</f>
        <v>Cost per period</v>
      </c>
      <c r="M67" s="3"/>
      <c r="N67" s="3"/>
      <c r="O67" s="3" t="str">
        <f ca="1">IFERROR(__xludf.DUMMYFUNCTION("""COMPUTED_VALUE"""),"970")</f>
        <v>970</v>
      </c>
      <c r="P67" s="3" t="str">
        <f ca="1">IFERROR(__xludf.DUMMYFUNCTION("""COMPUTED_VALUE"""),"250")</f>
        <v>250</v>
      </c>
      <c r="Q67" s="3" t="str">
        <f ca="1">IFERROR(__xludf.DUMMYFUNCTION("""COMPUTED_VALUE"""),"970x250")</f>
        <v>970x250</v>
      </c>
      <c r="R67" s="3"/>
      <c r="S67" s="3" t="str">
        <f ca="1">IFERROR(__xludf.DUMMYFUNCTION("""COMPUTED_VALUE"""),"100 (200 - HTML5)")</f>
        <v>100 (200 - HTML5)</v>
      </c>
      <c r="T67" s="3"/>
      <c r="U67" s="3" t="str">
        <f ca="1">IFERROR(__xludf.DUMMYFUNCTION("""COMPUTED_VALUE"""),"banner standard")</f>
        <v>banner standard</v>
      </c>
      <c r="V67" s="3"/>
      <c r="W67" s="4" t="str">
        <f ca="1">IFERROR(__xludf.DUMMYFUNCTION("""COMPUTED_VALUE"""),"https://reklama.cncenter.cz/Online/billboard-bottom")</f>
        <v>https://reklama.cncenter.cz/Online/billboard-bottom</v>
      </c>
      <c r="X67" s="3"/>
      <c r="Y67" s="3"/>
      <c r="Z67" s="3" t="str">
        <f ca="1">IFERROR(__xludf.DUMMYFUNCTION("""COMPUTED_VALUE"""),"podklady@cncenter.cz")</f>
        <v>podklady@cncenter.cz</v>
      </c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 t="str">
        <f ca="1">IFERROR(__xludf.DUMMYFUNCTION("""COMPUTED_VALUE"""),"desktop")</f>
        <v>desktop</v>
      </c>
      <c r="AO67" s="3"/>
      <c r="AP67" s="3"/>
      <c r="AQ67" s="3"/>
      <c r="AR67" s="3"/>
      <c r="AS67" s="3"/>
      <c r="AT67" s="3"/>
      <c r="AU67" s="3" t="str">
        <f ca="1">IFERROR(__xludf.DUMMYFUNCTION("""COMPUTED_VALUE"""),"cílený billboard bottom")</f>
        <v>cílený billboard bottom</v>
      </c>
    </row>
    <row r="68" spans="1:47" x14ac:dyDescent="0.3">
      <c r="A68" s="3">
        <f ca="1"/>
        <v>2346826</v>
      </c>
      <c r="B68" s="3" t="str">
        <f ca="1"/>
        <v>CZECH NEWS CENTER a. s.</v>
      </c>
      <c r="C68" s="3" t="str">
        <f ca="1">IFERROR(__xludf.DUMMYFUNCTION("""COMPUTED_VALUE"""),"Ahaonline")</f>
        <v>Ahaonline</v>
      </c>
      <c r="D68" s="4" t="str">
        <f ca="1">IFERROR(__xludf.DUMMYFUNCTION("""COMPUTED_VALUE"""),"https://ahaonline.cz")</f>
        <v>https://ahaonline.cz</v>
      </c>
      <c r="E68" s="3" t="str">
        <f ca="1">IFERROR(__xludf.DUMMYFUNCTION("""COMPUTED_VALUE"""),"celý web")</f>
        <v>celý web</v>
      </c>
      <c r="F68" s="4" t="str">
        <f ca="1">IFERROR(__xludf.DUMMYFUNCTION("""COMPUTED_VALUE"""),"https://ahaonline.cz")</f>
        <v>https://ahaonline.cz</v>
      </c>
      <c r="G68" s="3" t="str">
        <f ca="1">IFERROR(__xludf.DUMMYFUNCTION("""COMPUTED_VALUE"""),"cílený branding cross-device mid season")</f>
        <v>cílený branding cross-device mid season</v>
      </c>
      <c r="H68" s="3">
        <f ca="1">IFERROR(__xludf.DUMMYFUNCTION("""COMPUTED_VALUE"""),7)</f>
        <v>7</v>
      </c>
      <c r="I68" s="5">
        <f ca="1">IFERROR(__xludf.DUMMYFUNCTION("""COMPUTED_VALUE"""),1000)</f>
        <v>1000</v>
      </c>
      <c r="J68" s="5">
        <f ca="1">IFERROR(__xludf.DUMMYFUNCTION("""COMPUTED_VALUE"""),504)</f>
        <v>504</v>
      </c>
      <c r="K68" s="3"/>
      <c r="L68" s="3" t="str">
        <f ca="1">IFERROR(__xludf.DUMMYFUNCTION("""COMPUTED_VALUE"""),"Cost per period")</f>
        <v>Cost per period</v>
      </c>
      <c r="M68" s="3"/>
      <c r="N68" s="3"/>
      <c r="O68" s="3" t="str">
        <f ca="1">IFERROR(__xludf.DUMMYFUNCTION("""COMPUTED_VALUE"""),"2000")</f>
        <v>2000</v>
      </c>
      <c r="P68" s="3" t="str">
        <f ca="1">IFERROR(__xludf.DUMMYFUNCTION("""COMPUTED_VALUE"""),"1400")</f>
        <v>1400</v>
      </c>
      <c r="Q68" s="3" t="str">
        <f ca="1">IFERROR(__xludf.DUMMYFUNCTION("""COMPUTED_VALUE"""),"2000x1400 + 600x1080")</f>
        <v>2000x1400 + 600x1080</v>
      </c>
      <c r="R68" s="3"/>
      <c r="S68" s="3" t="str">
        <f ca="1">IFERROR(__xludf.DUMMYFUNCTION("""COMPUTED_VALUE"""),"500 (600 - HTLM5)")</f>
        <v>500 (600 - HTLM5)</v>
      </c>
      <c r="T68" s="3"/>
      <c r="U68" s="3" t="str">
        <f ca="1">IFERROR(__xludf.DUMMYFUNCTION("""COMPUTED_VALUE"""),"banner standard")</f>
        <v>banner standard</v>
      </c>
      <c r="V68" s="3"/>
      <c r="W68" s="4" t="str">
        <f ca="1">IFERROR(__xludf.DUMMYFUNCTION("""COMPUTED_VALUE"""),"https://reklama.cncenter.cz/Online/branding-cross-device")</f>
        <v>https://reklama.cncenter.cz/Online/branding-cross-device</v>
      </c>
      <c r="X68" s="3"/>
      <c r="Y68" s="3"/>
      <c r="Z68" s="3" t="str">
        <f ca="1">IFERROR(__xludf.DUMMYFUNCTION("""COMPUTED_VALUE"""),"podklady@cncenter.cz")</f>
        <v>podklady@cncenter.cz</v>
      </c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 t="str">
        <f ca="1">IFERROR(__xludf.DUMMYFUNCTION("""COMPUTED_VALUE"""),"cross-device")</f>
        <v>cross-device</v>
      </c>
      <c r="AO68" s="3"/>
      <c r="AP68" s="3"/>
      <c r="AQ68" s="3"/>
      <c r="AR68" s="3"/>
      <c r="AS68" s="3"/>
      <c r="AT68" s="3"/>
      <c r="AU68" s="3" t="str">
        <f ca="1">IFERROR(__xludf.DUMMYFUNCTION("""COMPUTED_VALUE"""),"cílený branding cross-device")</f>
        <v>cílený branding cross-device</v>
      </c>
    </row>
    <row r="69" spans="1:47" x14ac:dyDescent="0.3">
      <c r="A69" s="3">
        <f ca="1"/>
        <v>2346826</v>
      </c>
      <c r="B69" s="3" t="str">
        <f ca="1"/>
        <v>CZECH NEWS CENTER a. s.</v>
      </c>
      <c r="C69" s="3" t="str">
        <f ca="1">IFERROR(__xludf.DUMMYFUNCTION("""COMPUTED_VALUE"""),"Ahaonline")</f>
        <v>Ahaonline</v>
      </c>
      <c r="D69" s="4" t="str">
        <f ca="1">IFERROR(__xludf.DUMMYFUNCTION("""COMPUTED_VALUE"""),"https://ahaonline.cz")</f>
        <v>https://ahaonline.cz</v>
      </c>
      <c r="E69" s="3" t="str">
        <f ca="1">IFERROR(__xludf.DUMMYFUNCTION("""COMPUTED_VALUE"""),"celý web")</f>
        <v>celý web</v>
      </c>
      <c r="F69" s="4" t="str">
        <f ca="1">IFERROR(__xludf.DUMMYFUNCTION("""COMPUTED_VALUE"""),"https://ahaonline.cz")</f>
        <v>https://ahaonline.cz</v>
      </c>
      <c r="G69" s="3" t="str">
        <f ca="1">IFERROR(__xludf.DUMMYFUNCTION("""COMPUTED_VALUE"""),"cílený branding mid season")</f>
        <v>cílený branding mid season</v>
      </c>
      <c r="H69" s="3">
        <f ca="1">IFERROR(__xludf.DUMMYFUNCTION("""COMPUTED_VALUE"""),7)</f>
        <v>7</v>
      </c>
      <c r="I69" s="5">
        <f ca="1">IFERROR(__xludf.DUMMYFUNCTION("""COMPUTED_VALUE"""),1000)</f>
        <v>1000</v>
      </c>
      <c r="J69" s="5">
        <f ca="1">IFERROR(__xludf.DUMMYFUNCTION("""COMPUTED_VALUE"""),828)</f>
        <v>828</v>
      </c>
      <c r="K69" s="3"/>
      <c r="L69" s="3" t="str">
        <f ca="1">IFERROR(__xludf.DUMMYFUNCTION("""COMPUTED_VALUE"""),"Cost per period")</f>
        <v>Cost per period</v>
      </c>
      <c r="M69" s="3"/>
      <c r="N69" s="3"/>
      <c r="O69" s="3" t="str">
        <f ca="1">IFERROR(__xludf.DUMMYFUNCTION("""COMPUTED_VALUE"""),"2000")</f>
        <v>2000</v>
      </c>
      <c r="P69" s="3" t="str">
        <f ca="1">IFERROR(__xludf.DUMMYFUNCTION("""COMPUTED_VALUE"""),"1400")</f>
        <v>1400</v>
      </c>
      <c r="Q69" s="3" t="str">
        <f ca="1">IFERROR(__xludf.DUMMYFUNCTION("""COMPUTED_VALUE"""),"2000x1400")</f>
        <v>2000x1400</v>
      </c>
      <c r="R69" s="3"/>
      <c r="S69" s="3" t="str">
        <f ca="1">IFERROR(__xludf.DUMMYFUNCTION("""COMPUTED_VALUE"""),"500 + 200 (600+200 HTML5)")</f>
        <v>500 + 200 (600+200 HTML5)</v>
      </c>
      <c r="T69" s="3"/>
      <c r="U69" s="3" t="str">
        <f ca="1">IFERROR(__xludf.DUMMYFUNCTION("""COMPUTED_VALUE"""),"banner standard")</f>
        <v>banner standard</v>
      </c>
      <c r="V69" s="3"/>
      <c r="W69" s="4" t="str">
        <f ca="1">IFERROR(__xludf.DUMMYFUNCTION("""COMPUTED_VALUE"""),"https://reklama.cncenter.cz/Online/branding")</f>
        <v>https://reklama.cncenter.cz/Online/branding</v>
      </c>
      <c r="X69" s="3"/>
      <c r="Y69" s="3"/>
      <c r="Z69" s="3" t="str">
        <f ca="1">IFERROR(__xludf.DUMMYFUNCTION("""COMPUTED_VALUE"""),"podklady@cncenter.cz")</f>
        <v>podklady@cncenter.cz</v>
      </c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 t="str">
        <f ca="1">IFERROR(__xludf.DUMMYFUNCTION("""COMPUTED_VALUE"""),"desktop")</f>
        <v>desktop</v>
      </c>
      <c r="AO69" s="3"/>
      <c r="AP69" s="3"/>
      <c r="AQ69" s="3"/>
      <c r="AR69" s="3"/>
      <c r="AS69" s="3"/>
      <c r="AT69" s="3"/>
      <c r="AU69" s="3" t="str">
        <f ca="1">IFERROR(__xludf.DUMMYFUNCTION("""COMPUTED_VALUE"""),"cílený branding")</f>
        <v>cílený branding</v>
      </c>
    </row>
    <row r="70" spans="1:47" x14ac:dyDescent="0.3">
      <c r="A70" s="3">
        <f ca="1"/>
        <v>2346826</v>
      </c>
      <c r="B70" s="3" t="str">
        <f ca="1"/>
        <v>CZECH NEWS CENTER a. s.</v>
      </c>
      <c r="C70" s="3" t="str">
        <f ca="1">IFERROR(__xludf.DUMMYFUNCTION("""COMPUTED_VALUE"""),"Ahaonline")</f>
        <v>Ahaonline</v>
      </c>
      <c r="D70" s="4" t="str">
        <f ca="1">IFERROR(__xludf.DUMMYFUNCTION("""COMPUTED_VALUE"""),"https://ahaonline.cz")</f>
        <v>https://ahaonline.cz</v>
      </c>
      <c r="E70" s="3" t="str">
        <f ca="1">IFERROR(__xludf.DUMMYFUNCTION("""COMPUTED_VALUE"""),"celý web")</f>
        <v>celý web</v>
      </c>
      <c r="F70" s="4" t="str">
        <f ca="1">IFERROR(__xludf.DUMMYFUNCTION("""COMPUTED_VALUE"""),"https://ahaonline.cz")</f>
        <v>https://ahaonline.cz</v>
      </c>
      <c r="G70" s="3" t="str">
        <f ca="1">IFERROR(__xludf.DUMMYFUNCTION("""COMPUTED_VALUE"""),"cílený double skyscraper mid season")</f>
        <v>cílený double skyscraper mid season</v>
      </c>
      <c r="H70" s="3">
        <f ca="1">IFERROR(__xludf.DUMMYFUNCTION("""COMPUTED_VALUE"""),7)</f>
        <v>7</v>
      </c>
      <c r="I70" s="5">
        <f ca="1">IFERROR(__xludf.DUMMYFUNCTION("""COMPUTED_VALUE"""),1000)</f>
        <v>1000</v>
      </c>
      <c r="J70" s="5">
        <f ca="1">IFERROR(__xludf.DUMMYFUNCTION("""COMPUTED_VALUE"""),324)</f>
        <v>324</v>
      </c>
      <c r="K70" s="3"/>
      <c r="L70" s="3" t="str">
        <f ca="1">IFERROR(__xludf.DUMMYFUNCTION("""COMPUTED_VALUE"""),"Cost per period")</f>
        <v>Cost per period</v>
      </c>
      <c r="M70" s="3"/>
      <c r="N70" s="3"/>
      <c r="O70" s="3" t="str">
        <f ca="1">IFERROR(__xludf.DUMMYFUNCTION("""COMPUTED_VALUE"""),"300")</f>
        <v>300</v>
      </c>
      <c r="P70" s="3" t="str">
        <f ca="1">IFERROR(__xludf.DUMMYFUNCTION("""COMPUTED_VALUE"""),"600")</f>
        <v>600</v>
      </c>
      <c r="Q70" s="3" t="str">
        <f ca="1">IFERROR(__xludf.DUMMYFUNCTION("""COMPUTED_VALUE"""),"300x600")</f>
        <v>300x600</v>
      </c>
      <c r="R70" s="3"/>
      <c r="S70" s="3" t="str">
        <f ca="1">IFERROR(__xludf.DUMMYFUNCTION("""COMPUTED_VALUE"""),"100 (200 - HTML5)")</f>
        <v>100 (200 - HTML5)</v>
      </c>
      <c r="T70" s="3"/>
      <c r="U70" s="3" t="str">
        <f ca="1">IFERROR(__xludf.DUMMYFUNCTION("""COMPUTED_VALUE"""),"banner standard")</f>
        <v>banner standard</v>
      </c>
      <c r="V70" s="3"/>
      <c r="W70" s="4" t="str">
        <f ca="1">IFERROR(__xludf.DUMMYFUNCTION("""COMPUTED_VALUE"""),"https://reklama.cncenter.cz/Online/double-skyscraper")</f>
        <v>https://reklama.cncenter.cz/Online/double-skyscraper</v>
      </c>
      <c r="X70" s="3"/>
      <c r="Y70" s="3"/>
      <c r="Z70" s="3" t="str">
        <f ca="1">IFERROR(__xludf.DUMMYFUNCTION("""COMPUTED_VALUE"""),"podklady@cncenter.cz")</f>
        <v>podklady@cncenter.cz</v>
      </c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 t="str">
        <f ca="1">IFERROR(__xludf.DUMMYFUNCTION("""COMPUTED_VALUE"""),"desktop")</f>
        <v>desktop</v>
      </c>
      <c r="AO70" s="3"/>
      <c r="AP70" s="3"/>
      <c r="AQ70" s="3"/>
      <c r="AR70" s="3"/>
      <c r="AS70" s="3"/>
      <c r="AT70" s="3"/>
      <c r="AU70" s="3" t="str">
        <f ca="1">IFERROR(__xludf.DUMMYFUNCTION("""COMPUTED_VALUE"""),"cílený double skyscraper")</f>
        <v>cílený double skyscraper</v>
      </c>
    </row>
    <row r="71" spans="1:47" x14ac:dyDescent="0.3">
      <c r="A71" s="3">
        <f ca="1"/>
        <v>2346826</v>
      </c>
      <c r="B71" s="3" t="str">
        <f ca="1"/>
        <v>CZECH NEWS CENTER a. s.</v>
      </c>
      <c r="C71" s="3" t="str">
        <f ca="1">IFERROR(__xludf.DUMMYFUNCTION("""COMPUTED_VALUE"""),"Ahaonline")</f>
        <v>Ahaonline</v>
      </c>
      <c r="D71" s="4" t="str">
        <f ca="1">IFERROR(__xludf.DUMMYFUNCTION("""COMPUTED_VALUE"""),"https://ahaonline.cz")</f>
        <v>https://ahaonline.cz</v>
      </c>
      <c r="E71" s="3" t="str">
        <f ca="1">IFERROR(__xludf.DUMMYFUNCTION("""COMPUTED_VALUE"""),"celý web")</f>
        <v>celý web</v>
      </c>
      <c r="F71" s="4" t="str">
        <f ca="1">IFERROR(__xludf.DUMMYFUNCTION("""COMPUTED_VALUE"""),"https://ahaonline.cz")</f>
        <v>https://ahaonline.cz</v>
      </c>
      <c r="G71" s="3" t="str">
        <f ca="1">IFERROR(__xludf.DUMMYFUNCTION("""COMPUTED_VALUE"""),"cílený mobilní interscroller mid season")</f>
        <v>cílený mobilní interscroller mid season</v>
      </c>
      <c r="H71" s="3">
        <f ca="1">IFERROR(__xludf.DUMMYFUNCTION("""COMPUTED_VALUE"""),7)</f>
        <v>7</v>
      </c>
      <c r="I71" s="5">
        <f ca="1">IFERROR(__xludf.DUMMYFUNCTION("""COMPUTED_VALUE"""),1000)</f>
        <v>1000</v>
      </c>
      <c r="J71" s="5">
        <f ca="1">IFERROR(__xludf.DUMMYFUNCTION("""COMPUTED_VALUE"""),420)</f>
        <v>420</v>
      </c>
      <c r="K71" s="3"/>
      <c r="L71" s="3" t="str">
        <f ca="1">IFERROR(__xludf.DUMMYFUNCTION("""COMPUTED_VALUE"""),"Cost per period")</f>
        <v>Cost per period</v>
      </c>
      <c r="M71" s="3"/>
      <c r="N71" s="3"/>
      <c r="O71" s="3" t="str">
        <f ca="1">IFERROR(__xludf.DUMMYFUNCTION("""COMPUTED_VALUE"""),"600")</f>
        <v>600</v>
      </c>
      <c r="P71" s="3" t="str">
        <f ca="1">IFERROR(__xludf.DUMMYFUNCTION("""COMPUTED_VALUE"""),"1080")</f>
        <v>1080</v>
      </c>
      <c r="Q71" s="3" t="str">
        <f ca="1">IFERROR(__xludf.DUMMYFUNCTION("""COMPUTED_VALUE"""),"600x1080")</f>
        <v>600x1080</v>
      </c>
      <c r="R71" s="3"/>
      <c r="S71" s="3" t="str">
        <f ca="1">IFERROR(__xludf.DUMMYFUNCTION("""COMPUTED_VALUE"""),"200")</f>
        <v>200</v>
      </c>
      <c r="T71" s="3"/>
      <c r="U71" s="3" t="str">
        <f ca="1">IFERROR(__xludf.DUMMYFUNCTION("""COMPUTED_VALUE"""),"banner standard")</f>
        <v>banner standard</v>
      </c>
      <c r="V71" s="3"/>
      <c r="W71" s="4" t="str">
        <f ca="1">IFERROR(__xludf.DUMMYFUNCTION("""COMPUTED_VALUE"""),"https://reklama.cncenter.cz/Online/mobilni-interscroller")</f>
        <v>https://reklama.cncenter.cz/Online/mobilni-interscroller</v>
      </c>
      <c r="X71" s="3"/>
      <c r="Y71" s="3"/>
      <c r="Z71" s="3" t="str">
        <f ca="1">IFERROR(__xludf.DUMMYFUNCTION("""COMPUTED_VALUE"""),"podklady@cncenter.cz")</f>
        <v>podklady@cncenter.cz</v>
      </c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 t="str">
        <f ca="1">IFERROR(__xludf.DUMMYFUNCTION("""COMPUTED_VALUE"""),"mobile")</f>
        <v>mobile</v>
      </c>
      <c r="AO71" s="3"/>
      <c r="AP71" s="3"/>
      <c r="AQ71" s="3"/>
      <c r="AR71" s="3"/>
      <c r="AS71" s="3"/>
      <c r="AT71" s="3"/>
      <c r="AU71" s="3" t="str">
        <f ca="1">IFERROR(__xludf.DUMMYFUNCTION("""COMPUTED_VALUE"""),"cílený mobilní interscroller")</f>
        <v>cílený mobilní interscroller</v>
      </c>
    </row>
    <row r="72" spans="1:47" x14ac:dyDescent="0.3">
      <c r="A72" s="3">
        <f ca="1"/>
        <v>2346826</v>
      </c>
      <c r="B72" s="3" t="str">
        <f ca="1"/>
        <v>CZECH NEWS CENTER a. s.</v>
      </c>
      <c r="C72" s="3" t="str">
        <f ca="1">IFERROR(__xludf.DUMMYFUNCTION("""COMPUTED_VALUE"""),"Ahaonline")</f>
        <v>Ahaonline</v>
      </c>
      <c r="D72" s="4" t="str">
        <f ca="1">IFERROR(__xludf.DUMMYFUNCTION("""COMPUTED_VALUE"""),"https://ahaonline.cz")</f>
        <v>https://ahaonline.cz</v>
      </c>
      <c r="E72" s="3" t="str">
        <f ca="1">IFERROR(__xludf.DUMMYFUNCTION("""COMPUTED_VALUE"""),"celý web")</f>
        <v>celý web</v>
      </c>
      <c r="F72" s="4" t="str">
        <f ca="1">IFERROR(__xludf.DUMMYFUNCTION("""COMPUTED_VALUE"""),"https://ahaonline.cz")</f>
        <v>https://ahaonline.cz</v>
      </c>
      <c r="G72" s="3" t="str">
        <f ca="1">IFERROR(__xludf.DUMMYFUNCTION("""COMPUTED_VALUE"""),"cílený mobilní slide-up mid season")</f>
        <v>cílený mobilní slide-up mid season</v>
      </c>
      <c r="H72" s="3">
        <f ca="1">IFERROR(__xludf.DUMMYFUNCTION("""COMPUTED_VALUE"""),7)</f>
        <v>7</v>
      </c>
      <c r="I72" s="5">
        <f ca="1">IFERROR(__xludf.DUMMYFUNCTION("""COMPUTED_VALUE"""),1000)</f>
        <v>1000</v>
      </c>
      <c r="J72" s="5">
        <f ca="1">IFERROR(__xludf.DUMMYFUNCTION("""COMPUTED_VALUE"""),864)</f>
        <v>864</v>
      </c>
      <c r="K72" s="3"/>
      <c r="L72" s="3" t="str">
        <f ca="1">IFERROR(__xludf.DUMMYFUNCTION("""COMPUTED_VALUE"""),"Cost per period")</f>
        <v>Cost per period</v>
      </c>
      <c r="M72" s="3"/>
      <c r="N72" s="3"/>
      <c r="O72" s="3" t="str">
        <f ca="1">IFERROR(__xludf.DUMMYFUNCTION("""COMPUTED_VALUE"""),"300")</f>
        <v>300</v>
      </c>
      <c r="P72" s="3" t="str">
        <f ca="1">IFERROR(__xludf.DUMMYFUNCTION("""COMPUTED_VALUE"""),"120")</f>
        <v>120</v>
      </c>
      <c r="Q72" s="3" t="str">
        <f ca="1">IFERROR(__xludf.DUMMYFUNCTION("""COMPUTED_VALUE"""),"300x120")</f>
        <v>300x120</v>
      </c>
      <c r="R72" s="3"/>
      <c r="S72" s="3" t="str">
        <f ca="1">IFERROR(__xludf.DUMMYFUNCTION("""COMPUTED_VALUE"""),"100")</f>
        <v>100</v>
      </c>
      <c r="T72" s="3"/>
      <c r="U72" s="3" t="str">
        <f ca="1">IFERROR(__xludf.DUMMYFUNCTION("""COMPUTED_VALUE"""),"banner standard")</f>
        <v>banner standard</v>
      </c>
      <c r="V72" s="3"/>
      <c r="W72" s="4" t="str">
        <f ca="1">IFERROR(__xludf.DUMMYFUNCTION("""COMPUTED_VALUE"""),"https://reklama.cncenter.cz/Online/mobilni-slide-up")</f>
        <v>https://reklama.cncenter.cz/Online/mobilni-slide-up</v>
      </c>
      <c r="X72" s="3"/>
      <c r="Y72" s="3"/>
      <c r="Z72" s="3" t="str">
        <f ca="1">IFERROR(__xludf.DUMMYFUNCTION("""COMPUTED_VALUE"""),"podklady@cncenter.cz")</f>
        <v>podklady@cncenter.cz</v>
      </c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 t="str">
        <f ca="1">IFERROR(__xludf.DUMMYFUNCTION("""COMPUTED_VALUE"""),"mobile")</f>
        <v>mobile</v>
      </c>
      <c r="AO72" s="3"/>
      <c r="AP72" s="3"/>
      <c r="AQ72" s="3"/>
      <c r="AR72" s="3"/>
      <c r="AS72" s="3"/>
      <c r="AT72" s="3"/>
      <c r="AU72" s="3" t="str">
        <f ca="1">IFERROR(__xludf.DUMMYFUNCTION("""COMPUTED_VALUE"""),"cílený mobilní slide-up")</f>
        <v>cílený mobilní slide-up</v>
      </c>
    </row>
    <row r="73" spans="1:47" x14ac:dyDescent="0.3">
      <c r="A73" s="3">
        <f ca="1"/>
        <v>2346826</v>
      </c>
      <c r="B73" s="3" t="str">
        <f ca="1"/>
        <v>CZECH NEWS CENTER a. s.</v>
      </c>
      <c r="C73" s="3" t="str">
        <f ca="1">IFERROR(__xludf.DUMMYFUNCTION("""COMPUTED_VALUE"""),"Ahaonline")</f>
        <v>Ahaonline</v>
      </c>
      <c r="D73" s="4" t="str">
        <f ca="1">IFERROR(__xludf.DUMMYFUNCTION("""COMPUTED_VALUE"""),"https://ahaonline.cz")</f>
        <v>https://ahaonline.cz</v>
      </c>
      <c r="E73" s="3" t="str">
        <f ca="1">IFERROR(__xludf.DUMMYFUNCTION("""COMPUTED_VALUE"""),"celý web")</f>
        <v>celý web</v>
      </c>
      <c r="F73" s="4" t="str">
        <f ca="1">IFERROR(__xludf.DUMMYFUNCTION("""COMPUTED_VALUE"""),"https://ahaonline.cz")</f>
        <v>https://ahaonline.cz</v>
      </c>
      <c r="G73" s="3" t="str">
        <f ca="1">IFERROR(__xludf.DUMMYFUNCTION("""COMPUTED_VALUE"""),"cílený mobilní viněta mid season")</f>
        <v>cílený mobilní viněta mid season</v>
      </c>
      <c r="H73" s="3">
        <f ca="1">IFERROR(__xludf.DUMMYFUNCTION("""COMPUTED_VALUE"""),7)</f>
        <v>7</v>
      </c>
      <c r="I73" s="5">
        <f ca="1">IFERROR(__xludf.DUMMYFUNCTION("""COMPUTED_VALUE"""),1000)</f>
        <v>1000</v>
      </c>
      <c r="J73" s="5">
        <f ca="1">IFERROR(__xludf.DUMMYFUNCTION("""COMPUTED_VALUE"""),1488)</f>
        <v>1488</v>
      </c>
      <c r="K73" s="3"/>
      <c r="L73" s="3" t="str">
        <f ca="1">IFERROR(__xludf.DUMMYFUNCTION("""COMPUTED_VALUE"""),"Cost per period")</f>
        <v>Cost per period</v>
      </c>
      <c r="M73" s="3"/>
      <c r="N73" s="3"/>
      <c r="O73" s="3" t="str">
        <f ca="1">IFERROR(__xludf.DUMMYFUNCTION("""COMPUTED_VALUE"""),"600")</f>
        <v>600</v>
      </c>
      <c r="P73" s="3" t="str">
        <f ca="1">IFERROR(__xludf.DUMMYFUNCTION("""COMPUTED_VALUE"""),"800")</f>
        <v>800</v>
      </c>
      <c r="Q73" s="3" t="str">
        <f ca="1">IFERROR(__xludf.DUMMYFUNCTION("""COMPUTED_VALUE"""),"300x250 nebo 600x800")</f>
        <v>300x250 nebo 600x800</v>
      </c>
      <c r="R73" s="3"/>
      <c r="S73" s="3" t="str">
        <f ca="1">IFERROR(__xludf.DUMMYFUNCTION("""COMPUTED_VALUE"""),"100")</f>
        <v>100</v>
      </c>
      <c r="T73" s="3"/>
      <c r="U73" s="3" t="str">
        <f ca="1">IFERROR(__xludf.DUMMYFUNCTION("""COMPUTED_VALUE"""),"banner standard")</f>
        <v>banner standard</v>
      </c>
      <c r="V73" s="3"/>
      <c r="W73" s="4" t="str">
        <f ca="1">IFERROR(__xludf.DUMMYFUNCTION("""COMPUTED_VALUE"""),"https://reklama.cncenter.cz/Online/mobilni-vineta")</f>
        <v>https://reklama.cncenter.cz/Online/mobilni-vineta</v>
      </c>
      <c r="X73" s="3"/>
      <c r="Y73" s="3"/>
      <c r="Z73" s="3" t="str">
        <f ca="1">IFERROR(__xludf.DUMMYFUNCTION("""COMPUTED_VALUE"""),"podklady@cncenter.cz")</f>
        <v>podklady@cncenter.cz</v>
      </c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 t="str">
        <f ca="1">IFERROR(__xludf.DUMMYFUNCTION("""COMPUTED_VALUE"""),"mobile")</f>
        <v>mobile</v>
      </c>
      <c r="AO73" s="3"/>
      <c r="AP73" s="3"/>
      <c r="AQ73" s="3"/>
      <c r="AR73" s="3"/>
      <c r="AS73" s="3"/>
      <c r="AT73" s="3"/>
      <c r="AU73" s="3" t="str">
        <f ca="1">IFERROR(__xludf.DUMMYFUNCTION("""COMPUTED_VALUE"""),"cílený mobilní viněta")</f>
        <v>cílený mobilní viněta</v>
      </c>
    </row>
    <row r="74" spans="1:47" x14ac:dyDescent="0.3">
      <c r="A74" s="3">
        <f ca="1"/>
        <v>2346826</v>
      </c>
      <c r="B74" s="3" t="str">
        <f ca="1"/>
        <v>CZECH NEWS CENTER a. s.</v>
      </c>
      <c r="C74" s="3" t="str">
        <f ca="1">IFERROR(__xludf.DUMMYFUNCTION("""COMPUTED_VALUE"""),"Ahaonline")</f>
        <v>Ahaonline</v>
      </c>
      <c r="D74" s="4" t="str">
        <f ca="1">IFERROR(__xludf.DUMMYFUNCTION("""COMPUTED_VALUE"""),"https://ahaonline.cz")</f>
        <v>https://ahaonline.cz</v>
      </c>
      <c r="E74" s="3" t="str">
        <f ca="1">IFERROR(__xludf.DUMMYFUNCTION("""COMPUTED_VALUE"""),"celý web")</f>
        <v>celý web</v>
      </c>
      <c r="F74" s="4" t="str">
        <f ca="1">IFERROR(__xludf.DUMMYFUNCTION("""COMPUTED_VALUE"""),"https://ahaonline.cz")</f>
        <v>https://ahaonline.cz</v>
      </c>
      <c r="G74" s="3" t="str">
        <f ca="1">IFERROR(__xludf.DUMMYFUNCTION("""COMPUTED_VALUE"""),"cílený nativní pr premium mid season")</f>
        <v>cílený nativní pr premium mid season</v>
      </c>
      <c r="H74" s="3">
        <f ca="1">IFERROR(__xludf.DUMMYFUNCTION("""COMPUTED_VALUE"""),7)</f>
        <v>7</v>
      </c>
      <c r="I74" s="5">
        <f ca="1">IFERROR(__xludf.DUMMYFUNCTION("""COMPUTED_VALUE"""),1000)</f>
        <v>1000</v>
      </c>
      <c r="J74" s="5">
        <f ca="1">IFERROR(__xludf.DUMMYFUNCTION("""COMPUTED_VALUE"""),168)</f>
        <v>168</v>
      </c>
      <c r="K74" s="3"/>
      <c r="L74" s="3" t="str">
        <f ca="1">IFERROR(__xludf.DUMMYFUNCTION("""COMPUTED_VALUE"""),"Cost per period")</f>
        <v>Cost per period</v>
      </c>
      <c r="M74" s="3"/>
      <c r="N74" s="3"/>
      <c r="O74" s="3" t="str">
        <f ca="1">IFERROR(__xludf.DUMMYFUNCTION("""COMPUTED_VALUE"""),"640")</f>
        <v>640</v>
      </c>
      <c r="P74" s="3" t="str">
        <f ca="1">IFERROR(__xludf.DUMMYFUNCTION("""COMPUTED_VALUE"""),"335, 640")</f>
        <v>335, 640</v>
      </c>
      <c r="Q74" s="3" t="str">
        <f ca="1">IFERROR(__xludf.DUMMYFUNCTION("""COMPUTED_VALUE"""),"640x640 a 640x335 + text + logo")</f>
        <v>640x640 a 640x335 + text + logo</v>
      </c>
      <c r="R74" s="3" t="str">
        <f ca="1">IFERROR(__xludf.DUMMYFUNCTION("""COMPUTED_VALUE"""),"detailní specifikace na URL odkaze")</f>
        <v>detailní specifikace na URL odkaze</v>
      </c>
      <c r="S74" s="3" t="str">
        <f ca="1">IFERROR(__xludf.DUMMYFUNCTION("""COMPUTED_VALUE"""),"100")</f>
        <v>100</v>
      </c>
      <c r="T74" s="3"/>
      <c r="U74" s="3" t="str">
        <f ca="1">IFERROR(__xludf.DUMMYFUNCTION("""COMPUTED_VALUE"""),"nativní reklama")</f>
        <v>nativní reklama</v>
      </c>
      <c r="V74" s="3"/>
      <c r="W74" s="4" t="str">
        <f ca="1">IFERROR(__xludf.DUMMYFUNCTION("""COMPUTED_VALUE"""),"https://reklama.cncenter.cz/Online/nativni-PR-premium")</f>
        <v>https://reklama.cncenter.cz/Online/nativni-PR-premium</v>
      </c>
      <c r="X74" s="3"/>
      <c r="Y74" s="3"/>
      <c r="Z74" s="3" t="str">
        <f ca="1">IFERROR(__xludf.DUMMYFUNCTION("""COMPUTED_VALUE"""),"podklady@cncenter.cz")</f>
        <v>podklady@cncenter.cz</v>
      </c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 t="str">
        <f ca="1">IFERROR(__xludf.DUMMYFUNCTION("""COMPUTED_VALUE"""),"cross-device")</f>
        <v>cross-device</v>
      </c>
      <c r="AO74" s="3"/>
      <c r="AP74" s="3"/>
      <c r="AQ74" s="3"/>
      <c r="AR74" s="3"/>
      <c r="AS74" s="3"/>
      <c r="AT74" s="3"/>
      <c r="AU74" s="3" t="str">
        <f ca="1">IFERROR(__xludf.DUMMYFUNCTION("""COMPUTED_VALUE"""),"cílený nativní pr premium")</f>
        <v>cílený nativní pr premium</v>
      </c>
    </row>
    <row r="75" spans="1:47" x14ac:dyDescent="0.3">
      <c r="A75" s="3">
        <f ca="1"/>
        <v>2346826</v>
      </c>
      <c r="B75" s="3" t="str">
        <f ca="1"/>
        <v>CZECH NEWS CENTER a. s.</v>
      </c>
      <c r="C75" s="3" t="str">
        <f ca="1">IFERROR(__xludf.DUMMYFUNCTION("""COMPUTED_VALUE"""),"Ahaonline")</f>
        <v>Ahaonline</v>
      </c>
      <c r="D75" s="4" t="str">
        <f ca="1">IFERROR(__xludf.DUMMYFUNCTION("""COMPUTED_VALUE"""),"https://ahaonline.cz")</f>
        <v>https://ahaonline.cz</v>
      </c>
      <c r="E75" s="3" t="str">
        <f ca="1">IFERROR(__xludf.DUMMYFUNCTION("""COMPUTED_VALUE"""),"celý web")</f>
        <v>celý web</v>
      </c>
      <c r="F75" s="4" t="str">
        <f ca="1">IFERROR(__xludf.DUMMYFUNCTION("""COMPUTED_VALUE"""),"https://ahaonline.cz")</f>
        <v>https://ahaonline.cz</v>
      </c>
      <c r="G75" s="3" t="str">
        <f ca="1">IFERROR(__xludf.DUMMYFUNCTION("""COMPUTED_VALUE"""),"cílený nativní rectangle cross-device mid season")</f>
        <v>cílený nativní rectangle cross-device mid season</v>
      </c>
      <c r="H75" s="3">
        <f ca="1">IFERROR(__xludf.DUMMYFUNCTION("""COMPUTED_VALUE"""),7)</f>
        <v>7</v>
      </c>
      <c r="I75" s="5">
        <f ca="1">IFERROR(__xludf.DUMMYFUNCTION("""COMPUTED_VALUE"""),1000)</f>
        <v>1000</v>
      </c>
      <c r="J75" s="5">
        <f ca="1">IFERROR(__xludf.DUMMYFUNCTION("""COMPUTED_VALUE"""),336)</f>
        <v>336</v>
      </c>
      <c r="K75" s="3"/>
      <c r="L75" s="3" t="str">
        <f ca="1">IFERROR(__xludf.DUMMYFUNCTION("""COMPUTED_VALUE"""),"Cost per period")</f>
        <v>Cost per period</v>
      </c>
      <c r="M75" s="3"/>
      <c r="N75" s="3"/>
      <c r="O75" s="3" t="str">
        <f ca="1">IFERROR(__xludf.DUMMYFUNCTION("""COMPUTED_VALUE"""),"640")</f>
        <v>640</v>
      </c>
      <c r="P75" s="3" t="str">
        <f ca="1">IFERROR(__xludf.DUMMYFUNCTION("""COMPUTED_VALUE"""),"335, 640")</f>
        <v>335, 640</v>
      </c>
      <c r="Q75" s="3" t="str">
        <f ca="1">IFERROR(__xludf.DUMMYFUNCTION("""COMPUTED_VALUE"""),"640x640 a 640x335 + text + logo")</f>
        <v>640x640 a 640x335 + text + logo</v>
      </c>
      <c r="R75" s="3"/>
      <c r="S75" s="3" t="str">
        <f ca="1">IFERROR(__xludf.DUMMYFUNCTION("""COMPUTED_VALUE"""),"45")</f>
        <v>45</v>
      </c>
      <c r="T75" s="3"/>
      <c r="U75" s="3" t="str">
        <f ca="1">IFERROR(__xludf.DUMMYFUNCTION("""COMPUTED_VALUE"""),"nativní reklama")</f>
        <v>nativní reklama</v>
      </c>
      <c r="V75" s="3"/>
      <c r="W75" s="4" t="str">
        <f ca="1">IFERROR(__xludf.DUMMYFUNCTION("""COMPUTED_VALUE"""),"https://reklama.cncenter.cz/Online/nativni-rectangle-cross-device")</f>
        <v>https://reklama.cncenter.cz/Online/nativni-rectangle-cross-device</v>
      </c>
      <c r="X75" s="3"/>
      <c r="Y75" s="3"/>
      <c r="Z75" s="3" t="str">
        <f ca="1">IFERROR(__xludf.DUMMYFUNCTION("""COMPUTED_VALUE"""),"podklady@cncenter.cz")</f>
        <v>podklady@cncenter.cz</v>
      </c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 t="str">
        <f ca="1">IFERROR(__xludf.DUMMYFUNCTION("""COMPUTED_VALUE"""),"cross-device")</f>
        <v>cross-device</v>
      </c>
      <c r="AO75" s="3"/>
      <c r="AP75" s="3"/>
      <c r="AQ75" s="3"/>
      <c r="AR75" s="3"/>
      <c r="AS75" s="3"/>
      <c r="AT75" s="3"/>
      <c r="AU75" s="3" t="str">
        <f ca="1">IFERROR(__xludf.DUMMYFUNCTION("""COMPUTED_VALUE"""),"cílený nativní rectangle cross-device")</f>
        <v>cílený nativní rectangle cross-device</v>
      </c>
    </row>
    <row r="76" spans="1:47" x14ac:dyDescent="0.3">
      <c r="A76" s="3">
        <f ca="1"/>
        <v>2346826</v>
      </c>
      <c r="B76" s="3" t="str">
        <f ca="1"/>
        <v>CZECH NEWS CENTER a. s.</v>
      </c>
      <c r="C76" s="3" t="str">
        <f ca="1">IFERROR(__xludf.DUMMYFUNCTION("""COMPUTED_VALUE"""),"Ahaonline")</f>
        <v>Ahaonline</v>
      </c>
      <c r="D76" s="4" t="str">
        <f ca="1">IFERROR(__xludf.DUMMYFUNCTION("""COMPUTED_VALUE"""),"https://ahaonline.cz")</f>
        <v>https://ahaonline.cz</v>
      </c>
      <c r="E76" s="3" t="str">
        <f ca="1">IFERROR(__xludf.DUMMYFUNCTION("""COMPUTED_VALUE"""),"celý web")</f>
        <v>celý web</v>
      </c>
      <c r="F76" s="4" t="str">
        <f ca="1">IFERROR(__xludf.DUMMYFUNCTION("""COMPUTED_VALUE"""),"https://ahaonline.cz")</f>
        <v>https://ahaonline.cz</v>
      </c>
      <c r="G76" s="3" t="str">
        <f ca="1">IFERROR(__xludf.DUMMYFUNCTION("""COMPUTED_VALUE"""),"cílený outstream mid season")</f>
        <v>cílený outstream mid season</v>
      </c>
      <c r="H76" s="3">
        <f ca="1">IFERROR(__xludf.DUMMYFUNCTION("""COMPUTED_VALUE"""),7)</f>
        <v>7</v>
      </c>
      <c r="I76" s="5">
        <f ca="1">IFERROR(__xludf.DUMMYFUNCTION("""COMPUTED_VALUE"""),1000)</f>
        <v>1000</v>
      </c>
      <c r="J76" s="5">
        <f ca="1">IFERROR(__xludf.DUMMYFUNCTION("""COMPUTED_VALUE"""),420)</f>
        <v>420</v>
      </c>
      <c r="K76" s="3"/>
      <c r="L76" s="3" t="str">
        <f ca="1">IFERROR(__xludf.DUMMYFUNCTION("""COMPUTED_VALUE"""),"Cost per period")</f>
        <v>Cost per period</v>
      </c>
      <c r="M76" s="3"/>
      <c r="N76" s="3"/>
      <c r="O76" s="3" t="str">
        <f ca="1">IFERROR(__xludf.DUMMYFUNCTION("""COMPUTED_VALUE"""),"1280")</f>
        <v>1280</v>
      </c>
      <c r="P76" s="3" t="str">
        <f ca="1">IFERROR(__xludf.DUMMYFUNCTION("""COMPUTED_VALUE"""),"720")</f>
        <v>720</v>
      </c>
      <c r="Q76" s="3" t="str">
        <f ca="1">IFERROR(__xludf.DUMMYFUNCTION("""COMPUTED_VALUE"""),"16:9")</f>
        <v>16:9</v>
      </c>
      <c r="R76" s="3"/>
      <c r="S76" s="3" t="str">
        <f ca="1">IFERROR(__xludf.DUMMYFUNCTION("""COMPUTED_VALUE"""),"100")</f>
        <v>100</v>
      </c>
      <c r="T76" s="3"/>
      <c r="U76" s="3" t="str">
        <f ca="1">IFERROR(__xludf.DUMMYFUNCTION("""COMPUTED_VALUE"""),"videospot")</f>
        <v>videospot</v>
      </c>
      <c r="V76" s="3"/>
      <c r="W76" s="4" t="str">
        <f ca="1">IFERROR(__xludf.DUMMYFUNCTION("""COMPUTED_VALUE"""),"https://reklama.cncenter.cz/Online/Outstream")</f>
        <v>https://reklama.cncenter.cz/Online/Outstream</v>
      </c>
      <c r="X76" s="3"/>
      <c r="Y76" s="3"/>
      <c r="Z76" s="3" t="str">
        <f ca="1">IFERROR(__xludf.DUMMYFUNCTION("""COMPUTED_VALUE"""),"podklady@cncenter.cz")</f>
        <v>podklady@cncenter.cz</v>
      </c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 t="str">
        <f ca="1">IFERROR(__xludf.DUMMYFUNCTION("""COMPUTED_VALUE"""),"cross-device")</f>
        <v>cross-device</v>
      </c>
      <c r="AO76" s="3"/>
      <c r="AP76" s="3"/>
      <c r="AQ76" s="3"/>
      <c r="AR76" s="3"/>
      <c r="AS76" s="3"/>
      <c r="AT76" s="3"/>
      <c r="AU76" s="3" t="str">
        <f ca="1">IFERROR(__xludf.DUMMYFUNCTION("""COMPUTED_VALUE"""),"cílený outstream")</f>
        <v>cílený outstream</v>
      </c>
    </row>
    <row r="77" spans="1:47" x14ac:dyDescent="0.3">
      <c r="A77" s="3">
        <f ca="1"/>
        <v>2346826</v>
      </c>
      <c r="B77" s="3" t="str">
        <f ca="1"/>
        <v>CZECH NEWS CENTER a. s.</v>
      </c>
      <c r="C77" s="3" t="str">
        <f ca="1">IFERROR(__xludf.DUMMYFUNCTION("""COMPUTED_VALUE"""),"Ahaonline")</f>
        <v>Ahaonline</v>
      </c>
      <c r="D77" s="4" t="str">
        <f ca="1">IFERROR(__xludf.DUMMYFUNCTION("""COMPUTED_VALUE"""),"https://ahaonline.cz")</f>
        <v>https://ahaonline.cz</v>
      </c>
      <c r="E77" s="3" t="str">
        <f ca="1">IFERROR(__xludf.DUMMYFUNCTION("""COMPUTED_VALUE"""),"celý web")</f>
        <v>celý web</v>
      </c>
      <c r="F77" s="4" t="str">
        <f ca="1">IFERROR(__xludf.DUMMYFUNCTION("""COMPUTED_VALUE"""),"https://ahaonline.cz")</f>
        <v>https://ahaonline.cz</v>
      </c>
      <c r="G77" s="3" t="str">
        <f ca="1">IFERROR(__xludf.DUMMYFUNCTION("""COMPUTED_VALUE"""),"cílený videospot - max. 30 sec. / bumper mid season")</f>
        <v>cílený videospot - max. 30 sec. / bumper mid season</v>
      </c>
      <c r="H77" s="3">
        <f ca="1">IFERROR(__xludf.DUMMYFUNCTION("""COMPUTED_VALUE"""),7)</f>
        <v>7</v>
      </c>
      <c r="I77" s="5">
        <f ca="1">IFERROR(__xludf.DUMMYFUNCTION("""COMPUTED_VALUE"""),1000)</f>
        <v>1000</v>
      </c>
      <c r="J77" s="5">
        <f ca="1">IFERROR(__xludf.DUMMYFUNCTION("""COMPUTED_VALUE"""),1248)</f>
        <v>1248</v>
      </c>
      <c r="K77" s="3"/>
      <c r="L77" s="3" t="str">
        <f ca="1">IFERROR(__xludf.DUMMYFUNCTION("""COMPUTED_VALUE"""),"Cost per period")</f>
        <v>Cost per period</v>
      </c>
      <c r="M77" s="3"/>
      <c r="N77" s="3"/>
      <c r="O77" s="3" t="str">
        <f ca="1">IFERROR(__xludf.DUMMYFUNCTION("""COMPUTED_VALUE"""),"1280")</f>
        <v>1280</v>
      </c>
      <c r="P77" s="3" t="str">
        <f ca="1">IFERROR(__xludf.DUMMYFUNCTION("""COMPUTED_VALUE"""),"720")</f>
        <v>720</v>
      </c>
      <c r="Q77" s="3" t="str">
        <f ca="1">IFERROR(__xludf.DUMMYFUNCTION("""COMPUTED_VALUE"""),"16:9 / umístění po domluvě dle možností")</f>
        <v>16:9 / umístění po domluvě dle možností</v>
      </c>
      <c r="R77" s="3" t="str">
        <f ca="1">IFERROR(__xludf.DUMMYFUNCTION("""COMPUTED_VALUE"""),"přeskočení po 7 sekundách")</f>
        <v>přeskočení po 7 sekundách</v>
      </c>
      <c r="S77" s="3" t="str">
        <f ca="1">IFERROR(__xludf.DUMMYFUNCTION("""COMPUTED_VALUE"""),"100")</f>
        <v>100</v>
      </c>
      <c r="T77" s="3"/>
      <c r="U77" s="3" t="str">
        <f ca="1">IFERROR(__xludf.DUMMYFUNCTION("""COMPUTED_VALUE"""),"videospot")</f>
        <v>videospot</v>
      </c>
      <c r="V77" s="3"/>
      <c r="W77" s="4" t="str">
        <f ca="1">IFERROR(__xludf.DUMMYFUNCTION("""COMPUTED_VALUE"""),"https://reklama.cncenter.cz/Online/Bumper")</f>
        <v>https://reklama.cncenter.cz/Online/Bumper</v>
      </c>
      <c r="X77" s="3"/>
      <c r="Y77" s="3"/>
      <c r="Z77" s="3" t="str">
        <f ca="1">IFERROR(__xludf.DUMMYFUNCTION("""COMPUTED_VALUE"""),"podklady@cncenter.cz")</f>
        <v>podklady@cncenter.cz</v>
      </c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 t="str">
        <f ca="1">IFERROR(__xludf.DUMMYFUNCTION("""COMPUTED_VALUE"""),"cross-device")</f>
        <v>cross-device</v>
      </c>
      <c r="AO77" s="3"/>
      <c r="AP77" s="3"/>
      <c r="AQ77" s="3"/>
      <c r="AR77" s="3"/>
      <c r="AS77" s="3"/>
      <c r="AT77" s="3"/>
      <c r="AU77" s="3" t="str">
        <f ca="1">IFERROR(__xludf.DUMMYFUNCTION("""COMPUTED_VALUE"""),"cílený videospot - max. 30 sec. / bumper")</f>
        <v>cílený videospot - max. 30 sec. / bumper</v>
      </c>
    </row>
    <row r="78" spans="1:47" x14ac:dyDescent="0.3">
      <c r="A78" s="3">
        <f ca="1"/>
        <v>2346826</v>
      </c>
      <c r="B78" s="3" t="str">
        <f ca="1"/>
        <v>CZECH NEWS CENTER a. s.</v>
      </c>
      <c r="C78" s="3" t="str">
        <f ca="1">IFERROR(__xludf.DUMMYFUNCTION("""COMPUTED_VALUE"""),"Ahaonline")</f>
        <v>Ahaonline</v>
      </c>
      <c r="D78" s="4" t="str">
        <f ca="1">IFERROR(__xludf.DUMMYFUNCTION("""COMPUTED_VALUE"""),"https://ahaonline.cz")</f>
        <v>https://ahaonline.cz</v>
      </c>
      <c r="E78" s="3" t="str">
        <f ca="1">IFERROR(__xludf.DUMMYFUNCTION("""COMPUTED_VALUE"""),"celý web")</f>
        <v>celý web</v>
      </c>
      <c r="F78" s="4" t="str">
        <f ca="1">IFERROR(__xludf.DUMMYFUNCTION("""COMPUTED_VALUE"""),"https://ahaonline.cz")</f>
        <v>https://ahaonline.cz</v>
      </c>
      <c r="G78" s="3" t="str">
        <f ca="1">IFERROR(__xludf.DUMMYFUNCTION("""COMPUTED_VALUE"""),"dokoupení proma o 2 týdny - 10 000 PV *** mid season")</f>
        <v>dokoupení proma o 2 týdny - 10 000 PV *** mid season</v>
      </c>
      <c r="H78" s="3">
        <f ca="1">IFERROR(__xludf.DUMMYFUNCTION("""COMPUTED_VALUE"""),1)</f>
        <v>1</v>
      </c>
      <c r="I78" s="5">
        <f ca="1">IFERROR(__xludf.DUMMYFUNCTION("""COMPUTED_VALUE"""),1)</f>
        <v>1</v>
      </c>
      <c r="J78" s="5">
        <f ca="1">IFERROR(__xludf.DUMMYFUNCTION("""COMPUTED_VALUE"""),60000)</f>
        <v>60000</v>
      </c>
      <c r="K78" s="3"/>
      <c r="L78" s="3" t="str">
        <f ca="1">IFERROR(__xludf.DUMMYFUNCTION("""COMPUTED_VALUE"""),"Cost per instance")</f>
        <v>Cost per instance</v>
      </c>
      <c r="M78" s="3"/>
      <c r="N78" s="3"/>
      <c r="O78" s="3"/>
      <c r="P78" s="3"/>
      <c r="Q78" s="3"/>
      <c r="R78" s="3"/>
      <c r="S78" s="3" t="str">
        <f ca="1">IFERROR(__xludf.DUMMYFUNCTION("""COMPUTED_VALUE"""),"100")</f>
        <v>100</v>
      </c>
      <c r="T78" s="3"/>
      <c r="U78" s="3" t="str">
        <f ca="1">IFERROR(__xludf.DUMMYFUNCTION("""COMPUTED_VALUE"""),"microsite")</f>
        <v>microsite</v>
      </c>
      <c r="V78" s="3"/>
      <c r="W78" s="3"/>
      <c r="X78" s="3"/>
      <c r="Y78" s="3"/>
      <c r="Z78" s="3" t="str">
        <f ca="1">IFERROR(__xludf.DUMMYFUNCTION("""COMPUTED_VALUE"""),"podklady@cncenter.cz")</f>
        <v>podklady@cncenter.cz</v>
      </c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 t="str">
        <f ca="1">IFERROR(__xludf.DUMMYFUNCTION("""COMPUTED_VALUE"""),"cross-device")</f>
        <v>cross-device</v>
      </c>
      <c r="AO78" s="3"/>
      <c r="AP78" s="3"/>
      <c r="AQ78" s="3"/>
      <c r="AR78" s="3"/>
      <c r="AS78" s="3"/>
      <c r="AT78" s="3"/>
      <c r="AU78" s="3" t="str">
        <f ca="1">IFERROR(__xludf.DUMMYFUNCTION("""COMPUTED_VALUE"""),"dokoupení proma o 2 týdny - 10 000 PV ***")</f>
        <v>dokoupení proma o 2 týdny - 10 000 PV ***</v>
      </c>
    </row>
    <row r="79" spans="1:47" x14ac:dyDescent="0.3">
      <c r="A79" s="3">
        <f ca="1"/>
        <v>2346826</v>
      </c>
      <c r="B79" s="3" t="str">
        <f ca="1"/>
        <v>CZECH NEWS CENTER a. s.</v>
      </c>
      <c r="C79" s="3" t="str">
        <f ca="1">IFERROR(__xludf.DUMMYFUNCTION("""COMPUTED_VALUE"""),"Ahaonline")</f>
        <v>Ahaonline</v>
      </c>
      <c r="D79" s="4" t="str">
        <f ca="1">IFERROR(__xludf.DUMMYFUNCTION("""COMPUTED_VALUE"""),"https://ahaonline.cz")</f>
        <v>https://ahaonline.cz</v>
      </c>
      <c r="E79" s="3" t="str">
        <f ca="1">IFERROR(__xludf.DUMMYFUNCTION("""COMPUTED_VALUE"""),"celý web")</f>
        <v>celý web</v>
      </c>
      <c r="F79" s="4" t="str">
        <f ca="1">IFERROR(__xludf.DUMMYFUNCTION("""COMPUTED_VALUE"""),"https://ahaonline.cz")</f>
        <v>https://ahaonline.cz</v>
      </c>
      <c r="G79" s="3" t="str">
        <f ca="1">IFERROR(__xludf.DUMMYFUNCTION("""COMPUTED_VALUE"""),"double skyscraper mid season")</f>
        <v>double skyscraper mid season</v>
      </c>
      <c r="H79" s="3">
        <f ca="1">IFERROR(__xludf.DUMMYFUNCTION("""COMPUTED_VALUE"""),7)</f>
        <v>7</v>
      </c>
      <c r="I79" s="5">
        <f ca="1">IFERROR(__xludf.DUMMYFUNCTION("""COMPUTED_VALUE"""),1000)</f>
        <v>1000</v>
      </c>
      <c r="J79" s="5">
        <f ca="1">IFERROR(__xludf.DUMMYFUNCTION("""COMPUTED_VALUE"""),270)</f>
        <v>270</v>
      </c>
      <c r="K79" s="3"/>
      <c r="L79" s="3" t="str">
        <f ca="1">IFERROR(__xludf.DUMMYFUNCTION("""COMPUTED_VALUE"""),"Cost per period")</f>
        <v>Cost per period</v>
      </c>
      <c r="M79" s="3"/>
      <c r="N79" s="3"/>
      <c r="O79" s="3" t="str">
        <f ca="1">IFERROR(__xludf.DUMMYFUNCTION("""COMPUTED_VALUE"""),"300")</f>
        <v>300</v>
      </c>
      <c r="P79" s="3" t="str">
        <f ca="1">IFERROR(__xludf.DUMMYFUNCTION("""COMPUTED_VALUE"""),"600")</f>
        <v>600</v>
      </c>
      <c r="Q79" s="3" t="str">
        <f ca="1">IFERROR(__xludf.DUMMYFUNCTION("""COMPUTED_VALUE"""),"300x600")</f>
        <v>300x600</v>
      </c>
      <c r="R79" s="3"/>
      <c r="S79" s="3" t="str">
        <f ca="1">IFERROR(__xludf.DUMMYFUNCTION("""COMPUTED_VALUE"""),"100 (200 - HTML5)")</f>
        <v>100 (200 - HTML5)</v>
      </c>
      <c r="T79" s="3"/>
      <c r="U79" s="3" t="str">
        <f ca="1">IFERROR(__xludf.DUMMYFUNCTION("""COMPUTED_VALUE"""),"banner standard")</f>
        <v>banner standard</v>
      </c>
      <c r="V79" s="3"/>
      <c r="W79" s="4" t="str">
        <f ca="1">IFERROR(__xludf.DUMMYFUNCTION("""COMPUTED_VALUE"""),"https://reklama.cncenter.cz/Online/double-skyscraper")</f>
        <v>https://reklama.cncenter.cz/Online/double-skyscraper</v>
      </c>
      <c r="X79" s="3"/>
      <c r="Y79" s="3"/>
      <c r="Z79" s="3" t="str">
        <f ca="1">IFERROR(__xludf.DUMMYFUNCTION("""COMPUTED_VALUE"""),"podklady@cncenter.cz")</f>
        <v>podklady@cncenter.cz</v>
      </c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 t="str">
        <f ca="1">IFERROR(__xludf.DUMMYFUNCTION("""COMPUTED_VALUE"""),"desktop")</f>
        <v>desktop</v>
      </c>
      <c r="AO79" s="3"/>
      <c r="AP79" s="3"/>
      <c r="AQ79" s="3"/>
      <c r="AR79" s="3"/>
      <c r="AS79" s="3"/>
      <c r="AT79" s="3"/>
      <c r="AU79" s="3" t="str">
        <f ca="1">IFERROR(__xludf.DUMMYFUNCTION("""COMPUTED_VALUE"""),"double skyscraper")</f>
        <v>double skyscraper</v>
      </c>
    </row>
    <row r="80" spans="1:47" x14ac:dyDescent="0.3">
      <c r="A80" s="3">
        <f ca="1"/>
        <v>2346826</v>
      </c>
      <c r="B80" s="3" t="str">
        <f ca="1"/>
        <v>CZECH NEWS CENTER a. s.</v>
      </c>
      <c r="C80" s="3" t="str">
        <f ca="1">IFERROR(__xludf.DUMMYFUNCTION("""COMPUTED_VALUE"""),"Ahaonline")</f>
        <v>Ahaonline</v>
      </c>
      <c r="D80" s="4" t="str">
        <f ca="1">IFERROR(__xludf.DUMMYFUNCTION("""COMPUTED_VALUE"""),"https://ahaonline.cz")</f>
        <v>https://ahaonline.cz</v>
      </c>
      <c r="E80" s="3" t="str">
        <f ca="1">IFERROR(__xludf.DUMMYFUNCTION("""COMPUTED_VALUE"""),"celý web")</f>
        <v>celý web</v>
      </c>
      <c r="F80" s="4" t="str">
        <f ca="1">IFERROR(__xludf.DUMMYFUNCTION("""COMPUTED_VALUE"""),"https://ahaonline.cz")</f>
        <v>https://ahaonline.cz</v>
      </c>
      <c r="G80" s="3" t="str">
        <f ca="1">IFERROR(__xludf.DUMMYFUNCTION("""COMPUTED_VALUE"""),"mobilní interscroller mid season")</f>
        <v>mobilní interscroller mid season</v>
      </c>
      <c r="H80" s="3">
        <f ca="1">IFERROR(__xludf.DUMMYFUNCTION("""COMPUTED_VALUE"""),7)</f>
        <v>7</v>
      </c>
      <c r="I80" s="5">
        <f ca="1">IFERROR(__xludf.DUMMYFUNCTION("""COMPUTED_VALUE"""),1000)</f>
        <v>1000</v>
      </c>
      <c r="J80" s="5">
        <f ca="1">IFERROR(__xludf.DUMMYFUNCTION("""COMPUTED_VALUE"""),350)</f>
        <v>350</v>
      </c>
      <c r="K80" s="3"/>
      <c r="L80" s="3" t="str">
        <f ca="1">IFERROR(__xludf.DUMMYFUNCTION("""COMPUTED_VALUE"""),"Cost per period")</f>
        <v>Cost per period</v>
      </c>
      <c r="M80" s="3"/>
      <c r="N80" s="3"/>
      <c r="O80" s="3" t="str">
        <f ca="1">IFERROR(__xludf.DUMMYFUNCTION("""COMPUTED_VALUE"""),"600")</f>
        <v>600</v>
      </c>
      <c r="P80" s="3" t="str">
        <f ca="1">IFERROR(__xludf.DUMMYFUNCTION("""COMPUTED_VALUE"""),"1080")</f>
        <v>1080</v>
      </c>
      <c r="Q80" s="3" t="str">
        <f ca="1">IFERROR(__xludf.DUMMYFUNCTION("""COMPUTED_VALUE"""),"600x1080")</f>
        <v>600x1080</v>
      </c>
      <c r="R80" s="3"/>
      <c r="S80" s="3" t="str">
        <f ca="1">IFERROR(__xludf.DUMMYFUNCTION("""COMPUTED_VALUE"""),"200")</f>
        <v>200</v>
      </c>
      <c r="T80" s="3"/>
      <c r="U80" s="3" t="str">
        <f ca="1">IFERROR(__xludf.DUMMYFUNCTION("""COMPUTED_VALUE"""),"banner standard")</f>
        <v>banner standard</v>
      </c>
      <c r="V80" s="3"/>
      <c r="W80" s="4" t="str">
        <f ca="1">IFERROR(__xludf.DUMMYFUNCTION("""COMPUTED_VALUE"""),"https://reklama.cncenter.cz/Online/mobilni-interscroller")</f>
        <v>https://reklama.cncenter.cz/Online/mobilni-interscroller</v>
      </c>
      <c r="X80" s="3"/>
      <c r="Y80" s="3"/>
      <c r="Z80" s="3" t="str">
        <f ca="1">IFERROR(__xludf.DUMMYFUNCTION("""COMPUTED_VALUE"""),"podklady@cncenter.cz")</f>
        <v>podklady@cncenter.cz</v>
      </c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 t="str">
        <f ca="1">IFERROR(__xludf.DUMMYFUNCTION("""COMPUTED_VALUE"""),"mobile")</f>
        <v>mobile</v>
      </c>
      <c r="AO80" s="3"/>
      <c r="AP80" s="3"/>
      <c r="AQ80" s="3"/>
      <c r="AR80" s="3"/>
      <c r="AS80" s="3"/>
      <c r="AT80" s="3"/>
      <c r="AU80" s="3" t="str">
        <f ca="1">IFERROR(__xludf.DUMMYFUNCTION("""COMPUTED_VALUE"""),"mobilní interscroller")</f>
        <v>mobilní interscroller</v>
      </c>
    </row>
    <row r="81" spans="1:47" x14ac:dyDescent="0.3">
      <c r="A81" s="3">
        <f ca="1"/>
        <v>2346826</v>
      </c>
      <c r="B81" s="3" t="str">
        <f ca="1"/>
        <v>CZECH NEWS CENTER a. s.</v>
      </c>
      <c r="C81" s="3" t="str">
        <f ca="1">IFERROR(__xludf.DUMMYFUNCTION("""COMPUTED_VALUE"""),"Ahaonline")</f>
        <v>Ahaonline</v>
      </c>
      <c r="D81" s="4" t="str">
        <f ca="1">IFERROR(__xludf.DUMMYFUNCTION("""COMPUTED_VALUE"""),"https://ahaonline.cz")</f>
        <v>https://ahaonline.cz</v>
      </c>
      <c r="E81" s="3" t="str">
        <f ca="1">IFERROR(__xludf.DUMMYFUNCTION("""COMPUTED_VALUE"""),"celý web")</f>
        <v>celý web</v>
      </c>
      <c r="F81" s="4" t="str">
        <f ca="1">IFERROR(__xludf.DUMMYFUNCTION("""COMPUTED_VALUE"""),"https://ahaonline.cz")</f>
        <v>https://ahaonline.cz</v>
      </c>
      <c r="G81" s="3" t="str">
        <f ca="1">IFERROR(__xludf.DUMMYFUNCTION("""COMPUTED_VALUE"""),"mobilní slide-up mid season")</f>
        <v>mobilní slide-up mid season</v>
      </c>
      <c r="H81" s="3">
        <f ca="1">IFERROR(__xludf.DUMMYFUNCTION("""COMPUTED_VALUE"""),7)</f>
        <v>7</v>
      </c>
      <c r="I81" s="5">
        <f ca="1">IFERROR(__xludf.DUMMYFUNCTION("""COMPUTED_VALUE"""),1000)</f>
        <v>1000</v>
      </c>
      <c r="J81" s="5">
        <f ca="1">IFERROR(__xludf.DUMMYFUNCTION("""COMPUTED_VALUE"""),720)</f>
        <v>720</v>
      </c>
      <c r="K81" s="3"/>
      <c r="L81" s="3" t="str">
        <f ca="1">IFERROR(__xludf.DUMMYFUNCTION("""COMPUTED_VALUE"""),"Cost per period")</f>
        <v>Cost per period</v>
      </c>
      <c r="M81" s="3"/>
      <c r="N81" s="3"/>
      <c r="O81" s="3" t="str">
        <f ca="1">IFERROR(__xludf.DUMMYFUNCTION("""COMPUTED_VALUE"""),"300")</f>
        <v>300</v>
      </c>
      <c r="P81" s="3" t="str">
        <f ca="1">IFERROR(__xludf.DUMMYFUNCTION("""COMPUTED_VALUE"""),"120")</f>
        <v>120</v>
      </c>
      <c r="Q81" s="3" t="str">
        <f ca="1">IFERROR(__xludf.DUMMYFUNCTION("""COMPUTED_VALUE"""),"300x120")</f>
        <v>300x120</v>
      </c>
      <c r="R81" s="3"/>
      <c r="S81" s="3" t="str">
        <f ca="1">IFERROR(__xludf.DUMMYFUNCTION("""COMPUTED_VALUE"""),"100")</f>
        <v>100</v>
      </c>
      <c r="T81" s="3"/>
      <c r="U81" s="3" t="str">
        <f ca="1">IFERROR(__xludf.DUMMYFUNCTION("""COMPUTED_VALUE"""),"banner standard")</f>
        <v>banner standard</v>
      </c>
      <c r="V81" s="3"/>
      <c r="W81" s="4" t="str">
        <f ca="1">IFERROR(__xludf.DUMMYFUNCTION("""COMPUTED_VALUE"""),"https://reklama.cncenter.cz/Online/mobilni-slide-up")</f>
        <v>https://reklama.cncenter.cz/Online/mobilni-slide-up</v>
      </c>
      <c r="X81" s="3"/>
      <c r="Y81" s="3"/>
      <c r="Z81" s="3" t="str">
        <f ca="1">IFERROR(__xludf.DUMMYFUNCTION("""COMPUTED_VALUE"""),"podklady@cncenter.cz")</f>
        <v>podklady@cncenter.cz</v>
      </c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 t="str">
        <f ca="1">IFERROR(__xludf.DUMMYFUNCTION("""COMPUTED_VALUE"""),"mobile")</f>
        <v>mobile</v>
      </c>
      <c r="AO81" s="3"/>
      <c r="AP81" s="3"/>
      <c r="AQ81" s="3"/>
      <c r="AR81" s="3"/>
      <c r="AS81" s="3"/>
      <c r="AT81" s="3"/>
      <c r="AU81" s="3" t="str">
        <f ca="1">IFERROR(__xludf.DUMMYFUNCTION("""COMPUTED_VALUE"""),"mobilní slide-up")</f>
        <v>mobilní slide-up</v>
      </c>
    </row>
    <row r="82" spans="1:47" x14ac:dyDescent="0.3">
      <c r="A82" s="3">
        <f ca="1"/>
        <v>2346826</v>
      </c>
      <c r="B82" s="3" t="str">
        <f ca="1"/>
        <v>CZECH NEWS CENTER a. s.</v>
      </c>
      <c r="C82" s="3" t="str">
        <f ca="1">IFERROR(__xludf.DUMMYFUNCTION("""COMPUTED_VALUE"""),"Ahaonline")</f>
        <v>Ahaonline</v>
      </c>
      <c r="D82" s="4" t="str">
        <f ca="1">IFERROR(__xludf.DUMMYFUNCTION("""COMPUTED_VALUE"""),"https://ahaonline.cz")</f>
        <v>https://ahaonline.cz</v>
      </c>
      <c r="E82" s="3" t="str">
        <f ca="1">IFERROR(__xludf.DUMMYFUNCTION("""COMPUTED_VALUE"""),"celý web")</f>
        <v>celý web</v>
      </c>
      <c r="F82" s="4" t="str">
        <f ca="1">IFERROR(__xludf.DUMMYFUNCTION("""COMPUTED_VALUE"""),"https://ahaonline.cz")</f>
        <v>https://ahaonline.cz</v>
      </c>
      <c r="G82" s="3" t="str">
        <f ca="1">IFERROR(__xludf.DUMMYFUNCTION("""COMPUTED_VALUE"""),"mobilní viněta mid season")</f>
        <v>mobilní viněta mid season</v>
      </c>
      <c r="H82" s="3">
        <f ca="1">IFERROR(__xludf.DUMMYFUNCTION("""COMPUTED_VALUE"""),7)</f>
        <v>7</v>
      </c>
      <c r="I82" s="5">
        <f ca="1">IFERROR(__xludf.DUMMYFUNCTION("""COMPUTED_VALUE"""),1000)</f>
        <v>1000</v>
      </c>
      <c r="J82" s="5">
        <f ca="1">IFERROR(__xludf.DUMMYFUNCTION("""COMPUTED_VALUE"""),1240)</f>
        <v>1240</v>
      </c>
      <c r="K82" s="3"/>
      <c r="L82" s="3" t="str">
        <f ca="1">IFERROR(__xludf.DUMMYFUNCTION("""COMPUTED_VALUE"""),"Cost per period")</f>
        <v>Cost per period</v>
      </c>
      <c r="M82" s="3"/>
      <c r="N82" s="3"/>
      <c r="O82" s="3" t="str">
        <f ca="1">IFERROR(__xludf.DUMMYFUNCTION("""COMPUTED_VALUE"""),"600")</f>
        <v>600</v>
      </c>
      <c r="P82" s="3" t="str">
        <f ca="1">IFERROR(__xludf.DUMMYFUNCTION("""COMPUTED_VALUE"""),"800")</f>
        <v>800</v>
      </c>
      <c r="Q82" s="3" t="str">
        <f ca="1">IFERROR(__xludf.DUMMYFUNCTION("""COMPUTED_VALUE"""),"300x250 nebo 600x800")</f>
        <v>300x250 nebo 600x800</v>
      </c>
      <c r="R82" s="3"/>
      <c r="S82" s="3" t="str">
        <f ca="1">IFERROR(__xludf.DUMMYFUNCTION("""COMPUTED_VALUE"""),"100")</f>
        <v>100</v>
      </c>
      <c r="T82" s="3"/>
      <c r="U82" s="3" t="str">
        <f ca="1">IFERROR(__xludf.DUMMYFUNCTION("""COMPUTED_VALUE"""),"banner standard")</f>
        <v>banner standard</v>
      </c>
      <c r="V82" s="3"/>
      <c r="W82" s="4" t="str">
        <f ca="1">IFERROR(__xludf.DUMMYFUNCTION("""COMPUTED_VALUE"""),"https://reklama.cncenter.cz/Online/mobilni-vineta")</f>
        <v>https://reklama.cncenter.cz/Online/mobilni-vineta</v>
      </c>
      <c r="X82" s="3"/>
      <c r="Y82" s="3"/>
      <c r="Z82" s="3" t="str">
        <f ca="1">IFERROR(__xludf.DUMMYFUNCTION("""COMPUTED_VALUE"""),"podklady@cncenter.cz")</f>
        <v>podklady@cncenter.cz</v>
      </c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 t="str">
        <f ca="1">IFERROR(__xludf.DUMMYFUNCTION("""COMPUTED_VALUE"""),"mobile")</f>
        <v>mobile</v>
      </c>
      <c r="AO82" s="3"/>
      <c r="AP82" s="3"/>
      <c r="AQ82" s="3"/>
      <c r="AR82" s="3"/>
      <c r="AS82" s="3"/>
      <c r="AT82" s="3"/>
      <c r="AU82" s="3" t="str">
        <f ca="1">IFERROR(__xludf.DUMMYFUNCTION("""COMPUTED_VALUE"""),"mobilní viněta")</f>
        <v>mobilní viněta</v>
      </c>
    </row>
    <row r="83" spans="1:47" x14ac:dyDescent="0.3">
      <c r="A83" s="3">
        <f ca="1"/>
        <v>2346826</v>
      </c>
      <c r="B83" s="3" t="str">
        <f ca="1"/>
        <v>CZECH NEWS CENTER a. s.</v>
      </c>
      <c r="C83" s="3" t="str">
        <f ca="1">IFERROR(__xludf.DUMMYFUNCTION("""COMPUTED_VALUE"""),"Ahaonline")</f>
        <v>Ahaonline</v>
      </c>
      <c r="D83" s="4" t="str">
        <f ca="1">IFERROR(__xludf.DUMMYFUNCTION("""COMPUTED_VALUE"""),"https://ahaonline.cz")</f>
        <v>https://ahaonline.cz</v>
      </c>
      <c r="E83" s="3" t="str">
        <f ca="1">IFERROR(__xludf.DUMMYFUNCTION("""COMPUTED_VALUE"""),"celý web")</f>
        <v>celý web</v>
      </c>
      <c r="F83" s="4" t="str">
        <f ca="1">IFERROR(__xludf.DUMMYFUNCTION("""COMPUTED_VALUE"""),"https://ahaonline.cz")</f>
        <v>https://ahaonline.cz</v>
      </c>
      <c r="G83" s="3" t="str">
        <f ca="1">IFERROR(__xludf.DUMMYFUNCTION("""COMPUTED_VALUE"""),"Native Standard mid season")</f>
        <v>Native Standard mid season</v>
      </c>
      <c r="H83" s="3">
        <f ca="1">IFERROR(__xludf.DUMMYFUNCTION("""COMPUTED_VALUE"""),1)</f>
        <v>1</v>
      </c>
      <c r="I83" s="5">
        <f ca="1">IFERROR(__xludf.DUMMYFUNCTION("""COMPUTED_VALUE"""),1)</f>
        <v>1</v>
      </c>
      <c r="J83" s="5">
        <f ca="1">IFERROR(__xludf.DUMMYFUNCTION("""COMPUTED_VALUE"""),330000)</f>
        <v>330000</v>
      </c>
      <c r="K83" s="3"/>
      <c r="L83" s="3" t="str">
        <f ca="1">IFERROR(__xludf.DUMMYFUNCTION("""COMPUTED_VALUE"""),"Cost per instance")</f>
        <v>Cost per instance</v>
      </c>
      <c r="M83" s="3"/>
      <c r="N83" s="3"/>
      <c r="O83" s="3"/>
      <c r="P83" s="3"/>
      <c r="Q83" s="3"/>
      <c r="R83" s="3"/>
      <c r="S83" s="3" t="str">
        <f ca="1">IFERROR(__xludf.DUMMYFUNCTION("""COMPUTED_VALUE"""),"100")</f>
        <v>100</v>
      </c>
      <c r="T83" s="3"/>
      <c r="U83" s="3" t="str">
        <f ca="1">IFERROR(__xludf.DUMMYFUNCTION("""COMPUTED_VALUE"""),"microsite")</f>
        <v>microsite</v>
      </c>
      <c r="V83" s="3"/>
      <c r="W83" s="3"/>
      <c r="X83" s="3"/>
      <c r="Y83" s="3"/>
      <c r="Z83" s="3" t="str">
        <f ca="1">IFERROR(__xludf.DUMMYFUNCTION("""COMPUTED_VALUE"""),"podklady@cncenter.cz")</f>
        <v>podklady@cncenter.cz</v>
      </c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 t="str">
        <f ca="1">IFERROR(__xludf.DUMMYFUNCTION("""COMPUTED_VALUE"""),"cross-device")</f>
        <v>cross-device</v>
      </c>
      <c r="AO83" s="3"/>
      <c r="AP83" s="3"/>
      <c r="AQ83" s="3"/>
      <c r="AR83" s="3"/>
      <c r="AS83" s="3"/>
      <c r="AT83" s="3"/>
      <c r="AU83" s="3" t="str">
        <f ca="1">IFERROR(__xludf.DUMMYFUNCTION("""COMPUTED_VALUE"""),"Native Standard")</f>
        <v>Native Standard</v>
      </c>
    </row>
    <row r="84" spans="1:47" x14ac:dyDescent="0.3">
      <c r="A84" s="3">
        <f ca="1"/>
        <v>2346826</v>
      </c>
      <c r="B84" s="3" t="str">
        <f ca="1"/>
        <v>CZECH NEWS CENTER a. s.</v>
      </c>
      <c r="C84" s="3" t="str">
        <f ca="1">IFERROR(__xludf.DUMMYFUNCTION("""COMPUTED_VALUE"""),"Ahaonline")</f>
        <v>Ahaonline</v>
      </c>
      <c r="D84" s="4" t="str">
        <f ca="1">IFERROR(__xludf.DUMMYFUNCTION("""COMPUTED_VALUE"""),"https://ahaonline.cz")</f>
        <v>https://ahaonline.cz</v>
      </c>
      <c r="E84" s="3" t="str">
        <f ca="1">IFERROR(__xludf.DUMMYFUNCTION("""COMPUTED_VALUE"""),"celý web")</f>
        <v>celý web</v>
      </c>
      <c r="F84" s="4" t="str">
        <f ca="1">IFERROR(__xludf.DUMMYFUNCTION("""COMPUTED_VALUE"""),"https://ahaonline.cz")</f>
        <v>https://ahaonline.cz</v>
      </c>
      <c r="G84" s="3" t="str">
        <f ca="1">IFERROR(__xludf.DUMMYFUNCTION("""COMPUTED_VALUE"""),"nativní pr premium mid season")</f>
        <v>nativní pr premium mid season</v>
      </c>
      <c r="H84" s="3">
        <f ca="1">IFERROR(__xludf.DUMMYFUNCTION("""COMPUTED_VALUE"""),7)</f>
        <v>7</v>
      </c>
      <c r="I84" s="5">
        <f ca="1">IFERROR(__xludf.DUMMYFUNCTION("""COMPUTED_VALUE"""),1000)</f>
        <v>1000</v>
      </c>
      <c r="J84" s="5">
        <f ca="1">IFERROR(__xludf.DUMMYFUNCTION("""COMPUTED_VALUE"""),140)</f>
        <v>140</v>
      </c>
      <c r="K84" s="3"/>
      <c r="L84" s="3" t="str">
        <f ca="1">IFERROR(__xludf.DUMMYFUNCTION("""COMPUTED_VALUE"""),"Cost per period")</f>
        <v>Cost per period</v>
      </c>
      <c r="M84" s="3"/>
      <c r="N84" s="3"/>
      <c r="O84" s="3" t="str">
        <f ca="1">IFERROR(__xludf.DUMMYFUNCTION("""COMPUTED_VALUE"""),"640")</f>
        <v>640</v>
      </c>
      <c r="P84" s="3" t="str">
        <f ca="1">IFERROR(__xludf.DUMMYFUNCTION("""COMPUTED_VALUE"""),"335, 640")</f>
        <v>335, 640</v>
      </c>
      <c r="Q84" s="3" t="str">
        <f ca="1">IFERROR(__xludf.DUMMYFUNCTION("""COMPUTED_VALUE"""),"640x640 a 640x335 + text + logo")</f>
        <v>640x640 a 640x335 + text + logo</v>
      </c>
      <c r="R84" s="3" t="str">
        <f ca="1">IFERROR(__xludf.DUMMYFUNCTION("""COMPUTED_VALUE"""),"detailní specifikace na URL odkaze")</f>
        <v>detailní specifikace na URL odkaze</v>
      </c>
      <c r="S84" s="3" t="str">
        <f ca="1">IFERROR(__xludf.DUMMYFUNCTION("""COMPUTED_VALUE"""),"100")</f>
        <v>100</v>
      </c>
      <c r="T84" s="3"/>
      <c r="U84" s="3" t="str">
        <f ca="1">IFERROR(__xludf.DUMMYFUNCTION("""COMPUTED_VALUE"""),"nativní reklama")</f>
        <v>nativní reklama</v>
      </c>
      <c r="V84" s="3"/>
      <c r="W84" s="4" t="str">
        <f ca="1">IFERROR(__xludf.DUMMYFUNCTION("""COMPUTED_VALUE"""),"https://reklama.cncenter.cz/Online/nativni-PR-premium")</f>
        <v>https://reklama.cncenter.cz/Online/nativni-PR-premium</v>
      </c>
      <c r="X84" s="3"/>
      <c r="Y84" s="3"/>
      <c r="Z84" s="3" t="str">
        <f ca="1">IFERROR(__xludf.DUMMYFUNCTION("""COMPUTED_VALUE"""),"podklady@cncenter.cz")</f>
        <v>podklady@cncenter.cz</v>
      </c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 t="str">
        <f ca="1">IFERROR(__xludf.DUMMYFUNCTION("""COMPUTED_VALUE"""),"cross-device")</f>
        <v>cross-device</v>
      </c>
      <c r="AO84" s="3"/>
      <c r="AP84" s="3"/>
      <c r="AQ84" s="3"/>
      <c r="AR84" s="3"/>
      <c r="AS84" s="3"/>
      <c r="AT84" s="3"/>
      <c r="AU84" s="3" t="str">
        <f ca="1">IFERROR(__xludf.DUMMYFUNCTION("""COMPUTED_VALUE"""),"nativní pr premium")</f>
        <v>nativní pr premium</v>
      </c>
    </row>
    <row r="85" spans="1:47" x14ac:dyDescent="0.3">
      <c r="A85" s="3">
        <f ca="1"/>
        <v>2346826</v>
      </c>
      <c r="B85" s="3" t="str">
        <f ca="1"/>
        <v>CZECH NEWS CENTER a. s.</v>
      </c>
      <c r="C85" s="3" t="str">
        <f ca="1">IFERROR(__xludf.DUMMYFUNCTION("""COMPUTED_VALUE"""),"Ahaonline")</f>
        <v>Ahaonline</v>
      </c>
      <c r="D85" s="4" t="str">
        <f ca="1">IFERROR(__xludf.DUMMYFUNCTION("""COMPUTED_VALUE"""),"https://ahaonline.cz")</f>
        <v>https://ahaonline.cz</v>
      </c>
      <c r="E85" s="3" t="str">
        <f ca="1">IFERROR(__xludf.DUMMYFUNCTION("""COMPUTED_VALUE"""),"celý web")</f>
        <v>celý web</v>
      </c>
      <c r="F85" s="4" t="str">
        <f ca="1">IFERROR(__xludf.DUMMYFUNCTION("""COMPUTED_VALUE"""),"https://ahaonline.cz")</f>
        <v>https://ahaonline.cz</v>
      </c>
      <c r="G85" s="3" t="str">
        <f ca="1">IFERROR(__xludf.DUMMYFUNCTION("""COMPUTED_VALUE"""),"nativní rectangle cross-device mid season")</f>
        <v>nativní rectangle cross-device mid season</v>
      </c>
      <c r="H85" s="3">
        <f ca="1">IFERROR(__xludf.DUMMYFUNCTION("""COMPUTED_VALUE"""),7)</f>
        <v>7</v>
      </c>
      <c r="I85" s="5">
        <f ca="1">IFERROR(__xludf.DUMMYFUNCTION("""COMPUTED_VALUE"""),1000)</f>
        <v>1000</v>
      </c>
      <c r="J85" s="5">
        <f ca="1">IFERROR(__xludf.DUMMYFUNCTION("""COMPUTED_VALUE"""),280)</f>
        <v>280</v>
      </c>
      <c r="K85" s="3"/>
      <c r="L85" s="3" t="str">
        <f ca="1">IFERROR(__xludf.DUMMYFUNCTION("""COMPUTED_VALUE"""),"Cost per period")</f>
        <v>Cost per period</v>
      </c>
      <c r="M85" s="3"/>
      <c r="N85" s="3"/>
      <c r="O85" s="3" t="str">
        <f ca="1">IFERROR(__xludf.DUMMYFUNCTION("""COMPUTED_VALUE"""),"640")</f>
        <v>640</v>
      </c>
      <c r="P85" s="3" t="str">
        <f ca="1">IFERROR(__xludf.DUMMYFUNCTION("""COMPUTED_VALUE"""),"335, 640")</f>
        <v>335, 640</v>
      </c>
      <c r="Q85" s="3" t="str">
        <f ca="1">IFERROR(__xludf.DUMMYFUNCTION("""COMPUTED_VALUE"""),"640x640 a 640x335 + text + logo")</f>
        <v>640x640 a 640x335 + text + logo</v>
      </c>
      <c r="R85" s="3"/>
      <c r="S85" s="3" t="str">
        <f ca="1">IFERROR(__xludf.DUMMYFUNCTION("""COMPUTED_VALUE"""),"45")</f>
        <v>45</v>
      </c>
      <c r="T85" s="3"/>
      <c r="U85" s="3" t="str">
        <f ca="1">IFERROR(__xludf.DUMMYFUNCTION("""COMPUTED_VALUE"""),"nativní reklama")</f>
        <v>nativní reklama</v>
      </c>
      <c r="V85" s="3"/>
      <c r="W85" s="4" t="str">
        <f ca="1">IFERROR(__xludf.DUMMYFUNCTION("""COMPUTED_VALUE"""),"https://reklama.cncenter.cz/Online/nativni-rectangle-cross-device")</f>
        <v>https://reklama.cncenter.cz/Online/nativni-rectangle-cross-device</v>
      </c>
      <c r="X85" s="3"/>
      <c r="Y85" s="3"/>
      <c r="Z85" s="3" t="str">
        <f ca="1">IFERROR(__xludf.DUMMYFUNCTION("""COMPUTED_VALUE"""),"podklady@cncenter.cz")</f>
        <v>podklady@cncenter.cz</v>
      </c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 t="str">
        <f ca="1">IFERROR(__xludf.DUMMYFUNCTION("""COMPUTED_VALUE"""),"cross-device")</f>
        <v>cross-device</v>
      </c>
      <c r="AO85" s="3"/>
      <c r="AP85" s="3"/>
      <c r="AQ85" s="3"/>
      <c r="AR85" s="3"/>
      <c r="AS85" s="3"/>
      <c r="AT85" s="3"/>
      <c r="AU85" s="3" t="str">
        <f ca="1">IFERROR(__xludf.DUMMYFUNCTION("""COMPUTED_VALUE"""),"nativní rectangle cross-device")</f>
        <v>nativní rectangle cross-device</v>
      </c>
    </row>
    <row r="86" spans="1:47" x14ac:dyDescent="0.3">
      <c r="A86" s="3">
        <f ca="1"/>
        <v>2346826</v>
      </c>
      <c r="B86" s="3" t="str">
        <f ca="1"/>
        <v>CZECH NEWS CENTER a. s.</v>
      </c>
      <c r="C86" s="3" t="str">
        <f ca="1">IFERROR(__xludf.DUMMYFUNCTION("""COMPUTED_VALUE"""),"Ahaonline")</f>
        <v>Ahaonline</v>
      </c>
      <c r="D86" s="4" t="str">
        <f ca="1">IFERROR(__xludf.DUMMYFUNCTION("""COMPUTED_VALUE"""),"https://ahaonline.cz")</f>
        <v>https://ahaonline.cz</v>
      </c>
      <c r="E86" s="3" t="str">
        <f ca="1">IFERROR(__xludf.DUMMYFUNCTION("""COMPUTED_VALUE"""),"celý web")</f>
        <v>celý web</v>
      </c>
      <c r="F86" s="4" t="str">
        <f ca="1">IFERROR(__xludf.DUMMYFUNCTION("""COMPUTED_VALUE"""),"https://ahaonline.cz")</f>
        <v>https://ahaonline.cz</v>
      </c>
      <c r="G86" s="3" t="str">
        <f ca="1">IFERROR(__xludf.DUMMYFUNCTION("""COMPUTED_VALUE"""),"outstream mid season")</f>
        <v>outstream mid season</v>
      </c>
      <c r="H86" s="3">
        <f ca="1">IFERROR(__xludf.DUMMYFUNCTION("""COMPUTED_VALUE"""),7)</f>
        <v>7</v>
      </c>
      <c r="I86" s="5">
        <f ca="1">IFERROR(__xludf.DUMMYFUNCTION("""COMPUTED_VALUE"""),1000)</f>
        <v>1000</v>
      </c>
      <c r="J86" s="5">
        <f ca="1">IFERROR(__xludf.DUMMYFUNCTION("""COMPUTED_VALUE"""),350)</f>
        <v>350</v>
      </c>
      <c r="K86" s="3"/>
      <c r="L86" s="3" t="str">
        <f ca="1">IFERROR(__xludf.DUMMYFUNCTION("""COMPUTED_VALUE"""),"Cost per period")</f>
        <v>Cost per period</v>
      </c>
      <c r="M86" s="3"/>
      <c r="N86" s="3"/>
      <c r="O86" s="3" t="str">
        <f ca="1">IFERROR(__xludf.DUMMYFUNCTION("""COMPUTED_VALUE"""),"1280")</f>
        <v>1280</v>
      </c>
      <c r="P86" s="3" t="str">
        <f ca="1">IFERROR(__xludf.DUMMYFUNCTION("""COMPUTED_VALUE"""),"720")</f>
        <v>720</v>
      </c>
      <c r="Q86" s="3" t="str">
        <f ca="1">IFERROR(__xludf.DUMMYFUNCTION("""COMPUTED_VALUE"""),"16:9")</f>
        <v>16:9</v>
      </c>
      <c r="R86" s="3"/>
      <c r="S86" s="3" t="str">
        <f ca="1">IFERROR(__xludf.DUMMYFUNCTION("""COMPUTED_VALUE"""),"100")</f>
        <v>100</v>
      </c>
      <c r="T86" s="3"/>
      <c r="U86" s="3" t="str">
        <f ca="1">IFERROR(__xludf.DUMMYFUNCTION("""COMPUTED_VALUE"""),"videospot")</f>
        <v>videospot</v>
      </c>
      <c r="V86" s="3"/>
      <c r="W86" s="4" t="str">
        <f ca="1">IFERROR(__xludf.DUMMYFUNCTION("""COMPUTED_VALUE"""),"https://reklama.cncenter.cz/Online/Outstream")</f>
        <v>https://reklama.cncenter.cz/Online/Outstream</v>
      </c>
      <c r="X86" s="3"/>
      <c r="Y86" s="3"/>
      <c r="Z86" s="3" t="str">
        <f ca="1">IFERROR(__xludf.DUMMYFUNCTION("""COMPUTED_VALUE"""),"podklady@cncenter.cz")</f>
        <v>podklady@cncenter.cz</v>
      </c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 t="str">
        <f ca="1">IFERROR(__xludf.DUMMYFUNCTION("""COMPUTED_VALUE"""),"cross-device")</f>
        <v>cross-device</v>
      </c>
      <c r="AO86" s="3"/>
      <c r="AP86" s="3"/>
      <c r="AQ86" s="3"/>
      <c r="AR86" s="3"/>
      <c r="AS86" s="3"/>
      <c r="AT86" s="3"/>
      <c r="AU86" s="3" t="str">
        <f ca="1">IFERROR(__xludf.DUMMYFUNCTION("""COMPUTED_VALUE"""),"outstream")</f>
        <v>outstream</v>
      </c>
    </row>
    <row r="87" spans="1:47" x14ac:dyDescent="0.3">
      <c r="A87" s="3">
        <f ca="1"/>
        <v>2346826</v>
      </c>
      <c r="B87" s="3" t="str">
        <f ca="1"/>
        <v>CZECH NEWS CENTER a. s.</v>
      </c>
      <c r="C87" s="3" t="str">
        <f ca="1">IFERROR(__xludf.DUMMYFUNCTION("""COMPUTED_VALUE"""),"Ahaonline")</f>
        <v>Ahaonline</v>
      </c>
      <c r="D87" s="4" t="str">
        <f ca="1">IFERROR(__xludf.DUMMYFUNCTION("""COMPUTED_VALUE"""),"https://ahaonline.cz")</f>
        <v>https://ahaonline.cz</v>
      </c>
      <c r="E87" s="3" t="str">
        <f ca="1">IFERROR(__xludf.DUMMYFUNCTION("""COMPUTED_VALUE"""),"celý web")</f>
        <v>celý web</v>
      </c>
      <c r="F87" s="4" t="str">
        <f ca="1">IFERROR(__xludf.DUMMYFUNCTION("""COMPUTED_VALUE"""),"https://ahaonline.cz")</f>
        <v>https://ahaonline.cz</v>
      </c>
      <c r="G87" s="3" t="str">
        <f ca="1">IFERROR(__xludf.DUMMYFUNCTION("""COMPUTED_VALUE"""),"PR článek mid season")</f>
        <v>PR článek mid season</v>
      </c>
      <c r="H87" s="3">
        <f ca="1">IFERROR(__xludf.DUMMYFUNCTION("""COMPUTED_VALUE"""),1)</f>
        <v>1</v>
      </c>
      <c r="I87" s="5">
        <f ca="1">IFERROR(__xludf.DUMMYFUNCTION("""COMPUTED_VALUE"""),1)</f>
        <v>1</v>
      </c>
      <c r="J87" s="5">
        <f ca="1">IFERROR(__xludf.DUMMYFUNCTION("""COMPUTED_VALUE"""),30000)</f>
        <v>30000</v>
      </c>
      <c r="K87" s="3"/>
      <c r="L87" s="3" t="str">
        <f ca="1">IFERROR(__xludf.DUMMYFUNCTION("""COMPUTED_VALUE"""),"Cost per instance")</f>
        <v>Cost per instance</v>
      </c>
      <c r="M87" s="3"/>
      <c r="N87" s="3"/>
      <c r="O87" s="3"/>
      <c r="P87" s="3"/>
      <c r="Q87" s="3"/>
      <c r="R87" s="3"/>
      <c r="S87" s="3" t="str">
        <f ca="1">IFERROR(__xludf.DUMMYFUNCTION("""COMPUTED_VALUE"""),"100")</f>
        <v>100</v>
      </c>
      <c r="T87" s="3"/>
      <c r="U87" s="3" t="str">
        <f ca="1">IFERROR(__xludf.DUMMYFUNCTION("""COMPUTED_VALUE"""),"pr článek")</f>
        <v>pr článek</v>
      </c>
      <c r="V87" s="3"/>
      <c r="W87" s="4" t="str">
        <f ca="1">IFERROR(__xludf.DUMMYFUNCTION("""COMPUTED_VALUE"""),"https://reklama.cncenter.cz/?ads=PR%2520%25C4%258Dl%25C3%25A1nky")</f>
        <v>https://reklama.cncenter.cz/?ads=PR%2520%25C4%258Dl%25C3%25A1nky</v>
      </c>
      <c r="X87" s="3"/>
      <c r="Y87" s="3"/>
      <c r="Z87" s="3" t="str">
        <f ca="1">IFERROR(__xludf.DUMMYFUNCTION("""COMPUTED_VALUE"""),"podklady@cncenter.cz")</f>
        <v>podklady@cncenter.cz</v>
      </c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 t="str">
        <f ca="1">IFERROR(__xludf.DUMMYFUNCTION("""COMPUTED_VALUE"""),"cross-device")</f>
        <v>cross-device</v>
      </c>
      <c r="AO87" s="3"/>
      <c r="AP87" s="3"/>
      <c r="AQ87" s="3"/>
      <c r="AR87" s="3"/>
      <c r="AS87" s="3"/>
      <c r="AT87" s="3"/>
      <c r="AU87" s="3" t="str">
        <f ca="1">IFERROR(__xludf.DUMMYFUNCTION("""COMPUTED_VALUE"""),"PR článek")</f>
        <v>PR článek</v>
      </c>
    </row>
    <row r="88" spans="1:47" x14ac:dyDescent="0.3">
      <c r="A88" s="3">
        <f ca="1"/>
        <v>2346826</v>
      </c>
      <c r="B88" s="3" t="str">
        <f ca="1"/>
        <v>CZECH NEWS CENTER a. s.</v>
      </c>
      <c r="C88" s="3" t="str">
        <f ca="1">IFERROR(__xludf.DUMMYFUNCTION("""COMPUTED_VALUE"""),"Ahaonline")</f>
        <v>Ahaonline</v>
      </c>
      <c r="D88" s="4" t="str">
        <f ca="1">IFERROR(__xludf.DUMMYFUNCTION("""COMPUTED_VALUE"""),"https://ahaonline.cz")</f>
        <v>https://ahaonline.cz</v>
      </c>
      <c r="E88" s="3" t="str">
        <f ca="1">IFERROR(__xludf.DUMMYFUNCTION("""COMPUTED_VALUE"""),"celý web")</f>
        <v>celý web</v>
      </c>
      <c r="F88" s="4" t="str">
        <f ca="1">IFERROR(__xludf.DUMMYFUNCTION("""COMPUTED_VALUE"""),"https://ahaonline.cz")</f>
        <v>https://ahaonline.cz</v>
      </c>
      <c r="G88" s="3" t="str">
        <f ca="1">IFERROR(__xludf.DUMMYFUNCTION("""COMPUTED_VALUE"""),"Prodloužení existující microsite, bez úprav mid season")</f>
        <v>Prodloužení existující microsite, bez úprav mid season</v>
      </c>
      <c r="H88" s="3">
        <f ca="1">IFERROR(__xludf.DUMMYFUNCTION("""COMPUTED_VALUE"""),1)</f>
        <v>1</v>
      </c>
      <c r="I88" s="5">
        <f ca="1">IFERROR(__xludf.DUMMYFUNCTION("""COMPUTED_VALUE"""),1)</f>
        <v>1</v>
      </c>
      <c r="J88" s="5">
        <f ca="1">IFERROR(__xludf.DUMMYFUNCTION("""COMPUTED_VALUE"""),15000)</f>
        <v>15000</v>
      </c>
      <c r="K88" s="3"/>
      <c r="L88" s="3" t="str">
        <f ca="1">IFERROR(__xludf.DUMMYFUNCTION("""COMPUTED_VALUE"""),"Cost per instance")</f>
        <v>Cost per instance</v>
      </c>
      <c r="M88" s="3"/>
      <c r="N88" s="3"/>
      <c r="O88" s="3"/>
      <c r="P88" s="3"/>
      <c r="Q88" s="3"/>
      <c r="R88" s="3"/>
      <c r="S88" s="3" t="str">
        <f ca="1">IFERROR(__xludf.DUMMYFUNCTION("""COMPUTED_VALUE"""),"100")</f>
        <v>100</v>
      </c>
      <c r="T88" s="3"/>
      <c r="U88" s="3" t="str">
        <f ca="1">IFERROR(__xludf.DUMMYFUNCTION("""COMPUTED_VALUE"""),"microsite")</f>
        <v>microsite</v>
      </c>
      <c r="V88" s="3"/>
      <c r="W88" s="3"/>
      <c r="X88" s="3"/>
      <c r="Y88" s="3"/>
      <c r="Z88" s="3" t="str">
        <f ca="1">IFERROR(__xludf.DUMMYFUNCTION("""COMPUTED_VALUE"""),"podklady@cncenter.cz")</f>
        <v>podklady@cncenter.cz</v>
      </c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 t="str">
        <f ca="1">IFERROR(__xludf.DUMMYFUNCTION("""COMPUTED_VALUE"""),"cross-device")</f>
        <v>cross-device</v>
      </c>
      <c r="AO88" s="3"/>
      <c r="AP88" s="3"/>
      <c r="AQ88" s="3"/>
      <c r="AR88" s="3"/>
      <c r="AS88" s="3"/>
      <c r="AT88" s="3"/>
      <c r="AU88" s="3" t="str">
        <f ca="1">IFERROR(__xludf.DUMMYFUNCTION("""COMPUTED_VALUE"""),"Prodloužení existující microsite, bez úprav")</f>
        <v>Prodloužení existující microsite, bez úprav</v>
      </c>
    </row>
    <row r="89" spans="1:47" x14ac:dyDescent="0.3">
      <c r="A89" s="3">
        <f ca="1"/>
        <v>2346826</v>
      </c>
      <c r="B89" s="3" t="str">
        <f ca="1"/>
        <v>CZECH NEWS CENTER a. s.</v>
      </c>
      <c r="C89" s="3" t="str">
        <f ca="1">IFERROR(__xludf.DUMMYFUNCTION("""COMPUTED_VALUE"""),"Ahaonline")</f>
        <v>Ahaonline</v>
      </c>
      <c r="D89" s="4" t="str">
        <f ca="1">IFERROR(__xludf.DUMMYFUNCTION("""COMPUTED_VALUE"""),"https://ahaonline.cz")</f>
        <v>https://ahaonline.cz</v>
      </c>
      <c r="E89" s="3" t="str">
        <f ca="1">IFERROR(__xludf.DUMMYFUNCTION("""COMPUTED_VALUE"""),"celý web")</f>
        <v>celý web</v>
      </c>
      <c r="F89" s="4" t="str">
        <f ca="1">IFERROR(__xludf.DUMMYFUNCTION("""COMPUTED_VALUE"""),"https://ahaonline.cz")</f>
        <v>https://ahaonline.cz</v>
      </c>
      <c r="G89" s="3" t="str">
        <f ca="1">IFERROR(__xludf.DUMMYFUNCTION("""COMPUTED_VALUE"""),"Prodloužení existující microsite, bez úprav mid season")</f>
        <v>Prodloužení existující microsite, bez úprav mid season</v>
      </c>
      <c r="H89" s="3">
        <f ca="1">IFERROR(__xludf.DUMMYFUNCTION("""COMPUTED_VALUE"""),1)</f>
        <v>1</v>
      </c>
      <c r="I89" s="5">
        <f ca="1">IFERROR(__xludf.DUMMYFUNCTION("""COMPUTED_VALUE"""),1)</f>
        <v>1</v>
      </c>
      <c r="J89" s="5">
        <f ca="1">IFERROR(__xludf.DUMMYFUNCTION("""COMPUTED_VALUE"""),15000)</f>
        <v>15000</v>
      </c>
      <c r="K89" s="3"/>
      <c r="L89" s="3" t="str">
        <f ca="1">IFERROR(__xludf.DUMMYFUNCTION("""COMPUTED_VALUE"""),"Cost per instance")</f>
        <v>Cost per instance</v>
      </c>
      <c r="M89" s="3"/>
      <c r="N89" s="3"/>
      <c r="O89" s="3"/>
      <c r="P89" s="3"/>
      <c r="Q89" s="3"/>
      <c r="R89" s="3"/>
      <c r="S89" s="3" t="str">
        <f ca="1">IFERROR(__xludf.DUMMYFUNCTION("""COMPUTED_VALUE"""),"100")</f>
        <v>100</v>
      </c>
      <c r="T89" s="3"/>
      <c r="U89" s="3" t="str">
        <f ca="1">IFERROR(__xludf.DUMMYFUNCTION("""COMPUTED_VALUE"""),"microsite")</f>
        <v>microsite</v>
      </c>
      <c r="V89" s="3"/>
      <c r="W89" s="3"/>
      <c r="X89" s="3"/>
      <c r="Y89" s="3"/>
      <c r="Z89" s="3" t="str">
        <f ca="1">IFERROR(__xludf.DUMMYFUNCTION("""COMPUTED_VALUE"""),"podklady@cncenter.cz")</f>
        <v>podklady@cncenter.cz</v>
      </c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 t="str">
        <f ca="1">IFERROR(__xludf.DUMMYFUNCTION("""COMPUTED_VALUE"""),"cross-device")</f>
        <v>cross-device</v>
      </c>
      <c r="AO89" s="3"/>
      <c r="AP89" s="3"/>
      <c r="AQ89" s="3"/>
      <c r="AR89" s="3"/>
      <c r="AS89" s="3"/>
      <c r="AT89" s="3"/>
      <c r="AU89" s="3" t="str">
        <f ca="1">IFERROR(__xludf.DUMMYFUNCTION("""COMPUTED_VALUE"""),"Prodloužení existující microsite, bez úprav")</f>
        <v>Prodloužení existující microsite, bez úprav</v>
      </c>
    </row>
    <row r="90" spans="1:47" x14ac:dyDescent="0.3">
      <c r="A90" s="3">
        <f ca="1"/>
        <v>2346826</v>
      </c>
      <c r="B90" s="3" t="str">
        <f ca="1"/>
        <v>CZECH NEWS CENTER a. s.</v>
      </c>
      <c r="C90" s="3" t="str">
        <f ca="1">IFERROR(__xludf.DUMMYFUNCTION("""COMPUTED_VALUE"""),"Ahaonline")</f>
        <v>Ahaonline</v>
      </c>
      <c r="D90" s="4" t="str">
        <f ca="1">IFERROR(__xludf.DUMMYFUNCTION("""COMPUTED_VALUE"""),"https://ahaonline.cz")</f>
        <v>https://ahaonline.cz</v>
      </c>
      <c r="E90" s="3" t="str">
        <f ca="1">IFERROR(__xludf.DUMMYFUNCTION("""COMPUTED_VALUE"""),"celý web")</f>
        <v>celý web</v>
      </c>
      <c r="F90" s="4" t="str">
        <f ca="1">IFERROR(__xludf.DUMMYFUNCTION("""COMPUTED_VALUE"""),"https://ahaonline.cz")</f>
        <v>https://ahaonline.cz</v>
      </c>
      <c r="G90" s="3" t="str">
        <f ca="1">IFERROR(__xludf.DUMMYFUNCTION("""COMPUTED_VALUE"""),"Prodloužení existující microsite, bez úprav mid season")</f>
        <v>Prodloužení existující microsite, bez úprav mid season</v>
      </c>
      <c r="H90" s="3">
        <f ca="1">IFERROR(__xludf.DUMMYFUNCTION("""COMPUTED_VALUE"""),1)</f>
        <v>1</v>
      </c>
      <c r="I90" s="5">
        <f ca="1">IFERROR(__xludf.DUMMYFUNCTION("""COMPUTED_VALUE"""),1)</f>
        <v>1</v>
      </c>
      <c r="J90" s="5">
        <f ca="1">IFERROR(__xludf.DUMMYFUNCTION("""COMPUTED_VALUE"""),15000)</f>
        <v>15000</v>
      </c>
      <c r="K90" s="3"/>
      <c r="L90" s="3" t="str">
        <f ca="1">IFERROR(__xludf.DUMMYFUNCTION("""COMPUTED_VALUE"""),"Cost per instance")</f>
        <v>Cost per instance</v>
      </c>
      <c r="M90" s="3"/>
      <c r="N90" s="3"/>
      <c r="O90" s="3"/>
      <c r="P90" s="3"/>
      <c r="Q90" s="3"/>
      <c r="R90" s="3"/>
      <c r="S90" s="3" t="str">
        <f ca="1">IFERROR(__xludf.DUMMYFUNCTION("""COMPUTED_VALUE"""),"100")</f>
        <v>100</v>
      </c>
      <c r="T90" s="3"/>
      <c r="U90" s="3" t="str">
        <f ca="1">IFERROR(__xludf.DUMMYFUNCTION("""COMPUTED_VALUE"""),"microsite")</f>
        <v>microsite</v>
      </c>
      <c r="V90" s="3"/>
      <c r="W90" s="3"/>
      <c r="X90" s="3"/>
      <c r="Y90" s="3"/>
      <c r="Z90" s="3" t="str">
        <f ca="1">IFERROR(__xludf.DUMMYFUNCTION("""COMPUTED_VALUE"""),"podklady@cncenter.cz")</f>
        <v>podklady@cncenter.cz</v>
      </c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 t="str">
        <f ca="1">IFERROR(__xludf.DUMMYFUNCTION("""COMPUTED_VALUE"""),"cross-device")</f>
        <v>cross-device</v>
      </c>
      <c r="AO90" s="3"/>
      <c r="AP90" s="3"/>
      <c r="AQ90" s="3"/>
      <c r="AR90" s="3"/>
      <c r="AS90" s="3"/>
      <c r="AT90" s="3"/>
      <c r="AU90" s="3" t="str">
        <f ca="1">IFERROR(__xludf.DUMMYFUNCTION("""COMPUTED_VALUE"""),"Prodloužení existující microsite, bez úprav")</f>
        <v>Prodloužení existující microsite, bez úprav</v>
      </c>
    </row>
    <row r="91" spans="1:47" x14ac:dyDescent="0.3">
      <c r="A91" s="3">
        <f ca="1"/>
        <v>2346826</v>
      </c>
      <c r="B91" s="3" t="str">
        <f ca="1"/>
        <v>CZECH NEWS CENTER a. s.</v>
      </c>
      <c r="C91" s="3" t="str">
        <f ca="1">IFERROR(__xludf.DUMMYFUNCTION("""COMPUTED_VALUE"""),"Ahaonline")</f>
        <v>Ahaonline</v>
      </c>
      <c r="D91" s="4" t="str">
        <f ca="1">IFERROR(__xludf.DUMMYFUNCTION("""COMPUTED_VALUE"""),"https://ahaonline.cz")</f>
        <v>https://ahaonline.cz</v>
      </c>
      <c r="E91" s="3" t="str">
        <f ca="1">IFERROR(__xludf.DUMMYFUNCTION("""COMPUTED_VALUE"""),"celý web")</f>
        <v>celý web</v>
      </c>
      <c r="F91" s="4" t="str">
        <f ca="1">IFERROR(__xludf.DUMMYFUNCTION("""COMPUTED_VALUE"""),"https://ahaonline.cz")</f>
        <v>https://ahaonline.cz</v>
      </c>
      <c r="G91" s="3" t="str">
        <f ca="1">IFERROR(__xludf.DUMMYFUNCTION("""COMPUTED_VALUE"""),"videospot - max. 30 sec. / bumper mid season")</f>
        <v>videospot - max. 30 sec. / bumper mid season</v>
      </c>
      <c r="H91" s="3">
        <f ca="1">IFERROR(__xludf.DUMMYFUNCTION("""COMPUTED_VALUE"""),7)</f>
        <v>7</v>
      </c>
      <c r="I91" s="5">
        <f ca="1">IFERROR(__xludf.DUMMYFUNCTION("""COMPUTED_VALUE"""),1000)</f>
        <v>1000</v>
      </c>
      <c r="J91" s="5">
        <f ca="1">IFERROR(__xludf.DUMMYFUNCTION("""COMPUTED_VALUE"""),1040)</f>
        <v>1040</v>
      </c>
      <c r="K91" s="3"/>
      <c r="L91" s="3" t="str">
        <f ca="1">IFERROR(__xludf.DUMMYFUNCTION("""COMPUTED_VALUE"""),"Cost per period")</f>
        <v>Cost per period</v>
      </c>
      <c r="M91" s="3"/>
      <c r="N91" s="3"/>
      <c r="O91" s="3" t="str">
        <f ca="1">IFERROR(__xludf.DUMMYFUNCTION("""COMPUTED_VALUE"""),"1280")</f>
        <v>1280</v>
      </c>
      <c r="P91" s="3" t="str">
        <f ca="1">IFERROR(__xludf.DUMMYFUNCTION("""COMPUTED_VALUE"""),"720")</f>
        <v>720</v>
      </c>
      <c r="Q91" s="3" t="str">
        <f ca="1">IFERROR(__xludf.DUMMYFUNCTION("""COMPUTED_VALUE"""),"16:9 / umístění po domluvě dle možností")</f>
        <v>16:9 / umístění po domluvě dle možností</v>
      </c>
      <c r="R91" s="3" t="str">
        <f ca="1">IFERROR(__xludf.DUMMYFUNCTION("""COMPUTED_VALUE"""),"přeskočení po 7 sekundách")</f>
        <v>přeskočení po 7 sekundách</v>
      </c>
      <c r="S91" s="3" t="str">
        <f ca="1">IFERROR(__xludf.DUMMYFUNCTION("""COMPUTED_VALUE"""),"100")</f>
        <v>100</v>
      </c>
      <c r="T91" s="3"/>
      <c r="U91" s="3" t="str">
        <f ca="1">IFERROR(__xludf.DUMMYFUNCTION("""COMPUTED_VALUE"""),"videospot")</f>
        <v>videospot</v>
      </c>
      <c r="V91" s="3"/>
      <c r="W91" s="4" t="str">
        <f ca="1">IFERROR(__xludf.DUMMYFUNCTION("""COMPUTED_VALUE"""),"https://reklama.cncenter.cz/Online/Bumper")</f>
        <v>https://reklama.cncenter.cz/Online/Bumper</v>
      </c>
      <c r="X91" s="3"/>
      <c r="Y91" s="3"/>
      <c r="Z91" s="3" t="str">
        <f ca="1">IFERROR(__xludf.DUMMYFUNCTION("""COMPUTED_VALUE"""),"podklady@cncenter.cz")</f>
        <v>podklady@cncenter.cz</v>
      </c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 t="str">
        <f ca="1">IFERROR(__xludf.DUMMYFUNCTION("""COMPUTED_VALUE"""),"cross-device")</f>
        <v>cross-device</v>
      </c>
      <c r="AO91" s="3"/>
      <c r="AP91" s="3"/>
      <c r="AQ91" s="3"/>
      <c r="AR91" s="3"/>
      <c r="AS91" s="3"/>
      <c r="AT91" s="3"/>
      <c r="AU91" s="3" t="str">
        <f ca="1">IFERROR(__xludf.DUMMYFUNCTION("""COMPUTED_VALUE"""),"videospot - max. 30 sec. / bumper")</f>
        <v>videospot - max. 30 sec. / bumper</v>
      </c>
    </row>
    <row r="92" spans="1:47" x14ac:dyDescent="0.3">
      <c r="A92" s="3">
        <f ca="1"/>
        <v>2346826</v>
      </c>
      <c r="B92" s="3" t="str">
        <f ca="1"/>
        <v>CZECH NEWS CENTER a. s.</v>
      </c>
      <c r="C92" s="3" t="str">
        <f ca="1">IFERROR(__xludf.DUMMYFUNCTION("""COMPUTED_VALUE"""),"Auto")</f>
        <v>Auto</v>
      </c>
      <c r="D92" s="4" t="str">
        <f ca="1">IFERROR(__xludf.DUMMYFUNCTION("""COMPUTED_VALUE"""),"https://auto.cz")</f>
        <v>https://auto.cz</v>
      </c>
      <c r="E92" s="3" t="str">
        <f ca="1">IFERROR(__xludf.DUMMYFUNCTION("""COMPUTED_VALUE"""),"celý web")</f>
        <v>celý web</v>
      </c>
      <c r="F92" s="4" t="str">
        <f ca="1">IFERROR(__xludf.DUMMYFUNCTION("""COMPUTED_VALUE"""),"https://auto.cz")</f>
        <v>https://auto.cz</v>
      </c>
      <c r="G92" s="3" t="str">
        <f ca="1">IFERROR(__xludf.DUMMYFUNCTION("""COMPUTED_VALUE"""),"Advertorial mid season")</f>
        <v>Advertorial mid season</v>
      </c>
      <c r="H92" s="3">
        <f ca="1">IFERROR(__xludf.DUMMYFUNCTION("""COMPUTED_VALUE"""),1)</f>
        <v>1</v>
      </c>
      <c r="I92" s="5">
        <f ca="1">IFERROR(__xludf.DUMMYFUNCTION("""COMPUTED_VALUE"""),1)</f>
        <v>1</v>
      </c>
      <c r="J92" s="5">
        <f ca="1">IFERROR(__xludf.DUMMYFUNCTION("""COMPUTED_VALUE"""),90000)</f>
        <v>90000</v>
      </c>
      <c r="K92" s="3"/>
      <c r="L92" s="3" t="str">
        <f ca="1">IFERROR(__xludf.DUMMYFUNCTION("""COMPUTED_VALUE"""),"Cost per instance")</f>
        <v>Cost per instance</v>
      </c>
      <c r="M92" s="3"/>
      <c r="N92" s="3"/>
      <c r="O92" s="3"/>
      <c r="P92" s="3"/>
      <c r="Q92" s="3"/>
      <c r="R92" s="3"/>
      <c r="S92" s="3" t="str">
        <f ca="1">IFERROR(__xludf.DUMMYFUNCTION("""COMPUTED_VALUE"""),"100")</f>
        <v>100</v>
      </c>
      <c r="T92" s="3"/>
      <c r="U92" s="3" t="str">
        <f ca="1">IFERROR(__xludf.DUMMYFUNCTION("""COMPUTED_VALUE"""),"pr článek")</f>
        <v>pr článek</v>
      </c>
      <c r="V92" s="3"/>
      <c r="W92" s="3"/>
      <c r="X92" s="3"/>
      <c r="Y92" s="3"/>
      <c r="Z92" s="3" t="str">
        <f ca="1">IFERROR(__xludf.DUMMYFUNCTION("""COMPUTED_VALUE"""),"podklady@cncenter.cz")</f>
        <v>podklady@cncenter.cz</v>
      </c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 t="str">
        <f ca="1">IFERROR(__xludf.DUMMYFUNCTION("""COMPUTED_VALUE"""),"cross-device")</f>
        <v>cross-device</v>
      </c>
      <c r="AO92" s="3"/>
      <c r="AP92" s="3"/>
      <c r="AQ92" s="3"/>
      <c r="AR92" s="3"/>
      <c r="AS92" s="3"/>
      <c r="AT92" s="3"/>
      <c r="AU92" s="3" t="str">
        <f ca="1">IFERROR(__xludf.DUMMYFUNCTION("""COMPUTED_VALUE"""),"Advertorial")</f>
        <v>Advertorial</v>
      </c>
    </row>
    <row r="93" spans="1:47" x14ac:dyDescent="0.3">
      <c r="A93" s="3">
        <f ca="1"/>
        <v>2346826</v>
      </c>
      <c r="B93" s="3" t="str">
        <f ca="1"/>
        <v>CZECH NEWS CENTER a. s.</v>
      </c>
      <c r="C93" s="3" t="str">
        <f ca="1">IFERROR(__xludf.DUMMYFUNCTION("""COMPUTED_VALUE"""),"Auto")</f>
        <v>Auto</v>
      </c>
      <c r="D93" s="4" t="str">
        <f ca="1">IFERROR(__xludf.DUMMYFUNCTION("""COMPUTED_VALUE"""),"https://auto.cz")</f>
        <v>https://auto.cz</v>
      </c>
      <c r="E93" s="3" t="str">
        <f ca="1">IFERROR(__xludf.DUMMYFUNCTION("""COMPUTED_VALUE"""),"celý web")</f>
        <v>celý web</v>
      </c>
      <c r="F93" s="4" t="str">
        <f ca="1">IFERROR(__xludf.DUMMYFUNCTION("""COMPUTED_VALUE"""),"https://auto.cz")</f>
        <v>https://auto.cz</v>
      </c>
      <c r="G93" s="3" t="str">
        <f ca="1">IFERROR(__xludf.DUMMYFUNCTION("""COMPUTED_VALUE"""),"billboard bottom mid season")</f>
        <v>billboard bottom mid season</v>
      </c>
      <c r="H93" s="3">
        <f ca="1">IFERROR(__xludf.DUMMYFUNCTION("""COMPUTED_VALUE"""),7)</f>
        <v>7</v>
      </c>
      <c r="I93" s="5">
        <f ca="1">IFERROR(__xludf.DUMMYFUNCTION("""COMPUTED_VALUE"""),1000)</f>
        <v>1000</v>
      </c>
      <c r="J93" s="5">
        <f ca="1">IFERROR(__xludf.DUMMYFUNCTION("""COMPUTED_VALUE"""),340)</f>
        <v>340</v>
      </c>
      <c r="K93" s="3"/>
      <c r="L93" s="3" t="str">
        <f ca="1">IFERROR(__xludf.DUMMYFUNCTION("""COMPUTED_VALUE"""),"Cost per period")</f>
        <v>Cost per period</v>
      </c>
      <c r="M93" s="3"/>
      <c r="N93" s="3"/>
      <c r="O93" s="3" t="str">
        <f ca="1">IFERROR(__xludf.DUMMYFUNCTION("""COMPUTED_VALUE"""),"970")</f>
        <v>970</v>
      </c>
      <c r="P93" s="3" t="str">
        <f ca="1">IFERROR(__xludf.DUMMYFUNCTION("""COMPUTED_VALUE"""),"250")</f>
        <v>250</v>
      </c>
      <c r="Q93" s="3" t="str">
        <f ca="1">IFERROR(__xludf.DUMMYFUNCTION("""COMPUTED_VALUE"""),"970x250")</f>
        <v>970x250</v>
      </c>
      <c r="R93" s="3"/>
      <c r="S93" s="3" t="str">
        <f ca="1">IFERROR(__xludf.DUMMYFUNCTION("""COMPUTED_VALUE"""),"100 (200 - HTML5)")</f>
        <v>100 (200 - HTML5)</v>
      </c>
      <c r="T93" s="3"/>
      <c r="U93" s="3" t="str">
        <f ca="1">IFERROR(__xludf.DUMMYFUNCTION("""COMPUTED_VALUE"""),"banner standard")</f>
        <v>banner standard</v>
      </c>
      <c r="V93" s="3"/>
      <c r="W93" s="4" t="str">
        <f ca="1">IFERROR(__xludf.DUMMYFUNCTION("""COMPUTED_VALUE"""),"https://reklama.cncenter.cz/Online/billboard-bottom")</f>
        <v>https://reklama.cncenter.cz/Online/billboard-bottom</v>
      </c>
      <c r="X93" s="3"/>
      <c r="Y93" s="3"/>
      <c r="Z93" s="3" t="str">
        <f ca="1">IFERROR(__xludf.DUMMYFUNCTION("""COMPUTED_VALUE"""),"podklady@cncenter.cz")</f>
        <v>podklady@cncenter.cz</v>
      </c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 t="str">
        <f ca="1">IFERROR(__xludf.DUMMYFUNCTION("""COMPUTED_VALUE"""),"desktop")</f>
        <v>desktop</v>
      </c>
      <c r="AO93" s="3"/>
      <c r="AP93" s="3"/>
      <c r="AQ93" s="3"/>
      <c r="AR93" s="3"/>
      <c r="AS93" s="3"/>
      <c r="AT93" s="3"/>
      <c r="AU93" s="3" t="str">
        <f ca="1">IFERROR(__xludf.DUMMYFUNCTION("""COMPUTED_VALUE"""),"billboard bottom")</f>
        <v>billboard bottom</v>
      </c>
    </row>
    <row r="94" spans="1:47" x14ac:dyDescent="0.3">
      <c r="A94" s="3">
        <f ca="1"/>
        <v>2346826</v>
      </c>
      <c r="B94" s="3" t="str">
        <f ca="1"/>
        <v>CZECH NEWS CENTER a. s.</v>
      </c>
      <c r="C94" s="3" t="str">
        <f ca="1">IFERROR(__xludf.DUMMYFUNCTION("""COMPUTED_VALUE"""),"Auto")</f>
        <v>Auto</v>
      </c>
      <c r="D94" s="4" t="str">
        <f ca="1">IFERROR(__xludf.DUMMYFUNCTION("""COMPUTED_VALUE"""),"https://auto.cz")</f>
        <v>https://auto.cz</v>
      </c>
      <c r="E94" s="3" t="str">
        <f ca="1">IFERROR(__xludf.DUMMYFUNCTION("""COMPUTED_VALUE"""),"celý web")</f>
        <v>celý web</v>
      </c>
      <c r="F94" s="4" t="str">
        <f ca="1">IFERROR(__xludf.DUMMYFUNCTION("""COMPUTED_VALUE"""),"https://auto.cz")</f>
        <v>https://auto.cz</v>
      </c>
      <c r="G94" s="3" t="str">
        <f ca="1">IFERROR(__xludf.DUMMYFUNCTION("""COMPUTED_VALUE"""),"branding cross-device mid season")</f>
        <v>branding cross-device mid season</v>
      </c>
      <c r="H94" s="3">
        <f ca="1">IFERROR(__xludf.DUMMYFUNCTION("""COMPUTED_VALUE"""),7)</f>
        <v>7</v>
      </c>
      <c r="I94" s="5">
        <f ca="1">IFERROR(__xludf.DUMMYFUNCTION("""COMPUTED_VALUE"""),1000)</f>
        <v>1000</v>
      </c>
      <c r="J94" s="5">
        <f ca="1">IFERROR(__xludf.DUMMYFUNCTION("""COMPUTED_VALUE"""),420)</f>
        <v>420</v>
      </c>
      <c r="K94" s="3"/>
      <c r="L94" s="3" t="str">
        <f ca="1">IFERROR(__xludf.DUMMYFUNCTION("""COMPUTED_VALUE"""),"Cost per period")</f>
        <v>Cost per period</v>
      </c>
      <c r="M94" s="3"/>
      <c r="N94" s="3"/>
      <c r="O94" s="3" t="str">
        <f ca="1">IFERROR(__xludf.DUMMYFUNCTION("""COMPUTED_VALUE"""),"2000")</f>
        <v>2000</v>
      </c>
      <c r="P94" s="3" t="str">
        <f ca="1">IFERROR(__xludf.DUMMYFUNCTION("""COMPUTED_VALUE"""),"1400")</f>
        <v>1400</v>
      </c>
      <c r="Q94" s="3" t="str">
        <f ca="1">IFERROR(__xludf.DUMMYFUNCTION("""COMPUTED_VALUE"""),"2000x1400 + 600x1080")</f>
        <v>2000x1400 + 600x1080</v>
      </c>
      <c r="R94" s="3"/>
      <c r="S94" s="3" t="str">
        <f ca="1">IFERROR(__xludf.DUMMYFUNCTION("""COMPUTED_VALUE"""),"500 (600 - HTLM5)")</f>
        <v>500 (600 - HTLM5)</v>
      </c>
      <c r="T94" s="3"/>
      <c r="U94" s="3" t="str">
        <f ca="1">IFERROR(__xludf.DUMMYFUNCTION("""COMPUTED_VALUE"""),"banner standard")</f>
        <v>banner standard</v>
      </c>
      <c r="V94" s="3"/>
      <c r="W94" s="4" t="str">
        <f ca="1">IFERROR(__xludf.DUMMYFUNCTION("""COMPUTED_VALUE"""),"https://reklama.cncenter.cz/Online/branding-cross-device")</f>
        <v>https://reklama.cncenter.cz/Online/branding-cross-device</v>
      </c>
      <c r="X94" s="3"/>
      <c r="Y94" s="3"/>
      <c r="Z94" s="3" t="str">
        <f ca="1">IFERROR(__xludf.DUMMYFUNCTION("""COMPUTED_VALUE"""),"podklady@cncenter.cz")</f>
        <v>podklady@cncenter.cz</v>
      </c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 t="str">
        <f ca="1">IFERROR(__xludf.DUMMYFUNCTION("""COMPUTED_VALUE"""),"cross-device")</f>
        <v>cross-device</v>
      </c>
      <c r="AO94" s="3"/>
      <c r="AP94" s="3"/>
      <c r="AQ94" s="3"/>
      <c r="AR94" s="3"/>
      <c r="AS94" s="3"/>
      <c r="AT94" s="3"/>
      <c r="AU94" s="3" t="str">
        <f ca="1">IFERROR(__xludf.DUMMYFUNCTION("""COMPUTED_VALUE"""),"branding cross-device")</f>
        <v>branding cross-device</v>
      </c>
    </row>
    <row r="95" spans="1:47" x14ac:dyDescent="0.3">
      <c r="A95" s="3">
        <f ca="1"/>
        <v>2346826</v>
      </c>
      <c r="B95" s="3" t="str">
        <f ca="1"/>
        <v>CZECH NEWS CENTER a. s.</v>
      </c>
      <c r="C95" s="3" t="str">
        <f ca="1">IFERROR(__xludf.DUMMYFUNCTION("""COMPUTED_VALUE"""),"Auto")</f>
        <v>Auto</v>
      </c>
      <c r="D95" s="4" t="str">
        <f ca="1">IFERROR(__xludf.DUMMYFUNCTION("""COMPUTED_VALUE"""),"https://auto.cz")</f>
        <v>https://auto.cz</v>
      </c>
      <c r="E95" s="3" t="str">
        <f ca="1">IFERROR(__xludf.DUMMYFUNCTION("""COMPUTED_VALUE"""),"celý web")</f>
        <v>celý web</v>
      </c>
      <c r="F95" s="4" t="str">
        <f ca="1">IFERROR(__xludf.DUMMYFUNCTION("""COMPUTED_VALUE"""),"https://auto.cz")</f>
        <v>https://auto.cz</v>
      </c>
      <c r="G95" s="3" t="str">
        <f ca="1">IFERROR(__xludf.DUMMYFUNCTION("""COMPUTED_VALUE"""),"branding mid season")</f>
        <v>branding mid season</v>
      </c>
      <c r="H95" s="3">
        <f ca="1">IFERROR(__xludf.DUMMYFUNCTION("""COMPUTED_VALUE"""),7)</f>
        <v>7</v>
      </c>
      <c r="I95" s="5">
        <f ca="1">IFERROR(__xludf.DUMMYFUNCTION("""COMPUTED_VALUE"""),1000)</f>
        <v>1000</v>
      </c>
      <c r="J95" s="5">
        <f ca="1">IFERROR(__xludf.DUMMYFUNCTION("""COMPUTED_VALUE"""),690)</f>
        <v>690</v>
      </c>
      <c r="K95" s="3"/>
      <c r="L95" s="3" t="str">
        <f ca="1">IFERROR(__xludf.DUMMYFUNCTION("""COMPUTED_VALUE"""),"Cost per period")</f>
        <v>Cost per period</v>
      </c>
      <c r="M95" s="3"/>
      <c r="N95" s="3"/>
      <c r="O95" s="3" t="str">
        <f ca="1">IFERROR(__xludf.DUMMYFUNCTION("""COMPUTED_VALUE"""),"2000")</f>
        <v>2000</v>
      </c>
      <c r="P95" s="3" t="str">
        <f ca="1">IFERROR(__xludf.DUMMYFUNCTION("""COMPUTED_VALUE"""),"1400")</f>
        <v>1400</v>
      </c>
      <c r="Q95" s="3" t="str">
        <f ca="1">IFERROR(__xludf.DUMMYFUNCTION("""COMPUTED_VALUE"""),"2000x1400")</f>
        <v>2000x1400</v>
      </c>
      <c r="R95" s="3"/>
      <c r="S95" s="3" t="str">
        <f ca="1">IFERROR(__xludf.DUMMYFUNCTION("""COMPUTED_VALUE"""),"500 + 200 (600+200 HTML5)")</f>
        <v>500 + 200 (600+200 HTML5)</v>
      </c>
      <c r="T95" s="3"/>
      <c r="U95" s="3" t="str">
        <f ca="1">IFERROR(__xludf.DUMMYFUNCTION("""COMPUTED_VALUE"""),"banner standard")</f>
        <v>banner standard</v>
      </c>
      <c r="V95" s="3"/>
      <c r="W95" s="4" t="str">
        <f ca="1">IFERROR(__xludf.DUMMYFUNCTION("""COMPUTED_VALUE"""),"https://reklama.cncenter.cz/Online/branding")</f>
        <v>https://reklama.cncenter.cz/Online/branding</v>
      </c>
      <c r="X95" s="3"/>
      <c r="Y95" s="3"/>
      <c r="Z95" s="3" t="str">
        <f ca="1">IFERROR(__xludf.DUMMYFUNCTION("""COMPUTED_VALUE"""),"podklady@cncenter.cz")</f>
        <v>podklady@cncenter.cz</v>
      </c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 t="str">
        <f ca="1">IFERROR(__xludf.DUMMYFUNCTION("""COMPUTED_VALUE"""),"desktop")</f>
        <v>desktop</v>
      </c>
      <c r="AO95" s="3"/>
      <c r="AP95" s="3"/>
      <c r="AQ95" s="3"/>
      <c r="AR95" s="3"/>
      <c r="AS95" s="3"/>
      <c r="AT95" s="3"/>
      <c r="AU95" s="3" t="str">
        <f ca="1">IFERROR(__xludf.DUMMYFUNCTION("""COMPUTED_VALUE"""),"branding")</f>
        <v>branding</v>
      </c>
    </row>
    <row r="96" spans="1:47" x14ac:dyDescent="0.3">
      <c r="A96" s="3">
        <f ca="1"/>
        <v>2346826</v>
      </c>
      <c r="B96" s="3" t="str">
        <f ca="1"/>
        <v>CZECH NEWS CENTER a. s.</v>
      </c>
      <c r="C96" s="3" t="str">
        <f ca="1">IFERROR(__xludf.DUMMYFUNCTION("""COMPUTED_VALUE"""),"Auto")</f>
        <v>Auto</v>
      </c>
      <c r="D96" s="4" t="str">
        <f ca="1">IFERROR(__xludf.DUMMYFUNCTION("""COMPUTED_VALUE"""),"https://auto.cz")</f>
        <v>https://auto.cz</v>
      </c>
      <c r="E96" s="3" t="str">
        <f ca="1">IFERROR(__xludf.DUMMYFUNCTION("""COMPUTED_VALUE"""),"celý web")</f>
        <v>celý web</v>
      </c>
      <c r="F96" s="4" t="str">
        <f ca="1">IFERROR(__xludf.DUMMYFUNCTION("""COMPUTED_VALUE"""),"https://auto.cz")</f>
        <v>https://auto.cz</v>
      </c>
      <c r="G96" s="3" t="str">
        <f ca="1">IFERROR(__xludf.DUMMYFUNCTION("""COMPUTED_VALUE"""),"cílený billboard bottom mid season")</f>
        <v>cílený billboard bottom mid season</v>
      </c>
      <c r="H96" s="3">
        <f ca="1">IFERROR(__xludf.DUMMYFUNCTION("""COMPUTED_VALUE"""),7)</f>
        <v>7</v>
      </c>
      <c r="I96" s="5">
        <f ca="1">IFERROR(__xludf.DUMMYFUNCTION("""COMPUTED_VALUE"""),1000)</f>
        <v>1000</v>
      </c>
      <c r="J96" s="5">
        <f ca="1">IFERROR(__xludf.DUMMYFUNCTION("""COMPUTED_VALUE"""),408)</f>
        <v>408</v>
      </c>
      <c r="K96" s="3"/>
      <c r="L96" s="3" t="str">
        <f ca="1">IFERROR(__xludf.DUMMYFUNCTION("""COMPUTED_VALUE"""),"Cost per period")</f>
        <v>Cost per period</v>
      </c>
      <c r="M96" s="3"/>
      <c r="N96" s="3"/>
      <c r="O96" s="3" t="str">
        <f ca="1">IFERROR(__xludf.DUMMYFUNCTION("""COMPUTED_VALUE"""),"970")</f>
        <v>970</v>
      </c>
      <c r="P96" s="3" t="str">
        <f ca="1">IFERROR(__xludf.DUMMYFUNCTION("""COMPUTED_VALUE"""),"250")</f>
        <v>250</v>
      </c>
      <c r="Q96" s="3" t="str">
        <f ca="1">IFERROR(__xludf.DUMMYFUNCTION("""COMPUTED_VALUE"""),"970x250")</f>
        <v>970x250</v>
      </c>
      <c r="R96" s="3"/>
      <c r="S96" s="3" t="str">
        <f ca="1">IFERROR(__xludf.DUMMYFUNCTION("""COMPUTED_VALUE"""),"100 (200 - HTML5)")</f>
        <v>100 (200 - HTML5)</v>
      </c>
      <c r="T96" s="3"/>
      <c r="U96" s="3" t="str">
        <f ca="1">IFERROR(__xludf.DUMMYFUNCTION("""COMPUTED_VALUE"""),"banner standard")</f>
        <v>banner standard</v>
      </c>
      <c r="V96" s="3"/>
      <c r="W96" s="4" t="str">
        <f ca="1">IFERROR(__xludf.DUMMYFUNCTION("""COMPUTED_VALUE"""),"https://reklama.cncenter.cz/Online/billboard-bottom")</f>
        <v>https://reklama.cncenter.cz/Online/billboard-bottom</v>
      </c>
      <c r="X96" s="3"/>
      <c r="Y96" s="3"/>
      <c r="Z96" s="3" t="str">
        <f ca="1">IFERROR(__xludf.DUMMYFUNCTION("""COMPUTED_VALUE"""),"podklady@cncenter.cz")</f>
        <v>podklady@cncenter.cz</v>
      </c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 t="str">
        <f ca="1">IFERROR(__xludf.DUMMYFUNCTION("""COMPUTED_VALUE"""),"desktop")</f>
        <v>desktop</v>
      </c>
      <c r="AO96" s="3"/>
      <c r="AP96" s="3"/>
      <c r="AQ96" s="3"/>
      <c r="AR96" s="3"/>
      <c r="AS96" s="3"/>
      <c r="AT96" s="3"/>
      <c r="AU96" s="3" t="str">
        <f ca="1">IFERROR(__xludf.DUMMYFUNCTION("""COMPUTED_VALUE"""),"cílený billboard bottom")</f>
        <v>cílený billboard bottom</v>
      </c>
    </row>
    <row r="97" spans="1:47" x14ac:dyDescent="0.3">
      <c r="A97" s="3">
        <f ca="1"/>
        <v>2346826</v>
      </c>
      <c r="B97" s="3" t="str">
        <f ca="1"/>
        <v>CZECH NEWS CENTER a. s.</v>
      </c>
      <c r="C97" s="3" t="str">
        <f ca="1">IFERROR(__xludf.DUMMYFUNCTION("""COMPUTED_VALUE"""),"Auto")</f>
        <v>Auto</v>
      </c>
      <c r="D97" s="4" t="str">
        <f ca="1">IFERROR(__xludf.DUMMYFUNCTION("""COMPUTED_VALUE"""),"https://auto.cz")</f>
        <v>https://auto.cz</v>
      </c>
      <c r="E97" s="3" t="str">
        <f ca="1">IFERROR(__xludf.DUMMYFUNCTION("""COMPUTED_VALUE"""),"celý web")</f>
        <v>celý web</v>
      </c>
      <c r="F97" s="4" t="str">
        <f ca="1">IFERROR(__xludf.DUMMYFUNCTION("""COMPUTED_VALUE"""),"https://auto.cz")</f>
        <v>https://auto.cz</v>
      </c>
      <c r="G97" s="3" t="str">
        <f ca="1">IFERROR(__xludf.DUMMYFUNCTION("""COMPUTED_VALUE"""),"cílený branding cross-device mid season")</f>
        <v>cílený branding cross-device mid season</v>
      </c>
      <c r="H97" s="3">
        <f ca="1">IFERROR(__xludf.DUMMYFUNCTION("""COMPUTED_VALUE"""),7)</f>
        <v>7</v>
      </c>
      <c r="I97" s="5">
        <f ca="1">IFERROR(__xludf.DUMMYFUNCTION("""COMPUTED_VALUE"""),1000)</f>
        <v>1000</v>
      </c>
      <c r="J97" s="5">
        <f ca="1">IFERROR(__xludf.DUMMYFUNCTION("""COMPUTED_VALUE"""),504)</f>
        <v>504</v>
      </c>
      <c r="K97" s="3"/>
      <c r="L97" s="3" t="str">
        <f ca="1">IFERROR(__xludf.DUMMYFUNCTION("""COMPUTED_VALUE"""),"Cost per period")</f>
        <v>Cost per period</v>
      </c>
      <c r="M97" s="3"/>
      <c r="N97" s="3"/>
      <c r="O97" s="3" t="str">
        <f ca="1">IFERROR(__xludf.DUMMYFUNCTION("""COMPUTED_VALUE"""),"2000")</f>
        <v>2000</v>
      </c>
      <c r="P97" s="3" t="str">
        <f ca="1">IFERROR(__xludf.DUMMYFUNCTION("""COMPUTED_VALUE"""),"1400")</f>
        <v>1400</v>
      </c>
      <c r="Q97" s="3" t="str">
        <f ca="1">IFERROR(__xludf.DUMMYFUNCTION("""COMPUTED_VALUE"""),"2000x1400 + 600x1080")</f>
        <v>2000x1400 + 600x1080</v>
      </c>
      <c r="R97" s="3"/>
      <c r="S97" s="3" t="str">
        <f ca="1">IFERROR(__xludf.DUMMYFUNCTION("""COMPUTED_VALUE"""),"500 (600 - HTLM5)")</f>
        <v>500 (600 - HTLM5)</v>
      </c>
      <c r="T97" s="3"/>
      <c r="U97" s="3" t="str">
        <f ca="1">IFERROR(__xludf.DUMMYFUNCTION("""COMPUTED_VALUE"""),"banner standard")</f>
        <v>banner standard</v>
      </c>
      <c r="V97" s="3"/>
      <c r="W97" s="4" t="str">
        <f ca="1">IFERROR(__xludf.DUMMYFUNCTION("""COMPUTED_VALUE"""),"https://reklama.cncenter.cz/Online/branding-cross-device")</f>
        <v>https://reklama.cncenter.cz/Online/branding-cross-device</v>
      </c>
      <c r="X97" s="3"/>
      <c r="Y97" s="3"/>
      <c r="Z97" s="3" t="str">
        <f ca="1">IFERROR(__xludf.DUMMYFUNCTION("""COMPUTED_VALUE"""),"podklady@cncenter.cz")</f>
        <v>podklady@cncenter.cz</v>
      </c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 t="str">
        <f ca="1">IFERROR(__xludf.DUMMYFUNCTION("""COMPUTED_VALUE"""),"cross-device")</f>
        <v>cross-device</v>
      </c>
      <c r="AO97" s="3"/>
      <c r="AP97" s="3"/>
      <c r="AQ97" s="3"/>
      <c r="AR97" s="3"/>
      <c r="AS97" s="3"/>
      <c r="AT97" s="3"/>
      <c r="AU97" s="3" t="str">
        <f ca="1">IFERROR(__xludf.DUMMYFUNCTION("""COMPUTED_VALUE"""),"cílený branding cross-device")</f>
        <v>cílený branding cross-device</v>
      </c>
    </row>
    <row r="98" spans="1:47" x14ac:dyDescent="0.3">
      <c r="A98" s="3">
        <f ca="1"/>
        <v>2346826</v>
      </c>
      <c r="B98" s="3" t="str">
        <f ca="1"/>
        <v>CZECH NEWS CENTER a. s.</v>
      </c>
      <c r="C98" s="3" t="str">
        <f ca="1">IFERROR(__xludf.DUMMYFUNCTION("""COMPUTED_VALUE"""),"Auto")</f>
        <v>Auto</v>
      </c>
      <c r="D98" s="4" t="str">
        <f ca="1">IFERROR(__xludf.DUMMYFUNCTION("""COMPUTED_VALUE"""),"https://auto.cz")</f>
        <v>https://auto.cz</v>
      </c>
      <c r="E98" s="3" t="str">
        <f ca="1">IFERROR(__xludf.DUMMYFUNCTION("""COMPUTED_VALUE"""),"celý web")</f>
        <v>celý web</v>
      </c>
      <c r="F98" s="4" t="str">
        <f ca="1">IFERROR(__xludf.DUMMYFUNCTION("""COMPUTED_VALUE"""),"https://auto.cz")</f>
        <v>https://auto.cz</v>
      </c>
      <c r="G98" s="3" t="str">
        <f ca="1">IFERROR(__xludf.DUMMYFUNCTION("""COMPUTED_VALUE"""),"cílený branding mid season")</f>
        <v>cílený branding mid season</v>
      </c>
      <c r="H98" s="3">
        <f ca="1">IFERROR(__xludf.DUMMYFUNCTION("""COMPUTED_VALUE"""),7)</f>
        <v>7</v>
      </c>
      <c r="I98" s="5">
        <f ca="1">IFERROR(__xludf.DUMMYFUNCTION("""COMPUTED_VALUE"""),1000)</f>
        <v>1000</v>
      </c>
      <c r="J98" s="5">
        <f ca="1">IFERROR(__xludf.DUMMYFUNCTION("""COMPUTED_VALUE"""),828)</f>
        <v>828</v>
      </c>
      <c r="K98" s="3"/>
      <c r="L98" s="3" t="str">
        <f ca="1">IFERROR(__xludf.DUMMYFUNCTION("""COMPUTED_VALUE"""),"Cost per period")</f>
        <v>Cost per period</v>
      </c>
      <c r="M98" s="3"/>
      <c r="N98" s="3"/>
      <c r="O98" s="3" t="str">
        <f ca="1">IFERROR(__xludf.DUMMYFUNCTION("""COMPUTED_VALUE"""),"2000")</f>
        <v>2000</v>
      </c>
      <c r="P98" s="3" t="str">
        <f ca="1">IFERROR(__xludf.DUMMYFUNCTION("""COMPUTED_VALUE"""),"1400")</f>
        <v>1400</v>
      </c>
      <c r="Q98" s="3" t="str">
        <f ca="1">IFERROR(__xludf.DUMMYFUNCTION("""COMPUTED_VALUE"""),"2000x1400")</f>
        <v>2000x1400</v>
      </c>
      <c r="R98" s="3"/>
      <c r="S98" s="3" t="str">
        <f ca="1">IFERROR(__xludf.DUMMYFUNCTION("""COMPUTED_VALUE"""),"500 + 200 (600+200 HTML5)")</f>
        <v>500 + 200 (600+200 HTML5)</v>
      </c>
      <c r="T98" s="3"/>
      <c r="U98" s="3" t="str">
        <f ca="1">IFERROR(__xludf.DUMMYFUNCTION("""COMPUTED_VALUE"""),"banner standard")</f>
        <v>banner standard</v>
      </c>
      <c r="V98" s="3"/>
      <c r="W98" s="4" t="str">
        <f ca="1">IFERROR(__xludf.DUMMYFUNCTION("""COMPUTED_VALUE"""),"https://reklama.cncenter.cz/Online/branding")</f>
        <v>https://reklama.cncenter.cz/Online/branding</v>
      </c>
      <c r="X98" s="3"/>
      <c r="Y98" s="3"/>
      <c r="Z98" s="3" t="str">
        <f ca="1">IFERROR(__xludf.DUMMYFUNCTION("""COMPUTED_VALUE"""),"podklady@cncenter.cz")</f>
        <v>podklady@cncenter.cz</v>
      </c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 t="str">
        <f ca="1">IFERROR(__xludf.DUMMYFUNCTION("""COMPUTED_VALUE"""),"desktop")</f>
        <v>desktop</v>
      </c>
      <c r="AO98" s="3"/>
      <c r="AP98" s="3"/>
      <c r="AQ98" s="3"/>
      <c r="AR98" s="3"/>
      <c r="AS98" s="3"/>
      <c r="AT98" s="3"/>
      <c r="AU98" s="3" t="str">
        <f ca="1">IFERROR(__xludf.DUMMYFUNCTION("""COMPUTED_VALUE"""),"cílený branding")</f>
        <v>cílený branding</v>
      </c>
    </row>
    <row r="99" spans="1:47" x14ac:dyDescent="0.3">
      <c r="A99" s="3">
        <f ca="1"/>
        <v>2346826</v>
      </c>
      <c r="B99" s="3" t="str">
        <f ca="1"/>
        <v>CZECH NEWS CENTER a. s.</v>
      </c>
      <c r="C99" s="3" t="str">
        <f ca="1">IFERROR(__xludf.DUMMYFUNCTION("""COMPUTED_VALUE"""),"Auto")</f>
        <v>Auto</v>
      </c>
      <c r="D99" s="4" t="str">
        <f ca="1">IFERROR(__xludf.DUMMYFUNCTION("""COMPUTED_VALUE"""),"https://auto.cz")</f>
        <v>https://auto.cz</v>
      </c>
      <c r="E99" s="3" t="str">
        <f ca="1">IFERROR(__xludf.DUMMYFUNCTION("""COMPUTED_VALUE"""),"celý web")</f>
        <v>celý web</v>
      </c>
      <c r="F99" s="4" t="str">
        <f ca="1">IFERROR(__xludf.DUMMYFUNCTION("""COMPUTED_VALUE"""),"https://auto.cz")</f>
        <v>https://auto.cz</v>
      </c>
      <c r="G99" s="3" t="str">
        <f ca="1">IFERROR(__xludf.DUMMYFUNCTION("""COMPUTED_VALUE"""),"cílený double skyscraper mid season")</f>
        <v>cílený double skyscraper mid season</v>
      </c>
      <c r="H99" s="3">
        <f ca="1">IFERROR(__xludf.DUMMYFUNCTION("""COMPUTED_VALUE"""),7)</f>
        <v>7</v>
      </c>
      <c r="I99" s="5">
        <f ca="1">IFERROR(__xludf.DUMMYFUNCTION("""COMPUTED_VALUE"""),1000)</f>
        <v>1000</v>
      </c>
      <c r="J99" s="5">
        <f ca="1">IFERROR(__xludf.DUMMYFUNCTION("""COMPUTED_VALUE"""),324)</f>
        <v>324</v>
      </c>
      <c r="K99" s="3"/>
      <c r="L99" s="3" t="str">
        <f ca="1">IFERROR(__xludf.DUMMYFUNCTION("""COMPUTED_VALUE"""),"Cost per period")</f>
        <v>Cost per period</v>
      </c>
      <c r="M99" s="3"/>
      <c r="N99" s="3"/>
      <c r="O99" s="3" t="str">
        <f ca="1">IFERROR(__xludf.DUMMYFUNCTION("""COMPUTED_VALUE"""),"300")</f>
        <v>300</v>
      </c>
      <c r="P99" s="3" t="str">
        <f ca="1">IFERROR(__xludf.DUMMYFUNCTION("""COMPUTED_VALUE"""),"600")</f>
        <v>600</v>
      </c>
      <c r="Q99" s="3" t="str">
        <f ca="1">IFERROR(__xludf.DUMMYFUNCTION("""COMPUTED_VALUE"""),"300x600")</f>
        <v>300x600</v>
      </c>
      <c r="R99" s="3"/>
      <c r="S99" s="3" t="str">
        <f ca="1">IFERROR(__xludf.DUMMYFUNCTION("""COMPUTED_VALUE"""),"100 (200 - HTML5)")</f>
        <v>100 (200 - HTML5)</v>
      </c>
      <c r="T99" s="3"/>
      <c r="U99" s="3" t="str">
        <f ca="1">IFERROR(__xludf.DUMMYFUNCTION("""COMPUTED_VALUE"""),"banner standard")</f>
        <v>banner standard</v>
      </c>
      <c r="V99" s="3"/>
      <c r="W99" s="4" t="str">
        <f ca="1">IFERROR(__xludf.DUMMYFUNCTION("""COMPUTED_VALUE"""),"https://reklama.cncenter.cz/Online/double-skyscraper")</f>
        <v>https://reklama.cncenter.cz/Online/double-skyscraper</v>
      </c>
      <c r="X99" s="3"/>
      <c r="Y99" s="3"/>
      <c r="Z99" s="3" t="str">
        <f ca="1">IFERROR(__xludf.DUMMYFUNCTION("""COMPUTED_VALUE"""),"podklady@cncenter.cz")</f>
        <v>podklady@cncenter.cz</v>
      </c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 t="str">
        <f ca="1">IFERROR(__xludf.DUMMYFUNCTION("""COMPUTED_VALUE"""),"desktop")</f>
        <v>desktop</v>
      </c>
      <c r="AO99" s="3"/>
      <c r="AP99" s="3"/>
      <c r="AQ99" s="3"/>
      <c r="AR99" s="3"/>
      <c r="AS99" s="3"/>
      <c r="AT99" s="3"/>
      <c r="AU99" s="3" t="str">
        <f ca="1">IFERROR(__xludf.DUMMYFUNCTION("""COMPUTED_VALUE"""),"cílený double skyscraper")</f>
        <v>cílený double skyscraper</v>
      </c>
    </row>
    <row r="100" spans="1:47" x14ac:dyDescent="0.3">
      <c r="A100" s="3">
        <f ca="1"/>
        <v>2346826</v>
      </c>
      <c r="B100" s="3" t="str">
        <f ca="1"/>
        <v>CZECH NEWS CENTER a. s.</v>
      </c>
      <c r="C100" s="3" t="str">
        <f ca="1">IFERROR(__xludf.DUMMYFUNCTION("""COMPUTED_VALUE"""),"Auto")</f>
        <v>Auto</v>
      </c>
      <c r="D100" s="4" t="str">
        <f ca="1">IFERROR(__xludf.DUMMYFUNCTION("""COMPUTED_VALUE"""),"https://auto.cz")</f>
        <v>https://auto.cz</v>
      </c>
      <c r="E100" s="3" t="str">
        <f ca="1">IFERROR(__xludf.DUMMYFUNCTION("""COMPUTED_VALUE"""),"celý web")</f>
        <v>celý web</v>
      </c>
      <c r="F100" s="4" t="str">
        <f ca="1">IFERROR(__xludf.DUMMYFUNCTION("""COMPUTED_VALUE"""),"https://auto.cz")</f>
        <v>https://auto.cz</v>
      </c>
      <c r="G100" s="3" t="str">
        <f ca="1">IFERROR(__xludf.DUMMYFUNCTION("""COMPUTED_VALUE"""),"cílený mini videospot - max. 30 sec. mid season")</f>
        <v>cílený mini videospot - max. 30 sec. mid season</v>
      </c>
      <c r="H100" s="3">
        <f ca="1">IFERROR(__xludf.DUMMYFUNCTION("""COMPUTED_VALUE"""),7)</f>
        <v>7</v>
      </c>
      <c r="I100" s="5">
        <f ca="1">IFERROR(__xludf.DUMMYFUNCTION("""COMPUTED_VALUE"""),1000)</f>
        <v>1000</v>
      </c>
      <c r="J100" s="5">
        <f ca="1">IFERROR(__xludf.DUMMYFUNCTION("""COMPUTED_VALUE"""),240)</f>
        <v>240</v>
      </c>
      <c r="K100" s="3"/>
      <c r="L100" s="3" t="str">
        <f ca="1">IFERROR(__xludf.DUMMYFUNCTION("""COMPUTED_VALUE"""),"Cost per period")</f>
        <v>Cost per period</v>
      </c>
      <c r="M100" s="3"/>
      <c r="N100" s="3"/>
      <c r="O100" s="3"/>
      <c r="P100" s="3"/>
      <c r="Q100" s="3" t="str">
        <f ca="1">IFERROR(__xludf.DUMMYFUNCTION("""COMPUTED_VALUE"""),"16:9 / umístění po domluvě dle možností")</f>
        <v>16:9 / umístění po domluvě dle možností</v>
      </c>
      <c r="R100" s="3" t="str">
        <f ca="1">IFERROR(__xludf.DUMMYFUNCTION("""COMPUTED_VALUE"""),"přeskočení po 7 sekundách")</f>
        <v>přeskočení po 7 sekundách</v>
      </c>
      <c r="S100" s="3" t="str">
        <f ca="1">IFERROR(__xludf.DUMMYFUNCTION("""COMPUTED_VALUE"""),"100")</f>
        <v>100</v>
      </c>
      <c r="T100" s="3"/>
      <c r="U100" s="3" t="str">
        <f ca="1">IFERROR(__xludf.DUMMYFUNCTION("""COMPUTED_VALUE"""),"videospot")</f>
        <v>videospot</v>
      </c>
      <c r="V100" s="3"/>
      <c r="W100" s="4" t="str">
        <f ca="1">IFERROR(__xludf.DUMMYFUNCTION("""COMPUTED_VALUE"""),"https://reklama.cncenter.cz/Online/Videospot")</f>
        <v>https://reklama.cncenter.cz/Online/Videospot</v>
      </c>
      <c r="X100" s="3"/>
      <c r="Y100" s="3"/>
      <c r="Z100" s="3" t="str">
        <f ca="1">IFERROR(__xludf.DUMMYFUNCTION("""COMPUTED_VALUE"""),"podklady@cncenter.cz")</f>
        <v>podklady@cncenter.cz</v>
      </c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 t="str">
        <f ca="1">IFERROR(__xludf.DUMMYFUNCTION("""COMPUTED_VALUE"""),"desktop")</f>
        <v>desktop</v>
      </c>
      <c r="AO100" s="3"/>
      <c r="AP100" s="3"/>
      <c r="AQ100" s="3"/>
      <c r="AR100" s="3"/>
      <c r="AS100" s="3"/>
      <c r="AT100" s="3"/>
      <c r="AU100" s="3" t="str">
        <f ca="1">IFERROR(__xludf.DUMMYFUNCTION("""COMPUTED_VALUE"""),"cílený mini videospot - max. 30 sec.")</f>
        <v>cílený mini videospot - max. 30 sec.</v>
      </c>
    </row>
    <row r="101" spans="1:47" x14ac:dyDescent="0.3">
      <c r="A101" s="3">
        <f ca="1"/>
        <v>2346826</v>
      </c>
      <c r="B101" s="3" t="str">
        <f ca="1"/>
        <v>CZECH NEWS CENTER a. s.</v>
      </c>
      <c r="C101" s="3" t="str">
        <f ca="1">IFERROR(__xludf.DUMMYFUNCTION("""COMPUTED_VALUE"""),"Auto")</f>
        <v>Auto</v>
      </c>
      <c r="D101" s="4" t="str">
        <f ca="1">IFERROR(__xludf.DUMMYFUNCTION("""COMPUTED_VALUE"""),"https://auto.cz")</f>
        <v>https://auto.cz</v>
      </c>
      <c r="E101" s="3" t="str">
        <f ca="1">IFERROR(__xludf.DUMMYFUNCTION("""COMPUTED_VALUE"""),"celý web")</f>
        <v>celý web</v>
      </c>
      <c r="F101" s="4" t="str">
        <f ca="1">IFERROR(__xludf.DUMMYFUNCTION("""COMPUTED_VALUE"""),"https://auto.cz")</f>
        <v>https://auto.cz</v>
      </c>
      <c r="G101" s="3" t="str">
        <f ca="1">IFERROR(__xludf.DUMMYFUNCTION("""COMPUTED_VALUE"""),"cílený mobilní interscroller mid season")</f>
        <v>cílený mobilní interscroller mid season</v>
      </c>
      <c r="H101" s="3">
        <f ca="1">IFERROR(__xludf.DUMMYFUNCTION("""COMPUTED_VALUE"""),7)</f>
        <v>7</v>
      </c>
      <c r="I101" s="5">
        <f ca="1">IFERROR(__xludf.DUMMYFUNCTION("""COMPUTED_VALUE"""),1000)</f>
        <v>1000</v>
      </c>
      <c r="J101" s="5">
        <f ca="1">IFERROR(__xludf.DUMMYFUNCTION("""COMPUTED_VALUE"""),420)</f>
        <v>420</v>
      </c>
      <c r="K101" s="3"/>
      <c r="L101" s="3" t="str">
        <f ca="1">IFERROR(__xludf.DUMMYFUNCTION("""COMPUTED_VALUE"""),"Cost per period")</f>
        <v>Cost per period</v>
      </c>
      <c r="M101" s="3"/>
      <c r="N101" s="3"/>
      <c r="O101" s="3" t="str">
        <f ca="1">IFERROR(__xludf.DUMMYFUNCTION("""COMPUTED_VALUE"""),"600")</f>
        <v>600</v>
      </c>
      <c r="P101" s="3" t="str">
        <f ca="1">IFERROR(__xludf.DUMMYFUNCTION("""COMPUTED_VALUE"""),"1080")</f>
        <v>1080</v>
      </c>
      <c r="Q101" s="3" t="str">
        <f ca="1">IFERROR(__xludf.DUMMYFUNCTION("""COMPUTED_VALUE"""),"600x1080")</f>
        <v>600x1080</v>
      </c>
      <c r="R101" s="3"/>
      <c r="S101" s="3" t="str">
        <f ca="1">IFERROR(__xludf.DUMMYFUNCTION("""COMPUTED_VALUE"""),"200")</f>
        <v>200</v>
      </c>
      <c r="T101" s="3"/>
      <c r="U101" s="3" t="str">
        <f ca="1">IFERROR(__xludf.DUMMYFUNCTION("""COMPUTED_VALUE"""),"banner standard")</f>
        <v>banner standard</v>
      </c>
      <c r="V101" s="3"/>
      <c r="W101" s="4" t="str">
        <f ca="1">IFERROR(__xludf.DUMMYFUNCTION("""COMPUTED_VALUE"""),"https://reklama.cncenter.cz/Online/mobilni-interscroller")</f>
        <v>https://reklama.cncenter.cz/Online/mobilni-interscroller</v>
      </c>
      <c r="X101" s="3"/>
      <c r="Y101" s="3"/>
      <c r="Z101" s="3" t="str">
        <f ca="1">IFERROR(__xludf.DUMMYFUNCTION("""COMPUTED_VALUE"""),"podklady@cncenter.cz")</f>
        <v>podklady@cncenter.cz</v>
      </c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 t="str">
        <f ca="1">IFERROR(__xludf.DUMMYFUNCTION("""COMPUTED_VALUE"""),"mobile")</f>
        <v>mobile</v>
      </c>
      <c r="AO101" s="3"/>
      <c r="AP101" s="3"/>
      <c r="AQ101" s="3"/>
      <c r="AR101" s="3"/>
      <c r="AS101" s="3"/>
      <c r="AT101" s="3"/>
      <c r="AU101" s="3" t="str">
        <f ca="1">IFERROR(__xludf.DUMMYFUNCTION("""COMPUTED_VALUE"""),"cílený mobilní interscroller")</f>
        <v>cílený mobilní interscroller</v>
      </c>
    </row>
    <row r="102" spans="1:47" x14ac:dyDescent="0.3">
      <c r="A102" s="3">
        <f ca="1"/>
        <v>2346826</v>
      </c>
      <c r="B102" s="3" t="str">
        <f ca="1"/>
        <v>CZECH NEWS CENTER a. s.</v>
      </c>
      <c r="C102" s="3" t="str">
        <f ca="1">IFERROR(__xludf.DUMMYFUNCTION("""COMPUTED_VALUE"""),"Auto")</f>
        <v>Auto</v>
      </c>
      <c r="D102" s="4" t="str">
        <f ca="1">IFERROR(__xludf.DUMMYFUNCTION("""COMPUTED_VALUE"""),"https://auto.cz")</f>
        <v>https://auto.cz</v>
      </c>
      <c r="E102" s="3" t="str">
        <f ca="1">IFERROR(__xludf.DUMMYFUNCTION("""COMPUTED_VALUE"""),"celý web")</f>
        <v>celý web</v>
      </c>
      <c r="F102" s="4" t="str">
        <f ca="1">IFERROR(__xludf.DUMMYFUNCTION("""COMPUTED_VALUE"""),"https://auto.cz")</f>
        <v>https://auto.cz</v>
      </c>
      <c r="G102" s="3" t="str">
        <f ca="1">IFERROR(__xludf.DUMMYFUNCTION("""COMPUTED_VALUE"""),"cílený mobilní slide-up mid season")</f>
        <v>cílený mobilní slide-up mid season</v>
      </c>
      <c r="H102" s="3">
        <f ca="1">IFERROR(__xludf.DUMMYFUNCTION("""COMPUTED_VALUE"""),7)</f>
        <v>7</v>
      </c>
      <c r="I102" s="5">
        <f ca="1">IFERROR(__xludf.DUMMYFUNCTION("""COMPUTED_VALUE"""),1000)</f>
        <v>1000</v>
      </c>
      <c r="J102" s="5">
        <f ca="1">IFERROR(__xludf.DUMMYFUNCTION("""COMPUTED_VALUE"""),864)</f>
        <v>864</v>
      </c>
      <c r="K102" s="3"/>
      <c r="L102" s="3" t="str">
        <f ca="1">IFERROR(__xludf.DUMMYFUNCTION("""COMPUTED_VALUE"""),"Cost per period")</f>
        <v>Cost per period</v>
      </c>
      <c r="M102" s="3"/>
      <c r="N102" s="3"/>
      <c r="O102" s="3" t="str">
        <f ca="1">IFERROR(__xludf.DUMMYFUNCTION("""COMPUTED_VALUE"""),"300")</f>
        <v>300</v>
      </c>
      <c r="P102" s="3" t="str">
        <f ca="1">IFERROR(__xludf.DUMMYFUNCTION("""COMPUTED_VALUE"""),"120")</f>
        <v>120</v>
      </c>
      <c r="Q102" s="3" t="str">
        <f ca="1">IFERROR(__xludf.DUMMYFUNCTION("""COMPUTED_VALUE"""),"300x120")</f>
        <v>300x120</v>
      </c>
      <c r="R102" s="3"/>
      <c r="S102" s="3" t="str">
        <f ca="1">IFERROR(__xludf.DUMMYFUNCTION("""COMPUTED_VALUE"""),"100")</f>
        <v>100</v>
      </c>
      <c r="T102" s="3"/>
      <c r="U102" s="3" t="str">
        <f ca="1">IFERROR(__xludf.DUMMYFUNCTION("""COMPUTED_VALUE"""),"banner standard")</f>
        <v>banner standard</v>
      </c>
      <c r="V102" s="3"/>
      <c r="W102" s="4" t="str">
        <f ca="1">IFERROR(__xludf.DUMMYFUNCTION("""COMPUTED_VALUE"""),"https://reklama.cncenter.cz/Online/mobilni-slide-up")</f>
        <v>https://reklama.cncenter.cz/Online/mobilni-slide-up</v>
      </c>
      <c r="X102" s="3"/>
      <c r="Y102" s="3"/>
      <c r="Z102" s="3" t="str">
        <f ca="1">IFERROR(__xludf.DUMMYFUNCTION("""COMPUTED_VALUE"""),"podklady@cncenter.cz")</f>
        <v>podklady@cncenter.cz</v>
      </c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 t="str">
        <f ca="1">IFERROR(__xludf.DUMMYFUNCTION("""COMPUTED_VALUE"""),"mobile")</f>
        <v>mobile</v>
      </c>
      <c r="AO102" s="3"/>
      <c r="AP102" s="3"/>
      <c r="AQ102" s="3"/>
      <c r="AR102" s="3"/>
      <c r="AS102" s="3"/>
      <c r="AT102" s="3"/>
      <c r="AU102" s="3" t="str">
        <f ca="1">IFERROR(__xludf.DUMMYFUNCTION("""COMPUTED_VALUE"""),"cílený mobilní slide-up")</f>
        <v>cílený mobilní slide-up</v>
      </c>
    </row>
    <row r="103" spans="1:47" x14ac:dyDescent="0.3">
      <c r="A103" s="3">
        <f ca="1"/>
        <v>2346826</v>
      </c>
      <c r="B103" s="3" t="str">
        <f ca="1"/>
        <v>CZECH NEWS CENTER a. s.</v>
      </c>
      <c r="C103" s="3" t="str">
        <f ca="1">IFERROR(__xludf.DUMMYFUNCTION("""COMPUTED_VALUE"""),"Auto")</f>
        <v>Auto</v>
      </c>
      <c r="D103" s="4" t="str">
        <f ca="1">IFERROR(__xludf.DUMMYFUNCTION("""COMPUTED_VALUE"""),"https://auto.cz")</f>
        <v>https://auto.cz</v>
      </c>
      <c r="E103" s="3" t="str">
        <f ca="1">IFERROR(__xludf.DUMMYFUNCTION("""COMPUTED_VALUE"""),"celý web")</f>
        <v>celý web</v>
      </c>
      <c r="F103" s="4" t="str">
        <f ca="1">IFERROR(__xludf.DUMMYFUNCTION("""COMPUTED_VALUE"""),"https://auto.cz")</f>
        <v>https://auto.cz</v>
      </c>
      <c r="G103" s="3" t="str">
        <f ca="1">IFERROR(__xludf.DUMMYFUNCTION("""COMPUTED_VALUE"""),"cílený mobilní viněta mid season")</f>
        <v>cílený mobilní viněta mid season</v>
      </c>
      <c r="H103" s="3">
        <f ca="1">IFERROR(__xludf.DUMMYFUNCTION("""COMPUTED_VALUE"""),7)</f>
        <v>7</v>
      </c>
      <c r="I103" s="5">
        <f ca="1">IFERROR(__xludf.DUMMYFUNCTION("""COMPUTED_VALUE"""),1000)</f>
        <v>1000</v>
      </c>
      <c r="J103" s="5">
        <f ca="1">IFERROR(__xludf.DUMMYFUNCTION("""COMPUTED_VALUE"""),1488)</f>
        <v>1488</v>
      </c>
      <c r="K103" s="3"/>
      <c r="L103" s="3" t="str">
        <f ca="1">IFERROR(__xludf.DUMMYFUNCTION("""COMPUTED_VALUE"""),"Cost per period")</f>
        <v>Cost per period</v>
      </c>
      <c r="M103" s="3"/>
      <c r="N103" s="3"/>
      <c r="O103" s="3" t="str">
        <f ca="1">IFERROR(__xludf.DUMMYFUNCTION("""COMPUTED_VALUE"""),"600")</f>
        <v>600</v>
      </c>
      <c r="P103" s="3" t="str">
        <f ca="1">IFERROR(__xludf.DUMMYFUNCTION("""COMPUTED_VALUE"""),"800")</f>
        <v>800</v>
      </c>
      <c r="Q103" s="3" t="str">
        <f ca="1">IFERROR(__xludf.DUMMYFUNCTION("""COMPUTED_VALUE"""),"300x250 nebo 600x800")</f>
        <v>300x250 nebo 600x800</v>
      </c>
      <c r="R103" s="3"/>
      <c r="S103" s="3" t="str">
        <f ca="1">IFERROR(__xludf.DUMMYFUNCTION("""COMPUTED_VALUE"""),"100")</f>
        <v>100</v>
      </c>
      <c r="T103" s="3"/>
      <c r="U103" s="3" t="str">
        <f ca="1">IFERROR(__xludf.DUMMYFUNCTION("""COMPUTED_VALUE"""),"banner standard")</f>
        <v>banner standard</v>
      </c>
      <c r="V103" s="3"/>
      <c r="W103" s="4" t="str">
        <f ca="1">IFERROR(__xludf.DUMMYFUNCTION("""COMPUTED_VALUE"""),"https://reklama.cncenter.cz/Online/mobilni-vineta")</f>
        <v>https://reklama.cncenter.cz/Online/mobilni-vineta</v>
      </c>
      <c r="X103" s="3"/>
      <c r="Y103" s="3"/>
      <c r="Z103" s="3" t="str">
        <f ca="1">IFERROR(__xludf.DUMMYFUNCTION("""COMPUTED_VALUE"""),"podklady@cncenter.cz")</f>
        <v>podklady@cncenter.cz</v>
      </c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 t="str">
        <f ca="1">IFERROR(__xludf.DUMMYFUNCTION("""COMPUTED_VALUE"""),"mobile")</f>
        <v>mobile</v>
      </c>
      <c r="AO103" s="3"/>
      <c r="AP103" s="3"/>
      <c r="AQ103" s="3"/>
      <c r="AR103" s="3"/>
      <c r="AS103" s="3"/>
      <c r="AT103" s="3"/>
      <c r="AU103" s="3" t="str">
        <f ca="1">IFERROR(__xludf.DUMMYFUNCTION("""COMPUTED_VALUE"""),"cílený mobilní viněta")</f>
        <v>cílený mobilní viněta</v>
      </c>
    </row>
    <row r="104" spans="1:47" x14ac:dyDescent="0.3">
      <c r="A104" s="3">
        <f ca="1"/>
        <v>2346826</v>
      </c>
      <c r="B104" s="3" t="str">
        <f ca="1"/>
        <v>CZECH NEWS CENTER a. s.</v>
      </c>
      <c r="C104" s="3" t="str">
        <f ca="1">IFERROR(__xludf.DUMMYFUNCTION("""COMPUTED_VALUE"""),"Auto")</f>
        <v>Auto</v>
      </c>
      <c r="D104" s="4" t="str">
        <f ca="1">IFERROR(__xludf.DUMMYFUNCTION("""COMPUTED_VALUE"""),"https://auto.cz")</f>
        <v>https://auto.cz</v>
      </c>
      <c r="E104" s="3" t="str">
        <f ca="1">IFERROR(__xludf.DUMMYFUNCTION("""COMPUTED_VALUE"""),"celý web")</f>
        <v>celý web</v>
      </c>
      <c r="F104" s="4" t="str">
        <f ca="1">IFERROR(__xludf.DUMMYFUNCTION("""COMPUTED_VALUE"""),"https://auto.cz")</f>
        <v>https://auto.cz</v>
      </c>
      <c r="G104" s="3" t="str">
        <f ca="1">IFERROR(__xludf.DUMMYFUNCTION("""COMPUTED_VALUE"""),"cílený nativní pr premium mid season")</f>
        <v>cílený nativní pr premium mid season</v>
      </c>
      <c r="H104" s="3">
        <f ca="1">IFERROR(__xludf.DUMMYFUNCTION("""COMPUTED_VALUE"""),7)</f>
        <v>7</v>
      </c>
      <c r="I104" s="5">
        <f ca="1">IFERROR(__xludf.DUMMYFUNCTION("""COMPUTED_VALUE"""),1000)</f>
        <v>1000</v>
      </c>
      <c r="J104" s="5">
        <f ca="1">IFERROR(__xludf.DUMMYFUNCTION("""COMPUTED_VALUE"""),168)</f>
        <v>168</v>
      </c>
      <c r="K104" s="3"/>
      <c r="L104" s="3" t="str">
        <f ca="1">IFERROR(__xludf.DUMMYFUNCTION("""COMPUTED_VALUE"""),"Cost per period")</f>
        <v>Cost per period</v>
      </c>
      <c r="M104" s="3"/>
      <c r="N104" s="3"/>
      <c r="O104" s="3" t="str">
        <f ca="1">IFERROR(__xludf.DUMMYFUNCTION("""COMPUTED_VALUE"""),"640")</f>
        <v>640</v>
      </c>
      <c r="P104" s="3" t="str">
        <f ca="1">IFERROR(__xludf.DUMMYFUNCTION("""COMPUTED_VALUE"""),"335, 640")</f>
        <v>335, 640</v>
      </c>
      <c r="Q104" s="3" t="str">
        <f ca="1">IFERROR(__xludf.DUMMYFUNCTION("""COMPUTED_VALUE"""),"640x640 a 640x335 + text + logo")</f>
        <v>640x640 a 640x335 + text + logo</v>
      </c>
      <c r="R104" s="3" t="str">
        <f ca="1">IFERROR(__xludf.DUMMYFUNCTION("""COMPUTED_VALUE"""),"detailní specifikace na URL odkaze")</f>
        <v>detailní specifikace na URL odkaze</v>
      </c>
      <c r="S104" s="3" t="str">
        <f ca="1">IFERROR(__xludf.DUMMYFUNCTION("""COMPUTED_VALUE"""),"100")</f>
        <v>100</v>
      </c>
      <c r="T104" s="3"/>
      <c r="U104" s="3" t="str">
        <f ca="1">IFERROR(__xludf.DUMMYFUNCTION("""COMPUTED_VALUE"""),"nativní reklama")</f>
        <v>nativní reklama</v>
      </c>
      <c r="V104" s="3"/>
      <c r="W104" s="4" t="str">
        <f ca="1">IFERROR(__xludf.DUMMYFUNCTION("""COMPUTED_VALUE"""),"https://reklama.cncenter.cz/Online/nativni-PR-premium")</f>
        <v>https://reklama.cncenter.cz/Online/nativni-PR-premium</v>
      </c>
      <c r="X104" s="3"/>
      <c r="Y104" s="3"/>
      <c r="Z104" s="3" t="str">
        <f ca="1">IFERROR(__xludf.DUMMYFUNCTION("""COMPUTED_VALUE"""),"podklady@cncenter.cz")</f>
        <v>podklady@cncenter.cz</v>
      </c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 t="str">
        <f ca="1">IFERROR(__xludf.DUMMYFUNCTION("""COMPUTED_VALUE"""),"cross-device")</f>
        <v>cross-device</v>
      </c>
      <c r="AO104" s="3"/>
      <c r="AP104" s="3"/>
      <c r="AQ104" s="3"/>
      <c r="AR104" s="3"/>
      <c r="AS104" s="3"/>
      <c r="AT104" s="3"/>
      <c r="AU104" s="3" t="str">
        <f ca="1">IFERROR(__xludf.DUMMYFUNCTION("""COMPUTED_VALUE"""),"cílený nativní pr premium")</f>
        <v>cílený nativní pr premium</v>
      </c>
    </row>
    <row r="105" spans="1:47" x14ac:dyDescent="0.3">
      <c r="A105" s="3">
        <f ca="1"/>
        <v>2346826</v>
      </c>
      <c r="B105" s="3" t="str">
        <f ca="1"/>
        <v>CZECH NEWS CENTER a. s.</v>
      </c>
      <c r="C105" s="3" t="str">
        <f ca="1">IFERROR(__xludf.DUMMYFUNCTION("""COMPUTED_VALUE"""),"Auto")</f>
        <v>Auto</v>
      </c>
      <c r="D105" s="4" t="str">
        <f ca="1">IFERROR(__xludf.DUMMYFUNCTION("""COMPUTED_VALUE"""),"https://auto.cz")</f>
        <v>https://auto.cz</v>
      </c>
      <c r="E105" s="3" t="str">
        <f ca="1">IFERROR(__xludf.DUMMYFUNCTION("""COMPUTED_VALUE"""),"celý web")</f>
        <v>celý web</v>
      </c>
      <c r="F105" s="4" t="str">
        <f ca="1">IFERROR(__xludf.DUMMYFUNCTION("""COMPUTED_VALUE"""),"https://auto.cz")</f>
        <v>https://auto.cz</v>
      </c>
      <c r="G105" s="3" t="str">
        <f ca="1">IFERROR(__xludf.DUMMYFUNCTION("""COMPUTED_VALUE"""),"cílený nativní rectangle cross-device mid season")</f>
        <v>cílený nativní rectangle cross-device mid season</v>
      </c>
      <c r="H105" s="3">
        <f ca="1">IFERROR(__xludf.DUMMYFUNCTION("""COMPUTED_VALUE"""),7)</f>
        <v>7</v>
      </c>
      <c r="I105" s="5">
        <f ca="1">IFERROR(__xludf.DUMMYFUNCTION("""COMPUTED_VALUE"""),1000)</f>
        <v>1000</v>
      </c>
      <c r="J105" s="5">
        <f ca="1">IFERROR(__xludf.DUMMYFUNCTION("""COMPUTED_VALUE"""),336)</f>
        <v>336</v>
      </c>
      <c r="K105" s="3"/>
      <c r="L105" s="3" t="str">
        <f ca="1">IFERROR(__xludf.DUMMYFUNCTION("""COMPUTED_VALUE"""),"Cost per period")</f>
        <v>Cost per period</v>
      </c>
      <c r="M105" s="3"/>
      <c r="N105" s="3"/>
      <c r="O105" s="3" t="str">
        <f ca="1">IFERROR(__xludf.DUMMYFUNCTION("""COMPUTED_VALUE"""),"640")</f>
        <v>640</v>
      </c>
      <c r="P105" s="3" t="str">
        <f ca="1">IFERROR(__xludf.DUMMYFUNCTION("""COMPUTED_VALUE"""),"335, 640")</f>
        <v>335, 640</v>
      </c>
      <c r="Q105" s="3" t="str">
        <f ca="1">IFERROR(__xludf.DUMMYFUNCTION("""COMPUTED_VALUE"""),"640x640 a 640x335 + text + logo")</f>
        <v>640x640 a 640x335 + text + logo</v>
      </c>
      <c r="R105" s="3"/>
      <c r="S105" s="3" t="str">
        <f ca="1">IFERROR(__xludf.DUMMYFUNCTION("""COMPUTED_VALUE"""),"45")</f>
        <v>45</v>
      </c>
      <c r="T105" s="3"/>
      <c r="U105" s="3" t="str">
        <f ca="1">IFERROR(__xludf.DUMMYFUNCTION("""COMPUTED_VALUE"""),"nativní reklama")</f>
        <v>nativní reklama</v>
      </c>
      <c r="V105" s="3"/>
      <c r="W105" s="4" t="str">
        <f ca="1">IFERROR(__xludf.DUMMYFUNCTION("""COMPUTED_VALUE"""),"https://reklama.cncenter.cz/Online/nativni-rectangle-cross-device")</f>
        <v>https://reklama.cncenter.cz/Online/nativni-rectangle-cross-device</v>
      </c>
      <c r="X105" s="3"/>
      <c r="Y105" s="3"/>
      <c r="Z105" s="3" t="str">
        <f ca="1">IFERROR(__xludf.DUMMYFUNCTION("""COMPUTED_VALUE"""),"podklady@cncenter.cz")</f>
        <v>podklady@cncenter.cz</v>
      </c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 t="str">
        <f ca="1">IFERROR(__xludf.DUMMYFUNCTION("""COMPUTED_VALUE"""),"cross-device")</f>
        <v>cross-device</v>
      </c>
      <c r="AO105" s="3"/>
      <c r="AP105" s="3"/>
      <c r="AQ105" s="3"/>
      <c r="AR105" s="3"/>
      <c r="AS105" s="3"/>
      <c r="AT105" s="3"/>
      <c r="AU105" s="3" t="str">
        <f ca="1">IFERROR(__xludf.DUMMYFUNCTION("""COMPUTED_VALUE"""),"cílený nativní rectangle cross-device")</f>
        <v>cílený nativní rectangle cross-device</v>
      </c>
    </row>
    <row r="106" spans="1:47" x14ac:dyDescent="0.3">
      <c r="A106" s="3">
        <f ca="1"/>
        <v>2346826</v>
      </c>
      <c r="B106" s="3" t="str">
        <f ca="1"/>
        <v>CZECH NEWS CENTER a. s.</v>
      </c>
      <c r="C106" s="3" t="str">
        <f ca="1">IFERROR(__xludf.DUMMYFUNCTION("""COMPUTED_VALUE"""),"Auto")</f>
        <v>Auto</v>
      </c>
      <c r="D106" s="4" t="str">
        <f ca="1">IFERROR(__xludf.DUMMYFUNCTION("""COMPUTED_VALUE"""),"https://auto.cz")</f>
        <v>https://auto.cz</v>
      </c>
      <c r="E106" s="3" t="str">
        <f ca="1">IFERROR(__xludf.DUMMYFUNCTION("""COMPUTED_VALUE"""),"celý web")</f>
        <v>celý web</v>
      </c>
      <c r="F106" s="4" t="str">
        <f ca="1">IFERROR(__xludf.DUMMYFUNCTION("""COMPUTED_VALUE"""),"https://auto.cz")</f>
        <v>https://auto.cz</v>
      </c>
      <c r="G106" s="3" t="str">
        <f ca="1">IFERROR(__xludf.DUMMYFUNCTION("""COMPUTED_VALUE"""),"cílený outstream mid season")</f>
        <v>cílený outstream mid season</v>
      </c>
      <c r="H106" s="3">
        <f ca="1">IFERROR(__xludf.DUMMYFUNCTION("""COMPUTED_VALUE"""),7)</f>
        <v>7</v>
      </c>
      <c r="I106" s="5">
        <f ca="1">IFERROR(__xludf.DUMMYFUNCTION("""COMPUTED_VALUE"""),1000)</f>
        <v>1000</v>
      </c>
      <c r="J106" s="5">
        <f ca="1">IFERROR(__xludf.DUMMYFUNCTION("""COMPUTED_VALUE"""),420)</f>
        <v>420</v>
      </c>
      <c r="K106" s="3"/>
      <c r="L106" s="3" t="str">
        <f ca="1">IFERROR(__xludf.DUMMYFUNCTION("""COMPUTED_VALUE"""),"Cost per period")</f>
        <v>Cost per period</v>
      </c>
      <c r="M106" s="3"/>
      <c r="N106" s="3"/>
      <c r="O106" s="3" t="str">
        <f ca="1">IFERROR(__xludf.DUMMYFUNCTION("""COMPUTED_VALUE"""),"1280")</f>
        <v>1280</v>
      </c>
      <c r="P106" s="3" t="str">
        <f ca="1">IFERROR(__xludf.DUMMYFUNCTION("""COMPUTED_VALUE"""),"720")</f>
        <v>720</v>
      </c>
      <c r="Q106" s="3" t="str">
        <f ca="1">IFERROR(__xludf.DUMMYFUNCTION("""COMPUTED_VALUE"""),"16:9")</f>
        <v>16:9</v>
      </c>
      <c r="R106" s="3"/>
      <c r="S106" s="3" t="str">
        <f ca="1">IFERROR(__xludf.DUMMYFUNCTION("""COMPUTED_VALUE"""),"100")</f>
        <v>100</v>
      </c>
      <c r="T106" s="3"/>
      <c r="U106" s="3" t="str">
        <f ca="1">IFERROR(__xludf.DUMMYFUNCTION("""COMPUTED_VALUE"""),"videospot")</f>
        <v>videospot</v>
      </c>
      <c r="V106" s="3"/>
      <c r="W106" s="4" t="str">
        <f ca="1">IFERROR(__xludf.DUMMYFUNCTION("""COMPUTED_VALUE"""),"https://reklama.cncenter.cz/Online/Outstream")</f>
        <v>https://reklama.cncenter.cz/Online/Outstream</v>
      </c>
      <c r="X106" s="3"/>
      <c r="Y106" s="3"/>
      <c r="Z106" s="3" t="str">
        <f ca="1">IFERROR(__xludf.DUMMYFUNCTION("""COMPUTED_VALUE"""),"podklady@cncenter.cz")</f>
        <v>podklady@cncenter.cz</v>
      </c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 t="str">
        <f ca="1">IFERROR(__xludf.DUMMYFUNCTION("""COMPUTED_VALUE"""),"cross-device")</f>
        <v>cross-device</v>
      </c>
      <c r="AO106" s="3"/>
      <c r="AP106" s="3"/>
      <c r="AQ106" s="3"/>
      <c r="AR106" s="3"/>
      <c r="AS106" s="3"/>
      <c r="AT106" s="3"/>
      <c r="AU106" s="3" t="str">
        <f ca="1">IFERROR(__xludf.DUMMYFUNCTION("""COMPUTED_VALUE"""),"cílený outstream")</f>
        <v>cílený outstream</v>
      </c>
    </row>
    <row r="107" spans="1:47" x14ac:dyDescent="0.3">
      <c r="A107" s="3">
        <f ca="1"/>
        <v>2346826</v>
      </c>
      <c r="B107" s="3" t="str">
        <f ca="1"/>
        <v>CZECH NEWS CENTER a. s.</v>
      </c>
      <c r="C107" s="3" t="str">
        <f ca="1">IFERROR(__xludf.DUMMYFUNCTION("""COMPUTED_VALUE"""),"Auto")</f>
        <v>Auto</v>
      </c>
      <c r="D107" s="4" t="str">
        <f ca="1">IFERROR(__xludf.DUMMYFUNCTION("""COMPUTED_VALUE"""),"https://auto.cz")</f>
        <v>https://auto.cz</v>
      </c>
      <c r="E107" s="3" t="str">
        <f ca="1">IFERROR(__xludf.DUMMYFUNCTION("""COMPUTED_VALUE"""),"celý web")</f>
        <v>celý web</v>
      </c>
      <c r="F107" s="4" t="str">
        <f ca="1">IFERROR(__xludf.DUMMYFUNCTION("""COMPUTED_VALUE"""),"https://auto.cz")</f>
        <v>https://auto.cz</v>
      </c>
      <c r="G107" s="3" t="str">
        <f ca="1">IFERROR(__xludf.DUMMYFUNCTION("""COMPUTED_VALUE"""),"cílený videospot - max. 30 sec. / bumper mid season")</f>
        <v>cílený videospot - max. 30 sec. / bumper mid season</v>
      </c>
      <c r="H107" s="3">
        <f ca="1">IFERROR(__xludf.DUMMYFUNCTION("""COMPUTED_VALUE"""),7)</f>
        <v>7</v>
      </c>
      <c r="I107" s="5">
        <f ca="1">IFERROR(__xludf.DUMMYFUNCTION("""COMPUTED_VALUE"""),1000)</f>
        <v>1000</v>
      </c>
      <c r="J107" s="5">
        <f ca="1">IFERROR(__xludf.DUMMYFUNCTION("""COMPUTED_VALUE"""),1248)</f>
        <v>1248</v>
      </c>
      <c r="K107" s="3"/>
      <c r="L107" s="3" t="str">
        <f ca="1">IFERROR(__xludf.DUMMYFUNCTION("""COMPUTED_VALUE"""),"Cost per period")</f>
        <v>Cost per period</v>
      </c>
      <c r="M107" s="3"/>
      <c r="N107" s="3"/>
      <c r="O107" s="3" t="str">
        <f ca="1">IFERROR(__xludf.DUMMYFUNCTION("""COMPUTED_VALUE"""),"1280")</f>
        <v>1280</v>
      </c>
      <c r="P107" s="3" t="str">
        <f ca="1">IFERROR(__xludf.DUMMYFUNCTION("""COMPUTED_VALUE"""),"720")</f>
        <v>720</v>
      </c>
      <c r="Q107" s="3" t="str">
        <f ca="1">IFERROR(__xludf.DUMMYFUNCTION("""COMPUTED_VALUE"""),"16:9 / umístění po domluvě dle možností")</f>
        <v>16:9 / umístění po domluvě dle možností</v>
      </c>
      <c r="R107" s="3" t="str">
        <f ca="1">IFERROR(__xludf.DUMMYFUNCTION("""COMPUTED_VALUE"""),"přeskočení po 7 sekundách")</f>
        <v>přeskočení po 7 sekundách</v>
      </c>
      <c r="S107" s="3" t="str">
        <f ca="1">IFERROR(__xludf.DUMMYFUNCTION("""COMPUTED_VALUE"""),"100")</f>
        <v>100</v>
      </c>
      <c r="T107" s="3"/>
      <c r="U107" s="3" t="str">
        <f ca="1">IFERROR(__xludf.DUMMYFUNCTION("""COMPUTED_VALUE"""),"videospot")</f>
        <v>videospot</v>
      </c>
      <c r="V107" s="3"/>
      <c r="W107" s="4" t="str">
        <f ca="1">IFERROR(__xludf.DUMMYFUNCTION("""COMPUTED_VALUE"""),"https://reklama.cncenter.cz/Online/Bumper")</f>
        <v>https://reklama.cncenter.cz/Online/Bumper</v>
      </c>
      <c r="X107" s="3"/>
      <c r="Y107" s="3"/>
      <c r="Z107" s="3" t="str">
        <f ca="1">IFERROR(__xludf.DUMMYFUNCTION("""COMPUTED_VALUE"""),"podklady@cncenter.cz")</f>
        <v>podklady@cncenter.cz</v>
      </c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 t="str">
        <f ca="1">IFERROR(__xludf.DUMMYFUNCTION("""COMPUTED_VALUE"""),"cross-device")</f>
        <v>cross-device</v>
      </c>
      <c r="AO107" s="3"/>
      <c r="AP107" s="3"/>
      <c r="AQ107" s="3"/>
      <c r="AR107" s="3"/>
      <c r="AS107" s="3"/>
      <c r="AT107" s="3"/>
      <c r="AU107" s="3" t="str">
        <f ca="1">IFERROR(__xludf.DUMMYFUNCTION("""COMPUTED_VALUE"""),"cílený videospot - max. 30 sec. / bumper")</f>
        <v>cílený videospot - max. 30 sec. / bumper</v>
      </c>
    </row>
    <row r="108" spans="1:47" x14ac:dyDescent="0.3">
      <c r="A108" s="3">
        <f ca="1"/>
        <v>2346826</v>
      </c>
      <c r="B108" s="3" t="str">
        <f ca="1"/>
        <v>CZECH NEWS CENTER a. s.</v>
      </c>
      <c r="C108" s="3" t="str">
        <f ca="1">IFERROR(__xludf.DUMMYFUNCTION("""COMPUTED_VALUE"""),"Auto")</f>
        <v>Auto</v>
      </c>
      <c r="D108" s="4" t="str">
        <f ca="1">IFERROR(__xludf.DUMMYFUNCTION("""COMPUTED_VALUE"""),"https://auto.cz")</f>
        <v>https://auto.cz</v>
      </c>
      <c r="E108" s="3" t="str">
        <f ca="1">IFERROR(__xludf.DUMMYFUNCTION("""COMPUTED_VALUE"""),"celý web")</f>
        <v>celý web</v>
      </c>
      <c r="F108" s="4" t="str">
        <f ca="1">IFERROR(__xludf.DUMMYFUNCTION("""COMPUTED_VALUE"""),"https://auto.cz")</f>
        <v>https://auto.cz</v>
      </c>
      <c r="G108" s="3" t="str">
        <f ca="1">IFERROR(__xludf.DUMMYFUNCTION("""COMPUTED_VALUE"""),"dokoupení proma o 2 týdny - 10 000 PV *** mid season")</f>
        <v>dokoupení proma o 2 týdny - 10 000 PV *** mid season</v>
      </c>
      <c r="H108" s="3">
        <f ca="1">IFERROR(__xludf.DUMMYFUNCTION("""COMPUTED_VALUE"""),1)</f>
        <v>1</v>
      </c>
      <c r="I108" s="5">
        <f ca="1">IFERROR(__xludf.DUMMYFUNCTION("""COMPUTED_VALUE"""),1)</f>
        <v>1</v>
      </c>
      <c r="J108" s="5">
        <f ca="1">IFERROR(__xludf.DUMMYFUNCTION("""COMPUTED_VALUE"""),60000)</f>
        <v>60000</v>
      </c>
      <c r="K108" s="3"/>
      <c r="L108" s="3" t="str">
        <f ca="1">IFERROR(__xludf.DUMMYFUNCTION("""COMPUTED_VALUE"""),"Cost per instance")</f>
        <v>Cost per instance</v>
      </c>
      <c r="M108" s="3"/>
      <c r="N108" s="3"/>
      <c r="O108" s="3"/>
      <c r="P108" s="3"/>
      <c r="Q108" s="3"/>
      <c r="R108" s="3"/>
      <c r="S108" s="3" t="str">
        <f ca="1">IFERROR(__xludf.DUMMYFUNCTION("""COMPUTED_VALUE"""),"100")</f>
        <v>100</v>
      </c>
      <c r="T108" s="3"/>
      <c r="U108" s="3" t="str">
        <f ca="1">IFERROR(__xludf.DUMMYFUNCTION("""COMPUTED_VALUE"""),"microsite")</f>
        <v>microsite</v>
      </c>
      <c r="V108" s="3"/>
      <c r="W108" s="3"/>
      <c r="X108" s="3"/>
      <c r="Y108" s="3"/>
      <c r="Z108" s="3" t="str">
        <f ca="1">IFERROR(__xludf.DUMMYFUNCTION("""COMPUTED_VALUE"""),"podklady@cncenter.cz")</f>
        <v>podklady@cncenter.cz</v>
      </c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 t="str">
        <f ca="1">IFERROR(__xludf.DUMMYFUNCTION("""COMPUTED_VALUE"""),"cross-device")</f>
        <v>cross-device</v>
      </c>
      <c r="AO108" s="3"/>
      <c r="AP108" s="3"/>
      <c r="AQ108" s="3"/>
      <c r="AR108" s="3"/>
      <c r="AS108" s="3"/>
      <c r="AT108" s="3"/>
      <c r="AU108" s="3" t="str">
        <f ca="1">IFERROR(__xludf.DUMMYFUNCTION("""COMPUTED_VALUE"""),"dokoupení proma o 2 týdny - 10 000 PV ***")</f>
        <v>dokoupení proma o 2 týdny - 10 000 PV ***</v>
      </c>
    </row>
    <row r="109" spans="1:47" x14ac:dyDescent="0.3">
      <c r="A109" s="3">
        <f ca="1"/>
        <v>2346826</v>
      </c>
      <c r="B109" s="3" t="str">
        <f ca="1"/>
        <v>CZECH NEWS CENTER a. s.</v>
      </c>
      <c r="C109" s="3" t="str">
        <f ca="1">IFERROR(__xludf.DUMMYFUNCTION("""COMPUTED_VALUE"""),"Auto")</f>
        <v>Auto</v>
      </c>
      <c r="D109" s="4" t="str">
        <f ca="1">IFERROR(__xludf.DUMMYFUNCTION("""COMPUTED_VALUE"""),"https://auto.cz")</f>
        <v>https://auto.cz</v>
      </c>
      <c r="E109" s="3" t="str">
        <f ca="1">IFERROR(__xludf.DUMMYFUNCTION("""COMPUTED_VALUE"""),"celý web")</f>
        <v>celý web</v>
      </c>
      <c r="F109" s="4" t="str">
        <f ca="1">IFERROR(__xludf.DUMMYFUNCTION("""COMPUTED_VALUE"""),"https://auto.cz")</f>
        <v>https://auto.cz</v>
      </c>
      <c r="G109" s="3" t="str">
        <f ca="1">IFERROR(__xludf.DUMMYFUNCTION("""COMPUTED_VALUE"""),"double skyscraper mid season")</f>
        <v>double skyscraper mid season</v>
      </c>
      <c r="H109" s="3">
        <f ca="1">IFERROR(__xludf.DUMMYFUNCTION("""COMPUTED_VALUE"""),7)</f>
        <v>7</v>
      </c>
      <c r="I109" s="5">
        <f ca="1">IFERROR(__xludf.DUMMYFUNCTION("""COMPUTED_VALUE"""),1000)</f>
        <v>1000</v>
      </c>
      <c r="J109" s="5">
        <f ca="1">IFERROR(__xludf.DUMMYFUNCTION("""COMPUTED_VALUE"""),270)</f>
        <v>270</v>
      </c>
      <c r="K109" s="3"/>
      <c r="L109" s="3" t="str">
        <f ca="1">IFERROR(__xludf.DUMMYFUNCTION("""COMPUTED_VALUE"""),"Cost per period")</f>
        <v>Cost per period</v>
      </c>
      <c r="M109" s="3"/>
      <c r="N109" s="3"/>
      <c r="O109" s="3" t="str">
        <f ca="1">IFERROR(__xludf.DUMMYFUNCTION("""COMPUTED_VALUE"""),"300")</f>
        <v>300</v>
      </c>
      <c r="P109" s="3" t="str">
        <f ca="1">IFERROR(__xludf.DUMMYFUNCTION("""COMPUTED_VALUE"""),"600")</f>
        <v>600</v>
      </c>
      <c r="Q109" s="3" t="str">
        <f ca="1">IFERROR(__xludf.DUMMYFUNCTION("""COMPUTED_VALUE"""),"300x600")</f>
        <v>300x600</v>
      </c>
      <c r="R109" s="3"/>
      <c r="S109" s="3" t="str">
        <f ca="1">IFERROR(__xludf.DUMMYFUNCTION("""COMPUTED_VALUE"""),"100 (200 - HTML5)")</f>
        <v>100 (200 - HTML5)</v>
      </c>
      <c r="T109" s="3"/>
      <c r="U109" s="3" t="str">
        <f ca="1">IFERROR(__xludf.DUMMYFUNCTION("""COMPUTED_VALUE"""),"banner standard")</f>
        <v>banner standard</v>
      </c>
      <c r="V109" s="3"/>
      <c r="W109" s="4" t="str">
        <f ca="1">IFERROR(__xludf.DUMMYFUNCTION("""COMPUTED_VALUE"""),"https://reklama.cncenter.cz/Online/double-skyscraper")</f>
        <v>https://reklama.cncenter.cz/Online/double-skyscraper</v>
      </c>
      <c r="X109" s="3"/>
      <c r="Y109" s="3"/>
      <c r="Z109" s="3" t="str">
        <f ca="1">IFERROR(__xludf.DUMMYFUNCTION("""COMPUTED_VALUE"""),"podklady@cncenter.cz")</f>
        <v>podklady@cncenter.cz</v>
      </c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 t="str">
        <f ca="1">IFERROR(__xludf.DUMMYFUNCTION("""COMPUTED_VALUE"""),"desktop")</f>
        <v>desktop</v>
      </c>
      <c r="AO109" s="3"/>
      <c r="AP109" s="3"/>
      <c r="AQ109" s="3"/>
      <c r="AR109" s="3"/>
      <c r="AS109" s="3"/>
      <c r="AT109" s="3"/>
      <c r="AU109" s="3" t="str">
        <f ca="1">IFERROR(__xludf.DUMMYFUNCTION("""COMPUTED_VALUE"""),"double skyscraper")</f>
        <v>double skyscraper</v>
      </c>
    </row>
    <row r="110" spans="1:47" x14ac:dyDescent="0.3">
      <c r="A110" s="3">
        <f ca="1"/>
        <v>2346826</v>
      </c>
      <c r="B110" s="3" t="str">
        <f ca="1"/>
        <v>CZECH NEWS CENTER a. s.</v>
      </c>
      <c r="C110" s="3" t="str">
        <f ca="1">IFERROR(__xludf.DUMMYFUNCTION("""COMPUTED_VALUE"""),"Auto")</f>
        <v>Auto</v>
      </c>
      <c r="D110" s="4" t="str">
        <f ca="1">IFERROR(__xludf.DUMMYFUNCTION("""COMPUTED_VALUE"""),"https://auto.cz")</f>
        <v>https://auto.cz</v>
      </c>
      <c r="E110" s="3" t="str">
        <f ca="1">IFERROR(__xludf.DUMMYFUNCTION("""COMPUTED_VALUE"""),"celý web")</f>
        <v>celý web</v>
      </c>
      <c r="F110" s="4" t="str">
        <f ca="1">IFERROR(__xludf.DUMMYFUNCTION("""COMPUTED_VALUE"""),"https://auto.cz")</f>
        <v>https://auto.cz</v>
      </c>
      <c r="G110" s="3" t="str">
        <f ca="1">IFERROR(__xludf.DUMMYFUNCTION("""COMPUTED_VALUE"""),"mini videospot - max. 30 sec. mid season")</f>
        <v>mini videospot - max. 30 sec. mid season</v>
      </c>
      <c r="H110" s="3">
        <f ca="1">IFERROR(__xludf.DUMMYFUNCTION("""COMPUTED_VALUE"""),7)</f>
        <v>7</v>
      </c>
      <c r="I110" s="5">
        <f ca="1">IFERROR(__xludf.DUMMYFUNCTION("""COMPUTED_VALUE"""),1000)</f>
        <v>1000</v>
      </c>
      <c r="J110" s="5">
        <f ca="1">IFERROR(__xludf.DUMMYFUNCTION("""COMPUTED_VALUE"""),200)</f>
        <v>200</v>
      </c>
      <c r="K110" s="3"/>
      <c r="L110" s="3" t="str">
        <f ca="1">IFERROR(__xludf.DUMMYFUNCTION("""COMPUTED_VALUE"""),"Cost per period")</f>
        <v>Cost per period</v>
      </c>
      <c r="M110" s="3"/>
      <c r="N110" s="3"/>
      <c r="O110" s="3"/>
      <c r="P110" s="3"/>
      <c r="Q110" s="3" t="str">
        <f ca="1">IFERROR(__xludf.DUMMYFUNCTION("""COMPUTED_VALUE"""),"16:9 / umístění po domluvě dle možností")</f>
        <v>16:9 / umístění po domluvě dle možností</v>
      </c>
      <c r="R110" s="3" t="str">
        <f ca="1">IFERROR(__xludf.DUMMYFUNCTION("""COMPUTED_VALUE"""),"přeskočení po 7 sekundách")</f>
        <v>přeskočení po 7 sekundách</v>
      </c>
      <c r="S110" s="3" t="str">
        <f ca="1">IFERROR(__xludf.DUMMYFUNCTION("""COMPUTED_VALUE"""),"100")</f>
        <v>100</v>
      </c>
      <c r="T110" s="3"/>
      <c r="U110" s="3" t="str">
        <f ca="1">IFERROR(__xludf.DUMMYFUNCTION("""COMPUTED_VALUE"""),"videospot")</f>
        <v>videospot</v>
      </c>
      <c r="V110" s="3"/>
      <c r="W110" s="4" t="str">
        <f ca="1">IFERROR(__xludf.DUMMYFUNCTION("""COMPUTED_VALUE"""),"https://reklama.cncenter.cz/Online/Videospot")</f>
        <v>https://reklama.cncenter.cz/Online/Videospot</v>
      </c>
      <c r="X110" s="3"/>
      <c r="Y110" s="3"/>
      <c r="Z110" s="3" t="str">
        <f ca="1">IFERROR(__xludf.DUMMYFUNCTION("""COMPUTED_VALUE"""),"podklady@cncenter.cz")</f>
        <v>podklady@cncenter.cz</v>
      </c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 t="str">
        <f ca="1">IFERROR(__xludf.DUMMYFUNCTION("""COMPUTED_VALUE"""),"desktop")</f>
        <v>desktop</v>
      </c>
      <c r="AO110" s="3"/>
      <c r="AP110" s="3"/>
      <c r="AQ110" s="3"/>
      <c r="AR110" s="3"/>
      <c r="AS110" s="3"/>
      <c r="AT110" s="3"/>
      <c r="AU110" s="3" t="str">
        <f ca="1">IFERROR(__xludf.DUMMYFUNCTION("""COMPUTED_VALUE"""),"mini videospot - max. 30 sec.")</f>
        <v>mini videospot - max. 30 sec.</v>
      </c>
    </row>
    <row r="111" spans="1:47" x14ac:dyDescent="0.3">
      <c r="A111" s="3">
        <f ca="1"/>
        <v>2346826</v>
      </c>
      <c r="B111" s="3" t="str">
        <f ca="1"/>
        <v>CZECH NEWS CENTER a. s.</v>
      </c>
      <c r="C111" s="3" t="str">
        <f ca="1">IFERROR(__xludf.DUMMYFUNCTION("""COMPUTED_VALUE"""),"Auto")</f>
        <v>Auto</v>
      </c>
      <c r="D111" s="4" t="str">
        <f ca="1">IFERROR(__xludf.DUMMYFUNCTION("""COMPUTED_VALUE"""),"https://auto.cz")</f>
        <v>https://auto.cz</v>
      </c>
      <c r="E111" s="3" t="str">
        <f ca="1">IFERROR(__xludf.DUMMYFUNCTION("""COMPUTED_VALUE"""),"celý web")</f>
        <v>celý web</v>
      </c>
      <c r="F111" s="4" t="str">
        <f ca="1">IFERROR(__xludf.DUMMYFUNCTION("""COMPUTED_VALUE"""),"https://auto.cz")</f>
        <v>https://auto.cz</v>
      </c>
      <c r="G111" s="3" t="str">
        <f ca="1">IFERROR(__xludf.DUMMYFUNCTION("""COMPUTED_VALUE"""),"mobilní interscroller mid season")</f>
        <v>mobilní interscroller mid season</v>
      </c>
      <c r="H111" s="3">
        <f ca="1">IFERROR(__xludf.DUMMYFUNCTION("""COMPUTED_VALUE"""),7)</f>
        <v>7</v>
      </c>
      <c r="I111" s="5">
        <f ca="1">IFERROR(__xludf.DUMMYFUNCTION("""COMPUTED_VALUE"""),1000)</f>
        <v>1000</v>
      </c>
      <c r="J111" s="5">
        <f ca="1">IFERROR(__xludf.DUMMYFUNCTION("""COMPUTED_VALUE"""),350)</f>
        <v>350</v>
      </c>
      <c r="K111" s="3"/>
      <c r="L111" s="3" t="str">
        <f ca="1">IFERROR(__xludf.DUMMYFUNCTION("""COMPUTED_VALUE"""),"Cost per period")</f>
        <v>Cost per period</v>
      </c>
      <c r="M111" s="3"/>
      <c r="N111" s="3"/>
      <c r="O111" s="3" t="str">
        <f ca="1">IFERROR(__xludf.DUMMYFUNCTION("""COMPUTED_VALUE"""),"600")</f>
        <v>600</v>
      </c>
      <c r="P111" s="3" t="str">
        <f ca="1">IFERROR(__xludf.DUMMYFUNCTION("""COMPUTED_VALUE"""),"1080")</f>
        <v>1080</v>
      </c>
      <c r="Q111" s="3" t="str">
        <f ca="1">IFERROR(__xludf.DUMMYFUNCTION("""COMPUTED_VALUE"""),"600x1080")</f>
        <v>600x1080</v>
      </c>
      <c r="R111" s="3"/>
      <c r="S111" s="3" t="str">
        <f ca="1">IFERROR(__xludf.DUMMYFUNCTION("""COMPUTED_VALUE"""),"200")</f>
        <v>200</v>
      </c>
      <c r="T111" s="3"/>
      <c r="U111" s="3" t="str">
        <f ca="1">IFERROR(__xludf.DUMMYFUNCTION("""COMPUTED_VALUE"""),"banner standard")</f>
        <v>banner standard</v>
      </c>
      <c r="V111" s="3"/>
      <c r="W111" s="4" t="str">
        <f ca="1">IFERROR(__xludf.DUMMYFUNCTION("""COMPUTED_VALUE"""),"https://reklama.cncenter.cz/Online/mobilni-interscroller")</f>
        <v>https://reklama.cncenter.cz/Online/mobilni-interscroller</v>
      </c>
      <c r="X111" s="3"/>
      <c r="Y111" s="3"/>
      <c r="Z111" s="3" t="str">
        <f ca="1">IFERROR(__xludf.DUMMYFUNCTION("""COMPUTED_VALUE"""),"podklady@cncenter.cz")</f>
        <v>podklady@cncenter.cz</v>
      </c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 t="str">
        <f ca="1">IFERROR(__xludf.DUMMYFUNCTION("""COMPUTED_VALUE"""),"mobile")</f>
        <v>mobile</v>
      </c>
      <c r="AO111" s="3"/>
      <c r="AP111" s="3"/>
      <c r="AQ111" s="3"/>
      <c r="AR111" s="3"/>
      <c r="AS111" s="3"/>
      <c r="AT111" s="3"/>
      <c r="AU111" s="3" t="str">
        <f ca="1">IFERROR(__xludf.DUMMYFUNCTION("""COMPUTED_VALUE"""),"mobilní interscroller")</f>
        <v>mobilní interscroller</v>
      </c>
    </row>
    <row r="112" spans="1:47" x14ac:dyDescent="0.3">
      <c r="A112" s="3">
        <f ca="1"/>
        <v>2346826</v>
      </c>
      <c r="B112" s="3" t="str">
        <f ca="1"/>
        <v>CZECH NEWS CENTER a. s.</v>
      </c>
      <c r="C112" s="3" t="str">
        <f ca="1">IFERROR(__xludf.DUMMYFUNCTION("""COMPUTED_VALUE"""),"Auto")</f>
        <v>Auto</v>
      </c>
      <c r="D112" s="4" t="str">
        <f ca="1">IFERROR(__xludf.DUMMYFUNCTION("""COMPUTED_VALUE"""),"https://auto.cz")</f>
        <v>https://auto.cz</v>
      </c>
      <c r="E112" s="3" t="str">
        <f ca="1">IFERROR(__xludf.DUMMYFUNCTION("""COMPUTED_VALUE"""),"celý web")</f>
        <v>celý web</v>
      </c>
      <c r="F112" s="4" t="str">
        <f ca="1">IFERROR(__xludf.DUMMYFUNCTION("""COMPUTED_VALUE"""),"https://auto.cz")</f>
        <v>https://auto.cz</v>
      </c>
      <c r="G112" s="3" t="str">
        <f ca="1">IFERROR(__xludf.DUMMYFUNCTION("""COMPUTED_VALUE"""),"mobilní slide-up mid season")</f>
        <v>mobilní slide-up mid season</v>
      </c>
      <c r="H112" s="3">
        <f ca="1">IFERROR(__xludf.DUMMYFUNCTION("""COMPUTED_VALUE"""),7)</f>
        <v>7</v>
      </c>
      <c r="I112" s="5">
        <f ca="1">IFERROR(__xludf.DUMMYFUNCTION("""COMPUTED_VALUE"""),1000)</f>
        <v>1000</v>
      </c>
      <c r="J112" s="5">
        <f ca="1">IFERROR(__xludf.DUMMYFUNCTION("""COMPUTED_VALUE"""),720)</f>
        <v>720</v>
      </c>
      <c r="K112" s="3"/>
      <c r="L112" s="3" t="str">
        <f ca="1">IFERROR(__xludf.DUMMYFUNCTION("""COMPUTED_VALUE"""),"Cost per period")</f>
        <v>Cost per period</v>
      </c>
      <c r="M112" s="3"/>
      <c r="N112" s="3"/>
      <c r="O112" s="3" t="str">
        <f ca="1">IFERROR(__xludf.DUMMYFUNCTION("""COMPUTED_VALUE"""),"300")</f>
        <v>300</v>
      </c>
      <c r="P112" s="3" t="str">
        <f ca="1">IFERROR(__xludf.DUMMYFUNCTION("""COMPUTED_VALUE"""),"120")</f>
        <v>120</v>
      </c>
      <c r="Q112" s="3" t="str">
        <f ca="1">IFERROR(__xludf.DUMMYFUNCTION("""COMPUTED_VALUE"""),"300x120")</f>
        <v>300x120</v>
      </c>
      <c r="R112" s="3"/>
      <c r="S112" s="3" t="str">
        <f ca="1">IFERROR(__xludf.DUMMYFUNCTION("""COMPUTED_VALUE"""),"100")</f>
        <v>100</v>
      </c>
      <c r="T112" s="3"/>
      <c r="U112" s="3" t="str">
        <f ca="1">IFERROR(__xludf.DUMMYFUNCTION("""COMPUTED_VALUE"""),"banner standard")</f>
        <v>banner standard</v>
      </c>
      <c r="V112" s="3"/>
      <c r="W112" s="4" t="str">
        <f ca="1">IFERROR(__xludf.DUMMYFUNCTION("""COMPUTED_VALUE"""),"https://reklama.cncenter.cz/Online/mobilni-slide-up")</f>
        <v>https://reklama.cncenter.cz/Online/mobilni-slide-up</v>
      </c>
      <c r="X112" s="3"/>
      <c r="Y112" s="3"/>
      <c r="Z112" s="3" t="str">
        <f ca="1">IFERROR(__xludf.DUMMYFUNCTION("""COMPUTED_VALUE"""),"podklady@cncenter.cz")</f>
        <v>podklady@cncenter.cz</v>
      </c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 t="str">
        <f ca="1">IFERROR(__xludf.DUMMYFUNCTION("""COMPUTED_VALUE"""),"mobile")</f>
        <v>mobile</v>
      </c>
      <c r="AO112" s="3"/>
      <c r="AP112" s="3"/>
      <c r="AQ112" s="3"/>
      <c r="AR112" s="3"/>
      <c r="AS112" s="3"/>
      <c r="AT112" s="3"/>
      <c r="AU112" s="3" t="str">
        <f ca="1">IFERROR(__xludf.DUMMYFUNCTION("""COMPUTED_VALUE"""),"mobilní slide-up")</f>
        <v>mobilní slide-up</v>
      </c>
    </row>
    <row r="113" spans="1:47" x14ac:dyDescent="0.3">
      <c r="A113" s="3">
        <f ca="1"/>
        <v>2346826</v>
      </c>
      <c r="B113" s="3" t="str">
        <f ca="1"/>
        <v>CZECH NEWS CENTER a. s.</v>
      </c>
      <c r="C113" s="3" t="str">
        <f ca="1">IFERROR(__xludf.DUMMYFUNCTION("""COMPUTED_VALUE"""),"Auto")</f>
        <v>Auto</v>
      </c>
      <c r="D113" s="4" t="str">
        <f ca="1">IFERROR(__xludf.DUMMYFUNCTION("""COMPUTED_VALUE"""),"https://auto.cz")</f>
        <v>https://auto.cz</v>
      </c>
      <c r="E113" s="3" t="str">
        <f ca="1">IFERROR(__xludf.DUMMYFUNCTION("""COMPUTED_VALUE"""),"celý web")</f>
        <v>celý web</v>
      </c>
      <c r="F113" s="4" t="str">
        <f ca="1">IFERROR(__xludf.DUMMYFUNCTION("""COMPUTED_VALUE"""),"https://auto.cz")</f>
        <v>https://auto.cz</v>
      </c>
      <c r="G113" s="3" t="str">
        <f ca="1">IFERROR(__xludf.DUMMYFUNCTION("""COMPUTED_VALUE"""),"mobilní viněta mid season")</f>
        <v>mobilní viněta mid season</v>
      </c>
      <c r="H113" s="3">
        <f ca="1">IFERROR(__xludf.DUMMYFUNCTION("""COMPUTED_VALUE"""),7)</f>
        <v>7</v>
      </c>
      <c r="I113" s="5">
        <f ca="1">IFERROR(__xludf.DUMMYFUNCTION("""COMPUTED_VALUE"""),1000)</f>
        <v>1000</v>
      </c>
      <c r="J113" s="5">
        <f ca="1">IFERROR(__xludf.DUMMYFUNCTION("""COMPUTED_VALUE"""),1240)</f>
        <v>1240</v>
      </c>
      <c r="K113" s="3"/>
      <c r="L113" s="3" t="str">
        <f ca="1">IFERROR(__xludf.DUMMYFUNCTION("""COMPUTED_VALUE"""),"Cost per period")</f>
        <v>Cost per period</v>
      </c>
      <c r="M113" s="3"/>
      <c r="N113" s="3"/>
      <c r="O113" s="3" t="str">
        <f ca="1">IFERROR(__xludf.DUMMYFUNCTION("""COMPUTED_VALUE"""),"600")</f>
        <v>600</v>
      </c>
      <c r="P113" s="3" t="str">
        <f ca="1">IFERROR(__xludf.DUMMYFUNCTION("""COMPUTED_VALUE"""),"800")</f>
        <v>800</v>
      </c>
      <c r="Q113" s="3" t="str">
        <f ca="1">IFERROR(__xludf.DUMMYFUNCTION("""COMPUTED_VALUE"""),"300x250 nebo 600x800")</f>
        <v>300x250 nebo 600x800</v>
      </c>
      <c r="R113" s="3"/>
      <c r="S113" s="3" t="str">
        <f ca="1">IFERROR(__xludf.DUMMYFUNCTION("""COMPUTED_VALUE"""),"100")</f>
        <v>100</v>
      </c>
      <c r="T113" s="3"/>
      <c r="U113" s="3" t="str">
        <f ca="1">IFERROR(__xludf.DUMMYFUNCTION("""COMPUTED_VALUE"""),"banner standard")</f>
        <v>banner standard</v>
      </c>
      <c r="V113" s="3"/>
      <c r="W113" s="4" t="str">
        <f ca="1">IFERROR(__xludf.DUMMYFUNCTION("""COMPUTED_VALUE"""),"https://reklama.cncenter.cz/Online/mobilni-vineta")</f>
        <v>https://reklama.cncenter.cz/Online/mobilni-vineta</v>
      </c>
      <c r="X113" s="3"/>
      <c r="Y113" s="3"/>
      <c r="Z113" s="3" t="str">
        <f ca="1">IFERROR(__xludf.DUMMYFUNCTION("""COMPUTED_VALUE"""),"podklady@cncenter.cz")</f>
        <v>podklady@cncenter.cz</v>
      </c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 t="str">
        <f ca="1">IFERROR(__xludf.DUMMYFUNCTION("""COMPUTED_VALUE"""),"mobile")</f>
        <v>mobile</v>
      </c>
      <c r="AO113" s="3"/>
      <c r="AP113" s="3"/>
      <c r="AQ113" s="3"/>
      <c r="AR113" s="3"/>
      <c r="AS113" s="3"/>
      <c r="AT113" s="3"/>
      <c r="AU113" s="3" t="str">
        <f ca="1">IFERROR(__xludf.DUMMYFUNCTION("""COMPUTED_VALUE"""),"mobilní viněta")</f>
        <v>mobilní viněta</v>
      </c>
    </row>
    <row r="114" spans="1:47" x14ac:dyDescent="0.3">
      <c r="A114" s="3">
        <f ca="1"/>
        <v>2346826</v>
      </c>
      <c r="B114" s="3" t="str">
        <f ca="1"/>
        <v>CZECH NEWS CENTER a. s.</v>
      </c>
      <c r="C114" s="3" t="str">
        <f ca="1">IFERROR(__xludf.DUMMYFUNCTION("""COMPUTED_VALUE"""),"Auto")</f>
        <v>Auto</v>
      </c>
      <c r="D114" s="4" t="str">
        <f ca="1">IFERROR(__xludf.DUMMYFUNCTION("""COMPUTED_VALUE"""),"https://auto.cz")</f>
        <v>https://auto.cz</v>
      </c>
      <c r="E114" s="3" t="str">
        <f ca="1">IFERROR(__xludf.DUMMYFUNCTION("""COMPUTED_VALUE"""),"celý web")</f>
        <v>celý web</v>
      </c>
      <c r="F114" s="4" t="str">
        <f ca="1">IFERROR(__xludf.DUMMYFUNCTION("""COMPUTED_VALUE"""),"https://auto.cz")</f>
        <v>https://auto.cz</v>
      </c>
      <c r="G114" s="3" t="str">
        <f ca="1">IFERROR(__xludf.DUMMYFUNCTION("""COMPUTED_VALUE"""),"Native Standard mid season")</f>
        <v>Native Standard mid season</v>
      </c>
      <c r="H114" s="3">
        <f ca="1">IFERROR(__xludf.DUMMYFUNCTION("""COMPUTED_VALUE"""),1)</f>
        <v>1</v>
      </c>
      <c r="I114" s="5">
        <f ca="1">IFERROR(__xludf.DUMMYFUNCTION("""COMPUTED_VALUE"""),1)</f>
        <v>1</v>
      </c>
      <c r="J114" s="5">
        <f ca="1">IFERROR(__xludf.DUMMYFUNCTION("""COMPUTED_VALUE"""),330000)</f>
        <v>330000</v>
      </c>
      <c r="K114" s="3"/>
      <c r="L114" s="3" t="str">
        <f ca="1">IFERROR(__xludf.DUMMYFUNCTION("""COMPUTED_VALUE"""),"Cost per instance")</f>
        <v>Cost per instance</v>
      </c>
      <c r="M114" s="3"/>
      <c r="N114" s="3"/>
      <c r="O114" s="3"/>
      <c r="P114" s="3"/>
      <c r="Q114" s="3"/>
      <c r="R114" s="3"/>
      <c r="S114" s="3" t="str">
        <f ca="1">IFERROR(__xludf.DUMMYFUNCTION("""COMPUTED_VALUE"""),"100")</f>
        <v>100</v>
      </c>
      <c r="T114" s="3"/>
      <c r="U114" s="3" t="str">
        <f ca="1">IFERROR(__xludf.DUMMYFUNCTION("""COMPUTED_VALUE"""),"microsite")</f>
        <v>microsite</v>
      </c>
      <c r="V114" s="3"/>
      <c r="W114" s="3"/>
      <c r="X114" s="3"/>
      <c r="Y114" s="3"/>
      <c r="Z114" s="3" t="str">
        <f ca="1">IFERROR(__xludf.DUMMYFUNCTION("""COMPUTED_VALUE"""),"podklady@cncenter.cz")</f>
        <v>podklady@cncenter.cz</v>
      </c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 t="str">
        <f ca="1">IFERROR(__xludf.DUMMYFUNCTION("""COMPUTED_VALUE"""),"cross-device")</f>
        <v>cross-device</v>
      </c>
      <c r="AO114" s="3"/>
      <c r="AP114" s="3"/>
      <c r="AQ114" s="3"/>
      <c r="AR114" s="3"/>
      <c r="AS114" s="3"/>
      <c r="AT114" s="3"/>
      <c r="AU114" s="3" t="str">
        <f ca="1">IFERROR(__xludf.DUMMYFUNCTION("""COMPUTED_VALUE"""),"Native Standard")</f>
        <v>Native Standard</v>
      </c>
    </row>
    <row r="115" spans="1:47" x14ac:dyDescent="0.3">
      <c r="A115" s="3">
        <f ca="1"/>
        <v>2346826</v>
      </c>
      <c r="B115" s="3" t="str">
        <f ca="1"/>
        <v>CZECH NEWS CENTER a. s.</v>
      </c>
      <c r="C115" s="3" t="str">
        <f ca="1">IFERROR(__xludf.DUMMYFUNCTION("""COMPUTED_VALUE"""),"Auto")</f>
        <v>Auto</v>
      </c>
      <c r="D115" s="4" t="str">
        <f ca="1">IFERROR(__xludf.DUMMYFUNCTION("""COMPUTED_VALUE"""),"https://auto.cz")</f>
        <v>https://auto.cz</v>
      </c>
      <c r="E115" s="3" t="str">
        <f ca="1">IFERROR(__xludf.DUMMYFUNCTION("""COMPUTED_VALUE"""),"celý web")</f>
        <v>celý web</v>
      </c>
      <c r="F115" s="4" t="str">
        <f ca="1">IFERROR(__xludf.DUMMYFUNCTION("""COMPUTED_VALUE"""),"https://auto.cz")</f>
        <v>https://auto.cz</v>
      </c>
      <c r="G115" s="3" t="str">
        <f ca="1">IFERROR(__xludf.DUMMYFUNCTION("""COMPUTED_VALUE"""),"nativní pr premium mid season")</f>
        <v>nativní pr premium mid season</v>
      </c>
      <c r="H115" s="3">
        <f ca="1">IFERROR(__xludf.DUMMYFUNCTION("""COMPUTED_VALUE"""),7)</f>
        <v>7</v>
      </c>
      <c r="I115" s="5">
        <f ca="1">IFERROR(__xludf.DUMMYFUNCTION("""COMPUTED_VALUE"""),1000)</f>
        <v>1000</v>
      </c>
      <c r="J115" s="5">
        <f ca="1">IFERROR(__xludf.DUMMYFUNCTION("""COMPUTED_VALUE"""),140)</f>
        <v>140</v>
      </c>
      <c r="K115" s="3"/>
      <c r="L115" s="3" t="str">
        <f ca="1">IFERROR(__xludf.DUMMYFUNCTION("""COMPUTED_VALUE"""),"Cost per period")</f>
        <v>Cost per period</v>
      </c>
      <c r="M115" s="3"/>
      <c r="N115" s="3"/>
      <c r="O115" s="3" t="str">
        <f ca="1">IFERROR(__xludf.DUMMYFUNCTION("""COMPUTED_VALUE"""),"640")</f>
        <v>640</v>
      </c>
      <c r="P115" s="3" t="str">
        <f ca="1">IFERROR(__xludf.DUMMYFUNCTION("""COMPUTED_VALUE"""),"335, 640")</f>
        <v>335, 640</v>
      </c>
      <c r="Q115" s="3" t="str">
        <f ca="1">IFERROR(__xludf.DUMMYFUNCTION("""COMPUTED_VALUE"""),"640x640 a 640x335 + text + logo")</f>
        <v>640x640 a 640x335 + text + logo</v>
      </c>
      <c r="R115" s="3" t="str">
        <f ca="1">IFERROR(__xludf.DUMMYFUNCTION("""COMPUTED_VALUE"""),"detailní specifikace na URL odkaze")</f>
        <v>detailní specifikace na URL odkaze</v>
      </c>
      <c r="S115" s="3" t="str">
        <f ca="1">IFERROR(__xludf.DUMMYFUNCTION("""COMPUTED_VALUE"""),"100")</f>
        <v>100</v>
      </c>
      <c r="T115" s="3"/>
      <c r="U115" s="3" t="str">
        <f ca="1">IFERROR(__xludf.DUMMYFUNCTION("""COMPUTED_VALUE"""),"nativní reklama")</f>
        <v>nativní reklama</v>
      </c>
      <c r="V115" s="3"/>
      <c r="W115" s="4" t="str">
        <f ca="1">IFERROR(__xludf.DUMMYFUNCTION("""COMPUTED_VALUE"""),"https://reklama.cncenter.cz/Online/nativni-PR-premium")</f>
        <v>https://reklama.cncenter.cz/Online/nativni-PR-premium</v>
      </c>
      <c r="X115" s="3"/>
      <c r="Y115" s="3"/>
      <c r="Z115" s="3" t="str">
        <f ca="1">IFERROR(__xludf.DUMMYFUNCTION("""COMPUTED_VALUE"""),"podklady@cncenter.cz")</f>
        <v>podklady@cncenter.cz</v>
      </c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 t="str">
        <f ca="1">IFERROR(__xludf.DUMMYFUNCTION("""COMPUTED_VALUE"""),"cross-device")</f>
        <v>cross-device</v>
      </c>
      <c r="AO115" s="3"/>
      <c r="AP115" s="3"/>
      <c r="AQ115" s="3"/>
      <c r="AR115" s="3"/>
      <c r="AS115" s="3"/>
      <c r="AT115" s="3"/>
      <c r="AU115" s="3" t="str">
        <f ca="1">IFERROR(__xludf.DUMMYFUNCTION("""COMPUTED_VALUE"""),"nativní pr premium")</f>
        <v>nativní pr premium</v>
      </c>
    </row>
    <row r="116" spans="1:47" x14ac:dyDescent="0.3">
      <c r="A116" s="3">
        <f ca="1"/>
        <v>2346826</v>
      </c>
      <c r="B116" s="3" t="str">
        <f ca="1"/>
        <v>CZECH NEWS CENTER a. s.</v>
      </c>
      <c r="C116" s="3" t="str">
        <f ca="1">IFERROR(__xludf.DUMMYFUNCTION("""COMPUTED_VALUE"""),"Auto")</f>
        <v>Auto</v>
      </c>
      <c r="D116" s="4" t="str">
        <f ca="1">IFERROR(__xludf.DUMMYFUNCTION("""COMPUTED_VALUE"""),"https://auto.cz")</f>
        <v>https://auto.cz</v>
      </c>
      <c r="E116" s="3" t="str">
        <f ca="1">IFERROR(__xludf.DUMMYFUNCTION("""COMPUTED_VALUE"""),"celý web")</f>
        <v>celý web</v>
      </c>
      <c r="F116" s="4" t="str">
        <f ca="1">IFERROR(__xludf.DUMMYFUNCTION("""COMPUTED_VALUE"""),"https://auto.cz")</f>
        <v>https://auto.cz</v>
      </c>
      <c r="G116" s="3" t="str">
        <f ca="1">IFERROR(__xludf.DUMMYFUNCTION("""COMPUTED_VALUE"""),"nativní rectangle cross-device mid season")</f>
        <v>nativní rectangle cross-device mid season</v>
      </c>
      <c r="H116" s="3">
        <f ca="1">IFERROR(__xludf.DUMMYFUNCTION("""COMPUTED_VALUE"""),7)</f>
        <v>7</v>
      </c>
      <c r="I116" s="5">
        <f ca="1">IFERROR(__xludf.DUMMYFUNCTION("""COMPUTED_VALUE"""),1000)</f>
        <v>1000</v>
      </c>
      <c r="J116" s="5">
        <f ca="1">IFERROR(__xludf.DUMMYFUNCTION("""COMPUTED_VALUE"""),280)</f>
        <v>280</v>
      </c>
      <c r="K116" s="3"/>
      <c r="L116" s="3" t="str">
        <f ca="1">IFERROR(__xludf.DUMMYFUNCTION("""COMPUTED_VALUE"""),"Cost per period")</f>
        <v>Cost per period</v>
      </c>
      <c r="M116" s="3"/>
      <c r="N116" s="3"/>
      <c r="O116" s="3" t="str">
        <f ca="1">IFERROR(__xludf.DUMMYFUNCTION("""COMPUTED_VALUE"""),"640")</f>
        <v>640</v>
      </c>
      <c r="P116" s="3" t="str">
        <f ca="1">IFERROR(__xludf.DUMMYFUNCTION("""COMPUTED_VALUE"""),"335, 640")</f>
        <v>335, 640</v>
      </c>
      <c r="Q116" s="3" t="str">
        <f ca="1">IFERROR(__xludf.DUMMYFUNCTION("""COMPUTED_VALUE"""),"640x640 a 640x335 + text + logo")</f>
        <v>640x640 a 640x335 + text + logo</v>
      </c>
      <c r="R116" s="3"/>
      <c r="S116" s="3" t="str">
        <f ca="1">IFERROR(__xludf.DUMMYFUNCTION("""COMPUTED_VALUE"""),"45")</f>
        <v>45</v>
      </c>
      <c r="T116" s="3"/>
      <c r="U116" s="3" t="str">
        <f ca="1">IFERROR(__xludf.DUMMYFUNCTION("""COMPUTED_VALUE"""),"nativní reklama")</f>
        <v>nativní reklama</v>
      </c>
      <c r="V116" s="3"/>
      <c r="W116" s="4" t="str">
        <f ca="1">IFERROR(__xludf.DUMMYFUNCTION("""COMPUTED_VALUE"""),"https://reklama.cncenter.cz/Online/nativni-rectangle-cross-device")</f>
        <v>https://reklama.cncenter.cz/Online/nativni-rectangle-cross-device</v>
      </c>
      <c r="X116" s="3"/>
      <c r="Y116" s="3"/>
      <c r="Z116" s="3" t="str">
        <f ca="1">IFERROR(__xludf.DUMMYFUNCTION("""COMPUTED_VALUE"""),"podklady@cncenter.cz")</f>
        <v>podklady@cncenter.cz</v>
      </c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 t="str">
        <f ca="1">IFERROR(__xludf.DUMMYFUNCTION("""COMPUTED_VALUE"""),"cross-device")</f>
        <v>cross-device</v>
      </c>
      <c r="AO116" s="3"/>
      <c r="AP116" s="3"/>
      <c r="AQ116" s="3"/>
      <c r="AR116" s="3"/>
      <c r="AS116" s="3"/>
      <c r="AT116" s="3"/>
      <c r="AU116" s="3" t="str">
        <f ca="1">IFERROR(__xludf.DUMMYFUNCTION("""COMPUTED_VALUE"""),"nativní rectangle cross-device")</f>
        <v>nativní rectangle cross-device</v>
      </c>
    </row>
    <row r="117" spans="1:47" x14ac:dyDescent="0.3">
      <c r="A117" s="3">
        <f ca="1"/>
        <v>2346826</v>
      </c>
      <c r="B117" s="3" t="str">
        <f ca="1"/>
        <v>CZECH NEWS CENTER a. s.</v>
      </c>
      <c r="C117" s="3" t="str">
        <f ca="1">IFERROR(__xludf.DUMMYFUNCTION("""COMPUTED_VALUE"""),"Auto")</f>
        <v>Auto</v>
      </c>
      <c r="D117" s="4" t="str">
        <f ca="1">IFERROR(__xludf.DUMMYFUNCTION("""COMPUTED_VALUE"""),"https://auto.cz")</f>
        <v>https://auto.cz</v>
      </c>
      <c r="E117" s="3" t="str">
        <f ca="1">IFERROR(__xludf.DUMMYFUNCTION("""COMPUTED_VALUE"""),"celý web")</f>
        <v>celý web</v>
      </c>
      <c r="F117" s="4" t="str">
        <f ca="1">IFERROR(__xludf.DUMMYFUNCTION("""COMPUTED_VALUE"""),"https://auto.cz")</f>
        <v>https://auto.cz</v>
      </c>
      <c r="G117" s="3" t="str">
        <f ca="1">IFERROR(__xludf.DUMMYFUNCTION("""COMPUTED_VALUE"""),"outstream mid season")</f>
        <v>outstream mid season</v>
      </c>
      <c r="H117" s="3">
        <f ca="1">IFERROR(__xludf.DUMMYFUNCTION("""COMPUTED_VALUE"""),7)</f>
        <v>7</v>
      </c>
      <c r="I117" s="5">
        <f ca="1">IFERROR(__xludf.DUMMYFUNCTION("""COMPUTED_VALUE"""),1000)</f>
        <v>1000</v>
      </c>
      <c r="J117" s="5">
        <f ca="1">IFERROR(__xludf.DUMMYFUNCTION("""COMPUTED_VALUE"""),350)</f>
        <v>350</v>
      </c>
      <c r="K117" s="3"/>
      <c r="L117" s="3" t="str">
        <f ca="1">IFERROR(__xludf.DUMMYFUNCTION("""COMPUTED_VALUE"""),"Cost per period")</f>
        <v>Cost per period</v>
      </c>
      <c r="M117" s="3"/>
      <c r="N117" s="3"/>
      <c r="O117" s="3" t="str">
        <f ca="1">IFERROR(__xludf.DUMMYFUNCTION("""COMPUTED_VALUE"""),"1280")</f>
        <v>1280</v>
      </c>
      <c r="P117" s="3" t="str">
        <f ca="1">IFERROR(__xludf.DUMMYFUNCTION("""COMPUTED_VALUE"""),"720")</f>
        <v>720</v>
      </c>
      <c r="Q117" s="3" t="str">
        <f ca="1">IFERROR(__xludf.DUMMYFUNCTION("""COMPUTED_VALUE"""),"16:9")</f>
        <v>16:9</v>
      </c>
      <c r="R117" s="3"/>
      <c r="S117" s="3" t="str">
        <f ca="1">IFERROR(__xludf.DUMMYFUNCTION("""COMPUTED_VALUE"""),"100")</f>
        <v>100</v>
      </c>
      <c r="T117" s="3"/>
      <c r="U117" s="3" t="str">
        <f ca="1">IFERROR(__xludf.DUMMYFUNCTION("""COMPUTED_VALUE"""),"videospot")</f>
        <v>videospot</v>
      </c>
      <c r="V117" s="3"/>
      <c r="W117" s="4" t="str">
        <f ca="1">IFERROR(__xludf.DUMMYFUNCTION("""COMPUTED_VALUE"""),"https://reklama.cncenter.cz/Online/Outstream")</f>
        <v>https://reklama.cncenter.cz/Online/Outstream</v>
      </c>
      <c r="X117" s="3"/>
      <c r="Y117" s="3"/>
      <c r="Z117" s="3" t="str">
        <f ca="1">IFERROR(__xludf.DUMMYFUNCTION("""COMPUTED_VALUE"""),"podklady@cncenter.cz")</f>
        <v>podklady@cncenter.cz</v>
      </c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 t="str">
        <f ca="1">IFERROR(__xludf.DUMMYFUNCTION("""COMPUTED_VALUE"""),"cross-device")</f>
        <v>cross-device</v>
      </c>
      <c r="AO117" s="3"/>
      <c r="AP117" s="3"/>
      <c r="AQ117" s="3"/>
      <c r="AR117" s="3"/>
      <c r="AS117" s="3"/>
      <c r="AT117" s="3"/>
      <c r="AU117" s="3" t="str">
        <f ca="1">IFERROR(__xludf.DUMMYFUNCTION("""COMPUTED_VALUE"""),"outstream")</f>
        <v>outstream</v>
      </c>
    </row>
    <row r="118" spans="1:47" x14ac:dyDescent="0.3">
      <c r="A118" s="3">
        <f ca="1"/>
        <v>2346826</v>
      </c>
      <c r="B118" s="3" t="str">
        <f ca="1"/>
        <v>CZECH NEWS CENTER a. s.</v>
      </c>
      <c r="C118" s="3" t="str">
        <f ca="1">IFERROR(__xludf.DUMMYFUNCTION("""COMPUTED_VALUE"""),"Auto")</f>
        <v>Auto</v>
      </c>
      <c r="D118" s="4" t="str">
        <f ca="1">IFERROR(__xludf.DUMMYFUNCTION("""COMPUTED_VALUE"""),"https://auto.cz")</f>
        <v>https://auto.cz</v>
      </c>
      <c r="E118" s="3" t="str">
        <f ca="1">IFERROR(__xludf.DUMMYFUNCTION("""COMPUTED_VALUE"""),"celý web")</f>
        <v>celý web</v>
      </c>
      <c r="F118" s="4" t="str">
        <f ca="1">IFERROR(__xludf.DUMMYFUNCTION("""COMPUTED_VALUE"""),"https://auto.cz")</f>
        <v>https://auto.cz</v>
      </c>
      <c r="G118" s="3" t="str">
        <f ca="1">IFERROR(__xludf.DUMMYFUNCTION("""COMPUTED_VALUE"""),"PR článek mid season")</f>
        <v>PR článek mid season</v>
      </c>
      <c r="H118" s="3">
        <f ca="1">IFERROR(__xludf.DUMMYFUNCTION("""COMPUTED_VALUE"""),1)</f>
        <v>1</v>
      </c>
      <c r="I118" s="5">
        <f ca="1">IFERROR(__xludf.DUMMYFUNCTION("""COMPUTED_VALUE"""),1)</f>
        <v>1</v>
      </c>
      <c r="J118" s="5">
        <f ca="1">IFERROR(__xludf.DUMMYFUNCTION("""COMPUTED_VALUE"""),50000)</f>
        <v>50000</v>
      </c>
      <c r="K118" s="3"/>
      <c r="L118" s="3" t="str">
        <f ca="1">IFERROR(__xludf.DUMMYFUNCTION("""COMPUTED_VALUE"""),"Cost per instance")</f>
        <v>Cost per instance</v>
      </c>
      <c r="M118" s="3"/>
      <c r="N118" s="3"/>
      <c r="O118" s="3"/>
      <c r="P118" s="3"/>
      <c r="Q118" s="3"/>
      <c r="R118" s="3"/>
      <c r="S118" s="3" t="str">
        <f ca="1">IFERROR(__xludf.DUMMYFUNCTION("""COMPUTED_VALUE"""),"100")</f>
        <v>100</v>
      </c>
      <c r="T118" s="3"/>
      <c r="U118" s="3" t="str">
        <f ca="1">IFERROR(__xludf.DUMMYFUNCTION("""COMPUTED_VALUE"""),"pr článek")</f>
        <v>pr článek</v>
      </c>
      <c r="V118" s="3"/>
      <c r="W118" s="4" t="str">
        <f ca="1">IFERROR(__xludf.DUMMYFUNCTION("""COMPUTED_VALUE"""),"https://reklama.cncenter.cz/?ads=PR%2520%25C4%258Dl%25C3%25A1nky")</f>
        <v>https://reklama.cncenter.cz/?ads=PR%2520%25C4%258Dl%25C3%25A1nky</v>
      </c>
      <c r="X118" s="3"/>
      <c r="Y118" s="3"/>
      <c r="Z118" s="3" t="str">
        <f ca="1">IFERROR(__xludf.DUMMYFUNCTION("""COMPUTED_VALUE"""),"podklady@cncenter.cz")</f>
        <v>podklady@cncenter.cz</v>
      </c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 t="str">
        <f ca="1">IFERROR(__xludf.DUMMYFUNCTION("""COMPUTED_VALUE"""),"cross-device")</f>
        <v>cross-device</v>
      </c>
      <c r="AO118" s="3"/>
      <c r="AP118" s="3"/>
      <c r="AQ118" s="3"/>
      <c r="AR118" s="3"/>
      <c r="AS118" s="3"/>
      <c r="AT118" s="3"/>
      <c r="AU118" s="3" t="str">
        <f ca="1">IFERROR(__xludf.DUMMYFUNCTION("""COMPUTED_VALUE"""),"PR článek")</f>
        <v>PR článek</v>
      </c>
    </row>
    <row r="119" spans="1:47" x14ac:dyDescent="0.3">
      <c r="A119" s="3">
        <f ca="1"/>
        <v>2346826</v>
      </c>
      <c r="B119" s="3" t="str">
        <f ca="1"/>
        <v>CZECH NEWS CENTER a. s.</v>
      </c>
      <c r="C119" s="3" t="str">
        <f ca="1">IFERROR(__xludf.DUMMYFUNCTION("""COMPUTED_VALUE"""),"Auto")</f>
        <v>Auto</v>
      </c>
      <c r="D119" s="4" t="str">
        <f ca="1">IFERROR(__xludf.DUMMYFUNCTION("""COMPUTED_VALUE"""),"https://auto.cz")</f>
        <v>https://auto.cz</v>
      </c>
      <c r="E119" s="3" t="str">
        <f ca="1">IFERROR(__xludf.DUMMYFUNCTION("""COMPUTED_VALUE"""),"celý web")</f>
        <v>celý web</v>
      </c>
      <c r="F119" s="4" t="str">
        <f ca="1">IFERROR(__xludf.DUMMYFUNCTION("""COMPUTED_VALUE"""),"https://auto.cz")</f>
        <v>https://auto.cz</v>
      </c>
      <c r="G119" s="3" t="str">
        <f ca="1">IFERROR(__xludf.DUMMYFUNCTION("""COMPUTED_VALUE"""),"Prodloužení existující microsite, bez úprav mid season")</f>
        <v>Prodloužení existující microsite, bez úprav mid season</v>
      </c>
      <c r="H119" s="3">
        <f ca="1">IFERROR(__xludf.DUMMYFUNCTION("""COMPUTED_VALUE"""),1)</f>
        <v>1</v>
      </c>
      <c r="I119" s="5">
        <f ca="1">IFERROR(__xludf.DUMMYFUNCTION("""COMPUTED_VALUE"""),1)</f>
        <v>1</v>
      </c>
      <c r="J119" s="5">
        <f ca="1">IFERROR(__xludf.DUMMYFUNCTION("""COMPUTED_VALUE"""),15000)</f>
        <v>15000</v>
      </c>
      <c r="K119" s="3"/>
      <c r="L119" s="3" t="str">
        <f ca="1">IFERROR(__xludf.DUMMYFUNCTION("""COMPUTED_VALUE"""),"Cost per instance")</f>
        <v>Cost per instance</v>
      </c>
      <c r="M119" s="3"/>
      <c r="N119" s="3"/>
      <c r="O119" s="3"/>
      <c r="P119" s="3"/>
      <c r="Q119" s="3"/>
      <c r="R119" s="3"/>
      <c r="S119" s="3" t="str">
        <f ca="1">IFERROR(__xludf.DUMMYFUNCTION("""COMPUTED_VALUE"""),"100")</f>
        <v>100</v>
      </c>
      <c r="T119" s="3"/>
      <c r="U119" s="3" t="str">
        <f ca="1">IFERROR(__xludf.DUMMYFUNCTION("""COMPUTED_VALUE"""),"microsite")</f>
        <v>microsite</v>
      </c>
      <c r="V119" s="3"/>
      <c r="W119" s="3"/>
      <c r="X119" s="3"/>
      <c r="Y119" s="3"/>
      <c r="Z119" s="3" t="str">
        <f ca="1">IFERROR(__xludf.DUMMYFUNCTION("""COMPUTED_VALUE"""),"podklady@cncenter.cz")</f>
        <v>podklady@cncenter.cz</v>
      </c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 t="str">
        <f ca="1">IFERROR(__xludf.DUMMYFUNCTION("""COMPUTED_VALUE"""),"cross-device")</f>
        <v>cross-device</v>
      </c>
      <c r="AO119" s="3"/>
      <c r="AP119" s="3"/>
      <c r="AQ119" s="3"/>
      <c r="AR119" s="3"/>
      <c r="AS119" s="3"/>
      <c r="AT119" s="3"/>
      <c r="AU119" s="3" t="str">
        <f ca="1">IFERROR(__xludf.DUMMYFUNCTION("""COMPUTED_VALUE"""),"Prodloužení existující microsite, bez úprav")</f>
        <v>Prodloužení existující microsite, bez úprav</v>
      </c>
    </row>
    <row r="120" spans="1:47" x14ac:dyDescent="0.3">
      <c r="A120" s="3">
        <f ca="1"/>
        <v>2346826</v>
      </c>
      <c r="B120" s="3" t="str">
        <f ca="1"/>
        <v>CZECH NEWS CENTER a. s.</v>
      </c>
      <c r="C120" s="3" t="str">
        <f ca="1">IFERROR(__xludf.DUMMYFUNCTION("""COMPUTED_VALUE"""),"Auto")</f>
        <v>Auto</v>
      </c>
      <c r="D120" s="4" t="str">
        <f ca="1">IFERROR(__xludf.DUMMYFUNCTION("""COMPUTED_VALUE"""),"https://auto.cz")</f>
        <v>https://auto.cz</v>
      </c>
      <c r="E120" s="3" t="str">
        <f ca="1">IFERROR(__xludf.DUMMYFUNCTION("""COMPUTED_VALUE"""),"celý web")</f>
        <v>celý web</v>
      </c>
      <c r="F120" s="4" t="str">
        <f ca="1">IFERROR(__xludf.DUMMYFUNCTION("""COMPUTED_VALUE"""),"https://auto.cz")</f>
        <v>https://auto.cz</v>
      </c>
      <c r="G120" s="3" t="str">
        <f ca="1">IFERROR(__xludf.DUMMYFUNCTION("""COMPUTED_VALUE"""),"Prodloužení existující microsite, bez úprav mid season")</f>
        <v>Prodloužení existující microsite, bez úprav mid season</v>
      </c>
      <c r="H120" s="3">
        <f ca="1">IFERROR(__xludf.DUMMYFUNCTION("""COMPUTED_VALUE"""),1)</f>
        <v>1</v>
      </c>
      <c r="I120" s="5">
        <f ca="1">IFERROR(__xludf.DUMMYFUNCTION("""COMPUTED_VALUE"""),1)</f>
        <v>1</v>
      </c>
      <c r="J120" s="5">
        <f ca="1">IFERROR(__xludf.DUMMYFUNCTION("""COMPUTED_VALUE"""),15000)</f>
        <v>15000</v>
      </c>
      <c r="K120" s="3"/>
      <c r="L120" s="3" t="str">
        <f ca="1">IFERROR(__xludf.DUMMYFUNCTION("""COMPUTED_VALUE"""),"Cost per instance")</f>
        <v>Cost per instance</v>
      </c>
      <c r="M120" s="3"/>
      <c r="N120" s="3"/>
      <c r="O120" s="3"/>
      <c r="P120" s="3"/>
      <c r="Q120" s="3"/>
      <c r="R120" s="3"/>
      <c r="S120" s="3" t="str">
        <f ca="1">IFERROR(__xludf.DUMMYFUNCTION("""COMPUTED_VALUE"""),"100")</f>
        <v>100</v>
      </c>
      <c r="T120" s="3"/>
      <c r="U120" s="3" t="str">
        <f ca="1">IFERROR(__xludf.DUMMYFUNCTION("""COMPUTED_VALUE"""),"microsite")</f>
        <v>microsite</v>
      </c>
      <c r="V120" s="3"/>
      <c r="W120" s="3"/>
      <c r="X120" s="3"/>
      <c r="Y120" s="3"/>
      <c r="Z120" s="3" t="str">
        <f ca="1">IFERROR(__xludf.DUMMYFUNCTION("""COMPUTED_VALUE"""),"podklady@cncenter.cz")</f>
        <v>podklady@cncenter.cz</v>
      </c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 t="str">
        <f ca="1">IFERROR(__xludf.DUMMYFUNCTION("""COMPUTED_VALUE"""),"cross-device")</f>
        <v>cross-device</v>
      </c>
      <c r="AO120" s="3"/>
      <c r="AP120" s="3"/>
      <c r="AQ120" s="3"/>
      <c r="AR120" s="3"/>
      <c r="AS120" s="3"/>
      <c r="AT120" s="3"/>
      <c r="AU120" s="3" t="str">
        <f ca="1">IFERROR(__xludf.DUMMYFUNCTION("""COMPUTED_VALUE"""),"Prodloužení existující microsite, bez úprav")</f>
        <v>Prodloužení existující microsite, bez úprav</v>
      </c>
    </row>
    <row r="121" spans="1:47" x14ac:dyDescent="0.3">
      <c r="A121" s="3">
        <f ca="1"/>
        <v>2346826</v>
      </c>
      <c r="B121" s="3" t="str">
        <f ca="1"/>
        <v>CZECH NEWS CENTER a. s.</v>
      </c>
      <c r="C121" s="3" t="str">
        <f ca="1">IFERROR(__xludf.DUMMYFUNCTION("""COMPUTED_VALUE"""),"Auto")</f>
        <v>Auto</v>
      </c>
      <c r="D121" s="4" t="str">
        <f ca="1">IFERROR(__xludf.DUMMYFUNCTION("""COMPUTED_VALUE"""),"https://auto.cz")</f>
        <v>https://auto.cz</v>
      </c>
      <c r="E121" s="3" t="str">
        <f ca="1">IFERROR(__xludf.DUMMYFUNCTION("""COMPUTED_VALUE"""),"celý web")</f>
        <v>celý web</v>
      </c>
      <c r="F121" s="4" t="str">
        <f ca="1">IFERROR(__xludf.DUMMYFUNCTION("""COMPUTED_VALUE"""),"https://auto.cz")</f>
        <v>https://auto.cz</v>
      </c>
      <c r="G121" s="3" t="str">
        <f ca="1">IFERROR(__xludf.DUMMYFUNCTION("""COMPUTED_VALUE"""),"Prodloužení existující microsite, bez úprav mid season")</f>
        <v>Prodloužení existující microsite, bez úprav mid season</v>
      </c>
      <c r="H121" s="3">
        <f ca="1">IFERROR(__xludf.DUMMYFUNCTION("""COMPUTED_VALUE"""),1)</f>
        <v>1</v>
      </c>
      <c r="I121" s="5">
        <f ca="1">IFERROR(__xludf.DUMMYFUNCTION("""COMPUTED_VALUE"""),1)</f>
        <v>1</v>
      </c>
      <c r="J121" s="5">
        <f ca="1">IFERROR(__xludf.DUMMYFUNCTION("""COMPUTED_VALUE"""),15000)</f>
        <v>15000</v>
      </c>
      <c r="K121" s="3"/>
      <c r="L121" s="3" t="str">
        <f ca="1">IFERROR(__xludf.DUMMYFUNCTION("""COMPUTED_VALUE"""),"Cost per instance")</f>
        <v>Cost per instance</v>
      </c>
      <c r="M121" s="3"/>
      <c r="N121" s="3"/>
      <c r="O121" s="3"/>
      <c r="P121" s="3"/>
      <c r="Q121" s="3"/>
      <c r="R121" s="3"/>
      <c r="S121" s="3" t="str">
        <f ca="1">IFERROR(__xludf.DUMMYFUNCTION("""COMPUTED_VALUE"""),"100")</f>
        <v>100</v>
      </c>
      <c r="T121" s="3"/>
      <c r="U121" s="3" t="str">
        <f ca="1">IFERROR(__xludf.DUMMYFUNCTION("""COMPUTED_VALUE"""),"microsite")</f>
        <v>microsite</v>
      </c>
      <c r="V121" s="3"/>
      <c r="W121" s="3"/>
      <c r="X121" s="3"/>
      <c r="Y121" s="3"/>
      <c r="Z121" s="3" t="str">
        <f ca="1">IFERROR(__xludf.DUMMYFUNCTION("""COMPUTED_VALUE"""),"podklady@cncenter.cz")</f>
        <v>podklady@cncenter.cz</v>
      </c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 t="str">
        <f ca="1">IFERROR(__xludf.DUMMYFUNCTION("""COMPUTED_VALUE"""),"cross-device")</f>
        <v>cross-device</v>
      </c>
      <c r="AO121" s="3"/>
      <c r="AP121" s="3"/>
      <c r="AQ121" s="3"/>
      <c r="AR121" s="3"/>
      <c r="AS121" s="3"/>
      <c r="AT121" s="3"/>
      <c r="AU121" s="3" t="str">
        <f ca="1">IFERROR(__xludf.DUMMYFUNCTION("""COMPUTED_VALUE"""),"Prodloužení existující microsite, bez úprav")</f>
        <v>Prodloužení existující microsite, bez úprav</v>
      </c>
    </row>
    <row r="122" spans="1:47" x14ac:dyDescent="0.3">
      <c r="A122" s="3">
        <f ca="1"/>
        <v>2346826</v>
      </c>
      <c r="B122" s="3" t="str">
        <f ca="1"/>
        <v>CZECH NEWS CENTER a. s.</v>
      </c>
      <c r="C122" s="3" t="str">
        <f ca="1">IFERROR(__xludf.DUMMYFUNCTION("""COMPUTED_VALUE"""),"Auto")</f>
        <v>Auto</v>
      </c>
      <c r="D122" s="4" t="str">
        <f ca="1">IFERROR(__xludf.DUMMYFUNCTION("""COMPUTED_VALUE"""),"https://auto.cz")</f>
        <v>https://auto.cz</v>
      </c>
      <c r="E122" s="3" t="str">
        <f ca="1">IFERROR(__xludf.DUMMYFUNCTION("""COMPUTED_VALUE"""),"celý web")</f>
        <v>celý web</v>
      </c>
      <c r="F122" s="4" t="str">
        <f ca="1">IFERROR(__xludf.DUMMYFUNCTION("""COMPUTED_VALUE"""),"https://auto.cz")</f>
        <v>https://auto.cz</v>
      </c>
      <c r="G122" s="3" t="str">
        <f ca="1">IFERROR(__xludf.DUMMYFUNCTION("""COMPUTED_VALUE"""),"videospot - max. 30 sec. / bumper mid season")</f>
        <v>videospot - max. 30 sec. / bumper mid season</v>
      </c>
      <c r="H122" s="3">
        <f ca="1">IFERROR(__xludf.DUMMYFUNCTION("""COMPUTED_VALUE"""),7)</f>
        <v>7</v>
      </c>
      <c r="I122" s="5">
        <f ca="1">IFERROR(__xludf.DUMMYFUNCTION("""COMPUTED_VALUE"""),1000)</f>
        <v>1000</v>
      </c>
      <c r="J122" s="5">
        <f ca="1">IFERROR(__xludf.DUMMYFUNCTION("""COMPUTED_VALUE"""),1040)</f>
        <v>1040</v>
      </c>
      <c r="K122" s="3"/>
      <c r="L122" s="3" t="str">
        <f ca="1">IFERROR(__xludf.DUMMYFUNCTION("""COMPUTED_VALUE"""),"Cost per period")</f>
        <v>Cost per period</v>
      </c>
      <c r="M122" s="3"/>
      <c r="N122" s="3"/>
      <c r="O122" s="3" t="str">
        <f ca="1">IFERROR(__xludf.DUMMYFUNCTION("""COMPUTED_VALUE"""),"1280")</f>
        <v>1280</v>
      </c>
      <c r="P122" s="3" t="str">
        <f ca="1">IFERROR(__xludf.DUMMYFUNCTION("""COMPUTED_VALUE"""),"720")</f>
        <v>720</v>
      </c>
      <c r="Q122" s="3" t="str">
        <f ca="1">IFERROR(__xludf.DUMMYFUNCTION("""COMPUTED_VALUE"""),"16:9 / umístění po domluvě dle možností")</f>
        <v>16:9 / umístění po domluvě dle možností</v>
      </c>
      <c r="R122" s="3" t="str">
        <f ca="1">IFERROR(__xludf.DUMMYFUNCTION("""COMPUTED_VALUE"""),"přeskočení po 7 sekundách")</f>
        <v>přeskočení po 7 sekundách</v>
      </c>
      <c r="S122" s="3" t="str">
        <f ca="1">IFERROR(__xludf.DUMMYFUNCTION("""COMPUTED_VALUE"""),"100")</f>
        <v>100</v>
      </c>
      <c r="T122" s="3"/>
      <c r="U122" s="3" t="str">
        <f ca="1">IFERROR(__xludf.DUMMYFUNCTION("""COMPUTED_VALUE"""),"videospot")</f>
        <v>videospot</v>
      </c>
      <c r="V122" s="3"/>
      <c r="W122" s="4" t="str">
        <f ca="1">IFERROR(__xludf.DUMMYFUNCTION("""COMPUTED_VALUE"""),"https://reklama.cncenter.cz/Online/Bumper")</f>
        <v>https://reklama.cncenter.cz/Online/Bumper</v>
      </c>
      <c r="X122" s="3"/>
      <c r="Y122" s="3"/>
      <c r="Z122" s="3" t="str">
        <f ca="1">IFERROR(__xludf.DUMMYFUNCTION("""COMPUTED_VALUE"""),"podklady@cncenter.cz")</f>
        <v>podklady@cncenter.cz</v>
      </c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 t="str">
        <f ca="1">IFERROR(__xludf.DUMMYFUNCTION("""COMPUTED_VALUE"""),"cross-device")</f>
        <v>cross-device</v>
      </c>
      <c r="AO122" s="3"/>
      <c r="AP122" s="3"/>
      <c r="AQ122" s="3"/>
      <c r="AR122" s="3"/>
      <c r="AS122" s="3"/>
      <c r="AT122" s="3"/>
      <c r="AU122" s="3" t="str">
        <f ca="1">IFERROR(__xludf.DUMMYFUNCTION("""COMPUTED_VALUE"""),"videospot - max. 30 sec. / bumper")</f>
        <v>videospot - max. 30 sec. / bumper</v>
      </c>
    </row>
    <row r="123" spans="1:47" x14ac:dyDescent="0.3">
      <c r="A123" s="3">
        <f ca="1"/>
        <v>2346826</v>
      </c>
      <c r="B123" s="3" t="str">
        <f ca="1"/>
        <v>CZECH NEWS CENTER a. s.</v>
      </c>
      <c r="C123" s="3" t="str">
        <f ca="1">IFERROR(__xludf.DUMMYFUNCTION("""COMPUTED_VALUE"""),"AutoRevue")</f>
        <v>AutoRevue</v>
      </c>
      <c r="D123" s="4" t="str">
        <f ca="1">IFERROR(__xludf.DUMMYFUNCTION("""COMPUTED_VALUE"""),"https://autorevue.cz")</f>
        <v>https://autorevue.cz</v>
      </c>
      <c r="E123" s="3" t="str">
        <f ca="1">IFERROR(__xludf.DUMMYFUNCTION("""COMPUTED_VALUE"""),"celý web")</f>
        <v>celý web</v>
      </c>
      <c r="F123" s="4" t="str">
        <f ca="1">IFERROR(__xludf.DUMMYFUNCTION("""COMPUTED_VALUE"""),"https://autorevue.cz")</f>
        <v>https://autorevue.cz</v>
      </c>
      <c r="G123" s="3" t="str">
        <f ca="1">IFERROR(__xludf.DUMMYFUNCTION("""COMPUTED_VALUE"""),"Advertorial mid season")</f>
        <v>Advertorial mid season</v>
      </c>
      <c r="H123" s="3">
        <f ca="1">IFERROR(__xludf.DUMMYFUNCTION("""COMPUTED_VALUE"""),1)</f>
        <v>1</v>
      </c>
      <c r="I123" s="5">
        <f ca="1">IFERROR(__xludf.DUMMYFUNCTION("""COMPUTED_VALUE"""),1)</f>
        <v>1</v>
      </c>
      <c r="J123" s="5">
        <f ca="1">IFERROR(__xludf.DUMMYFUNCTION("""COMPUTED_VALUE"""),90000)</f>
        <v>90000</v>
      </c>
      <c r="K123" s="3"/>
      <c r="L123" s="3" t="str">
        <f ca="1">IFERROR(__xludf.DUMMYFUNCTION("""COMPUTED_VALUE"""),"Cost per instance")</f>
        <v>Cost per instance</v>
      </c>
      <c r="M123" s="3"/>
      <c r="N123" s="3"/>
      <c r="O123" s="3"/>
      <c r="P123" s="3"/>
      <c r="Q123" s="3"/>
      <c r="R123" s="3"/>
      <c r="S123" s="3" t="str">
        <f ca="1">IFERROR(__xludf.DUMMYFUNCTION("""COMPUTED_VALUE"""),"100")</f>
        <v>100</v>
      </c>
      <c r="T123" s="3"/>
      <c r="U123" s="3" t="str">
        <f ca="1">IFERROR(__xludf.DUMMYFUNCTION("""COMPUTED_VALUE"""),"pr článek")</f>
        <v>pr článek</v>
      </c>
      <c r="V123" s="3"/>
      <c r="W123" s="3"/>
      <c r="X123" s="3"/>
      <c r="Y123" s="3"/>
      <c r="Z123" s="3" t="str">
        <f ca="1">IFERROR(__xludf.DUMMYFUNCTION("""COMPUTED_VALUE"""),"podklady@cncenter.cz")</f>
        <v>podklady@cncenter.cz</v>
      </c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 t="str">
        <f ca="1">IFERROR(__xludf.DUMMYFUNCTION("""COMPUTED_VALUE"""),"cross-device")</f>
        <v>cross-device</v>
      </c>
      <c r="AO123" s="3"/>
      <c r="AP123" s="3"/>
      <c r="AQ123" s="3"/>
      <c r="AR123" s="3"/>
      <c r="AS123" s="3"/>
      <c r="AT123" s="3"/>
      <c r="AU123" s="3" t="str">
        <f ca="1">IFERROR(__xludf.DUMMYFUNCTION("""COMPUTED_VALUE"""),"Advertorial")</f>
        <v>Advertorial</v>
      </c>
    </row>
    <row r="124" spans="1:47" x14ac:dyDescent="0.3">
      <c r="A124" s="3">
        <f ca="1"/>
        <v>2346826</v>
      </c>
      <c r="B124" s="3" t="str">
        <f ca="1"/>
        <v>CZECH NEWS CENTER a. s.</v>
      </c>
      <c r="C124" s="3" t="str">
        <f ca="1">IFERROR(__xludf.DUMMYFUNCTION("""COMPUTED_VALUE"""),"Autorevue")</f>
        <v>Autorevue</v>
      </c>
      <c r="D124" s="4" t="str">
        <f ca="1">IFERROR(__xludf.DUMMYFUNCTION("""COMPUTED_VALUE"""),"https://autorevue.cz")</f>
        <v>https://autorevue.cz</v>
      </c>
      <c r="E124" s="3" t="str">
        <f ca="1">IFERROR(__xludf.DUMMYFUNCTION("""COMPUTED_VALUE"""),"celý web")</f>
        <v>celý web</v>
      </c>
      <c r="F124" s="4" t="str">
        <f ca="1">IFERROR(__xludf.DUMMYFUNCTION("""COMPUTED_VALUE"""),"https://autorevue.cz")</f>
        <v>https://autorevue.cz</v>
      </c>
      <c r="G124" s="3" t="str">
        <f ca="1">IFERROR(__xludf.DUMMYFUNCTION("""COMPUTED_VALUE"""),"billboard bottom mid season")</f>
        <v>billboard bottom mid season</v>
      </c>
      <c r="H124" s="3">
        <f ca="1">IFERROR(__xludf.DUMMYFUNCTION("""COMPUTED_VALUE"""),7)</f>
        <v>7</v>
      </c>
      <c r="I124" s="5">
        <f ca="1">IFERROR(__xludf.DUMMYFUNCTION("""COMPUTED_VALUE"""),1000)</f>
        <v>1000</v>
      </c>
      <c r="J124" s="5">
        <f ca="1">IFERROR(__xludf.DUMMYFUNCTION("""COMPUTED_VALUE"""),340)</f>
        <v>340</v>
      </c>
      <c r="K124" s="3"/>
      <c r="L124" s="3" t="str">
        <f ca="1">IFERROR(__xludf.DUMMYFUNCTION("""COMPUTED_VALUE"""),"Cost per period")</f>
        <v>Cost per period</v>
      </c>
      <c r="M124" s="3"/>
      <c r="N124" s="3"/>
      <c r="O124" s="3" t="str">
        <f ca="1">IFERROR(__xludf.DUMMYFUNCTION("""COMPUTED_VALUE"""),"970")</f>
        <v>970</v>
      </c>
      <c r="P124" s="3" t="str">
        <f ca="1">IFERROR(__xludf.DUMMYFUNCTION("""COMPUTED_VALUE"""),"250")</f>
        <v>250</v>
      </c>
      <c r="Q124" s="3" t="str">
        <f ca="1">IFERROR(__xludf.DUMMYFUNCTION("""COMPUTED_VALUE"""),"970x250")</f>
        <v>970x250</v>
      </c>
      <c r="R124" s="3"/>
      <c r="S124" s="3" t="str">
        <f ca="1">IFERROR(__xludf.DUMMYFUNCTION("""COMPUTED_VALUE"""),"100 (200 - HTML5)")</f>
        <v>100 (200 - HTML5)</v>
      </c>
      <c r="T124" s="3"/>
      <c r="U124" s="3" t="str">
        <f ca="1">IFERROR(__xludf.DUMMYFUNCTION("""COMPUTED_VALUE"""),"banner standard")</f>
        <v>banner standard</v>
      </c>
      <c r="V124" s="3"/>
      <c r="W124" s="4" t="str">
        <f ca="1">IFERROR(__xludf.DUMMYFUNCTION("""COMPUTED_VALUE"""),"https://reklama.cncenter.cz/Online/billboard-bottom")</f>
        <v>https://reklama.cncenter.cz/Online/billboard-bottom</v>
      </c>
      <c r="X124" s="3"/>
      <c r="Y124" s="3"/>
      <c r="Z124" s="3" t="str">
        <f ca="1">IFERROR(__xludf.DUMMYFUNCTION("""COMPUTED_VALUE"""),"podklady@cncenter.cz")</f>
        <v>podklady@cncenter.cz</v>
      </c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 t="str">
        <f ca="1">IFERROR(__xludf.DUMMYFUNCTION("""COMPUTED_VALUE"""),"desktop")</f>
        <v>desktop</v>
      </c>
      <c r="AO124" s="3"/>
      <c r="AP124" s="3"/>
      <c r="AQ124" s="3"/>
      <c r="AR124" s="3"/>
      <c r="AS124" s="3"/>
      <c r="AT124" s="3"/>
      <c r="AU124" s="3" t="str">
        <f ca="1">IFERROR(__xludf.DUMMYFUNCTION("""COMPUTED_VALUE"""),"billboard bottom")</f>
        <v>billboard bottom</v>
      </c>
    </row>
    <row r="125" spans="1:47" x14ac:dyDescent="0.3">
      <c r="A125" s="3">
        <f ca="1"/>
        <v>2346826</v>
      </c>
      <c r="B125" s="3" t="str">
        <f ca="1"/>
        <v>CZECH NEWS CENTER a. s.</v>
      </c>
      <c r="C125" s="3" t="str">
        <f ca="1">IFERROR(__xludf.DUMMYFUNCTION("""COMPUTED_VALUE"""),"Autorevue")</f>
        <v>Autorevue</v>
      </c>
      <c r="D125" s="4" t="str">
        <f ca="1">IFERROR(__xludf.DUMMYFUNCTION("""COMPUTED_VALUE"""),"https://autorevue.cz")</f>
        <v>https://autorevue.cz</v>
      </c>
      <c r="E125" s="3" t="str">
        <f ca="1">IFERROR(__xludf.DUMMYFUNCTION("""COMPUTED_VALUE"""),"celý web")</f>
        <v>celý web</v>
      </c>
      <c r="F125" s="4" t="str">
        <f ca="1">IFERROR(__xludf.DUMMYFUNCTION("""COMPUTED_VALUE"""),"https://autorevue.cz")</f>
        <v>https://autorevue.cz</v>
      </c>
      <c r="G125" s="3" t="str">
        <f ca="1">IFERROR(__xludf.DUMMYFUNCTION("""COMPUTED_VALUE"""),"branding cross-device mid season")</f>
        <v>branding cross-device mid season</v>
      </c>
      <c r="H125" s="3">
        <f ca="1">IFERROR(__xludf.DUMMYFUNCTION("""COMPUTED_VALUE"""),7)</f>
        <v>7</v>
      </c>
      <c r="I125" s="5">
        <f ca="1">IFERROR(__xludf.DUMMYFUNCTION("""COMPUTED_VALUE"""),1000)</f>
        <v>1000</v>
      </c>
      <c r="J125" s="5">
        <f ca="1">IFERROR(__xludf.DUMMYFUNCTION("""COMPUTED_VALUE"""),420)</f>
        <v>420</v>
      </c>
      <c r="K125" s="3"/>
      <c r="L125" s="3" t="str">
        <f ca="1">IFERROR(__xludf.DUMMYFUNCTION("""COMPUTED_VALUE"""),"Cost per period")</f>
        <v>Cost per period</v>
      </c>
      <c r="M125" s="3"/>
      <c r="N125" s="3"/>
      <c r="O125" s="3" t="str">
        <f ca="1">IFERROR(__xludf.DUMMYFUNCTION("""COMPUTED_VALUE"""),"2000")</f>
        <v>2000</v>
      </c>
      <c r="P125" s="3" t="str">
        <f ca="1">IFERROR(__xludf.DUMMYFUNCTION("""COMPUTED_VALUE"""),"1400")</f>
        <v>1400</v>
      </c>
      <c r="Q125" s="3" t="str">
        <f ca="1">IFERROR(__xludf.DUMMYFUNCTION("""COMPUTED_VALUE"""),"2000x1400 + 600x1080")</f>
        <v>2000x1400 + 600x1080</v>
      </c>
      <c r="R125" s="3"/>
      <c r="S125" s="3" t="str">
        <f ca="1">IFERROR(__xludf.DUMMYFUNCTION("""COMPUTED_VALUE"""),"500 (600 - HTLM5)")</f>
        <v>500 (600 - HTLM5)</v>
      </c>
      <c r="T125" s="3"/>
      <c r="U125" s="3" t="str">
        <f ca="1">IFERROR(__xludf.DUMMYFUNCTION("""COMPUTED_VALUE"""),"banner standard")</f>
        <v>banner standard</v>
      </c>
      <c r="V125" s="3"/>
      <c r="W125" s="4" t="str">
        <f ca="1">IFERROR(__xludf.DUMMYFUNCTION("""COMPUTED_VALUE"""),"https://reklama.cncenter.cz/Online/branding-cross-device")</f>
        <v>https://reklama.cncenter.cz/Online/branding-cross-device</v>
      </c>
      <c r="X125" s="3"/>
      <c r="Y125" s="3"/>
      <c r="Z125" s="3" t="str">
        <f ca="1">IFERROR(__xludf.DUMMYFUNCTION("""COMPUTED_VALUE"""),"podklady@cncenter.cz")</f>
        <v>podklady@cncenter.cz</v>
      </c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 t="str">
        <f ca="1">IFERROR(__xludf.DUMMYFUNCTION("""COMPUTED_VALUE"""),"cross-device")</f>
        <v>cross-device</v>
      </c>
      <c r="AO125" s="3"/>
      <c r="AP125" s="3"/>
      <c r="AQ125" s="3"/>
      <c r="AR125" s="3"/>
      <c r="AS125" s="3"/>
      <c r="AT125" s="3"/>
      <c r="AU125" s="3" t="str">
        <f ca="1">IFERROR(__xludf.DUMMYFUNCTION("""COMPUTED_VALUE"""),"branding cross-device")</f>
        <v>branding cross-device</v>
      </c>
    </row>
    <row r="126" spans="1:47" x14ac:dyDescent="0.3">
      <c r="A126" s="3">
        <f ca="1"/>
        <v>2346826</v>
      </c>
      <c r="B126" s="3" t="str">
        <f ca="1"/>
        <v>CZECH NEWS CENTER a. s.</v>
      </c>
      <c r="C126" s="3" t="str">
        <f ca="1">IFERROR(__xludf.DUMMYFUNCTION("""COMPUTED_VALUE"""),"Autorevue")</f>
        <v>Autorevue</v>
      </c>
      <c r="D126" s="4" t="str">
        <f ca="1">IFERROR(__xludf.DUMMYFUNCTION("""COMPUTED_VALUE"""),"https://autorevue.cz")</f>
        <v>https://autorevue.cz</v>
      </c>
      <c r="E126" s="3" t="str">
        <f ca="1">IFERROR(__xludf.DUMMYFUNCTION("""COMPUTED_VALUE"""),"celý web")</f>
        <v>celý web</v>
      </c>
      <c r="F126" s="4" t="str">
        <f ca="1">IFERROR(__xludf.DUMMYFUNCTION("""COMPUTED_VALUE"""),"https://autorevue.cz")</f>
        <v>https://autorevue.cz</v>
      </c>
      <c r="G126" s="3" t="str">
        <f ca="1">IFERROR(__xludf.DUMMYFUNCTION("""COMPUTED_VALUE"""),"branding mid season")</f>
        <v>branding mid season</v>
      </c>
      <c r="H126" s="3">
        <f ca="1">IFERROR(__xludf.DUMMYFUNCTION("""COMPUTED_VALUE"""),7)</f>
        <v>7</v>
      </c>
      <c r="I126" s="5">
        <f ca="1">IFERROR(__xludf.DUMMYFUNCTION("""COMPUTED_VALUE"""),1000)</f>
        <v>1000</v>
      </c>
      <c r="J126" s="5">
        <f ca="1">IFERROR(__xludf.DUMMYFUNCTION("""COMPUTED_VALUE"""),690)</f>
        <v>690</v>
      </c>
      <c r="K126" s="3"/>
      <c r="L126" s="3" t="str">
        <f ca="1">IFERROR(__xludf.DUMMYFUNCTION("""COMPUTED_VALUE"""),"Cost per period")</f>
        <v>Cost per period</v>
      </c>
      <c r="M126" s="3"/>
      <c r="N126" s="3"/>
      <c r="O126" s="3" t="str">
        <f ca="1">IFERROR(__xludf.DUMMYFUNCTION("""COMPUTED_VALUE"""),"2000")</f>
        <v>2000</v>
      </c>
      <c r="P126" s="3" t="str">
        <f ca="1">IFERROR(__xludf.DUMMYFUNCTION("""COMPUTED_VALUE"""),"1400")</f>
        <v>1400</v>
      </c>
      <c r="Q126" s="3" t="str">
        <f ca="1">IFERROR(__xludf.DUMMYFUNCTION("""COMPUTED_VALUE"""),"2000x1400")</f>
        <v>2000x1400</v>
      </c>
      <c r="R126" s="3"/>
      <c r="S126" s="3" t="str">
        <f ca="1">IFERROR(__xludf.DUMMYFUNCTION("""COMPUTED_VALUE"""),"500 + 200 (600+200 HTML5)")</f>
        <v>500 + 200 (600+200 HTML5)</v>
      </c>
      <c r="T126" s="3"/>
      <c r="U126" s="3" t="str">
        <f ca="1">IFERROR(__xludf.DUMMYFUNCTION("""COMPUTED_VALUE"""),"banner standard")</f>
        <v>banner standard</v>
      </c>
      <c r="V126" s="3"/>
      <c r="W126" s="4" t="str">
        <f ca="1">IFERROR(__xludf.DUMMYFUNCTION("""COMPUTED_VALUE"""),"https://reklama.cncenter.cz/Online/branding")</f>
        <v>https://reklama.cncenter.cz/Online/branding</v>
      </c>
      <c r="X126" s="3"/>
      <c r="Y126" s="3"/>
      <c r="Z126" s="3" t="str">
        <f ca="1">IFERROR(__xludf.DUMMYFUNCTION("""COMPUTED_VALUE"""),"podklady@cncenter.cz")</f>
        <v>podklady@cncenter.cz</v>
      </c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 t="str">
        <f ca="1">IFERROR(__xludf.DUMMYFUNCTION("""COMPUTED_VALUE"""),"desktop")</f>
        <v>desktop</v>
      </c>
      <c r="AO126" s="3"/>
      <c r="AP126" s="3"/>
      <c r="AQ126" s="3"/>
      <c r="AR126" s="3"/>
      <c r="AS126" s="3"/>
      <c r="AT126" s="3"/>
      <c r="AU126" s="3" t="str">
        <f ca="1">IFERROR(__xludf.DUMMYFUNCTION("""COMPUTED_VALUE"""),"branding")</f>
        <v>branding</v>
      </c>
    </row>
    <row r="127" spans="1:47" x14ac:dyDescent="0.3">
      <c r="A127" s="3">
        <f ca="1"/>
        <v>2346826</v>
      </c>
      <c r="B127" s="3" t="str">
        <f ca="1"/>
        <v>CZECH NEWS CENTER a. s.</v>
      </c>
      <c r="C127" s="3" t="str">
        <f ca="1">IFERROR(__xludf.DUMMYFUNCTION("""COMPUTED_VALUE"""),"Autorevue")</f>
        <v>Autorevue</v>
      </c>
      <c r="D127" s="4" t="str">
        <f ca="1">IFERROR(__xludf.DUMMYFUNCTION("""COMPUTED_VALUE"""),"https://autorevue.cz")</f>
        <v>https://autorevue.cz</v>
      </c>
      <c r="E127" s="3" t="str">
        <f ca="1">IFERROR(__xludf.DUMMYFUNCTION("""COMPUTED_VALUE"""),"celý web")</f>
        <v>celý web</v>
      </c>
      <c r="F127" s="4" t="str">
        <f ca="1">IFERROR(__xludf.DUMMYFUNCTION("""COMPUTED_VALUE"""),"https://autorevue.cz")</f>
        <v>https://autorevue.cz</v>
      </c>
      <c r="G127" s="3" t="str">
        <f ca="1">IFERROR(__xludf.DUMMYFUNCTION("""COMPUTED_VALUE"""),"cílený billboard bottom mid season")</f>
        <v>cílený billboard bottom mid season</v>
      </c>
      <c r="H127" s="3">
        <f ca="1">IFERROR(__xludf.DUMMYFUNCTION("""COMPUTED_VALUE"""),7)</f>
        <v>7</v>
      </c>
      <c r="I127" s="5">
        <f ca="1">IFERROR(__xludf.DUMMYFUNCTION("""COMPUTED_VALUE"""),1000)</f>
        <v>1000</v>
      </c>
      <c r="J127" s="5">
        <f ca="1">IFERROR(__xludf.DUMMYFUNCTION("""COMPUTED_VALUE"""),408)</f>
        <v>408</v>
      </c>
      <c r="K127" s="3"/>
      <c r="L127" s="3" t="str">
        <f ca="1">IFERROR(__xludf.DUMMYFUNCTION("""COMPUTED_VALUE"""),"Cost per period")</f>
        <v>Cost per period</v>
      </c>
      <c r="M127" s="3"/>
      <c r="N127" s="3"/>
      <c r="O127" s="3" t="str">
        <f ca="1">IFERROR(__xludf.DUMMYFUNCTION("""COMPUTED_VALUE"""),"970")</f>
        <v>970</v>
      </c>
      <c r="P127" s="3" t="str">
        <f ca="1">IFERROR(__xludf.DUMMYFUNCTION("""COMPUTED_VALUE"""),"250")</f>
        <v>250</v>
      </c>
      <c r="Q127" s="3" t="str">
        <f ca="1">IFERROR(__xludf.DUMMYFUNCTION("""COMPUTED_VALUE"""),"970x250")</f>
        <v>970x250</v>
      </c>
      <c r="R127" s="3"/>
      <c r="S127" s="3" t="str">
        <f ca="1">IFERROR(__xludf.DUMMYFUNCTION("""COMPUTED_VALUE"""),"100 (200 - HTML5)")</f>
        <v>100 (200 - HTML5)</v>
      </c>
      <c r="T127" s="3"/>
      <c r="U127" s="3" t="str">
        <f ca="1">IFERROR(__xludf.DUMMYFUNCTION("""COMPUTED_VALUE"""),"banner standard")</f>
        <v>banner standard</v>
      </c>
      <c r="V127" s="3"/>
      <c r="W127" s="4" t="str">
        <f ca="1">IFERROR(__xludf.DUMMYFUNCTION("""COMPUTED_VALUE"""),"https://reklama.cncenter.cz/Online/billboard-bottom")</f>
        <v>https://reklama.cncenter.cz/Online/billboard-bottom</v>
      </c>
      <c r="X127" s="3"/>
      <c r="Y127" s="3"/>
      <c r="Z127" s="3" t="str">
        <f ca="1">IFERROR(__xludf.DUMMYFUNCTION("""COMPUTED_VALUE"""),"podklady@cncenter.cz")</f>
        <v>podklady@cncenter.cz</v>
      </c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 t="str">
        <f ca="1">IFERROR(__xludf.DUMMYFUNCTION("""COMPUTED_VALUE"""),"desktop")</f>
        <v>desktop</v>
      </c>
      <c r="AO127" s="3"/>
      <c r="AP127" s="3"/>
      <c r="AQ127" s="3"/>
      <c r="AR127" s="3"/>
      <c r="AS127" s="3"/>
      <c r="AT127" s="3"/>
      <c r="AU127" s="3" t="str">
        <f ca="1">IFERROR(__xludf.DUMMYFUNCTION("""COMPUTED_VALUE"""),"cílený billboard bottom")</f>
        <v>cílený billboard bottom</v>
      </c>
    </row>
    <row r="128" spans="1:47" x14ac:dyDescent="0.3">
      <c r="A128" s="3">
        <f ca="1"/>
        <v>2346826</v>
      </c>
      <c r="B128" s="3" t="str">
        <f ca="1"/>
        <v>CZECH NEWS CENTER a. s.</v>
      </c>
      <c r="C128" s="3" t="str">
        <f ca="1">IFERROR(__xludf.DUMMYFUNCTION("""COMPUTED_VALUE"""),"Autorevue")</f>
        <v>Autorevue</v>
      </c>
      <c r="D128" s="4" t="str">
        <f ca="1">IFERROR(__xludf.DUMMYFUNCTION("""COMPUTED_VALUE"""),"https://autorevue.cz")</f>
        <v>https://autorevue.cz</v>
      </c>
      <c r="E128" s="3" t="str">
        <f ca="1">IFERROR(__xludf.DUMMYFUNCTION("""COMPUTED_VALUE"""),"celý web")</f>
        <v>celý web</v>
      </c>
      <c r="F128" s="4" t="str">
        <f ca="1">IFERROR(__xludf.DUMMYFUNCTION("""COMPUTED_VALUE"""),"https://autorevue.cz")</f>
        <v>https://autorevue.cz</v>
      </c>
      <c r="G128" s="3" t="str">
        <f ca="1">IFERROR(__xludf.DUMMYFUNCTION("""COMPUTED_VALUE"""),"cílený branding cross-device mid season")</f>
        <v>cílený branding cross-device mid season</v>
      </c>
      <c r="H128" s="3">
        <f ca="1">IFERROR(__xludf.DUMMYFUNCTION("""COMPUTED_VALUE"""),7)</f>
        <v>7</v>
      </c>
      <c r="I128" s="5">
        <f ca="1">IFERROR(__xludf.DUMMYFUNCTION("""COMPUTED_VALUE"""),1000)</f>
        <v>1000</v>
      </c>
      <c r="J128" s="5">
        <f ca="1">IFERROR(__xludf.DUMMYFUNCTION("""COMPUTED_VALUE"""),504)</f>
        <v>504</v>
      </c>
      <c r="K128" s="3"/>
      <c r="L128" s="3" t="str">
        <f ca="1">IFERROR(__xludf.DUMMYFUNCTION("""COMPUTED_VALUE"""),"Cost per period")</f>
        <v>Cost per period</v>
      </c>
      <c r="M128" s="3"/>
      <c r="N128" s="3"/>
      <c r="O128" s="3" t="str">
        <f ca="1">IFERROR(__xludf.DUMMYFUNCTION("""COMPUTED_VALUE"""),"2000")</f>
        <v>2000</v>
      </c>
      <c r="P128" s="3" t="str">
        <f ca="1">IFERROR(__xludf.DUMMYFUNCTION("""COMPUTED_VALUE"""),"1400")</f>
        <v>1400</v>
      </c>
      <c r="Q128" s="3" t="str">
        <f ca="1">IFERROR(__xludf.DUMMYFUNCTION("""COMPUTED_VALUE"""),"2000x1400 + 600x1080")</f>
        <v>2000x1400 + 600x1080</v>
      </c>
      <c r="R128" s="3"/>
      <c r="S128" s="3" t="str">
        <f ca="1">IFERROR(__xludf.DUMMYFUNCTION("""COMPUTED_VALUE"""),"500 (600 - HTLM5)")</f>
        <v>500 (600 - HTLM5)</v>
      </c>
      <c r="T128" s="3"/>
      <c r="U128" s="3" t="str">
        <f ca="1">IFERROR(__xludf.DUMMYFUNCTION("""COMPUTED_VALUE"""),"banner standard")</f>
        <v>banner standard</v>
      </c>
      <c r="V128" s="3"/>
      <c r="W128" s="4" t="str">
        <f ca="1">IFERROR(__xludf.DUMMYFUNCTION("""COMPUTED_VALUE"""),"https://reklama.cncenter.cz/Online/branding-cross-device")</f>
        <v>https://reklama.cncenter.cz/Online/branding-cross-device</v>
      </c>
      <c r="X128" s="3"/>
      <c r="Y128" s="3"/>
      <c r="Z128" s="3" t="str">
        <f ca="1">IFERROR(__xludf.DUMMYFUNCTION("""COMPUTED_VALUE"""),"podklady@cncenter.cz")</f>
        <v>podklady@cncenter.cz</v>
      </c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 t="str">
        <f ca="1">IFERROR(__xludf.DUMMYFUNCTION("""COMPUTED_VALUE"""),"cross-device")</f>
        <v>cross-device</v>
      </c>
      <c r="AO128" s="3"/>
      <c r="AP128" s="3"/>
      <c r="AQ128" s="3"/>
      <c r="AR128" s="3"/>
      <c r="AS128" s="3"/>
      <c r="AT128" s="3"/>
      <c r="AU128" s="3" t="str">
        <f ca="1">IFERROR(__xludf.DUMMYFUNCTION("""COMPUTED_VALUE"""),"cílený branding cross-device")</f>
        <v>cílený branding cross-device</v>
      </c>
    </row>
    <row r="129" spans="1:47" x14ac:dyDescent="0.3">
      <c r="A129" s="3">
        <f ca="1"/>
        <v>2346826</v>
      </c>
      <c r="B129" s="3" t="str">
        <f ca="1"/>
        <v>CZECH NEWS CENTER a. s.</v>
      </c>
      <c r="C129" s="3" t="str">
        <f ca="1">IFERROR(__xludf.DUMMYFUNCTION("""COMPUTED_VALUE"""),"Autorevue")</f>
        <v>Autorevue</v>
      </c>
      <c r="D129" s="4" t="str">
        <f ca="1">IFERROR(__xludf.DUMMYFUNCTION("""COMPUTED_VALUE"""),"https://autorevue.cz")</f>
        <v>https://autorevue.cz</v>
      </c>
      <c r="E129" s="3" t="str">
        <f ca="1">IFERROR(__xludf.DUMMYFUNCTION("""COMPUTED_VALUE"""),"celý web")</f>
        <v>celý web</v>
      </c>
      <c r="F129" s="4" t="str">
        <f ca="1">IFERROR(__xludf.DUMMYFUNCTION("""COMPUTED_VALUE"""),"https://autorevue.cz")</f>
        <v>https://autorevue.cz</v>
      </c>
      <c r="G129" s="3" t="str">
        <f ca="1">IFERROR(__xludf.DUMMYFUNCTION("""COMPUTED_VALUE"""),"cílený branding mid season")</f>
        <v>cílený branding mid season</v>
      </c>
      <c r="H129" s="3">
        <f ca="1">IFERROR(__xludf.DUMMYFUNCTION("""COMPUTED_VALUE"""),7)</f>
        <v>7</v>
      </c>
      <c r="I129" s="5">
        <f ca="1">IFERROR(__xludf.DUMMYFUNCTION("""COMPUTED_VALUE"""),1000)</f>
        <v>1000</v>
      </c>
      <c r="J129" s="5">
        <f ca="1">IFERROR(__xludf.DUMMYFUNCTION("""COMPUTED_VALUE"""),828)</f>
        <v>828</v>
      </c>
      <c r="K129" s="3"/>
      <c r="L129" s="3" t="str">
        <f ca="1">IFERROR(__xludf.DUMMYFUNCTION("""COMPUTED_VALUE"""),"Cost per period")</f>
        <v>Cost per period</v>
      </c>
      <c r="M129" s="3"/>
      <c r="N129" s="3"/>
      <c r="O129" s="3" t="str">
        <f ca="1">IFERROR(__xludf.DUMMYFUNCTION("""COMPUTED_VALUE"""),"2000")</f>
        <v>2000</v>
      </c>
      <c r="P129" s="3" t="str">
        <f ca="1">IFERROR(__xludf.DUMMYFUNCTION("""COMPUTED_VALUE"""),"1400")</f>
        <v>1400</v>
      </c>
      <c r="Q129" s="3" t="str">
        <f ca="1">IFERROR(__xludf.DUMMYFUNCTION("""COMPUTED_VALUE"""),"2000x1400")</f>
        <v>2000x1400</v>
      </c>
      <c r="R129" s="3"/>
      <c r="S129" s="3" t="str">
        <f ca="1">IFERROR(__xludf.DUMMYFUNCTION("""COMPUTED_VALUE"""),"500 + 200 (600+200 HTML5)")</f>
        <v>500 + 200 (600+200 HTML5)</v>
      </c>
      <c r="T129" s="3"/>
      <c r="U129" s="3" t="str">
        <f ca="1">IFERROR(__xludf.DUMMYFUNCTION("""COMPUTED_VALUE"""),"banner standard")</f>
        <v>banner standard</v>
      </c>
      <c r="V129" s="3"/>
      <c r="W129" s="4" t="str">
        <f ca="1">IFERROR(__xludf.DUMMYFUNCTION("""COMPUTED_VALUE"""),"https://reklama.cncenter.cz/Online/branding")</f>
        <v>https://reklama.cncenter.cz/Online/branding</v>
      </c>
      <c r="X129" s="3"/>
      <c r="Y129" s="3"/>
      <c r="Z129" s="3" t="str">
        <f ca="1">IFERROR(__xludf.DUMMYFUNCTION("""COMPUTED_VALUE"""),"podklady@cncenter.cz")</f>
        <v>podklady@cncenter.cz</v>
      </c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 t="str">
        <f ca="1">IFERROR(__xludf.DUMMYFUNCTION("""COMPUTED_VALUE"""),"desktop")</f>
        <v>desktop</v>
      </c>
      <c r="AO129" s="3"/>
      <c r="AP129" s="3"/>
      <c r="AQ129" s="3"/>
      <c r="AR129" s="3"/>
      <c r="AS129" s="3"/>
      <c r="AT129" s="3"/>
      <c r="AU129" s="3" t="str">
        <f ca="1">IFERROR(__xludf.DUMMYFUNCTION("""COMPUTED_VALUE"""),"cílený branding")</f>
        <v>cílený branding</v>
      </c>
    </row>
    <row r="130" spans="1:47" x14ac:dyDescent="0.3">
      <c r="A130" s="3">
        <f ca="1"/>
        <v>2346826</v>
      </c>
      <c r="B130" s="3" t="str">
        <f ca="1"/>
        <v>CZECH NEWS CENTER a. s.</v>
      </c>
      <c r="C130" s="3" t="str">
        <f ca="1">IFERROR(__xludf.DUMMYFUNCTION("""COMPUTED_VALUE"""),"Autorevue")</f>
        <v>Autorevue</v>
      </c>
      <c r="D130" s="4" t="str">
        <f ca="1">IFERROR(__xludf.DUMMYFUNCTION("""COMPUTED_VALUE"""),"https://autorevue.cz")</f>
        <v>https://autorevue.cz</v>
      </c>
      <c r="E130" s="3" t="str">
        <f ca="1">IFERROR(__xludf.DUMMYFUNCTION("""COMPUTED_VALUE"""),"celý web")</f>
        <v>celý web</v>
      </c>
      <c r="F130" s="4" t="str">
        <f ca="1">IFERROR(__xludf.DUMMYFUNCTION("""COMPUTED_VALUE"""),"https://autorevue.cz")</f>
        <v>https://autorevue.cz</v>
      </c>
      <c r="G130" s="3" t="str">
        <f ca="1">IFERROR(__xludf.DUMMYFUNCTION("""COMPUTED_VALUE"""),"cílený double skyscraper mid season")</f>
        <v>cílený double skyscraper mid season</v>
      </c>
      <c r="H130" s="3">
        <f ca="1">IFERROR(__xludf.DUMMYFUNCTION("""COMPUTED_VALUE"""),7)</f>
        <v>7</v>
      </c>
      <c r="I130" s="5">
        <f ca="1">IFERROR(__xludf.DUMMYFUNCTION("""COMPUTED_VALUE"""),1000)</f>
        <v>1000</v>
      </c>
      <c r="J130" s="5">
        <f ca="1">IFERROR(__xludf.DUMMYFUNCTION("""COMPUTED_VALUE"""),324)</f>
        <v>324</v>
      </c>
      <c r="K130" s="3"/>
      <c r="L130" s="3" t="str">
        <f ca="1">IFERROR(__xludf.DUMMYFUNCTION("""COMPUTED_VALUE"""),"Cost per period")</f>
        <v>Cost per period</v>
      </c>
      <c r="M130" s="3"/>
      <c r="N130" s="3"/>
      <c r="O130" s="3" t="str">
        <f ca="1">IFERROR(__xludf.DUMMYFUNCTION("""COMPUTED_VALUE"""),"300")</f>
        <v>300</v>
      </c>
      <c r="P130" s="3" t="str">
        <f ca="1">IFERROR(__xludf.DUMMYFUNCTION("""COMPUTED_VALUE"""),"600")</f>
        <v>600</v>
      </c>
      <c r="Q130" s="3" t="str">
        <f ca="1">IFERROR(__xludf.DUMMYFUNCTION("""COMPUTED_VALUE"""),"300x600")</f>
        <v>300x600</v>
      </c>
      <c r="R130" s="3"/>
      <c r="S130" s="3" t="str">
        <f ca="1">IFERROR(__xludf.DUMMYFUNCTION("""COMPUTED_VALUE"""),"100 (200 - HTML5)")</f>
        <v>100 (200 - HTML5)</v>
      </c>
      <c r="T130" s="3"/>
      <c r="U130" s="3" t="str">
        <f ca="1">IFERROR(__xludf.DUMMYFUNCTION("""COMPUTED_VALUE"""),"banner standard")</f>
        <v>banner standard</v>
      </c>
      <c r="V130" s="3"/>
      <c r="W130" s="4" t="str">
        <f ca="1">IFERROR(__xludf.DUMMYFUNCTION("""COMPUTED_VALUE"""),"https://reklama.cncenter.cz/Online/double-skyscraper")</f>
        <v>https://reklama.cncenter.cz/Online/double-skyscraper</v>
      </c>
      <c r="X130" s="3"/>
      <c r="Y130" s="3"/>
      <c r="Z130" s="3" t="str">
        <f ca="1">IFERROR(__xludf.DUMMYFUNCTION("""COMPUTED_VALUE"""),"podklady@cncenter.cz")</f>
        <v>podklady@cncenter.cz</v>
      </c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 t="str">
        <f ca="1">IFERROR(__xludf.DUMMYFUNCTION("""COMPUTED_VALUE"""),"desktop")</f>
        <v>desktop</v>
      </c>
      <c r="AO130" s="3"/>
      <c r="AP130" s="3"/>
      <c r="AQ130" s="3"/>
      <c r="AR130" s="3"/>
      <c r="AS130" s="3"/>
      <c r="AT130" s="3"/>
      <c r="AU130" s="3" t="str">
        <f ca="1">IFERROR(__xludf.DUMMYFUNCTION("""COMPUTED_VALUE"""),"cílený double skyscraper")</f>
        <v>cílený double skyscraper</v>
      </c>
    </row>
    <row r="131" spans="1:47" x14ac:dyDescent="0.3">
      <c r="A131" s="3">
        <f ca="1"/>
        <v>2346826</v>
      </c>
      <c r="B131" s="3" t="str">
        <f ca="1"/>
        <v>CZECH NEWS CENTER a. s.</v>
      </c>
      <c r="C131" s="3" t="str">
        <f ca="1">IFERROR(__xludf.DUMMYFUNCTION("""COMPUTED_VALUE"""),"Autorevue")</f>
        <v>Autorevue</v>
      </c>
      <c r="D131" s="4" t="str">
        <f ca="1">IFERROR(__xludf.DUMMYFUNCTION("""COMPUTED_VALUE"""),"https://autorevue.cz")</f>
        <v>https://autorevue.cz</v>
      </c>
      <c r="E131" s="3" t="str">
        <f ca="1">IFERROR(__xludf.DUMMYFUNCTION("""COMPUTED_VALUE"""),"celý web")</f>
        <v>celý web</v>
      </c>
      <c r="F131" s="4" t="str">
        <f ca="1">IFERROR(__xludf.DUMMYFUNCTION("""COMPUTED_VALUE"""),"https://autorevue.cz")</f>
        <v>https://autorevue.cz</v>
      </c>
      <c r="G131" s="3" t="str">
        <f ca="1">IFERROR(__xludf.DUMMYFUNCTION("""COMPUTED_VALUE"""),"cílený mobilní interscroller mid season")</f>
        <v>cílený mobilní interscroller mid season</v>
      </c>
      <c r="H131" s="3">
        <f ca="1">IFERROR(__xludf.DUMMYFUNCTION("""COMPUTED_VALUE"""),7)</f>
        <v>7</v>
      </c>
      <c r="I131" s="5">
        <f ca="1">IFERROR(__xludf.DUMMYFUNCTION("""COMPUTED_VALUE"""),1000)</f>
        <v>1000</v>
      </c>
      <c r="J131" s="5">
        <f ca="1">IFERROR(__xludf.DUMMYFUNCTION("""COMPUTED_VALUE"""),420)</f>
        <v>420</v>
      </c>
      <c r="K131" s="3"/>
      <c r="L131" s="3" t="str">
        <f ca="1">IFERROR(__xludf.DUMMYFUNCTION("""COMPUTED_VALUE"""),"Cost per period")</f>
        <v>Cost per period</v>
      </c>
      <c r="M131" s="3"/>
      <c r="N131" s="3"/>
      <c r="O131" s="3" t="str">
        <f ca="1">IFERROR(__xludf.DUMMYFUNCTION("""COMPUTED_VALUE"""),"600")</f>
        <v>600</v>
      </c>
      <c r="P131" s="3" t="str">
        <f ca="1">IFERROR(__xludf.DUMMYFUNCTION("""COMPUTED_VALUE"""),"1080")</f>
        <v>1080</v>
      </c>
      <c r="Q131" s="3" t="str">
        <f ca="1">IFERROR(__xludf.DUMMYFUNCTION("""COMPUTED_VALUE"""),"600x1080")</f>
        <v>600x1080</v>
      </c>
      <c r="R131" s="3"/>
      <c r="S131" s="3" t="str">
        <f ca="1">IFERROR(__xludf.DUMMYFUNCTION("""COMPUTED_VALUE"""),"200")</f>
        <v>200</v>
      </c>
      <c r="T131" s="3"/>
      <c r="U131" s="3" t="str">
        <f ca="1">IFERROR(__xludf.DUMMYFUNCTION("""COMPUTED_VALUE"""),"banner standard")</f>
        <v>banner standard</v>
      </c>
      <c r="V131" s="3"/>
      <c r="W131" s="4" t="str">
        <f ca="1">IFERROR(__xludf.DUMMYFUNCTION("""COMPUTED_VALUE"""),"https://reklama.cncenter.cz/Online/mobilni-interscroller")</f>
        <v>https://reklama.cncenter.cz/Online/mobilni-interscroller</v>
      </c>
      <c r="X131" s="3"/>
      <c r="Y131" s="3"/>
      <c r="Z131" s="3" t="str">
        <f ca="1">IFERROR(__xludf.DUMMYFUNCTION("""COMPUTED_VALUE"""),"podklady@cncenter.cz")</f>
        <v>podklady@cncenter.cz</v>
      </c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 t="str">
        <f ca="1">IFERROR(__xludf.DUMMYFUNCTION("""COMPUTED_VALUE"""),"mobile")</f>
        <v>mobile</v>
      </c>
      <c r="AO131" s="3"/>
      <c r="AP131" s="3"/>
      <c r="AQ131" s="3"/>
      <c r="AR131" s="3"/>
      <c r="AS131" s="3"/>
      <c r="AT131" s="3"/>
      <c r="AU131" s="3" t="str">
        <f ca="1">IFERROR(__xludf.DUMMYFUNCTION("""COMPUTED_VALUE"""),"cílený mobilní interscroller")</f>
        <v>cílený mobilní interscroller</v>
      </c>
    </row>
    <row r="132" spans="1:47" x14ac:dyDescent="0.3">
      <c r="A132" s="3">
        <f ca="1"/>
        <v>2346826</v>
      </c>
      <c r="B132" s="3" t="str">
        <f ca="1"/>
        <v>CZECH NEWS CENTER a. s.</v>
      </c>
      <c r="C132" s="3" t="str">
        <f ca="1">IFERROR(__xludf.DUMMYFUNCTION("""COMPUTED_VALUE"""),"Autorevue")</f>
        <v>Autorevue</v>
      </c>
      <c r="D132" s="4" t="str">
        <f ca="1">IFERROR(__xludf.DUMMYFUNCTION("""COMPUTED_VALUE"""),"https://autorevue.cz")</f>
        <v>https://autorevue.cz</v>
      </c>
      <c r="E132" s="3" t="str">
        <f ca="1">IFERROR(__xludf.DUMMYFUNCTION("""COMPUTED_VALUE"""),"celý web")</f>
        <v>celý web</v>
      </c>
      <c r="F132" s="4" t="str">
        <f ca="1">IFERROR(__xludf.DUMMYFUNCTION("""COMPUTED_VALUE"""),"https://autorevue.cz")</f>
        <v>https://autorevue.cz</v>
      </c>
      <c r="G132" s="3" t="str">
        <f ca="1">IFERROR(__xludf.DUMMYFUNCTION("""COMPUTED_VALUE"""),"cílený mobilní slide-up mid season")</f>
        <v>cílený mobilní slide-up mid season</v>
      </c>
      <c r="H132" s="3">
        <f ca="1">IFERROR(__xludf.DUMMYFUNCTION("""COMPUTED_VALUE"""),7)</f>
        <v>7</v>
      </c>
      <c r="I132" s="5">
        <f ca="1">IFERROR(__xludf.DUMMYFUNCTION("""COMPUTED_VALUE"""),1000)</f>
        <v>1000</v>
      </c>
      <c r="J132" s="5">
        <f ca="1">IFERROR(__xludf.DUMMYFUNCTION("""COMPUTED_VALUE"""),864)</f>
        <v>864</v>
      </c>
      <c r="K132" s="3"/>
      <c r="L132" s="3" t="str">
        <f ca="1">IFERROR(__xludf.DUMMYFUNCTION("""COMPUTED_VALUE"""),"Cost per period")</f>
        <v>Cost per period</v>
      </c>
      <c r="M132" s="3"/>
      <c r="N132" s="3"/>
      <c r="O132" s="3" t="str">
        <f ca="1">IFERROR(__xludf.DUMMYFUNCTION("""COMPUTED_VALUE"""),"300")</f>
        <v>300</v>
      </c>
      <c r="P132" s="3" t="str">
        <f ca="1">IFERROR(__xludf.DUMMYFUNCTION("""COMPUTED_VALUE"""),"120")</f>
        <v>120</v>
      </c>
      <c r="Q132" s="3" t="str">
        <f ca="1">IFERROR(__xludf.DUMMYFUNCTION("""COMPUTED_VALUE"""),"300x120")</f>
        <v>300x120</v>
      </c>
      <c r="R132" s="3"/>
      <c r="S132" s="3" t="str">
        <f ca="1">IFERROR(__xludf.DUMMYFUNCTION("""COMPUTED_VALUE"""),"100")</f>
        <v>100</v>
      </c>
      <c r="T132" s="3"/>
      <c r="U132" s="3" t="str">
        <f ca="1">IFERROR(__xludf.DUMMYFUNCTION("""COMPUTED_VALUE"""),"banner standard")</f>
        <v>banner standard</v>
      </c>
      <c r="V132" s="3"/>
      <c r="W132" s="4" t="str">
        <f ca="1">IFERROR(__xludf.DUMMYFUNCTION("""COMPUTED_VALUE"""),"https://reklama.cncenter.cz/Online/mobilni-slide-up")</f>
        <v>https://reklama.cncenter.cz/Online/mobilni-slide-up</v>
      </c>
      <c r="X132" s="3"/>
      <c r="Y132" s="3"/>
      <c r="Z132" s="3" t="str">
        <f ca="1">IFERROR(__xludf.DUMMYFUNCTION("""COMPUTED_VALUE"""),"podklady@cncenter.cz")</f>
        <v>podklady@cncenter.cz</v>
      </c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 t="str">
        <f ca="1">IFERROR(__xludf.DUMMYFUNCTION("""COMPUTED_VALUE"""),"mobile")</f>
        <v>mobile</v>
      </c>
      <c r="AO132" s="3"/>
      <c r="AP132" s="3"/>
      <c r="AQ132" s="3"/>
      <c r="AR132" s="3"/>
      <c r="AS132" s="3"/>
      <c r="AT132" s="3"/>
      <c r="AU132" s="3" t="str">
        <f ca="1">IFERROR(__xludf.DUMMYFUNCTION("""COMPUTED_VALUE"""),"cílený mobilní slide-up")</f>
        <v>cílený mobilní slide-up</v>
      </c>
    </row>
    <row r="133" spans="1:47" x14ac:dyDescent="0.3">
      <c r="A133" s="3">
        <f ca="1"/>
        <v>2346826</v>
      </c>
      <c r="B133" s="3" t="str">
        <f ca="1"/>
        <v>CZECH NEWS CENTER a. s.</v>
      </c>
      <c r="C133" s="3" t="str">
        <f ca="1">IFERROR(__xludf.DUMMYFUNCTION("""COMPUTED_VALUE"""),"Autorevue")</f>
        <v>Autorevue</v>
      </c>
      <c r="D133" s="4" t="str">
        <f ca="1">IFERROR(__xludf.DUMMYFUNCTION("""COMPUTED_VALUE"""),"https://autorevue.cz")</f>
        <v>https://autorevue.cz</v>
      </c>
      <c r="E133" s="3" t="str">
        <f ca="1">IFERROR(__xludf.DUMMYFUNCTION("""COMPUTED_VALUE"""),"celý web")</f>
        <v>celý web</v>
      </c>
      <c r="F133" s="4" t="str">
        <f ca="1">IFERROR(__xludf.DUMMYFUNCTION("""COMPUTED_VALUE"""),"https://autorevue.cz")</f>
        <v>https://autorevue.cz</v>
      </c>
      <c r="G133" s="3" t="str">
        <f ca="1">IFERROR(__xludf.DUMMYFUNCTION("""COMPUTED_VALUE"""),"cílený mobilní viněta mid season")</f>
        <v>cílený mobilní viněta mid season</v>
      </c>
      <c r="H133" s="3">
        <f ca="1">IFERROR(__xludf.DUMMYFUNCTION("""COMPUTED_VALUE"""),7)</f>
        <v>7</v>
      </c>
      <c r="I133" s="5">
        <f ca="1">IFERROR(__xludf.DUMMYFUNCTION("""COMPUTED_VALUE"""),1000)</f>
        <v>1000</v>
      </c>
      <c r="J133" s="5">
        <f ca="1">IFERROR(__xludf.DUMMYFUNCTION("""COMPUTED_VALUE"""),1488)</f>
        <v>1488</v>
      </c>
      <c r="K133" s="3"/>
      <c r="L133" s="3" t="str">
        <f ca="1">IFERROR(__xludf.DUMMYFUNCTION("""COMPUTED_VALUE"""),"Cost per period")</f>
        <v>Cost per period</v>
      </c>
      <c r="M133" s="3"/>
      <c r="N133" s="3"/>
      <c r="O133" s="3" t="str">
        <f ca="1">IFERROR(__xludf.DUMMYFUNCTION("""COMPUTED_VALUE"""),"600")</f>
        <v>600</v>
      </c>
      <c r="P133" s="3" t="str">
        <f ca="1">IFERROR(__xludf.DUMMYFUNCTION("""COMPUTED_VALUE"""),"800")</f>
        <v>800</v>
      </c>
      <c r="Q133" s="3" t="str">
        <f ca="1">IFERROR(__xludf.DUMMYFUNCTION("""COMPUTED_VALUE"""),"300x250 nebo 600x800")</f>
        <v>300x250 nebo 600x800</v>
      </c>
      <c r="R133" s="3"/>
      <c r="S133" s="3" t="str">
        <f ca="1">IFERROR(__xludf.DUMMYFUNCTION("""COMPUTED_VALUE"""),"100")</f>
        <v>100</v>
      </c>
      <c r="T133" s="3"/>
      <c r="U133" s="3" t="str">
        <f ca="1">IFERROR(__xludf.DUMMYFUNCTION("""COMPUTED_VALUE"""),"banner standard")</f>
        <v>banner standard</v>
      </c>
      <c r="V133" s="3"/>
      <c r="W133" s="4" t="str">
        <f ca="1">IFERROR(__xludf.DUMMYFUNCTION("""COMPUTED_VALUE"""),"https://reklama.cncenter.cz/Online/mobilni-vineta")</f>
        <v>https://reklama.cncenter.cz/Online/mobilni-vineta</v>
      </c>
      <c r="X133" s="3"/>
      <c r="Y133" s="3"/>
      <c r="Z133" s="3" t="str">
        <f ca="1">IFERROR(__xludf.DUMMYFUNCTION("""COMPUTED_VALUE"""),"podklady@cncenter.cz")</f>
        <v>podklady@cncenter.cz</v>
      </c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 t="str">
        <f ca="1">IFERROR(__xludf.DUMMYFUNCTION("""COMPUTED_VALUE"""),"mobile")</f>
        <v>mobile</v>
      </c>
      <c r="AO133" s="3"/>
      <c r="AP133" s="3"/>
      <c r="AQ133" s="3"/>
      <c r="AR133" s="3"/>
      <c r="AS133" s="3"/>
      <c r="AT133" s="3"/>
      <c r="AU133" s="3" t="str">
        <f ca="1">IFERROR(__xludf.DUMMYFUNCTION("""COMPUTED_VALUE"""),"cílený mobilní viněta")</f>
        <v>cílený mobilní viněta</v>
      </c>
    </row>
    <row r="134" spans="1:47" x14ac:dyDescent="0.3">
      <c r="A134" s="3">
        <f ca="1"/>
        <v>2346826</v>
      </c>
      <c r="B134" s="3" t="str">
        <f ca="1"/>
        <v>CZECH NEWS CENTER a. s.</v>
      </c>
      <c r="C134" s="3" t="str">
        <f ca="1">IFERROR(__xludf.DUMMYFUNCTION("""COMPUTED_VALUE"""),"Autorevue")</f>
        <v>Autorevue</v>
      </c>
      <c r="D134" s="4" t="str">
        <f ca="1">IFERROR(__xludf.DUMMYFUNCTION("""COMPUTED_VALUE"""),"https://autorevue.cz")</f>
        <v>https://autorevue.cz</v>
      </c>
      <c r="E134" s="3" t="str">
        <f ca="1">IFERROR(__xludf.DUMMYFUNCTION("""COMPUTED_VALUE"""),"celý web")</f>
        <v>celý web</v>
      </c>
      <c r="F134" s="4" t="str">
        <f ca="1">IFERROR(__xludf.DUMMYFUNCTION("""COMPUTED_VALUE"""),"https://autorevue.cz")</f>
        <v>https://autorevue.cz</v>
      </c>
      <c r="G134" s="3" t="str">
        <f ca="1">IFERROR(__xludf.DUMMYFUNCTION("""COMPUTED_VALUE"""),"cílený nativní pr premium mid season")</f>
        <v>cílený nativní pr premium mid season</v>
      </c>
      <c r="H134" s="3">
        <f ca="1">IFERROR(__xludf.DUMMYFUNCTION("""COMPUTED_VALUE"""),7)</f>
        <v>7</v>
      </c>
      <c r="I134" s="5">
        <f ca="1">IFERROR(__xludf.DUMMYFUNCTION("""COMPUTED_VALUE"""),1000)</f>
        <v>1000</v>
      </c>
      <c r="J134" s="5">
        <f ca="1">IFERROR(__xludf.DUMMYFUNCTION("""COMPUTED_VALUE"""),168)</f>
        <v>168</v>
      </c>
      <c r="K134" s="3"/>
      <c r="L134" s="3" t="str">
        <f ca="1">IFERROR(__xludf.DUMMYFUNCTION("""COMPUTED_VALUE"""),"Cost per period")</f>
        <v>Cost per period</v>
      </c>
      <c r="M134" s="3"/>
      <c r="N134" s="3"/>
      <c r="O134" s="3" t="str">
        <f ca="1">IFERROR(__xludf.DUMMYFUNCTION("""COMPUTED_VALUE"""),"640")</f>
        <v>640</v>
      </c>
      <c r="P134" s="3" t="str">
        <f ca="1">IFERROR(__xludf.DUMMYFUNCTION("""COMPUTED_VALUE"""),"335, 640")</f>
        <v>335, 640</v>
      </c>
      <c r="Q134" s="3" t="str">
        <f ca="1">IFERROR(__xludf.DUMMYFUNCTION("""COMPUTED_VALUE"""),"640x640 a 640x335 + text + logo")</f>
        <v>640x640 a 640x335 + text + logo</v>
      </c>
      <c r="R134" s="3" t="str">
        <f ca="1">IFERROR(__xludf.DUMMYFUNCTION("""COMPUTED_VALUE"""),"detailní specifikace na URL odkaze")</f>
        <v>detailní specifikace na URL odkaze</v>
      </c>
      <c r="S134" s="3" t="str">
        <f ca="1">IFERROR(__xludf.DUMMYFUNCTION("""COMPUTED_VALUE"""),"100")</f>
        <v>100</v>
      </c>
      <c r="T134" s="3"/>
      <c r="U134" s="3" t="str">
        <f ca="1">IFERROR(__xludf.DUMMYFUNCTION("""COMPUTED_VALUE"""),"nativní reklama")</f>
        <v>nativní reklama</v>
      </c>
      <c r="V134" s="3"/>
      <c r="W134" s="4" t="str">
        <f ca="1">IFERROR(__xludf.DUMMYFUNCTION("""COMPUTED_VALUE"""),"https://reklama.cncenter.cz/Online/nativni-PR-premium")</f>
        <v>https://reklama.cncenter.cz/Online/nativni-PR-premium</v>
      </c>
      <c r="X134" s="3"/>
      <c r="Y134" s="3"/>
      <c r="Z134" s="3" t="str">
        <f ca="1">IFERROR(__xludf.DUMMYFUNCTION("""COMPUTED_VALUE"""),"podklady@cncenter.cz")</f>
        <v>podklady@cncenter.cz</v>
      </c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 t="str">
        <f ca="1">IFERROR(__xludf.DUMMYFUNCTION("""COMPUTED_VALUE"""),"cross-device")</f>
        <v>cross-device</v>
      </c>
      <c r="AO134" s="3"/>
      <c r="AP134" s="3"/>
      <c r="AQ134" s="3"/>
      <c r="AR134" s="3"/>
      <c r="AS134" s="3"/>
      <c r="AT134" s="3"/>
      <c r="AU134" s="3" t="str">
        <f ca="1">IFERROR(__xludf.DUMMYFUNCTION("""COMPUTED_VALUE"""),"cílený nativní pr premium")</f>
        <v>cílený nativní pr premium</v>
      </c>
    </row>
    <row r="135" spans="1:47" x14ac:dyDescent="0.3">
      <c r="A135" s="3">
        <f ca="1"/>
        <v>2346826</v>
      </c>
      <c r="B135" s="3" t="str">
        <f ca="1"/>
        <v>CZECH NEWS CENTER a. s.</v>
      </c>
      <c r="C135" s="3" t="str">
        <f ca="1">IFERROR(__xludf.DUMMYFUNCTION("""COMPUTED_VALUE"""),"Autorevue")</f>
        <v>Autorevue</v>
      </c>
      <c r="D135" s="4" t="str">
        <f ca="1">IFERROR(__xludf.DUMMYFUNCTION("""COMPUTED_VALUE"""),"https://autorevue.cz")</f>
        <v>https://autorevue.cz</v>
      </c>
      <c r="E135" s="3" t="str">
        <f ca="1">IFERROR(__xludf.DUMMYFUNCTION("""COMPUTED_VALUE"""),"celý web")</f>
        <v>celý web</v>
      </c>
      <c r="F135" s="4" t="str">
        <f ca="1">IFERROR(__xludf.DUMMYFUNCTION("""COMPUTED_VALUE"""),"https://autorevue.cz")</f>
        <v>https://autorevue.cz</v>
      </c>
      <c r="G135" s="3" t="str">
        <f ca="1">IFERROR(__xludf.DUMMYFUNCTION("""COMPUTED_VALUE"""),"cílený nativní rectangle cross-device mid season")</f>
        <v>cílený nativní rectangle cross-device mid season</v>
      </c>
      <c r="H135" s="3">
        <f ca="1">IFERROR(__xludf.DUMMYFUNCTION("""COMPUTED_VALUE"""),7)</f>
        <v>7</v>
      </c>
      <c r="I135" s="5">
        <f ca="1">IFERROR(__xludf.DUMMYFUNCTION("""COMPUTED_VALUE"""),1000)</f>
        <v>1000</v>
      </c>
      <c r="J135" s="5">
        <f ca="1">IFERROR(__xludf.DUMMYFUNCTION("""COMPUTED_VALUE"""),336)</f>
        <v>336</v>
      </c>
      <c r="K135" s="3"/>
      <c r="L135" s="3" t="str">
        <f ca="1">IFERROR(__xludf.DUMMYFUNCTION("""COMPUTED_VALUE"""),"Cost per period")</f>
        <v>Cost per period</v>
      </c>
      <c r="M135" s="3"/>
      <c r="N135" s="3"/>
      <c r="O135" s="3" t="str">
        <f ca="1">IFERROR(__xludf.DUMMYFUNCTION("""COMPUTED_VALUE"""),"640")</f>
        <v>640</v>
      </c>
      <c r="P135" s="3" t="str">
        <f ca="1">IFERROR(__xludf.DUMMYFUNCTION("""COMPUTED_VALUE"""),"335, 640")</f>
        <v>335, 640</v>
      </c>
      <c r="Q135" s="3" t="str">
        <f ca="1">IFERROR(__xludf.DUMMYFUNCTION("""COMPUTED_VALUE"""),"640x640 a 640x335 + text + logo")</f>
        <v>640x640 a 640x335 + text + logo</v>
      </c>
      <c r="R135" s="3"/>
      <c r="S135" s="3" t="str">
        <f ca="1">IFERROR(__xludf.DUMMYFUNCTION("""COMPUTED_VALUE"""),"45")</f>
        <v>45</v>
      </c>
      <c r="T135" s="3"/>
      <c r="U135" s="3" t="str">
        <f ca="1">IFERROR(__xludf.DUMMYFUNCTION("""COMPUTED_VALUE"""),"nativní reklama")</f>
        <v>nativní reklama</v>
      </c>
      <c r="V135" s="3"/>
      <c r="W135" s="4" t="str">
        <f ca="1">IFERROR(__xludf.DUMMYFUNCTION("""COMPUTED_VALUE"""),"https://reklama.cncenter.cz/Online/nativni-rectangle-cross-device")</f>
        <v>https://reklama.cncenter.cz/Online/nativni-rectangle-cross-device</v>
      </c>
      <c r="X135" s="3"/>
      <c r="Y135" s="3"/>
      <c r="Z135" s="3" t="str">
        <f ca="1">IFERROR(__xludf.DUMMYFUNCTION("""COMPUTED_VALUE"""),"podklady@cncenter.cz")</f>
        <v>podklady@cncenter.cz</v>
      </c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 t="str">
        <f ca="1">IFERROR(__xludf.DUMMYFUNCTION("""COMPUTED_VALUE"""),"cross-device")</f>
        <v>cross-device</v>
      </c>
      <c r="AO135" s="3"/>
      <c r="AP135" s="3"/>
      <c r="AQ135" s="3"/>
      <c r="AR135" s="3"/>
      <c r="AS135" s="3"/>
      <c r="AT135" s="3"/>
      <c r="AU135" s="3" t="str">
        <f ca="1">IFERROR(__xludf.DUMMYFUNCTION("""COMPUTED_VALUE"""),"cílený nativní rectangle cross-device")</f>
        <v>cílený nativní rectangle cross-device</v>
      </c>
    </row>
    <row r="136" spans="1:47" x14ac:dyDescent="0.3">
      <c r="A136" s="3">
        <f ca="1"/>
        <v>2346826</v>
      </c>
      <c r="B136" s="3" t="str">
        <f ca="1"/>
        <v>CZECH NEWS CENTER a. s.</v>
      </c>
      <c r="C136" s="3" t="str">
        <f ca="1">IFERROR(__xludf.DUMMYFUNCTION("""COMPUTED_VALUE"""),"Autorevue")</f>
        <v>Autorevue</v>
      </c>
      <c r="D136" s="4" t="str">
        <f ca="1">IFERROR(__xludf.DUMMYFUNCTION("""COMPUTED_VALUE"""),"https://autorevue.cz")</f>
        <v>https://autorevue.cz</v>
      </c>
      <c r="E136" s="3" t="str">
        <f ca="1">IFERROR(__xludf.DUMMYFUNCTION("""COMPUTED_VALUE"""),"celý web")</f>
        <v>celý web</v>
      </c>
      <c r="F136" s="4" t="str">
        <f ca="1">IFERROR(__xludf.DUMMYFUNCTION("""COMPUTED_VALUE"""),"https://autorevue.cz")</f>
        <v>https://autorevue.cz</v>
      </c>
      <c r="G136" s="3" t="str">
        <f ca="1">IFERROR(__xludf.DUMMYFUNCTION("""COMPUTED_VALUE"""),"cílený outstream mid season")</f>
        <v>cílený outstream mid season</v>
      </c>
      <c r="H136" s="3">
        <f ca="1">IFERROR(__xludf.DUMMYFUNCTION("""COMPUTED_VALUE"""),7)</f>
        <v>7</v>
      </c>
      <c r="I136" s="5">
        <f ca="1">IFERROR(__xludf.DUMMYFUNCTION("""COMPUTED_VALUE"""),1000)</f>
        <v>1000</v>
      </c>
      <c r="J136" s="5">
        <f ca="1">IFERROR(__xludf.DUMMYFUNCTION("""COMPUTED_VALUE"""),420)</f>
        <v>420</v>
      </c>
      <c r="K136" s="3"/>
      <c r="L136" s="3" t="str">
        <f ca="1">IFERROR(__xludf.DUMMYFUNCTION("""COMPUTED_VALUE"""),"Cost per period")</f>
        <v>Cost per period</v>
      </c>
      <c r="M136" s="3"/>
      <c r="N136" s="3"/>
      <c r="O136" s="3" t="str">
        <f ca="1">IFERROR(__xludf.DUMMYFUNCTION("""COMPUTED_VALUE"""),"1280")</f>
        <v>1280</v>
      </c>
      <c r="P136" s="3" t="str">
        <f ca="1">IFERROR(__xludf.DUMMYFUNCTION("""COMPUTED_VALUE"""),"720")</f>
        <v>720</v>
      </c>
      <c r="Q136" s="3" t="str">
        <f ca="1">IFERROR(__xludf.DUMMYFUNCTION("""COMPUTED_VALUE"""),"16:9")</f>
        <v>16:9</v>
      </c>
      <c r="R136" s="3"/>
      <c r="S136" s="3" t="str">
        <f ca="1">IFERROR(__xludf.DUMMYFUNCTION("""COMPUTED_VALUE"""),"100")</f>
        <v>100</v>
      </c>
      <c r="T136" s="3"/>
      <c r="U136" s="3" t="str">
        <f ca="1">IFERROR(__xludf.DUMMYFUNCTION("""COMPUTED_VALUE"""),"videospot")</f>
        <v>videospot</v>
      </c>
      <c r="V136" s="3"/>
      <c r="W136" s="4" t="str">
        <f ca="1">IFERROR(__xludf.DUMMYFUNCTION("""COMPUTED_VALUE"""),"https://reklama.cncenter.cz/Online/Outstream")</f>
        <v>https://reklama.cncenter.cz/Online/Outstream</v>
      </c>
      <c r="X136" s="3"/>
      <c r="Y136" s="3"/>
      <c r="Z136" s="3" t="str">
        <f ca="1">IFERROR(__xludf.DUMMYFUNCTION("""COMPUTED_VALUE"""),"podklady@cncenter.cz")</f>
        <v>podklady@cncenter.cz</v>
      </c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 t="str">
        <f ca="1">IFERROR(__xludf.DUMMYFUNCTION("""COMPUTED_VALUE"""),"cross-device")</f>
        <v>cross-device</v>
      </c>
      <c r="AO136" s="3"/>
      <c r="AP136" s="3"/>
      <c r="AQ136" s="3"/>
      <c r="AR136" s="3"/>
      <c r="AS136" s="3"/>
      <c r="AT136" s="3"/>
      <c r="AU136" s="3" t="str">
        <f ca="1">IFERROR(__xludf.DUMMYFUNCTION("""COMPUTED_VALUE"""),"cílený outstream")</f>
        <v>cílený outstream</v>
      </c>
    </row>
    <row r="137" spans="1:47" x14ac:dyDescent="0.3">
      <c r="A137" s="3">
        <f ca="1"/>
        <v>2346826</v>
      </c>
      <c r="B137" s="3" t="str">
        <f ca="1"/>
        <v>CZECH NEWS CENTER a. s.</v>
      </c>
      <c r="C137" s="3" t="str">
        <f ca="1">IFERROR(__xludf.DUMMYFUNCTION("""COMPUTED_VALUE"""),"Autorevue")</f>
        <v>Autorevue</v>
      </c>
      <c r="D137" s="4" t="str">
        <f ca="1">IFERROR(__xludf.DUMMYFUNCTION("""COMPUTED_VALUE"""),"https://autorevue.cz")</f>
        <v>https://autorevue.cz</v>
      </c>
      <c r="E137" s="3" t="str">
        <f ca="1">IFERROR(__xludf.DUMMYFUNCTION("""COMPUTED_VALUE"""),"celý web")</f>
        <v>celý web</v>
      </c>
      <c r="F137" s="4" t="str">
        <f ca="1">IFERROR(__xludf.DUMMYFUNCTION("""COMPUTED_VALUE"""),"https://autorevue.cz")</f>
        <v>https://autorevue.cz</v>
      </c>
      <c r="G137" s="3" t="str">
        <f ca="1">IFERROR(__xludf.DUMMYFUNCTION("""COMPUTED_VALUE"""),"cílený videospot - max. 30 sec. / bumper mid season")</f>
        <v>cílený videospot - max. 30 sec. / bumper mid season</v>
      </c>
      <c r="H137" s="3">
        <f ca="1">IFERROR(__xludf.DUMMYFUNCTION("""COMPUTED_VALUE"""),7)</f>
        <v>7</v>
      </c>
      <c r="I137" s="5">
        <f ca="1">IFERROR(__xludf.DUMMYFUNCTION("""COMPUTED_VALUE"""),1000)</f>
        <v>1000</v>
      </c>
      <c r="J137" s="5">
        <f ca="1">IFERROR(__xludf.DUMMYFUNCTION("""COMPUTED_VALUE"""),1248)</f>
        <v>1248</v>
      </c>
      <c r="K137" s="3"/>
      <c r="L137" s="3" t="str">
        <f ca="1">IFERROR(__xludf.DUMMYFUNCTION("""COMPUTED_VALUE"""),"Cost per period")</f>
        <v>Cost per period</v>
      </c>
      <c r="M137" s="3"/>
      <c r="N137" s="3"/>
      <c r="O137" s="3" t="str">
        <f ca="1">IFERROR(__xludf.DUMMYFUNCTION("""COMPUTED_VALUE"""),"1280")</f>
        <v>1280</v>
      </c>
      <c r="P137" s="3" t="str">
        <f ca="1">IFERROR(__xludf.DUMMYFUNCTION("""COMPUTED_VALUE"""),"720")</f>
        <v>720</v>
      </c>
      <c r="Q137" s="3" t="str">
        <f ca="1">IFERROR(__xludf.DUMMYFUNCTION("""COMPUTED_VALUE"""),"16:9 / umístění po domluvě dle možností")</f>
        <v>16:9 / umístění po domluvě dle možností</v>
      </c>
      <c r="R137" s="3" t="str">
        <f ca="1">IFERROR(__xludf.DUMMYFUNCTION("""COMPUTED_VALUE"""),"přeskočení po 7 sekundách")</f>
        <v>přeskočení po 7 sekundách</v>
      </c>
      <c r="S137" s="3" t="str">
        <f ca="1">IFERROR(__xludf.DUMMYFUNCTION("""COMPUTED_VALUE"""),"100")</f>
        <v>100</v>
      </c>
      <c r="T137" s="3"/>
      <c r="U137" s="3" t="str">
        <f ca="1">IFERROR(__xludf.DUMMYFUNCTION("""COMPUTED_VALUE"""),"videospot")</f>
        <v>videospot</v>
      </c>
      <c r="V137" s="3"/>
      <c r="W137" s="4" t="str">
        <f ca="1">IFERROR(__xludf.DUMMYFUNCTION("""COMPUTED_VALUE"""),"https://reklama.cncenter.cz/Online/Bumper")</f>
        <v>https://reklama.cncenter.cz/Online/Bumper</v>
      </c>
      <c r="X137" s="3"/>
      <c r="Y137" s="3"/>
      <c r="Z137" s="3" t="str">
        <f ca="1">IFERROR(__xludf.DUMMYFUNCTION("""COMPUTED_VALUE"""),"podklady@cncenter.cz")</f>
        <v>podklady@cncenter.cz</v>
      </c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 t="str">
        <f ca="1">IFERROR(__xludf.DUMMYFUNCTION("""COMPUTED_VALUE"""),"cross-device")</f>
        <v>cross-device</v>
      </c>
      <c r="AO137" s="3"/>
      <c r="AP137" s="3"/>
      <c r="AQ137" s="3"/>
      <c r="AR137" s="3"/>
      <c r="AS137" s="3"/>
      <c r="AT137" s="3"/>
      <c r="AU137" s="3" t="str">
        <f ca="1">IFERROR(__xludf.DUMMYFUNCTION("""COMPUTED_VALUE"""),"cílený videospot - max. 30 sec. / bumper")</f>
        <v>cílený videospot - max. 30 sec. / bumper</v>
      </c>
    </row>
    <row r="138" spans="1:47" x14ac:dyDescent="0.3">
      <c r="A138" s="3">
        <f ca="1"/>
        <v>2346826</v>
      </c>
      <c r="B138" s="3" t="str">
        <f ca="1"/>
        <v>CZECH NEWS CENTER a. s.</v>
      </c>
      <c r="C138" s="3" t="str">
        <f ca="1">IFERROR(__xludf.DUMMYFUNCTION("""COMPUTED_VALUE"""),"AutoRevue")</f>
        <v>AutoRevue</v>
      </c>
      <c r="D138" s="4" t="str">
        <f ca="1">IFERROR(__xludf.DUMMYFUNCTION("""COMPUTED_VALUE"""),"https://autorevue.cz")</f>
        <v>https://autorevue.cz</v>
      </c>
      <c r="E138" s="3" t="str">
        <f ca="1">IFERROR(__xludf.DUMMYFUNCTION("""COMPUTED_VALUE"""),"celý web")</f>
        <v>celý web</v>
      </c>
      <c r="F138" s="4" t="str">
        <f ca="1">IFERROR(__xludf.DUMMYFUNCTION("""COMPUTED_VALUE"""),"https://autorevue.cz")</f>
        <v>https://autorevue.cz</v>
      </c>
      <c r="G138" s="3" t="str">
        <f ca="1">IFERROR(__xludf.DUMMYFUNCTION("""COMPUTED_VALUE"""),"dokoupení proma o 2 týdny - 10 000 PV *** mid season")</f>
        <v>dokoupení proma o 2 týdny - 10 000 PV *** mid season</v>
      </c>
      <c r="H138" s="3">
        <f ca="1">IFERROR(__xludf.DUMMYFUNCTION("""COMPUTED_VALUE"""),1)</f>
        <v>1</v>
      </c>
      <c r="I138" s="5">
        <f ca="1">IFERROR(__xludf.DUMMYFUNCTION("""COMPUTED_VALUE"""),1)</f>
        <v>1</v>
      </c>
      <c r="J138" s="5">
        <f ca="1">IFERROR(__xludf.DUMMYFUNCTION("""COMPUTED_VALUE"""),60000)</f>
        <v>60000</v>
      </c>
      <c r="K138" s="3"/>
      <c r="L138" s="3" t="str">
        <f ca="1">IFERROR(__xludf.DUMMYFUNCTION("""COMPUTED_VALUE"""),"Cost per instance")</f>
        <v>Cost per instance</v>
      </c>
      <c r="M138" s="3"/>
      <c r="N138" s="3"/>
      <c r="O138" s="3"/>
      <c r="P138" s="3"/>
      <c r="Q138" s="3"/>
      <c r="R138" s="3"/>
      <c r="S138" s="3" t="str">
        <f ca="1">IFERROR(__xludf.DUMMYFUNCTION("""COMPUTED_VALUE"""),"100")</f>
        <v>100</v>
      </c>
      <c r="T138" s="3"/>
      <c r="U138" s="3" t="str">
        <f ca="1">IFERROR(__xludf.DUMMYFUNCTION("""COMPUTED_VALUE"""),"microsite")</f>
        <v>microsite</v>
      </c>
      <c r="V138" s="3"/>
      <c r="W138" s="3"/>
      <c r="X138" s="3"/>
      <c r="Y138" s="3"/>
      <c r="Z138" s="3" t="str">
        <f ca="1">IFERROR(__xludf.DUMMYFUNCTION("""COMPUTED_VALUE"""),"podklady@cncenter.cz")</f>
        <v>podklady@cncenter.cz</v>
      </c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 t="str">
        <f ca="1">IFERROR(__xludf.DUMMYFUNCTION("""COMPUTED_VALUE"""),"cross-device")</f>
        <v>cross-device</v>
      </c>
      <c r="AO138" s="3"/>
      <c r="AP138" s="3"/>
      <c r="AQ138" s="3"/>
      <c r="AR138" s="3"/>
      <c r="AS138" s="3"/>
      <c r="AT138" s="3"/>
      <c r="AU138" s="3" t="str">
        <f ca="1">IFERROR(__xludf.DUMMYFUNCTION("""COMPUTED_VALUE"""),"dokoupení proma o 2 týdny - 10 000 PV ***")</f>
        <v>dokoupení proma o 2 týdny - 10 000 PV ***</v>
      </c>
    </row>
    <row r="139" spans="1:47" x14ac:dyDescent="0.3">
      <c r="A139" s="3">
        <f ca="1"/>
        <v>2346826</v>
      </c>
      <c r="B139" s="3" t="str">
        <f ca="1"/>
        <v>CZECH NEWS CENTER a. s.</v>
      </c>
      <c r="C139" s="3" t="str">
        <f ca="1">IFERROR(__xludf.DUMMYFUNCTION("""COMPUTED_VALUE"""),"Autorevue")</f>
        <v>Autorevue</v>
      </c>
      <c r="D139" s="4" t="str">
        <f ca="1">IFERROR(__xludf.DUMMYFUNCTION("""COMPUTED_VALUE"""),"https://autorevue.cz")</f>
        <v>https://autorevue.cz</v>
      </c>
      <c r="E139" s="3" t="str">
        <f ca="1">IFERROR(__xludf.DUMMYFUNCTION("""COMPUTED_VALUE"""),"celý web")</f>
        <v>celý web</v>
      </c>
      <c r="F139" s="4" t="str">
        <f ca="1">IFERROR(__xludf.DUMMYFUNCTION("""COMPUTED_VALUE"""),"https://autorevue.cz")</f>
        <v>https://autorevue.cz</v>
      </c>
      <c r="G139" s="3" t="str">
        <f ca="1">IFERROR(__xludf.DUMMYFUNCTION("""COMPUTED_VALUE"""),"double skyscraper mid season")</f>
        <v>double skyscraper mid season</v>
      </c>
      <c r="H139" s="3">
        <f ca="1">IFERROR(__xludf.DUMMYFUNCTION("""COMPUTED_VALUE"""),7)</f>
        <v>7</v>
      </c>
      <c r="I139" s="5">
        <f ca="1">IFERROR(__xludf.DUMMYFUNCTION("""COMPUTED_VALUE"""),1000)</f>
        <v>1000</v>
      </c>
      <c r="J139" s="5">
        <f ca="1">IFERROR(__xludf.DUMMYFUNCTION("""COMPUTED_VALUE"""),270)</f>
        <v>270</v>
      </c>
      <c r="K139" s="3"/>
      <c r="L139" s="3" t="str">
        <f ca="1">IFERROR(__xludf.DUMMYFUNCTION("""COMPUTED_VALUE"""),"Cost per period")</f>
        <v>Cost per period</v>
      </c>
      <c r="M139" s="3"/>
      <c r="N139" s="3"/>
      <c r="O139" s="3" t="str">
        <f ca="1">IFERROR(__xludf.DUMMYFUNCTION("""COMPUTED_VALUE"""),"300")</f>
        <v>300</v>
      </c>
      <c r="P139" s="3" t="str">
        <f ca="1">IFERROR(__xludf.DUMMYFUNCTION("""COMPUTED_VALUE"""),"600")</f>
        <v>600</v>
      </c>
      <c r="Q139" s="3" t="str">
        <f ca="1">IFERROR(__xludf.DUMMYFUNCTION("""COMPUTED_VALUE"""),"300x600")</f>
        <v>300x600</v>
      </c>
      <c r="R139" s="3"/>
      <c r="S139" s="3" t="str">
        <f ca="1">IFERROR(__xludf.DUMMYFUNCTION("""COMPUTED_VALUE"""),"100 (200 - HTML5)")</f>
        <v>100 (200 - HTML5)</v>
      </c>
      <c r="T139" s="3"/>
      <c r="U139" s="3" t="str">
        <f ca="1">IFERROR(__xludf.DUMMYFUNCTION("""COMPUTED_VALUE"""),"banner standard")</f>
        <v>banner standard</v>
      </c>
      <c r="V139" s="3"/>
      <c r="W139" s="4" t="str">
        <f ca="1">IFERROR(__xludf.DUMMYFUNCTION("""COMPUTED_VALUE"""),"https://reklama.cncenter.cz/Online/double-skyscraper")</f>
        <v>https://reklama.cncenter.cz/Online/double-skyscraper</v>
      </c>
      <c r="X139" s="3"/>
      <c r="Y139" s="3"/>
      <c r="Z139" s="3" t="str">
        <f ca="1">IFERROR(__xludf.DUMMYFUNCTION("""COMPUTED_VALUE"""),"podklady@cncenter.cz")</f>
        <v>podklady@cncenter.cz</v>
      </c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 t="str">
        <f ca="1">IFERROR(__xludf.DUMMYFUNCTION("""COMPUTED_VALUE"""),"desktop")</f>
        <v>desktop</v>
      </c>
      <c r="AO139" s="3"/>
      <c r="AP139" s="3"/>
      <c r="AQ139" s="3"/>
      <c r="AR139" s="3"/>
      <c r="AS139" s="3"/>
      <c r="AT139" s="3"/>
      <c r="AU139" s="3" t="str">
        <f ca="1">IFERROR(__xludf.DUMMYFUNCTION("""COMPUTED_VALUE"""),"double skyscraper")</f>
        <v>double skyscraper</v>
      </c>
    </row>
    <row r="140" spans="1:47" x14ac:dyDescent="0.3">
      <c r="A140" s="3">
        <f ca="1"/>
        <v>2346826</v>
      </c>
      <c r="B140" s="3" t="str">
        <f ca="1"/>
        <v>CZECH NEWS CENTER a. s.</v>
      </c>
      <c r="C140" s="3" t="str">
        <f ca="1">IFERROR(__xludf.DUMMYFUNCTION("""COMPUTED_VALUE"""),"Autorevue")</f>
        <v>Autorevue</v>
      </c>
      <c r="D140" s="4" t="str">
        <f ca="1">IFERROR(__xludf.DUMMYFUNCTION("""COMPUTED_VALUE"""),"https://autorevue.cz")</f>
        <v>https://autorevue.cz</v>
      </c>
      <c r="E140" s="3" t="str">
        <f ca="1">IFERROR(__xludf.DUMMYFUNCTION("""COMPUTED_VALUE"""),"celý web")</f>
        <v>celý web</v>
      </c>
      <c r="F140" s="4" t="str">
        <f ca="1">IFERROR(__xludf.DUMMYFUNCTION("""COMPUTED_VALUE"""),"https://autorevue.cz")</f>
        <v>https://autorevue.cz</v>
      </c>
      <c r="G140" s="3" t="str">
        <f ca="1">IFERROR(__xludf.DUMMYFUNCTION("""COMPUTED_VALUE"""),"mobilní interscroller mid season")</f>
        <v>mobilní interscroller mid season</v>
      </c>
      <c r="H140" s="3">
        <f ca="1">IFERROR(__xludf.DUMMYFUNCTION("""COMPUTED_VALUE"""),7)</f>
        <v>7</v>
      </c>
      <c r="I140" s="5">
        <f ca="1">IFERROR(__xludf.DUMMYFUNCTION("""COMPUTED_VALUE"""),1000)</f>
        <v>1000</v>
      </c>
      <c r="J140" s="5">
        <f ca="1">IFERROR(__xludf.DUMMYFUNCTION("""COMPUTED_VALUE"""),350)</f>
        <v>350</v>
      </c>
      <c r="K140" s="3"/>
      <c r="L140" s="3" t="str">
        <f ca="1">IFERROR(__xludf.DUMMYFUNCTION("""COMPUTED_VALUE"""),"Cost per period")</f>
        <v>Cost per period</v>
      </c>
      <c r="M140" s="3"/>
      <c r="N140" s="3"/>
      <c r="O140" s="3" t="str">
        <f ca="1">IFERROR(__xludf.DUMMYFUNCTION("""COMPUTED_VALUE"""),"600")</f>
        <v>600</v>
      </c>
      <c r="P140" s="3" t="str">
        <f ca="1">IFERROR(__xludf.DUMMYFUNCTION("""COMPUTED_VALUE"""),"1080")</f>
        <v>1080</v>
      </c>
      <c r="Q140" s="3" t="str">
        <f ca="1">IFERROR(__xludf.DUMMYFUNCTION("""COMPUTED_VALUE"""),"600x1080")</f>
        <v>600x1080</v>
      </c>
      <c r="R140" s="3"/>
      <c r="S140" s="3" t="str">
        <f ca="1">IFERROR(__xludf.DUMMYFUNCTION("""COMPUTED_VALUE"""),"200")</f>
        <v>200</v>
      </c>
      <c r="T140" s="3"/>
      <c r="U140" s="3" t="str">
        <f ca="1">IFERROR(__xludf.DUMMYFUNCTION("""COMPUTED_VALUE"""),"banner standard")</f>
        <v>banner standard</v>
      </c>
      <c r="V140" s="3"/>
      <c r="W140" s="4" t="str">
        <f ca="1">IFERROR(__xludf.DUMMYFUNCTION("""COMPUTED_VALUE"""),"https://reklama.cncenter.cz/Online/mobilni-interscroller")</f>
        <v>https://reklama.cncenter.cz/Online/mobilni-interscroller</v>
      </c>
      <c r="X140" s="3"/>
      <c r="Y140" s="3"/>
      <c r="Z140" s="3" t="str">
        <f ca="1">IFERROR(__xludf.DUMMYFUNCTION("""COMPUTED_VALUE"""),"podklady@cncenter.cz")</f>
        <v>podklady@cncenter.cz</v>
      </c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 t="str">
        <f ca="1">IFERROR(__xludf.DUMMYFUNCTION("""COMPUTED_VALUE"""),"mobile")</f>
        <v>mobile</v>
      </c>
      <c r="AO140" s="3"/>
      <c r="AP140" s="3"/>
      <c r="AQ140" s="3"/>
      <c r="AR140" s="3"/>
      <c r="AS140" s="3"/>
      <c r="AT140" s="3"/>
      <c r="AU140" s="3" t="str">
        <f ca="1">IFERROR(__xludf.DUMMYFUNCTION("""COMPUTED_VALUE"""),"mobilní interscroller")</f>
        <v>mobilní interscroller</v>
      </c>
    </row>
    <row r="141" spans="1:47" x14ac:dyDescent="0.3">
      <c r="A141" s="3">
        <f ca="1"/>
        <v>2346826</v>
      </c>
      <c r="B141" s="3" t="str">
        <f ca="1"/>
        <v>CZECH NEWS CENTER a. s.</v>
      </c>
      <c r="C141" s="3" t="str">
        <f ca="1">IFERROR(__xludf.DUMMYFUNCTION("""COMPUTED_VALUE"""),"Autorevue")</f>
        <v>Autorevue</v>
      </c>
      <c r="D141" s="4" t="str">
        <f ca="1">IFERROR(__xludf.DUMMYFUNCTION("""COMPUTED_VALUE"""),"https://autorevue.cz")</f>
        <v>https://autorevue.cz</v>
      </c>
      <c r="E141" s="3" t="str">
        <f ca="1">IFERROR(__xludf.DUMMYFUNCTION("""COMPUTED_VALUE"""),"celý web")</f>
        <v>celý web</v>
      </c>
      <c r="F141" s="4" t="str">
        <f ca="1">IFERROR(__xludf.DUMMYFUNCTION("""COMPUTED_VALUE"""),"https://autorevue.cz")</f>
        <v>https://autorevue.cz</v>
      </c>
      <c r="G141" s="3" t="str">
        <f ca="1">IFERROR(__xludf.DUMMYFUNCTION("""COMPUTED_VALUE"""),"mobilní slide-up mid season")</f>
        <v>mobilní slide-up mid season</v>
      </c>
      <c r="H141" s="3">
        <f ca="1">IFERROR(__xludf.DUMMYFUNCTION("""COMPUTED_VALUE"""),7)</f>
        <v>7</v>
      </c>
      <c r="I141" s="5">
        <f ca="1">IFERROR(__xludf.DUMMYFUNCTION("""COMPUTED_VALUE"""),1000)</f>
        <v>1000</v>
      </c>
      <c r="J141" s="5">
        <f ca="1">IFERROR(__xludf.DUMMYFUNCTION("""COMPUTED_VALUE"""),720)</f>
        <v>720</v>
      </c>
      <c r="K141" s="3"/>
      <c r="L141" s="3" t="str">
        <f ca="1">IFERROR(__xludf.DUMMYFUNCTION("""COMPUTED_VALUE"""),"Cost per period")</f>
        <v>Cost per period</v>
      </c>
      <c r="M141" s="3"/>
      <c r="N141" s="3"/>
      <c r="O141" s="3" t="str">
        <f ca="1">IFERROR(__xludf.DUMMYFUNCTION("""COMPUTED_VALUE"""),"300")</f>
        <v>300</v>
      </c>
      <c r="P141" s="3" t="str">
        <f ca="1">IFERROR(__xludf.DUMMYFUNCTION("""COMPUTED_VALUE"""),"120")</f>
        <v>120</v>
      </c>
      <c r="Q141" s="3" t="str">
        <f ca="1">IFERROR(__xludf.DUMMYFUNCTION("""COMPUTED_VALUE"""),"300x120")</f>
        <v>300x120</v>
      </c>
      <c r="R141" s="3"/>
      <c r="S141" s="3" t="str">
        <f ca="1">IFERROR(__xludf.DUMMYFUNCTION("""COMPUTED_VALUE"""),"100")</f>
        <v>100</v>
      </c>
      <c r="T141" s="3"/>
      <c r="U141" s="3" t="str">
        <f ca="1">IFERROR(__xludf.DUMMYFUNCTION("""COMPUTED_VALUE"""),"banner standard")</f>
        <v>banner standard</v>
      </c>
      <c r="V141" s="3"/>
      <c r="W141" s="4" t="str">
        <f ca="1">IFERROR(__xludf.DUMMYFUNCTION("""COMPUTED_VALUE"""),"https://reklama.cncenter.cz/Online/mobilni-slide-up")</f>
        <v>https://reklama.cncenter.cz/Online/mobilni-slide-up</v>
      </c>
      <c r="X141" s="3"/>
      <c r="Y141" s="3"/>
      <c r="Z141" s="3" t="str">
        <f ca="1">IFERROR(__xludf.DUMMYFUNCTION("""COMPUTED_VALUE"""),"podklady@cncenter.cz")</f>
        <v>podklady@cncenter.cz</v>
      </c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 t="str">
        <f ca="1">IFERROR(__xludf.DUMMYFUNCTION("""COMPUTED_VALUE"""),"mobile")</f>
        <v>mobile</v>
      </c>
      <c r="AO141" s="3"/>
      <c r="AP141" s="3"/>
      <c r="AQ141" s="3"/>
      <c r="AR141" s="3"/>
      <c r="AS141" s="3"/>
      <c r="AT141" s="3"/>
      <c r="AU141" s="3" t="str">
        <f ca="1">IFERROR(__xludf.DUMMYFUNCTION("""COMPUTED_VALUE"""),"mobilní slide-up")</f>
        <v>mobilní slide-up</v>
      </c>
    </row>
    <row r="142" spans="1:47" x14ac:dyDescent="0.3">
      <c r="A142" s="3">
        <f ca="1"/>
        <v>2346826</v>
      </c>
      <c r="B142" s="3" t="str">
        <f ca="1"/>
        <v>CZECH NEWS CENTER a. s.</v>
      </c>
      <c r="C142" s="3" t="str">
        <f ca="1">IFERROR(__xludf.DUMMYFUNCTION("""COMPUTED_VALUE"""),"Autorevue")</f>
        <v>Autorevue</v>
      </c>
      <c r="D142" s="4" t="str">
        <f ca="1">IFERROR(__xludf.DUMMYFUNCTION("""COMPUTED_VALUE"""),"https://autorevue.cz")</f>
        <v>https://autorevue.cz</v>
      </c>
      <c r="E142" s="3" t="str">
        <f ca="1">IFERROR(__xludf.DUMMYFUNCTION("""COMPUTED_VALUE"""),"celý web")</f>
        <v>celý web</v>
      </c>
      <c r="F142" s="4" t="str">
        <f ca="1">IFERROR(__xludf.DUMMYFUNCTION("""COMPUTED_VALUE"""),"https://autorevue.cz")</f>
        <v>https://autorevue.cz</v>
      </c>
      <c r="G142" s="3" t="str">
        <f ca="1">IFERROR(__xludf.DUMMYFUNCTION("""COMPUTED_VALUE"""),"mobilní viněta mid season")</f>
        <v>mobilní viněta mid season</v>
      </c>
      <c r="H142" s="3">
        <f ca="1">IFERROR(__xludf.DUMMYFUNCTION("""COMPUTED_VALUE"""),7)</f>
        <v>7</v>
      </c>
      <c r="I142" s="5">
        <f ca="1">IFERROR(__xludf.DUMMYFUNCTION("""COMPUTED_VALUE"""),1000)</f>
        <v>1000</v>
      </c>
      <c r="J142" s="5">
        <f ca="1">IFERROR(__xludf.DUMMYFUNCTION("""COMPUTED_VALUE"""),1240)</f>
        <v>1240</v>
      </c>
      <c r="K142" s="3"/>
      <c r="L142" s="3" t="str">
        <f ca="1">IFERROR(__xludf.DUMMYFUNCTION("""COMPUTED_VALUE"""),"Cost per period")</f>
        <v>Cost per period</v>
      </c>
      <c r="M142" s="3"/>
      <c r="N142" s="3"/>
      <c r="O142" s="3" t="str">
        <f ca="1">IFERROR(__xludf.DUMMYFUNCTION("""COMPUTED_VALUE"""),"600")</f>
        <v>600</v>
      </c>
      <c r="P142" s="3" t="str">
        <f ca="1">IFERROR(__xludf.DUMMYFUNCTION("""COMPUTED_VALUE"""),"800")</f>
        <v>800</v>
      </c>
      <c r="Q142" s="3" t="str">
        <f ca="1">IFERROR(__xludf.DUMMYFUNCTION("""COMPUTED_VALUE"""),"300x250 nebo 600x800")</f>
        <v>300x250 nebo 600x800</v>
      </c>
      <c r="R142" s="3"/>
      <c r="S142" s="3" t="str">
        <f ca="1">IFERROR(__xludf.DUMMYFUNCTION("""COMPUTED_VALUE"""),"100")</f>
        <v>100</v>
      </c>
      <c r="T142" s="3"/>
      <c r="U142" s="3" t="str">
        <f ca="1">IFERROR(__xludf.DUMMYFUNCTION("""COMPUTED_VALUE"""),"banner standard")</f>
        <v>banner standard</v>
      </c>
      <c r="V142" s="3"/>
      <c r="W142" s="4" t="str">
        <f ca="1">IFERROR(__xludf.DUMMYFUNCTION("""COMPUTED_VALUE"""),"https://reklama.cncenter.cz/Online/mobilni-vineta")</f>
        <v>https://reklama.cncenter.cz/Online/mobilni-vineta</v>
      </c>
      <c r="X142" s="3"/>
      <c r="Y142" s="3"/>
      <c r="Z142" s="3" t="str">
        <f ca="1">IFERROR(__xludf.DUMMYFUNCTION("""COMPUTED_VALUE"""),"podklady@cncenter.cz")</f>
        <v>podklady@cncenter.cz</v>
      </c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 t="str">
        <f ca="1">IFERROR(__xludf.DUMMYFUNCTION("""COMPUTED_VALUE"""),"mobile")</f>
        <v>mobile</v>
      </c>
      <c r="AO142" s="3"/>
      <c r="AP142" s="3"/>
      <c r="AQ142" s="3"/>
      <c r="AR142" s="3"/>
      <c r="AS142" s="3"/>
      <c r="AT142" s="3"/>
      <c r="AU142" s="3" t="str">
        <f ca="1">IFERROR(__xludf.DUMMYFUNCTION("""COMPUTED_VALUE"""),"mobilní viněta")</f>
        <v>mobilní viněta</v>
      </c>
    </row>
    <row r="143" spans="1:47" x14ac:dyDescent="0.3">
      <c r="A143" s="3">
        <f ca="1"/>
        <v>2346826</v>
      </c>
      <c r="B143" s="3" t="str">
        <f ca="1"/>
        <v>CZECH NEWS CENTER a. s.</v>
      </c>
      <c r="C143" s="3" t="str">
        <f ca="1">IFERROR(__xludf.DUMMYFUNCTION("""COMPUTED_VALUE"""),"AutoRevue")</f>
        <v>AutoRevue</v>
      </c>
      <c r="D143" s="4" t="str">
        <f ca="1">IFERROR(__xludf.DUMMYFUNCTION("""COMPUTED_VALUE"""),"https://autorevue.cz")</f>
        <v>https://autorevue.cz</v>
      </c>
      <c r="E143" s="3" t="str">
        <f ca="1">IFERROR(__xludf.DUMMYFUNCTION("""COMPUTED_VALUE"""),"celý web")</f>
        <v>celý web</v>
      </c>
      <c r="F143" s="4" t="str">
        <f ca="1">IFERROR(__xludf.DUMMYFUNCTION("""COMPUTED_VALUE"""),"https://autorevue.cz")</f>
        <v>https://autorevue.cz</v>
      </c>
      <c r="G143" s="3" t="str">
        <f ca="1">IFERROR(__xludf.DUMMYFUNCTION("""COMPUTED_VALUE"""),"Native Standard mid season")</f>
        <v>Native Standard mid season</v>
      </c>
      <c r="H143" s="3">
        <f ca="1">IFERROR(__xludf.DUMMYFUNCTION("""COMPUTED_VALUE"""),1)</f>
        <v>1</v>
      </c>
      <c r="I143" s="5">
        <f ca="1">IFERROR(__xludf.DUMMYFUNCTION("""COMPUTED_VALUE"""),1)</f>
        <v>1</v>
      </c>
      <c r="J143" s="5">
        <f ca="1">IFERROR(__xludf.DUMMYFUNCTION("""COMPUTED_VALUE"""),330000)</f>
        <v>330000</v>
      </c>
      <c r="K143" s="3"/>
      <c r="L143" s="3" t="str">
        <f ca="1">IFERROR(__xludf.DUMMYFUNCTION("""COMPUTED_VALUE"""),"Cost per instance")</f>
        <v>Cost per instance</v>
      </c>
      <c r="M143" s="3"/>
      <c r="N143" s="3"/>
      <c r="O143" s="3"/>
      <c r="P143" s="3"/>
      <c r="Q143" s="3"/>
      <c r="R143" s="3"/>
      <c r="S143" s="3" t="str">
        <f ca="1">IFERROR(__xludf.DUMMYFUNCTION("""COMPUTED_VALUE"""),"100")</f>
        <v>100</v>
      </c>
      <c r="T143" s="3"/>
      <c r="U143" s="3" t="str">
        <f ca="1">IFERROR(__xludf.DUMMYFUNCTION("""COMPUTED_VALUE"""),"microsite")</f>
        <v>microsite</v>
      </c>
      <c r="V143" s="3"/>
      <c r="W143" s="3"/>
      <c r="X143" s="3"/>
      <c r="Y143" s="3"/>
      <c r="Z143" s="3" t="str">
        <f ca="1">IFERROR(__xludf.DUMMYFUNCTION("""COMPUTED_VALUE"""),"podklady@cncenter.cz")</f>
        <v>podklady@cncenter.cz</v>
      </c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 t="str">
        <f ca="1">IFERROR(__xludf.DUMMYFUNCTION("""COMPUTED_VALUE"""),"cross-device")</f>
        <v>cross-device</v>
      </c>
      <c r="AO143" s="3"/>
      <c r="AP143" s="3"/>
      <c r="AQ143" s="3"/>
      <c r="AR143" s="3"/>
      <c r="AS143" s="3"/>
      <c r="AT143" s="3"/>
      <c r="AU143" s="3" t="str">
        <f ca="1">IFERROR(__xludf.DUMMYFUNCTION("""COMPUTED_VALUE"""),"Native Standard")</f>
        <v>Native Standard</v>
      </c>
    </row>
    <row r="144" spans="1:47" x14ac:dyDescent="0.3">
      <c r="A144" s="3">
        <f ca="1"/>
        <v>2346826</v>
      </c>
      <c r="B144" s="3" t="str">
        <f ca="1"/>
        <v>CZECH NEWS CENTER a. s.</v>
      </c>
      <c r="C144" s="3" t="str">
        <f ca="1">IFERROR(__xludf.DUMMYFUNCTION("""COMPUTED_VALUE"""),"Autorevue")</f>
        <v>Autorevue</v>
      </c>
      <c r="D144" s="4" t="str">
        <f ca="1">IFERROR(__xludf.DUMMYFUNCTION("""COMPUTED_VALUE"""),"https://autorevue.cz")</f>
        <v>https://autorevue.cz</v>
      </c>
      <c r="E144" s="3" t="str">
        <f ca="1">IFERROR(__xludf.DUMMYFUNCTION("""COMPUTED_VALUE"""),"celý web")</f>
        <v>celý web</v>
      </c>
      <c r="F144" s="4" t="str">
        <f ca="1">IFERROR(__xludf.DUMMYFUNCTION("""COMPUTED_VALUE"""),"https://autorevue.cz")</f>
        <v>https://autorevue.cz</v>
      </c>
      <c r="G144" s="3" t="str">
        <f ca="1">IFERROR(__xludf.DUMMYFUNCTION("""COMPUTED_VALUE"""),"nativní pr premium mid season")</f>
        <v>nativní pr premium mid season</v>
      </c>
      <c r="H144" s="3">
        <f ca="1">IFERROR(__xludf.DUMMYFUNCTION("""COMPUTED_VALUE"""),7)</f>
        <v>7</v>
      </c>
      <c r="I144" s="5">
        <f ca="1">IFERROR(__xludf.DUMMYFUNCTION("""COMPUTED_VALUE"""),1000)</f>
        <v>1000</v>
      </c>
      <c r="J144" s="5">
        <f ca="1">IFERROR(__xludf.DUMMYFUNCTION("""COMPUTED_VALUE"""),140)</f>
        <v>140</v>
      </c>
      <c r="K144" s="3"/>
      <c r="L144" s="3" t="str">
        <f ca="1">IFERROR(__xludf.DUMMYFUNCTION("""COMPUTED_VALUE"""),"Cost per period")</f>
        <v>Cost per period</v>
      </c>
      <c r="M144" s="3"/>
      <c r="N144" s="3"/>
      <c r="O144" s="3" t="str">
        <f ca="1">IFERROR(__xludf.DUMMYFUNCTION("""COMPUTED_VALUE"""),"640")</f>
        <v>640</v>
      </c>
      <c r="P144" s="3" t="str">
        <f ca="1">IFERROR(__xludf.DUMMYFUNCTION("""COMPUTED_VALUE"""),"335, 640")</f>
        <v>335, 640</v>
      </c>
      <c r="Q144" s="3" t="str">
        <f ca="1">IFERROR(__xludf.DUMMYFUNCTION("""COMPUTED_VALUE"""),"640x640 a 640x335 + text + logo")</f>
        <v>640x640 a 640x335 + text + logo</v>
      </c>
      <c r="R144" s="3" t="str">
        <f ca="1">IFERROR(__xludf.DUMMYFUNCTION("""COMPUTED_VALUE"""),"detailní specifikace na URL odkaze")</f>
        <v>detailní specifikace na URL odkaze</v>
      </c>
      <c r="S144" s="3" t="str">
        <f ca="1">IFERROR(__xludf.DUMMYFUNCTION("""COMPUTED_VALUE"""),"100")</f>
        <v>100</v>
      </c>
      <c r="T144" s="3"/>
      <c r="U144" s="3" t="str">
        <f ca="1">IFERROR(__xludf.DUMMYFUNCTION("""COMPUTED_VALUE"""),"nativní reklama")</f>
        <v>nativní reklama</v>
      </c>
      <c r="V144" s="3"/>
      <c r="W144" s="4" t="str">
        <f ca="1">IFERROR(__xludf.DUMMYFUNCTION("""COMPUTED_VALUE"""),"https://reklama.cncenter.cz/Online/nativni-PR-premium")</f>
        <v>https://reklama.cncenter.cz/Online/nativni-PR-premium</v>
      </c>
      <c r="X144" s="3"/>
      <c r="Y144" s="3"/>
      <c r="Z144" s="3" t="str">
        <f ca="1">IFERROR(__xludf.DUMMYFUNCTION("""COMPUTED_VALUE"""),"podklady@cncenter.cz")</f>
        <v>podklady@cncenter.cz</v>
      </c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 t="str">
        <f ca="1">IFERROR(__xludf.DUMMYFUNCTION("""COMPUTED_VALUE"""),"cross-device")</f>
        <v>cross-device</v>
      </c>
      <c r="AO144" s="3"/>
      <c r="AP144" s="3"/>
      <c r="AQ144" s="3"/>
      <c r="AR144" s="3"/>
      <c r="AS144" s="3"/>
      <c r="AT144" s="3"/>
      <c r="AU144" s="3" t="str">
        <f ca="1">IFERROR(__xludf.DUMMYFUNCTION("""COMPUTED_VALUE"""),"nativní pr premium")</f>
        <v>nativní pr premium</v>
      </c>
    </row>
    <row r="145" spans="1:47" x14ac:dyDescent="0.3">
      <c r="A145" s="3">
        <f ca="1"/>
        <v>2346826</v>
      </c>
      <c r="B145" s="3" t="str">
        <f ca="1"/>
        <v>CZECH NEWS CENTER a. s.</v>
      </c>
      <c r="C145" s="3" t="str">
        <f ca="1">IFERROR(__xludf.DUMMYFUNCTION("""COMPUTED_VALUE"""),"Autorevue")</f>
        <v>Autorevue</v>
      </c>
      <c r="D145" s="4" t="str">
        <f ca="1">IFERROR(__xludf.DUMMYFUNCTION("""COMPUTED_VALUE"""),"https://autorevue.cz")</f>
        <v>https://autorevue.cz</v>
      </c>
      <c r="E145" s="3" t="str">
        <f ca="1">IFERROR(__xludf.DUMMYFUNCTION("""COMPUTED_VALUE"""),"celý web")</f>
        <v>celý web</v>
      </c>
      <c r="F145" s="4" t="str">
        <f ca="1">IFERROR(__xludf.DUMMYFUNCTION("""COMPUTED_VALUE"""),"https://autorevue.cz")</f>
        <v>https://autorevue.cz</v>
      </c>
      <c r="G145" s="3" t="str">
        <f ca="1">IFERROR(__xludf.DUMMYFUNCTION("""COMPUTED_VALUE"""),"nativní rectangle cross-device mid season")</f>
        <v>nativní rectangle cross-device mid season</v>
      </c>
      <c r="H145" s="3">
        <f ca="1">IFERROR(__xludf.DUMMYFUNCTION("""COMPUTED_VALUE"""),7)</f>
        <v>7</v>
      </c>
      <c r="I145" s="5">
        <f ca="1">IFERROR(__xludf.DUMMYFUNCTION("""COMPUTED_VALUE"""),1000)</f>
        <v>1000</v>
      </c>
      <c r="J145" s="5">
        <f ca="1">IFERROR(__xludf.DUMMYFUNCTION("""COMPUTED_VALUE"""),280)</f>
        <v>280</v>
      </c>
      <c r="K145" s="3"/>
      <c r="L145" s="3" t="str">
        <f ca="1">IFERROR(__xludf.DUMMYFUNCTION("""COMPUTED_VALUE"""),"Cost per period")</f>
        <v>Cost per period</v>
      </c>
      <c r="M145" s="3"/>
      <c r="N145" s="3"/>
      <c r="O145" s="3" t="str">
        <f ca="1">IFERROR(__xludf.DUMMYFUNCTION("""COMPUTED_VALUE"""),"640")</f>
        <v>640</v>
      </c>
      <c r="P145" s="3" t="str">
        <f ca="1">IFERROR(__xludf.DUMMYFUNCTION("""COMPUTED_VALUE"""),"335, 640")</f>
        <v>335, 640</v>
      </c>
      <c r="Q145" s="3" t="str">
        <f ca="1">IFERROR(__xludf.DUMMYFUNCTION("""COMPUTED_VALUE"""),"640x640 a 640x335 + text + logo")</f>
        <v>640x640 a 640x335 + text + logo</v>
      </c>
      <c r="R145" s="3"/>
      <c r="S145" s="3" t="str">
        <f ca="1">IFERROR(__xludf.DUMMYFUNCTION("""COMPUTED_VALUE"""),"45")</f>
        <v>45</v>
      </c>
      <c r="T145" s="3"/>
      <c r="U145" s="3" t="str">
        <f ca="1">IFERROR(__xludf.DUMMYFUNCTION("""COMPUTED_VALUE"""),"nativní reklama")</f>
        <v>nativní reklama</v>
      </c>
      <c r="V145" s="3"/>
      <c r="W145" s="4" t="str">
        <f ca="1">IFERROR(__xludf.DUMMYFUNCTION("""COMPUTED_VALUE"""),"https://reklama.cncenter.cz/Online/nativni-rectangle-cross-device")</f>
        <v>https://reklama.cncenter.cz/Online/nativni-rectangle-cross-device</v>
      </c>
      <c r="X145" s="3"/>
      <c r="Y145" s="3"/>
      <c r="Z145" s="3" t="str">
        <f ca="1">IFERROR(__xludf.DUMMYFUNCTION("""COMPUTED_VALUE"""),"podklady@cncenter.cz")</f>
        <v>podklady@cncenter.cz</v>
      </c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 t="str">
        <f ca="1">IFERROR(__xludf.DUMMYFUNCTION("""COMPUTED_VALUE"""),"cross-device")</f>
        <v>cross-device</v>
      </c>
      <c r="AO145" s="3"/>
      <c r="AP145" s="3"/>
      <c r="AQ145" s="3"/>
      <c r="AR145" s="3"/>
      <c r="AS145" s="3"/>
      <c r="AT145" s="3"/>
      <c r="AU145" s="3" t="str">
        <f ca="1">IFERROR(__xludf.DUMMYFUNCTION("""COMPUTED_VALUE"""),"nativní rectangle cross-device")</f>
        <v>nativní rectangle cross-device</v>
      </c>
    </row>
    <row r="146" spans="1:47" x14ac:dyDescent="0.3">
      <c r="A146" s="3">
        <f ca="1"/>
        <v>2346826</v>
      </c>
      <c r="B146" s="3" t="str">
        <f ca="1"/>
        <v>CZECH NEWS CENTER a. s.</v>
      </c>
      <c r="C146" s="3" t="str">
        <f ca="1">IFERROR(__xludf.DUMMYFUNCTION("""COMPUTED_VALUE"""),"Autorevue")</f>
        <v>Autorevue</v>
      </c>
      <c r="D146" s="4" t="str">
        <f ca="1">IFERROR(__xludf.DUMMYFUNCTION("""COMPUTED_VALUE"""),"https://autorevue.cz")</f>
        <v>https://autorevue.cz</v>
      </c>
      <c r="E146" s="3" t="str">
        <f ca="1">IFERROR(__xludf.DUMMYFUNCTION("""COMPUTED_VALUE"""),"celý web")</f>
        <v>celý web</v>
      </c>
      <c r="F146" s="4" t="str">
        <f ca="1">IFERROR(__xludf.DUMMYFUNCTION("""COMPUTED_VALUE"""),"https://autorevue.cz")</f>
        <v>https://autorevue.cz</v>
      </c>
      <c r="G146" s="3" t="str">
        <f ca="1">IFERROR(__xludf.DUMMYFUNCTION("""COMPUTED_VALUE"""),"outstream mid season")</f>
        <v>outstream mid season</v>
      </c>
      <c r="H146" s="3">
        <f ca="1">IFERROR(__xludf.DUMMYFUNCTION("""COMPUTED_VALUE"""),7)</f>
        <v>7</v>
      </c>
      <c r="I146" s="5">
        <f ca="1">IFERROR(__xludf.DUMMYFUNCTION("""COMPUTED_VALUE"""),1000)</f>
        <v>1000</v>
      </c>
      <c r="J146" s="5">
        <f ca="1">IFERROR(__xludf.DUMMYFUNCTION("""COMPUTED_VALUE"""),350)</f>
        <v>350</v>
      </c>
      <c r="K146" s="3"/>
      <c r="L146" s="3" t="str">
        <f ca="1">IFERROR(__xludf.DUMMYFUNCTION("""COMPUTED_VALUE"""),"Cost per period")</f>
        <v>Cost per period</v>
      </c>
      <c r="M146" s="3"/>
      <c r="N146" s="3"/>
      <c r="O146" s="3" t="str">
        <f ca="1">IFERROR(__xludf.DUMMYFUNCTION("""COMPUTED_VALUE"""),"1280")</f>
        <v>1280</v>
      </c>
      <c r="P146" s="3" t="str">
        <f ca="1">IFERROR(__xludf.DUMMYFUNCTION("""COMPUTED_VALUE"""),"720")</f>
        <v>720</v>
      </c>
      <c r="Q146" s="3" t="str">
        <f ca="1">IFERROR(__xludf.DUMMYFUNCTION("""COMPUTED_VALUE"""),"16:9")</f>
        <v>16:9</v>
      </c>
      <c r="R146" s="3"/>
      <c r="S146" s="3" t="str">
        <f ca="1">IFERROR(__xludf.DUMMYFUNCTION("""COMPUTED_VALUE"""),"100")</f>
        <v>100</v>
      </c>
      <c r="T146" s="3"/>
      <c r="U146" s="3" t="str">
        <f ca="1">IFERROR(__xludf.DUMMYFUNCTION("""COMPUTED_VALUE"""),"videospot")</f>
        <v>videospot</v>
      </c>
      <c r="V146" s="3"/>
      <c r="W146" s="4" t="str">
        <f ca="1">IFERROR(__xludf.DUMMYFUNCTION("""COMPUTED_VALUE"""),"https://reklama.cncenter.cz/Online/Outstream")</f>
        <v>https://reklama.cncenter.cz/Online/Outstream</v>
      </c>
      <c r="X146" s="3"/>
      <c r="Y146" s="3"/>
      <c r="Z146" s="3" t="str">
        <f ca="1">IFERROR(__xludf.DUMMYFUNCTION("""COMPUTED_VALUE"""),"podklady@cncenter.cz")</f>
        <v>podklady@cncenter.cz</v>
      </c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 t="str">
        <f ca="1">IFERROR(__xludf.DUMMYFUNCTION("""COMPUTED_VALUE"""),"cross-device")</f>
        <v>cross-device</v>
      </c>
      <c r="AO146" s="3"/>
      <c r="AP146" s="3"/>
      <c r="AQ146" s="3"/>
      <c r="AR146" s="3"/>
      <c r="AS146" s="3"/>
      <c r="AT146" s="3"/>
      <c r="AU146" s="3" t="str">
        <f ca="1">IFERROR(__xludf.DUMMYFUNCTION("""COMPUTED_VALUE"""),"outstream")</f>
        <v>outstream</v>
      </c>
    </row>
    <row r="147" spans="1:47" x14ac:dyDescent="0.3">
      <c r="A147" s="3">
        <f ca="1"/>
        <v>2346826</v>
      </c>
      <c r="B147" s="3" t="str">
        <f ca="1"/>
        <v>CZECH NEWS CENTER a. s.</v>
      </c>
      <c r="C147" s="3" t="str">
        <f ca="1">IFERROR(__xludf.DUMMYFUNCTION("""COMPUTED_VALUE"""),"AutoRevue")</f>
        <v>AutoRevue</v>
      </c>
      <c r="D147" s="4" t="str">
        <f ca="1">IFERROR(__xludf.DUMMYFUNCTION("""COMPUTED_VALUE"""),"https://autorevue.cz")</f>
        <v>https://autorevue.cz</v>
      </c>
      <c r="E147" s="3" t="str">
        <f ca="1">IFERROR(__xludf.DUMMYFUNCTION("""COMPUTED_VALUE"""),"celý web")</f>
        <v>celý web</v>
      </c>
      <c r="F147" s="4" t="str">
        <f ca="1">IFERROR(__xludf.DUMMYFUNCTION("""COMPUTED_VALUE"""),"https://autorevue.cz")</f>
        <v>https://autorevue.cz</v>
      </c>
      <c r="G147" s="3" t="str">
        <f ca="1">IFERROR(__xludf.DUMMYFUNCTION("""COMPUTED_VALUE"""),"PR článek mid season")</f>
        <v>PR článek mid season</v>
      </c>
      <c r="H147" s="3">
        <f ca="1">IFERROR(__xludf.DUMMYFUNCTION("""COMPUTED_VALUE"""),1)</f>
        <v>1</v>
      </c>
      <c r="I147" s="5">
        <f ca="1">IFERROR(__xludf.DUMMYFUNCTION("""COMPUTED_VALUE"""),1)</f>
        <v>1</v>
      </c>
      <c r="J147" s="5">
        <f ca="1">IFERROR(__xludf.DUMMYFUNCTION("""COMPUTED_VALUE"""),20000)</f>
        <v>20000</v>
      </c>
      <c r="K147" s="3"/>
      <c r="L147" s="3" t="str">
        <f ca="1">IFERROR(__xludf.DUMMYFUNCTION("""COMPUTED_VALUE"""),"Cost per instance")</f>
        <v>Cost per instance</v>
      </c>
      <c r="M147" s="3"/>
      <c r="N147" s="3"/>
      <c r="O147" s="3"/>
      <c r="P147" s="3"/>
      <c r="Q147" s="3"/>
      <c r="R147" s="3"/>
      <c r="S147" s="3" t="str">
        <f ca="1">IFERROR(__xludf.DUMMYFUNCTION("""COMPUTED_VALUE"""),"100")</f>
        <v>100</v>
      </c>
      <c r="T147" s="3"/>
      <c r="U147" s="3" t="str">
        <f ca="1">IFERROR(__xludf.DUMMYFUNCTION("""COMPUTED_VALUE"""),"pr článek")</f>
        <v>pr článek</v>
      </c>
      <c r="V147" s="3"/>
      <c r="W147" s="4" t="str">
        <f ca="1">IFERROR(__xludf.DUMMYFUNCTION("""COMPUTED_VALUE"""),"https://reklama.cncenter.cz/?ads=PR%2520%25C4%258Dl%25C3%25A1nky")</f>
        <v>https://reklama.cncenter.cz/?ads=PR%2520%25C4%258Dl%25C3%25A1nky</v>
      </c>
      <c r="X147" s="3"/>
      <c r="Y147" s="3"/>
      <c r="Z147" s="3" t="str">
        <f ca="1">IFERROR(__xludf.DUMMYFUNCTION("""COMPUTED_VALUE"""),"podklady@cncenter.cz")</f>
        <v>podklady@cncenter.cz</v>
      </c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 t="str">
        <f ca="1">IFERROR(__xludf.DUMMYFUNCTION("""COMPUTED_VALUE"""),"cross-device")</f>
        <v>cross-device</v>
      </c>
      <c r="AO147" s="3"/>
      <c r="AP147" s="3"/>
      <c r="AQ147" s="3"/>
      <c r="AR147" s="3"/>
      <c r="AS147" s="3"/>
      <c r="AT147" s="3"/>
      <c r="AU147" s="3" t="str">
        <f ca="1">IFERROR(__xludf.DUMMYFUNCTION("""COMPUTED_VALUE"""),"PR článek")</f>
        <v>PR článek</v>
      </c>
    </row>
    <row r="148" spans="1:47" x14ac:dyDescent="0.3">
      <c r="A148" s="3">
        <f ca="1"/>
        <v>2346826</v>
      </c>
      <c r="B148" s="3" t="str">
        <f ca="1"/>
        <v>CZECH NEWS CENTER a. s.</v>
      </c>
      <c r="C148" s="3" t="str">
        <f ca="1">IFERROR(__xludf.DUMMYFUNCTION("""COMPUTED_VALUE"""),"AutoRevue")</f>
        <v>AutoRevue</v>
      </c>
      <c r="D148" s="4" t="str">
        <f ca="1">IFERROR(__xludf.DUMMYFUNCTION("""COMPUTED_VALUE"""),"https://autorevue.cz")</f>
        <v>https://autorevue.cz</v>
      </c>
      <c r="E148" s="3" t="str">
        <f ca="1">IFERROR(__xludf.DUMMYFUNCTION("""COMPUTED_VALUE"""),"celý web")</f>
        <v>celý web</v>
      </c>
      <c r="F148" s="4" t="str">
        <f ca="1">IFERROR(__xludf.DUMMYFUNCTION("""COMPUTED_VALUE"""),"https://autorevue.cz")</f>
        <v>https://autorevue.cz</v>
      </c>
      <c r="G148" s="3" t="str">
        <f ca="1">IFERROR(__xludf.DUMMYFUNCTION("""COMPUTED_VALUE"""),"Prodloužení existující microsite, bez úprav mid season")</f>
        <v>Prodloužení existující microsite, bez úprav mid season</v>
      </c>
      <c r="H148" s="3">
        <f ca="1">IFERROR(__xludf.DUMMYFUNCTION("""COMPUTED_VALUE"""),1)</f>
        <v>1</v>
      </c>
      <c r="I148" s="5">
        <f ca="1">IFERROR(__xludf.DUMMYFUNCTION("""COMPUTED_VALUE"""),1)</f>
        <v>1</v>
      </c>
      <c r="J148" s="5">
        <f ca="1">IFERROR(__xludf.DUMMYFUNCTION("""COMPUTED_VALUE"""),15000)</f>
        <v>15000</v>
      </c>
      <c r="K148" s="3"/>
      <c r="L148" s="3" t="str">
        <f ca="1">IFERROR(__xludf.DUMMYFUNCTION("""COMPUTED_VALUE"""),"Cost per instance")</f>
        <v>Cost per instance</v>
      </c>
      <c r="M148" s="3"/>
      <c r="N148" s="3"/>
      <c r="O148" s="3"/>
      <c r="P148" s="3"/>
      <c r="Q148" s="3"/>
      <c r="R148" s="3"/>
      <c r="S148" s="3" t="str">
        <f ca="1">IFERROR(__xludf.DUMMYFUNCTION("""COMPUTED_VALUE"""),"100")</f>
        <v>100</v>
      </c>
      <c r="T148" s="3"/>
      <c r="U148" s="3" t="str">
        <f ca="1">IFERROR(__xludf.DUMMYFUNCTION("""COMPUTED_VALUE"""),"microsite")</f>
        <v>microsite</v>
      </c>
      <c r="V148" s="3"/>
      <c r="W148" s="3"/>
      <c r="X148" s="3"/>
      <c r="Y148" s="3"/>
      <c r="Z148" s="3" t="str">
        <f ca="1">IFERROR(__xludf.DUMMYFUNCTION("""COMPUTED_VALUE"""),"podklady@cncenter.cz")</f>
        <v>podklady@cncenter.cz</v>
      </c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 t="str">
        <f ca="1">IFERROR(__xludf.DUMMYFUNCTION("""COMPUTED_VALUE"""),"cross-device")</f>
        <v>cross-device</v>
      </c>
      <c r="AO148" s="3"/>
      <c r="AP148" s="3"/>
      <c r="AQ148" s="3"/>
      <c r="AR148" s="3"/>
      <c r="AS148" s="3"/>
      <c r="AT148" s="3"/>
      <c r="AU148" s="3" t="str">
        <f ca="1">IFERROR(__xludf.DUMMYFUNCTION("""COMPUTED_VALUE"""),"Prodloužení existující microsite, bez úprav")</f>
        <v>Prodloužení existující microsite, bez úprav</v>
      </c>
    </row>
    <row r="149" spans="1:47" x14ac:dyDescent="0.3">
      <c r="A149" s="3">
        <f ca="1"/>
        <v>2346826</v>
      </c>
      <c r="B149" s="3" t="str">
        <f ca="1"/>
        <v>CZECH NEWS CENTER a. s.</v>
      </c>
      <c r="C149" s="3" t="str">
        <f ca="1">IFERROR(__xludf.DUMMYFUNCTION("""COMPUTED_VALUE"""),"AutoRevue")</f>
        <v>AutoRevue</v>
      </c>
      <c r="D149" s="4" t="str">
        <f ca="1">IFERROR(__xludf.DUMMYFUNCTION("""COMPUTED_VALUE"""),"https://autorevue.cz")</f>
        <v>https://autorevue.cz</v>
      </c>
      <c r="E149" s="3" t="str">
        <f ca="1">IFERROR(__xludf.DUMMYFUNCTION("""COMPUTED_VALUE"""),"celý web")</f>
        <v>celý web</v>
      </c>
      <c r="F149" s="4" t="str">
        <f ca="1">IFERROR(__xludf.DUMMYFUNCTION("""COMPUTED_VALUE"""),"https://autorevue.cz")</f>
        <v>https://autorevue.cz</v>
      </c>
      <c r="G149" s="3" t="str">
        <f ca="1">IFERROR(__xludf.DUMMYFUNCTION("""COMPUTED_VALUE"""),"Prodloužení existující microsite, bez úprav mid season")</f>
        <v>Prodloužení existující microsite, bez úprav mid season</v>
      </c>
      <c r="H149" s="3">
        <f ca="1">IFERROR(__xludf.DUMMYFUNCTION("""COMPUTED_VALUE"""),1)</f>
        <v>1</v>
      </c>
      <c r="I149" s="5">
        <f ca="1">IFERROR(__xludf.DUMMYFUNCTION("""COMPUTED_VALUE"""),1)</f>
        <v>1</v>
      </c>
      <c r="J149" s="5">
        <f ca="1">IFERROR(__xludf.DUMMYFUNCTION("""COMPUTED_VALUE"""),15000)</f>
        <v>15000</v>
      </c>
      <c r="K149" s="3"/>
      <c r="L149" s="3" t="str">
        <f ca="1">IFERROR(__xludf.DUMMYFUNCTION("""COMPUTED_VALUE"""),"Cost per instance")</f>
        <v>Cost per instance</v>
      </c>
      <c r="M149" s="3"/>
      <c r="N149" s="3"/>
      <c r="O149" s="3"/>
      <c r="P149" s="3"/>
      <c r="Q149" s="3"/>
      <c r="R149" s="3"/>
      <c r="S149" s="3" t="str">
        <f ca="1">IFERROR(__xludf.DUMMYFUNCTION("""COMPUTED_VALUE"""),"100")</f>
        <v>100</v>
      </c>
      <c r="T149" s="3"/>
      <c r="U149" s="3" t="str">
        <f ca="1">IFERROR(__xludf.DUMMYFUNCTION("""COMPUTED_VALUE"""),"microsite")</f>
        <v>microsite</v>
      </c>
      <c r="V149" s="3"/>
      <c r="W149" s="3"/>
      <c r="X149" s="3"/>
      <c r="Y149" s="3"/>
      <c r="Z149" s="3" t="str">
        <f ca="1">IFERROR(__xludf.DUMMYFUNCTION("""COMPUTED_VALUE"""),"podklady@cncenter.cz")</f>
        <v>podklady@cncenter.cz</v>
      </c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 t="str">
        <f ca="1">IFERROR(__xludf.DUMMYFUNCTION("""COMPUTED_VALUE"""),"cross-device")</f>
        <v>cross-device</v>
      </c>
      <c r="AO149" s="3"/>
      <c r="AP149" s="3"/>
      <c r="AQ149" s="3"/>
      <c r="AR149" s="3"/>
      <c r="AS149" s="3"/>
      <c r="AT149" s="3"/>
      <c r="AU149" s="3" t="str">
        <f ca="1">IFERROR(__xludf.DUMMYFUNCTION("""COMPUTED_VALUE"""),"Prodloužení existující microsite, bez úprav")</f>
        <v>Prodloužení existující microsite, bez úprav</v>
      </c>
    </row>
    <row r="150" spans="1:47" x14ac:dyDescent="0.3">
      <c r="A150" s="3">
        <f ca="1"/>
        <v>2346826</v>
      </c>
      <c r="B150" s="3" t="str">
        <f ca="1"/>
        <v>CZECH NEWS CENTER a. s.</v>
      </c>
      <c r="C150" s="3" t="str">
        <f ca="1">IFERROR(__xludf.DUMMYFUNCTION("""COMPUTED_VALUE"""),"AutoRevue")</f>
        <v>AutoRevue</v>
      </c>
      <c r="D150" s="4" t="str">
        <f ca="1">IFERROR(__xludf.DUMMYFUNCTION("""COMPUTED_VALUE"""),"https://autorevue.cz")</f>
        <v>https://autorevue.cz</v>
      </c>
      <c r="E150" s="3" t="str">
        <f ca="1">IFERROR(__xludf.DUMMYFUNCTION("""COMPUTED_VALUE"""),"celý web")</f>
        <v>celý web</v>
      </c>
      <c r="F150" s="4" t="str">
        <f ca="1">IFERROR(__xludf.DUMMYFUNCTION("""COMPUTED_VALUE"""),"https://autorevue.cz")</f>
        <v>https://autorevue.cz</v>
      </c>
      <c r="G150" s="3" t="str">
        <f ca="1">IFERROR(__xludf.DUMMYFUNCTION("""COMPUTED_VALUE"""),"Prodloužení existující microsite, bez úprav mid season")</f>
        <v>Prodloužení existující microsite, bez úprav mid season</v>
      </c>
      <c r="H150" s="3">
        <f ca="1">IFERROR(__xludf.DUMMYFUNCTION("""COMPUTED_VALUE"""),1)</f>
        <v>1</v>
      </c>
      <c r="I150" s="5">
        <f ca="1">IFERROR(__xludf.DUMMYFUNCTION("""COMPUTED_VALUE"""),1)</f>
        <v>1</v>
      </c>
      <c r="J150" s="5">
        <f ca="1">IFERROR(__xludf.DUMMYFUNCTION("""COMPUTED_VALUE"""),15000)</f>
        <v>15000</v>
      </c>
      <c r="K150" s="3"/>
      <c r="L150" s="3" t="str">
        <f ca="1">IFERROR(__xludf.DUMMYFUNCTION("""COMPUTED_VALUE"""),"Cost per instance")</f>
        <v>Cost per instance</v>
      </c>
      <c r="M150" s="3"/>
      <c r="N150" s="3"/>
      <c r="O150" s="3"/>
      <c r="P150" s="3"/>
      <c r="Q150" s="3"/>
      <c r="R150" s="3"/>
      <c r="S150" s="3" t="str">
        <f ca="1">IFERROR(__xludf.DUMMYFUNCTION("""COMPUTED_VALUE"""),"100")</f>
        <v>100</v>
      </c>
      <c r="T150" s="3"/>
      <c r="U150" s="3" t="str">
        <f ca="1">IFERROR(__xludf.DUMMYFUNCTION("""COMPUTED_VALUE"""),"microsite")</f>
        <v>microsite</v>
      </c>
      <c r="V150" s="3"/>
      <c r="W150" s="3"/>
      <c r="X150" s="3"/>
      <c r="Y150" s="3"/>
      <c r="Z150" s="3" t="str">
        <f ca="1">IFERROR(__xludf.DUMMYFUNCTION("""COMPUTED_VALUE"""),"podklady@cncenter.cz")</f>
        <v>podklady@cncenter.cz</v>
      </c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 t="str">
        <f ca="1">IFERROR(__xludf.DUMMYFUNCTION("""COMPUTED_VALUE"""),"cross-device")</f>
        <v>cross-device</v>
      </c>
      <c r="AO150" s="3"/>
      <c r="AP150" s="3"/>
      <c r="AQ150" s="3"/>
      <c r="AR150" s="3"/>
      <c r="AS150" s="3"/>
      <c r="AT150" s="3"/>
      <c r="AU150" s="3" t="str">
        <f ca="1">IFERROR(__xludf.DUMMYFUNCTION("""COMPUTED_VALUE"""),"Prodloužení existující microsite, bez úprav")</f>
        <v>Prodloužení existující microsite, bez úprav</v>
      </c>
    </row>
    <row r="151" spans="1:47" x14ac:dyDescent="0.3">
      <c r="A151" s="3">
        <f ca="1"/>
        <v>2346826</v>
      </c>
      <c r="B151" s="3" t="str">
        <f ca="1"/>
        <v>CZECH NEWS CENTER a. s.</v>
      </c>
      <c r="C151" s="3" t="str">
        <f ca="1">IFERROR(__xludf.DUMMYFUNCTION("""COMPUTED_VALUE"""),"Autorevue")</f>
        <v>Autorevue</v>
      </c>
      <c r="D151" s="4" t="str">
        <f ca="1">IFERROR(__xludf.DUMMYFUNCTION("""COMPUTED_VALUE"""),"https://autorevue.cz")</f>
        <v>https://autorevue.cz</v>
      </c>
      <c r="E151" s="3" t="str">
        <f ca="1">IFERROR(__xludf.DUMMYFUNCTION("""COMPUTED_VALUE"""),"celý web")</f>
        <v>celý web</v>
      </c>
      <c r="F151" s="4" t="str">
        <f ca="1">IFERROR(__xludf.DUMMYFUNCTION("""COMPUTED_VALUE"""),"https://autorevue.cz")</f>
        <v>https://autorevue.cz</v>
      </c>
      <c r="G151" s="3" t="str">
        <f ca="1">IFERROR(__xludf.DUMMYFUNCTION("""COMPUTED_VALUE"""),"videospot - max. 30 sec. / bumper mid season")</f>
        <v>videospot - max. 30 sec. / bumper mid season</v>
      </c>
      <c r="H151" s="3">
        <f ca="1">IFERROR(__xludf.DUMMYFUNCTION("""COMPUTED_VALUE"""),7)</f>
        <v>7</v>
      </c>
      <c r="I151" s="5">
        <f ca="1">IFERROR(__xludf.DUMMYFUNCTION("""COMPUTED_VALUE"""),1000)</f>
        <v>1000</v>
      </c>
      <c r="J151" s="5">
        <f ca="1">IFERROR(__xludf.DUMMYFUNCTION("""COMPUTED_VALUE"""),1040)</f>
        <v>1040</v>
      </c>
      <c r="K151" s="3"/>
      <c r="L151" s="3" t="str">
        <f ca="1">IFERROR(__xludf.DUMMYFUNCTION("""COMPUTED_VALUE"""),"Cost per period")</f>
        <v>Cost per period</v>
      </c>
      <c r="M151" s="3"/>
      <c r="N151" s="3"/>
      <c r="O151" s="3" t="str">
        <f ca="1">IFERROR(__xludf.DUMMYFUNCTION("""COMPUTED_VALUE"""),"1280")</f>
        <v>1280</v>
      </c>
      <c r="P151" s="3" t="str">
        <f ca="1">IFERROR(__xludf.DUMMYFUNCTION("""COMPUTED_VALUE"""),"720")</f>
        <v>720</v>
      </c>
      <c r="Q151" s="3" t="str">
        <f ca="1">IFERROR(__xludf.DUMMYFUNCTION("""COMPUTED_VALUE"""),"16:9 / umístění po domluvě dle možností")</f>
        <v>16:9 / umístění po domluvě dle možností</v>
      </c>
      <c r="R151" s="3" t="str">
        <f ca="1">IFERROR(__xludf.DUMMYFUNCTION("""COMPUTED_VALUE"""),"přeskočení po 7 sekundách")</f>
        <v>přeskočení po 7 sekundách</v>
      </c>
      <c r="S151" s="3" t="str">
        <f ca="1">IFERROR(__xludf.DUMMYFUNCTION("""COMPUTED_VALUE"""),"100")</f>
        <v>100</v>
      </c>
      <c r="T151" s="3"/>
      <c r="U151" s="3" t="str">
        <f ca="1">IFERROR(__xludf.DUMMYFUNCTION("""COMPUTED_VALUE"""),"videospot")</f>
        <v>videospot</v>
      </c>
      <c r="V151" s="3"/>
      <c r="W151" s="4" t="str">
        <f ca="1">IFERROR(__xludf.DUMMYFUNCTION("""COMPUTED_VALUE"""),"https://reklama.cncenter.cz/Online/Bumper")</f>
        <v>https://reklama.cncenter.cz/Online/Bumper</v>
      </c>
      <c r="X151" s="3"/>
      <c r="Y151" s="3"/>
      <c r="Z151" s="3" t="str">
        <f ca="1">IFERROR(__xludf.DUMMYFUNCTION("""COMPUTED_VALUE"""),"podklady@cncenter.cz")</f>
        <v>podklady@cncenter.cz</v>
      </c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 t="str">
        <f ca="1">IFERROR(__xludf.DUMMYFUNCTION("""COMPUTED_VALUE"""),"cross-device")</f>
        <v>cross-device</v>
      </c>
      <c r="AO151" s="3"/>
      <c r="AP151" s="3"/>
      <c r="AQ151" s="3"/>
      <c r="AR151" s="3"/>
      <c r="AS151" s="3"/>
      <c r="AT151" s="3"/>
      <c r="AU151" s="3" t="str">
        <f ca="1">IFERROR(__xludf.DUMMYFUNCTION("""COMPUTED_VALUE"""),"videospot - max. 30 sec. / bumper")</f>
        <v>videospot - max. 30 sec. / bumper</v>
      </c>
    </row>
    <row r="152" spans="1:47" x14ac:dyDescent="0.3">
      <c r="A152" s="3">
        <f ca="1"/>
        <v>2346826</v>
      </c>
      <c r="B152" s="3" t="str">
        <f ca="1"/>
        <v>CZECH NEWS CENTER a. s.</v>
      </c>
      <c r="C152" s="3" t="str">
        <f ca="1">IFERROR(__xludf.DUMMYFUNCTION("""COMPUTED_VALUE"""),"Avmania")</f>
        <v>Avmania</v>
      </c>
      <c r="D152" s="4" t="str">
        <f ca="1">IFERROR(__xludf.DUMMYFUNCTION("""COMPUTED_VALUE"""),"https://avmania.zive.cz")</f>
        <v>https://avmania.zive.cz</v>
      </c>
      <c r="E152" s="3" t="str">
        <f ca="1">IFERROR(__xludf.DUMMYFUNCTION("""COMPUTED_VALUE"""),"celý web")</f>
        <v>celý web</v>
      </c>
      <c r="F152" s="4" t="str">
        <f ca="1">IFERROR(__xludf.DUMMYFUNCTION("""COMPUTED_VALUE"""),"https://avmania.zive.cz")</f>
        <v>https://avmania.zive.cz</v>
      </c>
      <c r="G152" s="3" t="str">
        <f ca="1">IFERROR(__xludf.DUMMYFUNCTION("""COMPUTED_VALUE"""),"Advertorial mid season")</f>
        <v>Advertorial mid season</v>
      </c>
      <c r="H152" s="3">
        <f ca="1">IFERROR(__xludf.DUMMYFUNCTION("""COMPUTED_VALUE"""),1)</f>
        <v>1</v>
      </c>
      <c r="I152" s="5">
        <f ca="1">IFERROR(__xludf.DUMMYFUNCTION("""COMPUTED_VALUE"""),1)</f>
        <v>1</v>
      </c>
      <c r="J152" s="5">
        <f ca="1">IFERROR(__xludf.DUMMYFUNCTION("""COMPUTED_VALUE"""),90000)</f>
        <v>90000</v>
      </c>
      <c r="K152" s="3"/>
      <c r="L152" s="3" t="str">
        <f ca="1">IFERROR(__xludf.DUMMYFUNCTION("""COMPUTED_VALUE"""),"Cost per instance")</f>
        <v>Cost per instance</v>
      </c>
      <c r="M152" s="3"/>
      <c r="N152" s="3"/>
      <c r="O152" s="3"/>
      <c r="P152" s="3"/>
      <c r="Q152" s="3"/>
      <c r="R152" s="3"/>
      <c r="S152" s="3" t="str">
        <f ca="1">IFERROR(__xludf.DUMMYFUNCTION("""COMPUTED_VALUE"""),"100")</f>
        <v>100</v>
      </c>
      <c r="T152" s="3"/>
      <c r="U152" s="3" t="str">
        <f ca="1">IFERROR(__xludf.DUMMYFUNCTION("""COMPUTED_VALUE"""),"pr článek")</f>
        <v>pr článek</v>
      </c>
      <c r="V152" s="3"/>
      <c r="W152" s="3"/>
      <c r="X152" s="3"/>
      <c r="Y152" s="3"/>
      <c r="Z152" s="3" t="str">
        <f ca="1">IFERROR(__xludf.DUMMYFUNCTION("""COMPUTED_VALUE"""),"podklady@cncenter.cz")</f>
        <v>podklady@cncenter.cz</v>
      </c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 t="str">
        <f ca="1">IFERROR(__xludf.DUMMYFUNCTION("""COMPUTED_VALUE"""),"cross-device")</f>
        <v>cross-device</v>
      </c>
      <c r="AO152" s="3"/>
      <c r="AP152" s="3"/>
      <c r="AQ152" s="3"/>
      <c r="AR152" s="3"/>
      <c r="AS152" s="3"/>
      <c r="AT152" s="3"/>
      <c r="AU152" s="3" t="str">
        <f ca="1">IFERROR(__xludf.DUMMYFUNCTION("""COMPUTED_VALUE"""),"Advertorial")</f>
        <v>Advertorial</v>
      </c>
    </row>
    <row r="153" spans="1:47" x14ac:dyDescent="0.3">
      <c r="A153" s="3">
        <f ca="1"/>
        <v>2346826</v>
      </c>
      <c r="B153" s="3" t="str">
        <f ca="1"/>
        <v>CZECH NEWS CENTER a. s.</v>
      </c>
      <c r="C153" s="3" t="str">
        <f ca="1">IFERROR(__xludf.DUMMYFUNCTION("""COMPUTED_VALUE"""),"Avmania")</f>
        <v>Avmania</v>
      </c>
      <c r="D153" s="4" t="str">
        <f ca="1">IFERROR(__xludf.DUMMYFUNCTION("""COMPUTED_VALUE"""),"https://avmania.zive.cz")</f>
        <v>https://avmania.zive.cz</v>
      </c>
      <c r="E153" s="3" t="str">
        <f ca="1">IFERROR(__xludf.DUMMYFUNCTION("""COMPUTED_VALUE"""),"celý web")</f>
        <v>celý web</v>
      </c>
      <c r="F153" s="4" t="str">
        <f ca="1">IFERROR(__xludf.DUMMYFUNCTION("""COMPUTED_VALUE"""),"https://avmania.zive.cz")</f>
        <v>https://avmania.zive.cz</v>
      </c>
      <c r="G153" s="3" t="str">
        <f ca="1">IFERROR(__xludf.DUMMYFUNCTION("""COMPUTED_VALUE"""),"billboard bottom mid season")</f>
        <v>billboard bottom mid season</v>
      </c>
      <c r="H153" s="3">
        <f ca="1">IFERROR(__xludf.DUMMYFUNCTION("""COMPUTED_VALUE"""),7)</f>
        <v>7</v>
      </c>
      <c r="I153" s="5">
        <f ca="1">IFERROR(__xludf.DUMMYFUNCTION("""COMPUTED_VALUE"""),1000)</f>
        <v>1000</v>
      </c>
      <c r="J153" s="5">
        <f ca="1">IFERROR(__xludf.DUMMYFUNCTION("""COMPUTED_VALUE"""),340)</f>
        <v>340</v>
      </c>
      <c r="K153" s="3"/>
      <c r="L153" s="3" t="str">
        <f ca="1">IFERROR(__xludf.DUMMYFUNCTION("""COMPUTED_VALUE"""),"Cost per period")</f>
        <v>Cost per period</v>
      </c>
      <c r="M153" s="3"/>
      <c r="N153" s="3"/>
      <c r="O153" s="3" t="str">
        <f ca="1">IFERROR(__xludf.DUMMYFUNCTION("""COMPUTED_VALUE"""),"970")</f>
        <v>970</v>
      </c>
      <c r="P153" s="3" t="str">
        <f ca="1">IFERROR(__xludf.DUMMYFUNCTION("""COMPUTED_VALUE"""),"250")</f>
        <v>250</v>
      </c>
      <c r="Q153" s="3" t="str">
        <f ca="1">IFERROR(__xludf.DUMMYFUNCTION("""COMPUTED_VALUE"""),"970x250")</f>
        <v>970x250</v>
      </c>
      <c r="R153" s="3"/>
      <c r="S153" s="3" t="str">
        <f ca="1">IFERROR(__xludf.DUMMYFUNCTION("""COMPUTED_VALUE"""),"100 (200 - HTML5)")</f>
        <v>100 (200 - HTML5)</v>
      </c>
      <c r="T153" s="3"/>
      <c r="U153" s="3" t="str">
        <f ca="1">IFERROR(__xludf.DUMMYFUNCTION("""COMPUTED_VALUE"""),"banner standard")</f>
        <v>banner standard</v>
      </c>
      <c r="V153" s="3"/>
      <c r="W153" s="4" t="str">
        <f ca="1">IFERROR(__xludf.DUMMYFUNCTION("""COMPUTED_VALUE"""),"https://reklama.cncenter.cz/Online/billboard-bottom")</f>
        <v>https://reklama.cncenter.cz/Online/billboard-bottom</v>
      </c>
      <c r="X153" s="3"/>
      <c r="Y153" s="3"/>
      <c r="Z153" s="3" t="str">
        <f ca="1">IFERROR(__xludf.DUMMYFUNCTION("""COMPUTED_VALUE"""),"podklady@cncenter.cz")</f>
        <v>podklady@cncenter.cz</v>
      </c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 t="str">
        <f ca="1">IFERROR(__xludf.DUMMYFUNCTION("""COMPUTED_VALUE"""),"desktop")</f>
        <v>desktop</v>
      </c>
      <c r="AO153" s="3"/>
      <c r="AP153" s="3"/>
      <c r="AQ153" s="3"/>
      <c r="AR153" s="3"/>
      <c r="AS153" s="3"/>
      <c r="AT153" s="3"/>
      <c r="AU153" s="3" t="str">
        <f ca="1">IFERROR(__xludf.DUMMYFUNCTION("""COMPUTED_VALUE"""),"billboard bottom")</f>
        <v>billboard bottom</v>
      </c>
    </row>
    <row r="154" spans="1:47" x14ac:dyDescent="0.3">
      <c r="A154" s="3">
        <f ca="1"/>
        <v>2346826</v>
      </c>
      <c r="B154" s="3" t="str">
        <f ca="1"/>
        <v>CZECH NEWS CENTER a. s.</v>
      </c>
      <c r="C154" s="3" t="str">
        <f ca="1">IFERROR(__xludf.DUMMYFUNCTION("""COMPUTED_VALUE"""),"Avmania")</f>
        <v>Avmania</v>
      </c>
      <c r="D154" s="4" t="str">
        <f ca="1">IFERROR(__xludf.DUMMYFUNCTION("""COMPUTED_VALUE"""),"https://avmania.zive.cz")</f>
        <v>https://avmania.zive.cz</v>
      </c>
      <c r="E154" s="3" t="str">
        <f ca="1">IFERROR(__xludf.DUMMYFUNCTION("""COMPUTED_VALUE"""),"celý web")</f>
        <v>celý web</v>
      </c>
      <c r="F154" s="4" t="str">
        <f ca="1">IFERROR(__xludf.DUMMYFUNCTION("""COMPUTED_VALUE"""),"https://avmania.zive.cz")</f>
        <v>https://avmania.zive.cz</v>
      </c>
      <c r="G154" s="3" t="str">
        <f ca="1">IFERROR(__xludf.DUMMYFUNCTION("""COMPUTED_VALUE"""),"branding cross-device mid season")</f>
        <v>branding cross-device mid season</v>
      </c>
      <c r="H154" s="3">
        <f ca="1">IFERROR(__xludf.DUMMYFUNCTION("""COMPUTED_VALUE"""),7)</f>
        <v>7</v>
      </c>
      <c r="I154" s="5">
        <f ca="1">IFERROR(__xludf.DUMMYFUNCTION("""COMPUTED_VALUE"""),1000)</f>
        <v>1000</v>
      </c>
      <c r="J154" s="5">
        <f ca="1">IFERROR(__xludf.DUMMYFUNCTION("""COMPUTED_VALUE"""),420)</f>
        <v>420</v>
      </c>
      <c r="K154" s="3"/>
      <c r="L154" s="3" t="str">
        <f ca="1">IFERROR(__xludf.DUMMYFUNCTION("""COMPUTED_VALUE"""),"Cost per period")</f>
        <v>Cost per period</v>
      </c>
      <c r="M154" s="3"/>
      <c r="N154" s="3"/>
      <c r="O154" s="3" t="str">
        <f ca="1">IFERROR(__xludf.DUMMYFUNCTION("""COMPUTED_VALUE"""),"2000")</f>
        <v>2000</v>
      </c>
      <c r="P154" s="3" t="str">
        <f ca="1">IFERROR(__xludf.DUMMYFUNCTION("""COMPUTED_VALUE"""),"1400")</f>
        <v>1400</v>
      </c>
      <c r="Q154" s="3" t="str">
        <f ca="1">IFERROR(__xludf.DUMMYFUNCTION("""COMPUTED_VALUE"""),"2000x1400 + 600x1080")</f>
        <v>2000x1400 + 600x1080</v>
      </c>
      <c r="R154" s="3"/>
      <c r="S154" s="3" t="str">
        <f ca="1">IFERROR(__xludf.DUMMYFUNCTION("""COMPUTED_VALUE"""),"500 (600 - HTLM5)")</f>
        <v>500 (600 - HTLM5)</v>
      </c>
      <c r="T154" s="3"/>
      <c r="U154" s="3" t="str">
        <f ca="1">IFERROR(__xludf.DUMMYFUNCTION("""COMPUTED_VALUE"""),"banner standard")</f>
        <v>banner standard</v>
      </c>
      <c r="V154" s="3"/>
      <c r="W154" s="4" t="str">
        <f ca="1">IFERROR(__xludf.DUMMYFUNCTION("""COMPUTED_VALUE"""),"https://reklama.cncenter.cz/Online/branding-cross-device")</f>
        <v>https://reklama.cncenter.cz/Online/branding-cross-device</v>
      </c>
      <c r="X154" s="3"/>
      <c r="Y154" s="3"/>
      <c r="Z154" s="3" t="str">
        <f ca="1">IFERROR(__xludf.DUMMYFUNCTION("""COMPUTED_VALUE"""),"podklady@cncenter.cz")</f>
        <v>podklady@cncenter.cz</v>
      </c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 t="str">
        <f ca="1">IFERROR(__xludf.DUMMYFUNCTION("""COMPUTED_VALUE"""),"cross-device")</f>
        <v>cross-device</v>
      </c>
      <c r="AO154" s="3"/>
      <c r="AP154" s="3"/>
      <c r="AQ154" s="3"/>
      <c r="AR154" s="3"/>
      <c r="AS154" s="3"/>
      <c r="AT154" s="3"/>
      <c r="AU154" s="3" t="str">
        <f ca="1">IFERROR(__xludf.DUMMYFUNCTION("""COMPUTED_VALUE"""),"branding cross-device")</f>
        <v>branding cross-device</v>
      </c>
    </row>
    <row r="155" spans="1:47" x14ac:dyDescent="0.3">
      <c r="A155" s="3">
        <f ca="1"/>
        <v>2346826</v>
      </c>
      <c r="B155" s="3" t="str">
        <f ca="1"/>
        <v>CZECH NEWS CENTER a. s.</v>
      </c>
      <c r="C155" s="3" t="str">
        <f ca="1">IFERROR(__xludf.DUMMYFUNCTION("""COMPUTED_VALUE"""),"Avmania")</f>
        <v>Avmania</v>
      </c>
      <c r="D155" s="4" t="str">
        <f ca="1">IFERROR(__xludf.DUMMYFUNCTION("""COMPUTED_VALUE"""),"https://avmania.zive.cz")</f>
        <v>https://avmania.zive.cz</v>
      </c>
      <c r="E155" s="3" t="str">
        <f ca="1">IFERROR(__xludf.DUMMYFUNCTION("""COMPUTED_VALUE"""),"celý web")</f>
        <v>celý web</v>
      </c>
      <c r="F155" s="4" t="str">
        <f ca="1">IFERROR(__xludf.DUMMYFUNCTION("""COMPUTED_VALUE"""),"https://avmania.zive.cz")</f>
        <v>https://avmania.zive.cz</v>
      </c>
      <c r="G155" s="3" t="str">
        <f ca="1">IFERROR(__xludf.DUMMYFUNCTION("""COMPUTED_VALUE"""),"branding mid season")</f>
        <v>branding mid season</v>
      </c>
      <c r="H155" s="3">
        <f ca="1">IFERROR(__xludf.DUMMYFUNCTION("""COMPUTED_VALUE"""),7)</f>
        <v>7</v>
      </c>
      <c r="I155" s="5">
        <f ca="1">IFERROR(__xludf.DUMMYFUNCTION("""COMPUTED_VALUE"""),1000)</f>
        <v>1000</v>
      </c>
      <c r="J155" s="5">
        <f ca="1">IFERROR(__xludf.DUMMYFUNCTION("""COMPUTED_VALUE"""),690)</f>
        <v>690</v>
      </c>
      <c r="K155" s="3"/>
      <c r="L155" s="3" t="str">
        <f ca="1">IFERROR(__xludf.DUMMYFUNCTION("""COMPUTED_VALUE"""),"Cost per period")</f>
        <v>Cost per period</v>
      </c>
      <c r="M155" s="3"/>
      <c r="N155" s="3"/>
      <c r="O155" s="3" t="str">
        <f ca="1">IFERROR(__xludf.DUMMYFUNCTION("""COMPUTED_VALUE"""),"2000")</f>
        <v>2000</v>
      </c>
      <c r="P155" s="3" t="str">
        <f ca="1">IFERROR(__xludf.DUMMYFUNCTION("""COMPUTED_VALUE"""),"1400")</f>
        <v>1400</v>
      </c>
      <c r="Q155" s="3" t="str">
        <f ca="1">IFERROR(__xludf.DUMMYFUNCTION("""COMPUTED_VALUE"""),"2000x1400")</f>
        <v>2000x1400</v>
      </c>
      <c r="R155" s="3"/>
      <c r="S155" s="3" t="str">
        <f ca="1">IFERROR(__xludf.DUMMYFUNCTION("""COMPUTED_VALUE"""),"500 + 200 (600+200 HTML5)")</f>
        <v>500 + 200 (600+200 HTML5)</v>
      </c>
      <c r="T155" s="3"/>
      <c r="U155" s="3" t="str">
        <f ca="1">IFERROR(__xludf.DUMMYFUNCTION("""COMPUTED_VALUE"""),"banner standard")</f>
        <v>banner standard</v>
      </c>
      <c r="V155" s="3"/>
      <c r="W155" s="4" t="str">
        <f ca="1">IFERROR(__xludf.DUMMYFUNCTION("""COMPUTED_VALUE"""),"https://reklama.cncenter.cz/Online/branding")</f>
        <v>https://reklama.cncenter.cz/Online/branding</v>
      </c>
      <c r="X155" s="3"/>
      <c r="Y155" s="3"/>
      <c r="Z155" s="3" t="str">
        <f ca="1">IFERROR(__xludf.DUMMYFUNCTION("""COMPUTED_VALUE"""),"podklady@cncenter.cz")</f>
        <v>podklady@cncenter.cz</v>
      </c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 t="str">
        <f ca="1">IFERROR(__xludf.DUMMYFUNCTION("""COMPUTED_VALUE"""),"desktop")</f>
        <v>desktop</v>
      </c>
      <c r="AO155" s="3"/>
      <c r="AP155" s="3"/>
      <c r="AQ155" s="3"/>
      <c r="AR155" s="3"/>
      <c r="AS155" s="3"/>
      <c r="AT155" s="3"/>
      <c r="AU155" s="3" t="str">
        <f ca="1">IFERROR(__xludf.DUMMYFUNCTION("""COMPUTED_VALUE"""),"branding")</f>
        <v>branding</v>
      </c>
    </row>
    <row r="156" spans="1:47" x14ac:dyDescent="0.3">
      <c r="A156" s="3">
        <f ca="1"/>
        <v>2346826</v>
      </c>
      <c r="B156" s="3" t="str">
        <f ca="1"/>
        <v>CZECH NEWS CENTER a. s.</v>
      </c>
      <c r="C156" s="3" t="str">
        <f ca="1">IFERROR(__xludf.DUMMYFUNCTION("""COMPUTED_VALUE"""),"Avmania")</f>
        <v>Avmania</v>
      </c>
      <c r="D156" s="4" t="str">
        <f ca="1">IFERROR(__xludf.DUMMYFUNCTION("""COMPUTED_VALUE"""),"https://avmania.zive.cz")</f>
        <v>https://avmania.zive.cz</v>
      </c>
      <c r="E156" s="3" t="str">
        <f ca="1">IFERROR(__xludf.DUMMYFUNCTION("""COMPUTED_VALUE"""),"celý web")</f>
        <v>celý web</v>
      </c>
      <c r="F156" s="4" t="str">
        <f ca="1">IFERROR(__xludf.DUMMYFUNCTION("""COMPUTED_VALUE"""),"https://avmania.zive.cz")</f>
        <v>https://avmania.zive.cz</v>
      </c>
      <c r="G156" s="3" t="str">
        <f ca="1">IFERROR(__xludf.DUMMYFUNCTION("""COMPUTED_VALUE"""),"cílený billboard bottom mid season")</f>
        <v>cílený billboard bottom mid season</v>
      </c>
      <c r="H156" s="3">
        <f ca="1">IFERROR(__xludf.DUMMYFUNCTION("""COMPUTED_VALUE"""),7)</f>
        <v>7</v>
      </c>
      <c r="I156" s="5">
        <f ca="1">IFERROR(__xludf.DUMMYFUNCTION("""COMPUTED_VALUE"""),1000)</f>
        <v>1000</v>
      </c>
      <c r="J156" s="5">
        <f ca="1">IFERROR(__xludf.DUMMYFUNCTION("""COMPUTED_VALUE"""),408)</f>
        <v>408</v>
      </c>
      <c r="K156" s="3"/>
      <c r="L156" s="3" t="str">
        <f ca="1">IFERROR(__xludf.DUMMYFUNCTION("""COMPUTED_VALUE"""),"Cost per period")</f>
        <v>Cost per period</v>
      </c>
      <c r="M156" s="3"/>
      <c r="N156" s="3"/>
      <c r="O156" s="3" t="str">
        <f ca="1">IFERROR(__xludf.DUMMYFUNCTION("""COMPUTED_VALUE"""),"970")</f>
        <v>970</v>
      </c>
      <c r="P156" s="3" t="str">
        <f ca="1">IFERROR(__xludf.DUMMYFUNCTION("""COMPUTED_VALUE"""),"250")</f>
        <v>250</v>
      </c>
      <c r="Q156" s="3" t="str">
        <f ca="1">IFERROR(__xludf.DUMMYFUNCTION("""COMPUTED_VALUE"""),"970x250")</f>
        <v>970x250</v>
      </c>
      <c r="R156" s="3"/>
      <c r="S156" s="3" t="str">
        <f ca="1">IFERROR(__xludf.DUMMYFUNCTION("""COMPUTED_VALUE"""),"100 (200 - HTML5)")</f>
        <v>100 (200 - HTML5)</v>
      </c>
      <c r="T156" s="3"/>
      <c r="U156" s="3" t="str">
        <f ca="1">IFERROR(__xludf.DUMMYFUNCTION("""COMPUTED_VALUE"""),"banner standard")</f>
        <v>banner standard</v>
      </c>
      <c r="V156" s="3"/>
      <c r="W156" s="4" t="str">
        <f ca="1">IFERROR(__xludf.DUMMYFUNCTION("""COMPUTED_VALUE"""),"https://reklama.cncenter.cz/Online/billboard-bottom")</f>
        <v>https://reklama.cncenter.cz/Online/billboard-bottom</v>
      </c>
      <c r="X156" s="3"/>
      <c r="Y156" s="3"/>
      <c r="Z156" s="3" t="str">
        <f ca="1">IFERROR(__xludf.DUMMYFUNCTION("""COMPUTED_VALUE"""),"podklady@cncenter.cz")</f>
        <v>podklady@cncenter.cz</v>
      </c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 t="str">
        <f ca="1">IFERROR(__xludf.DUMMYFUNCTION("""COMPUTED_VALUE"""),"desktop")</f>
        <v>desktop</v>
      </c>
      <c r="AO156" s="3"/>
      <c r="AP156" s="3"/>
      <c r="AQ156" s="3"/>
      <c r="AR156" s="3"/>
      <c r="AS156" s="3"/>
      <c r="AT156" s="3"/>
      <c r="AU156" s="3" t="str">
        <f ca="1">IFERROR(__xludf.DUMMYFUNCTION("""COMPUTED_VALUE"""),"cílený billboard bottom")</f>
        <v>cílený billboard bottom</v>
      </c>
    </row>
    <row r="157" spans="1:47" x14ac:dyDescent="0.3">
      <c r="A157" s="3">
        <f ca="1"/>
        <v>2346826</v>
      </c>
      <c r="B157" s="3" t="str">
        <f ca="1"/>
        <v>CZECH NEWS CENTER a. s.</v>
      </c>
      <c r="C157" s="3" t="str">
        <f ca="1">IFERROR(__xludf.DUMMYFUNCTION("""COMPUTED_VALUE"""),"Avmania")</f>
        <v>Avmania</v>
      </c>
      <c r="D157" s="4" t="str">
        <f ca="1">IFERROR(__xludf.DUMMYFUNCTION("""COMPUTED_VALUE"""),"https://avmania.zive.cz")</f>
        <v>https://avmania.zive.cz</v>
      </c>
      <c r="E157" s="3" t="str">
        <f ca="1">IFERROR(__xludf.DUMMYFUNCTION("""COMPUTED_VALUE"""),"celý web")</f>
        <v>celý web</v>
      </c>
      <c r="F157" s="4" t="str">
        <f ca="1">IFERROR(__xludf.DUMMYFUNCTION("""COMPUTED_VALUE"""),"https://avmania.zive.cz")</f>
        <v>https://avmania.zive.cz</v>
      </c>
      <c r="G157" s="3" t="str">
        <f ca="1">IFERROR(__xludf.DUMMYFUNCTION("""COMPUTED_VALUE"""),"cílený branding cross-device mid season")</f>
        <v>cílený branding cross-device mid season</v>
      </c>
      <c r="H157" s="3">
        <f ca="1">IFERROR(__xludf.DUMMYFUNCTION("""COMPUTED_VALUE"""),7)</f>
        <v>7</v>
      </c>
      <c r="I157" s="5">
        <f ca="1">IFERROR(__xludf.DUMMYFUNCTION("""COMPUTED_VALUE"""),1000)</f>
        <v>1000</v>
      </c>
      <c r="J157" s="5">
        <f ca="1">IFERROR(__xludf.DUMMYFUNCTION("""COMPUTED_VALUE"""),504)</f>
        <v>504</v>
      </c>
      <c r="K157" s="3"/>
      <c r="L157" s="3" t="str">
        <f ca="1">IFERROR(__xludf.DUMMYFUNCTION("""COMPUTED_VALUE"""),"Cost per period")</f>
        <v>Cost per period</v>
      </c>
      <c r="M157" s="3"/>
      <c r="N157" s="3"/>
      <c r="O157" s="3" t="str">
        <f ca="1">IFERROR(__xludf.DUMMYFUNCTION("""COMPUTED_VALUE"""),"2000")</f>
        <v>2000</v>
      </c>
      <c r="P157" s="3" t="str">
        <f ca="1">IFERROR(__xludf.DUMMYFUNCTION("""COMPUTED_VALUE"""),"1400")</f>
        <v>1400</v>
      </c>
      <c r="Q157" s="3" t="str">
        <f ca="1">IFERROR(__xludf.DUMMYFUNCTION("""COMPUTED_VALUE"""),"2000x1400 + 600x1080")</f>
        <v>2000x1400 + 600x1080</v>
      </c>
      <c r="R157" s="3"/>
      <c r="S157" s="3" t="str">
        <f ca="1">IFERROR(__xludf.DUMMYFUNCTION("""COMPUTED_VALUE"""),"500 (600 - HTLM5)")</f>
        <v>500 (600 - HTLM5)</v>
      </c>
      <c r="T157" s="3"/>
      <c r="U157" s="3" t="str">
        <f ca="1">IFERROR(__xludf.DUMMYFUNCTION("""COMPUTED_VALUE"""),"banner standard")</f>
        <v>banner standard</v>
      </c>
      <c r="V157" s="3"/>
      <c r="W157" s="4" t="str">
        <f ca="1">IFERROR(__xludf.DUMMYFUNCTION("""COMPUTED_VALUE"""),"https://reklama.cncenter.cz/Online/branding-cross-device")</f>
        <v>https://reklama.cncenter.cz/Online/branding-cross-device</v>
      </c>
      <c r="X157" s="3"/>
      <c r="Y157" s="3"/>
      <c r="Z157" s="3" t="str">
        <f ca="1">IFERROR(__xludf.DUMMYFUNCTION("""COMPUTED_VALUE"""),"podklady@cncenter.cz")</f>
        <v>podklady@cncenter.cz</v>
      </c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 t="str">
        <f ca="1">IFERROR(__xludf.DUMMYFUNCTION("""COMPUTED_VALUE"""),"cross-device")</f>
        <v>cross-device</v>
      </c>
      <c r="AO157" s="3"/>
      <c r="AP157" s="3"/>
      <c r="AQ157" s="3"/>
      <c r="AR157" s="3"/>
      <c r="AS157" s="3"/>
      <c r="AT157" s="3"/>
      <c r="AU157" s="3" t="str">
        <f ca="1">IFERROR(__xludf.DUMMYFUNCTION("""COMPUTED_VALUE"""),"cílený branding cross-device")</f>
        <v>cílený branding cross-device</v>
      </c>
    </row>
    <row r="158" spans="1:47" x14ac:dyDescent="0.3">
      <c r="A158" s="3">
        <f ca="1"/>
        <v>2346826</v>
      </c>
      <c r="B158" s="3" t="str">
        <f ca="1"/>
        <v>CZECH NEWS CENTER a. s.</v>
      </c>
      <c r="C158" s="3" t="str">
        <f ca="1">IFERROR(__xludf.DUMMYFUNCTION("""COMPUTED_VALUE"""),"Avmania")</f>
        <v>Avmania</v>
      </c>
      <c r="D158" s="4" t="str">
        <f ca="1">IFERROR(__xludf.DUMMYFUNCTION("""COMPUTED_VALUE"""),"https://avmania.zive.cz")</f>
        <v>https://avmania.zive.cz</v>
      </c>
      <c r="E158" s="3" t="str">
        <f ca="1">IFERROR(__xludf.DUMMYFUNCTION("""COMPUTED_VALUE"""),"celý web")</f>
        <v>celý web</v>
      </c>
      <c r="F158" s="4" t="str">
        <f ca="1">IFERROR(__xludf.DUMMYFUNCTION("""COMPUTED_VALUE"""),"https://avmania.zive.cz")</f>
        <v>https://avmania.zive.cz</v>
      </c>
      <c r="G158" s="3" t="str">
        <f ca="1">IFERROR(__xludf.DUMMYFUNCTION("""COMPUTED_VALUE"""),"cílený branding mid season")</f>
        <v>cílený branding mid season</v>
      </c>
      <c r="H158" s="3">
        <f ca="1">IFERROR(__xludf.DUMMYFUNCTION("""COMPUTED_VALUE"""),7)</f>
        <v>7</v>
      </c>
      <c r="I158" s="5">
        <f ca="1">IFERROR(__xludf.DUMMYFUNCTION("""COMPUTED_VALUE"""),1000)</f>
        <v>1000</v>
      </c>
      <c r="J158" s="5">
        <f ca="1">IFERROR(__xludf.DUMMYFUNCTION("""COMPUTED_VALUE"""),828)</f>
        <v>828</v>
      </c>
      <c r="K158" s="3"/>
      <c r="L158" s="3" t="str">
        <f ca="1">IFERROR(__xludf.DUMMYFUNCTION("""COMPUTED_VALUE"""),"Cost per period")</f>
        <v>Cost per period</v>
      </c>
      <c r="M158" s="3"/>
      <c r="N158" s="3"/>
      <c r="O158" s="3" t="str">
        <f ca="1">IFERROR(__xludf.DUMMYFUNCTION("""COMPUTED_VALUE"""),"2000")</f>
        <v>2000</v>
      </c>
      <c r="P158" s="3" t="str">
        <f ca="1">IFERROR(__xludf.DUMMYFUNCTION("""COMPUTED_VALUE"""),"1400")</f>
        <v>1400</v>
      </c>
      <c r="Q158" s="3" t="str">
        <f ca="1">IFERROR(__xludf.DUMMYFUNCTION("""COMPUTED_VALUE"""),"2000x1400")</f>
        <v>2000x1400</v>
      </c>
      <c r="R158" s="3"/>
      <c r="S158" s="3" t="str">
        <f ca="1">IFERROR(__xludf.DUMMYFUNCTION("""COMPUTED_VALUE"""),"500 + 200 (600+200 HTML5)")</f>
        <v>500 + 200 (600+200 HTML5)</v>
      </c>
      <c r="T158" s="3"/>
      <c r="U158" s="3" t="str">
        <f ca="1">IFERROR(__xludf.DUMMYFUNCTION("""COMPUTED_VALUE"""),"banner standard")</f>
        <v>banner standard</v>
      </c>
      <c r="V158" s="3"/>
      <c r="W158" s="4" t="str">
        <f ca="1">IFERROR(__xludf.DUMMYFUNCTION("""COMPUTED_VALUE"""),"https://reklama.cncenter.cz/Online/branding")</f>
        <v>https://reklama.cncenter.cz/Online/branding</v>
      </c>
      <c r="X158" s="3"/>
      <c r="Y158" s="3"/>
      <c r="Z158" s="3" t="str">
        <f ca="1">IFERROR(__xludf.DUMMYFUNCTION("""COMPUTED_VALUE"""),"podklady@cncenter.cz")</f>
        <v>podklady@cncenter.cz</v>
      </c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 t="str">
        <f ca="1">IFERROR(__xludf.DUMMYFUNCTION("""COMPUTED_VALUE"""),"desktop")</f>
        <v>desktop</v>
      </c>
      <c r="AO158" s="3"/>
      <c r="AP158" s="3"/>
      <c r="AQ158" s="3"/>
      <c r="AR158" s="3"/>
      <c r="AS158" s="3"/>
      <c r="AT158" s="3"/>
      <c r="AU158" s="3" t="str">
        <f ca="1">IFERROR(__xludf.DUMMYFUNCTION("""COMPUTED_VALUE"""),"cílený branding")</f>
        <v>cílený branding</v>
      </c>
    </row>
    <row r="159" spans="1:47" x14ac:dyDescent="0.3">
      <c r="A159" s="3">
        <f ca="1"/>
        <v>2346826</v>
      </c>
      <c r="B159" s="3" t="str">
        <f ca="1"/>
        <v>CZECH NEWS CENTER a. s.</v>
      </c>
      <c r="C159" s="3" t="str">
        <f ca="1">IFERROR(__xludf.DUMMYFUNCTION("""COMPUTED_VALUE"""),"Avmania")</f>
        <v>Avmania</v>
      </c>
      <c r="D159" s="4" t="str">
        <f ca="1">IFERROR(__xludf.DUMMYFUNCTION("""COMPUTED_VALUE"""),"https://avmania.zive.cz")</f>
        <v>https://avmania.zive.cz</v>
      </c>
      <c r="E159" s="3" t="str">
        <f ca="1">IFERROR(__xludf.DUMMYFUNCTION("""COMPUTED_VALUE"""),"celý web")</f>
        <v>celý web</v>
      </c>
      <c r="F159" s="4" t="str">
        <f ca="1">IFERROR(__xludf.DUMMYFUNCTION("""COMPUTED_VALUE"""),"https://avmania.zive.cz")</f>
        <v>https://avmania.zive.cz</v>
      </c>
      <c r="G159" s="3" t="str">
        <f ca="1">IFERROR(__xludf.DUMMYFUNCTION("""COMPUTED_VALUE"""),"cílený double skyscraper mid season")</f>
        <v>cílený double skyscraper mid season</v>
      </c>
      <c r="H159" s="3">
        <f ca="1">IFERROR(__xludf.DUMMYFUNCTION("""COMPUTED_VALUE"""),7)</f>
        <v>7</v>
      </c>
      <c r="I159" s="5">
        <f ca="1">IFERROR(__xludf.DUMMYFUNCTION("""COMPUTED_VALUE"""),1000)</f>
        <v>1000</v>
      </c>
      <c r="J159" s="5">
        <f ca="1">IFERROR(__xludf.DUMMYFUNCTION("""COMPUTED_VALUE"""),324)</f>
        <v>324</v>
      </c>
      <c r="K159" s="3"/>
      <c r="L159" s="3" t="str">
        <f ca="1">IFERROR(__xludf.DUMMYFUNCTION("""COMPUTED_VALUE"""),"Cost per period")</f>
        <v>Cost per period</v>
      </c>
      <c r="M159" s="3"/>
      <c r="N159" s="3"/>
      <c r="O159" s="3" t="str">
        <f ca="1">IFERROR(__xludf.DUMMYFUNCTION("""COMPUTED_VALUE"""),"300")</f>
        <v>300</v>
      </c>
      <c r="P159" s="3" t="str">
        <f ca="1">IFERROR(__xludf.DUMMYFUNCTION("""COMPUTED_VALUE"""),"600")</f>
        <v>600</v>
      </c>
      <c r="Q159" s="3" t="str">
        <f ca="1">IFERROR(__xludf.DUMMYFUNCTION("""COMPUTED_VALUE"""),"300x600")</f>
        <v>300x600</v>
      </c>
      <c r="R159" s="3"/>
      <c r="S159" s="3" t="str">
        <f ca="1">IFERROR(__xludf.DUMMYFUNCTION("""COMPUTED_VALUE"""),"100 (200 - HTML5)")</f>
        <v>100 (200 - HTML5)</v>
      </c>
      <c r="T159" s="3"/>
      <c r="U159" s="3" t="str">
        <f ca="1">IFERROR(__xludf.DUMMYFUNCTION("""COMPUTED_VALUE"""),"banner standard")</f>
        <v>banner standard</v>
      </c>
      <c r="V159" s="3"/>
      <c r="W159" s="4" t="str">
        <f ca="1">IFERROR(__xludf.DUMMYFUNCTION("""COMPUTED_VALUE"""),"https://reklama.cncenter.cz/Online/double-skyscraper")</f>
        <v>https://reklama.cncenter.cz/Online/double-skyscraper</v>
      </c>
      <c r="X159" s="3"/>
      <c r="Y159" s="3"/>
      <c r="Z159" s="3" t="str">
        <f ca="1">IFERROR(__xludf.DUMMYFUNCTION("""COMPUTED_VALUE"""),"podklady@cncenter.cz")</f>
        <v>podklady@cncenter.cz</v>
      </c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 t="str">
        <f ca="1">IFERROR(__xludf.DUMMYFUNCTION("""COMPUTED_VALUE"""),"desktop")</f>
        <v>desktop</v>
      </c>
      <c r="AO159" s="3"/>
      <c r="AP159" s="3"/>
      <c r="AQ159" s="3"/>
      <c r="AR159" s="3"/>
      <c r="AS159" s="3"/>
      <c r="AT159" s="3"/>
      <c r="AU159" s="3" t="str">
        <f ca="1">IFERROR(__xludf.DUMMYFUNCTION("""COMPUTED_VALUE"""),"cílený double skyscraper")</f>
        <v>cílený double skyscraper</v>
      </c>
    </row>
    <row r="160" spans="1:47" x14ac:dyDescent="0.3">
      <c r="A160" s="3">
        <f ca="1"/>
        <v>2346826</v>
      </c>
      <c r="B160" s="3" t="str">
        <f ca="1"/>
        <v>CZECH NEWS CENTER a. s.</v>
      </c>
      <c r="C160" s="3" t="str">
        <f ca="1">IFERROR(__xludf.DUMMYFUNCTION("""COMPUTED_VALUE"""),"Avmania")</f>
        <v>Avmania</v>
      </c>
      <c r="D160" s="4" t="str">
        <f ca="1">IFERROR(__xludf.DUMMYFUNCTION("""COMPUTED_VALUE"""),"https://avmania.zive.cz")</f>
        <v>https://avmania.zive.cz</v>
      </c>
      <c r="E160" s="3" t="str">
        <f ca="1">IFERROR(__xludf.DUMMYFUNCTION("""COMPUTED_VALUE"""),"celý web")</f>
        <v>celý web</v>
      </c>
      <c r="F160" s="4" t="str">
        <f ca="1">IFERROR(__xludf.DUMMYFUNCTION("""COMPUTED_VALUE"""),"https://avmania.zive.cz")</f>
        <v>https://avmania.zive.cz</v>
      </c>
      <c r="G160" s="3" t="str">
        <f ca="1">IFERROR(__xludf.DUMMYFUNCTION("""COMPUTED_VALUE"""),"cílený mobilní interscroller mid season")</f>
        <v>cílený mobilní interscroller mid season</v>
      </c>
      <c r="H160" s="3">
        <f ca="1">IFERROR(__xludf.DUMMYFUNCTION("""COMPUTED_VALUE"""),7)</f>
        <v>7</v>
      </c>
      <c r="I160" s="5">
        <f ca="1">IFERROR(__xludf.DUMMYFUNCTION("""COMPUTED_VALUE"""),1000)</f>
        <v>1000</v>
      </c>
      <c r="J160" s="5">
        <f ca="1">IFERROR(__xludf.DUMMYFUNCTION("""COMPUTED_VALUE"""),420)</f>
        <v>420</v>
      </c>
      <c r="K160" s="3"/>
      <c r="L160" s="3" t="str">
        <f ca="1">IFERROR(__xludf.DUMMYFUNCTION("""COMPUTED_VALUE"""),"Cost per period")</f>
        <v>Cost per period</v>
      </c>
      <c r="M160" s="3"/>
      <c r="N160" s="3"/>
      <c r="O160" s="3" t="str">
        <f ca="1">IFERROR(__xludf.DUMMYFUNCTION("""COMPUTED_VALUE"""),"600")</f>
        <v>600</v>
      </c>
      <c r="P160" s="3" t="str">
        <f ca="1">IFERROR(__xludf.DUMMYFUNCTION("""COMPUTED_VALUE"""),"1080")</f>
        <v>1080</v>
      </c>
      <c r="Q160" s="3" t="str">
        <f ca="1">IFERROR(__xludf.DUMMYFUNCTION("""COMPUTED_VALUE"""),"600x1080")</f>
        <v>600x1080</v>
      </c>
      <c r="R160" s="3"/>
      <c r="S160" s="3" t="str">
        <f ca="1">IFERROR(__xludf.DUMMYFUNCTION("""COMPUTED_VALUE"""),"200")</f>
        <v>200</v>
      </c>
      <c r="T160" s="3"/>
      <c r="U160" s="3" t="str">
        <f ca="1">IFERROR(__xludf.DUMMYFUNCTION("""COMPUTED_VALUE"""),"banner standard")</f>
        <v>banner standard</v>
      </c>
      <c r="V160" s="3"/>
      <c r="W160" s="4" t="str">
        <f ca="1">IFERROR(__xludf.DUMMYFUNCTION("""COMPUTED_VALUE"""),"https://reklama.cncenter.cz/Online/mobilni-interscroller")</f>
        <v>https://reklama.cncenter.cz/Online/mobilni-interscroller</v>
      </c>
      <c r="X160" s="3"/>
      <c r="Y160" s="3"/>
      <c r="Z160" s="3" t="str">
        <f ca="1">IFERROR(__xludf.DUMMYFUNCTION("""COMPUTED_VALUE"""),"podklady@cncenter.cz")</f>
        <v>podklady@cncenter.cz</v>
      </c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 t="str">
        <f ca="1">IFERROR(__xludf.DUMMYFUNCTION("""COMPUTED_VALUE"""),"mobile")</f>
        <v>mobile</v>
      </c>
      <c r="AO160" s="3"/>
      <c r="AP160" s="3"/>
      <c r="AQ160" s="3"/>
      <c r="AR160" s="3"/>
      <c r="AS160" s="3"/>
      <c r="AT160" s="3"/>
      <c r="AU160" s="3" t="str">
        <f ca="1">IFERROR(__xludf.DUMMYFUNCTION("""COMPUTED_VALUE"""),"cílený mobilní interscroller")</f>
        <v>cílený mobilní interscroller</v>
      </c>
    </row>
    <row r="161" spans="1:47" x14ac:dyDescent="0.3">
      <c r="A161" s="3">
        <f ca="1"/>
        <v>2346826</v>
      </c>
      <c r="B161" s="3" t="str">
        <f ca="1"/>
        <v>CZECH NEWS CENTER a. s.</v>
      </c>
      <c r="C161" s="3" t="str">
        <f ca="1">IFERROR(__xludf.DUMMYFUNCTION("""COMPUTED_VALUE"""),"Avmania")</f>
        <v>Avmania</v>
      </c>
      <c r="D161" s="4" t="str">
        <f ca="1">IFERROR(__xludf.DUMMYFUNCTION("""COMPUTED_VALUE"""),"https://avmania.zive.cz")</f>
        <v>https://avmania.zive.cz</v>
      </c>
      <c r="E161" s="3" t="str">
        <f ca="1">IFERROR(__xludf.DUMMYFUNCTION("""COMPUTED_VALUE"""),"celý web")</f>
        <v>celý web</v>
      </c>
      <c r="F161" s="4" t="str">
        <f ca="1">IFERROR(__xludf.DUMMYFUNCTION("""COMPUTED_VALUE"""),"https://avmania.zive.cz")</f>
        <v>https://avmania.zive.cz</v>
      </c>
      <c r="G161" s="3" t="str">
        <f ca="1">IFERROR(__xludf.DUMMYFUNCTION("""COMPUTED_VALUE"""),"cílený mobilní slide-up mid season")</f>
        <v>cílený mobilní slide-up mid season</v>
      </c>
      <c r="H161" s="3">
        <f ca="1">IFERROR(__xludf.DUMMYFUNCTION("""COMPUTED_VALUE"""),7)</f>
        <v>7</v>
      </c>
      <c r="I161" s="5">
        <f ca="1">IFERROR(__xludf.DUMMYFUNCTION("""COMPUTED_VALUE"""),1000)</f>
        <v>1000</v>
      </c>
      <c r="J161" s="5">
        <f ca="1">IFERROR(__xludf.DUMMYFUNCTION("""COMPUTED_VALUE"""),864)</f>
        <v>864</v>
      </c>
      <c r="K161" s="3"/>
      <c r="L161" s="3" t="str">
        <f ca="1">IFERROR(__xludf.DUMMYFUNCTION("""COMPUTED_VALUE"""),"Cost per period")</f>
        <v>Cost per period</v>
      </c>
      <c r="M161" s="3"/>
      <c r="N161" s="3"/>
      <c r="O161" s="3" t="str">
        <f ca="1">IFERROR(__xludf.DUMMYFUNCTION("""COMPUTED_VALUE"""),"300")</f>
        <v>300</v>
      </c>
      <c r="P161" s="3" t="str">
        <f ca="1">IFERROR(__xludf.DUMMYFUNCTION("""COMPUTED_VALUE"""),"120")</f>
        <v>120</v>
      </c>
      <c r="Q161" s="3" t="str">
        <f ca="1">IFERROR(__xludf.DUMMYFUNCTION("""COMPUTED_VALUE"""),"300x120")</f>
        <v>300x120</v>
      </c>
      <c r="R161" s="3"/>
      <c r="S161" s="3" t="str">
        <f ca="1">IFERROR(__xludf.DUMMYFUNCTION("""COMPUTED_VALUE"""),"100")</f>
        <v>100</v>
      </c>
      <c r="T161" s="3"/>
      <c r="U161" s="3" t="str">
        <f ca="1">IFERROR(__xludf.DUMMYFUNCTION("""COMPUTED_VALUE"""),"banner standard")</f>
        <v>banner standard</v>
      </c>
      <c r="V161" s="3"/>
      <c r="W161" s="4" t="str">
        <f ca="1">IFERROR(__xludf.DUMMYFUNCTION("""COMPUTED_VALUE"""),"https://reklama.cncenter.cz/Online/mobilni-slide-up")</f>
        <v>https://reklama.cncenter.cz/Online/mobilni-slide-up</v>
      </c>
      <c r="X161" s="3"/>
      <c r="Y161" s="3"/>
      <c r="Z161" s="3" t="str">
        <f ca="1">IFERROR(__xludf.DUMMYFUNCTION("""COMPUTED_VALUE"""),"podklady@cncenter.cz")</f>
        <v>podklady@cncenter.cz</v>
      </c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 t="str">
        <f ca="1">IFERROR(__xludf.DUMMYFUNCTION("""COMPUTED_VALUE"""),"mobile")</f>
        <v>mobile</v>
      </c>
      <c r="AO161" s="3"/>
      <c r="AP161" s="3"/>
      <c r="AQ161" s="3"/>
      <c r="AR161" s="3"/>
      <c r="AS161" s="3"/>
      <c r="AT161" s="3"/>
      <c r="AU161" s="3" t="str">
        <f ca="1">IFERROR(__xludf.DUMMYFUNCTION("""COMPUTED_VALUE"""),"cílený mobilní slide-up")</f>
        <v>cílený mobilní slide-up</v>
      </c>
    </row>
    <row r="162" spans="1:47" x14ac:dyDescent="0.3">
      <c r="A162" s="3">
        <f ca="1"/>
        <v>2346826</v>
      </c>
      <c r="B162" s="3" t="str">
        <f ca="1"/>
        <v>CZECH NEWS CENTER a. s.</v>
      </c>
      <c r="C162" s="3" t="str">
        <f ca="1">IFERROR(__xludf.DUMMYFUNCTION("""COMPUTED_VALUE"""),"Avmania")</f>
        <v>Avmania</v>
      </c>
      <c r="D162" s="4" t="str">
        <f ca="1">IFERROR(__xludf.DUMMYFUNCTION("""COMPUTED_VALUE"""),"https://avmania.zive.cz")</f>
        <v>https://avmania.zive.cz</v>
      </c>
      <c r="E162" s="3" t="str">
        <f ca="1">IFERROR(__xludf.DUMMYFUNCTION("""COMPUTED_VALUE"""),"celý web")</f>
        <v>celý web</v>
      </c>
      <c r="F162" s="4" t="str">
        <f ca="1">IFERROR(__xludf.DUMMYFUNCTION("""COMPUTED_VALUE"""),"https://avmania.zive.cz")</f>
        <v>https://avmania.zive.cz</v>
      </c>
      <c r="G162" s="3" t="str">
        <f ca="1">IFERROR(__xludf.DUMMYFUNCTION("""COMPUTED_VALUE"""),"cílený mobilní viněta mid season")</f>
        <v>cílený mobilní viněta mid season</v>
      </c>
      <c r="H162" s="3">
        <f ca="1">IFERROR(__xludf.DUMMYFUNCTION("""COMPUTED_VALUE"""),7)</f>
        <v>7</v>
      </c>
      <c r="I162" s="5">
        <f ca="1">IFERROR(__xludf.DUMMYFUNCTION("""COMPUTED_VALUE"""),1000)</f>
        <v>1000</v>
      </c>
      <c r="J162" s="5">
        <f ca="1">IFERROR(__xludf.DUMMYFUNCTION("""COMPUTED_VALUE"""),1488)</f>
        <v>1488</v>
      </c>
      <c r="K162" s="3"/>
      <c r="L162" s="3" t="str">
        <f ca="1">IFERROR(__xludf.DUMMYFUNCTION("""COMPUTED_VALUE"""),"Cost per period")</f>
        <v>Cost per period</v>
      </c>
      <c r="M162" s="3"/>
      <c r="N162" s="3"/>
      <c r="O162" s="3" t="str">
        <f ca="1">IFERROR(__xludf.DUMMYFUNCTION("""COMPUTED_VALUE"""),"600")</f>
        <v>600</v>
      </c>
      <c r="P162" s="3" t="str">
        <f ca="1">IFERROR(__xludf.DUMMYFUNCTION("""COMPUTED_VALUE"""),"800")</f>
        <v>800</v>
      </c>
      <c r="Q162" s="3" t="str">
        <f ca="1">IFERROR(__xludf.DUMMYFUNCTION("""COMPUTED_VALUE"""),"300x250 nebo 600x800")</f>
        <v>300x250 nebo 600x800</v>
      </c>
      <c r="R162" s="3"/>
      <c r="S162" s="3" t="str">
        <f ca="1">IFERROR(__xludf.DUMMYFUNCTION("""COMPUTED_VALUE"""),"100")</f>
        <v>100</v>
      </c>
      <c r="T162" s="3"/>
      <c r="U162" s="3" t="str">
        <f ca="1">IFERROR(__xludf.DUMMYFUNCTION("""COMPUTED_VALUE"""),"banner standard")</f>
        <v>banner standard</v>
      </c>
      <c r="V162" s="3"/>
      <c r="W162" s="4" t="str">
        <f ca="1">IFERROR(__xludf.DUMMYFUNCTION("""COMPUTED_VALUE"""),"https://reklama.cncenter.cz/Online/mobilni-vineta")</f>
        <v>https://reklama.cncenter.cz/Online/mobilni-vineta</v>
      </c>
      <c r="X162" s="3"/>
      <c r="Y162" s="3"/>
      <c r="Z162" s="3" t="str">
        <f ca="1">IFERROR(__xludf.DUMMYFUNCTION("""COMPUTED_VALUE"""),"podklady@cncenter.cz")</f>
        <v>podklady@cncenter.cz</v>
      </c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 t="str">
        <f ca="1">IFERROR(__xludf.DUMMYFUNCTION("""COMPUTED_VALUE"""),"mobile")</f>
        <v>mobile</v>
      </c>
      <c r="AO162" s="3"/>
      <c r="AP162" s="3"/>
      <c r="AQ162" s="3"/>
      <c r="AR162" s="3"/>
      <c r="AS162" s="3"/>
      <c r="AT162" s="3"/>
      <c r="AU162" s="3" t="str">
        <f ca="1">IFERROR(__xludf.DUMMYFUNCTION("""COMPUTED_VALUE"""),"cílený mobilní viněta")</f>
        <v>cílený mobilní viněta</v>
      </c>
    </row>
    <row r="163" spans="1:47" x14ac:dyDescent="0.3">
      <c r="A163" s="3">
        <f ca="1"/>
        <v>2346826</v>
      </c>
      <c r="B163" s="3" t="str">
        <f ca="1"/>
        <v>CZECH NEWS CENTER a. s.</v>
      </c>
      <c r="C163" s="3" t="str">
        <f ca="1">IFERROR(__xludf.DUMMYFUNCTION("""COMPUTED_VALUE"""),"Avmania")</f>
        <v>Avmania</v>
      </c>
      <c r="D163" s="4" t="str">
        <f ca="1">IFERROR(__xludf.DUMMYFUNCTION("""COMPUTED_VALUE"""),"https://avmania.zive.cz")</f>
        <v>https://avmania.zive.cz</v>
      </c>
      <c r="E163" s="3" t="str">
        <f ca="1">IFERROR(__xludf.DUMMYFUNCTION("""COMPUTED_VALUE"""),"celý web")</f>
        <v>celý web</v>
      </c>
      <c r="F163" s="4" t="str">
        <f ca="1">IFERROR(__xludf.DUMMYFUNCTION("""COMPUTED_VALUE"""),"https://avmania.zive.cz")</f>
        <v>https://avmania.zive.cz</v>
      </c>
      <c r="G163" s="3" t="str">
        <f ca="1">IFERROR(__xludf.DUMMYFUNCTION("""COMPUTED_VALUE"""),"cílený nativní rectangle cross-device mid season")</f>
        <v>cílený nativní rectangle cross-device mid season</v>
      </c>
      <c r="H163" s="3">
        <f ca="1">IFERROR(__xludf.DUMMYFUNCTION("""COMPUTED_VALUE"""),7)</f>
        <v>7</v>
      </c>
      <c r="I163" s="5">
        <f ca="1">IFERROR(__xludf.DUMMYFUNCTION("""COMPUTED_VALUE"""),1000)</f>
        <v>1000</v>
      </c>
      <c r="J163" s="5">
        <f ca="1">IFERROR(__xludf.DUMMYFUNCTION("""COMPUTED_VALUE"""),336)</f>
        <v>336</v>
      </c>
      <c r="K163" s="3"/>
      <c r="L163" s="3" t="str">
        <f ca="1">IFERROR(__xludf.DUMMYFUNCTION("""COMPUTED_VALUE"""),"Cost per period")</f>
        <v>Cost per period</v>
      </c>
      <c r="M163" s="3"/>
      <c r="N163" s="3"/>
      <c r="O163" s="3" t="str">
        <f ca="1">IFERROR(__xludf.DUMMYFUNCTION("""COMPUTED_VALUE"""),"640")</f>
        <v>640</v>
      </c>
      <c r="P163" s="3" t="str">
        <f ca="1">IFERROR(__xludf.DUMMYFUNCTION("""COMPUTED_VALUE"""),"335, 640")</f>
        <v>335, 640</v>
      </c>
      <c r="Q163" s="3" t="str">
        <f ca="1">IFERROR(__xludf.DUMMYFUNCTION("""COMPUTED_VALUE"""),"640x640 a 640x335 + text + logo")</f>
        <v>640x640 a 640x335 + text + logo</v>
      </c>
      <c r="R163" s="3"/>
      <c r="S163" s="3" t="str">
        <f ca="1">IFERROR(__xludf.DUMMYFUNCTION("""COMPUTED_VALUE"""),"45")</f>
        <v>45</v>
      </c>
      <c r="T163" s="3"/>
      <c r="U163" s="3" t="str">
        <f ca="1">IFERROR(__xludf.DUMMYFUNCTION("""COMPUTED_VALUE"""),"nativní reklama")</f>
        <v>nativní reklama</v>
      </c>
      <c r="V163" s="3"/>
      <c r="W163" s="4" t="str">
        <f ca="1">IFERROR(__xludf.DUMMYFUNCTION("""COMPUTED_VALUE"""),"https://reklama.cncenter.cz/Online/nativni-rectangle-cross-device")</f>
        <v>https://reklama.cncenter.cz/Online/nativni-rectangle-cross-device</v>
      </c>
      <c r="X163" s="3"/>
      <c r="Y163" s="3"/>
      <c r="Z163" s="3" t="str">
        <f ca="1">IFERROR(__xludf.DUMMYFUNCTION("""COMPUTED_VALUE"""),"podklady@cncenter.cz")</f>
        <v>podklady@cncenter.cz</v>
      </c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 t="str">
        <f ca="1">IFERROR(__xludf.DUMMYFUNCTION("""COMPUTED_VALUE"""),"cross-device")</f>
        <v>cross-device</v>
      </c>
      <c r="AO163" s="3"/>
      <c r="AP163" s="3"/>
      <c r="AQ163" s="3"/>
      <c r="AR163" s="3"/>
      <c r="AS163" s="3"/>
      <c r="AT163" s="3"/>
      <c r="AU163" s="3" t="str">
        <f ca="1">IFERROR(__xludf.DUMMYFUNCTION("""COMPUTED_VALUE"""),"cílený nativní rectangle cross-device")</f>
        <v>cílený nativní rectangle cross-device</v>
      </c>
    </row>
    <row r="164" spans="1:47" x14ac:dyDescent="0.3">
      <c r="A164" s="3">
        <f ca="1"/>
        <v>2346826</v>
      </c>
      <c r="B164" s="3" t="str">
        <f ca="1"/>
        <v>CZECH NEWS CENTER a. s.</v>
      </c>
      <c r="C164" s="3" t="str">
        <f ca="1">IFERROR(__xludf.DUMMYFUNCTION("""COMPUTED_VALUE"""),"Avmania")</f>
        <v>Avmania</v>
      </c>
      <c r="D164" s="4" t="str">
        <f ca="1">IFERROR(__xludf.DUMMYFUNCTION("""COMPUTED_VALUE"""),"https://avmania.zive.cz")</f>
        <v>https://avmania.zive.cz</v>
      </c>
      <c r="E164" s="3" t="str">
        <f ca="1">IFERROR(__xludf.DUMMYFUNCTION("""COMPUTED_VALUE"""),"celý web")</f>
        <v>celý web</v>
      </c>
      <c r="F164" s="4" t="str">
        <f ca="1">IFERROR(__xludf.DUMMYFUNCTION("""COMPUTED_VALUE"""),"https://avmania.zive.cz")</f>
        <v>https://avmania.zive.cz</v>
      </c>
      <c r="G164" s="3" t="str">
        <f ca="1">IFERROR(__xludf.DUMMYFUNCTION("""COMPUTED_VALUE"""),"cílený outstream mid season")</f>
        <v>cílený outstream mid season</v>
      </c>
      <c r="H164" s="3">
        <f ca="1">IFERROR(__xludf.DUMMYFUNCTION("""COMPUTED_VALUE"""),7)</f>
        <v>7</v>
      </c>
      <c r="I164" s="5">
        <f ca="1">IFERROR(__xludf.DUMMYFUNCTION("""COMPUTED_VALUE"""),1000)</f>
        <v>1000</v>
      </c>
      <c r="J164" s="5">
        <f ca="1">IFERROR(__xludf.DUMMYFUNCTION("""COMPUTED_VALUE"""),420)</f>
        <v>420</v>
      </c>
      <c r="K164" s="3"/>
      <c r="L164" s="3" t="str">
        <f ca="1">IFERROR(__xludf.DUMMYFUNCTION("""COMPUTED_VALUE"""),"Cost per period")</f>
        <v>Cost per period</v>
      </c>
      <c r="M164" s="3"/>
      <c r="N164" s="3"/>
      <c r="O164" s="3" t="str">
        <f ca="1">IFERROR(__xludf.DUMMYFUNCTION("""COMPUTED_VALUE"""),"1280")</f>
        <v>1280</v>
      </c>
      <c r="P164" s="3" t="str">
        <f ca="1">IFERROR(__xludf.DUMMYFUNCTION("""COMPUTED_VALUE"""),"720")</f>
        <v>720</v>
      </c>
      <c r="Q164" s="3" t="str">
        <f ca="1">IFERROR(__xludf.DUMMYFUNCTION("""COMPUTED_VALUE"""),"16:9")</f>
        <v>16:9</v>
      </c>
      <c r="R164" s="3"/>
      <c r="S164" s="3" t="str">
        <f ca="1">IFERROR(__xludf.DUMMYFUNCTION("""COMPUTED_VALUE"""),"100")</f>
        <v>100</v>
      </c>
      <c r="T164" s="3"/>
      <c r="U164" s="3" t="str">
        <f ca="1">IFERROR(__xludf.DUMMYFUNCTION("""COMPUTED_VALUE"""),"videospot")</f>
        <v>videospot</v>
      </c>
      <c r="V164" s="3"/>
      <c r="W164" s="4" t="str">
        <f ca="1">IFERROR(__xludf.DUMMYFUNCTION("""COMPUTED_VALUE"""),"https://reklama.cncenter.cz/Online/Outstream")</f>
        <v>https://reklama.cncenter.cz/Online/Outstream</v>
      </c>
      <c r="X164" s="3"/>
      <c r="Y164" s="3"/>
      <c r="Z164" s="3" t="str">
        <f ca="1">IFERROR(__xludf.DUMMYFUNCTION("""COMPUTED_VALUE"""),"podklady@cncenter.cz")</f>
        <v>podklady@cncenter.cz</v>
      </c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 t="str">
        <f ca="1">IFERROR(__xludf.DUMMYFUNCTION("""COMPUTED_VALUE"""),"cross-device")</f>
        <v>cross-device</v>
      </c>
      <c r="AO164" s="3"/>
      <c r="AP164" s="3"/>
      <c r="AQ164" s="3"/>
      <c r="AR164" s="3"/>
      <c r="AS164" s="3"/>
      <c r="AT164" s="3"/>
      <c r="AU164" s="3" t="str">
        <f ca="1">IFERROR(__xludf.DUMMYFUNCTION("""COMPUTED_VALUE"""),"cílený outstream")</f>
        <v>cílený outstream</v>
      </c>
    </row>
    <row r="165" spans="1:47" x14ac:dyDescent="0.3">
      <c r="A165" s="3">
        <f ca="1"/>
        <v>2346826</v>
      </c>
      <c r="B165" s="3" t="str">
        <f ca="1"/>
        <v>CZECH NEWS CENTER a. s.</v>
      </c>
      <c r="C165" s="3" t="str">
        <f ca="1">IFERROR(__xludf.DUMMYFUNCTION("""COMPUTED_VALUE"""),"Avmania")</f>
        <v>Avmania</v>
      </c>
      <c r="D165" s="4" t="str">
        <f ca="1">IFERROR(__xludf.DUMMYFUNCTION("""COMPUTED_VALUE"""),"https://avmania.zive.cz")</f>
        <v>https://avmania.zive.cz</v>
      </c>
      <c r="E165" s="3" t="str">
        <f ca="1">IFERROR(__xludf.DUMMYFUNCTION("""COMPUTED_VALUE"""),"celý web")</f>
        <v>celý web</v>
      </c>
      <c r="F165" s="4" t="str">
        <f ca="1">IFERROR(__xludf.DUMMYFUNCTION("""COMPUTED_VALUE"""),"https://avmania.zive.cz")</f>
        <v>https://avmania.zive.cz</v>
      </c>
      <c r="G165" s="3" t="str">
        <f ca="1">IFERROR(__xludf.DUMMYFUNCTION("""COMPUTED_VALUE"""),"dokoupení proma o 2 týdny - 10 000 PV *** mid season")</f>
        <v>dokoupení proma o 2 týdny - 10 000 PV *** mid season</v>
      </c>
      <c r="H165" s="3">
        <f ca="1">IFERROR(__xludf.DUMMYFUNCTION("""COMPUTED_VALUE"""),1)</f>
        <v>1</v>
      </c>
      <c r="I165" s="5">
        <f ca="1">IFERROR(__xludf.DUMMYFUNCTION("""COMPUTED_VALUE"""),1)</f>
        <v>1</v>
      </c>
      <c r="J165" s="5">
        <f ca="1">IFERROR(__xludf.DUMMYFUNCTION("""COMPUTED_VALUE"""),60000)</f>
        <v>60000</v>
      </c>
      <c r="K165" s="3"/>
      <c r="L165" s="3" t="str">
        <f ca="1">IFERROR(__xludf.DUMMYFUNCTION("""COMPUTED_VALUE"""),"Cost per instance")</f>
        <v>Cost per instance</v>
      </c>
      <c r="M165" s="3"/>
      <c r="N165" s="3"/>
      <c r="O165" s="3"/>
      <c r="P165" s="3"/>
      <c r="Q165" s="3"/>
      <c r="R165" s="3"/>
      <c r="S165" s="3" t="str">
        <f ca="1">IFERROR(__xludf.DUMMYFUNCTION("""COMPUTED_VALUE"""),"100")</f>
        <v>100</v>
      </c>
      <c r="T165" s="3"/>
      <c r="U165" s="3" t="str">
        <f ca="1">IFERROR(__xludf.DUMMYFUNCTION("""COMPUTED_VALUE"""),"microsite")</f>
        <v>microsite</v>
      </c>
      <c r="V165" s="3"/>
      <c r="W165" s="3"/>
      <c r="X165" s="3"/>
      <c r="Y165" s="3"/>
      <c r="Z165" s="3" t="str">
        <f ca="1">IFERROR(__xludf.DUMMYFUNCTION("""COMPUTED_VALUE"""),"podklady@cncenter.cz")</f>
        <v>podklady@cncenter.cz</v>
      </c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 t="str">
        <f ca="1">IFERROR(__xludf.DUMMYFUNCTION("""COMPUTED_VALUE"""),"cross-device")</f>
        <v>cross-device</v>
      </c>
      <c r="AO165" s="3"/>
      <c r="AP165" s="3"/>
      <c r="AQ165" s="3"/>
      <c r="AR165" s="3"/>
      <c r="AS165" s="3"/>
      <c r="AT165" s="3"/>
      <c r="AU165" s="3" t="str">
        <f ca="1">IFERROR(__xludf.DUMMYFUNCTION("""COMPUTED_VALUE"""),"dokoupení proma o 2 týdny - 10 000 PV ***")</f>
        <v>dokoupení proma o 2 týdny - 10 000 PV ***</v>
      </c>
    </row>
    <row r="166" spans="1:47" x14ac:dyDescent="0.3">
      <c r="A166" s="3">
        <f ca="1"/>
        <v>2346826</v>
      </c>
      <c r="B166" s="3" t="str">
        <f ca="1"/>
        <v>CZECH NEWS CENTER a. s.</v>
      </c>
      <c r="C166" s="3" t="str">
        <f ca="1">IFERROR(__xludf.DUMMYFUNCTION("""COMPUTED_VALUE"""),"Avmania")</f>
        <v>Avmania</v>
      </c>
      <c r="D166" s="4" t="str">
        <f ca="1">IFERROR(__xludf.DUMMYFUNCTION("""COMPUTED_VALUE"""),"https://avmania.zive.cz")</f>
        <v>https://avmania.zive.cz</v>
      </c>
      <c r="E166" s="3" t="str">
        <f ca="1">IFERROR(__xludf.DUMMYFUNCTION("""COMPUTED_VALUE"""),"celý web")</f>
        <v>celý web</v>
      </c>
      <c r="F166" s="4" t="str">
        <f ca="1">IFERROR(__xludf.DUMMYFUNCTION("""COMPUTED_VALUE"""),"https://avmania.zive.cz")</f>
        <v>https://avmania.zive.cz</v>
      </c>
      <c r="G166" s="3" t="str">
        <f ca="1">IFERROR(__xludf.DUMMYFUNCTION("""COMPUTED_VALUE"""),"double skyscraper mid season")</f>
        <v>double skyscraper mid season</v>
      </c>
      <c r="H166" s="3">
        <f ca="1">IFERROR(__xludf.DUMMYFUNCTION("""COMPUTED_VALUE"""),7)</f>
        <v>7</v>
      </c>
      <c r="I166" s="5">
        <f ca="1">IFERROR(__xludf.DUMMYFUNCTION("""COMPUTED_VALUE"""),1000)</f>
        <v>1000</v>
      </c>
      <c r="J166" s="5">
        <f ca="1">IFERROR(__xludf.DUMMYFUNCTION("""COMPUTED_VALUE"""),270)</f>
        <v>270</v>
      </c>
      <c r="K166" s="3"/>
      <c r="L166" s="3" t="str">
        <f ca="1">IFERROR(__xludf.DUMMYFUNCTION("""COMPUTED_VALUE"""),"Cost per period")</f>
        <v>Cost per period</v>
      </c>
      <c r="M166" s="3"/>
      <c r="N166" s="3"/>
      <c r="O166" s="3" t="str">
        <f ca="1">IFERROR(__xludf.DUMMYFUNCTION("""COMPUTED_VALUE"""),"300")</f>
        <v>300</v>
      </c>
      <c r="P166" s="3" t="str">
        <f ca="1">IFERROR(__xludf.DUMMYFUNCTION("""COMPUTED_VALUE"""),"600")</f>
        <v>600</v>
      </c>
      <c r="Q166" s="3" t="str">
        <f ca="1">IFERROR(__xludf.DUMMYFUNCTION("""COMPUTED_VALUE"""),"300x600")</f>
        <v>300x600</v>
      </c>
      <c r="R166" s="3"/>
      <c r="S166" s="3" t="str">
        <f ca="1">IFERROR(__xludf.DUMMYFUNCTION("""COMPUTED_VALUE"""),"100 (200 - HTML5)")</f>
        <v>100 (200 - HTML5)</v>
      </c>
      <c r="T166" s="3"/>
      <c r="U166" s="3" t="str">
        <f ca="1">IFERROR(__xludf.DUMMYFUNCTION("""COMPUTED_VALUE"""),"banner standard")</f>
        <v>banner standard</v>
      </c>
      <c r="V166" s="3"/>
      <c r="W166" s="4" t="str">
        <f ca="1">IFERROR(__xludf.DUMMYFUNCTION("""COMPUTED_VALUE"""),"https://reklama.cncenter.cz/Online/double-skyscraper")</f>
        <v>https://reklama.cncenter.cz/Online/double-skyscraper</v>
      </c>
      <c r="X166" s="3"/>
      <c r="Y166" s="3"/>
      <c r="Z166" s="3" t="str">
        <f ca="1">IFERROR(__xludf.DUMMYFUNCTION("""COMPUTED_VALUE"""),"podklady@cncenter.cz")</f>
        <v>podklady@cncenter.cz</v>
      </c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 t="str">
        <f ca="1">IFERROR(__xludf.DUMMYFUNCTION("""COMPUTED_VALUE"""),"desktop")</f>
        <v>desktop</v>
      </c>
      <c r="AO166" s="3"/>
      <c r="AP166" s="3"/>
      <c r="AQ166" s="3"/>
      <c r="AR166" s="3"/>
      <c r="AS166" s="3"/>
      <c r="AT166" s="3"/>
      <c r="AU166" s="3" t="str">
        <f ca="1">IFERROR(__xludf.DUMMYFUNCTION("""COMPUTED_VALUE"""),"double skyscraper")</f>
        <v>double skyscraper</v>
      </c>
    </row>
    <row r="167" spans="1:47" x14ac:dyDescent="0.3">
      <c r="A167" s="3">
        <f ca="1"/>
        <v>2346826</v>
      </c>
      <c r="B167" s="3" t="str">
        <f ca="1"/>
        <v>CZECH NEWS CENTER a. s.</v>
      </c>
      <c r="C167" s="3" t="str">
        <f ca="1">IFERROR(__xludf.DUMMYFUNCTION("""COMPUTED_VALUE"""),"Avmania")</f>
        <v>Avmania</v>
      </c>
      <c r="D167" s="4" t="str">
        <f ca="1">IFERROR(__xludf.DUMMYFUNCTION("""COMPUTED_VALUE"""),"https://avmania.zive.cz")</f>
        <v>https://avmania.zive.cz</v>
      </c>
      <c r="E167" s="3" t="str">
        <f ca="1">IFERROR(__xludf.DUMMYFUNCTION("""COMPUTED_VALUE"""),"celý web")</f>
        <v>celý web</v>
      </c>
      <c r="F167" s="4" t="str">
        <f ca="1">IFERROR(__xludf.DUMMYFUNCTION("""COMPUTED_VALUE"""),"https://avmania.zive.cz")</f>
        <v>https://avmania.zive.cz</v>
      </c>
      <c r="G167" s="3" t="str">
        <f ca="1">IFERROR(__xludf.DUMMYFUNCTION("""COMPUTED_VALUE"""),"mobilní interscroller mid season")</f>
        <v>mobilní interscroller mid season</v>
      </c>
      <c r="H167" s="3">
        <f ca="1">IFERROR(__xludf.DUMMYFUNCTION("""COMPUTED_VALUE"""),7)</f>
        <v>7</v>
      </c>
      <c r="I167" s="5">
        <f ca="1">IFERROR(__xludf.DUMMYFUNCTION("""COMPUTED_VALUE"""),1000)</f>
        <v>1000</v>
      </c>
      <c r="J167" s="5">
        <f ca="1">IFERROR(__xludf.DUMMYFUNCTION("""COMPUTED_VALUE"""),350)</f>
        <v>350</v>
      </c>
      <c r="K167" s="3"/>
      <c r="L167" s="3" t="str">
        <f ca="1">IFERROR(__xludf.DUMMYFUNCTION("""COMPUTED_VALUE"""),"Cost per period")</f>
        <v>Cost per period</v>
      </c>
      <c r="M167" s="3"/>
      <c r="N167" s="3"/>
      <c r="O167" s="3" t="str">
        <f ca="1">IFERROR(__xludf.DUMMYFUNCTION("""COMPUTED_VALUE"""),"600")</f>
        <v>600</v>
      </c>
      <c r="P167" s="3" t="str">
        <f ca="1">IFERROR(__xludf.DUMMYFUNCTION("""COMPUTED_VALUE"""),"1080")</f>
        <v>1080</v>
      </c>
      <c r="Q167" s="3" t="str">
        <f ca="1">IFERROR(__xludf.DUMMYFUNCTION("""COMPUTED_VALUE"""),"600x1080")</f>
        <v>600x1080</v>
      </c>
      <c r="R167" s="3"/>
      <c r="S167" s="3" t="str">
        <f ca="1">IFERROR(__xludf.DUMMYFUNCTION("""COMPUTED_VALUE"""),"200")</f>
        <v>200</v>
      </c>
      <c r="T167" s="3"/>
      <c r="U167" s="3" t="str">
        <f ca="1">IFERROR(__xludf.DUMMYFUNCTION("""COMPUTED_VALUE"""),"banner standard")</f>
        <v>banner standard</v>
      </c>
      <c r="V167" s="3"/>
      <c r="W167" s="4" t="str">
        <f ca="1">IFERROR(__xludf.DUMMYFUNCTION("""COMPUTED_VALUE"""),"https://reklama.cncenter.cz/Online/mobilni-interscroller")</f>
        <v>https://reklama.cncenter.cz/Online/mobilni-interscroller</v>
      </c>
      <c r="X167" s="3"/>
      <c r="Y167" s="3"/>
      <c r="Z167" s="3" t="str">
        <f ca="1">IFERROR(__xludf.DUMMYFUNCTION("""COMPUTED_VALUE"""),"podklady@cncenter.cz")</f>
        <v>podklady@cncenter.cz</v>
      </c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 t="str">
        <f ca="1">IFERROR(__xludf.DUMMYFUNCTION("""COMPUTED_VALUE"""),"mobile")</f>
        <v>mobile</v>
      </c>
      <c r="AO167" s="3"/>
      <c r="AP167" s="3"/>
      <c r="AQ167" s="3"/>
      <c r="AR167" s="3"/>
      <c r="AS167" s="3"/>
      <c r="AT167" s="3"/>
      <c r="AU167" s="3" t="str">
        <f ca="1">IFERROR(__xludf.DUMMYFUNCTION("""COMPUTED_VALUE"""),"mobilní interscroller")</f>
        <v>mobilní interscroller</v>
      </c>
    </row>
    <row r="168" spans="1:47" x14ac:dyDescent="0.3">
      <c r="A168" s="3">
        <f ca="1"/>
        <v>2346826</v>
      </c>
      <c r="B168" s="3" t="str">
        <f ca="1"/>
        <v>CZECH NEWS CENTER a. s.</v>
      </c>
      <c r="C168" s="3" t="str">
        <f ca="1">IFERROR(__xludf.DUMMYFUNCTION("""COMPUTED_VALUE"""),"Avmania")</f>
        <v>Avmania</v>
      </c>
      <c r="D168" s="4" t="str">
        <f ca="1">IFERROR(__xludf.DUMMYFUNCTION("""COMPUTED_VALUE"""),"https://avmania.zive.cz")</f>
        <v>https://avmania.zive.cz</v>
      </c>
      <c r="E168" s="3" t="str">
        <f ca="1">IFERROR(__xludf.DUMMYFUNCTION("""COMPUTED_VALUE"""),"celý web")</f>
        <v>celý web</v>
      </c>
      <c r="F168" s="4" t="str">
        <f ca="1">IFERROR(__xludf.DUMMYFUNCTION("""COMPUTED_VALUE"""),"https://avmania.zive.cz")</f>
        <v>https://avmania.zive.cz</v>
      </c>
      <c r="G168" s="3" t="str">
        <f ca="1">IFERROR(__xludf.DUMMYFUNCTION("""COMPUTED_VALUE"""),"mobilní slide-up mid season")</f>
        <v>mobilní slide-up mid season</v>
      </c>
      <c r="H168" s="3">
        <f ca="1">IFERROR(__xludf.DUMMYFUNCTION("""COMPUTED_VALUE"""),7)</f>
        <v>7</v>
      </c>
      <c r="I168" s="5">
        <f ca="1">IFERROR(__xludf.DUMMYFUNCTION("""COMPUTED_VALUE"""),1000)</f>
        <v>1000</v>
      </c>
      <c r="J168" s="5">
        <f ca="1">IFERROR(__xludf.DUMMYFUNCTION("""COMPUTED_VALUE"""),720)</f>
        <v>720</v>
      </c>
      <c r="K168" s="3"/>
      <c r="L168" s="3" t="str">
        <f ca="1">IFERROR(__xludf.DUMMYFUNCTION("""COMPUTED_VALUE"""),"Cost per period")</f>
        <v>Cost per period</v>
      </c>
      <c r="M168" s="3"/>
      <c r="N168" s="3"/>
      <c r="O168" s="3" t="str">
        <f ca="1">IFERROR(__xludf.DUMMYFUNCTION("""COMPUTED_VALUE"""),"300")</f>
        <v>300</v>
      </c>
      <c r="P168" s="3" t="str">
        <f ca="1">IFERROR(__xludf.DUMMYFUNCTION("""COMPUTED_VALUE"""),"120")</f>
        <v>120</v>
      </c>
      <c r="Q168" s="3" t="str">
        <f ca="1">IFERROR(__xludf.DUMMYFUNCTION("""COMPUTED_VALUE"""),"300x120")</f>
        <v>300x120</v>
      </c>
      <c r="R168" s="3"/>
      <c r="S168" s="3" t="str">
        <f ca="1">IFERROR(__xludf.DUMMYFUNCTION("""COMPUTED_VALUE"""),"100")</f>
        <v>100</v>
      </c>
      <c r="T168" s="3"/>
      <c r="U168" s="3" t="str">
        <f ca="1">IFERROR(__xludf.DUMMYFUNCTION("""COMPUTED_VALUE"""),"banner standard")</f>
        <v>banner standard</v>
      </c>
      <c r="V168" s="3"/>
      <c r="W168" s="4" t="str">
        <f ca="1">IFERROR(__xludf.DUMMYFUNCTION("""COMPUTED_VALUE"""),"https://reklama.cncenter.cz/Online/mobilni-slide-up")</f>
        <v>https://reklama.cncenter.cz/Online/mobilni-slide-up</v>
      </c>
      <c r="X168" s="3"/>
      <c r="Y168" s="3"/>
      <c r="Z168" s="3" t="str">
        <f ca="1">IFERROR(__xludf.DUMMYFUNCTION("""COMPUTED_VALUE"""),"podklady@cncenter.cz")</f>
        <v>podklady@cncenter.cz</v>
      </c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 t="str">
        <f ca="1">IFERROR(__xludf.DUMMYFUNCTION("""COMPUTED_VALUE"""),"mobile")</f>
        <v>mobile</v>
      </c>
      <c r="AO168" s="3"/>
      <c r="AP168" s="3"/>
      <c r="AQ168" s="3"/>
      <c r="AR168" s="3"/>
      <c r="AS168" s="3"/>
      <c r="AT168" s="3"/>
      <c r="AU168" s="3" t="str">
        <f ca="1">IFERROR(__xludf.DUMMYFUNCTION("""COMPUTED_VALUE"""),"mobilní slide-up")</f>
        <v>mobilní slide-up</v>
      </c>
    </row>
    <row r="169" spans="1:47" x14ac:dyDescent="0.3">
      <c r="A169" s="3">
        <f ca="1"/>
        <v>2346826</v>
      </c>
      <c r="B169" s="3" t="str">
        <f ca="1"/>
        <v>CZECH NEWS CENTER a. s.</v>
      </c>
      <c r="C169" s="3" t="str">
        <f ca="1">IFERROR(__xludf.DUMMYFUNCTION("""COMPUTED_VALUE"""),"Avmania")</f>
        <v>Avmania</v>
      </c>
      <c r="D169" s="4" t="str">
        <f ca="1">IFERROR(__xludf.DUMMYFUNCTION("""COMPUTED_VALUE"""),"https://avmania.zive.cz")</f>
        <v>https://avmania.zive.cz</v>
      </c>
      <c r="E169" s="3" t="str">
        <f ca="1">IFERROR(__xludf.DUMMYFUNCTION("""COMPUTED_VALUE"""),"celý web")</f>
        <v>celý web</v>
      </c>
      <c r="F169" s="4" t="str">
        <f ca="1">IFERROR(__xludf.DUMMYFUNCTION("""COMPUTED_VALUE"""),"https://avmania.zive.cz")</f>
        <v>https://avmania.zive.cz</v>
      </c>
      <c r="G169" s="3" t="str">
        <f ca="1">IFERROR(__xludf.DUMMYFUNCTION("""COMPUTED_VALUE"""),"mobilní viněta mid season")</f>
        <v>mobilní viněta mid season</v>
      </c>
      <c r="H169" s="3">
        <f ca="1">IFERROR(__xludf.DUMMYFUNCTION("""COMPUTED_VALUE"""),7)</f>
        <v>7</v>
      </c>
      <c r="I169" s="5">
        <f ca="1">IFERROR(__xludf.DUMMYFUNCTION("""COMPUTED_VALUE"""),1000)</f>
        <v>1000</v>
      </c>
      <c r="J169" s="5">
        <f ca="1">IFERROR(__xludf.DUMMYFUNCTION("""COMPUTED_VALUE"""),1240)</f>
        <v>1240</v>
      </c>
      <c r="K169" s="3"/>
      <c r="L169" s="3" t="str">
        <f ca="1">IFERROR(__xludf.DUMMYFUNCTION("""COMPUTED_VALUE"""),"Cost per period")</f>
        <v>Cost per period</v>
      </c>
      <c r="M169" s="3"/>
      <c r="N169" s="3"/>
      <c r="O169" s="3" t="str">
        <f ca="1">IFERROR(__xludf.DUMMYFUNCTION("""COMPUTED_VALUE"""),"600")</f>
        <v>600</v>
      </c>
      <c r="P169" s="3" t="str">
        <f ca="1">IFERROR(__xludf.DUMMYFUNCTION("""COMPUTED_VALUE"""),"800")</f>
        <v>800</v>
      </c>
      <c r="Q169" s="3" t="str">
        <f ca="1">IFERROR(__xludf.DUMMYFUNCTION("""COMPUTED_VALUE"""),"300x250 nebo 600x800")</f>
        <v>300x250 nebo 600x800</v>
      </c>
      <c r="R169" s="3"/>
      <c r="S169" s="3" t="str">
        <f ca="1">IFERROR(__xludf.DUMMYFUNCTION("""COMPUTED_VALUE"""),"100")</f>
        <v>100</v>
      </c>
      <c r="T169" s="3"/>
      <c r="U169" s="3" t="str">
        <f ca="1">IFERROR(__xludf.DUMMYFUNCTION("""COMPUTED_VALUE"""),"banner standard")</f>
        <v>banner standard</v>
      </c>
      <c r="V169" s="3"/>
      <c r="W169" s="4" t="str">
        <f ca="1">IFERROR(__xludf.DUMMYFUNCTION("""COMPUTED_VALUE"""),"https://reklama.cncenter.cz/Online/mobilni-vineta")</f>
        <v>https://reklama.cncenter.cz/Online/mobilni-vineta</v>
      </c>
      <c r="X169" s="3"/>
      <c r="Y169" s="3"/>
      <c r="Z169" s="3" t="str">
        <f ca="1">IFERROR(__xludf.DUMMYFUNCTION("""COMPUTED_VALUE"""),"podklady@cncenter.cz")</f>
        <v>podklady@cncenter.cz</v>
      </c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 t="str">
        <f ca="1">IFERROR(__xludf.DUMMYFUNCTION("""COMPUTED_VALUE"""),"mobile")</f>
        <v>mobile</v>
      </c>
      <c r="AO169" s="3"/>
      <c r="AP169" s="3"/>
      <c r="AQ169" s="3"/>
      <c r="AR169" s="3"/>
      <c r="AS169" s="3"/>
      <c r="AT169" s="3"/>
      <c r="AU169" s="3" t="str">
        <f ca="1">IFERROR(__xludf.DUMMYFUNCTION("""COMPUTED_VALUE"""),"mobilní viněta")</f>
        <v>mobilní viněta</v>
      </c>
    </row>
    <row r="170" spans="1:47" x14ac:dyDescent="0.3">
      <c r="A170" s="3">
        <f ca="1"/>
        <v>2346826</v>
      </c>
      <c r="B170" s="3" t="str">
        <f ca="1"/>
        <v>CZECH NEWS CENTER a. s.</v>
      </c>
      <c r="C170" s="3" t="str">
        <f ca="1">IFERROR(__xludf.DUMMYFUNCTION("""COMPUTED_VALUE"""),"Avmania")</f>
        <v>Avmania</v>
      </c>
      <c r="D170" s="4" t="str">
        <f ca="1">IFERROR(__xludf.DUMMYFUNCTION("""COMPUTED_VALUE"""),"https://avmania.zive.cz")</f>
        <v>https://avmania.zive.cz</v>
      </c>
      <c r="E170" s="3" t="str">
        <f ca="1">IFERROR(__xludf.DUMMYFUNCTION("""COMPUTED_VALUE"""),"celý web")</f>
        <v>celý web</v>
      </c>
      <c r="F170" s="4" t="str">
        <f ca="1">IFERROR(__xludf.DUMMYFUNCTION("""COMPUTED_VALUE"""),"https://avmania.zive.cz")</f>
        <v>https://avmania.zive.cz</v>
      </c>
      <c r="G170" s="3" t="str">
        <f ca="1">IFERROR(__xludf.DUMMYFUNCTION("""COMPUTED_VALUE"""),"Native Standard mid season")</f>
        <v>Native Standard mid season</v>
      </c>
      <c r="H170" s="3">
        <f ca="1">IFERROR(__xludf.DUMMYFUNCTION("""COMPUTED_VALUE"""),1)</f>
        <v>1</v>
      </c>
      <c r="I170" s="5">
        <f ca="1">IFERROR(__xludf.DUMMYFUNCTION("""COMPUTED_VALUE"""),1)</f>
        <v>1</v>
      </c>
      <c r="J170" s="5">
        <f ca="1">IFERROR(__xludf.DUMMYFUNCTION("""COMPUTED_VALUE"""),330000)</f>
        <v>330000</v>
      </c>
      <c r="K170" s="3"/>
      <c r="L170" s="3" t="str">
        <f ca="1">IFERROR(__xludf.DUMMYFUNCTION("""COMPUTED_VALUE"""),"Cost per instance")</f>
        <v>Cost per instance</v>
      </c>
      <c r="M170" s="3"/>
      <c r="N170" s="3"/>
      <c r="O170" s="3"/>
      <c r="P170" s="3"/>
      <c r="Q170" s="3"/>
      <c r="R170" s="3"/>
      <c r="S170" s="3" t="str">
        <f ca="1">IFERROR(__xludf.DUMMYFUNCTION("""COMPUTED_VALUE"""),"100")</f>
        <v>100</v>
      </c>
      <c r="T170" s="3"/>
      <c r="U170" s="3" t="str">
        <f ca="1">IFERROR(__xludf.DUMMYFUNCTION("""COMPUTED_VALUE"""),"microsite")</f>
        <v>microsite</v>
      </c>
      <c r="V170" s="3"/>
      <c r="W170" s="3"/>
      <c r="X170" s="3"/>
      <c r="Y170" s="3"/>
      <c r="Z170" s="3" t="str">
        <f ca="1">IFERROR(__xludf.DUMMYFUNCTION("""COMPUTED_VALUE"""),"podklady@cncenter.cz")</f>
        <v>podklady@cncenter.cz</v>
      </c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 t="str">
        <f ca="1">IFERROR(__xludf.DUMMYFUNCTION("""COMPUTED_VALUE"""),"cross-device")</f>
        <v>cross-device</v>
      </c>
      <c r="AO170" s="3"/>
      <c r="AP170" s="3"/>
      <c r="AQ170" s="3"/>
      <c r="AR170" s="3"/>
      <c r="AS170" s="3"/>
      <c r="AT170" s="3"/>
      <c r="AU170" s="3" t="str">
        <f ca="1">IFERROR(__xludf.DUMMYFUNCTION("""COMPUTED_VALUE"""),"Native Standard")</f>
        <v>Native Standard</v>
      </c>
    </row>
    <row r="171" spans="1:47" x14ac:dyDescent="0.3">
      <c r="A171" s="3">
        <f ca="1"/>
        <v>2346826</v>
      </c>
      <c r="B171" s="3" t="str">
        <f ca="1"/>
        <v>CZECH NEWS CENTER a. s.</v>
      </c>
      <c r="C171" s="3" t="str">
        <f ca="1">IFERROR(__xludf.DUMMYFUNCTION("""COMPUTED_VALUE"""),"Avmania")</f>
        <v>Avmania</v>
      </c>
      <c r="D171" s="4" t="str">
        <f ca="1">IFERROR(__xludf.DUMMYFUNCTION("""COMPUTED_VALUE"""),"https://avmania.zive.cz")</f>
        <v>https://avmania.zive.cz</v>
      </c>
      <c r="E171" s="3" t="str">
        <f ca="1">IFERROR(__xludf.DUMMYFUNCTION("""COMPUTED_VALUE"""),"celý web")</f>
        <v>celý web</v>
      </c>
      <c r="F171" s="4" t="str">
        <f ca="1">IFERROR(__xludf.DUMMYFUNCTION("""COMPUTED_VALUE"""),"https://avmania.zive.cz")</f>
        <v>https://avmania.zive.cz</v>
      </c>
      <c r="G171" s="3" t="str">
        <f ca="1">IFERROR(__xludf.DUMMYFUNCTION("""COMPUTED_VALUE"""),"nativní rectangle cross-device mid season")</f>
        <v>nativní rectangle cross-device mid season</v>
      </c>
      <c r="H171" s="3">
        <f ca="1">IFERROR(__xludf.DUMMYFUNCTION("""COMPUTED_VALUE"""),7)</f>
        <v>7</v>
      </c>
      <c r="I171" s="5">
        <f ca="1">IFERROR(__xludf.DUMMYFUNCTION("""COMPUTED_VALUE"""),1000)</f>
        <v>1000</v>
      </c>
      <c r="J171" s="5">
        <f ca="1">IFERROR(__xludf.DUMMYFUNCTION("""COMPUTED_VALUE"""),280)</f>
        <v>280</v>
      </c>
      <c r="K171" s="3"/>
      <c r="L171" s="3" t="str">
        <f ca="1">IFERROR(__xludf.DUMMYFUNCTION("""COMPUTED_VALUE"""),"Cost per period")</f>
        <v>Cost per period</v>
      </c>
      <c r="M171" s="3"/>
      <c r="N171" s="3"/>
      <c r="O171" s="3" t="str">
        <f ca="1">IFERROR(__xludf.DUMMYFUNCTION("""COMPUTED_VALUE"""),"640")</f>
        <v>640</v>
      </c>
      <c r="P171" s="3" t="str">
        <f ca="1">IFERROR(__xludf.DUMMYFUNCTION("""COMPUTED_VALUE"""),"335, 640")</f>
        <v>335, 640</v>
      </c>
      <c r="Q171" s="3" t="str">
        <f ca="1">IFERROR(__xludf.DUMMYFUNCTION("""COMPUTED_VALUE"""),"640x640 a 640x335 + text + logo")</f>
        <v>640x640 a 640x335 + text + logo</v>
      </c>
      <c r="R171" s="3"/>
      <c r="S171" s="3" t="str">
        <f ca="1">IFERROR(__xludf.DUMMYFUNCTION("""COMPUTED_VALUE"""),"45")</f>
        <v>45</v>
      </c>
      <c r="T171" s="3"/>
      <c r="U171" s="3" t="str">
        <f ca="1">IFERROR(__xludf.DUMMYFUNCTION("""COMPUTED_VALUE"""),"nativní reklama")</f>
        <v>nativní reklama</v>
      </c>
      <c r="V171" s="3"/>
      <c r="W171" s="4" t="str">
        <f ca="1">IFERROR(__xludf.DUMMYFUNCTION("""COMPUTED_VALUE"""),"https://reklama.cncenter.cz/Online/nativni-rectangle-cross-device")</f>
        <v>https://reklama.cncenter.cz/Online/nativni-rectangle-cross-device</v>
      </c>
      <c r="X171" s="3"/>
      <c r="Y171" s="3"/>
      <c r="Z171" s="3" t="str">
        <f ca="1">IFERROR(__xludf.DUMMYFUNCTION("""COMPUTED_VALUE"""),"podklady@cncenter.cz")</f>
        <v>podklady@cncenter.cz</v>
      </c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 t="str">
        <f ca="1">IFERROR(__xludf.DUMMYFUNCTION("""COMPUTED_VALUE"""),"cross-device")</f>
        <v>cross-device</v>
      </c>
      <c r="AO171" s="3"/>
      <c r="AP171" s="3"/>
      <c r="AQ171" s="3"/>
      <c r="AR171" s="3"/>
      <c r="AS171" s="3"/>
      <c r="AT171" s="3"/>
      <c r="AU171" s="3" t="str">
        <f ca="1">IFERROR(__xludf.DUMMYFUNCTION("""COMPUTED_VALUE"""),"nativní rectangle cross-device")</f>
        <v>nativní rectangle cross-device</v>
      </c>
    </row>
    <row r="172" spans="1:47" x14ac:dyDescent="0.3">
      <c r="A172" s="3">
        <f ca="1"/>
        <v>2346826</v>
      </c>
      <c r="B172" s="3" t="str">
        <f ca="1"/>
        <v>CZECH NEWS CENTER a. s.</v>
      </c>
      <c r="C172" s="3" t="str">
        <f ca="1">IFERROR(__xludf.DUMMYFUNCTION("""COMPUTED_VALUE"""),"Avmania")</f>
        <v>Avmania</v>
      </c>
      <c r="D172" s="4" t="str">
        <f ca="1">IFERROR(__xludf.DUMMYFUNCTION("""COMPUTED_VALUE"""),"https://avmania.zive.cz")</f>
        <v>https://avmania.zive.cz</v>
      </c>
      <c r="E172" s="3" t="str">
        <f ca="1">IFERROR(__xludf.DUMMYFUNCTION("""COMPUTED_VALUE"""),"celý web")</f>
        <v>celý web</v>
      </c>
      <c r="F172" s="4" t="str">
        <f ca="1">IFERROR(__xludf.DUMMYFUNCTION("""COMPUTED_VALUE"""),"https://avmania.zive.cz")</f>
        <v>https://avmania.zive.cz</v>
      </c>
      <c r="G172" s="3" t="str">
        <f ca="1">IFERROR(__xludf.DUMMYFUNCTION("""COMPUTED_VALUE"""),"outstream mid season")</f>
        <v>outstream mid season</v>
      </c>
      <c r="H172" s="3">
        <f ca="1">IFERROR(__xludf.DUMMYFUNCTION("""COMPUTED_VALUE"""),7)</f>
        <v>7</v>
      </c>
      <c r="I172" s="5">
        <f ca="1">IFERROR(__xludf.DUMMYFUNCTION("""COMPUTED_VALUE"""),1000)</f>
        <v>1000</v>
      </c>
      <c r="J172" s="5">
        <f ca="1">IFERROR(__xludf.DUMMYFUNCTION("""COMPUTED_VALUE"""),350)</f>
        <v>350</v>
      </c>
      <c r="K172" s="3"/>
      <c r="L172" s="3" t="str">
        <f ca="1">IFERROR(__xludf.DUMMYFUNCTION("""COMPUTED_VALUE"""),"Cost per period")</f>
        <v>Cost per period</v>
      </c>
      <c r="M172" s="3"/>
      <c r="N172" s="3"/>
      <c r="O172" s="3" t="str">
        <f ca="1">IFERROR(__xludf.DUMMYFUNCTION("""COMPUTED_VALUE"""),"1280")</f>
        <v>1280</v>
      </c>
      <c r="P172" s="3" t="str">
        <f ca="1">IFERROR(__xludf.DUMMYFUNCTION("""COMPUTED_VALUE"""),"720")</f>
        <v>720</v>
      </c>
      <c r="Q172" s="3" t="str">
        <f ca="1">IFERROR(__xludf.DUMMYFUNCTION("""COMPUTED_VALUE"""),"16:9")</f>
        <v>16:9</v>
      </c>
      <c r="R172" s="3"/>
      <c r="S172" s="3" t="str">
        <f ca="1">IFERROR(__xludf.DUMMYFUNCTION("""COMPUTED_VALUE"""),"100")</f>
        <v>100</v>
      </c>
      <c r="T172" s="3"/>
      <c r="U172" s="3" t="str">
        <f ca="1">IFERROR(__xludf.DUMMYFUNCTION("""COMPUTED_VALUE"""),"videospot")</f>
        <v>videospot</v>
      </c>
      <c r="V172" s="3"/>
      <c r="W172" s="4" t="str">
        <f ca="1">IFERROR(__xludf.DUMMYFUNCTION("""COMPUTED_VALUE"""),"https://reklama.cncenter.cz/Online/Outstream")</f>
        <v>https://reklama.cncenter.cz/Online/Outstream</v>
      </c>
      <c r="X172" s="3"/>
      <c r="Y172" s="3"/>
      <c r="Z172" s="3" t="str">
        <f ca="1">IFERROR(__xludf.DUMMYFUNCTION("""COMPUTED_VALUE"""),"podklady@cncenter.cz")</f>
        <v>podklady@cncenter.cz</v>
      </c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 t="str">
        <f ca="1">IFERROR(__xludf.DUMMYFUNCTION("""COMPUTED_VALUE"""),"cross-device")</f>
        <v>cross-device</v>
      </c>
      <c r="AO172" s="3"/>
      <c r="AP172" s="3"/>
      <c r="AQ172" s="3"/>
      <c r="AR172" s="3"/>
      <c r="AS172" s="3"/>
      <c r="AT172" s="3"/>
      <c r="AU172" s="3" t="str">
        <f ca="1">IFERROR(__xludf.DUMMYFUNCTION("""COMPUTED_VALUE"""),"outstream")</f>
        <v>outstream</v>
      </c>
    </row>
    <row r="173" spans="1:47" x14ac:dyDescent="0.3">
      <c r="A173" s="3">
        <f ca="1"/>
        <v>2346826</v>
      </c>
      <c r="B173" s="3" t="str">
        <f ca="1"/>
        <v>CZECH NEWS CENTER a. s.</v>
      </c>
      <c r="C173" s="3" t="str">
        <f ca="1">IFERROR(__xludf.DUMMYFUNCTION("""COMPUTED_VALUE"""),"Avmania")</f>
        <v>Avmania</v>
      </c>
      <c r="D173" s="4" t="str">
        <f ca="1">IFERROR(__xludf.DUMMYFUNCTION("""COMPUTED_VALUE"""),"https://avmania.zive.cz")</f>
        <v>https://avmania.zive.cz</v>
      </c>
      <c r="E173" s="3" t="str">
        <f ca="1">IFERROR(__xludf.DUMMYFUNCTION("""COMPUTED_VALUE"""),"celý web")</f>
        <v>celý web</v>
      </c>
      <c r="F173" s="4" t="str">
        <f ca="1">IFERROR(__xludf.DUMMYFUNCTION("""COMPUTED_VALUE"""),"https://avmania.zive.cz")</f>
        <v>https://avmania.zive.cz</v>
      </c>
      <c r="G173" s="3" t="str">
        <f ca="1">IFERROR(__xludf.DUMMYFUNCTION("""COMPUTED_VALUE"""),"PR článek mid season")</f>
        <v>PR článek mid season</v>
      </c>
      <c r="H173" s="3">
        <f ca="1">IFERROR(__xludf.DUMMYFUNCTION("""COMPUTED_VALUE"""),1)</f>
        <v>1</v>
      </c>
      <c r="I173" s="5">
        <f ca="1">IFERROR(__xludf.DUMMYFUNCTION("""COMPUTED_VALUE"""),1)</f>
        <v>1</v>
      </c>
      <c r="J173" s="5">
        <f ca="1">IFERROR(__xludf.DUMMYFUNCTION("""COMPUTED_VALUE"""),30000)</f>
        <v>30000</v>
      </c>
      <c r="K173" s="3"/>
      <c r="L173" s="3" t="str">
        <f ca="1">IFERROR(__xludf.DUMMYFUNCTION("""COMPUTED_VALUE"""),"Cost per instance")</f>
        <v>Cost per instance</v>
      </c>
      <c r="M173" s="3"/>
      <c r="N173" s="3"/>
      <c r="O173" s="3"/>
      <c r="P173" s="3"/>
      <c r="Q173" s="3"/>
      <c r="R173" s="3"/>
      <c r="S173" s="3" t="str">
        <f ca="1">IFERROR(__xludf.DUMMYFUNCTION("""COMPUTED_VALUE"""),"100")</f>
        <v>100</v>
      </c>
      <c r="T173" s="3"/>
      <c r="U173" s="3" t="str">
        <f ca="1">IFERROR(__xludf.DUMMYFUNCTION("""COMPUTED_VALUE"""),"pr článek")</f>
        <v>pr článek</v>
      </c>
      <c r="V173" s="3"/>
      <c r="W173" s="4" t="str">
        <f ca="1">IFERROR(__xludf.DUMMYFUNCTION("""COMPUTED_VALUE"""),"https://reklama.cncenter.cz/?ads=PR%2520%25C4%258Dl%25C3%25A1nky")</f>
        <v>https://reklama.cncenter.cz/?ads=PR%2520%25C4%258Dl%25C3%25A1nky</v>
      </c>
      <c r="X173" s="3"/>
      <c r="Y173" s="3"/>
      <c r="Z173" s="3" t="str">
        <f ca="1">IFERROR(__xludf.DUMMYFUNCTION("""COMPUTED_VALUE"""),"podklady@cncenter.cz")</f>
        <v>podklady@cncenter.cz</v>
      </c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 t="str">
        <f ca="1">IFERROR(__xludf.DUMMYFUNCTION("""COMPUTED_VALUE"""),"cross-device")</f>
        <v>cross-device</v>
      </c>
      <c r="AO173" s="3"/>
      <c r="AP173" s="3"/>
      <c r="AQ173" s="3"/>
      <c r="AR173" s="3"/>
      <c r="AS173" s="3"/>
      <c r="AT173" s="3"/>
      <c r="AU173" s="3" t="str">
        <f ca="1">IFERROR(__xludf.DUMMYFUNCTION("""COMPUTED_VALUE"""),"PR článek")</f>
        <v>PR článek</v>
      </c>
    </row>
    <row r="174" spans="1:47" x14ac:dyDescent="0.3">
      <c r="A174" s="3">
        <f ca="1"/>
        <v>2346826</v>
      </c>
      <c r="B174" s="3" t="str">
        <f ca="1"/>
        <v>CZECH NEWS CENTER a. s.</v>
      </c>
      <c r="C174" s="3" t="str">
        <f ca="1">IFERROR(__xludf.DUMMYFUNCTION("""COMPUTED_VALUE"""),"Avmania")</f>
        <v>Avmania</v>
      </c>
      <c r="D174" s="4" t="str">
        <f ca="1">IFERROR(__xludf.DUMMYFUNCTION("""COMPUTED_VALUE"""),"https://avmania.zive.cz")</f>
        <v>https://avmania.zive.cz</v>
      </c>
      <c r="E174" s="3" t="str">
        <f ca="1">IFERROR(__xludf.DUMMYFUNCTION("""COMPUTED_VALUE"""),"celý web")</f>
        <v>celý web</v>
      </c>
      <c r="F174" s="4" t="str">
        <f ca="1">IFERROR(__xludf.DUMMYFUNCTION("""COMPUTED_VALUE"""),"https://avmania.zive.cz")</f>
        <v>https://avmania.zive.cz</v>
      </c>
      <c r="G174" s="3" t="str">
        <f ca="1">IFERROR(__xludf.DUMMYFUNCTION("""COMPUTED_VALUE"""),"Prodloužení existující microsite, bez úprav mid season")</f>
        <v>Prodloužení existující microsite, bez úprav mid season</v>
      </c>
      <c r="H174" s="3">
        <f ca="1">IFERROR(__xludf.DUMMYFUNCTION("""COMPUTED_VALUE"""),1)</f>
        <v>1</v>
      </c>
      <c r="I174" s="5">
        <f ca="1">IFERROR(__xludf.DUMMYFUNCTION("""COMPUTED_VALUE"""),1)</f>
        <v>1</v>
      </c>
      <c r="J174" s="5">
        <f ca="1">IFERROR(__xludf.DUMMYFUNCTION("""COMPUTED_VALUE"""),15000)</f>
        <v>15000</v>
      </c>
      <c r="K174" s="3"/>
      <c r="L174" s="3" t="str">
        <f ca="1">IFERROR(__xludf.DUMMYFUNCTION("""COMPUTED_VALUE"""),"Cost per instance")</f>
        <v>Cost per instance</v>
      </c>
      <c r="M174" s="3"/>
      <c r="N174" s="3"/>
      <c r="O174" s="3"/>
      <c r="P174" s="3"/>
      <c r="Q174" s="3"/>
      <c r="R174" s="3"/>
      <c r="S174" s="3" t="str">
        <f ca="1">IFERROR(__xludf.DUMMYFUNCTION("""COMPUTED_VALUE"""),"100")</f>
        <v>100</v>
      </c>
      <c r="T174" s="3"/>
      <c r="U174" s="3" t="str">
        <f ca="1">IFERROR(__xludf.DUMMYFUNCTION("""COMPUTED_VALUE"""),"microsite")</f>
        <v>microsite</v>
      </c>
      <c r="V174" s="3"/>
      <c r="W174" s="3"/>
      <c r="X174" s="3"/>
      <c r="Y174" s="3"/>
      <c r="Z174" s="3" t="str">
        <f ca="1">IFERROR(__xludf.DUMMYFUNCTION("""COMPUTED_VALUE"""),"podklady@cncenter.cz")</f>
        <v>podklady@cncenter.cz</v>
      </c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 t="str">
        <f ca="1">IFERROR(__xludf.DUMMYFUNCTION("""COMPUTED_VALUE"""),"cross-device")</f>
        <v>cross-device</v>
      </c>
      <c r="AO174" s="3"/>
      <c r="AP174" s="3"/>
      <c r="AQ174" s="3"/>
      <c r="AR174" s="3"/>
      <c r="AS174" s="3"/>
      <c r="AT174" s="3"/>
      <c r="AU174" s="3" t="str">
        <f ca="1">IFERROR(__xludf.DUMMYFUNCTION("""COMPUTED_VALUE"""),"Prodloužení existující microsite, bez úprav")</f>
        <v>Prodloužení existující microsite, bez úprav</v>
      </c>
    </row>
    <row r="175" spans="1:47" x14ac:dyDescent="0.3">
      <c r="A175" s="3">
        <f ca="1"/>
        <v>2346826</v>
      </c>
      <c r="B175" s="3" t="str">
        <f ca="1"/>
        <v>CZECH NEWS CENTER a. s.</v>
      </c>
      <c r="C175" s="3" t="str">
        <f ca="1">IFERROR(__xludf.DUMMYFUNCTION("""COMPUTED_VALUE"""),"Avmania")</f>
        <v>Avmania</v>
      </c>
      <c r="D175" s="4" t="str">
        <f ca="1">IFERROR(__xludf.DUMMYFUNCTION("""COMPUTED_VALUE"""),"https://avmania.zive.cz")</f>
        <v>https://avmania.zive.cz</v>
      </c>
      <c r="E175" s="3" t="str">
        <f ca="1">IFERROR(__xludf.DUMMYFUNCTION("""COMPUTED_VALUE"""),"celý web")</f>
        <v>celý web</v>
      </c>
      <c r="F175" s="4" t="str">
        <f ca="1">IFERROR(__xludf.DUMMYFUNCTION("""COMPUTED_VALUE"""),"https://avmania.zive.cz")</f>
        <v>https://avmania.zive.cz</v>
      </c>
      <c r="G175" s="3" t="str">
        <f ca="1">IFERROR(__xludf.DUMMYFUNCTION("""COMPUTED_VALUE"""),"Prodloužení existující microsite, bez úprav mid season")</f>
        <v>Prodloužení existující microsite, bez úprav mid season</v>
      </c>
      <c r="H175" s="3">
        <f ca="1">IFERROR(__xludf.DUMMYFUNCTION("""COMPUTED_VALUE"""),1)</f>
        <v>1</v>
      </c>
      <c r="I175" s="5">
        <f ca="1">IFERROR(__xludf.DUMMYFUNCTION("""COMPUTED_VALUE"""),1)</f>
        <v>1</v>
      </c>
      <c r="J175" s="5">
        <f ca="1">IFERROR(__xludf.DUMMYFUNCTION("""COMPUTED_VALUE"""),15000)</f>
        <v>15000</v>
      </c>
      <c r="K175" s="3"/>
      <c r="L175" s="3" t="str">
        <f ca="1">IFERROR(__xludf.DUMMYFUNCTION("""COMPUTED_VALUE"""),"Cost per instance")</f>
        <v>Cost per instance</v>
      </c>
      <c r="M175" s="3"/>
      <c r="N175" s="3"/>
      <c r="O175" s="3"/>
      <c r="P175" s="3"/>
      <c r="Q175" s="3"/>
      <c r="R175" s="3"/>
      <c r="S175" s="3" t="str">
        <f ca="1">IFERROR(__xludf.DUMMYFUNCTION("""COMPUTED_VALUE"""),"100")</f>
        <v>100</v>
      </c>
      <c r="T175" s="3"/>
      <c r="U175" s="3" t="str">
        <f ca="1">IFERROR(__xludf.DUMMYFUNCTION("""COMPUTED_VALUE"""),"microsite")</f>
        <v>microsite</v>
      </c>
      <c r="V175" s="3"/>
      <c r="W175" s="3"/>
      <c r="X175" s="3"/>
      <c r="Y175" s="3"/>
      <c r="Z175" s="3" t="str">
        <f ca="1">IFERROR(__xludf.DUMMYFUNCTION("""COMPUTED_VALUE"""),"podklady@cncenter.cz")</f>
        <v>podklady@cncenter.cz</v>
      </c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 t="str">
        <f ca="1">IFERROR(__xludf.DUMMYFUNCTION("""COMPUTED_VALUE"""),"cross-device")</f>
        <v>cross-device</v>
      </c>
      <c r="AO175" s="3"/>
      <c r="AP175" s="3"/>
      <c r="AQ175" s="3"/>
      <c r="AR175" s="3"/>
      <c r="AS175" s="3"/>
      <c r="AT175" s="3"/>
      <c r="AU175" s="3" t="str">
        <f ca="1">IFERROR(__xludf.DUMMYFUNCTION("""COMPUTED_VALUE"""),"Prodloužení existující microsite, bez úprav")</f>
        <v>Prodloužení existující microsite, bez úprav</v>
      </c>
    </row>
    <row r="176" spans="1:47" x14ac:dyDescent="0.3">
      <c r="A176" s="3">
        <f ca="1"/>
        <v>2346826</v>
      </c>
      <c r="B176" s="3" t="str">
        <f ca="1"/>
        <v>CZECH NEWS CENTER a. s.</v>
      </c>
      <c r="C176" s="3" t="str">
        <f ca="1">IFERROR(__xludf.DUMMYFUNCTION("""COMPUTED_VALUE"""),"Avmania")</f>
        <v>Avmania</v>
      </c>
      <c r="D176" s="4" t="str">
        <f ca="1">IFERROR(__xludf.DUMMYFUNCTION("""COMPUTED_VALUE"""),"https://avmania.zive.cz")</f>
        <v>https://avmania.zive.cz</v>
      </c>
      <c r="E176" s="3" t="str">
        <f ca="1">IFERROR(__xludf.DUMMYFUNCTION("""COMPUTED_VALUE"""),"celý web")</f>
        <v>celý web</v>
      </c>
      <c r="F176" s="4" t="str">
        <f ca="1">IFERROR(__xludf.DUMMYFUNCTION("""COMPUTED_VALUE"""),"https://avmania.zive.cz")</f>
        <v>https://avmania.zive.cz</v>
      </c>
      <c r="G176" s="3" t="str">
        <f ca="1">IFERROR(__xludf.DUMMYFUNCTION("""COMPUTED_VALUE"""),"Prodloužení existující microsite, bez úprav mid season")</f>
        <v>Prodloužení existující microsite, bez úprav mid season</v>
      </c>
      <c r="H176" s="3">
        <f ca="1">IFERROR(__xludf.DUMMYFUNCTION("""COMPUTED_VALUE"""),1)</f>
        <v>1</v>
      </c>
      <c r="I176" s="5">
        <f ca="1">IFERROR(__xludf.DUMMYFUNCTION("""COMPUTED_VALUE"""),1)</f>
        <v>1</v>
      </c>
      <c r="J176" s="5">
        <f ca="1">IFERROR(__xludf.DUMMYFUNCTION("""COMPUTED_VALUE"""),15000)</f>
        <v>15000</v>
      </c>
      <c r="K176" s="3"/>
      <c r="L176" s="3" t="str">
        <f ca="1">IFERROR(__xludf.DUMMYFUNCTION("""COMPUTED_VALUE"""),"Cost per instance")</f>
        <v>Cost per instance</v>
      </c>
      <c r="M176" s="3"/>
      <c r="N176" s="3"/>
      <c r="O176" s="3"/>
      <c r="P176" s="3"/>
      <c r="Q176" s="3"/>
      <c r="R176" s="3"/>
      <c r="S176" s="3" t="str">
        <f ca="1">IFERROR(__xludf.DUMMYFUNCTION("""COMPUTED_VALUE"""),"100")</f>
        <v>100</v>
      </c>
      <c r="T176" s="3"/>
      <c r="U176" s="3" t="str">
        <f ca="1">IFERROR(__xludf.DUMMYFUNCTION("""COMPUTED_VALUE"""),"microsite")</f>
        <v>microsite</v>
      </c>
      <c r="V176" s="3"/>
      <c r="W176" s="3"/>
      <c r="X176" s="3"/>
      <c r="Y176" s="3"/>
      <c r="Z176" s="3" t="str">
        <f ca="1">IFERROR(__xludf.DUMMYFUNCTION("""COMPUTED_VALUE"""),"podklady@cncenter.cz")</f>
        <v>podklady@cncenter.cz</v>
      </c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 t="str">
        <f ca="1">IFERROR(__xludf.DUMMYFUNCTION("""COMPUTED_VALUE"""),"cross-device")</f>
        <v>cross-device</v>
      </c>
      <c r="AO176" s="3"/>
      <c r="AP176" s="3"/>
      <c r="AQ176" s="3"/>
      <c r="AR176" s="3"/>
      <c r="AS176" s="3"/>
      <c r="AT176" s="3"/>
      <c r="AU176" s="3" t="str">
        <f ca="1">IFERROR(__xludf.DUMMYFUNCTION("""COMPUTED_VALUE"""),"Prodloužení existující microsite, bez úprav")</f>
        <v>Prodloužení existující microsite, bez úprav</v>
      </c>
    </row>
    <row r="177" spans="1:47" x14ac:dyDescent="0.3">
      <c r="A177" s="3">
        <f ca="1"/>
        <v>2346826</v>
      </c>
      <c r="B177" s="3" t="str">
        <f ca="1"/>
        <v>CZECH NEWS CENTER a. s.</v>
      </c>
      <c r="C177" s="3" t="str">
        <f ca="1">IFERROR(__xludf.DUMMYFUNCTION("""COMPUTED_VALUE"""),"Blesk")</f>
        <v>Blesk</v>
      </c>
      <c r="D177" s="4" t="str">
        <f ca="1">IFERROR(__xludf.DUMMYFUNCTION("""COMPUTED_VALUE"""),"https://blesk.cz")</f>
        <v>https://blesk.cz</v>
      </c>
      <c r="E177" s="3" t="str">
        <f ca="1">IFERROR(__xludf.DUMMYFUNCTION("""COMPUTED_VALUE"""),"celý web")</f>
        <v>celý web</v>
      </c>
      <c r="F177" s="4" t="str">
        <f ca="1">IFERROR(__xludf.DUMMYFUNCTION("""COMPUTED_VALUE"""),"https://blesk.cz")</f>
        <v>https://blesk.cz</v>
      </c>
      <c r="G177" s="3" t="str">
        <f ca="1">IFERROR(__xludf.DUMMYFUNCTION("""COMPUTED_VALUE"""),"Advertorial mid season")</f>
        <v>Advertorial mid season</v>
      </c>
      <c r="H177" s="3">
        <f ca="1">IFERROR(__xludf.DUMMYFUNCTION("""COMPUTED_VALUE"""),1)</f>
        <v>1</v>
      </c>
      <c r="I177" s="5">
        <f ca="1">IFERROR(__xludf.DUMMYFUNCTION("""COMPUTED_VALUE"""),1)</f>
        <v>1</v>
      </c>
      <c r="J177" s="5">
        <f ca="1">IFERROR(__xludf.DUMMYFUNCTION("""COMPUTED_VALUE"""),90000)</f>
        <v>90000</v>
      </c>
      <c r="K177" s="3"/>
      <c r="L177" s="3" t="str">
        <f ca="1">IFERROR(__xludf.DUMMYFUNCTION("""COMPUTED_VALUE"""),"Cost per instance")</f>
        <v>Cost per instance</v>
      </c>
      <c r="M177" s="3"/>
      <c r="N177" s="3"/>
      <c r="O177" s="3"/>
      <c r="P177" s="3"/>
      <c r="Q177" s="3"/>
      <c r="R177" s="3"/>
      <c r="S177" s="3" t="str">
        <f ca="1">IFERROR(__xludf.DUMMYFUNCTION("""COMPUTED_VALUE"""),"100")</f>
        <v>100</v>
      </c>
      <c r="T177" s="3"/>
      <c r="U177" s="3" t="str">
        <f ca="1">IFERROR(__xludf.DUMMYFUNCTION("""COMPUTED_VALUE"""),"pr článek")</f>
        <v>pr článek</v>
      </c>
      <c r="V177" s="3"/>
      <c r="W177" s="3"/>
      <c r="X177" s="3"/>
      <c r="Y177" s="3"/>
      <c r="Z177" s="3" t="str">
        <f ca="1">IFERROR(__xludf.DUMMYFUNCTION("""COMPUTED_VALUE"""),"podklady@cncenter.cz")</f>
        <v>podklady@cncenter.cz</v>
      </c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 t="str">
        <f ca="1">IFERROR(__xludf.DUMMYFUNCTION("""COMPUTED_VALUE"""),"cross-device")</f>
        <v>cross-device</v>
      </c>
      <c r="AO177" s="3"/>
      <c r="AP177" s="3"/>
      <c r="AQ177" s="3"/>
      <c r="AR177" s="3"/>
      <c r="AS177" s="3"/>
      <c r="AT177" s="3"/>
      <c r="AU177" s="3" t="str">
        <f ca="1">IFERROR(__xludf.DUMMYFUNCTION("""COMPUTED_VALUE"""),"Advertorial")</f>
        <v>Advertorial</v>
      </c>
    </row>
    <row r="178" spans="1:47" x14ac:dyDescent="0.3">
      <c r="A178" s="3">
        <f ca="1"/>
        <v>2346826</v>
      </c>
      <c r="B178" s="3" t="str">
        <f ca="1"/>
        <v>CZECH NEWS CENTER a. s.</v>
      </c>
      <c r="C178" s="3" t="str">
        <f ca="1">IFERROR(__xludf.DUMMYFUNCTION("""COMPUTED_VALUE"""),"Blesk")</f>
        <v>Blesk</v>
      </c>
      <c r="D178" s="4" t="str">
        <f ca="1">IFERROR(__xludf.DUMMYFUNCTION("""COMPUTED_VALUE"""),"https://blesk.cz")</f>
        <v>https://blesk.cz</v>
      </c>
      <c r="E178" s="3" t="str">
        <f ca="1">IFERROR(__xludf.DUMMYFUNCTION("""COMPUTED_VALUE"""),"celý web")</f>
        <v>celý web</v>
      </c>
      <c r="F178" s="4" t="str">
        <f ca="1">IFERROR(__xludf.DUMMYFUNCTION("""COMPUTED_VALUE"""),"https://blesk.cz")</f>
        <v>https://blesk.cz</v>
      </c>
      <c r="G178" s="3" t="str">
        <f ca="1">IFERROR(__xludf.DUMMYFUNCTION("""COMPUTED_VALUE"""),"cílený nativní rectangle cross-device mid season")</f>
        <v>cílený nativní rectangle cross-device mid season</v>
      </c>
      <c r="H178" s="3">
        <f ca="1">IFERROR(__xludf.DUMMYFUNCTION("""COMPUTED_VALUE"""),7)</f>
        <v>7</v>
      </c>
      <c r="I178" s="5">
        <f ca="1">IFERROR(__xludf.DUMMYFUNCTION("""COMPUTED_VALUE"""),1000)</f>
        <v>1000</v>
      </c>
      <c r="J178" s="5">
        <f ca="1">IFERROR(__xludf.DUMMYFUNCTION("""COMPUTED_VALUE"""),336)</f>
        <v>336</v>
      </c>
      <c r="K178" s="3"/>
      <c r="L178" s="3" t="str">
        <f ca="1">IFERROR(__xludf.DUMMYFUNCTION("""COMPUTED_VALUE"""),"Cost per period")</f>
        <v>Cost per period</v>
      </c>
      <c r="M178" s="3"/>
      <c r="N178" s="3"/>
      <c r="O178" s="3" t="str">
        <f ca="1">IFERROR(__xludf.DUMMYFUNCTION("""COMPUTED_VALUE"""),"640")</f>
        <v>640</v>
      </c>
      <c r="P178" s="3" t="str">
        <f ca="1">IFERROR(__xludf.DUMMYFUNCTION("""COMPUTED_VALUE"""),"335, 640")</f>
        <v>335, 640</v>
      </c>
      <c r="Q178" s="3" t="str">
        <f ca="1">IFERROR(__xludf.DUMMYFUNCTION("""COMPUTED_VALUE"""),"640x640 a 640x335 + text + logo")</f>
        <v>640x640 a 640x335 + text + logo</v>
      </c>
      <c r="R178" s="3"/>
      <c r="S178" s="3" t="str">
        <f ca="1">IFERROR(__xludf.DUMMYFUNCTION("""COMPUTED_VALUE"""),"45")</f>
        <v>45</v>
      </c>
      <c r="T178" s="3"/>
      <c r="U178" s="3" t="str">
        <f ca="1">IFERROR(__xludf.DUMMYFUNCTION("""COMPUTED_VALUE"""),"nativní reklama")</f>
        <v>nativní reklama</v>
      </c>
      <c r="V178" s="3"/>
      <c r="W178" s="4" t="str">
        <f ca="1">IFERROR(__xludf.DUMMYFUNCTION("""COMPUTED_VALUE"""),"https://reklama.cncenter.cz/Online/nativni-rectangle-cross-device")</f>
        <v>https://reklama.cncenter.cz/Online/nativni-rectangle-cross-device</v>
      </c>
      <c r="X178" s="3"/>
      <c r="Y178" s="3"/>
      <c r="Z178" s="3" t="str">
        <f ca="1">IFERROR(__xludf.DUMMYFUNCTION("""COMPUTED_VALUE"""),"podklady@cncenter.cz")</f>
        <v>podklady@cncenter.cz</v>
      </c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 t="str">
        <f ca="1">IFERROR(__xludf.DUMMYFUNCTION("""COMPUTED_VALUE"""),"cross-device")</f>
        <v>cross-device</v>
      </c>
      <c r="AO178" s="3"/>
      <c r="AP178" s="3"/>
      <c r="AQ178" s="3"/>
      <c r="AR178" s="3"/>
      <c r="AS178" s="3"/>
      <c r="AT178" s="3"/>
      <c r="AU178" s="3" t="str">
        <f ca="1">IFERROR(__xludf.DUMMYFUNCTION("""COMPUTED_VALUE"""),"cílený nativní rectangle cross-device")</f>
        <v>cílený nativní rectangle cross-device</v>
      </c>
    </row>
    <row r="179" spans="1:47" x14ac:dyDescent="0.3">
      <c r="A179" s="3">
        <f ca="1"/>
        <v>2346826</v>
      </c>
      <c r="B179" s="3" t="str">
        <f ca="1"/>
        <v>CZECH NEWS CENTER a. s.</v>
      </c>
      <c r="C179" s="3" t="str">
        <f ca="1">IFERROR(__xludf.DUMMYFUNCTION("""COMPUTED_VALUE"""),"Blesk")</f>
        <v>Blesk</v>
      </c>
      <c r="D179" s="4" t="str">
        <f ca="1">IFERROR(__xludf.DUMMYFUNCTION("""COMPUTED_VALUE"""),"https://blesk.cz")</f>
        <v>https://blesk.cz</v>
      </c>
      <c r="E179" s="3" t="str">
        <f ca="1">IFERROR(__xludf.DUMMYFUNCTION("""COMPUTED_VALUE"""),"celý web")</f>
        <v>celý web</v>
      </c>
      <c r="F179" s="4" t="str">
        <f ca="1">IFERROR(__xludf.DUMMYFUNCTION("""COMPUTED_VALUE"""),"https://blesk.cz")</f>
        <v>https://blesk.cz</v>
      </c>
      <c r="G179" s="3" t="str">
        <f ca="1">IFERROR(__xludf.DUMMYFUNCTION("""COMPUTED_VALUE"""),"dokoupení proma o 2 týdny - 10 000 PV *** mid season")</f>
        <v>dokoupení proma o 2 týdny - 10 000 PV *** mid season</v>
      </c>
      <c r="H179" s="3">
        <f ca="1">IFERROR(__xludf.DUMMYFUNCTION("""COMPUTED_VALUE"""),1)</f>
        <v>1</v>
      </c>
      <c r="I179" s="5">
        <f ca="1">IFERROR(__xludf.DUMMYFUNCTION("""COMPUTED_VALUE"""),1)</f>
        <v>1</v>
      </c>
      <c r="J179" s="5">
        <f ca="1">IFERROR(__xludf.DUMMYFUNCTION("""COMPUTED_VALUE"""),60000)</f>
        <v>60000</v>
      </c>
      <c r="K179" s="3"/>
      <c r="L179" s="3" t="str">
        <f ca="1">IFERROR(__xludf.DUMMYFUNCTION("""COMPUTED_VALUE"""),"Cost per instance")</f>
        <v>Cost per instance</v>
      </c>
      <c r="M179" s="3"/>
      <c r="N179" s="3"/>
      <c r="O179" s="3"/>
      <c r="P179" s="3"/>
      <c r="Q179" s="3"/>
      <c r="R179" s="3"/>
      <c r="S179" s="3" t="str">
        <f ca="1">IFERROR(__xludf.DUMMYFUNCTION("""COMPUTED_VALUE"""),"100")</f>
        <v>100</v>
      </c>
      <c r="T179" s="3"/>
      <c r="U179" s="3" t="str">
        <f ca="1">IFERROR(__xludf.DUMMYFUNCTION("""COMPUTED_VALUE"""),"microsite")</f>
        <v>microsite</v>
      </c>
      <c r="V179" s="3"/>
      <c r="W179" s="3"/>
      <c r="X179" s="3"/>
      <c r="Y179" s="3"/>
      <c r="Z179" s="3" t="str">
        <f ca="1">IFERROR(__xludf.DUMMYFUNCTION("""COMPUTED_VALUE"""),"podklady@cncenter.cz")</f>
        <v>podklady@cncenter.cz</v>
      </c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 t="str">
        <f ca="1">IFERROR(__xludf.DUMMYFUNCTION("""COMPUTED_VALUE"""),"cross-device")</f>
        <v>cross-device</v>
      </c>
      <c r="AO179" s="3"/>
      <c r="AP179" s="3"/>
      <c r="AQ179" s="3"/>
      <c r="AR179" s="3"/>
      <c r="AS179" s="3"/>
      <c r="AT179" s="3"/>
      <c r="AU179" s="3" t="str">
        <f ca="1">IFERROR(__xludf.DUMMYFUNCTION("""COMPUTED_VALUE"""),"dokoupení proma o 2 týdny - 10 000 PV ***")</f>
        <v>dokoupení proma o 2 týdny - 10 000 PV ***</v>
      </c>
    </row>
    <row r="180" spans="1:47" x14ac:dyDescent="0.3">
      <c r="A180" s="3">
        <f ca="1"/>
        <v>2346826</v>
      </c>
      <c r="B180" s="3" t="str">
        <f ca="1"/>
        <v>CZECH NEWS CENTER a. s.</v>
      </c>
      <c r="C180" s="3" t="str">
        <f ca="1">IFERROR(__xludf.DUMMYFUNCTION("""COMPUTED_VALUE"""),"Blesk")</f>
        <v>Blesk</v>
      </c>
      <c r="D180" s="4" t="str">
        <f ca="1">IFERROR(__xludf.DUMMYFUNCTION("""COMPUTED_VALUE"""),"https://blesk.cz")</f>
        <v>https://blesk.cz</v>
      </c>
      <c r="E180" s="3" t="str">
        <f ca="1">IFERROR(__xludf.DUMMYFUNCTION("""COMPUTED_VALUE"""),"celý web")</f>
        <v>celý web</v>
      </c>
      <c r="F180" s="4" t="str">
        <f ca="1">IFERROR(__xludf.DUMMYFUNCTION("""COMPUTED_VALUE"""),"https://blesk.cz")</f>
        <v>https://blesk.cz</v>
      </c>
      <c r="G180" s="3" t="str">
        <f ca="1">IFERROR(__xludf.DUMMYFUNCTION("""COMPUTED_VALUE"""),"Native Standard mid season")</f>
        <v>Native Standard mid season</v>
      </c>
      <c r="H180" s="3">
        <f ca="1">IFERROR(__xludf.DUMMYFUNCTION("""COMPUTED_VALUE"""),1)</f>
        <v>1</v>
      </c>
      <c r="I180" s="5">
        <f ca="1">IFERROR(__xludf.DUMMYFUNCTION("""COMPUTED_VALUE"""),1)</f>
        <v>1</v>
      </c>
      <c r="J180" s="5">
        <f ca="1">IFERROR(__xludf.DUMMYFUNCTION("""COMPUTED_VALUE"""),330000)</f>
        <v>330000</v>
      </c>
      <c r="K180" s="3"/>
      <c r="L180" s="3" t="str">
        <f ca="1">IFERROR(__xludf.DUMMYFUNCTION("""COMPUTED_VALUE"""),"Cost per instance")</f>
        <v>Cost per instance</v>
      </c>
      <c r="M180" s="3"/>
      <c r="N180" s="3"/>
      <c r="O180" s="3"/>
      <c r="P180" s="3"/>
      <c r="Q180" s="3"/>
      <c r="R180" s="3"/>
      <c r="S180" s="3" t="str">
        <f ca="1">IFERROR(__xludf.DUMMYFUNCTION("""COMPUTED_VALUE"""),"100")</f>
        <v>100</v>
      </c>
      <c r="T180" s="3"/>
      <c r="U180" s="3" t="str">
        <f ca="1">IFERROR(__xludf.DUMMYFUNCTION("""COMPUTED_VALUE"""),"microsite")</f>
        <v>microsite</v>
      </c>
      <c r="V180" s="3"/>
      <c r="W180" s="3"/>
      <c r="X180" s="3"/>
      <c r="Y180" s="3"/>
      <c r="Z180" s="3" t="str">
        <f ca="1">IFERROR(__xludf.DUMMYFUNCTION("""COMPUTED_VALUE"""),"podklady@cncenter.cz")</f>
        <v>podklady@cncenter.cz</v>
      </c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 t="str">
        <f ca="1">IFERROR(__xludf.DUMMYFUNCTION("""COMPUTED_VALUE"""),"cross-device")</f>
        <v>cross-device</v>
      </c>
      <c r="AO180" s="3"/>
      <c r="AP180" s="3"/>
      <c r="AQ180" s="3"/>
      <c r="AR180" s="3"/>
      <c r="AS180" s="3"/>
      <c r="AT180" s="3"/>
      <c r="AU180" s="3" t="str">
        <f ca="1">IFERROR(__xludf.DUMMYFUNCTION("""COMPUTED_VALUE"""),"Native Standard")</f>
        <v>Native Standard</v>
      </c>
    </row>
    <row r="181" spans="1:47" x14ac:dyDescent="0.3">
      <c r="A181" s="3">
        <f ca="1"/>
        <v>2346826</v>
      </c>
      <c r="B181" s="3" t="str">
        <f ca="1"/>
        <v>CZECH NEWS CENTER a. s.</v>
      </c>
      <c r="C181" s="3" t="str">
        <f ca="1">IFERROR(__xludf.DUMMYFUNCTION("""COMPUTED_VALUE"""),"Blesk")</f>
        <v>Blesk</v>
      </c>
      <c r="D181" s="4" t="str">
        <f ca="1">IFERROR(__xludf.DUMMYFUNCTION("""COMPUTED_VALUE"""),"https://blesk.cz")</f>
        <v>https://blesk.cz</v>
      </c>
      <c r="E181" s="3" t="str">
        <f ca="1">IFERROR(__xludf.DUMMYFUNCTION("""COMPUTED_VALUE"""),"celý web")</f>
        <v>celý web</v>
      </c>
      <c r="F181" s="4" t="str">
        <f ca="1">IFERROR(__xludf.DUMMYFUNCTION("""COMPUTED_VALUE"""),"https://blesk.cz")</f>
        <v>https://blesk.cz</v>
      </c>
      <c r="G181" s="3" t="str">
        <f ca="1">IFERROR(__xludf.DUMMYFUNCTION("""COMPUTED_VALUE"""),"nativní rectangle cross-device mid season")</f>
        <v>nativní rectangle cross-device mid season</v>
      </c>
      <c r="H181" s="3">
        <f ca="1">IFERROR(__xludf.DUMMYFUNCTION("""COMPUTED_VALUE"""),7)</f>
        <v>7</v>
      </c>
      <c r="I181" s="5">
        <f ca="1">IFERROR(__xludf.DUMMYFUNCTION("""COMPUTED_VALUE"""),1000)</f>
        <v>1000</v>
      </c>
      <c r="J181" s="5">
        <f ca="1">IFERROR(__xludf.DUMMYFUNCTION("""COMPUTED_VALUE"""),280)</f>
        <v>280</v>
      </c>
      <c r="K181" s="3"/>
      <c r="L181" s="3" t="str">
        <f ca="1">IFERROR(__xludf.DUMMYFUNCTION("""COMPUTED_VALUE"""),"Cost per period")</f>
        <v>Cost per period</v>
      </c>
      <c r="M181" s="3"/>
      <c r="N181" s="3"/>
      <c r="O181" s="3" t="str">
        <f ca="1">IFERROR(__xludf.DUMMYFUNCTION("""COMPUTED_VALUE"""),"640")</f>
        <v>640</v>
      </c>
      <c r="P181" s="3" t="str">
        <f ca="1">IFERROR(__xludf.DUMMYFUNCTION("""COMPUTED_VALUE"""),"335, 640")</f>
        <v>335, 640</v>
      </c>
      <c r="Q181" s="3" t="str">
        <f ca="1">IFERROR(__xludf.DUMMYFUNCTION("""COMPUTED_VALUE"""),"640x640 a 640x335 + text + logo")</f>
        <v>640x640 a 640x335 + text + logo</v>
      </c>
      <c r="R181" s="3"/>
      <c r="S181" s="3" t="str">
        <f ca="1">IFERROR(__xludf.DUMMYFUNCTION("""COMPUTED_VALUE"""),"45")</f>
        <v>45</v>
      </c>
      <c r="T181" s="3"/>
      <c r="U181" s="3" t="str">
        <f ca="1">IFERROR(__xludf.DUMMYFUNCTION("""COMPUTED_VALUE"""),"nativní reklama")</f>
        <v>nativní reklama</v>
      </c>
      <c r="V181" s="3"/>
      <c r="W181" s="4" t="str">
        <f ca="1">IFERROR(__xludf.DUMMYFUNCTION("""COMPUTED_VALUE"""),"https://reklama.cncenter.cz/Online/nativni-rectangle-cross-device")</f>
        <v>https://reklama.cncenter.cz/Online/nativni-rectangle-cross-device</v>
      </c>
      <c r="X181" s="3"/>
      <c r="Y181" s="3"/>
      <c r="Z181" s="3" t="str">
        <f ca="1">IFERROR(__xludf.DUMMYFUNCTION("""COMPUTED_VALUE"""),"podklady@cncenter.cz")</f>
        <v>podklady@cncenter.cz</v>
      </c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 t="str">
        <f ca="1">IFERROR(__xludf.DUMMYFUNCTION("""COMPUTED_VALUE"""),"cross-device")</f>
        <v>cross-device</v>
      </c>
      <c r="AO181" s="3"/>
      <c r="AP181" s="3"/>
      <c r="AQ181" s="3"/>
      <c r="AR181" s="3"/>
      <c r="AS181" s="3"/>
      <c r="AT181" s="3"/>
      <c r="AU181" s="3" t="str">
        <f ca="1">IFERROR(__xludf.DUMMYFUNCTION("""COMPUTED_VALUE"""),"nativní rectangle cross-device")</f>
        <v>nativní rectangle cross-device</v>
      </c>
    </row>
    <row r="182" spans="1:47" x14ac:dyDescent="0.3">
      <c r="A182" s="3">
        <f ca="1"/>
        <v>2346826</v>
      </c>
      <c r="B182" s="3" t="str">
        <f ca="1"/>
        <v>CZECH NEWS CENTER a. s.</v>
      </c>
      <c r="C182" s="3" t="str">
        <f ca="1">IFERROR(__xludf.DUMMYFUNCTION("""COMPUTED_VALUE"""),"Blesk")</f>
        <v>Blesk</v>
      </c>
      <c r="D182" s="4" t="str">
        <f ca="1">IFERROR(__xludf.DUMMYFUNCTION("""COMPUTED_VALUE"""),"https://blesk.cz")</f>
        <v>https://blesk.cz</v>
      </c>
      <c r="E182" s="3" t="str">
        <f ca="1">IFERROR(__xludf.DUMMYFUNCTION("""COMPUTED_VALUE"""),"celý web")</f>
        <v>celý web</v>
      </c>
      <c r="F182" s="4" t="str">
        <f ca="1">IFERROR(__xludf.DUMMYFUNCTION("""COMPUTED_VALUE"""),"https://blesk.cz")</f>
        <v>https://blesk.cz</v>
      </c>
      <c r="G182" s="3" t="str">
        <f ca="1">IFERROR(__xludf.DUMMYFUNCTION("""COMPUTED_VALUE"""),"PR článek mid season")</f>
        <v>PR článek mid season</v>
      </c>
      <c r="H182" s="3">
        <f ca="1">IFERROR(__xludf.DUMMYFUNCTION("""COMPUTED_VALUE"""),1)</f>
        <v>1</v>
      </c>
      <c r="I182" s="5">
        <f ca="1">IFERROR(__xludf.DUMMYFUNCTION("""COMPUTED_VALUE"""),1)</f>
        <v>1</v>
      </c>
      <c r="J182" s="5">
        <f ca="1">IFERROR(__xludf.DUMMYFUNCTION("""COMPUTED_VALUE"""),30000)</f>
        <v>30000</v>
      </c>
      <c r="K182" s="3"/>
      <c r="L182" s="3" t="str">
        <f ca="1">IFERROR(__xludf.DUMMYFUNCTION("""COMPUTED_VALUE"""),"Cost per instance")</f>
        <v>Cost per instance</v>
      </c>
      <c r="M182" s="3"/>
      <c r="N182" s="3"/>
      <c r="O182" s="3"/>
      <c r="P182" s="3"/>
      <c r="Q182" s="3"/>
      <c r="R182" s="3"/>
      <c r="S182" s="3" t="str">
        <f ca="1">IFERROR(__xludf.DUMMYFUNCTION("""COMPUTED_VALUE"""),"100")</f>
        <v>100</v>
      </c>
      <c r="T182" s="3"/>
      <c r="U182" s="3" t="str">
        <f ca="1">IFERROR(__xludf.DUMMYFUNCTION("""COMPUTED_VALUE"""),"pr článek")</f>
        <v>pr článek</v>
      </c>
      <c r="V182" s="3"/>
      <c r="W182" s="4" t="str">
        <f ca="1">IFERROR(__xludf.DUMMYFUNCTION("""COMPUTED_VALUE"""),"https://reklama.cncenter.cz/?ads=PR%2520%25C4%258Dl%25C3%25A1nky")</f>
        <v>https://reklama.cncenter.cz/?ads=PR%2520%25C4%258Dl%25C3%25A1nky</v>
      </c>
      <c r="X182" s="3"/>
      <c r="Y182" s="3"/>
      <c r="Z182" s="3" t="str">
        <f ca="1">IFERROR(__xludf.DUMMYFUNCTION("""COMPUTED_VALUE"""),"podklady@cncenter.cz")</f>
        <v>podklady@cncenter.cz</v>
      </c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 t="str">
        <f ca="1">IFERROR(__xludf.DUMMYFUNCTION("""COMPUTED_VALUE"""),"cross-device")</f>
        <v>cross-device</v>
      </c>
      <c r="AO182" s="3"/>
      <c r="AP182" s="3"/>
      <c r="AQ182" s="3"/>
      <c r="AR182" s="3"/>
      <c r="AS182" s="3"/>
      <c r="AT182" s="3"/>
      <c r="AU182" s="3" t="str">
        <f ca="1">IFERROR(__xludf.DUMMYFUNCTION("""COMPUTED_VALUE"""),"PR článek")</f>
        <v>PR článek</v>
      </c>
    </row>
    <row r="183" spans="1:47" x14ac:dyDescent="0.3">
      <c r="A183" s="3">
        <f ca="1"/>
        <v>2346826</v>
      </c>
      <c r="B183" s="3" t="str">
        <f ca="1"/>
        <v>CZECH NEWS CENTER a. s.</v>
      </c>
      <c r="C183" s="3" t="str">
        <f ca="1">IFERROR(__xludf.DUMMYFUNCTION("""COMPUTED_VALUE"""),"Blesk")</f>
        <v>Blesk</v>
      </c>
      <c r="D183" s="4" t="str">
        <f ca="1">IFERROR(__xludf.DUMMYFUNCTION("""COMPUTED_VALUE"""),"https://blesk.cz")</f>
        <v>https://blesk.cz</v>
      </c>
      <c r="E183" s="3" t="str">
        <f ca="1">IFERROR(__xludf.DUMMYFUNCTION("""COMPUTED_VALUE"""),"celý web")</f>
        <v>celý web</v>
      </c>
      <c r="F183" s="4" t="str">
        <f ca="1">IFERROR(__xludf.DUMMYFUNCTION("""COMPUTED_VALUE"""),"https://blesk.cz")</f>
        <v>https://blesk.cz</v>
      </c>
      <c r="G183" s="3" t="str">
        <f ca="1">IFERROR(__xludf.DUMMYFUNCTION("""COMPUTED_VALUE"""),"Prodloužení existující microsite, bez úprav mid season")</f>
        <v>Prodloužení existující microsite, bez úprav mid season</v>
      </c>
      <c r="H183" s="3">
        <f ca="1">IFERROR(__xludf.DUMMYFUNCTION("""COMPUTED_VALUE"""),1)</f>
        <v>1</v>
      </c>
      <c r="I183" s="5">
        <f ca="1">IFERROR(__xludf.DUMMYFUNCTION("""COMPUTED_VALUE"""),1)</f>
        <v>1</v>
      </c>
      <c r="J183" s="5">
        <f ca="1">IFERROR(__xludf.DUMMYFUNCTION("""COMPUTED_VALUE"""),15000)</f>
        <v>15000</v>
      </c>
      <c r="K183" s="3"/>
      <c r="L183" s="3" t="str">
        <f ca="1">IFERROR(__xludf.DUMMYFUNCTION("""COMPUTED_VALUE"""),"Cost per instance")</f>
        <v>Cost per instance</v>
      </c>
      <c r="M183" s="3"/>
      <c r="N183" s="3"/>
      <c r="O183" s="3"/>
      <c r="P183" s="3"/>
      <c r="Q183" s="3"/>
      <c r="R183" s="3"/>
      <c r="S183" s="3" t="str">
        <f ca="1">IFERROR(__xludf.DUMMYFUNCTION("""COMPUTED_VALUE"""),"100")</f>
        <v>100</v>
      </c>
      <c r="T183" s="3"/>
      <c r="U183" s="3" t="str">
        <f ca="1">IFERROR(__xludf.DUMMYFUNCTION("""COMPUTED_VALUE"""),"microsite")</f>
        <v>microsite</v>
      </c>
      <c r="V183" s="3"/>
      <c r="W183" s="3"/>
      <c r="X183" s="3"/>
      <c r="Y183" s="3"/>
      <c r="Z183" s="3" t="str">
        <f ca="1">IFERROR(__xludf.DUMMYFUNCTION("""COMPUTED_VALUE"""),"podklady@cncenter.cz")</f>
        <v>podklady@cncenter.cz</v>
      </c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 t="str">
        <f ca="1">IFERROR(__xludf.DUMMYFUNCTION("""COMPUTED_VALUE"""),"cross-device")</f>
        <v>cross-device</v>
      </c>
      <c r="AO183" s="3"/>
      <c r="AP183" s="3"/>
      <c r="AQ183" s="3"/>
      <c r="AR183" s="3"/>
      <c r="AS183" s="3"/>
      <c r="AT183" s="3"/>
      <c r="AU183" s="3" t="str">
        <f ca="1">IFERROR(__xludf.DUMMYFUNCTION("""COMPUTED_VALUE"""),"Prodloužení existující microsite, bez úprav")</f>
        <v>Prodloužení existující microsite, bez úprav</v>
      </c>
    </row>
    <row r="184" spans="1:47" x14ac:dyDescent="0.3">
      <c r="A184" s="3">
        <f ca="1"/>
        <v>2346826</v>
      </c>
      <c r="B184" s="3" t="str">
        <f ca="1"/>
        <v>CZECH NEWS CENTER a. s.</v>
      </c>
      <c r="C184" s="3" t="str">
        <f ca="1">IFERROR(__xludf.DUMMYFUNCTION("""COMPUTED_VALUE"""),"Blesk")</f>
        <v>Blesk</v>
      </c>
      <c r="D184" s="4" t="str">
        <f ca="1">IFERROR(__xludf.DUMMYFUNCTION("""COMPUTED_VALUE"""),"https://blesk.cz")</f>
        <v>https://blesk.cz</v>
      </c>
      <c r="E184" s="3" t="str">
        <f ca="1">IFERROR(__xludf.DUMMYFUNCTION("""COMPUTED_VALUE"""),"celý web")</f>
        <v>celý web</v>
      </c>
      <c r="F184" s="4" t="str">
        <f ca="1">IFERROR(__xludf.DUMMYFUNCTION("""COMPUTED_VALUE"""),"https://blesk.cz")</f>
        <v>https://blesk.cz</v>
      </c>
      <c r="G184" s="3" t="str">
        <f ca="1">IFERROR(__xludf.DUMMYFUNCTION("""COMPUTED_VALUE"""),"Prodloužení existující microsite, bez úprav mid season")</f>
        <v>Prodloužení existující microsite, bez úprav mid season</v>
      </c>
      <c r="H184" s="3">
        <f ca="1">IFERROR(__xludf.DUMMYFUNCTION("""COMPUTED_VALUE"""),1)</f>
        <v>1</v>
      </c>
      <c r="I184" s="5">
        <f ca="1">IFERROR(__xludf.DUMMYFUNCTION("""COMPUTED_VALUE"""),1)</f>
        <v>1</v>
      </c>
      <c r="J184" s="5">
        <f ca="1">IFERROR(__xludf.DUMMYFUNCTION("""COMPUTED_VALUE"""),15000)</f>
        <v>15000</v>
      </c>
      <c r="K184" s="3"/>
      <c r="L184" s="3" t="str">
        <f ca="1">IFERROR(__xludf.DUMMYFUNCTION("""COMPUTED_VALUE"""),"Cost per instance")</f>
        <v>Cost per instance</v>
      </c>
      <c r="M184" s="3"/>
      <c r="N184" s="3"/>
      <c r="O184" s="3"/>
      <c r="P184" s="3"/>
      <c r="Q184" s="3"/>
      <c r="R184" s="3"/>
      <c r="S184" s="3" t="str">
        <f ca="1">IFERROR(__xludf.DUMMYFUNCTION("""COMPUTED_VALUE"""),"100")</f>
        <v>100</v>
      </c>
      <c r="T184" s="3"/>
      <c r="U184" s="3" t="str">
        <f ca="1">IFERROR(__xludf.DUMMYFUNCTION("""COMPUTED_VALUE"""),"microsite")</f>
        <v>microsite</v>
      </c>
      <c r="V184" s="3"/>
      <c r="W184" s="3"/>
      <c r="X184" s="3"/>
      <c r="Y184" s="3"/>
      <c r="Z184" s="3" t="str">
        <f ca="1">IFERROR(__xludf.DUMMYFUNCTION("""COMPUTED_VALUE"""),"podklady@cncenter.cz")</f>
        <v>podklady@cncenter.cz</v>
      </c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 t="str">
        <f ca="1">IFERROR(__xludf.DUMMYFUNCTION("""COMPUTED_VALUE"""),"cross-device")</f>
        <v>cross-device</v>
      </c>
      <c r="AO184" s="3"/>
      <c r="AP184" s="3"/>
      <c r="AQ184" s="3"/>
      <c r="AR184" s="3"/>
      <c r="AS184" s="3"/>
      <c r="AT184" s="3"/>
      <c r="AU184" s="3" t="str">
        <f ca="1">IFERROR(__xludf.DUMMYFUNCTION("""COMPUTED_VALUE"""),"Prodloužení existující microsite, bez úprav")</f>
        <v>Prodloužení existující microsite, bez úprav</v>
      </c>
    </row>
    <row r="185" spans="1:47" x14ac:dyDescent="0.3">
      <c r="A185" s="3">
        <f ca="1"/>
        <v>2346826</v>
      </c>
      <c r="B185" s="3" t="str">
        <f ca="1"/>
        <v>CZECH NEWS CENTER a. s.</v>
      </c>
      <c r="C185" s="3" t="str">
        <f ca="1">IFERROR(__xludf.DUMMYFUNCTION("""COMPUTED_VALUE"""),"Blesk")</f>
        <v>Blesk</v>
      </c>
      <c r="D185" s="4" t="str">
        <f ca="1">IFERROR(__xludf.DUMMYFUNCTION("""COMPUTED_VALUE"""),"https://blesk.cz")</f>
        <v>https://blesk.cz</v>
      </c>
      <c r="E185" s="3" t="str">
        <f ca="1">IFERROR(__xludf.DUMMYFUNCTION("""COMPUTED_VALUE"""),"celý web")</f>
        <v>celý web</v>
      </c>
      <c r="F185" s="4" t="str">
        <f ca="1">IFERROR(__xludf.DUMMYFUNCTION("""COMPUTED_VALUE"""),"https://blesk.cz")</f>
        <v>https://blesk.cz</v>
      </c>
      <c r="G185" s="3" t="str">
        <f ca="1">IFERROR(__xludf.DUMMYFUNCTION("""COMPUTED_VALUE"""),"Prodloužení existující microsite, bez úprav mid season")</f>
        <v>Prodloužení existující microsite, bez úprav mid season</v>
      </c>
      <c r="H185" s="3">
        <f ca="1">IFERROR(__xludf.DUMMYFUNCTION("""COMPUTED_VALUE"""),1)</f>
        <v>1</v>
      </c>
      <c r="I185" s="5">
        <f ca="1">IFERROR(__xludf.DUMMYFUNCTION("""COMPUTED_VALUE"""),1)</f>
        <v>1</v>
      </c>
      <c r="J185" s="5">
        <f ca="1">IFERROR(__xludf.DUMMYFUNCTION("""COMPUTED_VALUE"""),15000)</f>
        <v>15000</v>
      </c>
      <c r="K185" s="3"/>
      <c r="L185" s="3" t="str">
        <f ca="1">IFERROR(__xludf.DUMMYFUNCTION("""COMPUTED_VALUE"""),"Cost per instance")</f>
        <v>Cost per instance</v>
      </c>
      <c r="M185" s="3"/>
      <c r="N185" s="3"/>
      <c r="O185" s="3"/>
      <c r="P185" s="3"/>
      <c r="Q185" s="3"/>
      <c r="R185" s="3"/>
      <c r="S185" s="3" t="str">
        <f ca="1">IFERROR(__xludf.DUMMYFUNCTION("""COMPUTED_VALUE"""),"100")</f>
        <v>100</v>
      </c>
      <c r="T185" s="3"/>
      <c r="U185" s="3" t="str">
        <f ca="1">IFERROR(__xludf.DUMMYFUNCTION("""COMPUTED_VALUE"""),"microsite")</f>
        <v>microsite</v>
      </c>
      <c r="V185" s="3"/>
      <c r="W185" s="3"/>
      <c r="X185" s="3"/>
      <c r="Y185" s="3"/>
      <c r="Z185" s="3" t="str">
        <f ca="1">IFERROR(__xludf.DUMMYFUNCTION("""COMPUTED_VALUE"""),"podklady@cncenter.cz")</f>
        <v>podklady@cncenter.cz</v>
      </c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 t="str">
        <f ca="1">IFERROR(__xludf.DUMMYFUNCTION("""COMPUTED_VALUE"""),"cross-device")</f>
        <v>cross-device</v>
      </c>
      <c r="AO185" s="3"/>
      <c r="AP185" s="3"/>
      <c r="AQ185" s="3"/>
      <c r="AR185" s="3"/>
      <c r="AS185" s="3"/>
      <c r="AT185" s="3"/>
      <c r="AU185" s="3" t="str">
        <f ca="1">IFERROR(__xludf.DUMMYFUNCTION("""COMPUTED_VALUE"""),"Prodloužení existující microsite, bez úprav")</f>
        <v>Prodloužení existující microsite, bez úprav</v>
      </c>
    </row>
    <row r="186" spans="1:47" x14ac:dyDescent="0.3">
      <c r="A186" s="3">
        <f ca="1"/>
        <v>2346826</v>
      </c>
      <c r="B186" s="3" t="str">
        <f ca="1"/>
        <v>CZECH NEWS CENTER a. s.</v>
      </c>
      <c r="C186" s="3" t="str">
        <f ca="1">IFERROR(__xludf.DUMMYFUNCTION("""COMPUTED_VALUE"""),"Blesk floating")</f>
        <v>Blesk floating</v>
      </c>
      <c r="D186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86" s="3" t="str">
        <f ca="1">IFERROR(__xludf.DUMMYFUNCTION("""COMPUTED_VALUE"""),"celý web")</f>
        <v>celý web</v>
      </c>
      <c r="F186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86" s="3" t="str">
        <f ca="1">IFERROR(__xludf.DUMMYFUNCTION("""COMPUTED_VALUE"""),"billboard bottom mid season")</f>
        <v>billboard bottom mid season</v>
      </c>
      <c r="H186" s="3">
        <f ca="1">IFERROR(__xludf.DUMMYFUNCTION("""COMPUTED_VALUE"""),7)</f>
        <v>7</v>
      </c>
      <c r="I186" s="5">
        <f ca="1">IFERROR(__xludf.DUMMYFUNCTION("""COMPUTED_VALUE"""),1000)</f>
        <v>1000</v>
      </c>
      <c r="J186" s="5">
        <f ca="1">IFERROR(__xludf.DUMMYFUNCTION("""COMPUTED_VALUE"""),330)</f>
        <v>330</v>
      </c>
      <c r="K186" s="3"/>
      <c r="L186" s="3" t="str">
        <f ca="1">IFERROR(__xludf.DUMMYFUNCTION("""COMPUTED_VALUE"""),"Cost per period")</f>
        <v>Cost per period</v>
      </c>
      <c r="M186" s="3"/>
      <c r="N186" s="3"/>
      <c r="O186" s="3" t="str">
        <f ca="1">IFERROR(__xludf.DUMMYFUNCTION("""COMPUTED_VALUE"""),"970")</f>
        <v>970</v>
      </c>
      <c r="P186" s="3" t="str">
        <f ca="1">IFERROR(__xludf.DUMMYFUNCTION("""COMPUTED_VALUE"""),"250")</f>
        <v>250</v>
      </c>
      <c r="Q186" s="3" t="str">
        <f ca="1">IFERROR(__xludf.DUMMYFUNCTION("""COMPUTED_VALUE"""),"970x250")</f>
        <v>970x250</v>
      </c>
      <c r="R186" s="3"/>
      <c r="S186" s="3" t="str">
        <f ca="1">IFERROR(__xludf.DUMMYFUNCTION("""COMPUTED_VALUE"""),"100 (200 - HTML5)")</f>
        <v>100 (200 - HTML5)</v>
      </c>
      <c r="T186" s="3"/>
      <c r="U186" s="3" t="str">
        <f ca="1">IFERROR(__xludf.DUMMYFUNCTION("""COMPUTED_VALUE"""),"banner standard")</f>
        <v>banner standard</v>
      </c>
      <c r="V186" s="3"/>
      <c r="W186" s="4" t="str">
        <f ca="1">IFERROR(__xludf.DUMMYFUNCTION("""COMPUTED_VALUE"""),"https://reklama.cncenter.cz/Online/billboard-bottom")</f>
        <v>https://reklama.cncenter.cz/Online/billboard-bottom</v>
      </c>
      <c r="X186" s="3"/>
      <c r="Y186" s="3"/>
      <c r="Z186" s="3" t="str">
        <f ca="1">IFERROR(__xludf.DUMMYFUNCTION("""COMPUTED_VALUE"""),"podklady@cncenter.cz")</f>
        <v>podklady@cncenter.cz</v>
      </c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 t="str">
        <f ca="1">IFERROR(__xludf.DUMMYFUNCTION("""COMPUTED_VALUE"""),"desktop")</f>
        <v>desktop</v>
      </c>
      <c r="AO186" s="3"/>
      <c r="AP186" s="3"/>
      <c r="AQ186" s="3"/>
      <c r="AR186" s="3"/>
      <c r="AS186" s="3"/>
      <c r="AT186" s="3"/>
      <c r="AU186" s="3" t="str">
        <f ca="1">IFERROR(__xludf.DUMMYFUNCTION("""COMPUTED_VALUE"""),"billboard bottom")</f>
        <v>billboard bottom</v>
      </c>
    </row>
    <row r="187" spans="1:47" x14ac:dyDescent="0.3">
      <c r="A187" s="3">
        <f ca="1"/>
        <v>2346826</v>
      </c>
      <c r="B187" s="3" t="str">
        <f ca="1"/>
        <v>CZECH NEWS CENTER a. s.</v>
      </c>
      <c r="C187" s="3" t="str">
        <f ca="1">IFERROR(__xludf.DUMMYFUNCTION("""COMPUTED_VALUE"""),"Blesk floating")</f>
        <v>Blesk floating</v>
      </c>
      <c r="D187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87" s="3" t="str">
        <f ca="1">IFERROR(__xludf.DUMMYFUNCTION("""COMPUTED_VALUE"""),"celý web")</f>
        <v>celý web</v>
      </c>
      <c r="F187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87" s="3" t="str">
        <f ca="1">IFERROR(__xludf.DUMMYFUNCTION("""COMPUTED_VALUE"""),"branding cross-device mid season")</f>
        <v>branding cross-device mid season</v>
      </c>
      <c r="H187" s="3">
        <f ca="1">IFERROR(__xludf.DUMMYFUNCTION("""COMPUTED_VALUE"""),7)</f>
        <v>7</v>
      </c>
      <c r="I187" s="5">
        <f ca="1">IFERROR(__xludf.DUMMYFUNCTION("""COMPUTED_VALUE"""),1000)</f>
        <v>1000</v>
      </c>
      <c r="J187" s="5">
        <f ca="1">IFERROR(__xludf.DUMMYFUNCTION("""COMPUTED_VALUE"""),400)</f>
        <v>400</v>
      </c>
      <c r="K187" s="3"/>
      <c r="L187" s="3" t="str">
        <f ca="1">IFERROR(__xludf.DUMMYFUNCTION("""COMPUTED_VALUE"""),"Cost per period")</f>
        <v>Cost per period</v>
      </c>
      <c r="M187" s="3"/>
      <c r="N187" s="3"/>
      <c r="O187" s="3" t="str">
        <f ca="1">IFERROR(__xludf.DUMMYFUNCTION("""COMPUTED_VALUE"""),"2000")</f>
        <v>2000</v>
      </c>
      <c r="P187" s="3" t="str">
        <f ca="1">IFERROR(__xludf.DUMMYFUNCTION("""COMPUTED_VALUE"""),"1400")</f>
        <v>1400</v>
      </c>
      <c r="Q187" s="3" t="str">
        <f ca="1">IFERROR(__xludf.DUMMYFUNCTION("""COMPUTED_VALUE"""),"2000x1400 + 600x1080")</f>
        <v>2000x1400 + 600x1080</v>
      </c>
      <c r="R187" s="3"/>
      <c r="S187" s="3" t="str">
        <f ca="1">IFERROR(__xludf.DUMMYFUNCTION("""COMPUTED_VALUE"""),"500 (600 - HTLM5)")</f>
        <v>500 (600 - HTLM5)</v>
      </c>
      <c r="T187" s="3"/>
      <c r="U187" s="3" t="str">
        <f ca="1">IFERROR(__xludf.DUMMYFUNCTION("""COMPUTED_VALUE"""),"banner standard")</f>
        <v>banner standard</v>
      </c>
      <c r="V187" s="3"/>
      <c r="W187" s="4" t="str">
        <f ca="1">IFERROR(__xludf.DUMMYFUNCTION("""COMPUTED_VALUE"""),"https://reklama.cncenter.cz/Online/branding-cross-device")</f>
        <v>https://reklama.cncenter.cz/Online/branding-cross-device</v>
      </c>
      <c r="X187" s="3"/>
      <c r="Y187" s="3"/>
      <c r="Z187" s="3" t="str">
        <f ca="1">IFERROR(__xludf.DUMMYFUNCTION("""COMPUTED_VALUE"""),"podklady@cncenter.cz")</f>
        <v>podklady@cncenter.cz</v>
      </c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 t="str">
        <f ca="1">IFERROR(__xludf.DUMMYFUNCTION("""COMPUTED_VALUE"""),"cross-device")</f>
        <v>cross-device</v>
      </c>
      <c r="AO187" s="3"/>
      <c r="AP187" s="3"/>
      <c r="AQ187" s="3"/>
      <c r="AR187" s="3"/>
      <c r="AS187" s="3"/>
      <c r="AT187" s="3"/>
      <c r="AU187" s="3" t="str">
        <f ca="1">IFERROR(__xludf.DUMMYFUNCTION("""COMPUTED_VALUE"""),"branding cross-device")</f>
        <v>branding cross-device</v>
      </c>
    </row>
    <row r="188" spans="1:47" x14ac:dyDescent="0.3">
      <c r="A188" s="3">
        <f ca="1"/>
        <v>2346826</v>
      </c>
      <c r="B188" s="3" t="str">
        <f ca="1"/>
        <v>CZECH NEWS CENTER a. s.</v>
      </c>
      <c r="C188" s="3" t="str">
        <f ca="1">IFERROR(__xludf.DUMMYFUNCTION("""COMPUTED_VALUE"""),"Blesk floating")</f>
        <v>Blesk floating</v>
      </c>
      <c r="D188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88" s="3" t="str">
        <f ca="1">IFERROR(__xludf.DUMMYFUNCTION("""COMPUTED_VALUE"""),"celý web")</f>
        <v>celý web</v>
      </c>
      <c r="F188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88" s="3" t="str">
        <f ca="1">IFERROR(__xludf.DUMMYFUNCTION("""COMPUTED_VALUE"""),"branding mid season")</f>
        <v>branding mid season</v>
      </c>
      <c r="H188" s="3">
        <f ca="1">IFERROR(__xludf.DUMMYFUNCTION("""COMPUTED_VALUE"""),7)</f>
        <v>7</v>
      </c>
      <c r="I188" s="5">
        <f ca="1">IFERROR(__xludf.DUMMYFUNCTION("""COMPUTED_VALUE"""),1000)</f>
        <v>1000</v>
      </c>
      <c r="J188" s="5">
        <f ca="1">IFERROR(__xludf.DUMMYFUNCTION("""COMPUTED_VALUE"""),610)</f>
        <v>610</v>
      </c>
      <c r="K188" s="3"/>
      <c r="L188" s="3" t="str">
        <f ca="1">IFERROR(__xludf.DUMMYFUNCTION("""COMPUTED_VALUE"""),"Cost per period")</f>
        <v>Cost per period</v>
      </c>
      <c r="M188" s="3"/>
      <c r="N188" s="3"/>
      <c r="O188" s="3" t="str">
        <f ca="1">IFERROR(__xludf.DUMMYFUNCTION("""COMPUTED_VALUE"""),"2000")</f>
        <v>2000</v>
      </c>
      <c r="P188" s="3" t="str">
        <f ca="1">IFERROR(__xludf.DUMMYFUNCTION("""COMPUTED_VALUE"""),"1400")</f>
        <v>1400</v>
      </c>
      <c r="Q188" s="3" t="str">
        <f ca="1">IFERROR(__xludf.DUMMYFUNCTION("""COMPUTED_VALUE"""),"2000x1400")</f>
        <v>2000x1400</v>
      </c>
      <c r="R188" s="3"/>
      <c r="S188" s="3" t="str">
        <f ca="1">IFERROR(__xludf.DUMMYFUNCTION("""COMPUTED_VALUE"""),"500 + 200 (600+200 HTML5)")</f>
        <v>500 + 200 (600+200 HTML5)</v>
      </c>
      <c r="T188" s="3"/>
      <c r="U188" s="3" t="str">
        <f ca="1">IFERROR(__xludf.DUMMYFUNCTION("""COMPUTED_VALUE"""),"banner standard")</f>
        <v>banner standard</v>
      </c>
      <c r="V188" s="3"/>
      <c r="W188" s="4" t="str">
        <f ca="1">IFERROR(__xludf.DUMMYFUNCTION("""COMPUTED_VALUE"""),"https://reklama.cncenter.cz/Online/branding")</f>
        <v>https://reklama.cncenter.cz/Online/branding</v>
      </c>
      <c r="X188" s="3"/>
      <c r="Y188" s="3"/>
      <c r="Z188" s="3" t="str">
        <f ca="1">IFERROR(__xludf.DUMMYFUNCTION("""COMPUTED_VALUE"""),"podklady@cncenter.cz")</f>
        <v>podklady@cncenter.cz</v>
      </c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 t="str">
        <f ca="1">IFERROR(__xludf.DUMMYFUNCTION("""COMPUTED_VALUE"""),"desktop")</f>
        <v>desktop</v>
      </c>
      <c r="AO188" s="3"/>
      <c r="AP188" s="3"/>
      <c r="AQ188" s="3"/>
      <c r="AR188" s="3"/>
      <c r="AS188" s="3"/>
      <c r="AT188" s="3"/>
      <c r="AU188" s="3" t="str">
        <f ca="1">IFERROR(__xludf.DUMMYFUNCTION("""COMPUTED_VALUE"""),"branding")</f>
        <v>branding</v>
      </c>
    </row>
    <row r="189" spans="1:47" x14ac:dyDescent="0.3">
      <c r="A189" s="3">
        <f ca="1"/>
        <v>2346826</v>
      </c>
      <c r="B189" s="3" t="str">
        <f ca="1"/>
        <v>CZECH NEWS CENTER a. s.</v>
      </c>
      <c r="C189" s="3" t="str">
        <f ca="1">IFERROR(__xludf.DUMMYFUNCTION("""COMPUTED_VALUE"""),"Blesk floating")</f>
        <v>Blesk floating</v>
      </c>
      <c r="D189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89" s="3" t="str">
        <f ca="1">IFERROR(__xludf.DUMMYFUNCTION("""COMPUTED_VALUE"""),"celý web")</f>
        <v>celý web</v>
      </c>
      <c r="F189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89" s="3" t="str">
        <f ca="1">IFERROR(__xludf.DUMMYFUNCTION("""COMPUTED_VALUE"""),"cílený billboard bottom mid season")</f>
        <v>cílený billboard bottom mid season</v>
      </c>
      <c r="H189" s="3">
        <f ca="1">IFERROR(__xludf.DUMMYFUNCTION("""COMPUTED_VALUE"""),7)</f>
        <v>7</v>
      </c>
      <c r="I189" s="5">
        <f ca="1">IFERROR(__xludf.DUMMYFUNCTION("""COMPUTED_VALUE"""),1000)</f>
        <v>1000</v>
      </c>
      <c r="J189" s="5">
        <f ca="1">IFERROR(__xludf.DUMMYFUNCTION("""COMPUTED_VALUE"""),396)</f>
        <v>396</v>
      </c>
      <c r="K189" s="3"/>
      <c r="L189" s="3" t="str">
        <f ca="1">IFERROR(__xludf.DUMMYFUNCTION("""COMPUTED_VALUE"""),"Cost per period")</f>
        <v>Cost per period</v>
      </c>
      <c r="M189" s="3"/>
      <c r="N189" s="3"/>
      <c r="O189" s="3" t="str">
        <f ca="1">IFERROR(__xludf.DUMMYFUNCTION("""COMPUTED_VALUE"""),"970")</f>
        <v>970</v>
      </c>
      <c r="P189" s="3" t="str">
        <f ca="1">IFERROR(__xludf.DUMMYFUNCTION("""COMPUTED_VALUE"""),"250")</f>
        <v>250</v>
      </c>
      <c r="Q189" s="3" t="str">
        <f ca="1">IFERROR(__xludf.DUMMYFUNCTION("""COMPUTED_VALUE"""),"970x250")</f>
        <v>970x250</v>
      </c>
      <c r="R189" s="3"/>
      <c r="S189" s="3" t="str">
        <f ca="1">IFERROR(__xludf.DUMMYFUNCTION("""COMPUTED_VALUE"""),"100 (200 - HTML5)")</f>
        <v>100 (200 - HTML5)</v>
      </c>
      <c r="T189" s="3"/>
      <c r="U189" s="3" t="str">
        <f ca="1">IFERROR(__xludf.DUMMYFUNCTION("""COMPUTED_VALUE"""),"banner standard")</f>
        <v>banner standard</v>
      </c>
      <c r="V189" s="3"/>
      <c r="W189" s="4" t="str">
        <f ca="1">IFERROR(__xludf.DUMMYFUNCTION("""COMPUTED_VALUE"""),"https://reklama.cncenter.cz/Online/billboard-bottom")</f>
        <v>https://reklama.cncenter.cz/Online/billboard-bottom</v>
      </c>
      <c r="X189" s="3"/>
      <c r="Y189" s="3"/>
      <c r="Z189" s="3" t="str">
        <f ca="1">IFERROR(__xludf.DUMMYFUNCTION("""COMPUTED_VALUE"""),"podklady@cncenter.cz")</f>
        <v>podklady@cncenter.cz</v>
      </c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 t="str">
        <f ca="1">IFERROR(__xludf.DUMMYFUNCTION("""COMPUTED_VALUE"""),"desktop")</f>
        <v>desktop</v>
      </c>
      <c r="AO189" s="3"/>
      <c r="AP189" s="3"/>
      <c r="AQ189" s="3"/>
      <c r="AR189" s="3"/>
      <c r="AS189" s="3"/>
      <c r="AT189" s="3"/>
      <c r="AU189" s="3" t="str">
        <f ca="1">IFERROR(__xludf.DUMMYFUNCTION("""COMPUTED_VALUE"""),"cílený billboard bottom")</f>
        <v>cílený billboard bottom</v>
      </c>
    </row>
    <row r="190" spans="1:47" x14ac:dyDescent="0.3">
      <c r="A190" s="3">
        <f ca="1"/>
        <v>2346826</v>
      </c>
      <c r="B190" s="3" t="str">
        <f ca="1"/>
        <v>CZECH NEWS CENTER a. s.</v>
      </c>
      <c r="C190" s="3" t="str">
        <f ca="1">IFERROR(__xludf.DUMMYFUNCTION("""COMPUTED_VALUE"""),"Blesk floating")</f>
        <v>Blesk floating</v>
      </c>
      <c r="D190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0" s="3" t="str">
        <f ca="1">IFERROR(__xludf.DUMMYFUNCTION("""COMPUTED_VALUE"""),"celý web")</f>
        <v>celý web</v>
      </c>
      <c r="F190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0" s="3" t="str">
        <f ca="1">IFERROR(__xludf.DUMMYFUNCTION("""COMPUTED_VALUE"""),"cílený branding cross-device mid season")</f>
        <v>cílený branding cross-device mid season</v>
      </c>
      <c r="H190" s="3">
        <f ca="1">IFERROR(__xludf.DUMMYFUNCTION("""COMPUTED_VALUE"""),7)</f>
        <v>7</v>
      </c>
      <c r="I190" s="5">
        <f ca="1">IFERROR(__xludf.DUMMYFUNCTION("""COMPUTED_VALUE"""),1000)</f>
        <v>1000</v>
      </c>
      <c r="J190" s="5">
        <f ca="1">IFERROR(__xludf.DUMMYFUNCTION("""COMPUTED_VALUE"""),480)</f>
        <v>480</v>
      </c>
      <c r="K190" s="3"/>
      <c r="L190" s="3" t="str">
        <f ca="1">IFERROR(__xludf.DUMMYFUNCTION("""COMPUTED_VALUE"""),"Cost per period")</f>
        <v>Cost per period</v>
      </c>
      <c r="M190" s="3"/>
      <c r="N190" s="3"/>
      <c r="O190" s="3" t="str">
        <f ca="1">IFERROR(__xludf.DUMMYFUNCTION("""COMPUTED_VALUE"""),"2000")</f>
        <v>2000</v>
      </c>
      <c r="P190" s="3" t="str">
        <f ca="1">IFERROR(__xludf.DUMMYFUNCTION("""COMPUTED_VALUE"""),"1400")</f>
        <v>1400</v>
      </c>
      <c r="Q190" s="3" t="str">
        <f ca="1">IFERROR(__xludf.DUMMYFUNCTION("""COMPUTED_VALUE"""),"2000x1400 + 600x1080")</f>
        <v>2000x1400 + 600x1080</v>
      </c>
      <c r="R190" s="3"/>
      <c r="S190" s="3" t="str">
        <f ca="1">IFERROR(__xludf.DUMMYFUNCTION("""COMPUTED_VALUE"""),"500 (600 - HTLM5)")</f>
        <v>500 (600 - HTLM5)</v>
      </c>
      <c r="T190" s="3"/>
      <c r="U190" s="3" t="str">
        <f ca="1">IFERROR(__xludf.DUMMYFUNCTION("""COMPUTED_VALUE"""),"banner standard")</f>
        <v>banner standard</v>
      </c>
      <c r="V190" s="3"/>
      <c r="W190" s="4" t="str">
        <f ca="1">IFERROR(__xludf.DUMMYFUNCTION("""COMPUTED_VALUE"""),"https://reklama.cncenter.cz/Online/branding-cross-device")</f>
        <v>https://reklama.cncenter.cz/Online/branding-cross-device</v>
      </c>
      <c r="X190" s="3"/>
      <c r="Y190" s="3"/>
      <c r="Z190" s="3" t="str">
        <f ca="1">IFERROR(__xludf.DUMMYFUNCTION("""COMPUTED_VALUE"""),"podklady@cncenter.cz")</f>
        <v>podklady@cncenter.cz</v>
      </c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 t="str">
        <f ca="1">IFERROR(__xludf.DUMMYFUNCTION("""COMPUTED_VALUE"""),"cross-device")</f>
        <v>cross-device</v>
      </c>
      <c r="AO190" s="3"/>
      <c r="AP190" s="3"/>
      <c r="AQ190" s="3"/>
      <c r="AR190" s="3"/>
      <c r="AS190" s="3"/>
      <c r="AT190" s="3"/>
      <c r="AU190" s="3" t="str">
        <f ca="1">IFERROR(__xludf.DUMMYFUNCTION("""COMPUTED_VALUE"""),"cílený branding cross-device")</f>
        <v>cílený branding cross-device</v>
      </c>
    </row>
    <row r="191" spans="1:47" x14ac:dyDescent="0.3">
      <c r="A191" s="3">
        <f ca="1"/>
        <v>2346826</v>
      </c>
      <c r="B191" s="3" t="str">
        <f ca="1"/>
        <v>CZECH NEWS CENTER a. s.</v>
      </c>
      <c r="C191" s="3" t="str">
        <f ca="1">IFERROR(__xludf.DUMMYFUNCTION("""COMPUTED_VALUE"""),"Blesk floating")</f>
        <v>Blesk floating</v>
      </c>
      <c r="D191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1" s="3" t="str">
        <f ca="1">IFERROR(__xludf.DUMMYFUNCTION("""COMPUTED_VALUE"""),"celý web")</f>
        <v>celý web</v>
      </c>
      <c r="F191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1" s="3" t="str">
        <f ca="1">IFERROR(__xludf.DUMMYFUNCTION("""COMPUTED_VALUE"""),"cílený branding mid season")</f>
        <v>cílený branding mid season</v>
      </c>
      <c r="H191" s="3">
        <f ca="1">IFERROR(__xludf.DUMMYFUNCTION("""COMPUTED_VALUE"""),7)</f>
        <v>7</v>
      </c>
      <c r="I191" s="5">
        <f ca="1">IFERROR(__xludf.DUMMYFUNCTION("""COMPUTED_VALUE"""),1000)</f>
        <v>1000</v>
      </c>
      <c r="J191" s="5">
        <f ca="1">IFERROR(__xludf.DUMMYFUNCTION("""COMPUTED_VALUE"""),732)</f>
        <v>732</v>
      </c>
      <c r="K191" s="3"/>
      <c r="L191" s="3" t="str">
        <f ca="1">IFERROR(__xludf.DUMMYFUNCTION("""COMPUTED_VALUE"""),"Cost per period")</f>
        <v>Cost per period</v>
      </c>
      <c r="M191" s="3"/>
      <c r="N191" s="3"/>
      <c r="O191" s="3" t="str">
        <f ca="1">IFERROR(__xludf.DUMMYFUNCTION("""COMPUTED_VALUE"""),"2000")</f>
        <v>2000</v>
      </c>
      <c r="P191" s="3" t="str">
        <f ca="1">IFERROR(__xludf.DUMMYFUNCTION("""COMPUTED_VALUE"""),"1400")</f>
        <v>1400</v>
      </c>
      <c r="Q191" s="3" t="str">
        <f ca="1">IFERROR(__xludf.DUMMYFUNCTION("""COMPUTED_VALUE"""),"2000x1400")</f>
        <v>2000x1400</v>
      </c>
      <c r="R191" s="3"/>
      <c r="S191" s="3" t="str">
        <f ca="1">IFERROR(__xludf.DUMMYFUNCTION("""COMPUTED_VALUE"""),"500 + 200 (600+200 HTML5)")</f>
        <v>500 + 200 (600+200 HTML5)</v>
      </c>
      <c r="T191" s="3"/>
      <c r="U191" s="3" t="str">
        <f ca="1">IFERROR(__xludf.DUMMYFUNCTION("""COMPUTED_VALUE"""),"banner standard")</f>
        <v>banner standard</v>
      </c>
      <c r="V191" s="3"/>
      <c r="W191" s="4" t="str">
        <f ca="1">IFERROR(__xludf.DUMMYFUNCTION("""COMPUTED_VALUE"""),"https://reklama.cncenter.cz/Online/branding")</f>
        <v>https://reklama.cncenter.cz/Online/branding</v>
      </c>
      <c r="X191" s="3"/>
      <c r="Y191" s="3"/>
      <c r="Z191" s="3" t="str">
        <f ca="1">IFERROR(__xludf.DUMMYFUNCTION("""COMPUTED_VALUE"""),"podklady@cncenter.cz")</f>
        <v>podklady@cncenter.cz</v>
      </c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 t="str">
        <f ca="1">IFERROR(__xludf.DUMMYFUNCTION("""COMPUTED_VALUE"""),"desktop")</f>
        <v>desktop</v>
      </c>
      <c r="AO191" s="3"/>
      <c r="AP191" s="3"/>
      <c r="AQ191" s="3"/>
      <c r="AR191" s="3"/>
      <c r="AS191" s="3"/>
      <c r="AT191" s="3"/>
      <c r="AU191" s="3" t="str">
        <f ca="1">IFERROR(__xludf.DUMMYFUNCTION("""COMPUTED_VALUE"""),"cílený branding")</f>
        <v>cílený branding</v>
      </c>
    </row>
    <row r="192" spans="1:47" x14ac:dyDescent="0.3">
      <c r="A192" s="3">
        <f ca="1"/>
        <v>2346826</v>
      </c>
      <c r="B192" s="3" t="str">
        <f ca="1"/>
        <v>CZECH NEWS CENTER a. s.</v>
      </c>
      <c r="C192" s="3" t="str">
        <f ca="1">IFERROR(__xludf.DUMMYFUNCTION("""COMPUTED_VALUE"""),"Blesk floating")</f>
        <v>Blesk floating</v>
      </c>
      <c r="D192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2" s="3" t="str">
        <f ca="1">IFERROR(__xludf.DUMMYFUNCTION("""COMPUTED_VALUE"""),"celý web")</f>
        <v>celý web</v>
      </c>
      <c r="F192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2" s="3" t="str">
        <f ca="1">IFERROR(__xludf.DUMMYFUNCTION("""COMPUTED_VALUE"""),"cílený double skyscraper mid season")</f>
        <v>cílený double skyscraper mid season</v>
      </c>
      <c r="H192" s="3">
        <f ca="1">IFERROR(__xludf.DUMMYFUNCTION("""COMPUTED_VALUE"""),7)</f>
        <v>7</v>
      </c>
      <c r="I192" s="5">
        <f ca="1">IFERROR(__xludf.DUMMYFUNCTION("""COMPUTED_VALUE"""),1000)</f>
        <v>1000</v>
      </c>
      <c r="J192" s="5">
        <f ca="1">IFERROR(__xludf.DUMMYFUNCTION("""COMPUTED_VALUE"""),276)</f>
        <v>276</v>
      </c>
      <c r="K192" s="3"/>
      <c r="L192" s="3" t="str">
        <f ca="1">IFERROR(__xludf.DUMMYFUNCTION("""COMPUTED_VALUE"""),"Cost per period")</f>
        <v>Cost per period</v>
      </c>
      <c r="M192" s="3"/>
      <c r="N192" s="3"/>
      <c r="O192" s="3" t="str">
        <f ca="1">IFERROR(__xludf.DUMMYFUNCTION("""COMPUTED_VALUE"""),"300")</f>
        <v>300</v>
      </c>
      <c r="P192" s="3" t="str">
        <f ca="1">IFERROR(__xludf.DUMMYFUNCTION("""COMPUTED_VALUE"""),"600")</f>
        <v>600</v>
      </c>
      <c r="Q192" s="3" t="str">
        <f ca="1">IFERROR(__xludf.DUMMYFUNCTION("""COMPUTED_VALUE"""),"300x600")</f>
        <v>300x600</v>
      </c>
      <c r="R192" s="3"/>
      <c r="S192" s="3" t="str">
        <f ca="1">IFERROR(__xludf.DUMMYFUNCTION("""COMPUTED_VALUE"""),"100 (200 - HTML5)")</f>
        <v>100 (200 - HTML5)</v>
      </c>
      <c r="T192" s="3"/>
      <c r="U192" s="3" t="str">
        <f ca="1">IFERROR(__xludf.DUMMYFUNCTION("""COMPUTED_VALUE"""),"banner standard")</f>
        <v>banner standard</v>
      </c>
      <c r="V192" s="3"/>
      <c r="W192" s="4" t="str">
        <f ca="1">IFERROR(__xludf.DUMMYFUNCTION("""COMPUTED_VALUE"""),"https://reklama.cncenter.cz/Online/double-skyscraper")</f>
        <v>https://reklama.cncenter.cz/Online/double-skyscraper</v>
      </c>
      <c r="X192" s="3"/>
      <c r="Y192" s="3"/>
      <c r="Z192" s="3" t="str">
        <f ca="1">IFERROR(__xludf.DUMMYFUNCTION("""COMPUTED_VALUE"""),"podklady@cncenter.cz")</f>
        <v>podklady@cncenter.cz</v>
      </c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 t="str">
        <f ca="1">IFERROR(__xludf.DUMMYFUNCTION("""COMPUTED_VALUE"""),"desktop")</f>
        <v>desktop</v>
      </c>
      <c r="AO192" s="3"/>
      <c r="AP192" s="3"/>
      <c r="AQ192" s="3"/>
      <c r="AR192" s="3"/>
      <c r="AS192" s="3"/>
      <c r="AT192" s="3"/>
      <c r="AU192" s="3" t="str">
        <f ca="1">IFERROR(__xludf.DUMMYFUNCTION("""COMPUTED_VALUE"""),"cílený double skyscraper")</f>
        <v>cílený double skyscraper</v>
      </c>
    </row>
    <row r="193" spans="1:47" x14ac:dyDescent="0.3">
      <c r="A193" s="3">
        <f ca="1"/>
        <v>2346826</v>
      </c>
      <c r="B193" s="3" t="str">
        <f ca="1"/>
        <v>CZECH NEWS CENTER a. s.</v>
      </c>
      <c r="C193" s="3" t="str">
        <f ca="1">IFERROR(__xludf.DUMMYFUNCTION("""COMPUTED_VALUE"""),"Blesk floating")</f>
        <v>Blesk floating</v>
      </c>
      <c r="D193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3" s="3" t="str">
        <f ca="1">IFERROR(__xludf.DUMMYFUNCTION("""COMPUTED_VALUE"""),"celý web")</f>
        <v>celý web</v>
      </c>
      <c r="F193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3" s="3" t="str">
        <f ca="1">IFERROR(__xludf.DUMMYFUNCTION("""COMPUTED_VALUE"""),"cílený mini videospot - max. 30 sec. mid season")</f>
        <v>cílený mini videospot - max. 30 sec. mid season</v>
      </c>
      <c r="H193" s="3">
        <f ca="1">IFERROR(__xludf.DUMMYFUNCTION("""COMPUTED_VALUE"""),7)</f>
        <v>7</v>
      </c>
      <c r="I193" s="5">
        <f ca="1">IFERROR(__xludf.DUMMYFUNCTION("""COMPUTED_VALUE"""),1000)</f>
        <v>1000</v>
      </c>
      <c r="J193" s="5">
        <f ca="1">IFERROR(__xludf.DUMMYFUNCTION("""COMPUTED_VALUE"""),276)</f>
        <v>276</v>
      </c>
      <c r="K193" s="3"/>
      <c r="L193" s="3" t="str">
        <f ca="1">IFERROR(__xludf.DUMMYFUNCTION("""COMPUTED_VALUE"""),"Cost per period")</f>
        <v>Cost per period</v>
      </c>
      <c r="M193" s="3"/>
      <c r="N193" s="3"/>
      <c r="O193" s="3"/>
      <c r="P193" s="3"/>
      <c r="Q193" s="3" t="str">
        <f ca="1">IFERROR(__xludf.DUMMYFUNCTION("""COMPUTED_VALUE"""),"16:9 / umístění po domluvě dle možností")</f>
        <v>16:9 / umístění po domluvě dle možností</v>
      </c>
      <c r="R193" s="3" t="str">
        <f ca="1">IFERROR(__xludf.DUMMYFUNCTION("""COMPUTED_VALUE"""),"přeskočení po 7 sekundách")</f>
        <v>přeskočení po 7 sekundách</v>
      </c>
      <c r="S193" s="3" t="str">
        <f ca="1">IFERROR(__xludf.DUMMYFUNCTION("""COMPUTED_VALUE"""),"100")</f>
        <v>100</v>
      </c>
      <c r="T193" s="3"/>
      <c r="U193" s="3" t="str">
        <f ca="1">IFERROR(__xludf.DUMMYFUNCTION("""COMPUTED_VALUE"""),"videospot")</f>
        <v>videospot</v>
      </c>
      <c r="V193" s="3"/>
      <c r="W193" s="4" t="str">
        <f ca="1">IFERROR(__xludf.DUMMYFUNCTION("""COMPUTED_VALUE"""),"https://reklama.cncenter.cz/Online/Videospot")</f>
        <v>https://reklama.cncenter.cz/Online/Videospot</v>
      </c>
      <c r="X193" s="3"/>
      <c r="Y193" s="3"/>
      <c r="Z193" s="3" t="str">
        <f ca="1">IFERROR(__xludf.DUMMYFUNCTION("""COMPUTED_VALUE"""),"podklady@cncenter.cz")</f>
        <v>podklady@cncenter.cz</v>
      </c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 t="str">
        <f ca="1">IFERROR(__xludf.DUMMYFUNCTION("""COMPUTED_VALUE"""),"desktop")</f>
        <v>desktop</v>
      </c>
      <c r="AO193" s="3"/>
      <c r="AP193" s="3"/>
      <c r="AQ193" s="3"/>
      <c r="AR193" s="3"/>
      <c r="AS193" s="3"/>
      <c r="AT193" s="3"/>
      <c r="AU193" s="3" t="str">
        <f ca="1">IFERROR(__xludf.DUMMYFUNCTION("""COMPUTED_VALUE"""),"cílený mini videospot - max. 30 sec.")</f>
        <v>cílený mini videospot - max. 30 sec.</v>
      </c>
    </row>
    <row r="194" spans="1:47" x14ac:dyDescent="0.3">
      <c r="A194" s="3">
        <f ca="1"/>
        <v>2346826</v>
      </c>
      <c r="B194" s="3" t="str">
        <f ca="1"/>
        <v>CZECH NEWS CENTER a. s.</v>
      </c>
      <c r="C194" s="3" t="str">
        <f ca="1">IFERROR(__xludf.DUMMYFUNCTION("""COMPUTED_VALUE"""),"Blesk floating")</f>
        <v>Blesk floating</v>
      </c>
      <c r="D194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4" s="3" t="str">
        <f ca="1">IFERROR(__xludf.DUMMYFUNCTION("""COMPUTED_VALUE"""),"celý web")</f>
        <v>celý web</v>
      </c>
      <c r="F194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4" s="3" t="str">
        <f ca="1">IFERROR(__xludf.DUMMYFUNCTION("""COMPUTED_VALUE"""),"cílený mobilní interscroller mid season")</f>
        <v>cílený mobilní interscroller mid season</v>
      </c>
      <c r="H194" s="3">
        <f ca="1">IFERROR(__xludf.DUMMYFUNCTION("""COMPUTED_VALUE"""),7)</f>
        <v>7</v>
      </c>
      <c r="I194" s="5">
        <f ca="1">IFERROR(__xludf.DUMMYFUNCTION("""COMPUTED_VALUE"""),1000)</f>
        <v>1000</v>
      </c>
      <c r="J194" s="5">
        <f ca="1">IFERROR(__xludf.DUMMYFUNCTION("""COMPUTED_VALUE"""),360)</f>
        <v>360</v>
      </c>
      <c r="K194" s="3"/>
      <c r="L194" s="3" t="str">
        <f ca="1">IFERROR(__xludf.DUMMYFUNCTION("""COMPUTED_VALUE"""),"Cost per period")</f>
        <v>Cost per period</v>
      </c>
      <c r="M194" s="3"/>
      <c r="N194" s="3"/>
      <c r="O194" s="3" t="str">
        <f ca="1">IFERROR(__xludf.DUMMYFUNCTION("""COMPUTED_VALUE"""),"600")</f>
        <v>600</v>
      </c>
      <c r="P194" s="3" t="str">
        <f ca="1">IFERROR(__xludf.DUMMYFUNCTION("""COMPUTED_VALUE"""),"1080")</f>
        <v>1080</v>
      </c>
      <c r="Q194" s="3" t="str">
        <f ca="1">IFERROR(__xludf.DUMMYFUNCTION("""COMPUTED_VALUE"""),"600x1080")</f>
        <v>600x1080</v>
      </c>
      <c r="R194" s="3"/>
      <c r="S194" s="3" t="str">
        <f ca="1">IFERROR(__xludf.DUMMYFUNCTION("""COMPUTED_VALUE"""),"200")</f>
        <v>200</v>
      </c>
      <c r="T194" s="3"/>
      <c r="U194" s="3" t="str">
        <f ca="1">IFERROR(__xludf.DUMMYFUNCTION("""COMPUTED_VALUE"""),"banner standard")</f>
        <v>banner standard</v>
      </c>
      <c r="V194" s="3"/>
      <c r="W194" s="4" t="str">
        <f ca="1">IFERROR(__xludf.DUMMYFUNCTION("""COMPUTED_VALUE"""),"https://reklama.cncenter.cz/Online/mobilni-interscroller")</f>
        <v>https://reklama.cncenter.cz/Online/mobilni-interscroller</v>
      </c>
      <c r="X194" s="3"/>
      <c r="Y194" s="3"/>
      <c r="Z194" s="3" t="str">
        <f ca="1">IFERROR(__xludf.DUMMYFUNCTION("""COMPUTED_VALUE"""),"podklady@cncenter.cz")</f>
        <v>podklady@cncenter.cz</v>
      </c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 t="str">
        <f ca="1">IFERROR(__xludf.DUMMYFUNCTION("""COMPUTED_VALUE"""),"mobile")</f>
        <v>mobile</v>
      </c>
      <c r="AO194" s="3"/>
      <c r="AP194" s="3"/>
      <c r="AQ194" s="3"/>
      <c r="AR194" s="3"/>
      <c r="AS194" s="3"/>
      <c r="AT194" s="3"/>
      <c r="AU194" s="3" t="str">
        <f ca="1">IFERROR(__xludf.DUMMYFUNCTION("""COMPUTED_VALUE"""),"cílený mobilní interscroller")</f>
        <v>cílený mobilní interscroller</v>
      </c>
    </row>
    <row r="195" spans="1:47" x14ac:dyDescent="0.3">
      <c r="A195" s="3">
        <f ca="1"/>
        <v>2346826</v>
      </c>
      <c r="B195" s="3" t="str">
        <f ca="1"/>
        <v>CZECH NEWS CENTER a. s.</v>
      </c>
      <c r="C195" s="3" t="str">
        <f ca="1">IFERROR(__xludf.DUMMYFUNCTION("""COMPUTED_VALUE"""),"Blesk floating")</f>
        <v>Blesk floating</v>
      </c>
      <c r="D195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5" s="3" t="str">
        <f ca="1">IFERROR(__xludf.DUMMYFUNCTION("""COMPUTED_VALUE"""),"celý web")</f>
        <v>celý web</v>
      </c>
      <c r="F195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5" s="3" t="str">
        <f ca="1">IFERROR(__xludf.DUMMYFUNCTION("""COMPUTED_VALUE"""),"cílený mobilní slide-up mid season")</f>
        <v>cílený mobilní slide-up mid season</v>
      </c>
      <c r="H195" s="3">
        <f ca="1">IFERROR(__xludf.DUMMYFUNCTION("""COMPUTED_VALUE"""),7)</f>
        <v>7</v>
      </c>
      <c r="I195" s="5">
        <f ca="1">IFERROR(__xludf.DUMMYFUNCTION("""COMPUTED_VALUE"""),1000)</f>
        <v>1000</v>
      </c>
      <c r="J195" s="5">
        <f ca="1">IFERROR(__xludf.DUMMYFUNCTION("""COMPUTED_VALUE"""),756)</f>
        <v>756</v>
      </c>
      <c r="K195" s="3"/>
      <c r="L195" s="3" t="str">
        <f ca="1">IFERROR(__xludf.DUMMYFUNCTION("""COMPUTED_VALUE"""),"Cost per period")</f>
        <v>Cost per period</v>
      </c>
      <c r="M195" s="3"/>
      <c r="N195" s="3"/>
      <c r="O195" s="3" t="str">
        <f ca="1">IFERROR(__xludf.DUMMYFUNCTION("""COMPUTED_VALUE"""),"300")</f>
        <v>300</v>
      </c>
      <c r="P195" s="3" t="str">
        <f ca="1">IFERROR(__xludf.DUMMYFUNCTION("""COMPUTED_VALUE"""),"120")</f>
        <v>120</v>
      </c>
      <c r="Q195" s="3" t="str">
        <f ca="1">IFERROR(__xludf.DUMMYFUNCTION("""COMPUTED_VALUE"""),"300x120")</f>
        <v>300x120</v>
      </c>
      <c r="R195" s="3"/>
      <c r="S195" s="3" t="str">
        <f ca="1">IFERROR(__xludf.DUMMYFUNCTION("""COMPUTED_VALUE"""),"100")</f>
        <v>100</v>
      </c>
      <c r="T195" s="3"/>
      <c r="U195" s="3" t="str">
        <f ca="1">IFERROR(__xludf.DUMMYFUNCTION("""COMPUTED_VALUE"""),"banner standard")</f>
        <v>banner standard</v>
      </c>
      <c r="V195" s="3"/>
      <c r="W195" s="4" t="str">
        <f ca="1">IFERROR(__xludf.DUMMYFUNCTION("""COMPUTED_VALUE"""),"https://reklama.cncenter.cz/Online/mobilni-slide-up")</f>
        <v>https://reklama.cncenter.cz/Online/mobilni-slide-up</v>
      </c>
      <c r="X195" s="3"/>
      <c r="Y195" s="3"/>
      <c r="Z195" s="3" t="str">
        <f ca="1">IFERROR(__xludf.DUMMYFUNCTION("""COMPUTED_VALUE"""),"podklady@cncenter.cz")</f>
        <v>podklady@cncenter.cz</v>
      </c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 t="str">
        <f ca="1">IFERROR(__xludf.DUMMYFUNCTION("""COMPUTED_VALUE"""),"mobile")</f>
        <v>mobile</v>
      </c>
      <c r="AO195" s="3"/>
      <c r="AP195" s="3"/>
      <c r="AQ195" s="3"/>
      <c r="AR195" s="3"/>
      <c r="AS195" s="3"/>
      <c r="AT195" s="3"/>
      <c r="AU195" s="3" t="str">
        <f ca="1">IFERROR(__xludf.DUMMYFUNCTION("""COMPUTED_VALUE"""),"cílený mobilní slide-up")</f>
        <v>cílený mobilní slide-up</v>
      </c>
    </row>
    <row r="196" spans="1:47" x14ac:dyDescent="0.3">
      <c r="A196" s="3">
        <f ca="1"/>
        <v>2346826</v>
      </c>
      <c r="B196" s="3" t="str">
        <f ca="1"/>
        <v>CZECH NEWS CENTER a. s.</v>
      </c>
      <c r="C196" s="3" t="str">
        <f ca="1">IFERROR(__xludf.DUMMYFUNCTION("""COMPUTED_VALUE"""),"Blesk floating")</f>
        <v>Blesk floating</v>
      </c>
      <c r="D196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6" s="3" t="str">
        <f ca="1">IFERROR(__xludf.DUMMYFUNCTION("""COMPUTED_VALUE"""),"celý web")</f>
        <v>celý web</v>
      </c>
      <c r="F196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6" s="3" t="str">
        <f ca="1">IFERROR(__xludf.DUMMYFUNCTION("""COMPUTED_VALUE"""),"cílený mobilní viněta mid season")</f>
        <v>cílený mobilní viněta mid season</v>
      </c>
      <c r="H196" s="3">
        <f ca="1">IFERROR(__xludf.DUMMYFUNCTION("""COMPUTED_VALUE"""),7)</f>
        <v>7</v>
      </c>
      <c r="I196" s="5">
        <f ca="1">IFERROR(__xludf.DUMMYFUNCTION("""COMPUTED_VALUE"""),1000)</f>
        <v>1000</v>
      </c>
      <c r="J196" s="5">
        <f ca="1">IFERROR(__xludf.DUMMYFUNCTION("""COMPUTED_VALUE"""),1008)</f>
        <v>1008</v>
      </c>
      <c r="K196" s="3"/>
      <c r="L196" s="3" t="str">
        <f ca="1">IFERROR(__xludf.DUMMYFUNCTION("""COMPUTED_VALUE"""),"Cost per period")</f>
        <v>Cost per period</v>
      </c>
      <c r="M196" s="3"/>
      <c r="N196" s="3"/>
      <c r="O196" s="3" t="str">
        <f ca="1">IFERROR(__xludf.DUMMYFUNCTION("""COMPUTED_VALUE"""),"600")</f>
        <v>600</v>
      </c>
      <c r="P196" s="3" t="str">
        <f ca="1">IFERROR(__xludf.DUMMYFUNCTION("""COMPUTED_VALUE"""),"800")</f>
        <v>800</v>
      </c>
      <c r="Q196" s="3" t="str">
        <f ca="1">IFERROR(__xludf.DUMMYFUNCTION("""COMPUTED_VALUE"""),"300x250 nebo 600x800")</f>
        <v>300x250 nebo 600x800</v>
      </c>
      <c r="R196" s="3"/>
      <c r="S196" s="3" t="str">
        <f ca="1">IFERROR(__xludf.DUMMYFUNCTION("""COMPUTED_VALUE"""),"100")</f>
        <v>100</v>
      </c>
      <c r="T196" s="3"/>
      <c r="U196" s="3" t="str">
        <f ca="1">IFERROR(__xludf.DUMMYFUNCTION("""COMPUTED_VALUE"""),"banner standard")</f>
        <v>banner standard</v>
      </c>
      <c r="V196" s="3"/>
      <c r="W196" s="4" t="str">
        <f ca="1">IFERROR(__xludf.DUMMYFUNCTION("""COMPUTED_VALUE"""),"https://reklama.cncenter.cz/Online/mobilni-vineta")</f>
        <v>https://reklama.cncenter.cz/Online/mobilni-vineta</v>
      </c>
      <c r="X196" s="3"/>
      <c r="Y196" s="3"/>
      <c r="Z196" s="3" t="str">
        <f ca="1">IFERROR(__xludf.DUMMYFUNCTION("""COMPUTED_VALUE"""),"podklady@cncenter.cz")</f>
        <v>podklady@cncenter.cz</v>
      </c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 t="str">
        <f ca="1">IFERROR(__xludf.DUMMYFUNCTION("""COMPUTED_VALUE"""),"mobile")</f>
        <v>mobile</v>
      </c>
      <c r="AO196" s="3"/>
      <c r="AP196" s="3"/>
      <c r="AQ196" s="3"/>
      <c r="AR196" s="3"/>
      <c r="AS196" s="3"/>
      <c r="AT196" s="3"/>
      <c r="AU196" s="3" t="str">
        <f ca="1">IFERROR(__xludf.DUMMYFUNCTION("""COMPUTED_VALUE"""),"cílený mobilní viněta")</f>
        <v>cílený mobilní viněta</v>
      </c>
    </row>
    <row r="197" spans="1:47" x14ac:dyDescent="0.3">
      <c r="A197" s="3">
        <f ca="1"/>
        <v>2346826</v>
      </c>
      <c r="B197" s="3" t="str">
        <f ca="1"/>
        <v>CZECH NEWS CENTER a. s.</v>
      </c>
      <c r="C197" s="3" t="str">
        <f ca="1">IFERROR(__xludf.DUMMYFUNCTION("""COMPUTED_VALUE"""),"Blesk floating")</f>
        <v>Blesk floating</v>
      </c>
      <c r="D197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7" s="3" t="str">
        <f ca="1">IFERROR(__xludf.DUMMYFUNCTION("""COMPUTED_VALUE"""),"celý web")</f>
        <v>celý web</v>
      </c>
      <c r="F197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7" s="3" t="str">
        <f ca="1">IFERROR(__xludf.DUMMYFUNCTION("""COMPUTED_VALUE"""),"cílený nativní rectangle cross-device mid season")</f>
        <v>cílený nativní rectangle cross-device mid season</v>
      </c>
      <c r="H197" s="3">
        <f ca="1">IFERROR(__xludf.DUMMYFUNCTION("""COMPUTED_VALUE"""),7)</f>
        <v>7</v>
      </c>
      <c r="I197" s="5">
        <f ca="1">IFERROR(__xludf.DUMMYFUNCTION("""COMPUTED_VALUE"""),1000)</f>
        <v>1000</v>
      </c>
      <c r="J197" s="5">
        <f ca="1">IFERROR(__xludf.DUMMYFUNCTION("""COMPUTED_VALUE"""),312)</f>
        <v>312</v>
      </c>
      <c r="K197" s="3"/>
      <c r="L197" s="3" t="str">
        <f ca="1">IFERROR(__xludf.DUMMYFUNCTION("""COMPUTED_VALUE"""),"Cost per period")</f>
        <v>Cost per period</v>
      </c>
      <c r="M197" s="3"/>
      <c r="N197" s="3"/>
      <c r="O197" s="3" t="str">
        <f ca="1">IFERROR(__xludf.DUMMYFUNCTION("""COMPUTED_VALUE"""),"640")</f>
        <v>640</v>
      </c>
      <c r="P197" s="3" t="str">
        <f ca="1">IFERROR(__xludf.DUMMYFUNCTION("""COMPUTED_VALUE"""),"335, 640")</f>
        <v>335, 640</v>
      </c>
      <c r="Q197" s="3" t="str">
        <f ca="1">IFERROR(__xludf.DUMMYFUNCTION("""COMPUTED_VALUE"""),"640x640 a 640x335 + text + logo")</f>
        <v>640x640 a 640x335 + text + logo</v>
      </c>
      <c r="R197" s="3"/>
      <c r="S197" s="3" t="str">
        <f ca="1">IFERROR(__xludf.DUMMYFUNCTION("""COMPUTED_VALUE"""),"45")</f>
        <v>45</v>
      </c>
      <c r="T197" s="3"/>
      <c r="U197" s="3" t="str">
        <f ca="1">IFERROR(__xludf.DUMMYFUNCTION("""COMPUTED_VALUE"""),"nativní reklama")</f>
        <v>nativní reklama</v>
      </c>
      <c r="V197" s="3"/>
      <c r="W197" s="4" t="str">
        <f ca="1">IFERROR(__xludf.DUMMYFUNCTION("""COMPUTED_VALUE"""),"https://reklama.cncenter.cz/Online/nativni-rectangle-cross-device")</f>
        <v>https://reklama.cncenter.cz/Online/nativni-rectangle-cross-device</v>
      </c>
      <c r="X197" s="3"/>
      <c r="Y197" s="3"/>
      <c r="Z197" s="3" t="str">
        <f ca="1">IFERROR(__xludf.DUMMYFUNCTION("""COMPUTED_VALUE"""),"podklady@cncenter.cz")</f>
        <v>podklady@cncenter.cz</v>
      </c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 t="str">
        <f ca="1">IFERROR(__xludf.DUMMYFUNCTION("""COMPUTED_VALUE"""),"cross-device")</f>
        <v>cross-device</v>
      </c>
      <c r="AO197" s="3"/>
      <c r="AP197" s="3"/>
      <c r="AQ197" s="3"/>
      <c r="AR197" s="3"/>
      <c r="AS197" s="3"/>
      <c r="AT197" s="3"/>
      <c r="AU197" s="3" t="str">
        <f ca="1">IFERROR(__xludf.DUMMYFUNCTION("""COMPUTED_VALUE"""),"cílený nativní rectangle cross-device")</f>
        <v>cílený nativní rectangle cross-device</v>
      </c>
    </row>
    <row r="198" spans="1:47" x14ac:dyDescent="0.3">
      <c r="A198" s="3">
        <f ca="1"/>
        <v>2346826</v>
      </c>
      <c r="B198" s="3" t="str">
        <f ca="1"/>
        <v>CZECH NEWS CENTER a. s.</v>
      </c>
      <c r="C198" s="3" t="str">
        <f ca="1">IFERROR(__xludf.DUMMYFUNCTION("""COMPUTED_VALUE"""),"Blesk floating")</f>
        <v>Blesk floating</v>
      </c>
      <c r="D198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8" s="3" t="str">
        <f ca="1">IFERROR(__xludf.DUMMYFUNCTION("""COMPUTED_VALUE"""),"celý web")</f>
        <v>celý web</v>
      </c>
      <c r="F198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8" s="3" t="str">
        <f ca="1">IFERROR(__xludf.DUMMYFUNCTION("""COMPUTED_VALUE"""),"cílený outstream mid season")</f>
        <v>cílený outstream mid season</v>
      </c>
      <c r="H198" s="3">
        <f ca="1">IFERROR(__xludf.DUMMYFUNCTION("""COMPUTED_VALUE"""),7)</f>
        <v>7</v>
      </c>
      <c r="I198" s="5">
        <f ca="1">IFERROR(__xludf.DUMMYFUNCTION("""COMPUTED_VALUE"""),1000)</f>
        <v>1000</v>
      </c>
      <c r="J198" s="5">
        <f ca="1">IFERROR(__xludf.DUMMYFUNCTION("""COMPUTED_VALUE"""),396)</f>
        <v>396</v>
      </c>
      <c r="K198" s="3"/>
      <c r="L198" s="3" t="str">
        <f ca="1">IFERROR(__xludf.DUMMYFUNCTION("""COMPUTED_VALUE"""),"Cost per period")</f>
        <v>Cost per period</v>
      </c>
      <c r="M198" s="3"/>
      <c r="N198" s="3"/>
      <c r="O198" s="3" t="str">
        <f ca="1">IFERROR(__xludf.DUMMYFUNCTION("""COMPUTED_VALUE"""),"1280")</f>
        <v>1280</v>
      </c>
      <c r="P198" s="3" t="str">
        <f ca="1">IFERROR(__xludf.DUMMYFUNCTION("""COMPUTED_VALUE"""),"720")</f>
        <v>720</v>
      </c>
      <c r="Q198" s="3" t="str">
        <f ca="1">IFERROR(__xludf.DUMMYFUNCTION("""COMPUTED_VALUE"""),"16:9")</f>
        <v>16:9</v>
      </c>
      <c r="R198" s="3"/>
      <c r="S198" s="3" t="str">
        <f ca="1">IFERROR(__xludf.DUMMYFUNCTION("""COMPUTED_VALUE"""),"100")</f>
        <v>100</v>
      </c>
      <c r="T198" s="3"/>
      <c r="U198" s="3" t="str">
        <f ca="1">IFERROR(__xludf.DUMMYFUNCTION("""COMPUTED_VALUE"""),"videospot")</f>
        <v>videospot</v>
      </c>
      <c r="V198" s="3"/>
      <c r="W198" s="4" t="str">
        <f ca="1">IFERROR(__xludf.DUMMYFUNCTION("""COMPUTED_VALUE"""),"https://reklama.cncenter.cz/Online/Outstream")</f>
        <v>https://reklama.cncenter.cz/Online/Outstream</v>
      </c>
      <c r="X198" s="3"/>
      <c r="Y198" s="3"/>
      <c r="Z198" s="3" t="str">
        <f ca="1">IFERROR(__xludf.DUMMYFUNCTION("""COMPUTED_VALUE"""),"podklady@cncenter.cz")</f>
        <v>podklady@cncenter.cz</v>
      </c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 t="str">
        <f ca="1">IFERROR(__xludf.DUMMYFUNCTION("""COMPUTED_VALUE"""),"cross-device")</f>
        <v>cross-device</v>
      </c>
      <c r="AO198" s="3"/>
      <c r="AP198" s="3"/>
      <c r="AQ198" s="3"/>
      <c r="AR198" s="3"/>
      <c r="AS198" s="3"/>
      <c r="AT198" s="3"/>
      <c r="AU198" s="3" t="str">
        <f ca="1">IFERROR(__xludf.DUMMYFUNCTION("""COMPUTED_VALUE"""),"cílený outstream")</f>
        <v>cílený outstream</v>
      </c>
    </row>
    <row r="199" spans="1:47" x14ac:dyDescent="0.3">
      <c r="A199" s="3">
        <f ca="1"/>
        <v>2346826</v>
      </c>
      <c r="B199" s="3" t="str">
        <f ca="1"/>
        <v>CZECH NEWS CENTER a. s.</v>
      </c>
      <c r="C199" s="3" t="str">
        <f ca="1">IFERROR(__xludf.DUMMYFUNCTION("""COMPUTED_VALUE"""),"Blesk floating")</f>
        <v>Blesk floating</v>
      </c>
      <c r="D199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9" s="3" t="str">
        <f ca="1">IFERROR(__xludf.DUMMYFUNCTION("""COMPUTED_VALUE"""),"celý web")</f>
        <v>celý web</v>
      </c>
      <c r="F199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9" s="3" t="str">
        <f ca="1">IFERROR(__xludf.DUMMYFUNCTION("""COMPUTED_VALUE"""),"cílený Smarticle mid season")</f>
        <v>cílený Smarticle mid season</v>
      </c>
      <c r="H199" s="3">
        <f ca="1">IFERROR(__xludf.DUMMYFUNCTION("""COMPUTED_VALUE"""),7)</f>
        <v>7</v>
      </c>
      <c r="I199" s="5">
        <f ca="1">IFERROR(__xludf.DUMMYFUNCTION("""COMPUTED_VALUE"""),1000)</f>
        <v>1000</v>
      </c>
      <c r="J199" s="5">
        <f ca="1">IFERROR(__xludf.DUMMYFUNCTION("""COMPUTED_VALUE"""),240)</f>
        <v>240</v>
      </c>
      <c r="K199" s="3"/>
      <c r="L199" s="3" t="str">
        <f ca="1">IFERROR(__xludf.DUMMYFUNCTION("""COMPUTED_VALUE"""),"Cost per period")</f>
        <v>Cost per period</v>
      </c>
      <c r="M199" s="3"/>
      <c r="N199" s="3" t="str">
        <f ca="1">IFERROR(__xludf.DUMMYFUNCTION("""COMPUTED_VALUE"""),"A4")</f>
        <v>A4</v>
      </c>
      <c r="O199" s="3"/>
      <c r="P199" s="3"/>
      <c r="Q199" s="3" t="str">
        <f ca="1">IFERROR(__xludf.DUMMYFUNCTION("""COMPUTED_VALUE"""),"viz. tech.specifikace; HP + sekce")</f>
        <v>viz. tech.specifikace; HP + sekce</v>
      </c>
      <c r="R199" s="3" t="str">
        <f ca="1">IFERROR(__xludf.DUMMYFUNCTION("""COMPUTED_VALUE"""),"HP + sekce")</f>
        <v>HP + sekce</v>
      </c>
      <c r="S199" s="3" t="str">
        <f ca="1">IFERROR(__xludf.DUMMYFUNCTION("""COMPUTED_VALUE"""),"100")</f>
        <v>100</v>
      </c>
      <c r="T199" s="3"/>
      <c r="U199" s="3" t="str">
        <f ca="1">IFERROR(__xludf.DUMMYFUNCTION("""COMPUTED_VALUE"""),"pr článek")</f>
        <v>pr článek</v>
      </c>
      <c r="V199" s="3"/>
      <c r="W199" s="4" t="str">
        <f ca="1">IFERROR(__xludf.DUMMYFUNCTION("""COMPUTED_VALUE"""),"https://reklama.cncenter.cz/Online/Smarticle")</f>
        <v>https://reklama.cncenter.cz/Online/Smarticle</v>
      </c>
      <c r="X199" s="3"/>
      <c r="Y199" s="3"/>
      <c r="Z199" s="3" t="str">
        <f ca="1">IFERROR(__xludf.DUMMYFUNCTION("""COMPUTED_VALUE"""),"podklady@cncenter.cz")</f>
        <v>podklady@cncenter.cz</v>
      </c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 t="str">
        <f ca="1">IFERROR(__xludf.DUMMYFUNCTION("""COMPUTED_VALUE"""),"cross-device")</f>
        <v>cross-device</v>
      </c>
      <c r="AO199" s="3"/>
      <c r="AP199" s="3"/>
      <c r="AQ199" s="3"/>
      <c r="AR199" s="3"/>
      <c r="AS199" s="3"/>
      <c r="AT199" s="3"/>
      <c r="AU199" s="3" t="str">
        <f ca="1">IFERROR(__xludf.DUMMYFUNCTION("""COMPUTED_VALUE"""),"cílený Smarticle")</f>
        <v>cílený Smarticle</v>
      </c>
    </row>
    <row r="200" spans="1:47" x14ac:dyDescent="0.3">
      <c r="A200" s="3">
        <f ca="1"/>
        <v>2346826</v>
      </c>
      <c r="B200" s="3" t="str">
        <f ca="1"/>
        <v>CZECH NEWS CENTER a. s.</v>
      </c>
      <c r="C200" s="3" t="str">
        <f ca="1">IFERROR(__xludf.DUMMYFUNCTION("""COMPUTED_VALUE"""),"Blesk floating")</f>
        <v>Blesk floating</v>
      </c>
      <c r="D200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0" s="3" t="str">
        <f ca="1">IFERROR(__xludf.DUMMYFUNCTION("""COMPUTED_VALUE"""),"celý web")</f>
        <v>celý web</v>
      </c>
      <c r="F200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0" s="3" t="str">
        <f ca="1">IFERROR(__xludf.DUMMYFUNCTION("""COMPUTED_VALUE"""),"cílený videospot - max. 30 sec. / bumper mid season")</f>
        <v>cílený videospot - max. 30 sec. / bumper mid season</v>
      </c>
      <c r="H200" s="3">
        <f ca="1">IFERROR(__xludf.DUMMYFUNCTION("""COMPUTED_VALUE"""),7)</f>
        <v>7</v>
      </c>
      <c r="I200" s="5">
        <f ca="1">IFERROR(__xludf.DUMMYFUNCTION("""COMPUTED_VALUE"""),1000)</f>
        <v>1000</v>
      </c>
      <c r="J200" s="5">
        <f ca="1">IFERROR(__xludf.DUMMYFUNCTION("""COMPUTED_VALUE"""),1200)</f>
        <v>1200</v>
      </c>
      <c r="K200" s="3"/>
      <c r="L200" s="3" t="str">
        <f ca="1">IFERROR(__xludf.DUMMYFUNCTION("""COMPUTED_VALUE"""),"Cost per period")</f>
        <v>Cost per period</v>
      </c>
      <c r="M200" s="3"/>
      <c r="N200" s="3"/>
      <c r="O200" s="3" t="str">
        <f ca="1">IFERROR(__xludf.DUMMYFUNCTION("""COMPUTED_VALUE"""),"1280")</f>
        <v>1280</v>
      </c>
      <c r="P200" s="3" t="str">
        <f ca="1">IFERROR(__xludf.DUMMYFUNCTION("""COMPUTED_VALUE"""),"720")</f>
        <v>720</v>
      </c>
      <c r="Q200" s="3" t="str">
        <f ca="1">IFERROR(__xludf.DUMMYFUNCTION("""COMPUTED_VALUE"""),"16:9 / umístění po domluvě dle možností")</f>
        <v>16:9 / umístění po domluvě dle možností</v>
      </c>
      <c r="R200" s="3" t="str">
        <f ca="1">IFERROR(__xludf.DUMMYFUNCTION("""COMPUTED_VALUE"""),"přeskočení po 7 sekundách")</f>
        <v>přeskočení po 7 sekundách</v>
      </c>
      <c r="S200" s="3" t="str">
        <f ca="1">IFERROR(__xludf.DUMMYFUNCTION("""COMPUTED_VALUE"""),"100")</f>
        <v>100</v>
      </c>
      <c r="T200" s="3"/>
      <c r="U200" s="3" t="str">
        <f ca="1">IFERROR(__xludf.DUMMYFUNCTION("""COMPUTED_VALUE"""),"videospot")</f>
        <v>videospot</v>
      </c>
      <c r="V200" s="3"/>
      <c r="W200" s="4" t="str">
        <f ca="1">IFERROR(__xludf.DUMMYFUNCTION("""COMPUTED_VALUE"""),"https://reklama.cncenter.cz/Online/Bumper")</f>
        <v>https://reklama.cncenter.cz/Online/Bumper</v>
      </c>
      <c r="X200" s="3"/>
      <c r="Y200" s="3"/>
      <c r="Z200" s="3" t="str">
        <f ca="1">IFERROR(__xludf.DUMMYFUNCTION("""COMPUTED_VALUE"""),"podklady@cncenter.cz")</f>
        <v>podklady@cncenter.cz</v>
      </c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 t="str">
        <f ca="1">IFERROR(__xludf.DUMMYFUNCTION("""COMPUTED_VALUE"""),"cross-device")</f>
        <v>cross-device</v>
      </c>
      <c r="AO200" s="3"/>
      <c r="AP200" s="3"/>
      <c r="AQ200" s="3"/>
      <c r="AR200" s="3"/>
      <c r="AS200" s="3"/>
      <c r="AT200" s="3"/>
      <c r="AU200" s="3" t="str">
        <f ca="1">IFERROR(__xludf.DUMMYFUNCTION("""COMPUTED_VALUE"""),"cílený videospot - max. 30 sec. / bumper")</f>
        <v>cílený videospot - max. 30 sec. / bumper</v>
      </c>
    </row>
    <row r="201" spans="1:47" x14ac:dyDescent="0.3">
      <c r="A201" s="3">
        <f ca="1"/>
        <v>2346826</v>
      </c>
      <c r="B201" s="3" t="str">
        <f ca="1"/>
        <v>CZECH NEWS CENTER a. s.</v>
      </c>
      <c r="C201" s="3" t="str">
        <f ca="1">IFERROR(__xludf.DUMMYFUNCTION("""COMPUTED_VALUE"""),"Blesk floating")</f>
        <v>Blesk floating</v>
      </c>
      <c r="D201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1" s="3" t="str">
        <f ca="1">IFERROR(__xludf.DUMMYFUNCTION("""COMPUTED_VALUE"""),"celý web")</f>
        <v>celý web</v>
      </c>
      <c r="F201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1" s="3" t="str">
        <f ca="1">IFERROR(__xludf.DUMMYFUNCTION("""COMPUTED_VALUE"""),"double skyscraper mid season")</f>
        <v>double skyscraper mid season</v>
      </c>
      <c r="H201" s="3">
        <f ca="1">IFERROR(__xludf.DUMMYFUNCTION("""COMPUTED_VALUE"""),7)</f>
        <v>7</v>
      </c>
      <c r="I201" s="5">
        <f ca="1">IFERROR(__xludf.DUMMYFUNCTION("""COMPUTED_VALUE"""),1000)</f>
        <v>1000</v>
      </c>
      <c r="J201" s="5">
        <f ca="1">IFERROR(__xludf.DUMMYFUNCTION("""COMPUTED_VALUE"""),230)</f>
        <v>230</v>
      </c>
      <c r="K201" s="3"/>
      <c r="L201" s="3" t="str">
        <f ca="1">IFERROR(__xludf.DUMMYFUNCTION("""COMPUTED_VALUE"""),"Cost per period")</f>
        <v>Cost per period</v>
      </c>
      <c r="M201" s="3"/>
      <c r="N201" s="3"/>
      <c r="O201" s="3" t="str">
        <f ca="1">IFERROR(__xludf.DUMMYFUNCTION("""COMPUTED_VALUE"""),"300")</f>
        <v>300</v>
      </c>
      <c r="P201" s="3" t="str">
        <f ca="1">IFERROR(__xludf.DUMMYFUNCTION("""COMPUTED_VALUE"""),"600")</f>
        <v>600</v>
      </c>
      <c r="Q201" s="3" t="str">
        <f ca="1">IFERROR(__xludf.DUMMYFUNCTION("""COMPUTED_VALUE"""),"300x600")</f>
        <v>300x600</v>
      </c>
      <c r="R201" s="3"/>
      <c r="S201" s="3" t="str">
        <f ca="1">IFERROR(__xludf.DUMMYFUNCTION("""COMPUTED_VALUE"""),"100 (200 - HTML5)")</f>
        <v>100 (200 - HTML5)</v>
      </c>
      <c r="T201" s="3"/>
      <c r="U201" s="3" t="str">
        <f ca="1">IFERROR(__xludf.DUMMYFUNCTION("""COMPUTED_VALUE"""),"banner standard")</f>
        <v>banner standard</v>
      </c>
      <c r="V201" s="3"/>
      <c r="W201" s="4" t="str">
        <f ca="1">IFERROR(__xludf.DUMMYFUNCTION("""COMPUTED_VALUE"""),"https://reklama.cncenter.cz/Online/double-skyscraper")</f>
        <v>https://reklama.cncenter.cz/Online/double-skyscraper</v>
      </c>
      <c r="X201" s="3"/>
      <c r="Y201" s="3"/>
      <c r="Z201" s="3" t="str">
        <f ca="1">IFERROR(__xludf.DUMMYFUNCTION("""COMPUTED_VALUE"""),"podklady@cncenter.cz")</f>
        <v>podklady@cncenter.cz</v>
      </c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 t="str">
        <f ca="1">IFERROR(__xludf.DUMMYFUNCTION("""COMPUTED_VALUE"""),"desktop")</f>
        <v>desktop</v>
      </c>
      <c r="AO201" s="3"/>
      <c r="AP201" s="3"/>
      <c r="AQ201" s="3"/>
      <c r="AR201" s="3"/>
      <c r="AS201" s="3"/>
      <c r="AT201" s="3"/>
      <c r="AU201" s="3" t="str">
        <f ca="1">IFERROR(__xludf.DUMMYFUNCTION("""COMPUTED_VALUE"""),"double skyscraper")</f>
        <v>double skyscraper</v>
      </c>
    </row>
    <row r="202" spans="1:47" x14ac:dyDescent="0.3">
      <c r="A202" s="3">
        <f ca="1"/>
        <v>2346826</v>
      </c>
      <c r="B202" s="3" t="str">
        <f ca="1"/>
        <v>CZECH NEWS CENTER a. s.</v>
      </c>
      <c r="C202" s="3" t="str">
        <f ca="1">IFERROR(__xludf.DUMMYFUNCTION("""COMPUTED_VALUE"""),"Blesk floating")</f>
        <v>Blesk floating</v>
      </c>
      <c r="D202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2" s="3" t="str">
        <f ca="1">IFERROR(__xludf.DUMMYFUNCTION("""COMPUTED_VALUE"""),"celý web")</f>
        <v>celý web</v>
      </c>
      <c r="F202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2" s="3" t="str">
        <f ca="1">IFERROR(__xludf.DUMMYFUNCTION("""COMPUTED_VALUE"""),"mini videospot - max. 30 sec. mid season")</f>
        <v>mini videospot - max. 30 sec. mid season</v>
      </c>
      <c r="H202" s="3">
        <f ca="1">IFERROR(__xludf.DUMMYFUNCTION("""COMPUTED_VALUE"""),7)</f>
        <v>7</v>
      </c>
      <c r="I202" s="5">
        <f ca="1">IFERROR(__xludf.DUMMYFUNCTION("""COMPUTED_VALUE"""),1000)</f>
        <v>1000</v>
      </c>
      <c r="J202" s="5">
        <f ca="1">IFERROR(__xludf.DUMMYFUNCTION("""COMPUTED_VALUE"""),230)</f>
        <v>230</v>
      </c>
      <c r="K202" s="3"/>
      <c r="L202" s="3" t="str">
        <f ca="1">IFERROR(__xludf.DUMMYFUNCTION("""COMPUTED_VALUE"""),"Cost per period")</f>
        <v>Cost per period</v>
      </c>
      <c r="M202" s="3"/>
      <c r="N202" s="3"/>
      <c r="O202" s="3"/>
      <c r="P202" s="3"/>
      <c r="Q202" s="3" t="str">
        <f ca="1">IFERROR(__xludf.DUMMYFUNCTION("""COMPUTED_VALUE"""),"16:9 / umístění po domluvě dle možností")</f>
        <v>16:9 / umístění po domluvě dle možností</v>
      </c>
      <c r="R202" s="3" t="str">
        <f ca="1">IFERROR(__xludf.DUMMYFUNCTION("""COMPUTED_VALUE"""),"přeskočení po 7 sekundách")</f>
        <v>přeskočení po 7 sekundách</v>
      </c>
      <c r="S202" s="3" t="str">
        <f ca="1">IFERROR(__xludf.DUMMYFUNCTION("""COMPUTED_VALUE"""),"100")</f>
        <v>100</v>
      </c>
      <c r="T202" s="3"/>
      <c r="U202" s="3" t="str">
        <f ca="1">IFERROR(__xludf.DUMMYFUNCTION("""COMPUTED_VALUE"""),"videospot")</f>
        <v>videospot</v>
      </c>
      <c r="V202" s="3"/>
      <c r="W202" s="4" t="str">
        <f ca="1">IFERROR(__xludf.DUMMYFUNCTION("""COMPUTED_VALUE"""),"https://reklama.cncenter.cz/Online/Videospot")</f>
        <v>https://reklama.cncenter.cz/Online/Videospot</v>
      </c>
      <c r="X202" s="3"/>
      <c r="Y202" s="3"/>
      <c r="Z202" s="3" t="str">
        <f ca="1">IFERROR(__xludf.DUMMYFUNCTION("""COMPUTED_VALUE"""),"podklady@cncenter.cz")</f>
        <v>podklady@cncenter.cz</v>
      </c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 t="str">
        <f ca="1">IFERROR(__xludf.DUMMYFUNCTION("""COMPUTED_VALUE"""),"desktop")</f>
        <v>desktop</v>
      </c>
      <c r="AO202" s="3"/>
      <c r="AP202" s="3"/>
      <c r="AQ202" s="3"/>
      <c r="AR202" s="3"/>
      <c r="AS202" s="3"/>
      <c r="AT202" s="3"/>
      <c r="AU202" s="3" t="str">
        <f ca="1">IFERROR(__xludf.DUMMYFUNCTION("""COMPUTED_VALUE"""),"mini videospot - max. 30 sec.")</f>
        <v>mini videospot - max. 30 sec.</v>
      </c>
    </row>
    <row r="203" spans="1:47" x14ac:dyDescent="0.3">
      <c r="A203" s="3">
        <f ca="1"/>
        <v>2346826</v>
      </c>
      <c r="B203" s="3" t="str">
        <f ca="1"/>
        <v>CZECH NEWS CENTER a. s.</v>
      </c>
      <c r="C203" s="3" t="str">
        <f ca="1">IFERROR(__xludf.DUMMYFUNCTION("""COMPUTED_VALUE"""),"Blesk floating")</f>
        <v>Blesk floating</v>
      </c>
      <c r="D203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3" s="3" t="str">
        <f ca="1">IFERROR(__xludf.DUMMYFUNCTION("""COMPUTED_VALUE"""),"celý web")</f>
        <v>celý web</v>
      </c>
      <c r="F203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3" s="3" t="str">
        <f ca="1">IFERROR(__xludf.DUMMYFUNCTION("""COMPUTED_VALUE"""),"mobilní interscroller mid season")</f>
        <v>mobilní interscroller mid season</v>
      </c>
      <c r="H203" s="3">
        <f ca="1">IFERROR(__xludf.DUMMYFUNCTION("""COMPUTED_VALUE"""),7)</f>
        <v>7</v>
      </c>
      <c r="I203" s="5">
        <f ca="1">IFERROR(__xludf.DUMMYFUNCTION("""COMPUTED_VALUE"""),1000)</f>
        <v>1000</v>
      </c>
      <c r="J203" s="5">
        <f ca="1">IFERROR(__xludf.DUMMYFUNCTION("""COMPUTED_VALUE"""),300)</f>
        <v>300</v>
      </c>
      <c r="K203" s="3"/>
      <c r="L203" s="3" t="str">
        <f ca="1">IFERROR(__xludf.DUMMYFUNCTION("""COMPUTED_VALUE"""),"Cost per period")</f>
        <v>Cost per period</v>
      </c>
      <c r="M203" s="3"/>
      <c r="N203" s="3"/>
      <c r="O203" s="3" t="str">
        <f ca="1">IFERROR(__xludf.DUMMYFUNCTION("""COMPUTED_VALUE"""),"600")</f>
        <v>600</v>
      </c>
      <c r="P203" s="3" t="str">
        <f ca="1">IFERROR(__xludf.DUMMYFUNCTION("""COMPUTED_VALUE"""),"1080")</f>
        <v>1080</v>
      </c>
      <c r="Q203" s="3" t="str">
        <f ca="1">IFERROR(__xludf.DUMMYFUNCTION("""COMPUTED_VALUE"""),"600x1080")</f>
        <v>600x1080</v>
      </c>
      <c r="R203" s="3"/>
      <c r="S203" s="3" t="str">
        <f ca="1">IFERROR(__xludf.DUMMYFUNCTION("""COMPUTED_VALUE"""),"200")</f>
        <v>200</v>
      </c>
      <c r="T203" s="3"/>
      <c r="U203" s="3" t="str">
        <f ca="1">IFERROR(__xludf.DUMMYFUNCTION("""COMPUTED_VALUE"""),"banner standard")</f>
        <v>banner standard</v>
      </c>
      <c r="V203" s="3"/>
      <c r="W203" s="4" t="str">
        <f ca="1">IFERROR(__xludf.DUMMYFUNCTION("""COMPUTED_VALUE"""),"https://reklama.cncenter.cz/Online/mobilni-interscroller")</f>
        <v>https://reklama.cncenter.cz/Online/mobilni-interscroller</v>
      </c>
      <c r="X203" s="3"/>
      <c r="Y203" s="3"/>
      <c r="Z203" s="3" t="str">
        <f ca="1">IFERROR(__xludf.DUMMYFUNCTION("""COMPUTED_VALUE"""),"podklady@cncenter.cz")</f>
        <v>podklady@cncenter.cz</v>
      </c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 t="str">
        <f ca="1">IFERROR(__xludf.DUMMYFUNCTION("""COMPUTED_VALUE"""),"mobile")</f>
        <v>mobile</v>
      </c>
      <c r="AO203" s="3"/>
      <c r="AP203" s="3"/>
      <c r="AQ203" s="3"/>
      <c r="AR203" s="3"/>
      <c r="AS203" s="3"/>
      <c r="AT203" s="3"/>
      <c r="AU203" s="3" t="str">
        <f ca="1">IFERROR(__xludf.DUMMYFUNCTION("""COMPUTED_VALUE"""),"mobilní interscroller")</f>
        <v>mobilní interscroller</v>
      </c>
    </row>
    <row r="204" spans="1:47" x14ac:dyDescent="0.3">
      <c r="A204" s="3">
        <f ca="1"/>
        <v>2346826</v>
      </c>
      <c r="B204" s="3" t="str">
        <f ca="1"/>
        <v>CZECH NEWS CENTER a. s.</v>
      </c>
      <c r="C204" s="3" t="str">
        <f ca="1">IFERROR(__xludf.DUMMYFUNCTION("""COMPUTED_VALUE"""),"Blesk floating")</f>
        <v>Blesk floating</v>
      </c>
      <c r="D204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4" s="3" t="str">
        <f ca="1">IFERROR(__xludf.DUMMYFUNCTION("""COMPUTED_VALUE"""),"celý web")</f>
        <v>celý web</v>
      </c>
      <c r="F204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4" s="3" t="str">
        <f ca="1">IFERROR(__xludf.DUMMYFUNCTION("""COMPUTED_VALUE"""),"mobilní slide-up mid season")</f>
        <v>mobilní slide-up mid season</v>
      </c>
      <c r="H204" s="3">
        <f ca="1">IFERROR(__xludf.DUMMYFUNCTION("""COMPUTED_VALUE"""),7)</f>
        <v>7</v>
      </c>
      <c r="I204" s="5">
        <f ca="1">IFERROR(__xludf.DUMMYFUNCTION("""COMPUTED_VALUE"""),1000)</f>
        <v>1000</v>
      </c>
      <c r="J204" s="5">
        <f ca="1">IFERROR(__xludf.DUMMYFUNCTION("""COMPUTED_VALUE"""),630)</f>
        <v>630</v>
      </c>
      <c r="K204" s="3"/>
      <c r="L204" s="3" t="str">
        <f ca="1">IFERROR(__xludf.DUMMYFUNCTION("""COMPUTED_VALUE"""),"Cost per period")</f>
        <v>Cost per period</v>
      </c>
      <c r="M204" s="3"/>
      <c r="N204" s="3"/>
      <c r="O204" s="3" t="str">
        <f ca="1">IFERROR(__xludf.DUMMYFUNCTION("""COMPUTED_VALUE"""),"300")</f>
        <v>300</v>
      </c>
      <c r="P204" s="3" t="str">
        <f ca="1">IFERROR(__xludf.DUMMYFUNCTION("""COMPUTED_VALUE"""),"120")</f>
        <v>120</v>
      </c>
      <c r="Q204" s="3" t="str">
        <f ca="1">IFERROR(__xludf.DUMMYFUNCTION("""COMPUTED_VALUE"""),"300x120")</f>
        <v>300x120</v>
      </c>
      <c r="R204" s="3"/>
      <c r="S204" s="3" t="str">
        <f ca="1">IFERROR(__xludf.DUMMYFUNCTION("""COMPUTED_VALUE"""),"100")</f>
        <v>100</v>
      </c>
      <c r="T204" s="3"/>
      <c r="U204" s="3" t="str">
        <f ca="1">IFERROR(__xludf.DUMMYFUNCTION("""COMPUTED_VALUE"""),"banner standard")</f>
        <v>banner standard</v>
      </c>
      <c r="V204" s="3"/>
      <c r="W204" s="4" t="str">
        <f ca="1">IFERROR(__xludf.DUMMYFUNCTION("""COMPUTED_VALUE"""),"https://reklama.cncenter.cz/Online/mobilni-slide-up")</f>
        <v>https://reklama.cncenter.cz/Online/mobilni-slide-up</v>
      </c>
      <c r="X204" s="3"/>
      <c r="Y204" s="3"/>
      <c r="Z204" s="3" t="str">
        <f ca="1">IFERROR(__xludf.DUMMYFUNCTION("""COMPUTED_VALUE"""),"podklady@cncenter.cz")</f>
        <v>podklady@cncenter.cz</v>
      </c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 t="str">
        <f ca="1">IFERROR(__xludf.DUMMYFUNCTION("""COMPUTED_VALUE"""),"mobile")</f>
        <v>mobile</v>
      </c>
      <c r="AO204" s="3"/>
      <c r="AP204" s="3"/>
      <c r="AQ204" s="3"/>
      <c r="AR204" s="3"/>
      <c r="AS204" s="3"/>
      <c r="AT204" s="3"/>
      <c r="AU204" s="3" t="str">
        <f ca="1">IFERROR(__xludf.DUMMYFUNCTION("""COMPUTED_VALUE"""),"mobilní slide-up")</f>
        <v>mobilní slide-up</v>
      </c>
    </row>
    <row r="205" spans="1:47" x14ac:dyDescent="0.3">
      <c r="A205" s="3">
        <f ca="1"/>
        <v>2346826</v>
      </c>
      <c r="B205" s="3" t="str">
        <f ca="1"/>
        <v>CZECH NEWS CENTER a. s.</v>
      </c>
      <c r="C205" s="3" t="str">
        <f ca="1">IFERROR(__xludf.DUMMYFUNCTION("""COMPUTED_VALUE"""),"Blesk floating")</f>
        <v>Blesk floating</v>
      </c>
      <c r="D205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5" s="3" t="str">
        <f ca="1">IFERROR(__xludf.DUMMYFUNCTION("""COMPUTED_VALUE"""),"celý web")</f>
        <v>celý web</v>
      </c>
      <c r="F205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5" s="3" t="str">
        <f ca="1">IFERROR(__xludf.DUMMYFUNCTION("""COMPUTED_VALUE"""),"mobilní viněta mid season")</f>
        <v>mobilní viněta mid season</v>
      </c>
      <c r="H205" s="3">
        <f ca="1">IFERROR(__xludf.DUMMYFUNCTION("""COMPUTED_VALUE"""),7)</f>
        <v>7</v>
      </c>
      <c r="I205" s="5">
        <f ca="1">IFERROR(__xludf.DUMMYFUNCTION("""COMPUTED_VALUE"""),1000)</f>
        <v>1000</v>
      </c>
      <c r="J205" s="5">
        <f ca="1">IFERROR(__xludf.DUMMYFUNCTION("""COMPUTED_VALUE"""),840)</f>
        <v>840</v>
      </c>
      <c r="K205" s="3"/>
      <c r="L205" s="3" t="str">
        <f ca="1">IFERROR(__xludf.DUMMYFUNCTION("""COMPUTED_VALUE"""),"Cost per period")</f>
        <v>Cost per period</v>
      </c>
      <c r="M205" s="3"/>
      <c r="N205" s="3"/>
      <c r="O205" s="3" t="str">
        <f ca="1">IFERROR(__xludf.DUMMYFUNCTION("""COMPUTED_VALUE"""),"600")</f>
        <v>600</v>
      </c>
      <c r="P205" s="3" t="str">
        <f ca="1">IFERROR(__xludf.DUMMYFUNCTION("""COMPUTED_VALUE"""),"800")</f>
        <v>800</v>
      </c>
      <c r="Q205" s="3" t="str">
        <f ca="1">IFERROR(__xludf.DUMMYFUNCTION("""COMPUTED_VALUE"""),"300x250 nebo 600x800")</f>
        <v>300x250 nebo 600x800</v>
      </c>
      <c r="R205" s="3"/>
      <c r="S205" s="3" t="str">
        <f ca="1">IFERROR(__xludf.DUMMYFUNCTION("""COMPUTED_VALUE"""),"100")</f>
        <v>100</v>
      </c>
      <c r="T205" s="3"/>
      <c r="U205" s="3" t="str">
        <f ca="1">IFERROR(__xludf.DUMMYFUNCTION("""COMPUTED_VALUE"""),"banner standard")</f>
        <v>banner standard</v>
      </c>
      <c r="V205" s="3"/>
      <c r="W205" s="4" t="str">
        <f ca="1">IFERROR(__xludf.DUMMYFUNCTION("""COMPUTED_VALUE"""),"https://reklama.cncenter.cz/Online/mobilni-vineta")</f>
        <v>https://reklama.cncenter.cz/Online/mobilni-vineta</v>
      </c>
      <c r="X205" s="3"/>
      <c r="Y205" s="3"/>
      <c r="Z205" s="3" t="str">
        <f ca="1">IFERROR(__xludf.DUMMYFUNCTION("""COMPUTED_VALUE"""),"podklady@cncenter.cz")</f>
        <v>podklady@cncenter.cz</v>
      </c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 t="str">
        <f ca="1">IFERROR(__xludf.DUMMYFUNCTION("""COMPUTED_VALUE"""),"mobile")</f>
        <v>mobile</v>
      </c>
      <c r="AO205" s="3"/>
      <c r="AP205" s="3"/>
      <c r="AQ205" s="3"/>
      <c r="AR205" s="3"/>
      <c r="AS205" s="3"/>
      <c r="AT205" s="3"/>
      <c r="AU205" s="3" t="str">
        <f ca="1">IFERROR(__xludf.DUMMYFUNCTION("""COMPUTED_VALUE"""),"mobilní viněta")</f>
        <v>mobilní viněta</v>
      </c>
    </row>
    <row r="206" spans="1:47" x14ac:dyDescent="0.3">
      <c r="A206" s="3">
        <f ca="1"/>
        <v>2346826</v>
      </c>
      <c r="B206" s="3" t="str">
        <f ca="1"/>
        <v>CZECH NEWS CENTER a. s.</v>
      </c>
      <c r="C206" s="3" t="str">
        <f ca="1">IFERROR(__xludf.DUMMYFUNCTION("""COMPUTED_VALUE"""),"Blesk floating")</f>
        <v>Blesk floating</v>
      </c>
      <c r="D206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6" s="3" t="str">
        <f ca="1">IFERROR(__xludf.DUMMYFUNCTION("""COMPUTED_VALUE"""),"celý web")</f>
        <v>celý web</v>
      </c>
      <c r="F206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6" s="3" t="str">
        <f ca="1">IFERROR(__xludf.DUMMYFUNCTION("""COMPUTED_VALUE"""),"nativní rectangle cross-device mid season")</f>
        <v>nativní rectangle cross-device mid season</v>
      </c>
      <c r="H206" s="3">
        <f ca="1">IFERROR(__xludf.DUMMYFUNCTION("""COMPUTED_VALUE"""),7)</f>
        <v>7</v>
      </c>
      <c r="I206" s="5">
        <f ca="1">IFERROR(__xludf.DUMMYFUNCTION("""COMPUTED_VALUE"""),1000)</f>
        <v>1000</v>
      </c>
      <c r="J206" s="5">
        <f ca="1">IFERROR(__xludf.DUMMYFUNCTION("""COMPUTED_VALUE"""),260)</f>
        <v>260</v>
      </c>
      <c r="K206" s="3"/>
      <c r="L206" s="3" t="str">
        <f ca="1">IFERROR(__xludf.DUMMYFUNCTION("""COMPUTED_VALUE"""),"Cost per period")</f>
        <v>Cost per period</v>
      </c>
      <c r="M206" s="3"/>
      <c r="N206" s="3"/>
      <c r="O206" s="3" t="str">
        <f ca="1">IFERROR(__xludf.DUMMYFUNCTION("""COMPUTED_VALUE"""),"640")</f>
        <v>640</v>
      </c>
      <c r="P206" s="3" t="str">
        <f ca="1">IFERROR(__xludf.DUMMYFUNCTION("""COMPUTED_VALUE"""),"335, 640")</f>
        <v>335, 640</v>
      </c>
      <c r="Q206" s="3" t="str">
        <f ca="1">IFERROR(__xludf.DUMMYFUNCTION("""COMPUTED_VALUE"""),"640x640 a 640x335 + text + logo")</f>
        <v>640x640 a 640x335 + text + logo</v>
      </c>
      <c r="R206" s="3"/>
      <c r="S206" s="3" t="str">
        <f ca="1">IFERROR(__xludf.DUMMYFUNCTION("""COMPUTED_VALUE"""),"45")</f>
        <v>45</v>
      </c>
      <c r="T206" s="3"/>
      <c r="U206" s="3" t="str">
        <f ca="1">IFERROR(__xludf.DUMMYFUNCTION("""COMPUTED_VALUE"""),"nativní reklama")</f>
        <v>nativní reklama</v>
      </c>
      <c r="V206" s="3"/>
      <c r="W206" s="4" t="str">
        <f ca="1">IFERROR(__xludf.DUMMYFUNCTION("""COMPUTED_VALUE"""),"https://reklama.cncenter.cz/Online/nativni-rectangle-cross-device")</f>
        <v>https://reklama.cncenter.cz/Online/nativni-rectangle-cross-device</v>
      </c>
      <c r="X206" s="3"/>
      <c r="Y206" s="3"/>
      <c r="Z206" s="3" t="str">
        <f ca="1">IFERROR(__xludf.DUMMYFUNCTION("""COMPUTED_VALUE"""),"podklady@cncenter.cz")</f>
        <v>podklady@cncenter.cz</v>
      </c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 t="str">
        <f ca="1">IFERROR(__xludf.DUMMYFUNCTION("""COMPUTED_VALUE"""),"cross-device")</f>
        <v>cross-device</v>
      </c>
      <c r="AO206" s="3"/>
      <c r="AP206" s="3"/>
      <c r="AQ206" s="3"/>
      <c r="AR206" s="3"/>
      <c r="AS206" s="3"/>
      <c r="AT206" s="3"/>
      <c r="AU206" s="3" t="str">
        <f ca="1">IFERROR(__xludf.DUMMYFUNCTION("""COMPUTED_VALUE"""),"nativní rectangle cross-device")</f>
        <v>nativní rectangle cross-device</v>
      </c>
    </row>
    <row r="207" spans="1:47" x14ac:dyDescent="0.3">
      <c r="A207" s="3">
        <f ca="1"/>
        <v>2346826</v>
      </c>
      <c r="B207" s="3" t="str">
        <f ca="1"/>
        <v>CZECH NEWS CENTER a. s.</v>
      </c>
      <c r="C207" s="3" t="str">
        <f ca="1">IFERROR(__xludf.DUMMYFUNCTION("""COMPUTED_VALUE"""),"Blesk floating")</f>
        <v>Blesk floating</v>
      </c>
      <c r="D207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7" s="3" t="str">
        <f ca="1">IFERROR(__xludf.DUMMYFUNCTION("""COMPUTED_VALUE"""),"celý web")</f>
        <v>celý web</v>
      </c>
      <c r="F207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7" s="3" t="str">
        <f ca="1">IFERROR(__xludf.DUMMYFUNCTION("""COMPUTED_VALUE"""),"outstream mid season")</f>
        <v>outstream mid season</v>
      </c>
      <c r="H207" s="3">
        <f ca="1">IFERROR(__xludf.DUMMYFUNCTION("""COMPUTED_VALUE"""),7)</f>
        <v>7</v>
      </c>
      <c r="I207" s="5">
        <f ca="1">IFERROR(__xludf.DUMMYFUNCTION("""COMPUTED_VALUE"""),1000)</f>
        <v>1000</v>
      </c>
      <c r="J207" s="5">
        <f ca="1">IFERROR(__xludf.DUMMYFUNCTION("""COMPUTED_VALUE"""),330)</f>
        <v>330</v>
      </c>
      <c r="K207" s="3"/>
      <c r="L207" s="3" t="str">
        <f ca="1">IFERROR(__xludf.DUMMYFUNCTION("""COMPUTED_VALUE"""),"Cost per period")</f>
        <v>Cost per period</v>
      </c>
      <c r="M207" s="3"/>
      <c r="N207" s="3"/>
      <c r="O207" s="3" t="str">
        <f ca="1">IFERROR(__xludf.DUMMYFUNCTION("""COMPUTED_VALUE"""),"1280")</f>
        <v>1280</v>
      </c>
      <c r="P207" s="3" t="str">
        <f ca="1">IFERROR(__xludf.DUMMYFUNCTION("""COMPUTED_VALUE"""),"720")</f>
        <v>720</v>
      </c>
      <c r="Q207" s="3" t="str">
        <f ca="1">IFERROR(__xludf.DUMMYFUNCTION("""COMPUTED_VALUE"""),"16:9")</f>
        <v>16:9</v>
      </c>
      <c r="R207" s="3"/>
      <c r="S207" s="3" t="str">
        <f ca="1">IFERROR(__xludf.DUMMYFUNCTION("""COMPUTED_VALUE"""),"100")</f>
        <v>100</v>
      </c>
      <c r="T207" s="3"/>
      <c r="U207" s="3" t="str">
        <f ca="1">IFERROR(__xludf.DUMMYFUNCTION("""COMPUTED_VALUE"""),"videospot")</f>
        <v>videospot</v>
      </c>
      <c r="V207" s="3"/>
      <c r="W207" s="4" t="str">
        <f ca="1">IFERROR(__xludf.DUMMYFUNCTION("""COMPUTED_VALUE"""),"https://reklama.cncenter.cz/Online/Outstream")</f>
        <v>https://reklama.cncenter.cz/Online/Outstream</v>
      </c>
      <c r="X207" s="3"/>
      <c r="Y207" s="3"/>
      <c r="Z207" s="3" t="str">
        <f ca="1">IFERROR(__xludf.DUMMYFUNCTION("""COMPUTED_VALUE"""),"podklady@cncenter.cz")</f>
        <v>podklady@cncenter.cz</v>
      </c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 t="str">
        <f ca="1">IFERROR(__xludf.DUMMYFUNCTION("""COMPUTED_VALUE"""),"cross-device")</f>
        <v>cross-device</v>
      </c>
      <c r="AO207" s="3"/>
      <c r="AP207" s="3"/>
      <c r="AQ207" s="3"/>
      <c r="AR207" s="3"/>
      <c r="AS207" s="3"/>
      <c r="AT207" s="3"/>
      <c r="AU207" s="3" t="str">
        <f ca="1">IFERROR(__xludf.DUMMYFUNCTION("""COMPUTED_VALUE"""),"outstream")</f>
        <v>outstream</v>
      </c>
    </row>
    <row r="208" spans="1:47" x14ac:dyDescent="0.3">
      <c r="A208" s="3">
        <f ca="1"/>
        <v>2346826</v>
      </c>
      <c r="B208" s="3" t="str">
        <f ca="1"/>
        <v>CZECH NEWS CENTER a. s.</v>
      </c>
      <c r="C208" s="3" t="str">
        <f ca="1">IFERROR(__xludf.DUMMYFUNCTION("""COMPUTED_VALUE"""),"Blesk floating")</f>
        <v>Blesk floating</v>
      </c>
      <c r="D208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8" s="3" t="str">
        <f ca="1">IFERROR(__xludf.DUMMYFUNCTION("""COMPUTED_VALUE"""),"celý web")</f>
        <v>celý web</v>
      </c>
      <c r="F208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8" s="3" t="str">
        <f ca="1">IFERROR(__xludf.DUMMYFUNCTION("""COMPUTED_VALUE"""),"Smarticle mid season")</f>
        <v>Smarticle mid season</v>
      </c>
      <c r="H208" s="3">
        <f ca="1">IFERROR(__xludf.DUMMYFUNCTION("""COMPUTED_VALUE"""),7)</f>
        <v>7</v>
      </c>
      <c r="I208" s="5">
        <f ca="1">IFERROR(__xludf.DUMMYFUNCTION("""COMPUTED_VALUE"""),1000)</f>
        <v>1000</v>
      </c>
      <c r="J208" s="5">
        <f ca="1">IFERROR(__xludf.DUMMYFUNCTION("""COMPUTED_VALUE"""),200)</f>
        <v>200</v>
      </c>
      <c r="K208" s="3"/>
      <c r="L208" s="3" t="str">
        <f ca="1">IFERROR(__xludf.DUMMYFUNCTION("""COMPUTED_VALUE"""),"Cost per period")</f>
        <v>Cost per period</v>
      </c>
      <c r="M208" s="3"/>
      <c r="N208" s="3" t="str">
        <f ca="1">IFERROR(__xludf.DUMMYFUNCTION("""COMPUTED_VALUE"""),"A4")</f>
        <v>A4</v>
      </c>
      <c r="O208" s="3"/>
      <c r="P208" s="3"/>
      <c r="Q208" s="3" t="str">
        <f ca="1">IFERROR(__xludf.DUMMYFUNCTION("""COMPUTED_VALUE"""),"viz. tech.specifikace; HP + sekce")</f>
        <v>viz. tech.specifikace; HP + sekce</v>
      </c>
      <c r="R208" s="3" t="str">
        <f ca="1">IFERROR(__xludf.DUMMYFUNCTION("""COMPUTED_VALUE"""),"HP + sekce")</f>
        <v>HP + sekce</v>
      </c>
      <c r="S208" s="3" t="str">
        <f ca="1">IFERROR(__xludf.DUMMYFUNCTION("""COMPUTED_VALUE"""),"100")</f>
        <v>100</v>
      </c>
      <c r="T208" s="3"/>
      <c r="U208" s="3" t="str">
        <f ca="1">IFERROR(__xludf.DUMMYFUNCTION("""COMPUTED_VALUE"""),"pr článek")</f>
        <v>pr článek</v>
      </c>
      <c r="V208" s="3"/>
      <c r="W208" s="4" t="str">
        <f ca="1">IFERROR(__xludf.DUMMYFUNCTION("""COMPUTED_VALUE"""),"https://reklama.cncenter.cz/Online/Smarticle")</f>
        <v>https://reklama.cncenter.cz/Online/Smarticle</v>
      </c>
      <c r="X208" s="3"/>
      <c r="Y208" s="3"/>
      <c r="Z208" s="3" t="str">
        <f ca="1">IFERROR(__xludf.DUMMYFUNCTION("""COMPUTED_VALUE"""),"podklady@cncenter.cz")</f>
        <v>podklady@cncenter.cz</v>
      </c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 t="str">
        <f ca="1">IFERROR(__xludf.DUMMYFUNCTION("""COMPUTED_VALUE"""),"cross-device")</f>
        <v>cross-device</v>
      </c>
      <c r="AO208" s="3"/>
      <c r="AP208" s="3"/>
      <c r="AQ208" s="3"/>
      <c r="AR208" s="3"/>
      <c r="AS208" s="3"/>
      <c r="AT208" s="3"/>
      <c r="AU208" s="3" t="str">
        <f ca="1">IFERROR(__xludf.DUMMYFUNCTION("""COMPUTED_VALUE"""),"Smarticle")</f>
        <v>Smarticle</v>
      </c>
    </row>
    <row r="209" spans="1:47" x14ac:dyDescent="0.3">
      <c r="A209" s="3">
        <f ca="1"/>
        <v>2346826</v>
      </c>
      <c r="B209" s="3" t="str">
        <f ca="1"/>
        <v>CZECH NEWS CENTER a. s.</v>
      </c>
      <c r="C209" s="3" t="str">
        <f ca="1">IFERROR(__xludf.DUMMYFUNCTION("""COMPUTED_VALUE"""),"Blesk floating")</f>
        <v>Blesk floating</v>
      </c>
      <c r="D209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9" s="3" t="str">
        <f ca="1">IFERROR(__xludf.DUMMYFUNCTION("""COMPUTED_VALUE"""),"celý web")</f>
        <v>celý web</v>
      </c>
      <c r="F209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9" s="3" t="str">
        <f ca="1">IFERROR(__xludf.DUMMYFUNCTION("""COMPUTED_VALUE"""),"videospot - max. 30 sec. / bumper mid season")</f>
        <v>videospot - max. 30 sec. / bumper mid season</v>
      </c>
      <c r="H209" s="3">
        <f ca="1">IFERROR(__xludf.DUMMYFUNCTION("""COMPUTED_VALUE"""),7)</f>
        <v>7</v>
      </c>
      <c r="I209" s="5">
        <f ca="1">IFERROR(__xludf.DUMMYFUNCTION("""COMPUTED_VALUE"""),1000)</f>
        <v>1000</v>
      </c>
      <c r="J209" s="5">
        <f ca="1">IFERROR(__xludf.DUMMYFUNCTION("""COMPUTED_VALUE"""),1000)</f>
        <v>1000</v>
      </c>
      <c r="K209" s="3"/>
      <c r="L209" s="3" t="str">
        <f ca="1">IFERROR(__xludf.DUMMYFUNCTION("""COMPUTED_VALUE"""),"Cost per period")</f>
        <v>Cost per period</v>
      </c>
      <c r="M209" s="3"/>
      <c r="N209" s="3"/>
      <c r="O209" s="3" t="str">
        <f ca="1">IFERROR(__xludf.DUMMYFUNCTION("""COMPUTED_VALUE"""),"1280")</f>
        <v>1280</v>
      </c>
      <c r="P209" s="3" t="str">
        <f ca="1">IFERROR(__xludf.DUMMYFUNCTION("""COMPUTED_VALUE"""),"720")</f>
        <v>720</v>
      </c>
      <c r="Q209" s="3" t="str">
        <f ca="1">IFERROR(__xludf.DUMMYFUNCTION("""COMPUTED_VALUE"""),"16:9 / umístění po domluvě dle možností")</f>
        <v>16:9 / umístění po domluvě dle možností</v>
      </c>
      <c r="R209" s="3" t="str">
        <f ca="1">IFERROR(__xludf.DUMMYFUNCTION("""COMPUTED_VALUE"""),"přeskočení po 7 sekundách")</f>
        <v>přeskočení po 7 sekundách</v>
      </c>
      <c r="S209" s="3" t="str">
        <f ca="1">IFERROR(__xludf.DUMMYFUNCTION("""COMPUTED_VALUE"""),"100")</f>
        <v>100</v>
      </c>
      <c r="T209" s="3"/>
      <c r="U209" s="3" t="str">
        <f ca="1">IFERROR(__xludf.DUMMYFUNCTION("""COMPUTED_VALUE"""),"videospot")</f>
        <v>videospot</v>
      </c>
      <c r="V209" s="3"/>
      <c r="W209" s="4" t="str">
        <f ca="1">IFERROR(__xludf.DUMMYFUNCTION("""COMPUTED_VALUE"""),"https://reklama.cncenter.cz/Online/Bumper")</f>
        <v>https://reklama.cncenter.cz/Online/Bumper</v>
      </c>
      <c r="X209" s="3"/>
      <c r="Y209" s="3"/>
      <c r="Z209" s="3" t="str">
        <f ca="1">IFERROR(__xludf.DUMMYFUNCTION("""COMPUTED_VALUE"""),"podklady@cncenter.cz")</f>
        <v>podklady@cncenter.cz</v>
      </c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 t="str">
        <f ca="1">IFERROR(__xludf.DUMMYFUNCTION("""COMPUTED_VALUE"""),"cross-device")</f>
        <v>cross-device</v>
      </c>
      <c r="AO209" s="3"/>
      <c r="AP209" s="3"/>
      <c r="AQ209" s="3"/>
      <c r="AR209" s="3"/>
      <c r="AS209" s="3"/>
      <c r="AT209" s="3"/>
      <c r="AU209" s="3" t="str">
        <f ca="1">IFERROR(__xludf.DUMMYFUNCTION("""COMPUTED_VALUE"""),"videospot - max. 30 sec. / bumper")</f>
        <v>videospot - max. 30 sec. / bumper</v>
      </c>
    </row>
    <row r="210" spans="1:47" x14ac:dyDescent="0.3">
      <c r="A210" s="3">
        <f ca="1"/>
        <v>2346826</v>
      </c>
      <c r="B210" s="3" t="str">
        <f ca="1"/>
        <v>CZECH NEWS CENTER a. s.</v>
      </c>
      <c r="C210" s="3" t="str">
        <f ca="1">IFERROR(__xludf.DUMMYFUNCTION("""COMPUTED_VALUE"""),"Blesk homepage")</f>
        <v>Blesk homepage</v>
      </c>
      <c r="D210" s="4" t="str">
        <f ca="1">IFERROR(__xludf.DUMMYFUNCTION("""COMPUTED_VALUE"""),"https://blesk.cz")</f>
        <v>https://blesk.cz</v>
      </c>
      <c r="E210" s="3" t="str">
        <f ca="1">IFERROR(__xludf.DUMMYFUNCTION("""COMPUTED_VALUE"""),"homepage")</f>
        <v>homepage</v>
      </c>
      <c r="F210" s="4" t="str">
        <f ca="1">IFERROR(__xludf.DUMMYFUNCTION("""COMPUTED_VALUE"""),"https://blesk.cz")</f>
        <v>https://blesk.cz</v>
      </c>
      <c r="G210" s="3" t="str">
        <f ca="1">IFERROR(__xludf.DUMMYFUNCTION("""COMPUTED_VALUE"""),"branding cross-device mid season")</f>
        <v>branding cross-device mid season</v>
      </c>
      <c r="H210" s="3">
        <f ca="1">IFERROR(__xludf.DUMMYFUNCTION("""COMPUTED_VALUE"""),7)</f>
        <v>7</v>
      </c>
      <c r="I210" s="5">
        <f ca="1">IFERROR(__xludf.DUMMYFUNCTION("""COMPUTED_VALUE"""),1000)</f>
        <v>1000</v>
      </c>
      <c r="J210" s="5">
        <f ca="1">IFERROR(__xludf.DUMMYFUNCTION("""COMPUTED_VALUE"""),510)</f>
        <v>510</v>
      </c>
      <c r="K210" s="3"/>
      <c r="L210" s="3" t="str">
        <f ca="1">IFERROR(__xludf.DUMMYFUNCTION("""COMPUTED_VALUE"""),"Cost per period")</f>
        <v>Cost per period</v>
      </c>
      <c r="M210" s="3"/>
      <c r="N210" s="3"/>
      <c r="O210" s="3" t="str">
        <f ca="1">IFERROR(__xludf.DUMMYFUNCTION("""COMPUTED_VALUE"""),"2000")</f>
        <v>2000</v>
      </c>
      <c r="P210" s="3" t="str">
        <f ca="1">IFERROR(__xludf.DUMMYFUNCTION("""COMPUTED_VALUE"""),"1400")</f>
        <v>1400</v>
      </c>
      <c r="Q210" s="3" t="str">
        <f ca="1">IFERROR(__xludf.DUMMYFUNCTION("""COMPUTED_VALUE"""),"2000x1400 + 600x1080")</f>
        <v>2000x1400 + 600x1080</v>
      </c>
      <c r="R210" s="3"/>
      <c r="S210" s="3" t="str">
        <f ca="1">IFERROR(__xludf.DUMMYFUNCTION("""COMPUTED_VALUE"""),"500 (600 - HTLM5)")</f>
        <v>500 (600 - HTLM5)</v>
      </c>
      <c r="T210" s="3"/>
      <c r="U210" s="3" t="str">
        <f ca="1">IFERROR(__xludf.DUMMYFUNCTION("""COMPUTED_VALUE"""),"banner standard")</f>
        <v>banner standard</v>
      </c>
      <c r="V210" s="3"/>
      <c r="W210" s="4" t="str">
        <f ca="1">IFERROR(__xludf.DUMMYFUNCTION("""COMPUTED_VALUE"""),"https://reklama.cncenter.cz/Online/branding-cross-device")</f>
        <v>https://reklama.cncenter.cz/Online/branding-cross-device</v>
      </c>
      <c r="X210" s="3"/>
      <c r="Y210" s="3"/>
      <c r="Z210" s="3" t="str">
        <f ca="1">IFERROR(__xludf.DUMMYFUNCTION("""COMPUTED_VALUE"""),"podklady@cncenter.cz")</f>
        <v>podklady@cncenter.cz</v>
      </c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 t="str">
        <f ca="1">IFERROR(__xludf.DUMMYFUNCTION("""COMPUTED_VALUE"""),"cross-device")</f>
        <v>cross-device</v>
      </c>
      <c r="AO210" s="3"/>
      <c r="AP210" s="3"/>
      <c r="AQ210" s="3"/>
      <c r="AR210" s="3"/>
      <c r="AS210" s="3"/>
      <c r="AT210" s="3"/>
      <c r="AU210" s="3" t="str">
        <f ca="1">IFERROR(__xludf.DUMMYFUNCTION("""COMPUTED_VALUE"""),"branding cross-device")</f>
        <v>branding cross-device</v>
      </c>
    </row>
    <row r="211" spans="1:47" x14ac:dyDescent="0.3">
      <c r="A211" s="3">
        <f ca="1"/>
        <v>2346826</v>
      </c>
      <c r="B211" s="3" t="str">
        <f ca="1"/>
        <v>CZECH NEWS CENTER a. s.</v>
      </c>
      <c r="C211" s="3" t="str">
        <f ca="1">IFERROR(__xludf.DUMMYFUNCTION("""COMPUTED_VALUE"""),"Blesk homepage")</f>
        <v>Blesk homepage</v>
      </c>
      <c r="D211" s="4" t="str">
        <f ca="1">IFERROR(__xludf.DUMMYFUNCTION("""COMPUTED_VALUE"""),"https://blesk.cz")</f>
        <v>https://blesk.cz</v>
      </c>
      <c r="E211" s="3" t="str">
        <f ca="1">IFERROR(__xludf.DUMMYFUNCTION("""COMPUTED_VALUE"""),"homepage")</f>
        <v>homepage</v>
      </c>
      <c r="F211" s="4" t="str">
        <f ca="1">IFERROR(__xludf.DUMMYFUNCTION("""COMPUTED_VALUE"""),"https://blesk.cz")</f>
        <v>https://blesk.cz</v>
      </c>
      <c r="G211" s="3" t="str">
        <f ca="1">IFERROR(__xludf.DUMMYFUNCTION("""COMPUTED_VALUE"""),"branding mid season")</f>
        <v>branding mid season</v>
      </c>
      <c r="H211" s="3">
        <f ca="1">IFERROR(__xludf.DUMMYFUNCTION("""COMPUTED_VALUE"""),7)</f>
        <v>7</v>
      </c>
      <c r="I211" s="5">
        <f ca="1">IFERROR(__xludf.DUMMYFUNCTION("""COMPUTED_VALUE"""),1000)</f>
        <v>1000</v>
      </c>
      <c r="J211" s="5">
        <f ca="1">IFERROR(__xludf.DUMMYFUNCTION("""COMPUTED_VALUE"""),790)</f>
        <v>790</v>
      </c>
      <c r="K211" s="3"/>
      <c r="L211" s="3" t="str">
        <f ca="1">IFERROR(__xludf.DUMMYFUNCTION("""COMPUTED_VALUE"""),"Cost per period")</f>
        <v>Cost per period</v>
      </c>
      <c r="M211" s="3"/>
      <c r="N211" s="3"/>
      <c r="O211" s="3" t="str">
        <f ca="1">IFERROR(__xludf.DUMMYFUNCTION("""COMPUTED_VALUE"""),"2000")</f>
        <v>2000</v>
      </c>
      <c r="P211" s="3" t="str">
        <f ca="1">IFERROR(__xludf.DUMMYFUNCTION("""COMPUTED_VALUE"""),"1400")</f>
        <v>1400</v>
      </c>
      <c r="Q211" s="3" t="str">
        <f ca="1">IFERROR(__xludf.DUMMYFUNCTION("""COMPUTED_VALUE"""),"2000x1400")</f>
        <v>2000x1400</v>
      </c>
      <c r="R211" s="3"/>
      <c r="S211" s="3" t="str">
        <f ca="1">IFERROR(__xludf.DUMMYFUNCTION("""COMPUTED_VALUE"""),"500 + 200 (600+200 HTML5)")</f>
        <v>500 + 200 (600+200 HTML5)</v>
      </c>
      <c r="T211" s="3"/>
      <c r="U211" s="3" t="str">
        <f ca="1">IFERROR(__xludf.DUMMYFUNCTION("""COMPUTED_VALUE"""),"banner standard")</f>
        <v>banner standard</v>
      </c>
      <c r="V211" s="3"/>
      <c r="W211" s="4" t="str">
        <f ca="1">IFERROR(__xludf.DUMMYFUNCTION("""COMPUTED_VALUE"""),"https://reklama.cncenter.cz/Online/branding")</f>
        <v>https://reklama.cncenter.cz/Online/branding</v>
      </c>
      <c r="X211" s="3"/>
      <c r="Y211" s="3"/>
      <c r="Z211" s="3" t="str">
        <f ca="1">IFERROR(__xludf.DUMMYFUNCTION("""COMPUTED_VALUE"""),"podklady@cncenter.cz")</f>
        <v>podklady@cncenter.cz</v>
      </c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 t="str">
        <f ca="1">IFERROR(__xludf.DUMMYFUNCTION("""COMPUTED_VALUE"""),"desktop")</f>
        <v>desktop</v>
      </c>
      <c r="AO211" s="3"/>
      <c r="AP211" s="3"/>
      <c r="AQ211" s="3"/>
      <c r="AR211" s="3"/>
      <c r="AS211" s="3"/>
      <c r="AT211" s="3"/>
      <c r="AU211" s="3" t="str">
        <f ca="1">IFERROR(__xludf.DUMMYFUNCTION("""COMPUTED_VALUE"""),"branding")</f>
        <v>branding</v>
      </c>
    </row>
    <row r="212" spans="1:47" x14ac:dyDescent="0.3">
      <c r="A212" s="3">
        <f ca="1"/>
        <v>2346826</v>
      </c>
      <c r="B212" s="3" t="str">
        <f ca="1"/>
        <v>CZECH NEWS CENTER a. s.</v>
      </c>
      <c r="C212" s="3" t="str">
        <f ca="1">IFERROR(__xludf.DUMMYFUNCTION("""COMPUTED_VALUE"""),"Blesk homepage")</f>
        <v>Blesk homepage</v>
      </c>
      <c r="D212" s="4" t="str">
        <f ca="1">IFERROR(__xludf.DUMMYFUNCTION("""COMPUTED_VALUE"""),"https://blesk.cz")</f>
        <v>https://blesk.cz</v>
      </c>
      <c r="E212" s="3" t="str">
        <f ca="1">IFERROR(__xludf.DUMMYFUNCTION("""COMPUTED_VALUE"""),"homepage")</f>
        <v>homepage</v>
      </c>
      <c r="F212" s="4" t="str">
        <f ca="1">IFERROR(__xludf.DUMMYFUNCTION("""COMPUTED_VALUE"""),"https://blesk.cz")</f>
        <v>https://blesk.cz</v>
      </c>
      <c r="G212" s="3" t="str">
        <f ca="1">IFERROR(__xludf.DUMMYFUNCTION("""COMPUTED_VALUE"""),"cílený branding cross-device mid season")</f>
        <v>cílený branding cross-device mid season</v>
      </c>
      <c r="H212" s="3">
        <f ca="1">IFERROR(__xludf.DUMMYFUNCTION("""COMPUTED_VALUE"""),7)</f>
        <v>7</v>
      </c>
      <c r="I212" s="5">
        <f ca="1">IFERROR(__xludf.DUMMYFUNCTION("""COMPUTED_VALUE"""),1000)</f>
        <v>1000</v>
      </c>
      <c r="J212" s="5">
        <f ca="1">IFERROR(__xludf.DUMMYFUNCTION("""COMPUTED_VALUE"""),612)</f>
        <v>612</v>
      </c>
      <c r="K212" s="3"/>
      <c r="L212" s="3" t="str">
        <f ca="1">IFERROR(__xludf.DUMMYFUNCTION("""COMPUTED_VALUE"""),"Cost per period")</f>
        <v>Cost per period</v>
      </c>
      <c r="M212" s="3"/>
      <c r="N212" s="3"/>
      <c r="O212" s="3" t="str">
        <f ca="1">IFERROR(__xludf.DUMMYFUNCTION("""COMPUTED_VALUE"""),"2000")</f>
        <v>2000</v>
      </c>
      <c r="P212" s="3" t="str">
        <f ca="1">IFERROR(__xludf.DUMMYFUNCTION("""COMPUTED_VALUE"""),"1400")</f>
        <v>1400</v>
      </c>
      <c r="Q212" s="3" t="str">
        <f ca="1">IFERROR(__xludf.DUMMYFUNCTION("""COMPUTED_VALUE"""),"2000x1400 + 600x1080")</f>
        <v>2000x1400 + 600x1080</v>
      </c>
      <c r="R212" s="3"/>
      <c r="S212" s="3" t="str">
        <f ca="1">IFERROR(__xludf.DUMMYFUNCTION("""COMPUTED_VALUE"""),"500 (600 - HTLM5)")</f>
        <v>500 (600 - HTLM5)</v>
      </c>
      <c r="T212" s="3"/>
      <c r="U212" s="3" t="str">
        <f ca="1">IFERROR(__xludf.DUMMYFUNCTION("""COMPUTED_VALUE"""),"banner standard")</f>
        <v>banner standard</v>
      </c>
      <c r="V212" s="3"/>
      <c r="W212" s="4" t="str">
        <f ca="1">IFERROR(__xludf.DUMMYFUNCTION("""COMPUTED_VALUE"""),"https://reklama.cncenter.cz/Online/branding-cross-device")</f>
        <v>https://reklama.cncenter.cz/Online/branding-cross-device</v>
      </c>
      <c r="X212" s="3"/>
      <c r="Y212" s="3"/>
      <c r="Z212" s="3" t="str">
        <f ca="1">IFERROR(__xludf.DUMMYFUNCTION("""COMPUTED_VALUE"""),"podklady@cncenter.cz")</f>
        <v>podklady@cncenter.cz</v>
      </c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 t="str">
        <f ca="1">IFERROR(__xludf.DUMMYFUNCTION("""COMPUTED_VALUE"""),"cross-device")</f>
        <v>cross-device</v>
      </c>
      <c r="AO212" s="3"/>
      <c r="AP212" s="3"/>
      <c r="AQ212" s="3"/>
      <c r="AR212" s="3"/>
      <c r="AS212" s="3"/>
      <c r="AT212" s="3"/>
      <c r="AU212" s="3" t="str">
        <f ca="1">IFERROR(__xludf.DUMMYFUNCTION("""COMPUTED_VALUE"""),"cílený branding cross-device")</f>
        <v>cílený branding cross-device</v>
      </c>
    </row>
    <row r="213" spans="1:47" x14ac:dyDescent="0.3">
      <c r="A213" s="3">
        <f ca="1"/>
        <v>2346826</v>
      </c>
      <c r="B213" s="3" t="str">
        <f ca="1"/>
        <v>CZECH NEWS CENTER a. s.</v>
      </c>
      <c r="C213" s="3" t="str">
        <f ca="1">IFERROR(__xludf.DUMMYFUNCTION("""COMPUTED_VALUE"""),"Blesk homepage")</f>
        <v>Blesk homepage</v>
      </c>
      <c r="D213" s="4" t="str">
        <f ca="1">IFERROR(__xludf.DUMMYFUNCTION("""COMPUTED_VALUE"""),"https://blesk.cz")</f>
        <v>https://blesk.cz</v>
      </c>
      <c r="E213" s="3" t="str">
        <f ca="1">IFERROR(__xludf.DUMMYFUNCTION("""COMPUTED_VALUE"""),"homepage")</f>
        <v>homepage</v>
      </c>
      <c r="F213" s="4" t="str">
        <f ca="1">IFERROR(__xludf.DUMMYFUNCTION("""COMPUTED_VALUE"""),"https://blesk.cz")</f>
        <v>https://blesk.cz</v>
      </c>
      <c r="G213" s="3" t="str">
        <f ca="1">IFERROR(__xludf.DUMMYFUNCTION("""COMPUTED_VALUE"""),"cílený branding mid season")</f>
        <v>cílený branding mid season</v>
      </c>
      <c r="H213" s="3">
        <f ca="1">IFERROR(__xludf.DUMMYFUNCTION("""COMPUTED_VALUE"""),7)</f>
        <v>7</v>
      </c>
      <c r="I213" s="5">
        <f ca="1">IFERROR(__xludf.DUMMYFUNCTION("""COMPUTED_VALUE"""),1000)</f>
        <v>1000</v>
      </c>
      <c r="J213" s="5">
        <f ca="1">IFERROR(__xludf.DUMMYFUNCTION("""COMPUTED_VALUE"""),948)</f>
        <v>948</v>
      </c>
      <c r="K213" s="3"/>
      <c r="L213" s="3" t="str">
        <f ca="1">IFERROR(__xludf.DUMMYFUNCTION("""COMPUTED_VALUE"""),"Cost per period")</f>
        <v>Cost per period</v>
      </c>
      <c r="M213" s="3"/>
      <c r="N213" s="3"/>
      <c r="O213" s="3" t="str">
        <f ca="1">IFERROR(__xludf.DUMMYFUNCTION("""COMPUTED_VALUE"""),"2000")</f>
        <v>2000</v>
      </c>
      <c r="P213" s="3" t="str">
        <f ca="1">IFERROR(__xludf.DUMMYFUNCTION("""COMPUTED_VALUE"""),"1400")</f>
        <v>1400</v>
      </c>
      <c r="Q213" s="3" t="str">
        <f ca="1">IFERROR(__xludf.DUMMYFUNCTION("""COMPUTED_VALUE"""),"2000x1400")</f>
        <v>2000x1400</v>
      </c>
      <c r="R213" s="3"/>
      <c r="S213" s="3" t="str">
        <f ca="1">IFERROR(__xludf.DUMMYFUNCTION("""COMPUTED_VALUE"""),"500 + 200 (600+200 HTML5)")</f>
        <v>500 + 200 (600+200 HTML5)</v>
      </c>
      <c r="T213" s="3"/>
      <c r="U213" s="3" t="str">
        <f ca="1">IFERROR(__xludf.DUMMYFUNCTION("""COMPUTED_VALUE"""),"banner standard")</f>
        <v>banner standard</v>
      </c>
      <c r="V213" s="3"/>
      <c r="W213" s="4" t="str">
        <f ca="1">IFERROR(__xludf.DUMMYFUNCTION("""COMPUTED_VALUE"""),"https://reklama.cncenter.cz/Online/branding")</f>
        <v>https://reklama.cncenter.cz/Online/branding</v>
      </c>
      <c r="X213" s="3"/>
      <c r="Y213" s="3"/>
      <c r="Z213" s="3" t="str">
        <f ca="1">IFERROR(__xludf.DUMMYFUNCTION("""COMPUTED_VALUE"""),"podklady@cncenter.cz")</f>
        <v>podklady@cncenter.cz</v>
      </c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 t="str">
        <f ca="1">IFERROR(__xludf.DUMMYFUNCTION("""COMPUTED_VALUE"""),"desktop")</f>
        <v>desktop</v>
      </c>
      <c r="AO213" s="3"/>
      <c r="AP213" s="3"/>
      <c r="AQ213" s="3"/>
      <c r="AR213" s="3"/>
      <c r="AS213" s="3"/>
      <c r="AT213" s="3"/>
      <c r="AU213" s="3" t="str">
        <f ca="1">IFERROR(__xludf.DUMMYFUNCTION("""COMPUTED_VALUE"""),"cílený branding")</f>
        <v>cílený branding</v>
      </c>
    </row>
    <row r="214" spans="1:47" x14ac:dyDescent="0.3">
      <c r="A214" s="3">
        <f ca="1"/>
        <v>2346826</v>
      </c>
      <c r="B214" s="3" t="str">
        <f ca="1"/>
        <v>CZECH NEWS CENTER a. s.</v>
      </c>
      <c r="C214" s="3" t="str">
        <f ca="1">IFERROR(__xludf.DUMMYFUNCTION("""COMPUTED_VALUE"""),"Blesk homepage")</f>
        <v>Blesk homepage</v>
      </c>
      <c r="D214" s="4" t="str">
        <f ca="1">IFERROR(__xludf.DUMMYFUNCTION("""COMPUTED_VALUE"""),"https://blesk.cz")</f>
        <v>https://blesk.cz</v>
      </c>
      <c r="E214" s="3" t="str">
        <f ca="1">IFERROR(__xludf.DUMMYFUNCTION("""COMPUTED_VALUE"""),"homepage")</f>
        <v>homepage</v>
      </c>
      <c r="F214" s="4" t="str">
        <f ca="1">IFERROR(__xludf.DUMMYFUNCTION("""COMPUTED_VALUE"""),"https://blesk.cz")</f>
        <v>https://blesk.cz</v>
      </c>
      <c r="G214" s="3" t="str">
        <f ca="1">IFERROR(__xludf.DUMMYFUNCTION("""COMPUTED_VALUE"""),"cílený mobilní interscroller mid season")</f>
        <v>cílený mobilní interscroller mid season</v>
      </c>
      <c r="H214" s="3">
        <f ca="1">IFERROR(__xludf.DUMMYFUNCTION("""COMPUTED_VALUE"""),7)</f>
        <v>7</v>
      </c>
      <c r="I214" s="5">
        <f ca="1">IFERROR(__xludf.DUMMYFUNCTION("""COMPUTED_VALUE"""),1000)</f>
        <v>1000</v>
      </c>
      <c r="J214" s="5">
        <f ca="1">IFERROR(__xludf.DUMMYFUNCTION("""COMPUTED_VALUE"""),372)</f>
        <v>372</v>
      </c>
      <c r="K214" s="3"/>
      <c r="L214" s="3" t="str">
        <f ca="1">IFERROR(__xludf.DUMMYFUNCTION("""COMPUTED_VALUE"""),"Cost per period")</f>
        <v>Cost per period</v>
      </c>
      <c r="M214" s="3"/>
      <c r="N214" s="3"/>
      <c r="O214" s="3" t="str">
        <f ca="1">IFERROR(__xludf.DUMMYFUNCTION("""COMPUTED_VALUE"""),"600")</f>
        <v>600</v>
      </c>
      <c r="P214" s="3" t="str">
        <f ca="1">IFERROR(__xludf.DUMMYFUNCTION("""COMPUTED_VALUE"""),"1080")</f>
        <v>1080</v>
      </c>
      <c r="Q214" s="3" t="str">
        <f ca="1">IFERROR(__xludf.DUMMYFUNCTION("""COMPUTED_VALUE"""),"600x1080")</f>
        <v>600x1080</v>
      </c>
      <c r="R214" s="3"/>
      <c r="S214" s="3" t="str">
        <f ca="1">IFERROR(__xludf.DUMMYFUNCTION("""COMPUTED_VALUE"""),"200")</f>
        <v>200</v>
      </c>
      <c r="T214" s="3"/>
      <c r="U214" s="3" t="str">
        <f ca="1">IFERROR(__xludf.DUMMYFUNCTION("""COMPUTED_VALUE"""),"banner standard")</f>
        <v>banner standard</v>
      </c>
      <c r="V214" s="3"/>
      <c r="W214" s="4" t="str">
        <f ca="1">IFERROR(__xludf.DUMMYFUNCTION("""COMPUTED_VALUE"""),"https://reklama.cncenter.cz/Online/mobilni-interscroller")</f>
        <v>https://reklama.cncenter.cz/Online/mobilni-interscroller</v>
      </c>
      <c r="X214" s="3"/>
      <c r="Y214" s="3"/>
      <c r="Z214" s="3" t="str">
        <f ca="1">IFERROR(__xludf.DUMMYFUNCTION("""COMPUTED_VALUE"""),"podklady@cncenter.cz")</f>
        <v>podklady@cncenter.cz</v>
      </c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 t="str">
        <f ca="1">IFERROR(__xludf.DUMMYFUNCTION("""COMPUTED_VALUE"""),"mobile")</f>
        <v>mobile</v>
      </c>
      <c r="AO214" s="3"/>
      <c r="AP214" s="3"/>
      <c r="AQ214" s="3"/>
      <c r="AR214" s="3"/>
      <c r="AS214" s="3"/>
      <c r="AT214" s="3"/>
      <c r="AU214" s="3" t="str">
        <f ca="1">IFERROR(__xludf.DUMMYFUNCTION("""COMPUTED_VALUE"""),"cílený mobilní interscroller")</f>
        <v>cílený mobilní interscroller</v>
      </c>
    </row>
    <row r="215" spans="1:47" x14ac:dyDescent="0.3">
      <c r="A215" s="3">
        <f ca="1"/>
        <v>2346826</v>
      </c>
      <c r="B215" s="3" t="str">
        <f ca="1"/>
        <v>CZECH NEWS CENTER a. s.</v>
      </c>
      <c r="C215" s="3" t="str">
        <f ca="1">IFERROR(__xludf.DUMMYFUNCTION("""COMPUTED_VALUE"""),"Blesk homepage")</f>
        <v>Blesk homepage</v>
      </c>
      <c r="D215" s="4" t="str">
        <f ca="1">IFERROR(__xludf.DUMMYFUNCTION("""COMPUTED_VALUE"""),"https://blesk.cz")</f>
        <v>https://blesk.cz</v>
      </c>
      <c r="E215" s="3" t="str">
        <f ca="1">IFERROR(__xludf.DUMMYFUNCTION("""COMPUTED_VALUE"""),"homepage")</f>
        <v>homepage</v>
      </c>
      <c r="F215" s="4" t="str">
        <f ca="1">IFERROR(__xludf.DUMMYFUNCTION("""COMPUTED_VALUE"""),"https://blesk.cz")</f>
        <v>https://blesk.cz</v>
      </c>
      <c r="G215" s="3" t="str">
        <f ca="1">IFERROR(__xludf.DUMMYFUNCTION("""COMPUTED_VALUE"""),"cílený mobilní slide-up mid season")</f>
        <v>cílený mobilní slide-up mid season</v>
      </c>
      <c r="H215" s="3">
        <f ca="1">IFERROR(__xludf.DUMMYFUNCTION("""COMPUTED_VALUE"""),7)</f>
        <v>7</v>
      </c>
      <c r="I215" s="5">
        <f ca="1">IFERROR(__xludf.DUMMYFUNCTION("""COMPUTED_VALUE"""),1000)</f>
        <v>1000</v>
      </c>
      <c r="J215" s="5">
        <f ca="1">IFERROR(__xludf.DUMMYFUNCTION("""COMPUTED_VALUE"""),756)</f>
        <v>756</v>
      </c>
      <c r="K215" s="3"/>
      <c r="L215" s="3" t="str">
        <f ca="1">IFERROR(__xludf.DUMMYFUNCTION("""COMPUTED_VALUE"""),"Cost per period")</f>
        <v>Cost per period</v>
      </c>
      <c r="M215" s="3"/>
      <c r="N215" s="3"/>
      <c r="O215" s="3" t="str">
        <f ca="1">IFERROR(__xludf.DUMMYFUNCTION("""COMPUTED_VALUE"""),"300")</f>
        <v>300</v>
      </c>
      <c r="P215" s="3" t="str">
        <f ca="1">IFERROR(__xludf.DUMMYFUNCTION("""COMPUTED_VALUE"""),"120")</f>
        <v>120</v>
      </c>
      <c r="Q215" s="3" t="str">
        <f ca="1">IFERROR(__xludf.DUMMYFUNCTION("""COMPUTED_VALUE"""),"300x120")</f>
        <v>300x120</v>
      </c>
      <c r="R215" s="3"/>
      <c r="S215" s="3" t="str">
        <f ca="1">IFERROR(__xludf.DUMMYFUNCTION("""COMPUTED_VALUE"""),"100")</f>
        <v>100</v>
      </c>
      <c r="T215" s="3"/>
      <c r="U215" s="3" t="str">
        <f ca="1">IFERROR(__xludf.DUMMYFUNCTION("""COMPUTED_VALUE"""),"banner standard")</f>
        <v>banner standard</v>
      </c>
      <c r="V215" s="3"/>
      <c r="W215" s="4" t="str">
        <f ca="1">IFERROR(__xludf.DUMMYFUNCTION("""COMPUTED_VALUE"""),"https://reklama.cncenter.cz/Online/mobilni-slide-up")</f>
        <v>https://reklama.cncenter.cz/Online/mobilni-slide-up</v>
      </c>
      <c r="X215" s="3"/>
      <c r="Y215" s="3"/>
      <c r="Z215" s="3" t="str">
        <f ca="1">IFERROR(__xludf.DUMMYFUNCTION("""COMPUTED_VALUE"""),"podklady@cncenter.cz")</f>
        <v>podklady@cncenter.cz</v>
      </c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 t="str">
        <f ca="1">IFERROR(__xludf.DUMMYFUNCTION("""COMPUTED_VALUE"""),"mobile")</f>
        <v>mobile</v>
      </c>
      <c r="AO215" s="3"/>
      <c r="AP215" s="3"/>
      <c r="AQ215" s="3"/>
      <c r="AR215" s="3"/>
      <c r="AS215" s="3"/>
      <c r="AT215" s="3"/>
      <c r="AU215" s="3" t="str">
        <f ca="1">IFERROR(__xludf.DUMMYFUNCTION("""COMPUTED_VALUE"""),"cílený mobilní slide-up")</f>
        <v>cílený mobilní slide-up</v>
      </c>
    </row>
    <row r="216" spans="1:47" x14ac:dyDescent="0.3">
      <c r="A216" s="3">
        <f ca="1"/>
        <v>2346826</v>
      </c>
      <c r="B216" s="3" t="str">
        <f ca="1"/>
        <v>CZECH NEWS CENTER a. s.</v>
      </c>
      <c r="C216" s="3" t="str">
        <f ca="1">IFERROR(__xludf.DUMMYFUNCTION("""COMPUTED_VALUE"""),"Blesk homepage")</f>
        <v>Blesk homepage</v>
      </c>
      <c r="D216" s="4" t="str">
        <f ca="1">IFERROR(__xludf.DUMMYFUNCTION("""COMPUTED_VALUE"""),"https://blesk.cz")</f>
        <v>https://blesk.cz</v>
      </c>
      <c r="E216" s="3" t="str">
        <f ca="1">IFERROR(__xludf.DUMMYFUNCTION("""COMPUTED_VALUE"""),"homepage")</f>
        <v>homepage</v>
      </c>
      <c r="F216" s="4" t="str">
        <f ca="1">IFERROR(__xludf.DUMMYFUNCTION("""COMPUTED_VALUE"""),"https://blesk.cz")</f>
        <v>https://blesk.cz</v>
      </c>
      <c r="G216" s="3" t="str">
        <f ca="1">IFERROR(__xludf.DUMMYFUNCTION("""COMPUTED_VALUE"""),"mobilní interscroller mid season")</f>
        <v>mobilní interscroller mid season</v>
      </c>
      <c r="H216" s="3">
        <f ca="1">IFERROR(__xludf.DUMMYFUNCTION("""COMPUTED_VALUE"""),7)</f>
        <v>7</v>
      </c>
      <c r="I216" s="5">
        <f ca="1">IFERROR(__xludf.DUMMYFUNCTION("""COMPUTED_VALUE"""),1000)</f>
        <v>1000</v>
      </c>
      <c r="J216" s="5">
        <f ca="1">IFERROR(__xludf.DUMMYFUNCTION("""COMPUTED_VALUE"""),310)</f>
        <v>310</v>
      </c>
      <c r="K216" s="3"/>
      <c r="L216" s="3" t="str">
        <f ca="1">IFERROR(__xludf.DUMMYFUNCTION("""COMPUTED_VALUE"""),"Cost per period")</f>
        <v>Cost per period</v>
      </c>
      <c r="M216" s="3"/>
      <c r="N216" s="3"/>
      <c r="O216" s="3" t="str">
        <f ca="1">IFERROR(__xludf.DUMMYFUNCTION("""COMPUTED_VALUE"""),"600")</f>
        <v>600</v>
      </c>
      <c r="P216" s="3" t="str">
        <f ca="1">IFERROR(__xludf.DUMMYFUNCTION("""COMPUTED_VALUE"""),"1080")</f>
        <v>1080</v>
      </c>
      <c r="Q216" s="3" t="str">
        <f ca="1">IFERROR(__xludf.DUMMYFUNCTION("""COMPUTED_VALUE"""),"600x1080")</f>
        <v>600x1080</v>
      </c>
      <c r="R216" s="3"/>
      <c r="S216" s="3" t="str">
        <f ca="1">IFERROR(__xludf.DUMMYFUNCTION("""COMPUTED_VALUE"""),"200")</f>
        <v>200</v>
      </c>
      <c r="T216" s="3"/>
      <c r="U216" s="3" t="str">
        <f ca="1">IFERROR(__xludf.DUMMYFUNCTION("""COMPUTED_VALUE"""),"banner standard")</f>
        <v>banner standard</v>
      </c>
      <c r="V216" s="3"/>
      <c r="W216" s="4" t="str">
        <f ca="1">IFERROR(__xludf.DUMMYFUNCTION("""COMPUTED_VALUE"""),"https://reklama.cncenter.cz/Online/mobilni-interscroller")</f>
        <v>https://reklama.cncenter.cz/Online/mobilni-interscroller</v>
      </c>
      <c r="X216" s="3"/>
      <c r="Y216" s="3"/>
      <c r="Z216" s="3" t="str">
        <f ca="1">IFERROR(__xludf.DUMMYFUNCTION("""COMPUTED_VALUE"""),"podklady@cncenter.cz")</f>
        <v>podklady@cncenter.cz</v>
      </c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 t="str">
        <f ca="1">IFERROR(__xludf.DUMMYFUNCTION("""COMPUTED_VALUE"""),"mobile")</f>
        <v>mobile</v>
      </c>
      <c r="AO216" s="3"/>
      <c r="AP216" s="3"/>
      <c r="AQ216" s="3"/>
      <c r="AR216" s="3"/>
      <c r="AS216" s="3"/>
      <c r="AT216" s="3"/>
      <c r="AU216" s="3" t="str">
        <f ca="1">IFERROR(__xludf.DUMMYFUNCTION("""COMPUTED_VALUE"""),"mobilní interscroller")</f>
        <v>mobilní interscroller</v>
      </c>
    </row>
    <row r="217" spans="1:47" x14ac:dyDescent="0.3">
      <c r="A217" s="3">
        <f ca="1"/>
        <v>2346826</v>
      </c>
      <c r="B217" s="3" t="str">
        <f ca="1"/>
        <v>CZECH NEWS CENTER a. s.</v>
      </c>
      <c r="C217" s="3" t="str">
        <f ca="1">IFERROR(__xludf.DUMMYFUNCTION("""COMPUTED_VALUE"""),"Blesk homepage")</f>
        <v>Blesk homepage</v>
      </c>
      <c r="D217" s="4" t="str">
        <f ca="1">IFERROR(__xludf.DUMMYFUNCTION("""COMPUTED_VALUE"""),"https://blesk.cz")</f>
        <v>https://blesk.cz</v>
      </c>
      <c r="E217" s="3" t="str">
        <f ca="1">IFERROR(__xludf.DUMMYFUNCTION("""COMPUTED_VALUE"""),"homepage")</f>
        <v>homepage</v>
      </c>
      <c r="F217" s="4" t="str">
        <f ca="1">IFERROR(__xludf.DUMMYFUNCTION("""COMPUTED_VALUE"""),"https://blesk.cz")</f>
        <v>https://blesk.cz</v>
      </c>
      <c r="G217" s="3" t="str">
        <f ca="1">IFERROR(__xludf.DUMMYFUNCTION("""COMPUTED_VALUE"""),"mobilní slide-up mid season")</f>
        <v>mobilní slide-up mid season</v>
      </c>
      <c r="H217" s="3">
        <f ca="1">IFERROR(__xludf.DUMMYFUNCTION("""COMPUTED_VALUE"""),7)</f>
        <v>7</v>
      </c>
      <c r="I217" s="5">
        <f ca="1">IFERROR(__xludf.DUMMYFUNCTION("""COMPUTED_VALUE"""),1000)</f>
        <v>1000</v>
      </c>
      <c r="J217" s="5">
        <f ca="1">IFERROR(__xludf.DUMMYFUNCTION("""COMPUTED_VALUE"""),630)</f>
        <v>630</v>
      </c>
      <c r="K217" s="3"/>
      <c r="L217" s="3" t="str">
        <f ca="1">IFERROR(__xludf.DUMMYFUNCTION("""COMPUTED_VALUE"""),"Cost per period")</f>
        <v>Cost per period</v>
      </c>
      <c r="M217" s="3"/>
      <c r="N217" s="3"/>
      <c r="O217" s="3" t="str">
        <f ca="1">IFERROR(__xludf.DUMMYFUNCTION("""COMPUTED_VALUE"""),"300")</f>
        <v>300</v>
      </c>
      <c r="P217" s="3" t="str">
        <f ca="1">IFERROR(__xludf.DUMMYFUNCTION("""COMPUTED_VALUE"""),"120")</f>
        <v>120</v>
      </c>
      <c r="Q217" s="3" t="str">
        <f ca="1">IFERROR(__xludf.DUMMYFUNCTION("""COMPUTED_VALUE"""),"300x120")</f>
        <v>300x120</v>
      </c>
      <c r="R217" s="3"/>
      <c r="S217" s="3" t="str">
        <f ca="1">IFERROR(__xludf.DUMMYFUNCTION("""COMPUTED_VALUE"""),"100")</f>
        <v>100</v>
      </c>
      <c r="T217" s="3"/>
      <c r="U217" s="3" t="str">
        <f ca="1">IFERROR(__xludf.DUMMYFUNCTION("""COMPUTED_VALUE"""),"banner standard")</f>
        <v>banner standard</v>
      </c>
      <c r="V217" s="3"/>
      <c r="W217" s="4" t="str">
        <f ca="1">IFERROR(__xludf.DUMMYFUNCTION("""COMPUTED_VALUE"""),"https://reklama.cncenter.cz/Online/mobilni-slide-up")</f>
        <v>https://reklama.cncenter.cz/Online/mobilni-slide-up</v>
      </c>
      <c r="X217" s="3"/>
      <c r="Y217" s="3"/>
      <c r="Z217" s="3" t="str">
        <f ca="1">IFERROR(__xludf.DUMMYFUNCTION("""COMPUTED_VALUE"""),"podklady@cncenter.cz")</f>
        <v>podklady@cncenter.cz</v>
      </c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 t="str">
        <f ca="1">IFERROR(__xludf.DUMMYFUNCTION("""COMPUTED_VALUE"""),"mobile")</f>
        <v>mobile</v>
      </c>
      <c r="AO217" s="3"/>
      <c r="AP217" s="3"/>
      <c r="AQ217" s="3"/>
      <c r="AR217" s="3"/>
      <c r="AS217" s="3"/>
      <c r="AT217" s="3"/>
      <c r="AU217" s="3" t="str">
        <f ca="1">IFERROR(__xludf.DUMMYFUNCTION("""COMPUTED_VALUE"""),"mobilní slide-up")</f>
        <v>mobilní slide-up</v>
      </c>
    </row>
    <row r="218" spans="1:47" x14ac:dyDescent="0.3">
      <c r="A218" s="3">
        <f ca="1"/>
        <v>2346826</v>
      </c>
      <c r="B218" s="3" t="str">
        <f ca="1"/>
        <v>CZECH NEWS CENTER a. s.</v>
      </c>
      <c r="C218" s="3" t="str">
        <f ca="1">IFERROR(__xludf.DUMMYFUNCTION("""COMPUTED_VALUE"""),"Blesk pro ženy")</f>
        <v>Blesk pro ženy</v>
      </c>
      <c r="D218" s="4" t="str">
        <f ca="1">IFERROR(__xludf.DUMMYFUNCTION("""COMPUTED_VALUE"""),"https://bleskprozeny.cz")</f>
        <v>https://bleskprozeny.cz</v>
      </c>
      <c r="E218" s="3" t="str">
        <f ca="1">IFERROR(__xludf.DUMMYFUNCTION("""COMPUTED_VALUE"""),"celý web")</f>
        <v>celý web</v>
      </c>
      <c r="F218" s="4" t="str">
        <f ca="1">IFERROR(__xludf.DUMMYFUNCTION("""COMPUTED_VALUE"""),"https://bleskprozeny.cz")</f>
        <v>https://bleskprozeny.cz</v>
      </c>
      <c r="G218" s="3" t="str">
        <f ca="1">IFERROR(__xludf.DUMMYFUNCTION("""COMPUTED_VALUE"""),"Advertorial mid season")</f>
        <v>Advertorial mid season</v>
      </c>
      <c r="H218" s="3">
        <f ca="1">IFERROR(__xludf.DUMMYFUNCTION("""COMPUTED_VALUE"""),1)</f>
        <v>1</v>
      </c>
      <c r="I218" s="5">
        <f ca="1">IFERROR(__xludf.DUMMYFUNCTION("""COMPUTED_VALUE"""),1)</f>
        <v>1</v>
      </c>
      <c r="J218" s="5">
        <f ca="1">IFERROR(__xludf.DUMMYFUNCTION("""COMPUTED_VALUE"""),90000)</f>
        <v>90000</v>
      </c>
      <c r="K218" s="3"/>
      <c r="L218" s="3" t="str">
        <f ca="1">IFERROR(__xludf.DUMMYFUNCTION("""COMPUTED_VALUE"""),"Cost per instance")</f>
        <v>Cost per instance</v>
      </c>
      <c r="M218" s="3"/>
      <c r="N218" s="3"/>
      <c r="O218" s="3"/>
      <c r="P218" s="3"/>
      <c r="Q218" s="3"/>
      <c r="R218" s="3"/>
      <c r="S218" s="3" t="str">
        <f ca="1">IFERROR(__xludf.DUMMYFUNCTION("""COMPUTED_VALUE"""),"100")</f>
        <v>100</v>
      </c>
      <c r="T218" s="3"/>
      <c r="U218" s="3" t="str">
        <f ca="1">IFERROR(__xludf.DUMMYFUNCTION("""COMPUTED_VALUE"""),"pr článek")</f>
        <v>pr článek</v>
      </c>
      <c r="V218" s="3"/>
      <c r="W218" s="3"/>
      <c r="X218" s="3"/>
      <c r="Y218" s="3"/>
      <c r="Z218" s="3" t="str">
        <f ca="1">IFERROR(__xludf.DUMMYFUNCTION("""COMPUTED_VALUE"""),"podklady@cncenter.cz")</f>
        <v>podklady@cncenter.cz</v>
      </c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 t="str">
        <f ca="1">IFERROR(__xludf.DUMMYFUNCTION("""COMPUTED_VALUE"""),"cross-device")</f>
        <v>cross-device</v>
      </c>
      <c r="AO218" s="3"/>
      <c r="AP218" s="3"/>
      <c r="AQ218" s="3"/>
      <c r="AR218" s="3"/>
      <c r="AS218" s="3"/>
      <c r="AT218" s="3"/>
      <c r="AU218" s="3" t="str">
        <f ca="1">IFERROR(__xludf.DUMMYFUNCTION("""COMPUTED_VALUE"""),"Advertorial")</f>
        <v>Advertorial</v>
      </c>
    </row>
    <row r="219" spans="1:47" x14ac:dyDescent="0.3">
      <c r="A219" s="3">
        <f ca="1"/>
        <v>2346826</v>
      </c>
      <c r="B219" s="3" t="str">
        <f ca="1"/>
        <v>CZECH NEWS CENTER a. s.</v>
      </c>
      <c r="C219" s="3" t="str">
        <f ca="1">IFERROR(__xludf.DUMMYFUNCTION("""COMPUTED_VALUE"""),"Blesk pro ženy")</f>
        <v>Blesk pro ženy</v>
      </c>
      <c r="D219" s="4" t="str">
        <f ca="1">IFERROR(__xludf.DUMMYFUNCTION("""COMPUTED_VALUE"""),"https://bleskprozeny.cz")</f>
        <v>https://bleskprozeny.cz</v>
      </c>
      <c r="E219" s="3" t="str">
        <f ca="1">IFERROR(__xludf.DUMMYFUNCTION("""COMPUTED_VALUE"""),"celý web")</f>
        <v>celý web</v>
      </c>
      <c r="F219" s="4" t="str">
        <f ca="1">IFERROR(__xludf.DUMMYFUNCTION("""COMPUTED_VALUE"""),"https://bleskprozeny.cz")</f>
        <v>https://bleskprozeny.cz</v>
      </c>
      <c r="G219" s="3" t="str">
        <f ca="1">IFERROR(__xludf.DUMMYFUNCTION("""COMPUTED_VALUE"""),"billboard bottom mid season")</f>
        <v>billboard bottom mid season</v>
      </c>
      <c r="H219" s="3">
        <f ca="1">IFERROR(__xludf.DUMMYFUNCTION("""COMPUTED_VALUE"""),7)</f>
        <v>7</v>
      </c>
      <c r="I219" s="5">
        <f ca="1">IFERROR(__xludf.DUMMYFUNCTION("""COMPUTED_VALUE"""),1000)</f>
        <v>1000</v>
      </c>
      <c r="J219" s="5">
        <f ca="1">IFERROR(__xludf.DUMMYFUNCTION("""COMPUTED_VALUE"""),340)</f>
        <v>340</v>
      </c>
      <c r="K219" s="3"/>
      <c r="L219" s="3" t="str">
        <f ca="1">IFERROR(__xludf.DUMMYFUNCTION("""COMPUTED_VALUE"""),"Cost per period")</f>
        <v>Cost per period</v>
      </c>
      <c r="M219" s="3"/>
      <c r="N219" s="3"/>
      <c r="O219" s="3" t="str">
        <f ca="1">IFERROR(__xludf.DUMMYFUNCTION("""COMPUTED_VALUE"""),"970")</f>
        <v>970</v>
      </c>
      <c r="P219" s="3" t="str">
        <f ca="1">IFERROR(__xludf.DUMMYFUNCTION("""COMPUTED_VALUE"""),"250")</f>
        <v>250</v>
      </c>
      <c r="Q219" s="3" t="str">
        <f ca="1">IFERROR(__xludf.DUMMYFUNCTION("""COMPUTED_VALUE"""),"970x250")</f>
        <v>970x250</v>
      </c>
      <c r="R219" s="3"/>
      <c r="S219" s="3" t="str">
        <f ca="1">IFERROR(__xludf.DUMMYFUNCTION("""COMPUTED_VALUE"""),"100 (200 - HTML5)")</f>
        <v>100 (200 - HTML5)</v>
      </c>
      <c r="T219" s="3"/>
      <c r="U219" s="3" t="str">
        <f ca="1">IFERROR(__xludf.DUMMYFUNCTION("""COMPUTED_VALUE"""),"banner standard")</f>
        <v>banner standard</v>
      </c>
      <c r="V219" s="3"/>
      <c r="W219" s="4" t="str">
        <f ca="1">IFERROR(__xludf.DUMMYFUNCTION("""COMPUTED_VALUE"""),"https://reklama.cncenter.cz/Online/billboard-bottom")</f>
        <v>https://reklama.cncenter.cz/Online/billboard-bottom</v>
      </c>
      <c r="X219" s="3"/>
      <c r="Y219" s="3"/>
      <c r="Z219" s="3" t="str">
        <f ca="1">IFERROR(__xludf.DUMMYFUNCTION("""COMPUTED_VALUE"""),"podklady@cncenter.cz")</f>
        <v>podklady@cncenter.cz</v>
      </c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 t="str">
        <f ca="1">IFERROR(__xludf.DUMMYFUNCTION("""COMPUTED_VALUE"""),"desktop")</f>
        <v>desktop</v>
      </c>
      <c r="AO219" s="3"/>
      <c r="AP219" s="3"/>
      <c r="AQ219" s="3"/>
      <c r="AR219" s="3"/>
      <c r="AS219" s="3"/>
      <c r="AT219" s="3"/>
      <c r="AU219" s="3" t="str">
        <f ca="1">IFERROR(__xludf.DUMMYFUNCTION("""COMPUTED_VALUE"""),"billboard bottom")</f>
        <v>billboard bottom</v>
      </c>
    </row>
    <row r="220" spans="1:47" x14ac:dyDescent="0.3">
      <c r="A220" s="3">
        <f ca="1"/>
        <v>2346826</v>
      </c>
      <c r="B220" s="3" t="str">
        <f ca="1"/>
        <v>CZECH NEWS CENTER a. s.</v>
      </c>
      <c r="C220" s="3" t="str">
        <f ca="1">IFERROR(__xludf.DUMMYFUNCTION("""COMPUTED_VALUE"""),"Blesk pro ženy")</f>
        <v>Blesk pro ženy</v>
      </c>
      <c r="D220" s="4" t="str">
        <f ca="1">IFERROR(__xludf.DUMMYFUNCTION("""COMPUTED_VALUE"""),"https://bleskprozeny.cz")</f>
        <v>https://bleskprozeny.cz</v>
      </c>
      <c r="E220" s="3" t="str">
        <f ca="1">IFERROR(__xludf.DUMMYFUNCTION("""COMPUTED_VALUE"""),"celý web")</f>
        <v>celý web</v>
      </c>
      <c r="F220" s="4" t="str">
        <f ca="1">IFERROR(__xludf.DUMMYFUNCTION("""COMPUTED_VALUE"""),"https://bleskprozeny.cz")</f>
        <v>https://bleskprozeny.cz</v>
      </c>
      <c r="G220" s="3" t="str">
        <f ca="1">IFERROR(__xludf.DUMMYFUNCTION("""COMPUTED_VALUE"""),"branding cross-device mid season")</f>
        <v>branding cross-device mid season</v>
      </c>
      <c r="H220" s="3">
        <f ca="1">IFERROR(__xludf.DUMMYFUNCTION("""COMPUTED_VALUE"""),7)</f>
        <v>7</v>
      </c>
      <c r="I220" s="5">
        <f ca="1">IFERROR(__xludf.DUMMYFUNCTION("""COMPUTED_VALUE"""),1000)</f>
        <v>1000</v>
      </c>
      <c r="J220" s="5">
        <f ca="1">IFERROR(__xludf.DUMMYFUNCTION("""COMPUTED_VALUE"""),420)</f>
        <v>420</v>
      </c>
      <c r="K220" s="3"/>
      <c r="L220" s="3" t="str">
        <f ca="1">IFERROR(__xludf.DUMMYFUNCTION("""COMPUTED_VALUE"""),"Cost per period")</f>
        <v>Cost per period</v>
      </c>
      <c r="M220" s="3"/>
      <c r="N220" s="3"/>
      <c r="O220" s="3" t="str">
        <f ca="1">IFERROR(__xludf.DUMMYFUNCTION("""COMPUTED_VALUE"""),"2000")</f>
        <v>2000</v>
      </c>
      <c r="P220" s="3" t="str">
        <f ca="1">IFERROR(__xludf.DUMMYFUNCTION("""COMPUTED_VALUE"""),"1400")</f>
        <v>1400</v>
      </c>
      <c r="Q220" s="3" t="str">
        <f ca="1">IFERROR(__xludf.DUMMYFUNCTION("""COMPUTED_VALUE"""),"2000x1400 + 600x1080")</f>
        <v>2000x1400 + 600x1080</v>
      </c>
      <c r="R220" s="3"/>
      <c r="S220" s="3" t="str">
        <f ca="1">IFERROR(__xludf.DUMMYFUNCTION("""COMPUTED_VALUE"""),"500 (600 - HTLM5)")</f>
        <v>500 (600 - HTLM5)</v>
      </c>
      <c r="T220" s="3"/>
      <c r="U220" s="3" t="str">
        <f ca="1">IFERROR(__xludf.DUMMYFUNCTION("""COMPUTED_VALUE"""),"banner standard")</f>
        <v>banner standard</v>
      </c>
      <c r="V220" s="3"/>
      <c r="W220" s="4" t="str">
        <f ca="1">IFERROR(__xludf.DUMMYFUNCTION("""COMPUTED_VALUE"""),"https://reklama.cncenter.cz/Online/branding-cross-device")</f>
        <v>https://reklama.cncenter.cz/Online/branding-cross-device</v>
      </c>
      <c r="X220" s="3"/>
      <c r="Y220" s="3"/>
      <c r="Z220" s="3" t="str">
        <f ca="1">IFERROR(__xludf.DUMMYFUNCTION("""COMPUTED_VALUE"""),"podklady@cncenter.cz")</f>
        <v>podklady@cncenter.cz</v>
      </c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 t="str">
        <f ca="1">IFERROR(__xludf.DUMMYFUNCTION("""COMPUTED_VALUE"""),"cross-device")</f>
        <v>cross-device</v>
      </c>
      <c r="AO220" s="3"/>
      <c r="AP220" s="3"/>
      <c r="AQ220" s="3"/>
      <c r="AR220" s="3"/>
      <c r="AS220" s="3"/>
      <c r="AT220" s="3"/>
      <c r="AU220" s="3" t="str">
        <f ca="1">IFERROR(__xludf.DUMMYFUNCTION("""COMPUTED_VALUE"""),"branding cross-device")</f>
        <v>branding cross-device</v>
      </c>
    </row>
    <row r="221" spans="1:47" x14ac:dyDescent="0.3">
      <c r="A221" s="3">
        <f ca="1"/>
        <v>2346826</v>
      </c>
      <c r="B221" s="3" t="str">
        <f ca="1"/>
        <v>CZECH NEWS CENTER a. s.</v>
      </c>
      <c r="C221" s="3" t="str">
        <f ca="1">IFERROR(__xludf.DUMMYFUNCTION("""COMPUTED_VALUE"""),"Blesk pro ženy")</f>
        <v>Blesk pro ženy</v>
      </c>
      <c r="D221" s="4" t="str">
        <f ca="1">IFERROR(__xludf.DUMMYFUNCTION("""COMPUTED_VALUE"""),"https://bleskprozeny.cz")</f>
        <v>https://bleskprozeny.cz</v>
      </c>
      <c r="E221" s="3" t="str">
        <f ca="1">IFERROR(__xludf.DUMMYFUNCTION("""COMPUTED_VALUE"""),"celý web")</f>
        <v>celý web</v>
      </c>
      <c r="F221" s="4" t="str">
        <f ca="1">IFERROR(__xludf.DUMMYFUNCTION("""COMPUTED_VALUE"""),"https://bleskprozeny.cz")</f>
        <v>https://bleskprozeny.cz</v>
      </c>
      <c r="G221" s="3" t="str">
        <f ca="1">IFERROR(__xludf.DUMMYFUNCTION("""COMPUTED_VALUE"""),"branding mid season")</f>
        <v>branding mid season</v>
      </c>
      <c r="H221" s="3">
        <f ca="1">IFERROR(__xludf.DUMMYFUNCTION("""COMPUTED_VALUE"""),7)</f>
        <v>7</v>
      </c>
      <c r="I221" s="5">
        <f ca="1">IFERROR(__xludf.DUMMYFUNCTION("""COMPUTED_VALUE"""),1000)</f>
        <v>1000</v>
      </c>
      <c r="J221" s="5">
        <f ca="1">IFERROR(__xludf.DUMMYFUNCTION("""COMPUTED_VALUE"""),690)</f>
        <v>690</v>
      </c>
      <c r="K221" s="3"/>
      <c r="L221" s="3" t="str">
        <f ca="1">IFERROR(__xludf.DUMMYFUNCTION("""COMPUTED_VALUE"""),"Cost per period")</f>
        <v>Cost per period</v>
      </c>
      <c r="M221" s="3"/>
      <c r="N221" s="3"/>
      <c r="O221" s="3" t="str">
        <f ca="1">IFERROR(__xludf.DUMMYFUNCTION("""COMPUTED_VALUE"""),"2000")</f>
        <v>2000</v>
      </c>
      <c r="P221" s="3" t="str">
        <f ca="1">IFERROR(__xludf.DUMMYFUNCTION("""COMPUTED_VALUE"""),"1400")</f>
        <v>1400</v>
      </c>
      <c r="Q221" s="3" t="str">
        <f ca="1">IFERROR(__xludf.DUMMYFUNCTION("""COMPUTED_VALUE"""),"2000x1400")</f>
        <v>2000x1400</v>
      </c>
      <c r="R221" s="3"/>
      <c r="S221" s="3" t="str">
        <f ca="1">IFERROR(__xludf.DUMMYFUNCTION("""COMPUTED_VALUE"""),"500 + 200 (600+200 HTML5)")</f>
        <v>500 + 200 (600+200 HTML5)</v>
      </c>
      <c r="T221" s="3"/>
      <c r="U221" s="3" t="str">
        <f ca="1">IFERROR(__xludf.DUMMYFUNCTION("""COMPUTED_VALUE"""),"banner standard")</f>
        <v>banner standard</v>
      </c>
      <c r="V221" s="3"/>
      <c r="W221" s="4" t="str">
        <f ca="1">IFERROR(__xludf.DUMMYFUNCTION("""COMPUTED_VALUE"""),"https://reklama.cncenter.cz/Online/branding")</f>
        <v>https://reklama.cncenter.cz/Online/branding</v>
      </c>
      <c r="X221" s="3"/>
      <c r="Y221" s="3"/>
      <c r="Z221" s="3" t="str">
        <f ca="1">IFERROR(__xludf.DUMMYFUNCTION("""COMPUTED_VALUE"""),"podklady@cncenter.cz")</f>
        <v>podklady@cncenter.cz</v>
      </c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 t="str">
        <f ca="1">IFERROR(__xludf.DUMMYFUNCTION("""COMPUTED_VALUE"""),"desktop")</f>
        <v>desktop</v>
      </c>
      <c r="AO221" s="3"/>
      <c r="AP221" s="3"/>
      <c r="AQ221" s="3"/>
      <c r="AR221" s="3"/>
      <c r="AS221" s="3"/>
      <c r="AT221" s="3"/>
      <c r="AU221" s="3" t="str">
        <f ca="1">IFERROR(__xludf.DUMMYFUNCTION("""COMPUTED_VALUE"""),"branding")</f>
        <v>branding</v>
      </c>
    </row>
    <row r="222" spans="1:47" x14ac:dyDescent="0.3">
      <c r="A222" s="3">
        <f ca="1"/>
        <v>2346826</v>
      </c>
      <c r="B222" s="3" t="str">
        <f ca="1"/>
        <v>CZECH NEWS CENTER a. s.</v>
      </c>
      <c r="C222" s="3" t="str">
        <f ca="1">IFERROR(__xludf.DUMMYFUNCTION("""COMPUTED_VALUE"""),"Blesk pro ženy")</f>
        <v>Blesk pro ženy</v>
      </c>
      <c r="D222" s="4" t="str">
        <f ca="1">IFERROR(__xludf.DUMMYFUNCTION("""COMPUTED_VALUE"""),"https://bleskprozeny.cz")</f>
        <v>https://bleskprozeny.cz</v>
      </c>
      <c r="E222" s="3" t="str">
        <f ca="1">IFERROR(__xludf.DUMMYFUNCTION("""COMPUTED_VALUE"""),"celý web")</f>
        <v>celý web</v>
      </c>
      <c r="F222" s="4" t="str">
        <f ca="1">IFERROR(__xludf.DUMMYFUNCTION("""COMPUTED_VALUE"""),"https://bleskprozeny.cz")</f>
        <v>https://bleskprozeny.cz</v>
      </c>
      <c r="G222" s="3" t="str">
        <f ca="1">IFERROR(__xludf.DUMMYFUNCTION("""COMPUTED_VALUE"""),"cílený billboard bottom mid season")</f>
        <v>cílený billboard bottom mid season</v>
      </c>
      <c r="H222" s="3">
        <f ca="1">IFERROR(__xludf.DUMMYFUNCTION("""COMPUTED_VALUE"""),7)</f>
        <v>7</v>
      </c>
      <c r="I222" s="5">
        <f ca="1">IFERROR(__xludf.DUMMYFUNCTION("""COMPUTED_VALUE"""),1000)</f>
        <v>1000</v>
      </c>
      <c r="J222" s="5">
        <f ca="1">IFERROR(__xludf.DUMMYFUNCTION("""COMPUTED_VALUE"""),408)</f>
        <v>408</v>
      </c>
      <c r="K222" s="3"/>
      <c r="L222" s="3" t="str">
        <f ca="1">IFERROR(__xludf.DUMMYFUNCTION("""COMPUTED_VALUE"""),"Cost per period")</f>
        <v>Cost per period</v>
      </c>
      <c r="M222" s="3"/>
      <c r="N222" s="3"/>
      <c r="O222" s="3" t="str">
        <f ca="1">IFERROR(__xludf.DUMMYFUNCTION("""COMPUTED_VALUE"""),"970")</f>
        <v>970</v>
      </c>
      <c r="P222" s="3" t="str">
        <f ca="1">IFERROR(__xludf.DUMMYFUNCTION("""COMPUTED_VALUE"""),"250")</f>
        <v>250</v>
      </c>
      <c r="Q222" s="3" t="str">
        <f ca="1">IFERROR(__xludf.DUMMYFUNCTION("""COMPUTED_VALUE"""),"970x250")</f>
        <v>970x250</v>
      </c>
      <c r="R222" s="3"/>
      <c r="S222" s="3" t="str">
        <f ca="1">IFERROR(__xludf.DUMMYFUNCTION("""COMPUTED_VALUE"""),"100 (200 - HTML5)")</f>
        <v>100 (200 - HTML5)</v>
      </c>
      <c r="T222" s="3"/>
      <c r="U222" s="3" t="str">
        <f ca="1">IFERROR(__xludf.DUMMYFUNCTION("""COMPUTED_VALUE"""),"banner standard")</f>
        <v>banner standard</v>
      </c>
      <c r="V222" s="3"/>
      <c r="W222" s="4" t="str">
        <f ca="1">IFERROR(__xludf.DUMMYFUNCTION("""COMPUTED_VALUE"""),"https://reklama.cncenter.cz/Online/billboard-bottom")</f>
        <v>https://reklama.cncenter.cz/Online/billboard-bottom</v>
      </c>
      <c r="X222" s="3"/>
      <c r="Y222" s="3"/>
      <c r="Z222" s="3" t="str">
        <f ca="1">IFERROR(__xludf.DUMMYFUNCTION("""COMPUTED_VALUE"""),"podklady@cncenter.cz")</f>
        <v>podklady@cncenter.cz</v>
      </c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 t="str">
        <f ca="1">IFERROR(__xludf.DUMMYFUNCTION("""COMPUTED_VALUE"""),"desktop")</f>
        <v>desktop</v>
      </c>
      <c r="AO222" s="3"/>
      <c r="AP222" s="3"/>
      <c r="AQ222" s="3"/>
      <c r="AR222" s="3"/>
      <c r="AS222" s="3"/>
      <c r="AT222" s="3"/>
      <c r="AU222" s="3" t="str">
        <f ca="1">IFERROR(__xludf.DUMMYFUNCTION("""COMPUTED_VALUE"""),"cílený billboard bottom")</f>
        <v>cílený billboard bottom</v>
      </c>
    </row>
    <row r="223" spans="1:47" x14ac:dyDescent="0.3">
      <c r="A223" s="3">
        <f ca="1"/>
        <v>2346826</v>
      </c>
      <c r="B223" s="3" t="str">
        <f ca="1"/>
        <v>CZECH NEWS CENTER a. s.</v>
      </c>
      <c r="C223" s="3" t="str">
        <f ca="1">IFERROR(__xludf.DUMMYFUNCTION("""COMPUTED_VALUE"""),"Blesk pro ženy")</f>
        <v>Blesk pro ženy</v>
      </c>
      <c r="D223" s="4" t="str">
        <f ca="1">IFERROR(__xludf.DUMMYFUNCTION("""COMPUTED_VALUE"""),"https://bleskprozeny.cz")</f>
        <v>https://bleskprozeny.cz</v>
      </c>
      <c r="E223" s="3" t="str">
        <f ca="1">IFERROR(__xludf.DUMMYFUNCTION("""COMPUTED_VALUE"""),"celý web")</f>
        <v>celý web</v>
      </c>
      <c r="F223" s="4" t="str">
        <f ca="1">IFERROR(__xludf.DUMMYFUNCTION("""COMPUTED_VALUE"""),"https://bleskprozeny.cz")</f>
        <v>https://bleskprozeny.cz</v>
      </c>
      <c r="G223" s="3" t="str">
        <f ca="1">IFERROR(__xludf.DUMMYFUNCTION("""COMPUTED_VALUE"""),"cílený branding cross-device mid season")</f>
        <v>cílený branding cross-device mid season</v>
      </c>
      <c r="H223" s="3">
        <f ca="1">IFERROR(__xludf.DUMMYFUNCTION("""COMPUTED_VALUE"""),7)</f>
        <v>7</v>
      </c>
      <c r="I223" s="5">
        <f ca="1">IFERROR(__xludf.DUMMYFUNCTION("""COMPUTED_VALUE"""),1000)</f>
        <v>1000</v>
      </c>
      <c r="J223" s="5">
        <f ca="1">IFERROR(__xludf.DUMMYFUNCTION("""COMPUTED_VALUE"""),504)</f>
        <v>504</v>
      </c>
      <c r="K223" s="3"/>
      <c r="L223" s="3" t="str">
        <f ca="1">IFERROR(__xludf.DUMMYFUNCTION("""COMPUTED_VALUE"""),"Cost per period")</f>
        <v>Cost per period</v>
      </c>
      <c r="M223" s="3"/>
      <c r="N223" s="3"/>
      <c r="O223" s="3" t="str">
        <f ca="1">IFERROR(__xludf.DUMMYFUNCTION("""COMPUTED_VALUE"""),"2000")</f>
        <v>2000</v>
      </c>
      <c r="P223" s="3" t="str">
        <f ca="1">IFERROR(__xludf.DUMMYFUNCTION("""COMPUTED_VALUE"""),"1400")</f>
        <v>1400</v>
      </c>
      <c r="Q223" s="3" t="str">
        <f ca="1">IFERROR(__xludf.DUMMYFUNCTION("""COMPUTED_VALUE"""),"2000x1400 + 600x1080")</f>
        <v>2000x1400 + 600x1080</v>
      </c>
      <c r="R223" s="3"/>
      <c r="S223" s="3" t="str">
        <f ca="1">IFERROR(__xludf.DUMMYFUNCTION("""COMPUTED_VALUE"""),"500 (600 - HTLM5)")</f>
        <v>500 (600 - HTLM5)</v>
      </c>
      <c r="T223" s="3"/>
      <c r="U223" s="3" t="str">
        <f ca="1">IFERROR(__xludf.DUMMYFUNCTION("""COMPUTED_VALUE"""),"banner standard")</f>
        <v>banner standard</v>
      </c>
      <c r="V223" s="3"/>
      <c r="W223" s="4" t="str">
        <f ca="1">IFERROR(__xludf.DUMMYFUNCTION("""COMPUTED_VALUE"""),"https://reklama.cncenter.cz/Online/branding-cross-device")</f>
        <v>https://reklama.cncenter.cz/Online/branding-cross-device</v>
      </c>
      <c r="X223" s="3"/>
      <c r="Y223" s="3"/>
      <c r="Z223" s="3" t="str">
        <f ca="1">IFERROR(__xludf.DUMMYFUNCTION("""COMPUTED_VALUE"""),"podklady@cncenter.cz")</f>
        <v>podklady@cncenter.cz</v>
      </c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 t="str">
        <f ca="1">IFERROR(__xludf.DUMMYFUNCTION("""COMPUTED_VALUE"""),"cross-device")</f>
        <v>cross-device</v>
      </c>
      <c r="AO223" s="3"/>
      <c r="AP223" s="3"/>
      <c r="AQ223" s="3"/>
      <c r="AR223" s="3"/>
      <c r="AS223" s="3"/>
      <c r="AT223" s="3"/>
      <c r="AU223" s="3" t="str">
        <f ca="1">IFERROR(__xludf.DUMMYFUNCTION("""COMPUTED_VALUE"""),"cílený branding cross-device")</f>
        <v>cílený branding cross-device</v>
      </c>
    </row>
    <row r="224" spans="1:47" x14ac:dyDescent="0.3">
      <c r="A224" s="3">
        <f ca="1"/>
        <v>2346826</v>
      </c>
      <c r="B224" s="3" t="str">
        <f ca="1"/>
        <v>CZECH NEWS CENTER a. s.</v>
      </c>
      <c r="C224" s="3" t="str">
        <f ca="1">IFERROR(__xludf.DUMMYFUNCTION("""COMPUTED_VALUE"""),"Blesk pro ženy")</f>
        <v>Blesk pro ženy</v>
      </c>
      <c r="D224" s="4" t="str">
        <f ca="1">IFERROR(__xludf.DUMMYFUNCTION("""COMPUTED_VALUE"""),"https://bleskprozeny.cz")</f>
        <v>https://bleskprozeny.cz</v>
      </c>
      <c r="E224" s="3" t="str">
        <f ca="1">IFERROR(__xludf.DUMMYFUNCTION("""COMPUTED_VALUE"""),"celý web")</f>
        <v>celý web</v>
      </c>
      <c r="F224" s="4" t="str">
        <f ca="1">IFERROR(__xludf.DUMMYFUNCTION("""COMPUTED_VALUE"""),"https://bleskprozeny.cz")</f>
        <v>https://bleskprozeny.cz</v>
      </c>
      <c r="G224" s="3" t="str">
        <f ca="1">IFERROR(__xludf.DUMMYFUNCTION("""COMPUTED_VALUE"""),"cílený branding mid season")</f>
        <v>cílený branding mid season</v>
      </c>
      <c r="H224" s="3">
        <f ca="1">IFERROR(__xludf.DUMMYFUNCTION("""COMPUTED_VALUE"""),7)</f>
        <v>7</v>
      </c>
      <c r="I224" s="5">
        <f ca="1">IFERROR(__xludf.DUMMYFUNCTION("""COMPUTED_VALUE"""),1000)</f>
        <v>1000</v>
      </c>
      <c r="J224" s="5">
        <f ca="1">IFERROR(__xludf.DUMMYFUNCTION("""COMPUTED_VALUE"""),828)</f>
        <v>828</v>
      </c>
      <c r="K224" s="3"/>
      <c r="L224" s="3" t="str">
        <f ca="1">IFERROR(__xludf.DUMMYFUNCTION("""COMPUTED_VALUE"""),"Cost per period")</f>
        <v>Cost per period</v>
      </c>
      <c r="M224" s="3"/>
      <c r="N224" s="3"/>
      <c r="O224" s="3" t="str">
        <f ca="1">IFERROR(__xludf.DUMMYFUNCTION("""COMPUTED_VALUE"""),"2000")</f>
        <v>2000</v>
      </c>
      <c r="P224" s="3" t="str">
        <f ca="1">IFERROR(__xludf.DUMMYFUNCTION("""COMPUTED_VALUE"""),"1400")</f>
        <v>1400</v>
      </c>
      <c r="Q224" s="3" t="str">
        <f ca="1">IFERROR(__xludf.DUMMYFUNCTION("""COMPUTED_VALUE"""),"2000x1400")</f>
        <v>2000x1400</v>
      </c>
      <c r="R224" s="3"/>
      <c r="S224" s="3" t="str">
        <f ca="1">IFERROR(__xludf.DUMMYFUNCTION("""COMPUTED_VALUE"""),"500 + 200 (600+200 HTML5)")</f>
        <v>500 + 200 (600+200 HTML5)</v>
      </c>
      <c r="T224" s="3"/>
      <c r="U224" s="3" t="str">
        <f ca="1">IFERROR(__xludf.DUMMYFUNCTION("""COMPUTED_VALUE"""),"banner standard")</f>
        <v>banner standard</v>
      </c>
      <c r="V224" s="3"/>
      <c r="W224" s="4" t="str">
        <f ca="1">IFERROR(__xludf.DUMMYFUNCTION("""COMPUTED_VALUE"""),"https://reklama.cncenter.cz/Online/branding")</f>
        <v>https://reklama.cncenter.cz/Online/branding</v>
      </c>
      <c r="X224" s="3"/>
      <c r="Y224" s="3"/>
      <c r="Z224" s="3" t="str">
        <f ca="1">IFERROR(__xludf.DUMMYFUNCTION("""COMPUTED_VALUE"""),"podklady@cncenter.cz")</f>
        <v>podklady@cncenter.cz</v>
      </c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 t="str">
        <f ca="1">IFERROR(__xludf.DUMMYFUNCTION("""COMPUTED_VALUE"""),"desktop")</f>
        <v>desktop</v>
      </c>
      <c r="AO224" s="3"/>
      <c r="AP224" s="3"/>
      <c r="AQ224" s="3"/>
      <c r="AR224" s="3"/>
      <c r="AS224" s="3"/>
      <c r="AT224" s="3"/>
      <c r="AU224" s="3" t="str">
        <f ca="1">IFERROR(__xludf.DUMMYFUNCTION("""COMPUTED_VALUE"""),"cílený branding")</f>
        <v>cílený branding</v>
      </c>
    </row>
    <row r="225" spans="1:47" x14ac:dyDescent="0.3">
      <c r="A225" s="3">
        <f ca="1"/>
        <v>2346826</v>
      </c>
      <c r="B225" s="3" t="str">
        <f ca="1"/>
        <v>CZECH NEWS CENTER a. s.</v>
      </c>
      <c r="C225" s="3" t="str">
        <f ca="1">IFERROR(__xludf.DUMMYFUNCTION("""COMPUTED_VALUE"""),"Blesk pro ženy")</f>
        <v>Blesk pro ženy</v>
      </c>
      <c r="D225" s="4" t="str">
        <f ca="1">IFERROR(__xludf.DUMMYFUNCTION("""COMPUTED_VALUE"""),"https://bleskprozeny.cz")</f>
        <v>https://bleskprozeny.cz</v>
      </c>
      <c r="E225" s="3" t="str">
        <f ca="1">IFERROR(__xludf.DUMMYFUNCTION("""COMPUTED_VALUE"""),"celý web")</f>
        <v>celý web</v>
      </c>
      <c r="F225" s="4" t="str">
        <f ca="1">IFERROR(__xludf.DUMMYFUNCTION("""COMPUTED_VALUE"""),"https://bleskprozeny.cz")</f>
        <v>https://bleskprozeny.cz</v>
      </c>
      <c r="G225" s="3" t="str">
        <f ca="1">IFERROR(__xludf.DUMMYFUNCTION("""COMPUTED_VALUE"""),"cílený double skyscraper mid season")</f>
        <v>cílený double skyscraper mid season</v>
      </c>
      <c r="H225" s="3">
        <f ca="1">IFERROR(__xludf.DUMMYFUNCTION("""COMPUTED_VALUE"""),7)</f>
        <v>7</v>
      </c>
      <c r="I225" s="5">
        <f ca="1">IFERROR(__xludf.DUMMYFUNCTION("""COMPUTED_VALUE"""),1000)</f>
        <v>1000</v>
      </c>
      <c r="J225" s="5">
        <f ca="1">IFERROR(__xludf.DUMMYFUNCTION("""COMPUTED_VALUE"""),324)</f>
        <v>324</v>
      </c>
      <c r="K225" s="3"/>
      <c r="L225" s="3" t="str">
        <f ca="1">IFERROR(__xludf.DUMMYFUNCTION("""COMPUTED_VALUE"""),"Cost per period")</f>
        <v>Cost per period</v>
      </c>
      <c r="M225" s="3"/>
      <c r="N225" s="3"/>
      <c r="O225" s="3" t="str">
        <f ca="1">IFERROR(__xludf.DUMMYFUNCTION("""COMPUTED_VALUE"""),"300")</f>
        <v>300</v>
      </c>
      <c r="P225" s="3" t="str">
        <f ca="1">IFERROR(__xludf.DUMMYFUNCTION("""COMPUTED_VALUE"""),"600")</f>
        <v>600</v>
      </c>
      <c r="Q225" s="3" t="str">
        <f ca="1">IFERROR(__xludf.DUMMYFUNCTION("""COMPUTED_VALUE"""),"300x600")</f>
        <v>300x600</v>
      </c>
      <c r="R225" s="3"/>
      <c r="S225" s="3" t="str">
        <f ca="1">IFERROR(__xludf.DUMMYFUNCTION("""COMPUTED_VALUE"""),"100 (200 - HTML5)")</f>
        <v>100 (200 - HTML5)</v>
      </c>
      <c r="T225" s="3"/>
      <c r="U225" s="3" t="str">
        <f ca="1">IFERROR(__xludf.DUMMYFUNCTION("""COMPUTED_VALUE"""),"banner standard")</f>
        <v>banner standard</v>
      </c>
      <c r="V225" s="3"/>
      <c r="W225" s="4" t="str">
        <f ca="1">IFERROR(__xludf.DUMMYFUNCTION("""COMPUTED_VALUE"""),"https://reklama.cncenter.cz/Online/double-skyscraper")</f>
        <v>https://reklama.cncenter.cz/Online/double-skyscraper</v>
      </c>
      <c r="X225" s="3"/>
      <c r="Y225" s="3"/>
      <c r="Z225" s="3" t="str">
        <f ca="1">IFERROR(__xludf.DUMMYFUNCTION("""COMPUTED_VALUE"""),"podklady@cncenter.cz")</f>
        <v>podklady@cncenter.cz</v>
      </c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 t="str">
        <f ca="1">IFERROR(__xludf.DUMMYFUNCTION("""COMPUTED_VALUE"""),"desktop")</f>
        <v>desktop</v>
      </c>
      <c r="AO225" s="3"/>
      <c r="AP225" s="3"/>
      <c r="AQ225" s="3"/>
      <c r="AR225" s="3"/>
      <c r="AS225" s="3"/>
      <c r="AT225" s="3"/>
      <c r="AU225" s="3" t="str">
        <f ca="1">IFERROR(__xludf.DUMMYFUNCTION("""COMPUTED_VALUE"""),"cílený double skyscraper")</f>
        <v>cílený double skyscraper</v>
      </c>
    </row>
    <row r="226" spans="1:47" x14ac:dyDescent="0.3">
      <c r="A226" s="3">
        <f ca="1"/>
        <v>2346826</v>
      </c>
      <c r="B226" s="3" t="str">
        <f ca="1"/>
        <v>CZECH NEWS CENTER a. s.</v>
      </c>
      <c r="C226" s="3" t="str">
        <f ca="1">IFERROR(__xludf.DUMMYFUNCTION("""COMPUTED_VALUE"""),"Blesk pro ženy")</f>
        <v>Blesk pro ženy</v>
      </c>
      <c r="D226" s="4" t="str">
        <f ca="1">IFERROR(__xludf.DUMMYFUNCTION("""COMPUTED_VALUE"""),"https://bleskprozeny.cz")</f>
        <v>https://bleskprozeny.cz</v>
      </c>
      <c r="E226" s="3" t="str">
        <f ca="1">IFERROR(__xludf.DUMMYFUNCTION("""COMPUTED_VALUE"""),"celý web")</f>
        <v>celý web</v>
      </c>
      <c r="F226" s="4" t="str">
        <f ca="1">IFERROR(__xludf.DUMMYFUNCTION("""COMPUTED_VALUE"""),"https://bleskprozeny.cz")</f>
        <v>https://bleskprozeny.cz</v>
      </c>
      <c r="G226" s="3" t="str">
        <f ca="1">IFERROR(__xludf.DUMMYFUNCTION("""COMPUTED_VALUE"""),"cílený mini videospot - max. 30 sec. mid season")</f>
        <v>cílený mini videospot - max. 30 sec. mid season</v>
      </c>
      <c r="H226" s="3">
        <f ca="1">IFERROR(__xludf.DUMMYFUNCTION("""COMPUTED_VALUE"""),7)</f>
        <v>7</v>
      </c>
      <c r="I226" s="5">
        <f ca="1">IFERROR(__xludf.DUMMYFUNCTION("""COMPUTED_VALUE"""),1000)</f>
        <v>1000</v>
      </c>
      <c r="J226" s="5">
        <f ca="1">IFERROR(__xludf.DUMMYFUNCTION("""COMPUTED_VALUE"""),240)</f>
        <v>240</v>
      </c>
      <c r="K226" s="3"/>
      <c r="L226" s="3" t="str">
        <f ca="1">IFERROR(__xludf.DUMMYFUNCTION("""COMPUTED_VALUE"""),"Cost per period")</f>
        <v>Cost per period</v>
      </c>
      <c r="M226" s="3"/>
      <c r="N226" s="3"/>
      <c r="O226" s="3"/>
      <c r="P226" s="3"/>
      <c r="Q226" s="3" t="str">
        <f ca="1">IFERROR(__xludf.DUMMYFUNCTION("""COMPUTED_VALUE"""),"16:9 / umístění po domluvě dle možností")</f>
        <v>16:9 / umístění po domluvě dle možností</v>
      </c>
      <c r="R226" s="3" t="str">
        <f ca="1">IFERROR(__xludf.DUMMYFUNCTION("""COMPUTED_VALUE"""),"přeskočení po 7 sekundách")</f>
        <v>přeskočení po 7 sekundách</v>
      </c>
      <c r="S226" s="3" t="str">
        <f ca="1">IFERROR(__xludf.DUMMYFUNCTION("""COMPUTED_VALUE"""),"100")</f>
        <v>100</v>
      </c>
      <c r="T226" s="3"/>
      <c r="U226" s="3" t="str">
        <f ca="1">IFERROR(__xludf.DUMMYFUNCTION("""COMPUTED_VALUE"""),"videospot")</f>
        <v>videospot</v>
      </c>
      <c r="V226" s="3"/>
      <c r="W226" s="4" t="str">
        <f ca="1">IFERROR(__xludf.DUMMYFUNCTION("""COMPUTED_VALUE"""),"https://reklama.cncenter.cz/Online/Videospot")</f>
        <v>https://reklama.cncenter.cz/Online/Videospot</v>
      </c>
      <c r="X226" s="3"/>
      <c r="Y226" s="3"/>
      <c r="Z226" s="3" t="str">
        <f ca="1">IFERROR(__xludf.DUMMYFUNCTION("""COMPUTED_VALUE"""),"podklady@cncenter.cz")</f>
        <v>podklady@cncenter.cz</v>
      </c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 t="str">
        <f ca="1">IFERROR(__xludf.DUMMYFUNCTION("""COMPUTED_VALUE"""),"desktop")</f>
        <v>desktop</v>
      </c>
      <c r="AO226" s="3"/>
      <c r="AP226" s="3"/>
      <c r="AQ226" s="3"/>
      <c r="AR226" s="3"/>
      <c r="AS226" s="3"/>
      <c r="AT226" s="3"/>
      <c r="AU226" s="3" t="str">
        <f ca="1">IFERROR(__xludf.DUMMYFUNCTION("""COMPUTED_VALUE"""),"cílený mini videospot - max. 30 sec.")</f>
        <v>cílený mini videospot - max. 30 sec.</v>
      </c>
    </row>
    <row r="227" spans="1:47" x14ac:dyDescent="0.3">
      <c r="A227" s="3">
        <f ca="1"/>
        <v>2346826</v>
      </c>
      <c r="B227" s="3" t="str">
        <f ca="1"/>
        <v>CZECH NEWS CENTER a. s.</v>
      </c>
      <c r="C227" s="3" t="str">
        <f ca="1">IFERROR(__xludf.DUMMYFUNCTION("""COMPUTED_VALUE"""),"Blesk pro ženy")</f>
        <v>Blesk pro ženy</v>
      </c>
      <c r="D227" s="4" t="str">
        <f ca="1">IFERROR(__xludf.DUMMYFUNCTION("""COMPUTED_VALUE"""),"https://bleskprozeny.cz")</f>
        <v>https://bleskprozeny.cz</v>
      </c>
      <c r="E227" s="3" t="str">
        <f ca="1">IFERROR(__xludf.DUMMYFUNCTION("""COMPUTED_VALUE"""),"celý web")</f>
        <v>celý web</v>
      </c>
      <c r="F227" s="4" t="str">
        <f ca="1">IFERROR(__xludf.DUMMYFUNCTION("""COMPUTED_VALUE"""),"https://bleskprozeny.cz")</f>
        <v>https://bleskprozeny.cz</v>
      </c>
      <c r="G227" s="3" t="str">
        <f ca="1">IFERROR(__xludf.DUMMYFUNCTION("""COMPUTED_VALUE"""),"cílený mobilní interscroller mid season")</f>
        <v>cílený mobilní interscroller mid season</v>
      </c>
      <c r="H227" s="3">
        <f ca="1">IFERROR(__xludf.DUMMYFUNCTION("""COMPUTED_VALUE"""),7)</f>
        <v>7</v>
      </c>
      <c r="I227" s="5">
        <f ca="1">IFERROR(__xludf.DUMMYFUNCTION("""COMPUTED_VALUE"""),1000)</f>
        <v>1000</v>
      </c>
      <c r="J227" s="5">
        <f ca="1">IFERROR(__xludf.DUMMYFUNCTION("""COMPUTED_VALUE"""),420)</f>
        <v>420</v>
      </c>
      <c r="K227" s="3"/>
      <c r="L227" s="3" t="str">
        <f ca="1">IFERROR(__xludf.DUMMYFUNCTION("""COMPUTED_VALUE"""),"Cost per period")</f>
        <v>Cost per period</v>
      </c>
      <c r="M227" s="3"/>
      <c r="N227" s="3"/>
      <c r="O227" s="3" t="str">
        <f ca="1">IFERROR(__xludf.DUMMYFUNCTION("""COMPUTED_VALUE"""),"600")</f>
        <v>600</v>
      </c>
      <c r="P227" s="3" t="str">
        <f ca="1">IFERROR(__xludf.DUMMYFUNCTION("""COMPUTED_VALUE"""),"1080")</f>
        <v>1080</v>
      </c>
      <c r="Q227" s="3" t="str">
        <f ca="1">IFERROR(__xludf.DUMMYFUNCTION("""COMPUTED_VALUE"""),"600x1080")</f>
        <v>600x1080</v>
      </c>
      <c r="R227" s="3"/>
      <c r="S227" s="3" t="str">
        <f ca="1">IFERROR(__xludf.DUMMYFUNCTION("""COMPUTED_VALUE"""),"200")</f>
        <v>200</v>
      </c>
      <c r="T227" s="3"/>
      <c r="U227" s="3" t="str">
        <f ca="1">IFERROR(__xludf.DUMMYFUNCTION("""COMPUTED_VALUE"""),"banner standard")</f>
        <v>banner standard</v>
      </c>
      <c r="V227" s="3"/>
      <c r="W227" s="4" t="str">
        <f ca="1">IFERROR(__xludf.DUMMYFUNCTION("""COMPUTED_VALUE"""),"https://reklama.cncenter.cz/Online/mobilni-interscroller")</f>
        <v>https://reklama.cncenter.cz/Online/mobilni-interscroller</v>
      </c>
      <c r="X227" s="3"/>
      <c r="Y227" s="3"/>
      <c r="Z227" s="3" t="str">
        <f ca="1">IFERROR(__xludf.DUMMYFUNCTION("""COMPUTED_VALUE"""),"podklady@cncenter.cz")</f>
        <v>podklady@cncenter.cz</v>
      </c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 t="str">
        <f ca="1">IFERROR(__xludf.DUMMYFUNCTION("""COMPUTED_VALUE"""),"mobile")</f>
        <v>mobile</v>
      </c>
      <c r="AO227" s="3"/>
      <c r="AP227" s="3"/>
      <c r="AQ227" s="3"/>
      <c r="AR227" s="3"/>
      <c r="AS227" s="3"/>
      <c r="AT227" s="3"/>
      <c r="AU227" s="3" t="str">
        <f ca="1">IFERROR(__xludf.DUMMYFUNCTION("""COMPUTED_VALUE"""),"cílený mobilní interscroller")</f>
        <v>cílený mobilní interscroller</v>
      </c>
    </row>
    <row r="228" spans="1:47" x14ac:dyDescent="0.3">
      <c r="A228" s="3">
        <f ca="1"/>
        <v>2346826</v>
      </c>
      <c r="B228" s="3" t="str">
        <f ca="1"/>
        <v>CZECH NEWS CENTER a. s.</v>
      </c>
      <c r="C228" s="3" t="str">
        <f ca="1">IFERROR(__xludf.DUMMYFUNCTION("""COMPUTED_VALUE"""),"Blesk pro ženy")</f>
        <v>Blesk pro ženy</v>
      </c>
      <c r="D228" s="4" t="str">
        <f ca="1">IFERROR(__xludf.DUMMYFUNCTION("""COMPUTED_VALUE"""),"https://bleskprozeny.cz")</f>
        <v>https://bleskprozeny.cz</v>
      </c>
      <c r="E228" s="3" t="str">
        <f ca="1">IFERROR(__xludf.DUMMYFUNCTION("""COMPUTED_VALUE"""),"celý web")</f>
        <v>celý web</v>
      </c>
      <c r="F228" s="4" t="str">
        <f ca="1">IFERROR(__xludf.DUMMYFUNCTION("""COMPUTED_VALUE"""),"https://bleskprozeny.cz")</f>
        <v>https://bleskprozeny.cz</v>
      </c>
      <c r="G228" s="3" t="str">
        <f ca="1">IFERROR(__xludf.DUMMYFUNCTION("""COMPUTED_VALUE"""),"cílený mobilní slide-up mid season")</f>
        <v>cílený mobilní slide-up mid season</v>
      </c>
      <c r="H228" s="3">
        <f ca="1">IFERROR(__xludf.DUMMYFUNCTION("""COMPUTED_VALUE"""),7)</f>
        <v>7</v>
      </c>
      <c r="I228" s="5">
        <f ca="1">IFERROR(__xludf.DUMMYFUNCTION("""COMPUTED_VALUE"""),1000)</f>
        <v>1000</v>
      </c>
      <c r="J228" s="5">
        <f ca="1">IFERROR(__xludf.DUMMYFUNCTION("""COMPUTED_VALUE"""),864)</f>
        <v>864</v>
      </c>
      <c r="K228" s="3"/>
      <c r="L228" s="3" t="str">
        <f ca="1">IFERROR(__xludf.DUMMYFUNCTION("""COMPUTED_VALUE"""),"Cost per period")</f>
        <v>Cost per period</v>
      </c>
      <c r="M228" s="3"/>
      <c r="N228" s="3"/>
      <c r="O228" s="3" t="str">
        <f ca="1">IFERROR(__xludf.DUMMYFUNCTION("""COMPUTED_VALUE"""),"300")</f>
        <v>300</v>
      </c>
      <c r="P228" s="3" t="str">
        <f ca="1">IFERROR(__xludf.DUMMYFUNCTION("""COMPUTED_VALUE"""),"120")</f>
        <v>120</v>
      </c>
      <c r="Q228" s="3" t="str">
        <f ca="1">IFERROR(__xludf.DUMMYFUNCTION("""COMPUTED_VALUE"""),"300x120")</f>
        <v>300x120</v>
      </c>
      <c r="R228" s="3"/>
      <c r="S228" s="3" t="str">
        <f ca="1">IFERROR(__xludf.DUMMYFUNCTION("""COMPUTED_VALUE"""),"100")</f>
        <v>100</v>
      </c>
      <c r="T228" s="3"/>
      <c r="U228" s="3" t="str">
        <f ca="1">IFERROR(__xludf.DUMMYFUNCTION("""COMPUTED_VALUE"""),"banner standard")</f>
        <v>banner standard</v>
      </c>
      <c r="V228" s="3"/>
      <c r="W228" s="4" t="str">
        <f ca="1">IFERROR(__xludf.DUMMYFUNCTION("""COMPUTED_VALUE"""),"https://reklama.cncenter.cz/Online/mobilni-slide-up")</f>
        <v>https://reklama.cncenter.cz/Online/mobilni-slide-up</v>
      </c>
      <c r="X228" s="3"/>
      <c r="Y228" s="3"/>
      <c r="Z228" s="3" t="str">
        <f ca="1">IFERROR(__xludf.DUMMYFUNCTION("""COMPUTED_VALUE"""),"podklady@cncenter.cz")</f>
        <v>podklady@cncenter.cz</v>
      </c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 t="str">
        <f ca="1">IFERROR(__xludf.DUMMYFUNCTION("""COMPUTED_VALUE"""),"mobile")</f>
        <v>mobile</v>
      </c>
      <c r="AO228" s="3"/>
      <c r="AP228" s="3"/>
      <c r="AQ228" s="3"/>
      <c r="AR228" s="3"/>
      <c r="AS228" s="3"/>
      <c r="AT228" s="3"/>
      <c r="AU228" s="3" t="str">
        <f ca="1">IFERROR(__xludf.DUMMYFUNCTION("""COMPUTED_VALUE"""),"cílený mobilní slide-up")</f>
        <v>cílený mobilní slide-up</v>
      </c>
    </row>
    <row r="229" spans="1:47" x14ac:dyDescent="0.3">
      <c r="A229" s="3">
        <f ca="1"/>
        <v>2346826</v>
      </c>
      <c r="B229" s="3" t="str">
        <f ca="1"/>
        <v>CZECH NEWS CENTER a. s.</v>
      </c>
      <c r="C229" s="3" t="str">
        <f ca="1">IFERROR(__xludf.DUMMYFUNCTION("""COMPUTED_VALUE"""),"Blesk pro ženy")</f>
        <v>Blesk pro ženy</v>
      </c>
      <c r="D229" s="4" t="str">
        <f ca="1">IFERROR(__xludf.DUMMYFUNCTION("""COMPUTED_VALUE"""),"https://bleskprozeny.cz")</f>
        <v>https://bleskprozeny.cz</v>
      </c>
      <c r="E229" s="3" t="str">
        <f ca="1">IFERROR(__xludf.DUMMYFUNCTION("""COMPUTED_VALUE"""),"celý web")</f>
        <v>celý web</v>
      </c>
      <c r="F229" s="4" t="str">
        <f ca="1">IFERROR(__xludf.DUMMYFUNCTION("""COMPUTED_VALUE"""),"https://bleskprozeny.cz")</f>
        <v>https://bleskprozeny.cz</v>
      </c>
      <c r="G229" s="3" t="str">
        <f ca="1">IFERROR(__xludf.DUMMYFUNCTION("""COMPUTED_VALUE"""),"cílený mobilní viněta mid season")</f>
        <v>cílený mobilní viněta mid season</v>
      </c>
      <c r="H229" s="3">
        <f ca="1">IFERROR(__xludf.DUMMYFUNCTION("""COMPUTED_VALUE"""),7)</f>
        <v>7</v>
      </c>
      <c r="I229" s="5">
        <f ca="1">IFERROR(__xludf.DUMMYFUNCTION("""COMPUTED_VALUE"""),1000)</f>
        <v>1000</v>
      </c>
      <c r="J229" s="5">
        <f ca="1">IFERROR(__xludf.DUMMYFUNCTION("""COMPUTED_VALUE"""),1488)</f>
        <v>1488</v>
      </c>
      <c r="K229" s="3"/>
      <c r="L229" s="3" t="str">
        <f ca="1">IFERROR(__xludf.DUMMYFUNCTION("""COMPUTED_VALUE"""),"Cost per period")</f>
        <v>Cost per period</v>
      </c>
      <c r="M229" s="3"/>
      <c r="N229" s="3"/>
      <c r="O229" s="3" t="str">
        <f ca="1">IFERROR(__xludf.DUMMYFUNCTION("""COMPUTED_VALUE"""),"600")</f>
        <v>600</v>
      </c>
      <c r="P229" s="3" t="str">
        <f ca="1">IFERROR(__xludf.DUMMYFUNCTION("""COMPUTED_VALUE"""),"800")</f>
        <v>800</v>
      </c>
      <c r="Q229" s="3" t="str">
        <f ca="1">IFERROR(__xludf.DUMMYFUNCTION("""COMPUTED_VALUE"""),"300x250 nebo 600x800")</f>
        <v>300x250 nebo 600x800</v>
      </c>
      <c r="R229" s="3"/>
      <c r="S229" s="3" t="str">
        <f ca="1">IFERROR(__xludf.DUMMYFUNCTION("""COMPUTED_VALUE"""),"100")</f>
        <v>100</v>
      </c>
      <c r="T229" s="3"/>
      <c r="U229" s="3" t="str">
        <f ca="1">IFERROR(__xludf.DUMMYFUNCTION("""COMPUTED_VALUE"""),"banner standard")</f>
        <v>banner standard</v>
      </c>
      <c r="V229" s="3"/>
      <c r="W229" s="4" t="str">
        <f ca="1">IFERROR(__xludf.DUMMYFUNCTION("""COMPUTED_VALUE"""),"https://reklama.cncenter.cz/Online/mobilni-vineta")</f>
        <v>https://reklama.cncenter.cz/Online/mobilni-vineta</v>
      </c>
      <c r="X229" s="3"/>
      <c r="Y229" s="3"/>
      <c r="Z229" s="3" t="str">
        <f ca="1">IFERROR(__xludf.DUMMYFUNCTION("""COMPUTED_VALUE"""),"podklady@cncenter.cz")</f>
        <v>podklady@cncenter.cz</v>
      </c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 t="str">
        <f ca="1">IFERROR(__xludf.DUMMYFUNCTION("""COMPUTED_VALUE"""),"mobile")</f>
        <v>mobile</v>
      </c>
      <c r="AO229" s="3"/>
      <c r="AP229" s="3"/>
      <c r="AQ229" s="3"/>
      <c r="AR229" s="3"/>
      <c r="AS229" s="3"/>
      <c r="AT229" s="3"/>
      <c r="AU229" s="3" t="str">
        <f ca="1">IFERROR(__xludf.DUMMYFUNCTION("""COMPUTED_VALUE"""),"cílený mobilní viněta")</f>
        <v>cílený mobilní viněta</v>
      </c>
    </row>
    <row r="230" spans="1:47" x14ac:dyDescent="0.3">
      <c r="A230" s="3">
        <f ca="1"/>
        <v>2346826</v>
      </c>
      <c r="B230" s="3" t="str">
        <f ca="1"/>
        <v>CZECH NEWS CENTER a. s.</v>
      </c>
      <c r="C230" s="3" t="str">
        <f ca="1">IFERROR(__xludf.DUMMYFUNCTION("""COMPUTED_VALUE"""),"Blesk pro ženy")</f>
        <v>Blesk pro ženy</v>
      </c>
      <c r="D230" s="4" t="str">
        <f ca="1">IFERROR(__xludf.DUMMYFUNCTION("""COMPUTED_VALUE"""),"https://bleskprozeny.cz")</f>
        <v>https://bleskprozeny.cz</v>
      </c>
      <c r="E230" s="3" t="str">
        <f ca="1">IFERROR(__xludf.DUMMYFUNCTION("""COMPUTED_VALUE"""),"celý web")</f>
        <v>celý web</v>
      </c>
      <c r="F230" s="4" t="str">
        <f ca="1">IFERROR(__xludf.DUMMYFUNCTION("""COMPUTED_VALUE"""),"https://bleskprozeny.cz")</f>
        <v>https://bleskprozeny.cz</v>
      </c>
      <c r="G230" s="3" t="str">
        <f ca="1">IFERROR(__xludf.DUMMYFUNCTION("""COMPUTED_VALUE"""),"cílený nativní pr premium mid season")</f>
        <v>cílený nativní pr premium mid season</v>
      </c>
      <c r="H230" s="3">
        <f ca="1">IFERROR(__xludf.DUMMYFUNCTION("""COMPUTED_VALUE"""),7)</f>
        <v>7</v>
      </c>
      <c r="I230" s="5">
        <f ca="1">IFERROR(__xludf.DUMMYFUNCTION("""COMPUTED_VALUE"""),1000)</f>
        <v>1000</v>
      </c>
      <c r="J230" s="5">
        <f ca="1">IFERROR(__xludf.DUMMYFUNCTION("""COMPUTED_VALUE"""),168)</f>
        <v>168</v>
      </c>
      <c r="K230" s="3"/>
      <c r="L230" s="3" t="str">
        <f ca="1">IFERROR(__xludf.DUMMYFUNCTION("""COMPUTED_VALUE"""),"Cost per period")</f>
        <v>Cost per period</v>
      </c>
      <c r="M230" s="3"/>
      <c r="N230" s="3"/>
      <c r="O230" s="3" t="str">
        <f ca="1">IFERROR(__xludf.DUMMYFUNCTION("""COMPUTED_VALUE"""),"640")</f>
        <v>640</v>
      </c>
      <c r="P230" s="3" t="str">
        <f ca="1">IFERROR(__xludf.DUMMYFUNCTION("""COMPUTED_VALUE"""),"335, 640")</f>
        <v>335, 640</v>
      </c>
      <c r="Q230" s="3" t="str">
        <f ca="1">IFERROR(__xludf.DUMMYFUNCTION("""COMPUTED_VALUE"""),"640x640 a 640x335 + text + logo")</f>
        <v>640x640 a 640x335 + text + logo</v>
      </c>
      <c r="R230" s="3" t="str">
        <f ca="1">IFERROR(__xludf.DUMMYFUNCTION("""COMPUTED_VALUE"""),"detailní specifikace na URL odkaze")</f>
        <v>detailní specifikace na URL odkaze</v>
      </c>
      <c r="S230" s="3" t="str">
        <f ca="1">IFERROR(__xludf.DUMMYFUNCTION("""COMPUTED_VALUE"""),"100")</f>
        <v>100</v>
      </c>
      <c r="T230" s="3"/>
      <c r="U230" s="3" t="str">
        <f ca="1">IFERROR(__xludf.DUMMYFUNCTION("""COMPUTED_VALUE"""),"nativní reklama")</f>
        <v>nativní reklama</v>
      </c>
      <c r="V230" s="3"/>
      <c r="W230" s="4" t="str">
        <f ca="1">IFERROR(__xludf.DUMMYFUNCTION("""COMPUTED_VALUE"""),"https://reklama.cncenter.cz/Online/nativni-PR-premium")</f>
        <v>https://reklama.cncenter.cz/Online/nativni-PR-premium</v>
      </c>
      <c r="X230" s="3"/>
      <c r="Y230" s="3"/>
      <c r="Z230" s="3" t="str">
        <f ca="1">IFERROR(__xludf.DUMMYFUNCTION("""COMPUTED_VALUE"""),"podklady@cncenter.cz")</f>
        <v>podklady@cncenter.cz</v>
      </c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 t="str">
        <f ca="1">IFERROR(__xludf.DUMMYFUNCTION("""COMPUTED_VALUE"""),"cross-device")</f>
        <v>cross-device</v>
      </c>
      <c r="AO230" s="3"/>
      <c r="AP230" s="3"/>
      <c r="AQ230" s="3"/>
      <c r="AR230" s="3"/>
      <c r="AS230" s="3"/>
      <c r="AT230" s="3"/>
      <c r="AU230" s="3" t="str">
        <f ca="1">IFERROR(__xludf.DUMMYFUNCTION("""COMPUTED_VALUE"""),"cílený nativní pr premium")</f>
        <v>cílený nativní pr premium</v>
      </c>
    </row>
    <row r="231" spans="1:47" x14ac:dyDescent="0.3">
      <c r="A231" s="3">
        <f ca="1"/>
        <v>2346826</v>
      </c>
      <c r="B231" s="3" t="str">
        <f ca="1"/>
        <v>CZECH NEWS CENTER a. s.</v>
      </c>
      <c r="C231" s="3" t="str">
        <f ca="1">IFERROR(__xludf.DUMMYFUNCTION("""COMPUTED_VALUE"""),"Blesk pro ženy")</f>
        <v>Blesk pro ženy</v>
      </c>
      <c r="D231" s="4" t="str">
        <f ca="1">IFERROR(__xludf.DUMMYFUNCTION("""COMPUTED_VALUE"""),"https://bleskprozeny.cz")</f>
        <v>https://bleskprozeny.cz</v>
      </c>
      <c r="E231" s="3" t="str">
        <f ca="1">IFERROR(__xludf.DUMMYFUNCTION("""COMPUTED_VALUE"""),"celý web")</f>
        <v>celý web</v>
      </c>
      <c r="F231" s="4" t="str">
        <f ca="1">IFERROR(__xludf.DUMMYFUNCTION("""COMPUTED_VALUE"""),"https://bleskprozeny.cz")</f>
        <v>https://bleskprozeny.cz</v>
      </c>
      <c r="G231" s="3" t="str">
        <f ca="1">IFERROR(__xludf.DUMMYFUNCTION("""COMPUTED_VALUE"""),"cílený nativní rectangle cross-device mid season")</f>
        <v>cílený nativní rectangle cross-device mid season</v>
      </c>
      <c r="H231" s="3">
        <f ca="1">IFERROR(__xludf.DUMMYFUNCTION("""COMPUTED_VALUE"""),7)</f>
        <v>7</v>
      </c>
      <c r="I231" s="5">
        <f ca="1">IFERROR(__xludf.DUMMYFUNCTION("""COMPUTED_VALUE"""),1000)</f>
        <v>1000</v>
      </c>
      <c r="J231" s="5">
        <f ca="1">IFERROR(__xludf.DUMMYFUNCTION("""COMPUTED_VALUE"""),336)</f>
        <v>336</v>
      </c>
      <c r="K231" s="3"/>
      <c r="L231" s="3" t="str">
        <f ca="1">IFERROR(__xludf.DUMMYFUNCTION("""COMPUTED_VALUE"""),"Cost per period")</f>
        <v>Cost per period</v>
      </c>
      <c r="M231" s="3"/>
      <c r="N231" s="3"/>
      <c r="O231" s="3" t="str">
        <f ca="1">IFERROR(__xludf.DUMMYFUNCTION("""COMPUTED_VALUE"""),"640")</f>
        <v>640</v>
      </c>
      <c r="P231" s="3" t="str">
        <f ca="1">IFERROR(__xludf.DUMMYFUNCTION("""COMPUTED_VALUE"""),"335, 640")</f>
        <v>335, 640</v>
      </c>
      <c r="Q231" s="3" t="str">
        <f ca="1">IFERROR(__xludf.DUMMYFUNCTION("""COMPUTED_VALUE"""),"640x640 a 640x335 + text + logo")</f>
        <v>640x640 a 640x335 + text + logo</v>
      </c>
      <c r="R231" s="3"/>
      <c r="S231" s="3" t="str">
        <f ca="1">IFERROR(__xludf.DUMMYFUNCTION("""COMPUTED_VALUE"""),"45")</f>
        <v>45</v>
      </c>
      <c r="T231" s="3"/>
      <c r="U231" s="3" t="str">
        <f ca="1">IFERROR(__xludf.DUMMYFUNCTION("""COMPUTED_VALUE"""),"nativní reklama")</f>
        <v>nativní reklama</v>
      </c>
      <c r="V231" s="3"/>
      <c r="W231" s="4" t="str">
        <f ca="1">IFERROR(__xludf.DUMMYFUNCTION("""COMPUTED_VALUE"""),"https://reklama.cncenter.cz/Online/nativni-rectangle-cross-device")</f>
        <v>https://reklama.cncenter.cz/Online/nativni-rectangle-cross-device</v>
      </c>
      <c r="X231" s="3"/>
      <c r="Y231" s="3"/>
      <c r="Z231" s="3" t="str">
        <f ca="1">IFERROR(__xludf.DUMMYFUNCTION("""COMPUTED_VALUE"""),"podklady@cncenter.cz")</f>
        <v>podklady@cncenter.cz</v>
      </c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 t="str">
        <f ca="1">IFERROR(__xludf.DUMMYFUNCTION("""COMPUTED_VALUE"""),"cross-device")</f>
        <v>cross-device</v>
      </c>
      <c r="AO231" s="3"/>
      <c r="AP231" s="3"/>
      <c r="AQ231" s="3"/>
      <c r="AR231" s="3"/>
      <c r="AS231" s="3"/>
      <c r="AT231" s="3"/>
      <c r="AU231" s="3" t="str">
        <f ca="1">IFERROR(__xludf.DUMMYFUNCTION("""COMPUTED_VALUE"""),"cílený nativní rectangle cross-device")</f>
        <v>cílený nativní rectangle cross-device</v>
      </c>
    </row>
    <row r="232" spans="1:47" x14ac:dyDescent="0.3">
      <c r="A232" s="3">
        <f ca="1"/>
        <v>2346826</v>
      </c>
      <c r="B232" s="3" t="str">
        <f ca="1"/>
        <v>CZECH NEWS CENTER a. s.</v>
      </c>
      <c r="C232" s="3" t="str">
        <f ca="1">IFERROR(__xludf.DUMMYFUNCTION("""COMPUTED_VALUE"""),"Blesk pro ženy")</f>
        <v>Blesk pro ženy</v>
      </c>
      <c r="D232" s="4" t="str">
        <f ca="1">IFERROR(__xludf.DUMMYFUNCTION("""COMPUTED_VALUE"""),"https://bleskprozeny.cz")</f>
        <v>https://bleskprozeny.cz</v>
      </c>
      <c r="E232" s="3" t="str">
        <f ca="1">IFERROR(__xludf.DUMMYFUNCTION("""COMPUTED_VALUE"""),"celý web")</f>
        <v>celý web</v>
      </c>
      <c r="F232" s="4" t="str">
        <f ca="1">IFERROR(__xludf.DUMMYFUNCTION("""COMPUTED_VALUE"""),"https://bleskprozeny.cz")</f>
        <v>https://bleskprozeny.cz</v>
      </c>
      <c r="G232" s="3" t="str">
        <f ca="1">IFERROR(__xludf.DUMMYFUNCTION("""COMPUTED_VALUE"""),"cílený outstream mid season")</f>
        <v>cílený outstream mid season</v>
      </c>
      <c r="H232" s="3">
        <f ca="1">IFERROR(__xludf.DUMMYFUNCTION("""COMPUTED_VALUE"""),7)</f>
        <v>7</v>
      </c>
      <c r="I232" s="5">
        <f ca="1">IFERROR(__xludf.DUMMYFUNCTION("""COMPUTED_VALUE"""),1000)</f>
        <v>1000</v>
      </c>
      <c r="J232" s="5">
        <f ca="1">IFERROR(__xludf.DUMMYFUNCTION("""COMPUTED_VALUE"""),420)</f>
        <v>420</v>
      </c>
      <c r="K232" s="3"/>
      <c r="L232" s="3" t="str">
        <f ca="1">IFERROR(__xludf.DUMMYFUNCTION("""COMPUTED_VALUE"""),"Cost per period")</f>
        <v>Cost per period</v>
      </c>
      <c r="M232" s="3"/>
      <c r="N232" s="3"/>
      <c r="O232" s="3" t="str">
        <f ca="1">IFERROR(__xludf.DUMMYFUNCTION("""COMPUTED_VALUE"""),"1280")</f>
        <v>1280</v>
      </c>
      <c r="P232" s="3" t="str">
        <f ca="1">IFERROR(__xludf.DUMMYFUNCTION("""COMPUTED_VALUE"""),"720")</f>
        <v>720</v>
      </c>
      <c r="Q232" s="3" t="str">
        <f ca="1">IFERROR(__xludf.DUMMYFUNCTION("""COMPUTED_VALUE"""),"16:9")</f>
        <v>16:9</v>
      </c>
      <c r="R232" s="3"/>
      <c r="S232" s="3" t="str">
        <f ca="1">IFERROR(__xludf.DUMMYFUNCTION("""COMPUTED_VALUE"""),"100")</f>
        <v>100</v>
      </c>
      <c r="T232" s="3"/>
      <c r="U232" s="3" t="str">
        <f ca="1">IFERROR(__xludf.DUMMYFUNCTION("""COMPUTED_VALUE"""),"videospot")</f>
        <v>videospot</v>
      </c>
      <c r="V232" s="3"/>
      <c r="W232" s="4" t="str">
        <f ca="1">IFERROR(__xludf.DUMMYFUNCTION("""COMPUTED_VALUE"""),"https://reklama.cncenter.cz/Online/Outstream")</f>
        <v>https://reklama.cncenter.cz/Online/Outstream</v>
      </c>
      <c r="X232" s="3"/>
      <c r="Y232" s="3"/>
      <c r="Z232" s="3" t="str">
        <f ca="1">IFERROR(__xludf.DUMMYFUNCTION("""COMPUTED_VALUE"""),"podklady@cncenter.cz")</f>
        <v>podklady@cncenter.cz</v>
      </c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 t="str">
        <f ca="1">IFERROR(__xludf.DUMMYFUNCTION("""COMPUTED_VALUE"""),"cross-device")</f>
        <v>cross-device</v>
      </c>
      <c r="AO232" s="3"/>
      <c r="AP232" s="3"/>
      <c r="AQ232" s="3"/>
      <c r="AR232" s="3"/>
      <c r="AS232" s="3"/>
      <c r="AT232" s="3"/>
      <c r="AU232" s="3" t="str">
        <f ca="1">IFERROR(__xludf.DUMMYFUNCTION("""COMPUTED_VALUE"""),"cílený outstream")</f>
        <v>cílený outstream</v>
      </c>
    </row>
    <row r="233" spans="1:47" x14ac:dyDescent="0.3">
      <c r="A233" s="3">
        <f ca="1"/>
        <v>2346826</v>
      </c>
      <c r="B233" s="3" t="str">
        <f ca="1"/>
        <v>CZECH NEWS CENTER a. s.</v>
      </c>
      <c r="C233" s="3" t="str">
        <f ca="1">IFERROR(__xludf.DUMMYFUNCTION("""COMPUTED_VALUE"""),"Blesk pro ženy")</f>
        <v>Blesk pro ženy</v>
      </c>
      <c r="D233" s="4" t="str">
        <f ca="1">IFERROR(__xludf.DUMMYFUNCTION("""COMPUTED_VALUE"""),"https://bleskprozeny.cz")</f>
        <v>https://bleskprozeny.cz</v>
      </c>
      <c r="E233" s="3" t="str">
        <f ca="1">IFERROR(__xludf.DUMMYFUNCTION("""COMPUTED_VALUE"""),"celý web")</f>
        <v>celý web</v>
      </c>
      <c r="F233" s="4" t="str">
        <f ca="1">IFERROR(__xludf.DUMMYFUNCTION("""COMPUTED_VALUE"""),"https://bleskprozeny.cz")</f>
        <v>https://bleskprozeny.cz</v>
      </c>
      <c r="G233" s="3" t="str">
        <f ca="1">IFERROR(__xludf.DUMMYFUNCTION("""COMPUTED_VALUE"""),"cílený videospot - max. 30 sec. / bumper mid season")</f>
        <v>cílený videospot - max. 30 sec. / bumper mid season</v>
      </c>
      <c r="H233" s="3">
        <f ca="1">IFERROR(__xludf.DUMMYFUNCTION("""COMPUTED_VALUE"""),7)</f>
        <v>7</v>
      </c>
      <c r="I233" s="5">
        <f ca="1">IFERROR(__xludf.DUMMYFUNCTION("""COMPUTED_VALUE"""),1000)</f>
        <v>1000</v>
      </c>
      <c r="J233" s="5">
        <f ca="1">IFERROR(__xludf.DUMMYFUNCTION("""COMPUTED_VALUE"""),1248)</f>
        <v>1248</v>
      </c>
      <c r="K233" s="3"/>
      <c r="L233" s="3" t="str">
        <f ca="1">IFERROR(__xludf.DUMMYFUNCTION("""COMPUTED_VALUE"""),"Cost per period")</f>
        <v>Cost per period</v>
      </c>
      <c r="M233" s="3"/>
      <c r="N233" s="3"/>
      <c r="O233" s="3" t="str">
        <f ca="1">IFERROR(__xludf.DUMMYFUNCTION("""COMPUTED_VALUE"""),"1280")</f>
        <v>1280</v>
      </c>
      <c r="P233" s="3" t="str">
        <f ca="1">IFERROR(__xludf.DUMMYFUNCTION("""COMPUTED_VALUE"""),"720")</f>
        <v>720</v>
      </c>
      <c r="Q233" s="3" t="str">
        <f ca="1">IFERROR(__xludf.DUMMYFUNCTION("""COMPUTED_VALUE"""),"16:9 / umístění po domluvě dle možností")</f>
        <v>16:9 / umístění po domluvě dle možností</v>
      </c>
      <c r="R233" s="3" t="str">
        <f ca="1">IFERROR(__xludf.DUMMYFUNCTION("""COMPUTED_VALUE"""),"přeskočení po 7 sekundách")</f>
        <v>přeskočení po 7 sekundách</v>
      </c>
      <c r="S233" s="3" t="str">
        <f ca="1">IFERROR(__xludf.DUMMYFUNCTION("""COMPUTED_VALUE"""),"100")</f>
        <v>100</v>
      </c>
      <c r="T233" s="3"/>
      <c r="U233" s="3" t="str">
        <f ca="1">IFERROR(__xludf.DUMMYFUNCTION("""COMPUTED_VALUE"""),"videospot")</f>
        <v>videospot</v>
      </c>
      <c r="V233" s="3"/>
      <c r="W233" s="4" t="str">
        <f ca="1">IFERROR(__xludf.DUMMYFUNCTION("""COMPUTED_VALUE"""),"https://reklama.cncenter.cz/Online/Bumper")</f>
        <v>https://reklama.cncenter.cz/Online/Bumper</v>
      </c>
      <c r="X233" s="3"/>
      <c r="Y233" s="3"/>
      <c r="Z233" s="3" t="str">
        <f ca="1">IFERROR(__xludf.DUMMYFUNCTION("""COMPUTED_VALUE"""),"podklady@cncenter.cz")</f>
        <v>podklady@cncenter.cz</v>
      </c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 t="str">
        <f ca="1">IFERROR(__xludf.DUMMYFUNCTION("""COMPUTED_VALUE"""),"cross-device")</f>
        <v>cross-device</v>
      </c>
      <c r="AO233" s="3"/>
      <c r="AP233" s="3"/>
      <c r="AQ233" s="3"/>
      <c r="AR233" s="3"/>
      <c r="AS233" s="3"/>
      <c r="AT233" s="3"/>
      <c r="AU233" s="3" t="str">
        <f ca="1">IFERROR(__xludf.DUMMYFUNCTION("""COMPUTED_VALUE"""),"cílený videospot - max. 30 sec. / bumper")</f>
        <v>cílený videospot - max. 30 sec. / bumper</v>
      </c>
    </row>
    <row r="234" spans="1:47" x14ac:dyDescent="0.3">
      <c r="A234" s="3">
        <f ca="1"/>
        <v>2346826</v>
      </c>
      <c r="B234" s="3" t="str">
        <f ca="1"/>
        <v>CZECH NEWS CENTER a. s.</v>
      </c>
      <c r="C234" s="3" t="str">
        <f ca="1">IFERROR(__xludf.DUMMYFUNCTION("""COMPUTED_VALUE"""),"Blesk pro ženy")</f>
        <v>Blesk pro ženy</v>
      </c>
      <c r="D234" s="4" t="str">
        <f ca="1">IFERROR(__xludf.DUMMYFUNCTION("""COMPUTED_VALUE"""),"https://bleskprozeny.cz")</f>
        <v>https://bleskprozeny.cz</v>
      </c>
      <c r="E234" s="3" t="str">
        <f ca="1">IFERROR(__xludf.DUMMYFUNCTION("""COMPUTED_VALUE"""),"celý web")</f>
        <v>celý web</v>
      </c>
      <c r="F234" s="4" t="str">
        <f ca="1">IFERROR(__xludf.DUMMYFUNCTION("""COMPUTED_VALUE"""),"https://bleskprozeny.cz")</f>
        <v>https://bleskprozeny.cz</v>
      </c>
      <c r="G234" s="3" t="str">
        <f ca="1">IFERROR(__xludf.DUMMYFUNCTION("""COMPUTED_VALUE"""),"dokoupení proma o 2 týdny - 10 000 PV *** mid season")</f>
        <v>dokoupení proma o 2 týdny - 10 000 PV *** mid season</v>
      </c>
      <c r="H234" s="3">
        <f ca="1">IFERROR(__xludf.DUMMYFUNCTION("""COMPUTED_VALUE"""),1)</f>
        <v>1</v>
      </c>
      <c r="I234" s="5">
        <f ca="1">IFERROR(__xludf.DUMMYFUNCTION("""COMPUTED_VALUE"""),1)</f>
        <v>1</v>
      </c>
      <c r="J234" s="5">
        <f ca="1">IFERROR(__xludf.DUMMYFUNCTION("""COMPUTED_VALUE"""),60000)</f>
        <v>60000</v>
      </c>
      <c r="K234" s="3"/>
      <c r="L234" s="3" t="str">
        <f ca="1">IFERROR(__xludf.DUMMYFUNCTION("""COMPUTED_VALUE"""),"Cost per instance")</f>
        <v>Cost per instance</v>
      </c>
      <c r="M234" s="3"/>
      <c r="N234" s="3"/>
      <c r="O234" s="3"/>
      <c r="P234" s="3"/>
      <c r="Q234" s="3"/>
      <c r="R234" s="3"/>
      <c r="S234" s="3" t="str">
        <f ca="1">IFERROR(__xludf.DUMMYFUNCTION("""COMPUTED_VALUE"""),"100")</f>
        <v>100</v>
      </c>
      <c r="T234" s="3"/>
      <c r="U234" s="3" t="str">
        <f ca="1">IFERROR(__xludf.DUMMYFUNCTION("""COMPUTED_VALUE"""),"microsite")</f>
        <v>microsite</v>
      </c>
      <c r="V234" s="3"/>
      <c r="W234" s="3"/>
      <c r="X234" s="3"/>
      <c r="Y234" s="3"/>
      <c r="Z234" s="3" t="str">
        <f ca="1">IFERROR(__xludf.DUMMYFUNCTION("""COMPUTED_VALUE"""),"podklady@cncenter.cz")</f>
        <v>podklady@cncenter.cz</v>
      </c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 t="str">
        <f ca="1">IFERROR(__xludf.DUMMYFUNCTION("""COMPUTED_VALUE"""),"cross-device")</f>
        <v>cross-device</v>
      </c>
      <c r="AO234" s="3"/>
      <c r="AP234" s="3"/>
      <c r="AQ234" s="3"/>
      <c r="AR234" s="3"/>
      <c r="AS234" s="3"/>
      <c r="AT234" s="3"/>
      <c r="AU234" s="3" t="str">
        <f ca="1">IFERROR(__xludf.DUMMYFUNCTION("""COMPUTED_VALUE"""),"dokoupení proma o 2 týdny - 10 000 PV ***")</f>
        <v>dokoupení proma o 2 týdny - 10 000 PV ***</v>
      </c>
    </row>
    <row r="235" spans="1:47" x14ac:dyDescent="0.3">
      <c r="A235" s="3">
        <f ca="1"/>
        <v>2346826</v>
      </c>
      <c r="B235" s="3" t="str">
        <f ca="1"/>
        <v>CZECH NEWS CENTER a. s.</v>
      </c>
      <c r="C235" s="3" t="str">
        <f ca="1">IFERROR(__xludf.DUMMYFUNCTION("""COMPUTED_VALUE"""),"Blesk pro ženy")</f>
        <v>Blesk pro ženy</v>
      </c>
      <c r="D235" s="4" t="str">
        <f ca="1">IFERROR(__xludf.DUMMYFUNCTION("""COMPUTED_VALUE"""),"https://bleskprozeny.cz")</f>
        <v>https://bleskprozeny.cz</v>
      </c>
      <c r="E235" s="3" t="str">
        <f ca="1">IFERROR(__xludf.DUMMYFUNCTION("""COMPUTED_VALUE"""),"celý web")</f>
        <v>celý web</v>
      </c>
      <c r="F235" s="4" t="str">
        <f ca="1">IFERROR(__xludf.DUMMYFUNCTION("""COMPUTED_VALUE"""),"https://bleskprozeny.cz")</f>
        <v>https://bleskprozeny.cz</v>
      </c>
      <c r="G235" s="3" t="str">
        <f ca="1">IFERROR(__xludf.DUMMYFUNCTION("""COMPUTED_VALUE"""),"double skyscraper mid season")</f>
        <v>double skyscraper mid season</v>
      </c>
      <c r="H235" s="3">
        <f ca="1">IFERROR(__xludf.DUMMYFUNCTION("""COMPUTED_VALUE"""),7)</f>
        <v>7</v>
      </c>
      <c r="I235" s="5">
        <f ca="1">IFERROR(__xludf.DUMMYFUNCTION("""COMPUTED_VALUE"""),1000)</f>
        <v>1000</v>
      </c>
      <c r="J235" s="5">
        <f ca="1">IFERROR(__xludf.DUMMYFUNCTION("""COMPUTED_VALUE"""),270)</f>
        <v>270</v>
      </c>
      <c r="K235" s="3"/>
      <c r="L235" s="3" t="str">
        <f ca="1">IFERROR(__xludf.DUMMYFUNCTION("""COMPUTED_VALUE"""),"Cost per period")</f>
        <v>Cost per period</v>
      </c>
      <c r="M235" s="3"/>
      <c r="N235" s="3"/>
      <c r="O235" s="3" t="str">
        <f ca="1">IFERROR(__xludf.DUMMYFUNCTION("""COMPUTED_VALUE"""),"300")</f>
        <v>300</v>
      </c>
      <c r="P235" s="3" t="str">
        <f ca="1">IFERROR(__xludf.DUMMYFUNCTION("""COMPUTED_VALUE"""),"600")</f>
        <v>600</v>
      </c>
      <c r="Q235" s="3" t="str">
        <f ca="1">IFERROR(__xludf.DUMMYFUNCTION("""COMPUTED_VALUE"""),"300x600")</f>
        <v>300x600</v>
      </c>
      <c r="R235" s="3"/>
      <c r="S235" s="3" t="str">
        <f ca="1">IFERROR(__xludf.DUMMYFUNCTION("""COMPUTED_VALUE"""),"100 (200 - HTML5)")</f>
        <v>100 (200 - HTML5)</v>
      </c>
      <c r="T235" s="3"/>
      <c r="U235" s="3" t="str">
        <f ca="1">IFERROR(__xludf.DUMMYFUNCTION("""COMPUTED_VALUE"""),"banner standard")</f>
        <v>banner standard</v>
      </c>
      <c r="V235" s="3"/>
      <c r="W235" s="4" t="str">
        <f ca="1">IFERROR(__xludf.DUMMYFUNCTION("""COMPUTED_VALUE"""),"https://reklama.cncenter.cz/Online/double-skyscraper")</f>
        <v>https://reklama.cncenter.cz/Online/double-skyscraper</v>
      </c>
      <c r="X235" s="3"/>
      <c r="Y235" s="3"/>
      <c r="Z235" s="3" t="str">
        <f ca="1">IFERROR(__xludf.DUMMYFUNCTION("""COMPUTED_VALUE"""),"podklady@cncenter.cz")</f>
        <v>podklady@cncenter.cz</v>
      </c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 t="str">
        <f ca="1">IFERROR(__xludf.DUMMYFUNCTION("""COMPUTED_VALUE"""),"desktop")</f>
        <v>desktop</v>
      </c>
      <c r="AO235" s="3"/>
      <c r="AP235" s="3"/>
      <c r="AQ235" s="3"/>
      <c r="AR235" s="3"/>
      <c r="AS235" s="3"/>
      <c r="AT235" s="3"/>
      <c r="AU235" s="3" t="str">
        <f ca="1">IFERROR(__xludf.DUMMYFUNCTION("""COMPUTED_VALUE"""),"double skyscraper")</f>
        <v>double skyscraper</v>
      </c>
    </row>
    <row r="236" spans="1:47" x14ac:dyDescent="0.3">
      <c r="A236" s="3">
        <f ca="1"/>
        <v>2346826</v>
      </c>
      <c r="B236" s="3" t="str">
        <f ca="1"/>
        <v>CZECH NEWS CENTER a. s.</v>
      </c>
      <c r="C236" s="3" t="str">
        <f ca="1">IFERROR(__xludf.DUMMYFUNCTION("""COMPUTED_VALUE"""),"Blesk pro ženy")</f>
        <v>Blesk pro ženy</v>
      </c>
      <c r="D236" s="4" t="str">
        <f ca="1">IFERROR(__xludf.DUMMYFUNCTION("""COMPUTED_VALUE"""),"https://bleskprozeny.cz")</f>
        <v>https://bleskprozeny.cz</v>
      </c>
      <c r="E236" s="3" t="str">
        <f ca="1">IFERROR(__xludf.DUMMYFUNCTION("""COMPUTED_VALUE"""),"celý web")</f>
        <v>celý web</v>
      </c>
      <c r="F236" s="4" t="str">
        <f ca="1">IFERROR(__xludf.DUMMYFUNCTION("""COMPUTED_VALUE"""),"https://bleskprozeny.cz")</f>
        <v>https://bleskprozeny.cz</v>
      </c>
      <c r="G236" s="3" t="str">
        <f ca="1">IFERROR(__xludf.DUMMYFUNCTION("""COMPUTED_VALUE"""),"mini videospot - max. 30 sec. mid season")</f>
        <v>mini videospot - max. 30 sec. mid season</v>
      </c>
      <c r="H236" s="3">
        <f ca="1">IFERROR(__xludf.DUMMYFUNCTION("""COMPUTED_VALUE"""),7)</f>
        <v>7</v>
      </c>
      <c r="I236" s="5">
        <f ca="1">IFERROR(__xludf.DUMMYFUNCTION("""COMPUTED_VALUE"""),1000)</f>
        <v>1000</v>
      </c>
      <c r="J236" s="5">
        <f ca="1">IFERROR(__xludf.DUMMYFUNCTION("""COMPUTED_VALUE"""),200)</f>
        <v>200</v>
      </c>
      <c r="K236" s="3"/>
      <c r="L236" s="3" t="str">
        <f ca="1">IFERROR(__xludf.DUMMYFUNCTION("""COMPUTED_VALUE"""),"Cost per period")</f>
        <v>Cost per period</v>
      </c>
      <c r="M236" s="3"/>
      <c r="N236" s="3"/>
      <c r="O236" s="3"/>
      <c r="P236" s="3"/>
      <c r="Q236" s="3" t="str">
        <f ca="1">IFERROR(__xludf.DUMMYFUNCTION("""COMPUTED_VALUE"""),"16:9 / umístění po domluvě dle možností")</f>
        <v>16:9 / umístění po domluvě dle možností</v>
      </c>
      <c r="R236" s="3" t="str">
        <f ca="1">IFERROR(__xludf.DUMMYFUNCTION("""COMPUTED_VALUE"""),"přeskočení po 7 sekundách")</f>
        <v>přeskočení po 7 sekundách</v>
      </c>
      <c r="S236" s="3" t="str">
        <f ca="1">IFERROR(__xludf.DUMMYFUNCTION("""COMPUTED_VALUE"""),"100")</f>
        <v>100</v>
      </c>
      <c r="T236" s="3"/>
      <c r="U236" s="3" t="str">
        <f ca="1">IFERROR(__xludf.DUMMYFUNCTION("""COMPUTED_VALUE"""),"videospot")</f>
        <v>videospot</v>
      </c>
      <c r="V236" s="3"/>
      <c r="W236" s="4" t="str">
        <f ca="1">IFERROR(__xludf.DUMMYFUNCTION("""COMPUTED_VALUE"""),"https://reklama.cncenter.cz/Online/Videospot")</f>
        <v>https://reklama.cncenter.cz/Online/Videospot</v>
      </c>
      <c r="X236" s="3"/>
      <c r="Y236" s="3"/>
      <c r="Z236" s="3" t="str">
        <f ca="1">IFERROR(__xludf.DUMMYFUNCTION("""COMPUTED_VALUE"""),"podklady@cncenter.cz")</f>
        <v>podklady@cncenter.cz</v>
      </c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 t="str">
        <f ca="1">IFERROR(__xludf.DUMMYFUNCTION("""COMPUTED_VALUE"""),"desktop")</f>
        <v>desktop</v>
      </c>
      <c r="AO236" s="3"/>
      <c r="AP236" s="3"/>
      <c r="AQ236" s="3"/>
      <c r="AR236" s="3"/>
      <c r="AS236" s="3"/>
      <c r="AT236" s="3"/>
      <c r="AU236" s="3" t="str">
        <f ca="1">IFERROR(__xludf.DUMMYFUNCTION("""COMPUTED_VALUE"""),"mini videospot - max. 30 sec.")</f>
        <v>mini videospot - max. 30 sec.</v>
      </c>
    </row>
    <row r="237" spans="1:47" x14ac:dyDescent="0.3">
      <c r="A237" s="3">
        <f ca="1"/>
        <v>2346826</v>
      </c>
      <c r="B237" s="3" t="str">
        <f ca="1"/>
        <v>CZECH NEWS CENTER a. s.</v>
      </c>
      <c r="C237" s="3" t="str">
        <f ca="1">IFERROR(__xludf.DUMMYFUNCTION("""COMPUTED_VALUE"""),"Blesk pro ženy")</f>
        <v>Blesk pro ženy</v>
      </c>
      <c r="D237" s="4" t="str">
        <f ca="1">IFERROR(__xludf.DUMMYFUNCTION("""COMPUTED_VALUE"""),"https://bleskprozeny.cz")</f>
        <v>https://bleskprozeny.cz</v>
      </c>
      <c r="E237" s="3" t="str">
        <f ca="1">IFERROR(__xludf.DUMMYFUNCTION("""COMPUTED_VALUE"""),"celý web")</f>
        <v>celý web</v>
      </c>
      <c r="F237" s="4" t="str">
        <f ca="1">IFERROR(__xludf.DUMMYFUNCTION("""COMPUTED_VALUE"""),"https://bleskprozeny.cz")</f>
        <v>https://bleskprozeny.cz</v>
      </c>
      <c r="G237" s="3" t="str">
        <f ca="1">IFERROR(__xludf.DUMMYFUNCTION("""COMPUTED_VALUE"""),"mobilní interscroller mid season")</f>
        <v>mobilní interscroller mid season</v>
      </c>
      <c r="H237" s="3">
        <f ca="1">IFERROR(__xludf.DUMMYFUNCTION("""COMPUTED_VALUE"""),7)</f>
        <v>7</v>
      </c>
      <c r="I237" s="5">
        <f ca="1">IFERROR(__xludf.DUMMYFUNCTION("""COMPUTED_VALUE"""),1000)</f>
        <v>1000</v>
      </c>
      <c r="J237" s="5">
        <f ca="1">IFERROR(__xludf.DUMMYFUNCTION("""COMPUTED_VALUE"""),350)</f>
        <v>350</v>
      </c>
      <c r="K237" s="3"/>
      <c r="L237" s="3" t="str">
        <f ca="1">IFERROR(__xludf.DUMMYFUNCTION("""COMPUTED_VALUE"""),"Cost per period")</f>
        <v>Cost per period</v>
      </c>
      <c r="M237" s="3"/>
      <c r="N237" s="3"/>
      <c r="O237" s="3" t="str">
        <f ca="1">IFERROR(__xludf.DUMMYFUNCTION("""COMPUTED_VALUE"""),"600")</f>
        <v>600</v>
      </c>
      <c r="P237" s="3" t="str">
        <f ca="1">IFERROR(__xludf.DUMMYFUNCTION("""COMPUTED_VALUE"""),"1080")</f>
        <v>1080</v>
      </c>
      <c r="Q237" s="3" t="str">
        <f ca="1">IFERROR(__xludf.DUMMYFUNCTION("""COMPUTED_VALUE"""),"600x1080")</f>
        <v>600x1080</v>
      </c>
      <c r="R237" s="3"/>
      <c r="S237" s="3" t="str">
        <f ca="1">IFERROR(__xludf.DUMMYFUNCTION("""COMPUTED_VALUE"""),"200")</f>
        <v>200</v>
      </c>
      <c r="T237" s="3"/>
      <c r="U237" s="3" t="str">
        <f ca="1">IFERROR(__xludf.DUMMYFUNCTION("""COMPUTED_VALUE"""),"banner standard")</f>
        <v>banner standard</v>
      </c>
      <c r="V237" s="3"/>
      <c r="W237" s="4" t="str">
        <f ca="1">IFERROR(__xludf.DUMMYFUNCTION("""COMPUTED_VALUE"""),"https://reklama.cncenter.cz/Online/mobilni-interscroller")</f>
        <v>https://reklama.cncenter.cz/Online/mobilni-interscroller</v>
      </c>
      <c r="X237" s="3"/>
      <c r="Y237" s="3"/>
      <c r="Z237" s="3" t="str">
        <f ca="1">IFERROR(__xludf.DUMMYFUNCTION("""COMPUTED_VALUE"""),"podklady@cncenter.cz")</f>
        <v>podklady@cncenter.cz</v>
      </c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 t="str">
        <f ca="1">IFERROR(__xludf.DUMMYFUNCTION("""COMPUTED_VALUE"""),"mobile")</f>
        <v>mobile</v>
      </c>
      <c r="AO237" s="3"/>
      <c r="AP237" s="3"/>
      <c r="AQ237" s="3"/>
      <c r="AR237" s="3"/>
      <c r="AS237" s="3"/>
      <c r="AT237" s="3"/>
      <c r="AU237" s="3" t="str">
        <f ca="1">IFERROR(__xludf.DUMMYFUNCTION("""COMPUTED_VALUE"""),"mobilní interscroller")</f>
        <v>mobilní interscroller</v>
      </c>
    </row>
    <row r="238" spans="1:47" x14ac:dyDescent="0.3">
      <c r="A238" s="3">
        <f ca="1"/>
        <v>2346826</v>
      </c>
      <c r="B238" s="3" t="str">
        <f ca="1"/>
        <v>CZECH NEWS CENTER a. s.</v>
      </c>
      <c r="C238" s="3" t="str">
        <f ca="1">IFERROR(__xludf.DUMMYFUNCTION("""COMPUTED_VALUE"""),"Blesk pro ženy")</f>
        <v>Blesk pro ženy</v>
      </c>
      <c r="D238" s="4" t="str">
        <f ca="1">IFERROR(__xludf.DUMMYFUNCTION("""COMPUTED_VALUE"""),"https://bleskprozeny.cz")</f>
        <v>https://bleskprozeny.cz</v>
      </c>
      <c r="E238" s="3" t="str">
        <f ca="1">IFERROR(__xludf.DUMMYFUNCTION("""COMPUTED_VALUE"""),"celý web")</f>
        <v>celý web</v>
      </c>
      <c r="F238" s="4" t="str">
        <f ca="1">IFERROR(__xludf.DUMMYFUNCTION("""COMPUTED_VALUE"""),"https://bleskprozeny.cz")</f>
        <v>https://bleskprozeny.cz</v>
      </c>
      <c r="G238" s="3" t="str">
        <f ca="1">IFERROR(__xludf.DUMMYFUNCTION("""COMPUTED_VALUE"""),"mobilní slide-up mid season")</f>
        <v>mobilní slide-up mid season</v>
      </c>
      <c r="H238" s="3">
        <f ca="1">IFERROR(__xludf.DUMMYFUNCTION("""COMPUTED_VALUE"""),7)</f>
        <v>7</v>
      </c>
      <c r="I238" s="5">
        <f ca="1">IFERROR(__xludf.DUMMYFUNCTION("""COMPUTED_VALUE"""),1000)</f>
        <v>1000</v>
      </c>
      <c r="J238" s="5">
        <f ca="1">IFERROR(__xludf.DUMMYFUNCTION("""COMPUTED_VALUE"""),720)</f>
        <v>720</v>
      </c>
      <c r="K238" s="3"/>
      <c r="L238" s="3" t="str">
        <f ca="1">IFERROR(__xludf.DUMMYFUNCTION("""COMPUTED_VALUE"""),"Cost per period")</f>
        <v>Cost per period</v>
      </c>
      <c r="M238" s="3"/>
      <c r="N238" s="3"/>
      <c r="O238" s="3" t="str">
        <f ca="1">IFERROR(__xludf.DUMMYFUNCTION("""COMPUTED_VALUE"""),"300")</f>
        <v>300</v>
      </c>
      <c r="P238" s="3" t="str">
        <f ca="1">IFERROR(__xludf.DUMMYFUNCTION("""COMPUTED_VALUE"""),"120")</f>
        <v>120</v>
      </c>
      <c r="Q238" s="3" t="str">
        <f ca="1">IFERROR(__xludf.DUMMYFUNCTION("""COMPUTED_VALUE"""),"300x120")</f>
        <v>300x120</v>
      </c>
      <c r="R238" s="3"/>
      <c r="S238" s="3" t="str">
        <f ca="1">IFERROR(__xludf.DUMMYFUNCTION("""COMPUTED_VALUE"""),"100")</f>
        <v>100</v>
      </c>
      <c r="T238" s="3"/>
      <c r="U238" s="3" t="str">
        <f ca="1">IFERROR(__xludf.DUMMYFUNCTION("""COMPUTED_VALUE"""),"banner standard")</f>
        <v>banner standard</v>
      </c>
      <c r="V238" s="3"/>
      <c r="W238" s="4" t="str">
        <f ca="1">IFERROR(__xludf.DUMMYFUNCTION("""COMPUTED_VALUE"""),"https://reklama.cncenter.cz/Online/mobilni-slide-up")</f>
        <v>https://reklama.cncenter.cz/Online/mobilni-slide-up</v>
      </c>
      <c r="X238" s="3"/>
      <c r="Y238" s="3"/>
      <c r="Z238" s="3" t="str">
        <f ca="1">IFERROR(__xludf.DUMMYFUNCTION("""COMPUTED_VALUE"""),"podklady@cncenter.cz")</f>
        <v>podklady@cncenter.cz</v>
      </c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 t="str">
        <f ca="1">IFERROR(__xludf.DUMMYFUNCTION("""COMPUTED_VALUE"""),"mobile")</f>
        <v>mobile</v>
      </c>
      <c r="AO238" s="3"/>
      <c r="AP238" s="3"/>
      <c r="AQ238" s="3"/>
      <c r="AR238" s="3"/>
      <c r="AS238" s="3"/>
      <c r="AT238" s="3"/>
      <c r="AU238" s="3" t="str">
        <f ca="1">IFERROR(__xludf.DUMMYFUNCTION("""COMPUTED_VALUE"""),"mobilní slide-up")</f>
        <v>mobilní slide-up</v>
      </c>
    </row>
    <row r="239" spans="1:47" x14ac:dyDescent="0.3">
      <c r="A239" s="3">
        <f ca="1"/>
        <v>2346826</v>
      </c>
      <c r="B239" s="3" t="str">
        <f ca="1"/>
        <v>CZECH NEWS CENTER a. s.</v>
      </c>
      <c r="C239" s="3" t="str">
        <f ca="1">IFERROR(__xludf.DUMMYFUNCTION("""COMPUTED_VALUE"""),"Blesk pro ženy")</f>
        <v>Blesk pro ženy</v>
      </c>
      <c r="D239" s="4" t="str">
        <f ca="1">IFERROR(__xludf.DUMMYFUNCTION("""COMPUTED_VALUE"""),"https://bleskprozeny.cz")</f>
        <v>https://bleskprozeny.cz</v>
      </c>
      <c r="E239" s="3" t="str">
        <f ca="1">IFERROR(__xludf.DUMMYFUNCTION("""COMPUTED_VALUE"""),"celý web")</f>
        <v>celý web</v>
      </c>
      <c r="F239" s="4" t="str">
        <f ca="1">IFERROR(__xludf.DUMMYFUNCTION("""COMPUTED_VALUE"""),"https://bleskprozeny.cz")</f>
        <v>https://bleskprozeny.cz</v>
      </c>
      <c r="G239" s="3" t="str">
        <f ca="1">IFERROR(__xludf.DUMMYFUNCTION("""COMPUTED_VALUE"""),"mobilní viněta mid season")</f>
        <v>mobilní viněta mid season</v>
      </c>
      <c r="H239" s="3">
        <f ca="1">IFERROR(__xludf.DUMMYFUNCTION("""COMPUTED_VALUE"""),7)</f>
        <v>7</v>
      </c>
      <c r="I239" s="5">
        <f ca="1">IFERROR(__xludf.DUMMYFUNCTION("""COMPUTED_VALUE"""),1000)</f>
        <v>1000</v>
      </c>
      <c r="J239" s="5">
        <f ca="1">IFERROR(__xludf.DUMMYFUNCTION("""COMPUTED_VALUE"""),1240)</f>
        <v>1240</v>
      </c>
      <c r="K239" s="3"/>
      <c r="L239" s="3" t="str">
        <f ca="1">IFERROR(__xludf.DUMMYFUNCTION("""COMPUTED_VALUE"""),"Cost per period")</f>
        <v>Cost per period</v>
      </c>
      <c r="M239" s="3"/>
      <c r="N239" s="3"/>
      <c r="O239" s="3" t="str">
        <f ca="1">IFERROR(__xludf.DUMMYFUNCTION("""COMPUTED_VALUE"""),"600")</f>
        <v>600</v>
      </c>
      <c r="P239" s="3" t="str">
        <f ca="1">IFERROR(__xludf.DUMMYFUNCTION("""COMPUTED_VALUE"""),"800")</f>
        <v>800</v>
      </c>
      <c r="Q239" s="3" t="str">
        <f ca="1">IFERROR(__xludf.DUMMYFUNCTION("""COMPUTED_VALUE"""),"300x250 nebo 600x800")</f>
        <v>300x250 nebo 600x800</v>
      </c>
      <c r="R239" s="3"/>
      <c r="S239" s="3" t="str">
        <f ca="1">IFERROR(__xludf.DUMMYFUNCTION("""COMPUTED_VALUE"""),"100")</f>
        <v>100</v>
      </c>
      <c r="T239" s="3"/>
      <c r="U239" s="3" t="str">
        <f ca="1">IFERROR(__xludf.DUMMYFUNCTION("""COMPUTED_VALUE"""),"banner standard")</f>
        <v>banner standard</v>
      </c>
      <c r="V239" s="3"/>
      <c r="W239" s="4" t="str">
        <f ca="1">IFERROR(__xludf.DUMMYFUNCTION("""COMPUTED_VALUE"""),"https://reklama.cncenter.cz/Online/mobilni-vineta")</f>
        <v>https://reklama.cncenter.cz/Online/mobilni-vineta</v>
      </c>
      <c r="X239" s="3"/>
      <c r="Y239" s="3"/>
      <c r="Z239" s="3" t="str">
        <f ca="1">IFERROR(__xludf.DUMMYFUNCTION("""COMPUTED_VALUE"""),"podklady@cncenter.cz")</f>
        <v>podklady@cncenter.cz</v>
      </c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 t="str">
        <f ca="1">IFERROR(__xludf.DUMMYFUNCTION("""COMPUTED_VALUE"""),"mobile")</f>
        <v>mobile</v>
      </c>
      <c r="AO239" s="3"/>
      <c r="AP239" s="3"/>
      <c r="AQ239" s="3"/>
      <c r="AR239" s="3"/>
      <c r="AS239" s="3"/>
      <c r="AT239" s="3"/>
      <c r="AU239" s="3" t="str">
        <f ca="1">IFERROR(__xludf.DUMMYFUNCTION("""COMPUTED_VALUE"""),"mobilní viněta")</f>
        <v>mobilní viněta</v>
      </c>
    </row>
    <row r="240" spans="1:47" x14ac:dyDescent="0.3">
      <c r="A240" s="3">
        <f ca="1"/>
        <v>2346826</v>
      </c>
      <c r="B240" s="3" t="str">
        <f ca="1"/>
        <v>CZECH NEWS CENTER a. s.</v>
      </c>
      <c r="C240" s="3" t="str">
        <f ca="1">IFERROR(__xludf.DUMMYFUNCTION("""COMPUTED_VALUE"""),"Blesk pro ženy")</f>
        <v>Blesk pro ženy</v>
      </c>
      <c r="D240" s="4" t="str">
        <f ca="1">IFERROR(__xludf.DUMMYFUNCTION("""COMPUTED_VALUE"""),"https://bleskprozeny.cz")</f>
        <v>https://bleskprozeny.cz</v>
      </c>
      <c r="E240" s="3" t="str">
        <f ca="1">IFERROR(__xludf.DUMMYFUNCTION("""COMPUTED_VALUE"""),"celý web")</f>
        <v>celý web</v>
      </c>
      <c r="F240" s="4" t="str">
        <f ca="1">IFERROR(__xludf.DUMMYFUNCTION("""COMPUTED_VALUE"""),"https://bleskprozeny.cz")</f>
        <v>https://bleskprozeny.cz</v>
      </c>
      <c r="G240" s="3" t="str">
        <f ca="1">IFERROR(__xludf.DUMMYFUNCTION("""COMPUTED_VALUE"""),"Native Standard mid season")</f>
        <v>Native Standard mid season</v>
      </c>
      <c r="H240" s="3">
        <f ca="1">IFERROR(__xludf.DUMMYFUNCTION("""COMPUTED_VALUE"""),1)</f>
        <v>1</v>
      </c>
      <c r="I240" s="5">
        <f ca="1">IFERROR(__xludf.DUMMYFUNCTION("""COMPUTED_VALUE"""),1)</f>
        <v>1</v>
      </c>
      <c r="J240" s="5">
        <f ca="1">IFERROR(__xludf.DUMMYFUNCTION("""COMPUTED_VALUE"""),330000)</f>
        <v>330000</v>
      </c>
      <c r="K240" s="3"/>
      <c r="L240" s="3" t="str">
        <f ca="1">IFERROR(__xludf.DUMMYFUNCTION("""COMPUTED_VALUE"""),"Cost per instance")</f>
        <v>Cost per instance</v>
      </c>
      <c r="M240" s="3"/>
      <c r="N240" s="3"/>
      <c r="O240" s="3"/>
      <c r="P240" s="3"/>
      <c r="Q240" s="3"/>
      <c r="R240" s="3"/>
      <c r="S240" s="3" t="str">
        <f ca="1">IFERROR(__xludf.DUMMYFUNCTION("""COMPUTED_VALUE"""),"100")</f>
        <v>100</v>
      </c>
      <c r="T240" s="3"/>
      <c r="U240" s="3" t="str">
        <f ca="1">IFERROR(__xludf.DUMMYFUNCTION("""COMPUTED_VALUE"""),"microsite")</f>
        <v>microsite</v>
      </c>
      <c r="V240" s="3"/>
      <c r="W240" s="3"/>
      <c r="X240" s="3"/>
      <c r="Y240" s="3"/>
      <c r="Z240" s="3" t="str">
        <f ca="1">IFERROR(__xludf.DUMMYFUNCTION("""COMPUTED_VALUE"""),"podklady@cncenter.cz")</f>
        <v>podklady@cncenter.cz</v>
      </c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 t="str">
        <f ca="1">IFERROR(__xludf.DUMMYFUNCTION("""COMPUTED_VALUE"""),"cross-device")</f>
        <v>cross-device</v>
      </c>
      <c r="AO240" s="3"/>
      <c r="AP240" s="3"/>
      <c r="AQ240" s="3"/>
      <c r="AR240" s="3"/>
      <c r="AS240" s="3"/>
      <c r="AT240" s="3"/>
      <c r="AU240" s="3" t="str">
        <f ca="1">IFERROR(__xludf.DUMMYFUNCTION("""COMPUTED_VALUE"""),"Native Standard")</f>
        <v>Native Standard</v>
      </c>
    </row>
    <row r="241" spans="1:47" x14ac:dyDescent="0.3">
      <c r="A241" s="3">
        <f ca="1"/>
        <v>2346826</v>
      </c>
      <c r="B241" s="3" t="str">
        <f ca="1"/>
        <v>CZECH NEWS CENTER a. s.</v>
      </c>
      <c r="C241" s="3" t="str">
        <f ca="1">IFERROR(__xludf.DUMMYFUNCTION("""COMPUTED_VALUE"""),"Blesk pro ženy")</f>
        <v>Blesk pro ženy</v>
      </c>
      <c r="D241" s="4" t="str">
        <f ca="1">IFERROR(__xludf.DUMMYFUNCTION("""COMPUTED_VALUE"""),"https://bleskprozeny.cz")</f>
        <v>https://bleskprozeny.cz</v>
      </c>
      <c r="E241" s="3" t="str">
        <f ca="1">IFERROR(__xludf.DUMMYFUNCTION("""COMPUTED_VALUE"""),"celý web")</f>
        <v>celý web</v>
      </c>
      <c r="F241" s="4" t="str">
        <f ca="1">IFERROR(__xludf.DUMMYFUNCTION("""COMPUTED_VALUE"""),"https://bleskprozeny.cz")</f>
        <v>https://bleskprozeny.cz</v>
      </c>
      <c r="G241" s="3" t="str">
        <f ca="1">IFERROR(__xludf.DUMMYFUNCTION("""COMPUTED_VALUE"""),"nativní pr premium mid season")</f>
        <v>nativní pr premium mid season</v>
      </c>
      <c r="H241" s="3">
        <f ca="1">IFERROR(__xludf.DUMMYFUNCTION("""COMPUTED_VALUE"""),7)</f>
        <v>7</v>
      </c>
      <c r="I241" s="5">
        <f ca="1">IFERROR(__xludf.DUMMYFUNCTION("""COMPUTED_VALUE"""),1000)</f>
        <v>1000</v>
      </c>
      <c r="J241" s="5">
        <f ca="1">IFERROR(__xludf.DUMMYFUNCTION("""COMPUTED_VALUE"""),140)</f>
        <v>140</v>
      </c>
      <c r="K241" s="3"/>
      <c r="L241" s="3" t="str">
        <f ca="1">IFERROR(__xludf.DUMMYFUNCTION("""COMPUTED_VALUE"""),"Cost per period")</f>
        <v>Cost per period</v>
      </c>
      <c r="M241" s="3"/>
      <c r="N241" s="3"/>
      <c r="O241" s="3" t="str">
        <f ca="1">IFERROR(__xludf.DUMMYFUNCTION("""COMPUTED_VALUE"""),"640")</f>
        <v>640</v>
      </c>
      <c r="P241" s="3" t="str">
        <f ca="1">IFERROR(__xludf.DUMMYFUNCTION("""COMPUTED_VALUE"""),"335, 640")</f>
        <v>335, 640</v>
      </c>
      <c r="Q241" s="3" t="str">
        <f ca="1">IFERROR(__xludf.DUMMYFUNCTION("""COMPUTED_VALUE"""),"640x640 a 640x335 + text + logo")</f>
        <v>640x640 a 640x335 + text + logo</v>
      </c>
      <c r="R241" s="3" t="str">
        <f ca="1">IFERROR(__xludf.DUMMYFUNCTION("""COMPUTED_VALUE"""),"detailní specifikace na URL odkaze")</f>
        <v>detailní specifikace na URL odkaze</v>
      </c>
      <c r="S241" s="3" t="str">
        <f ca="1">IFERROR(__xludf.DUMMYFUNCTION("""COMPUTED_VALUE"""),"100")</f>
        <v>100</v>
      </c>
      <c r="T241" s="3"/>
      <c r="U241" s="3" t="str">
        <f ca="1">IFERROR(__xludf.DUMMYFUNCTION("""COMPUTED_VALUE"""),"nativní reklama")</f>
        <v>nativní reklama</v>
      </c>
      <c r="V241" s="3"/>
      <c r="W241" s="4" t="str">
        <f ca="1">IFERROR(__xludf.DUMMYFUNCTION("""COMPUTED_VALUE"""),"https://reklama.cncenter.cz/Online/nativni-PR-premium")</f>
        <v>https://reklama.cncenter.cz/Online/nativni-PR-premium</v>
      </c>
      <c r="X241" s="3"/>
      <c r="Y241" s="3"/>
      <c r="Z241" s="3" t="str">
        <f ca="1">IFERROR(__xludf.DUMMYFUNCTION("""COMPUTED_VALUE"""),"podklady@cncenter.cz")</f>
        <v>podklady@cncenter.cz</v>
      </c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 t="str">
        <f ca="1">IFERROR(__xludf.DUMMYFUNCTION("""COMPUTED_VALUE"""),"cross-device")</f>
        <v>cross-device</v>
      </c>
      <c r="AO241" s="3"/>
      <c r="AP241" s="3"/>
      <c r="AQ241" s="3"/>
      <c r="AR241" s="3"/>
      <c r="AS241" s="3"/>
      <c r="AT241" s="3"/>
      <c r="AU241" s="3" t="str">
        <f ca="1">IFERROR(__xludf.DUMMYFUNCTION("""COMPUTED_VALUE"""),"nativní pr premium")</f>
        <v>nativní pr premium</v>
      </c>
    </row>
    <row r="242" spans="1:47" x14ac:dyDescent="0.3">
      <c r="A242" s="3">
        <f ca="1"/>
        <v>2346826</v>
      </c>
      <c r="B242" s="3" t="str">
        <f ca="1"/>
        <v>CZECH NEWS CENTER a. s.</v>
      </c>
      <c r="C242" s="3" t="str">
        <f ca="1">IFERROR(__xludf.DUMMYFUNCTION("""COMPUTED_VALUE"""),"Blesk pro ženy")</f>
        <v>Blesk pro ženy</v>
      </c>
      <c r="D242" s="4" t="str">
        <f ca="1">IFERROR(__xludf.DUMMYFUNCTION("""COMPUTED_VALUE"""),"https://bleskprozeny.cz")</f>
        <v>https://bleskprozeny.cz</v>
      </c>
      <c r="E242" s="3" t="str">
        <f ca="1">IFERROR(__xludf.DUMMYFUNCTION("""COMPUTED_VALUE"""),"celý web")</f>
        <v>celý web</v>
      </c>
      <c r="F242" s="4" t="str">
        <f ca="1">IFERROR(__xludf.DUMMYFUNCTION("""COMPUTED_VALUE"""),"https://bleskprozeny.cz")</f>
        <v>https://bleskprozeny.cz</v>
      </c>
      <c r="G242" s="3" t="str">
        <f ca="1">IFERROR(__xludf.DUMMYFUNCTION("""COMPUTED_VALUE"""),"nativní rectangle cross-device mid season")</f>
        <v>nativní rectangle cross-device mid season</v>
      </c>
      <c r="H242" s="3">
        <f ca="1">IFERROR(__xludf.DUMMYFUNCTION("""COMPUTED_VALUE"""),7)</f>
        <v>7</v>
      </c>
      <c r="I242" s="5">
        <f ca="1">IFERROR(__xludf.DUMMYFUNCTION("""COMPUTED_VALUE"""),1000)</f>
        <v>1000</v>
      </c>
      <c r="J242" s="5">
        <f ca="1">IFERROR(__xludf.DUMMYFUNCTION("""COMPUTED_VALUE"""),280)</f>
        <v>280</v>
      </c>
      <c r="K242" s="3"/>
      <c r="L242" s="3" t="str">
        <f ca="1">IFERROR(__xludf.DUMMYFUNCTION("""COMPUTED_VALUE"""),"Cost per period")</f>
        <v>Cost per period</v>
      </c>
      <c r="M242" s="3"/>
      <c r="N242" s="3"/>
      <c r="O242" s="3" t="str">
        <f ca="1">IFERROR(__xludf.DUMMYFUNCTION("""COMPUTED_VALUE"""),"640")</f>
        <v>640</v>
      </c>
      <c r="P242" s="3" t="str">
        <f ca="1">IFERROR(__xludf.DUMMYFUNCTION("""COMPUTED_VALUE"""),"335, 640")</f>
        <v>335, 640</v>
      </c>
      <c r="Q242" s="3" t="str">
        <f ca="1">IFERROR(__xludf.DUMMYFUNCTION("""COMPUTED_VALUE"""),"640x640 a 640x335 + text + logo")</f>
        <v>640x640 a 640x335 + text + logo</v>
      </c>
      <c r="R242" s="3"/>
      <c r="S242" s="3" t="str">
        <f ca="1">IFERROR(__xludf.DUMMYFUNCTION("""COMPUTED_VALUE"""),"45")</f>
        <v>45</v>
      </c>
      <c r="T242" s="3"/>
      <c r="U242" s="3" t="str">
        <f ca="1">IFERROR(__xludf.DUMMYFUNCTION("""COMPUTED_VALUE"""),"nativní reklama")</f>
        <v>nativní reklama</v>
      </c>
      <c r="V242" s="3"/>
      <c r="W242" s="4" t="str">
        <f ca="1">IFERROR(__xludf.DUMMYFUNCTION("""COMPUTED_VALUE"""),"https://reklama.cncenter.cz/Online/nativni-rectangle-cross-device")</f>
        <v>https://reklama.cncenter.cz/Online/nativni-rectangle-cross-device</v>
      </c>
      <c r="X242" s="3"/>
      <c r="Y242" s="3"/>
      <c r="Z242" s="3" t="str">
        <f ca="1">IFERROR(__xludf.DUMMYFUNCTION("""COMPUTED_VALUE"""),"podklady@cncenter.cz")</f>
        <v>podklady@cncenter.cz</v>
      </c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 t="str">
        <f ca="1">IFERROR(__xludf.DUMMYFUNCTION("""COMPUTED_VALUE"""),"cross-device")</f>
        <v>cross-device</v>
      </c>
      <c r="AO242" s="3"/>
      <c r="AP242" s="3"/>
      <c r="AQ242" s="3"/>
      <c r="AR242" s="3"/>
      <c r="AS242" s="3"/>
      <c r="AT242" s="3"/>
      <c r="AU242" s="3" t="str">
        <f ca="1">IFERROR(__xludf.DUMMYFUNCTION("""COMPUTED_VALUE"""),"nativní rectangle cross-device")</f>
        <v>nativní rectangle cross-device</v>
      </c>
    </row>
    <row r="243" spans="1:47" x14ac:dyDescent="0.3">
      <c r="A243" s="3">
        <f ca="1"/>
        <v>2346826</v>
      </c>
      <c r="B243" s="3" t="str">
        <f ca="1"/>
        <v>CZECH NEWS CENTER a. s.</v>
      </c>
      <c r="C243" s="3" t="str">
        <f ca="1">IFERROR(__xludf.DUMMYFUNCTION("""COMPUTED_VALUE"""),"Blesk pro ženy")</f>
        <v>Blesk pro ženy</v>
      </c>
      <c r="D243" s="4" t="str">
        <f ca="1">IFERROR(__xludf.DUMMYFUNCTION("""COMPUTED_VALUE"""),"https://bleskprozeny.cz")</f>
        <v>https://bleskprozeny.cz</v>
      </c>
      <c r="E243" s="3" t="str">
        <f ca="1">IFERROR(__xludf.DUMMYFUNCTION("""COMPUTED_VALUE"""),"celý web")</f>
        <v>celý web</v>
      </c>
      <c r="F243" s="4" t="str">
        <f ca="1">IFERROR(__xludf.DUMMYFUNCTION("""COMPUTED_VALUE"""),"https://bleskprozeny.cz")</f>
        <v>https://bleskprozeny.cz</v>
      </c>
      <c r="G243" s="3" t="str">
        <f ca="1">IFERROR(__xludf.DUMMYFUNCTION("""COMPUTED_VALUE"""),"outstream mid season")</f>
        <v>outstream mid season</v>
      </c>
      <c r="H243" s="3">
        <f ca="1">IFERROR(__xludf.DUMMYFUNCTION("""COMPUTED_VALUE"""),7)</f>
        <v>7</v>
      </c>
      <c r="I243" s="5">
        <f ca="1">IFERROR(__xludf.DUMMYFUNCTION("""COMPUTED_VALUE"""),1000)</f>
        <v>1000</v>
      </c>
      <c r="J243" s="5">
        <f ca="1">IFERROR(__xludf.DUMMYFUNCTION("""COMPUTED_VALUE"""),350)</f>
        <v>350</v>
      </c>
      <c r="K243" s="3"/>
      <c r="L243" s="3" t="str">
        <f ca="1">IFERROR(__xludf.DUMMYFUNCTION("""COMPUTED_VALUE"""),"Cost per period")</f>
        <v>Cost per period</v>
      </c>
      <c r="M243" s="3"/>
      <c r="N243" s="3"/>
      <c r="O243" s="3" t="str">
        <f ca="1">IFERROR(__xludf.DUMMYFUNCTION("""COMPUTED_VALUE"""),"1280")</f>
        <v>1280</v>
      </c>
      <c r="P243" s="3" t="str">
        <f ca="1">IFERROR(__xludf.DUMMYFUNCTION("""COMPUTED_VALUE"""),"720")</f>
        <v>720</v>
      </c>
      <c r="Q243" s="3" t="str">
        <f ca="1">IFERROR(__xludf.DUMMYFUNCTION("""COMPUTED_VALUE"""),"16:9")</f>
        <v>16:9</v>
      </c>
      <c r="R243" s="3"/>
      <c r="S243" s="3" t="str">
        <f ca="1">IFERROR(__xludf.DUMMYFUNCTION("""COMPUTED_VALUE"""),"100")</f>
        <v>100</v>
      </c>
      <c r="T243" s="3"/>
      <c r="U243" s="3" t="str">
        <f ca="1">IFERROR(__xludf.DUMMYFUNCTION("""COMPUTED_VALUE"""),"videospot")</f>
        <v>videospot</v>
      </c>
      <c r="V243" s="3"/>
      <c r="W243" s="4" t="str">
        <f ca="1">IFERROR(__xludf.DUMMYFUNCTION("""COMPUTED_VALUE"""),"https://reklama.cncenter.cz/Online/Outstream")</f>
        <v>https://reklama.cncenter.cz/Online/Outstream</v>
      </c>
      <c r="X243" s="3"/>
      <c r="Y243" s="3"/>
      <c r="Z243" s="3" t="str">
        <f ca="1">IFERROR(__xludf.DUMMYFUNCTION("""COMPUTED_VALUE"""),"podklady@cncenter.cz")</f>
        <v>podklady@cncenter.cz</v>
      </c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 t="str">
        <f ca="1">IFERROR(__xludf.DUMMYFUNCTION("""COMPUTED_VALUE"""),"cross-device")</f>
        <v>cross-device</v>
      </c>
      <c r="AO243" s="3"/>
      <c r="AP243" s="3"/>
      <c r="AQ243" s="3"/>
      <c r="AR243" s="3"/>
      <c r="AS243" s="3"/>
      <c r="AT243" s="3"/>
      <c r="AU243" s="3" t="str">
        <f ca="1">IFERROR(__xludf.DUMMYFUNCTION("""COMPUTED_VALUE"""),"outstream")</f>
        <v>outstream</v>
      </c>
    </row>
    <row r="244" spans="1:47" x14ac:dyDescent="0.3">
      <c r="A244" s="3">
        <f ca="1"/>
        <v>2346826</v>
      </c>
      <c r="B244" s="3" t="str">
        <f ca="1"/>
        <v>CZECH NEWS CENTER a. s.</v>
      </c>
      <c r="C244" s="3" t="str">
        <f ca="1">IFERROR(__xludf.DUMMYFUNCTION("""COMPUTED_VALUE"""),"Blesk pro ženy")</f>
        <v>Blesk pro ženy</v>
      </c>
      <c r="D244" s="4" t="str">
        <f ca="1">IFERROR(__xludf.DUMMYFUNCTION("""COMPUTED_VALUE"""),"https://bleskprozeny.cz")</f>
        <v>https://bleskprozeny.cz</v>
      </c>
      <c r="E244" s="3" t="str">
        <f ca="1">IFERROR(__xludf.DUMMYFUNCTION("""COMPUTED_VALUE"""),"celý web")</f>
        <v>celý web</v>
      </c>
      <c r="F244" s="4" t="str">
        <f ca="1">IFERROR(__xludf.DUMMYFUNCTION("""COMPUTED_VALUE"""),"https://bleskprozeny.cz")</f>
        <v>https://bleskprozeny.cz</v>
      </c>
      <c r="G244" s="3" t="str">
        <f ca="1">IFERROR(__xludf.DUMMYFUNCTION("""COMPUTED_VALUE"""),"PR článek mid season")</f>
        <v>PR článek mid season</v>
      </c>
      <c r="H244" s="3">
        <f ca="1">IFERROR(__xludf.DUMMYFUNCTION("""COMPUTED_VALUE"""),1)</f>
        <v>1</v>
      </c>
      <c r="I244" s="5">
        <f ca="1">IFERROR(__xludf.DUMMYFUNCTION("""COMPUTED_VALUE"""),1)</f>
        <v>1</v>
      </c>
      <c r="J244" s="5">
        <f ca="1">IFERROR(__xludf.DUMMYFUNCTION("""COMPUTED_VALUE"""),33000)</f>
        <v>33000</v>
      </c>
      <c r="K244" s="3"/>
      <c r="L244" s="3" t="str">
        <f ca="1">IFERROR(__xludf.DUMMYFUNCTION("""COMPUTED_VALUE"""),"Cost per instance")</f>
        <v>Cost per instance</v>
      </c>
      <c r="M244" s="3"/>
      <c r="N244" s="3"/>
      <c r="O244" s="3"/>
      <c r="P244" s="3"/>
      <c r="Q244" s="3"/>
      <c r="R244" s="3"/>
      <c r="S244" s="3" t="str">
        <f ca="1">IFERROR(__xludf.DUMMYFUNCTION("""COMPUTED_VALUE"""),"100")</f>
        <v>100</v>
      </c>
      <c r="T244" s="3"/>
      <c r="U244" s="3" t="str">
        <f ca="1">IFERROR(__xludf.DUMMYFUNCTION("""COMPUTED_VALUE"""),"pr článek")</f>
        <v>pr článek</v>
      </c>
      <c r="V244" s="3"/>
      <c r="W244" s="4" t="str">
        <f ca="1">IFERROR(__xludf.DUMMYFUNCTION("""COMPUTED_VALUE"""),"https://reklama.cncenter.cz/?ads=PR%2520%25C4%258Dl%25C3%25A1nky")</f>
        <v>https://reklama.cncenter.cz/?ads=PR%2520%25C4%258Dl%25C3%25A1nky</v>
      </c>
      <c r="X244" s="3"/>
      <c r="Y244" s="3"/>
      <c r="Z244" s="3" t="str">
        <f ca="1">IFERROR(__xludf.DUMMYFUNCTION("""COMPUTED_VALUE"""),"podklady@cncenter.cz")</f>
        <v>podklady@cncenter.cz</v>
      </c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 t="str">
        <f ca="1">IFERROR(__xludf.DUMMYFUNCTION("""COMPUTED_VALUE"""),"cross-device")</f>
        <v>cross-device</v>
      </c>
      <c r="AO244" s="3"/>
      <c r="AP244" s="3"/>
      <c r="AQ244" s="3"/>
      <c r="AR244" s="3"/>
      <c r="AS244" s="3"/>
      <c r="AT244" s="3"/>
      <c r="AU244" s="3" t="str">
        <f ca="1">IFERROR(__xludf.DUMMYFUNCTION("""COMPUTED_VALUE"""),"PR článek")</f>
        <v>PR článek</v>
      </c>
    </row>
    <row r="245" spans="1:47" x14ac:dyDescent="0.3">
      <c r="A245" s="3">
        <f ca="1"/>
        <v>2346826</v>
      </c>
      <c r="B245" s="3" t="str">
        <f ca="1"/>
        <v>CZECH NEWS CENTER a. s.</v>
      </c>
      <c r="C245" s="3" t="str">
        <f ca="1">IFERROR(__xludf.DUMMYFUNCTION("""COMPUTED_VALUE"""),"Blesk pro ženy")</f>
        <v>Blesk pro ženy</v>
      </c>
      <c r="D245" s="4" t="str">
        <f ca="1">IFERROR(__xludf.DUMMYFUNCTION("""COMPUTED_VALUE"""),"https://bleskprozeny.cz")</f>
        <v>https://bleskprozeny.cz</v>
      </c>
      <c r="E245" s="3" t="str">
        <f ca="1">IFERROR(__xludf.DUMMYFUNCTION("""COMPUTED_VALUE"""),"celý web")</f>
        <v>celý web</v>
      </c>
      <c r="F245" s="4" t="str">
        <f ca="1">IFERROR(__xludf.DUMMYFUNCTION("""COMPUTED_VALUE"""),"https://bleskprozeny.cz")</f>
        <v>https://bleskprozeny.cz</v>
      </c>
      <c r="G245" s="3" t="str">
        <f ca="1">IFERROR(__xludf.DUMMYFUNCTION("""COMPUTED_VALUE"""),"Prodloužení existující microsite, bez úprav mid season")</f>
        <v>Prodloužení existující microsite, bez úprav mid season</v>
      </c>
      <c r="H245" s="3">
        <f ca="1">IFERROR(__xludf.DUMMYFUNCTION("""COMPUTED_VALUE"""),1)</f>
        <v>1</v>
      </c>
      <c r="I245" s="5">
        <f ca="1">IFERROR(__xludf.DUMMYFUNCTION("""COMPUTED_VALUE"""),1)</f>
        <v>1</v>
      </c>
      <c r="J245" s="5">
        <f ca="1">IFERROR(__xludf.DUMMYFUNCTION("""COMPUTED_VALUE"""),15000)</f>
        <v>15000</v>
      </c>
      <c r="K245" s="3"/>
      <c r="L245" s="3" t="str">
        <f ca="1">IFERROR(__xludf.DUMMYFUNCTION("""COMPUTED_VALUE"""),"Cost per instance")</f>
        <v>Cost per instance</v>
      </c>
      <c r="M245" s="3"/>
      <c r="N245" s="3"/>
      <c r="O245" s="3"/>
      <c r="P245" s="3"/>
      <c r="Q245" s="3"/>
      <c r="R245" s="3"/>
      <c r="S245" s="3" t="str">
        <f ca="1">IFERROR(__xludf.DUMMYFUNCTION("""COMPUTED_VALUE"""),"100")</f>
        <v>100</v>
      </c>
      <c r="T245" s="3"/>
      <c r="U245" s="3" t="str">
        <f ca="1">IFERROR(__xludf.DUMMYFUNCTION("""COMPUTED_VALUE"""),"microsite")</f>
        <v>microsite</v>
      </c>
      <c r="V245" s="3"/>
      <c r="W245" s="3"/>
      <c r="X245" s="3"/>
      <c r="Y245" s="3"/>
      <c r="Z245" s="3" t="str">
        <f ca="1">IFERROR(__xludf.DUMMYFUNCTION("""COMPUTED_VALUE"""),"podklady@cncenter.cz")</f>
        <v>podklady@cncenter.cz</v>
      </c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 t="str">
        <f ca="1">IFERROR(__xludf.DUMMYFUNCTION("""COMPUTED_VALUE"""),"cross-device")</f>
        <v>cross-device</v>
      </c>
      <c r="AO245" s="3"/>
      <c r="AP245" s="3"/>
      <c r="AQ245" s="3"/>
      <c r="AR245" s="3"/>
      <c r="AS245" s="3"/>
      <c r="AT245" s="3"/>
      <c r="AU245" s="3" t="str">
        <f ca="1">IFERROR(__xludf.DUMMYFUNCTION("""COMPUTED_VALUE"""),"Prodloužení existující microsite, bez úprav")</f>
        <v>Prodloužení existující microsite, bez úprav</v>
      </c>
    </row>
    <row r="246" spans="1:47" x14ac:dyDescent="0.3">
      <c r="A246" s="3">
        <f ca="1"/>
        <v>2346826</v>
      </c>
      <c r="B246" s="3" t="str">
        <f ca="1"/>
        <v>CZECH NEWS CENTER a. s.</v>
      </c>
      <c r="C246" s="3" t="str">
        <f ca="1">IFERROR(__xludf.DUMMYFUNCTION("""COMPUTED_VALUE"""),"Blesk pro ženy")</f>
        <v>Blesk pro ženy</v>
      </c>
      <c r="D246" s="4" t="str">
        <f ca="1">IFERROR(__xludf.DUMMYFUNCTION("""COMPUTED_VALUE"""),"https://bleskprozeny.cz")</f>
        <v>https://bleskprozeny.cz</v>
      </c>
      <c r="E246" s="3" t="str">
        <f ca="1">IFERROR(__xludf.DUMMYFUNCTION("""COMPUTED_VALUE"""),"celý web")</f>
        <v>celý web</v>
      </c>
      <c r="F246" s="4" t="str">
        <f ca="1">IFERROR(__xludf.DUMMYFUNCTION("""COMPUTED_VALUE"""),"https://bleskprozeny.cz")</f>
        <v>https://bleskprozeny.cz</v>
      </c>
      <c r="G246" s="3" t="str">
        <f ca="1">IFERROR(__xludf.DUMMYFUNCTION("""COMPUTED_VALUE"""),"Prodloužení existující microsite, bez úprav mid season")</f>
        <v>Prodloužení existující microsite, bez úprav mid season</v>
      </c>
      <c r="H246" s="3">
        <f ca="1">IFERROR(__xludf.DUMMYFUNCTION("""COMPUTED_VALUE"""),1)</f>
        <v>1</v>
      </c>
      <c r="I246" s="5">
        <f ca="1">IFERROR(__xludf.DUMMYFUNCTION("""COMPUTED_VALUE"""),1)</f>
        <v>1</v>
      </c>
      <c r="J246" s="5">
        <f ca="1">IFERROR(__xludf.DUMMYFUNCTION("""COMPUTED_VALUE"""),15000)</f>
        <v>15000</v>
      </c>
      <c r="K246" s="3"/>
      <c r="L246" s="3" t="str">
        <f ca="1">IFERROR(__xludf.DUMMYFUNCTION("""COMPUTED_VALUE"""),"Cost per instance")</f>
        <v>Cost per instance</v>
      </c>
      <c r="M246" s="3"/>
      <c r="N246" s="3"/>
      <c r="O246" s="3"/>
      <c r="P246" s="3"/>
      <c r="Q246" s="3"/>
      <c r="R246" s="3"/>
      <c r="S246" s="3" t="str">
        <f ca="1">IFERROR(__xludf.DUMMYFUNCTION("""COMPUTED_VALUE"""),"100")</f>
        <v>100</v>
      </c>
      <c r="T246" s="3"/>
      <c r="U246" s="3" t="str">
        <f ca="1">IFERROR(__xludf.DUMMYFUNCTION("""COMPUTED_VALUE"""),"microsite")</f>
        <v>microsite</v>
      </c>
      <c r="V246" s="3"/>
      <c r="W246" s="3"/>
      <c r="X246" s="3"/>
      <c r="Y246" s="3"/>
      <c r="Z246" s="3" t="str">
        <f ca="1">IFERROR(__xludf.DUMMYFUNCTION("""COMPUTED_VALUE"""),"podklady@cncenter.cz")</f>
        <v>podklady@cncenter.cz</v>
      </c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 t="str">
        <f ca="1">IFERROR(__xludf.DUMMYFUNCTION("""COMPUTED_VALUE"""),"cross-device")</f>
        <v>cross-device</v>
      </c>
      <c r="AO246" s="3"/>
      <c r="AP246" s="3"/>
      <c r="AQ246" s="3"/>
      <c r="AR246" s="3"/>
      <c r="AS246" s="3"/>
      <c r="AT246" s="3"/>
      <c r="AU246" s="3" t="str">
        <f ca="1">IFERROR(__xludf.DUMMYFUNCTION("""COMPUTED_VALUE"""),"Prodloužení existující microsite, bez úprav")</f>
        <v>Prodloužení existující microsite, bez úprav</v>
      </c>
    </row>
    <row r="247" spans="1:47" x14ac:dyDescent="0.3">
      <c r="A247" s="3">
        <f ca="1"/>
        <v>2346826</v>
      </c>
      <c r="B247" s="3" t="str">
        <f ca="1"/>
        <v>CZECH NEWS CENTER a. s.</v>
      </c>
      <c r="C247" s="3" t="str">
        <f ca="1">IFERROR(__xludf.DUMMYFUNCTION("""COMPUTED_VALUE"""),"Blesk pro ženy")</f>
        <v>Blesk pro ženy</v>
      </c>
      <c r="D247" s="4" t="str">
        <f ca="1">IFERROR(__xludf.DUMMYFUNCTION("""COMPUTED_VALUE"""),"https://bleskprozeny.cz")</f>
        <v>https://bleskprozeny.cz</v>
      </c>
      <c r="E247" s="3" t="str">
        <f ca="1">IFERROR(__xludf.DUMMYFUNCTION("""COMPUTED_VALUE"""),"celý web")</f>
        <v>celý web</v>
      </c>
      <c r="F247" s="4" t="str">
        <f ca="1">IFERROR(__xludf.DUMMYFUNCTION("""COMPUTED_VALUE"""),"https://bleskprozeny.cz")</f>
        <v>https://bleskprozeny.cz</v>
      </c>
      <c r="G247" s="3" t="str">
        <f ca="1">IFERROR(__xludf.DUMMYFUNCTION("""COMPUTED_VALUE"""),"Prodloužení existující microsite, bez úprav mid season")</f>
        <v>Prodloužení existující microsite, bez úprav mid season</v>
      </c>
      <c r="H247" s="3">
        <f ca="1">IFERROR(__xludf.DUMMYFUNCTION("""COMPUTED_VALUE"""),1)</f>
        <v>1</v>
      </c>
      <c r="I247" s="5">
        <f ca="1">IFERROR(__xludf.DUMMYFUNCTION("""COMPUTED_VALUE"""),1)</f>
        <v>1</v>
      </c>
      <c r="J247" s="5">
        <f ca="1">IFERROR(__xludf.DUMMYFUNCTION("""COMPUTED_VALUE"""),15000)</f>
        <v>15000</v>
      </c>
      <c r="K247" s="3"/>
      <c r="L247" s="3" t="str">
        <f ca="1">IFERROR(__xludf.DUMMYFUNCTION("""COMPUTED_VALUE"""),"Cost per instance")</f>
        <v>Cost per instance</v>
      </c>
      <c r="M247" s="3"/>
      <c r="N247" s="3"/>
      <c r="O247" s="3"/>
      <c r="P247" s="3"/>
      <c r="Q247" s="3"/>
      <c r="R247" s="3"/>
      <c r="S247" s="3" t="str">
        <f ca="1">IFERROR(__xludf.DUMMYFUNCTION("""COMPUTED_VALUE"""),"100")</f>
        <v>100</v>
      </c>
      <c r="T247" s="3"/>
      <c r="U247" s="3" t="str">
        <f ca="1">IFERROR(__xludf.DUMMYFUNCTION("""COMPUTED_VALUE"""),"microsite")</f>
        <v>microsite</v>
      </c>
      <c r="V247" s="3"/>
      <c r="W247" s="3"/>
      <c r="X247" s="3"/>
      <c r="Y247" s="3"/>
      <c r="Z247" s="3" t="str">
        <f ca="1">IFERROR(__xludf.DUMMYFUNCTION("""COMPUTED_VALUE"""),"podklady@cncenter.cz")</f>
        <v>podklady@cncenter.cz</v>
      </c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 t="str">
        <f ca="1">IFERROR(__xludf.DUMMYFUNCTION("""COMPUTED_VALUE"""),"cross-device")</f>
        <v>cross-device</v>
      </c>
      <c r="AO247" s="3"/>
      <c r="AP247" s="3"/>
      <c r="AQ247" s="3"/>
      <c r="AR247" s="3"/>
      <c r="AS247" s="3"/>
      <c r="AT247" s="3"/>
      <c r="AU247" s="3" t="str">
        <f ca="1">IFERROR(__xludf.DUMMYFUNCTION("""COMPUTED_VALUE"""),"Prodloužení existující microsite, bez úprav")</f>
        <v>Prodloužení existující microsite, bez úprav</v>
      </c>
    </row>
    <row r="248" spans="1:47" x14ac:dyDescent="0.3">
      <c r="A248" s="3">
        <f ca="1"/>
        <v>2346826</v>
      </c>
      <c r="B248" s="3" t="str">
        <f ca="1"/>
        <v>CZECH NEWS CENTER a. s.</v>
      </c>
      <c r="C248" s="3" t="str">
        <f ca="1">IFERROR(__xludf.DUMMYFUNCTION("""COMPUTED_VALUE"""),"Blesk pro ženy")</f>
        <v>Blesk pro ženy</v>
      </c>
      <c r="D248" s="4" t="str">
        <f ca="1">IFERROR(__xludf.DUMMYFUNCTION("""COMPUTED_VALUE"""),"https://bleskprozeny.cz")</f>
        <v>https://bleskprozeny.cz</v>
      </c>
      <c r="E248" s="3" t="str">
        <f ca="1">IFERROR(__xludf.DUMMYFUNCTION("""COMPUTED_VALUE"""),"celý web")</f>
        <v>celý web</v>
      </c>
      <c r="F248" s="4" t="str">
        <f ca="1">IFERROR(__xludf.DUMMYFUNCTION("""COMPUTED_VALUE"""),"https://bleskprozeny.cz")</f>
        <v>https://bleskprozeny.cz</v>
      </c>
      <c r="G248" s="3" t="str">
        <f ca="1">IFERROR(__xludf.DUMMYFUNCTION("""COMPUTED_VALUE"""),"videospot - max. 30 sec. / bumper mid season")</f>
        <v>videospot - max. 30 sec. / bumper mid season</v>
      </c>
      <c r="H248" s="3">
        <f ca="1">IFERROR(__xludf.DUMMYFUNCTION("""COMPUTED_VALUE"""),7)</f>
        <v>7</v>
      </c>
      <c r="I248" s="5">
        <f ca="1">IFERROR(__xludf.DUMMYFUNCTION("""COMPUTED_VALUE"""),1000)</f>
        <v>1000</v>
      </c>
      <c r="J248" s="5">
        <f ca="1">IFERROR(__xludf.DUMMYFUNCTION("""COMPUTED_VALUE"""),1040)</f>
        <v>1040</v>
      </c>
      <c r="K248" s="3"/>
      <c r="L248" s="3" t="str">
        <f ca="1">IFERROR(__xludf.DUMMYFUNCTION("""COMPUTED_VALUE"""),"Cost per period")</f>
        <v>Cost per period</v>
      </c>
      <c r="M248" s="3"/>
      <c r="N248" s="3"/>
      <c r="O248" s="3" t="str">
        <f ca="1">IFERROR(__xludf.DUMMYFUNCTION("""COMPUTED_VALUE"""),"1280")</f>
        <v>1280</v>
      </c>
      <c r="P248" s="3" t="str">
        <f ca="1">IFERROR(__xludf.DUMMYFUNCTION("""COMPUTED_VALUE"""),"720")</f>
        <v>720</v>
      </c>
      <c r="Q248" s="3" t="str">
        <f ca="1">IFERROR(__xludf.DUMMYFUNCTION("""COMPUTED_VALUE"""),"16:9 / umístění po domluvě dle možností")</f>
        <v>16:9 / umístění po domluvě dle možností</v>
      </c>
      <c r="R248" s="3" t="str">
        <f ca="1">IFERROR(__xludf.DUMMYFUNCTION("""COMPUTED_VALUE"""),"přeskočení po 7 sekundách")</f>
        <v>přeskočení po 7 sekundách</v>
      </c>
      <c r="S248" s="3" t="str">
        <f ca="1">IFERROR(__xludf.DUMMYFUNCTION("""COMPUTED_VALUE"""),"100")</f>
        <v>100</v>
      </c>
      <c r="T248" s="3"/>
      <c r="U248" s="3" t="str">
        <f ca="1">IFERROR(__xludf.DUMMYFUNCTION("""COMPUTED_VALUE"""),"videospot")</f>
        <v>videospot</v>
      </c>
      <c r="V248" s="3"/>
      <c r="W248" s="4" t="str">
        <f ca="1">IFERROR(__xludf.DUMMYFUNCTION("""COMPUTED_VALUE"""),"https://reklama.cncenter.cz/Online/Bumper")</f>
        <v>https://reklama.cncenter.cz/Online/Bumper</v>
      </c>
      <c r="X248" s="3"/>
      <c r="Y248" s="3"/>
      <c r="Z248" s="3" t="str">
        <f ca="1">IFERROR(__xludf.DUMMYFUNCTION("""COMPUTED_VALUE"""),"podklady@cncenter.cz")</f>
        <v>podklady@cncenter.cz</v>
      </c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 t="str">
        <f ca="1">IFERROR(__xludf.DUMMYFUNCTION("""COMPUTED_VALUE"""),"cross-device")</f>
        <v>cross-device</v>
      </c>
      <c r="AO248" s="3"/>
      <c r="AP248" s="3"/>
      <c r="AQ248" s="3"/>
      <c r="AR248" s="3"/>
      <c r="AS248" s="3"/>
      <c r="AT248" s="3"/>
      <c r="AU248" s="3" t="str">
        <f ca="1">IFERROR(__xludf.DUMMYFUNCTION("""COMPUTED_VALUE"""),"videospot - max. 30 sec. / bumper")</f>
        <v>videospot - max. 30 sec. / bumper</v>
      </c>
    </row>
    <row r="249" spans="1:47" x14ac:dyDescent="0.3">
      <c r="A249" s="3">
        <f ca="1"/>
        <v>2346826</v>
      </c>
      <c r="B249" s="3" t="str">
        <f ca="1"/>
        <v>CZECH NEWS CENTER a. s.</v>
      </c>
      <c r="C249" s="3" t="str">
        <f ca="1">IFERROR(__xludf.DUMMYFUNCTION("""COMPUTED_VALUE"""),"CNC auto moto pack")</f>
        <v>CNC auto moto pack</v>
      </c>
      <c r="D249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49" s="3" t="str">
        <f ca="1">IFERROR(__xludf.DUMMYFUNCTION("""COMPUTED_VALUE"""),"celý web")</f>
        <v>celý web</v>
      </c>
      <c r="F249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49" s="3" t="str">
        <f ca="1">IFERROR(__xludf.DUMMYFUNCTION("""COMPUTED_VALUE"""),"billboard bottom mid season")</f>
        <v>billboard bottom mid season</v>
      </c>
      <c r="H249" s="3">
        <f ca="1">IFERROR(__xludf.DUMMYFUNCTION("""COMPUTED_VALUE"""),7)</f>
        <v>7</v>
      </c>
      <c r="I249" s="5">
        <f ca="1">IFERROR(__xludf.DUMMYFUNCTION("""COMPUTED_VALUE"""),1000)</f>
        <v>1000</v>
      </c>
      <c r="J249" s="5">
        <f ca="1">IFERROR(__xludf.DUMMYFUNCTION("""COMPUTED_VALUE"""),300)</f>
        <v>300</v>
      </c>
      <c r="K249" s="3"/>
      <c r="L249" s="3" t="str">
        <f ca="1">IFERROR(__xludf.DUMMYFUNCTION("""COMPUTED_VALUE"""),"Cost per period")</f>
        <v>Cost per period</v>
      </c>
      <c r="M249" s="3"/>
      <c r="N249" s="3"/>
      <c r="O249" s="3" t="str">
        <f ca="1">IFERROR(__xludf.DUMMYFUNCTION("""COMPUTED_VALUE"""),"970")</f>
        <v>970</v>
      </c>
      <c r="P249" s="3" t="str">
        <f ca="1">IFERROR(__xludf.DUMMYFUNCTION("""COMPUTED_VALUE"""),"250")</f>
        <v>250</v>
      </c>
      <c r="Q249" s="3" t="str">
        <f ca="1">IFERROR(__xludf.DUMMYFUNCTION("""COMPUTED_VALUE"""),"970x250")</f>
        <v>970x250</v>
      </c>
      <c r="R249" s="3"/>
      <c r="S249" s="3" t="str">
        <f ca="1">IFERROR(__xludf.DUMMYFUNCTION("""COMPUTED_VALUE"""),"100 (200 - HTML5)")</f>
        <v>100 (200 - HTML5)</v>
      </c>
      <c r="T249" s="3"/>
      <c r="U249" s="3" t="str">
        <f ca="1">IFERROR(__xludf.DUMMYFUNCTION("""COMPUTED_VALUE"""),"banner standard")</f>
        <v>banner standard</v>
      </c>
      <c r="V249" s="3"/>
      <c r="W249" s="4" t="str">
        <f ca="1">IFERROR(__xludf.DUMMYFUNCTION("""COMPUTED_VALUE"""),"https://reklama.cncenter.cz/Online/billboard-bottom")</f>
        <v>https://reklama.cncenter.cz/Online/billboard-bottom</v>
      </c>
      <c r="X249" s="3"/>
      <c r="Y249" s="3"/>
      <c r="Z249" s="3" t="str">
        <f ca="1">IFERROR(__xludf.DUMMYFUNCTION("""COMPUTED_VALUE"""),"podklady@cncenter.cz")</f>
        <v>podklady@cncenter.cz</v>
      </c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 t="str">
        <f ca="1">IFERROR(__xludf.DUMMYFUNCTION("""COMPUTED_VALUE"""),"desktop")</f>
        <v>desktop</v>
      </c>
      <c r="AO249" s="3"/>
      <c r="AP249" s="3"/>
      <c r="AQ249" s="3"/>
      <c r="AR249" s="3"/>
      <c r="AS249" s="3"/>
      <c r="AT249" s="3"/>
      <c r="AU249" s="3" t="str">
        <f ca="1">IFERROR(__xludf.DUMMYFUNCTION("""COMPUTED_VALUE"""),"billboard bottom")</f>
        <v>billboard bottom</v>
      </c>
    </row>
    <row r="250" spans="1:47" x14ac:dyDescent="0.3">
      <c r="A250" s="3">
        <f ca="1"/>
        <v>2346826</v>
      </c>
      <c r="B250" s="3" t="str">
        <f ca="1"/>
        <v>CZECH NEWS CENTER a. s.</v>
      </c>
      <c r="C250" s="3" t="str">
        <f ca="1">IFERROR(__xludf.DUMMYFUNCTION("""COMPUTED_VALUE"""),"CNC auto moto pack")</f>
        <v>CNC auto moto pack</v>
      </c>
      <c r="D250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0" s="3" t="str">
        <f ca="1">IFERROR(__xludf.DUMMYFUNCTION("""COMPUTED_VALUE"""),"celý web")</f>
        <v>celý web</v>
      </c>
      <c r="F250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0" s="3" t="str">
        <f ca="1">IFERROR(__xludf.DUMMYFUNCTION("""COMPUTED_VALUE"""),"branding cross-device mid season")</f>
        <v>branding cross-device mid season</v>
      </c>
      <c r="H250" s="3">
        <f ca="1">IFERROR(__xludf.DUMMYFUNCTION("""COMPUTED_VALUE"""),7)</f>
        <v>7</v>
      </c>
      <c r="I250" s="5">
        <f ca="1">IFERROR(__xludf.DUMMYFUNCTION("""COMPUTED_VALUE"""),1000)</f>
        <v>1000</v>
      </c>
      <c r="J250" s="5">
        <f ca="1">IFERROR(__xludf.DUMMYFUNCTION("""COMPUTED_VALUE"""),380)</f>
        <v>380</v>
      </c>
      <c r="K250" s="3"/>
      <c r="L250" s="3" t="str">
        <f ca="1">IFERROR(__xludf.DUMMYFUNCTION("""COMPUTED_VALUE"""),"Cost per period")</f>
        <v>Cost per period</v>
      </c>
      <c r="M250" s="3"/>
      <c r="N250" s="3"/>
      <c r="O250" s="3" t="str">
        <f ca="1">IFERROR(__xludf.DUMMYFUNCTION("""COMPUTED_VALUE"""),"2000")</f>
        <v>2000</v>
      </c>
      <c r="P250" s="3" t="str">
        <f ca="1">IFERROR(__xludf.DUMMYFUNCTION("""COMPUTED_VALUE"""),"1400")</f>
        <v>1400</v>
      </c>
      <c r="Q250" s="3" t="str">
        <f ca="1">IFERROR(__xludf.DUMMYFUNCTION("""COMPUTED_VALUE"""),"2000x1400 + 600x1080")</f>
        <v>2000x1400 + 600x1080</v>
      </c>
      <c r="R250" s="3"/>
      <c r="S250" s="3" t="str">
        <f ca="1">IFERROR(__xludf.DUMMYFUNCTION("""COMPUTED_VALUE"""),"500 (600 - HTLM5)")</f>
        <v>500 (600 - HTLM5)</v>
      </c>
      <c r="T250" s="3"/>
      <c r="U250" s="3" t="str">
        <f ca="1">IFERROR(__xludf.DUMMYFUNCTION("""COMPUTED_VALUE"""),"banner standard")</f>
        <v>banner standard</v>
      </c>
      <c r="V250" s="3"/>
      <c r="W250" s="4" t="str">
        <f ca="1">IFERROR(__xludf.DUMMYFUNCTION("""COMPUTED_VALUE"""),"https://reklama.cncenter.cz/Online/branding-cross-device")</f>
        <v>https://reklama.cncenter.cz/Online/branding-cross-device</v>
      </c>
      <c r="X250" s="3"/>
      <c r="Y250" s="3"/>
      <c r="Z250" s="3" t="str">
        <f ca="1">IFERROR(__xludf.DUMMYFUNCTION("""COMPUTED_VALUE"""),"podklady@cncenter.cz")</f>
        <v>podklady@cncenter.cz</v>
      </c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 t="str">
        <f ca="1">IFERROR(__xludf.DUMMYFUNCTION("""COMPUTED_VALUE"""),"cross-device")</f>
        <v>cross-device</v>
      </c>
      <c r="AO250" s="3"/>
      <c r="AP250" s="3"/>
      <c r="AQ250" s="3"/>
      <c r="AR250" s="3"/>
      <c r="AS250" s="3"/>
      <c r="AT250" s="3"/>
      <c r="AU250" s="3" t="str">
        <f ca="1">IFERROR(__xludf.DUMMYFUNCTION("""COMPUTED_VALUE"""),"branding cross-device")</f>
        <v>branding cross-device</v>
      </c>
    </row>
    <row r="251" spans="1:47" x14ac:dyDescent="0.3">
      <c r="A251" s="3">
        <f ca="1"/>
        <v>2346826</v>
      </c>
      <c r="B251" s="3" t="str">
        <f ca="1"/>
        <v>CZECH NEWS CENTER a. s.</v>
      </c>
      <c r="C251" s="3" t="str">
        <f ca="1">IFERROR(__xludf.DUMMYFUNCTION("""COMPUTED_VALUE"""),"CNC auto moto pack")</f>
        <v>CNC auto moto pack</v>
      </c>
      <c r="D251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1" s="3" t="str">
        <f ca="1">IFERROR(__xludf.DUMMYFUNCTION("""COMPUTED_VALUE"""),"celý web")</f>
        <v>celý web</v>
      </c>
      <c r="F251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1" s="3" t="str">
        <f ca="1">IFERROR(__xludf.DUMMYFUNCTION("""COMPUTED_VALUE"""),"branding mid season")</f>
        <v>branding mid season</v>
      </c>
      <c r="H251" s="3">
        <f ca="1">IFERROR(__xludf.DUMMYFUNCTION("""COMPUTED_VALUE"""),7)</f>
        <v>7</v>
      </c>
      <c r="I251" s="5">
        <f ca="1">IFERROR(__xludf.DUMMYFUNCTION("""COMPUTED_VALUE"""),1000)</f>
        <v>1000</v>
      </c>
      <c r="J251" s="5">
        <f ca="1">IFERROR(__xludf.DUMMYFUNCTION("""COMPUTED_VALUE"""),560)</f>
        <v>560</v>
      </c>
      <c r="K251" s="3"/>
      <c r="L251" s="3" t="str">
        <f ca="1">IFERROR(__xludf.DUMMYFUNCTION("""COMPUTED_VALUE"""),"Cost per period")</f>
        <v>Cost per period</v>
      </c>
      <c r="M251" s="3"/>
      <c r="N251" s="3"/>
      <c r="O251" s="3" t="str">
        <f ca="1">IFERROR(__xludf.DUMMYFUNCTION("""COMPUTED_VALUE"""),"2000")</f>
        <v>2000</v>
      </c>
      <c r="P251" s="3" t="str">
        <f ca="1">IFERROR(__xludf.DUMMYFUNCTION("""COMPUTED_VALUE"""),"1400")</f>
        <v>1400</v>
      </c>
      <c r="Q251" s="3" t="str">
        <f ca="1">IFERROR(__xludf.DUMMYFUNCTION("""COMPUTED_VALUE"""),"2000x1400")</f>
        <v>2000x1400</v>
      </c>
      <c r="R251" s="3"/>
      <c r="S251" s="3" t="str">
        <f ca="1">IFERROR(__xludf.DUMMYFUNCTION("""COMPUTED_VALUE"""),"500 + 200 (600+200 HTML5)")</f>
        <v>500 + 200 (600+200 HTML5)</v>
      </c>
      <c r="T251" s="3"/>
      <c r="U251" s="3" t="str">
        <f ca="1">IFERROR(__xludf.DUMMYFUNCTION("""COMPUTED_VALUE"""),"banner standard")</f>
        <v>banner standard</v>
      </c>
      <c r="V251" s="3"/>
      <c r="W251" s="4" t="str">
        <f ca="1">IFERROR(__xludf.DUMMYFUNCTION("""COMPUTED_VALUE"""),"https://reklama.cncenter.cz/Online/branding")</f>
        <v>https://reklama.cncenter.cz/Online/branding</v>
      </c>
      <c r="X251" s="3"/>
      <c r="Y251" s="3"/>
      <c r="Z251" s="3" t="str">
        <f ca="1">IFERROR(__xludf.DUMMYFUNCTION("""COMPUTED_VALUE"""),"podklady@cncenter.cz")</f>
        <v>podklady@cncenter.cz</v>
      </c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 t="str">
        <f ca="1">IFERROR(__xludf.DUMMYFUNCTION("""COMPUTED_VALUE"""),"desktop")</f>
        <v>desktop</v>
      </c>
      <c r="AO251" s="3"/>
      <c r="AP251" s="3"/>
      <c r="AQ251" s="3"/>
      <c r="AR251" s="3"/>
      <c r="AS251" s="3"/>
      <c r="AT251" s="3"/>
      <c r="AU251" s="3" t="str">
        <f ca="1">IFERROR(__xludf.DUMMYFUNCTION("""COMPUTED_VALUE"""),"branding")</f>
        <v>branding</v>
      </c>
    </row>
    <row r="252" spans="1:47" x14ac:dyDescent="0.3">
      <c r="A252" s="3">
        <f ca="1"/>
        <v>2346826</v>
      </c>
      <c r="B252" s="3" t="str">
        <f ca="1"/>
        <v>CZECH NEWS CENTER a. s.</v>
      </c>
      <c r="C252" s="3" t="str">
        <f ca="1">IFERROR(__xludf.DUMMYFUNCTION("""COMPUTED_VALUE"""),"CNC auto moto pack")</f>
        <v>CNC auto moto pack</v>
      </c>
      <c r="D252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2" s="3" t="str">
        <f ca="1">IFERROR(__xludf.DUMMYFUNCTION("""COMPUTED_VALUE"""),"celý web")</f>
        <v>celý web</v>
      </c>
      <c r="F252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2" s="3" t="str">
        <f ca="1">IFERROR(__xludf.DUMMYFUNCTION("""COMPUTED_VALUE"""),"cílený billboard bottom mid season")</f>
        <v>cílený billboard bottom mid season</v>
      </c>
      <c r="H252" s="3">
        <f ca="1">IFERROR(__xludf.DUMMYFUNCTION("""COMPUTED_VALUE"""),7)</f>
        <v>7</v>
      </c>
      <c r="I252" s="5">
        <f ca="1">IFERROR(__xludf.DUMMYFUNCTION("""COMPUTED_VALUE"""),1000)</f>
        <v>1000</v>
      </c>
      <c r="J252" s="5">
        <f ca="1">IFERROR(__xludf.DUMMYFUNCTION("""COMPUTED_VALUE"""),360)</f>
        <v>360</v>
      </c>
      <c r="K252" s="3"/>
      <c r="L252" s="3" t="str">
        <f ca="1">IFERROR(__xludf.DUMMYFUNCTION("""COMPUTED_VALUE"""),"Cost per period")</f>
        <v>Cost per period</v>
      </c>
      <c r="M252" s="3"/>
      <c r="N252" s="3"/>
      <c r="O252" s="3" t="str">
        <f ca="1">IFERROR(__xludf.DUMMYFUNCTION("""COMPUTED_VALUE"""),"970")</f>
        <v>970</v>
      </c>
      <c r="P252" s="3" t="str">
        <f ca="1">IFERROR(__xludf.DUMMYFUNCTION("""COMPUTED_VALUE"""),"250")</f>
        <v>250</v>
      </c>
      <c r="Q252" s="3" t="str">
        <f ca="1">IFERROR(__xludf.DUMMYFUNCTION("""COMPUTED_VALUE"""),"970x250")</f>
        <v>970x250</v>
      </c>
      <c r="R252" s="3"/>
      <c r="S252" s="3" t="str">
        <f ca="1">IFERROR(__xludf.DUMMYFUNCTION("""COMPUTED_VALUE"""),"100 (200 - HTML5)")</f>
        <v>100 (200 - HTML5)</v>
      </c>
      <c r="T252" s="3"/>
      <c r="U252" s="3" t="str">
        <f ca="1">IFERROR(__xludf.DUMMYFUNCTION("""COMPUTED_VALUE"""),"banner standard")</f>
        <v>banner standard</v>
      </c>
      <c r="V252" s="3"/>
      <c r="W252" s="4" t="str">
        <f ca="1">IFERROR(__xludf.DUMMYFUNCTION("""COMPUTED_VALUE"""),"https://reklama.cncenter.cz/Online/billboard-bottom")</f>
        <v>https://reklama.cncenter.cz/Online/billboard-bottom</v>
      </c>
      <c r="X252" s="3"/>
      <c r="Y252" s="3"/>
      <c r="Z252" s="3" t="str">
        <f ca="1">IFERROR(__xludf.DUMMYFUNCTION("""COMPUTED_VALUE"""),"podklady@cncenter.cz")</f>
        <v>podklady@cncenter.cz</v>
      </c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 t="str">
        <f ca="1">IFERROR(__xludf.DUMMYFUNCTION("""COMPUTED_VALUE"""),"desktop")</f>
        <v>desktop</v>
      </c>
      <c r="AO252" s="3"/>
      <c r="AP252" s="3"/>
      <c r="AQ252" s="3"/>
      <c r="AR252" s="3"/>
      <c r="AS252" s="3"/>
      <c r="AT252" s="3"/>
      <c r="AU252" s="3" t="str">
        <f ca="1">IFERROR(__xludf.DUMMYFUNCTION("""COMPUTED_VALUE"""),"cílený billboard bottom")</f>
        <v>cílený billboard bottom</v>
      </c>
    </row>
    <row r="253" spans="1:47" x14ac:dyDescent="0.3">
      <c r="A253" s="3">
        <f ca="1"/>
        <v>2346826</v>
      </c>
      <c r="B253" s="3" t="str">
        <f ca="1"/>
        <v>CZECH NEWS CENTER a. s.</v>
      </c>
      <c r="C253" s="3" t="str">
        <f ca="1">IFERROR(__xludf.DUMMYFUNCTION("""COMPUTED_VALUE"""),"CNC auto moto pack")</f>
        <v>CNC auto moto pack</v>
      </c>
      <c r="D253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3" s="3" t="str">
        <f ca="1">IFERROR(__xludf.DUMMYFUNCTION("""COMPUTED_VALUE"""),"celý web")</f>
        <v>celý web</v>
      </c>
      <c r="F253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3" s="3" t="str">
        <f ca="1">IFERROR(__xludf.DUMMYFUNCTION("""COMPUTED_VALUE"""),"cílený branding cross-device mid season")</f>
        <v>cílený branding cross-device mid season</v>
      </c>
      <c r="H253" s="3">
        <f ca="1">IFERROR(__xludf.DUMMYFUNCTION("""COMPUTED_VALUE"""),7)</f>
        <v>7</v>
      </c>
      <c r="I253" s="5">
        <f ca="1">IFERROR(__xludf.DUMMYFUNCTION("""COMPUTED_VALUE"""),1000)</f>
        <v>1000</v>
      </c>
      <c r="J253" s="5">
        <f ca="1">IFERROR(__xludf.DUMMYFUNCTION("""COMPUTED_VALUE"""),456)</f>
        <v>456</v>
      </c>
      <c r="K253" s="3"/>
      <c r="L253" s="3" t="str">
        <f ca="1">IFERROR(__xludf.DUMMYFUNCTION("""COMPUTED_VALUE"""),"Cost per period")</f>
        <v>Cost per period</v>
      </c>
      <c r="M253" s="3"/>
      <c r="N253" s="3"/>
      <c r="O253" s="3" t="str">
        <f ca="1">IFERROR(__xludf.DUMMYFUNCTION("""COMPUTED_VALUE"""),"2000")</f>
        <v>2000</v>
      </c>
      <c r="P253" s="3" t="str">
        <f ca="1">IFERROR(__xludf.DUMMYFUNCTION("""COMPUTED_VALUE"""),"1400")</f>
        <v>1400</v>
      </c>
      <c r="Q253" s="3" t="str">
        <f ca="1">IFERROR(__xludf.DUMMYFUNCTION("""COMPUTED_VALUE"""),"2000x1400 + 600x1080")</f>
        <v>2000x1400 + 600x1080</v>
      </c>
      <c r="R253" s="3"/>
      <c r="S253" s="3" t="str">
        <f ca="1">IFERROR(__xludf.DUMMYFUNCTION("""COMPUTED_VALUE"""),"500 (600 - HTLM5)")</f>
        <v>500 (600 - HTLM5)</v>
      </c>
      <c r="T253" s="3"/>
      <c r="U253" s="3" t="str">
        <f ca="1">IFERROR(__xludf.DUMMYFUNCTION("""COMPUTED_VALUE"""),"banner standard")</f>
        <v>banner standard</v>
      </c>
      <c r="V253" s="3"/>
      <c r="W253" s="4" t="str">
        <f ca="1">IFERROR(__xludf.DUMMYFUNCTION("""COMPUTED_VALUE"""),"https://reklama.cncenter.cz/Online/branding-cross-device")</f>
        <v>https://reklama.cncenter.cz/Online/branding-cross-device</v>
      </c>
      <c r="X253" s="3"/>
      <c r="Y253" s="3"/>
      <c r="Z253" s="3" t="str">
        <f ca="1">IFERROR(__xludf.DUMMYFUNCTION("""COMPUTED_VALUE"""),"podklady@cncenter.cz")</f>
        <v>podklady@cncenter.cz</v>
      </c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 t="str">
        <f ca="1">IFERROR(__xludf.DUMMYFUNCTION("""COMPUTED_VALUE"""),"cross-device")</f>
        <v>cross-device</v>
      </c>
      <c r="AO253" s="3"/>
      <c r="AP253" s="3"/>
      <c r="AQ253" s="3"/>
      <c r="AR253" s="3"/>
      <c r="AS253" s="3"/>
      <c r="AT253" s="3"/>
      <c r="AU253" s="3" t="str">
        <f ca="1">IFERROR(__xludf.DUMMYFUNCTION("""COMPUTED_VALUE"""),"cílený branding cross-device")</f>
        <v>cílený branding cross-device</v>
      </c>
    </row>
    <row r="254" spans="1:47" x14ac:dyDescent="0.3">
      <c r="A254" s="3">
        <f ca="1"/>
        <v>2346826</v>
      </c>
      <c r="B254" s="3" t="str">
        <f ca="1"/>
        <v>CZECH NEWS CENTER a. s.</v>
      </c>
      <c r="C254" s="3" t="str">
        <f ca="1">IFERROR(__xludf.DUMMYFUNCTION("""COMPUTED_VALUE"""),"CNC auto moto pack")</f>
        <v>CNC auto moto pack</v>
      </c>
      <c r="D254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4" s="3" t="str">
        <f ca="1">IFERROR(__xludf.DUMMYFUNCTION("""COMPUTED_VALUE"""),"celý web")</f>
        <v>celý web</v>
      </c>
      <c r="F254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4" s="3" t="str">
        <f ca="1">IFERROR(__xludf.DUMMYFUNCTION("""COMPUTED_VALUE"""),"cílený branding mid season")</f>
        <v>cílený branding mid season</v>
      </c>
      <c r="H254" s="3">
        <f ca="1">IFERROR(__xludf.DUMMYFUNCTION("""COMPUTED_VALUE"""),7)</f>
        <v>7</v>
      </c>
      <c r="I254" s="5">
        <f ca="1">IFERROR(__xludf.DUMMYFUNCTION("""COMPUTED_VALUE"""),1000)</f>
        <v>1000</v>
      </c>
      <c r="J254" s="5">
        <f ca="1">IFERROR(__xludf.DUMMYFUNCTION("""COMPUTED_VALUE"""),672)</f>
        <v>672</v>
      </c>
      <c r="K254" s="3"/>
      <c r="L254" s="3" t="str">
        <f ca="1">IFERROR(__xludf.DUMMYFUNCTION("""COMPUTED_VALUE"""),"Cost per period")</f>
        <v>Cost per period</v>
      </c>
      <c r="M254" s="3"/>
      <c r="N254" s="3"/>
      <c r="O254" s="3" t="str">
        <f ca="1">IFERROR(__xludf.DUMMYFUNCTION("""COMPUTED_VALUE"""),"2000")</f>
        <v>2000</v>
      </c>
      <c r="P254" s="3" t="str">
        <f ca="1">IFERROR(__xludf.DUMMYFUNCTION("""COMPUTED_VALUE"""),"1400")</f>
        <v>1400</v>
      </c>
      <c r="Q254" s="3" t="str">
        <f ca="1">IFERROR(__xludf.DUMMYFUNCTION("""COMPUTED_VALUE"""),"2000x1400")</f>
        <v>2000x1400</v>
      </c>
      <c r="R254" s="3"/>
      <c r="S254" s="3" t="str">
        <f ca="1">IFERROR(__xludf.DUMMYFUNCTION("""COMPUTED_VALUE"""),"500 + 200 (600+200 HTML5)")</f>
        <v>500 + 200 (600+200 HTML5)</v>
      </c>
      <c r="T254" s="3"/>
      <c r="U254" s="3" t="str">
        <f ca="1">IFERROR(__xludf.DUMMYFUNCTION("""COMPUTED_VALUE"""),"banner standard")</f>
        <v>banner standard</v>
      </c>
      <c r="V254" s="3"/>
      <c r="W254" s="4" t="str">
        <f ca="1">IFERROR(__xludf.DUMMYFUNCTION("""COMPUTED_VALUE"""),"https://reklama.cncenter.cz/Online/branding")</f>
        <v>https://reklama.cncenter.cz/Online/branding</v>
      </c>
      <c r="X254" s="3"/>
      <c r="Y254" s="3"/>
      <c r="Z254" s="3" t="str">
        <f ca="1">IFERROR(__xludf.DUMMYFUNCTION("""COMPUTED_VALUE"""),"podklady@cncenter.cz")</f>
        <v>podklady@cncenter.cz</v>
      </c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 t="str">
        <f ca="1">IFERROR(__xludf.DUMMYFUNCTION("""COMPUTED_VALUE"""),"desktop")</f>
        <v>desktop</v>
      </c>
      <c r="AO254" s="3"/>
      <c r="AP254" s="3"/>
      <c r="AQ254" s="3"/>
      <c r="AR254" s="3"/>
      <c r="AS254" s="3"/>
      <c r="AT254" s="3"/>
      <c r="AU254" s="3" t="str">
        <f ca="1">IFERROR(__xludf.DUMMYFUNCTION("""COMPUTED_VALUE"""),"cílený branding")</f>
        <v>cílený branding</v>
      </c>
    </row>
    <row r="255" spans="1:47" x14ac:dyDescent="0.3">
      <c r="A255" s="3">
        <f ca="1"/>
        <v>2346826</v>
      </c>
      <c r="B255" s="3" t="str">
        <f ca="1"/>
        <v>CZECH NEWS CENTER a. s.</v>
      </c>
      <c r="C255" s="3" t="str">
        <f ca="1">IFERROR(__xludf.DUMMYFUNCTION("""COMPUTED_VALUE"""),"CNC auto moto pack")</f>
        <v>CNC auto moto pack</v>
      </c>
      <c r="D255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5" s="3" t="str">
        <f ca="1">IFERROR(__xludf.DUMMYFUNCTION("""COMPUTED_VALUE"""),"celý web")</f>
        <v>celý web</v>
      </c>
      <c r="F255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5" s="3" t="str">
        <f ca="1">IFERROR(__xludf.DUMMYFUNCTION("""COMPUTED_VALUE"""),"cílený double skyscraper mid season")</f>
        <v>cílený double skyscraper mid season</v>
      </c>
      <c r="H255" s="3">
        <f ca="1">IFERROR(__xludf.DUMMYFUNCTION("""COMPUTED_VALUE"""),7)</f>
        <v>7</v>
      </c>
      <c r="I255" s="5">
        <f ca="1">IFERROR(__xludf.DUMMYFUNCTION("""COMPUTED_VALUE"""),1000)</f>
        <v>1000</v>
      </c>
      <c r="J255" s="5">
        <f ca="1">IFERROR(__xludf.DUMMYFUNCTION("""COMPUTED_VALUE"""),252)</f>
        <v>252</v>
      </c>
      <c r="K255" s="3"/>
      <c r="L255" s="3" t="str">
        <f ca="1">IFERROR(__xludf.DUMMYFUNCTION("""COMPUTED_VALUE"""),"Cost per period")</f>
        <v>Cost per period</v>
      </c>
      <c r="M255" s="3"/>
      <c r="N255" s="3"/>
      <c r="O255" s="3" t="str">
        <f ca="1">IFERROR(__xludf.DUMMYFUNCTION("""COMPUTED_VALUE"""),"300")</f>
        <v>300</v>
      </c>
      <c r="P255" s="3" t="str">
        <f ca="1">IFERROR(__xludf.DUMMYFUNCTION("""COMPUTED_VALUE"""),"600")</f>
        <v>600</v>
      </c>
      <c r="Q255" s="3" t="str">
        <f ca="1">IFERROR(__xludf.DUMMYFUNCTION("""COMPUTED_VALUE"""),"300x600")</f>
        <v>300x600</v>
      </c>
      <c r="R255" s="3"/>
      <c r="S255" s="3" t="str">
        <f ca="1">IFERROR(__xludf.DUMMYFUNCTION("""COMPUTED_VALUE"""),"100 (200 - HTML5)")</f>
        <v>100 (200 - HTML5)</v>
      </c>
      <c r="T255" s="3"/>
      <c r="U255" s="3" t="str">
        <f ca="1">IFERROR(__xludf.DUMMYFUNCTION("""COMPUTED_VALUE"""),"banner standard")</f>
        <v>banner standard</v>
      </c>
      <c r="V255" s="3"/>
      <c r="W255" s="4" t="str">
        <f ca="1">IFERROR(__xludf.DUMMYFUNCTION("""COMPUTED_VALUE"""),"https://reklama.cncenter.cz/Online/double-skyscraper")</f>
        <v>https://reklama.cncenter.cz/Online/double-skyscraper</v>
      </c>
      <c r="X255" s="3"/>
      <c r="Y255" s="3"/>
      <c r="Z255" s="3" t="str">
        <f ca="1">IFERROR(__xludf.DUMMYFUNCTION("""COMPUTED_VALUE"""),"podklady@cncenter.cz")</f>
        <v>podklady@cncenter.cz</v>
      </c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 t="str">
        <f ca="1">IFERROR(__xludf.DUMMYFUNCTION("""COMPUTED_VALUE"""),"desktop")</f>
        <v>desktop</v>
      </c>
      <c r="AO255" s="3"/>
      <c r="AP255" s="3"/>
      <c r="AQ255" s="3"/>
      <c r="AR255" s="3"/>
      <c r="AS255" s="3"/>
      <c r="AT255" s="3"/>
      <c r="AU255" s="3" t="str">
        <f ca="1">IFERROR(__xludf.DUMMYFUNCTION("""COMPUTED_VALUE"""),"cílený double skyscraper")</f>
        <v>cílený double skyscraper</v>
      </c>
    </row>
    <row r="256" spans="1:47" x14ac:dyDescent="0.3">
      <c r="A256" s="3">
        <f ca="1"/>
        <v>2346826</v>
      </c>
      <c r="B256" s="3" t="str">
        <f ca="1"/>
        <v>CZECH NEWS CENTER a. s.</v>
      </c>
      <c r="C256" s="3" t="str">
        <f ca="1">IFERROR(__xludf.DUMMYFUNCTION("""COMPUTED_VALUE"""),"CNC auto moto pack")</f>
        <v>CNC auto moto pack</v>
      </c>
      <c r="D256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6" s="3" t="str">
        <f ca="1">IFERROR(__xludf.DUMMYFUNCTION("""COMPUTED_VALUE"""),"celý web")</f>
        <v>celý web</v>
      </c>
      <c r="F256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6" s="3" t="str">
        <f ca="1">IFERROR(__xludf.DUMMYFUNCTION("""COMPUTED_VALUE"""),"cílený mini videospot - max. 30 sec. mid season")</f>
        <v>cílený mini videospot - max. 30 sec. mid season</v>
      </c>
      <c r="H256" s="3">
        <f ca="1">IFERROR(__xludf.DUMMYFUNCTION("""COMPUTED_VALUE"""),7)</f>
        <v>7</v>
      </c>
      <c r="I256" s="5">
        <f ca="1">IFERROR(__xludf.DUMMYFUNCTION("""COMPUTED_VALUE"""),1000)</f>
        <v>1000</v>
      </c>
      <c r="J256" s="5">
        <f ca="1">IFERROR(__xludf.DUMMYFUNCTION("""COMPUTED_VALUE"""),252)</f>
        <v>252</v>
      </c>
      <c r="K256" s="3"/>
      <c r="L256" s="3" t="str">
        <f ca="1">IFERROR(__xludf.DUMMYFUNCTION("""COMPUTED_VALUE"""),"Cost per period")</f>
        <v>Cost per period</v>
      </c>
      <c r="M256" s="3"/>
      <c r="N256" s="3"/>
      <c r="O256" s="3"/>
      <c r="P256" s="3"/>
      <c r="Q256" s="3" t="str">
        <f ca="1">IFERROR(__xludf.DUMMYFUNCTION("""COMPUTED_VALUE"""),"16:9 / umístění po domluvě dle možností")</f>
        <v>16:9 / umístění po domluvě dle možností</v>
      </c>
      <c r="R256" s="3" t="str">
        <f ca="1">IFERROR(__xludf.DUMMYFUNCTION("""COMPUTED_VALUE"""),"přeskočení po 7 sekundách")</f>
        <v>přeskočení po 7 sekundách</v>
      </c>
      <c r="S256" s="3" t="str">
        <f ca="1">IFERROR(__xludf.DUMMYFUNCTION("""COMPUTED_VALUE"""),"100")</f>
        <v>100</v>
      </c>
      <c r="T256" s="3"/>
      <c r="U256" s="3" t="str">
        <f ca="1">IFERROR(__xludf.DUMMYFUNCTION("""COMPUTED_VALUE"""),"videospot")</f>
        <v>videospot</v>
      </c>
      <c r="V256" s="3"/>
      <c r="W256" s="4" t="str">
        <f ca="1">IFERROR(__xludf.DUMMYFUNCTION("""COMPUTED_VALUE"""),"https://reklama.cncenter.cz/Online/Videospot")</f>
        <v>https://reklama.cncenter.cz/Online/Videospot</v>
      </c>
      <c r="X256" s="3"/>
      <c r="Y256" s="3"/>
      <c r="Z256" s="3" t="str">
        <f ca="1">IFERROR(__xludf.DUMMYFUNCTION("""COMPUTED_VALUE"""),"podklady@cncenter.cz")</f>
        <v>podklady@cncenter.cz</v>
      </c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 t="str">
        <f ca="1">IFERROR(__xludf.DUMMYFUNCTION("""COMPUTED_VALUE"""),"desktop")</f>
        <v>desktop</v>
      </c>
      <c r="AO256" s="3"/>
      <c r="AP256" s="3"/>
      <c r="AQ256" s="3"/>
      <c r="AR256" s="3"/>
      <c r="AS256" s="3"/>
      <c r="AT256" s="3"/>
      <c r="AU256" s="3" t="str">
        <f ca="1">IFERROR(__xludf.DUMMYFUNCTION("""COMPUTED_VALUE"""),"cílený mini videospot - max. 30 sec.")</f>
        <v>cílený mini videospot - max. 30 sec.</v>
      </c>
    </row>
    <row r="257" spans="1:47" x14ac:dyDescent="0.3">
      <c r="A257" s="3">
        <f ca="1"/>
        <v>2346826</v>
      </c>
      <c r="B257" s="3" t="str">
        <f ca="1"/>
        <v>CZECH NEWS CENTER a. s.</v>
      </c>
      <c r="C257" s="3" t="str">
        <f ca="1">IFERROR(__xludf.DUMMYFUNCTION("""COMPUTED_VALUE"""),"CNC auto moto pack")</f>
        <v>CNC auto moto pack</v>
      </c>
      <c r="D257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7" s="3" t="str">
        <f ca="1">IFERROR(__xludf.DUMMYFUNCTION("""COMPUTED_VALUE"""),"celý web")</f>
        <v>celý web</v>
      </c>
      <c r="F257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7" s="3" t="str">
        <f ca="1">IFERROR(__xludf.DUMMYFUNCTION("""COMPUTED_VALUE"""),"cílený mobilní interscroller mid season")</f>
        <v>cílený mobilní interscroller mid season</v>
      </c>
      <c r="H257" s="3">
        <f ca="1">IFERROR(__xludf.DUMMYFUNCTION("""COMPUTED_VALUE"""),7)</f>
        <v>7</v>
      </c>
      <c r="I257" s="5">
        <f ca="1">IFERROR(__xludf.DUMMYFUNCTION("""COMPUTED_VALUE"""),1000)</f>
        <v>1000</v>
      </c>
      <c r="J257" s="5">
        <f ca="1">IFERROR(__xludf.DUMMYFUNCTION("""COMPUTED_VALUE"""),336)</f>
        <v>336</v>
      </c>
      <c r="K257" s="3"/>
      <c r="L257" s="3" t="str">
        <f ca="1">IFERROR(__xludf.DUMMYFUNCTION("""COMPUTED_VALUE"""),"Cost per period")</f>
        <v>Cost per period</v>
      </c>
      <c r="M257" s="3"/>
      <c r="N257" s="3"/>
      <c r="O257" s="3" t="str">
        <f ca="1">IFERROR(__xludf.DUMMYFUNCTION("""COMPUTED_VALUE"""),"600")</f>
        <v>600</v>
      </c>
      <c r="P257" s="3" t="str">
        <f ca="1">IFERROR(__xludf.DUMMYFUNCTION("""COMPUTED_VALUE"""),"1080")</f>
        <v>1080</v>
      </c>
      <c r="Q257" s="3" t="str">
        <f ca="1">IFERROR(__xludf.DUMMYFUNCTION("""COMPUTED_VALUE"""),"600x1080")</f>
        <v>600x1080</v>
      </c>
      <c r="R257" s="3"/>
      <c r="S257" s="3" t="str">
        <f ca="1">IFERROR(__xludf.DUMMYFUNCTION("""COMPUTED_VALUE"""),"200")</f>
        <v>200</v>
      </c>
      <c r="T257" s="3"/>
      <c r="U257" s="3" t="str">
        <f ca="1">IFERROR(__xludf.DUMMYFUNCTION("""COMPUTED_VALUE"""),"banner standard")</f>
        <v>banner standard</v>
      </c>
      <c r="V257" s="3"/>
      <c r="W257" s="4" t="str">
        <f ca="1">IFERROR(__xludf.DUMMYFUNCTION("""COMPUTED_VALUE"""),"https://reklama.cncenter.cz/Online/mobilni-interscroller")</f>
        <v>https://reklama.cncenter.cz/Online/mobilni-interscroller</v>
      </c>
      <c r="X257" s="3"/>
      <c r="Y257" s="3"/>
      <c r="Z257" s="3" t="str">
        <f ca="1">IFERROR(__xludf.DUMMYFUNCTION("""COMPUTED_VALUE"""),"podklady@cncenter.cz")</f>
        <v>podklady@cncenter.cz</v>
      </c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 t="str">
        <f ca="1">IFERROR(__xludf.DUMMYFUNCTION("""COMPUTED_VALUE"""),"mobile")</f>
        <v>mobile</v>
      </c>
      <c r="AO257" s="3"/>
      <c r="AP257" s="3"/>
      <c r="AQ257" s="3"/>
      <c r="AR257" s="3"/>
      <c r="AS257" s="3"/>
      <c r="AT257" s="3"/>
      <c r="AU257" s="3" t="str">
        <f ca="1">IFERROR(__xludf.DUMMYFUNCTION("""COMPUTED_VALUE"""),"cílený mobilní interscroller")</f>
        <v>cílený mobilní interscroller</v>
      </c>
    </row>
    <row r="258" spans="1:47" x14ac:dyDescent="0.3">
      <c r="A258" s="3">
        <f ca="1"/>
        <v>2346826</v>
      </c>
      <c r="B258" s="3" t="str">
        <f ca="1"/>
        <v>CZECH NEWS CENTER a. s.</v>
      </c>
      <c r="C258" s="3" t="str">
        <f ca="1">IFERROR(__xludf.DUMMYFUNCTION("""COMPUTED_VALUE"""),"CNC auto moto pack")</f>
        <v>CNC auto moto pack</v>
      </c>
      <c r="D258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8" s="3" t="str">
        <f ca="1">IFERROR(__xludf.DUMMYFUNCTION("""COMPUTED_VALUE"""),"celý web")</f>
        <v>celý web</v>
      </c>
      <c r="F258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8" s="3" t="str">
        <f ca="1">IFERROR(__xludf.DUMMYFUNCTION("""COMPUTED_VALUE"""),"cílený mobilní slide-up mid season")</f>
        <v>cílený mobilní slide-up mid season</v>
      </c>
      <c r="H258" s="3">
        <f ca="1">IFERROR(__xludf.DUMMYFUNCTION("""COMPUTED_VALUE"""),7)</f>
        <v>7</v>
      </c>
      <c r="I258" s="5">
        <f ca="1">IFERROR(__xludf.DUMMYFUNCTION("""COMPUTED_VALUE"""),1000)</f>
        <v>1000</v>
      </c>
      <c r="J258" s="5">
        <f ca="1">IFERROR(__xludf.DUMMYFUNCTION("""COMPUTED_VALUE"""),672)</f>
        <v>672</v>
      </c>
      <c r="K258" s="3"/>
      <c r="L258" s="3" t="str">
        <f ca="1">IFERROR(__xludf.DUMMYFUNCTION("""COMPUTED_VALUE"""),"Cost per period")</f>
        <v>Cost per period</v>
      </c>
      <c r="M258" s="3"/>
      <c r="N258" s="3"/>
      <c r="O258" s="3" t="str">
        <f ca="1">IFERROR(__xludf.DUMMYFUNCTION("""COMPUTED_VALUE"""),"300")</f>
        <v>300</v>
      </c>
      <c r="P258" s="3" t="str">
        <f ca="1">IFERROR(__xludf.DUMMYFUNCTION("""COMPUTED_VALUE"""),"120")</f>
        <v>120</v>
      </c>
      <c r="Q258" s="3" t="str">
        <f ca="1">IFERROR(__xludf.DUMMYFUNCTION("""COMPUTED_VALUE"""),"300x120")</f>
        <v>300x120</v>
      </c>
      <c r="R258" s="3"/>
      <c r="S258" s="3" t="str">
        <f ca="1">IFERROR(__xludf.DUMMYFUNCTION("""COMPUTED_VALUE"""),"100")</f>
        <v>100</v>
      </c>
      <c r="T258" s="3"/>
      <c r="U258" s="3" t="str">
        <f ca="1">IFERROR(__xludf.DUMMYFUNCTION("""COMPUTED_VALUE"""),"banner standard")</f>
        <v>banner standard</v>
      </c>
      <c r="V258" s="3"/>
      <c r="W258" s="4" t="str">
        <f ca="1">IFERROR(__xludf.DUMMYFUNCTION("""COMPUTED_VALUE"""),"https://reklama.cncenter.cz/Online/mobilni-slide-up")</f>
        <v>https://reklama.cncenter.cz/Online/mobilni-slide-up</v>
      </c>
      <c r="X258" s="3"/>
      <c r="Y258" s="3"/>
      <c r="Z258" s="3" t="str">
        <f ca="1">IFERROR(__xludf.DUMMYFUNCTION("""COMPUTED_VALUE"""),"podklady@cncenter.cz")</f>
        <v>podklady@cncenter.cz</v>
      </c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 t="str">
        <f ca="1">IFERROR(__xludf.DUMMYFUNCTION("""COMPUTED_VALUE"""),"mobile")</f>
        <v>mobile</v>
      </c>
      <c r="AO258" s="3"/>
      <c r="AP258" s="3"/>
      <c r="AQ258" s="3"/>
      <c r="AR258" s="3"/>
      <c r="AS258" s="3"/>
      <c r="AT258" s="3"/>
      <c r="AU258" s="3" t="str">
        <f ca="1">IFERROR(__xludf.DUMMYFUNCTION("""COMPUTED_VALUE"""),"cílený mobilní slide-up")</f>
        <v>cílený mobilní slide-up</v>
      </c>
    </row>
    <row r="259" spans="1:47" x14ac:dyDescent="0.3">
      <c r="A259" s="3">
        <f ca="1"/>
        <v>2346826</v>
      </c>
      <c r="B259" s="3" t="str">
        <f ca="1"/>
        <v>CZECH NEWS CENTER a. s.</v>
      </c>
      <c r="C259" s="3" t="str">
        <f ca="1">IFERROR(__xludf.DUMMYFUNCTION("""COMPUTED_VALUE"""),"CNC auto moto pack")</f>
        <v>CNC auto moto pack</v>
      </c>
      <c r="D259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9" s="3" t="str">
        <f ca="1">IFERROR(__xludf.DUMMYFUNCTION("""COMPUTED_VALUE"""),"celý web")</f>
        <v>celý web</v>
      </c>
      <c r="F259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9" s="3" t="str">
        <f ca="1">IFERROR(__xludf.DUMMYFUNCTION("""COMPUTED_VALUE"""),"cílený mobilní viněta mid season")</f>
        <v>cílený mobilní viněta mid season</v>
      </c>
      <c r="H259" s="3">
        <f ca="1">IFERROR(__xludf.DUMMYFUNCTION("""COMPUTED_VALUE"""),7)</f>
        <v>7</v>
      </c>
      <c r="I259" s="5">
        <f ca="1">IFERROR(__xludf.DUMMYFUNCTION("""COMPUTED_VALUE"""),1000)</f>
        <v>1000</v>
      </c>
      <c r="J259" s="5">
        <f ca="1">IFERROR(__xludf.DUMMYFUNCTION("""COMPUTED_VALUE"""),948)</f>
        <v>948</v>
      </c>
      <c r="K259" s="3"/>
      <c r="L259" s="3" t="str">
        <f ca="1">IFERROR(__xludf.DUMMYFUNCTION("""COMPUTED_VALUE"""),"Cost per period")</f>
        <v>Cost per period</v>
      </c>
      <c r="M259" s="3"/>
      <c r="N259" s="3"/>
      <c r="O259" s="3" t="str">
        <f ca="1">IFERROR(__xludf.DUMMYFUNCTION("""COMPUTED_VALUE"""),"600")</f>
        <v>600</v>
      </c>
      <c r="P259" s="3" t="str">
        <f ca="1">IFERROR(__xludf.DUMMYFUNCTION("""COMPUTED_VALUE"""),"800")</f>
        <v>800</v>
      </c>
      <c r="Q259" s="3" t="str">
        <f ca="1">IFERROR(__xludf.DUMMYFUNCTION("""COMPUTED_VALUE"""),"300x250 nebo 600x800")</f>
        <v>300x250 nebo 600x800</v>
      </c>
      <c r="R259" s="3"/>
      <c r="S259" s="3" t="str">
        <f ca="1">IFERROR(__xludf.DUMMYFUNCTION("""COMPUTED_VALUE"""),"100")</f>
        <v>100</v>
      </c>
      <c r="T259" s="3"/>
      <c r="U259" s="3" t="str">
        <f ca="1">IFERROR(__xludf.DUMMYFUNCTION("""COMPUTED_VALUE"""),"banner standard")</f>
        <v>banner standard</v>
      </c>
      <c r="V259" s="3"/>
      <c r="W259" s="4" t="str">
        <f ca="1">IFERROR(__xludf.DUMMYFUNCTION("""COMPUTED_VALUE"""),"https://reklama.cncenter.cz/Online/mobilni-vineta")</f>
        <v>https://reklama.cncenter.cz/Online/mobilni-vineta</v>
      </c>
      <c r="X259" s="3"/>
      <c r="Y259" s="3"/>
      <c r="Z259" s="3" t="str">
        <f ca="1">IFERROR(__xludf.DUMMYFUNCTION("""COMPUTED_VALUE"""),"podklady@cncenter.cz")</f>
        <v>podklady@cncenter.cz</v>
      </c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 t="str">
        <f ca="1">IFERROR(__xludf.DUMMYFUNCTION("""COMPUTED_VALUE"""),"mobile")</f>
        <v>mobile</v>
      </c>
      <c r="AO259" s="3"/>
      <c r="AP259" s="3"/>
      <c r="AQ259" s="3"/>
      <c r="AR259" s="3"/>
      <c r="AS259" s="3"/>
      <c r="AT259" s="3"/>
      <c r="AU259" s="3" t="str">
        <f ca="1">IFERROR(__xludf.DUMMYFUNCTION("""COMPUTED_VALUE"""),"cílený mobilní viněta")</f>
        <v>cílený mobilní viněta</v>
      </c>
    </row>
    <row r="260" spans="1:47" x14ac:dyDescent="0.3">
      <c r="A260" s="3">
        <f ca="1"/>
        <v>2346826</v>
      </c>
      <c r="B260" s="3" t="str">
        <f ca="1"/>
        <v>CZECH NEWS CENTER a. s.</v>
      </c>
      <c r="C260" s="3" t="str">
        <f ca="1">IFERROR(__xludf.DUMMYFUNCTION("""COMPUTED_VALUE"""),"CNC auto moto pack")</f>
        <v>CNC auto moto pack</v>
      </c>
      <c r="D260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0" s="3" t="str">
        <f ca="1">IFERROR(__xludf.DUMMYFUNCTION("""COMPUTED_VALUE"""),"celý web")</f>
        <v>celý web</v>
      </c>
      <c r="F260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0" s="3" t="str">
        <f ca="1">IFERROR(__xludf.DUMMYFUNCTION("""COMPUTED_VALUE"""),"cílený nativní rectangle cross-device mid season")</f>
        <v>cílený nativní rectangle cross-device mid season</v>
      </c>
      <c r="H260" s="3">
        <f ca="1">IFERROR(__xludf.DUMMYFUNCTION("""COMPUTED_VALUE"""),7)</f>
        <v>7</v>
      </c>
      <c r="I260" s="5">
        <f ca="1">IFERROR(__xludf.DUMMYFUNCTION("""COMPUTED_VALUE"""),1000)</f>
        <v>1000</v>
      </c>
      <c r="J260" s="5">
        <f ca="1">IFERROR(__xludf.DUMMYFUNCTION("""COMPUTED_VALUE"""),252)</f>
        <v>252</v>
      </c>
      <c r="K260" s="3"/>
      <c r="L260" s="3" t="str">
        <f ca="1">IFERROR(__xludf.DUMMYFUNCTION("""COMPUTED_VALUE"""),"Cost per period")</f>
        <v>Cost per period</v>
      </c>
      <c r="M260" s="3"/>
      <c r="N260" s="3"/>
      <c r="O260" s="3" t="str">
        <f ca="1">IFERROR(__xludf.DUMMYFUNCTION("""COMPUTED_VALUE"""),"640")</f>
        <v>640</v>
      </c>
      <c r="P260" s="3" t="str">
        <f ca="1">IFERROR(__xludf.DUMMYFUNCTION("""COMPUTED_VALUE"""),"335, 640")</f>
        <v>335, 640</v>
      </c>
      <c r="Q260" s="3" t="str">
        <f ca="1">IFERROR(__xludf.DUMMYFUNCTION("""COMPUTED_VALUE"""),"640x640 a 640x335 + text + logo")</f>
        <v>640x640 a 640x335 + text + logo</v>
      </c>
      <c r="R260" s="3"/>
      <c r="S260" s="3" t="str">
        <f ca="1">IFERROR(__xludf.DUMMYFUNCTION("""COMPUTED_VALUE"""),"45")</f>
        <v>45</v>
      </c>
      <c r="T260" s="3"/>
      <c r="U260" s="3" t="str">
        <f ca="1">IFERROR(__xludf.DUMMYFUNCTION("""COMPUTED_VALUE"""),"nativní reklama")</f>
        <v>nativní reklama</v>
      </c>
      <c r="V260" s="3"/>
      <c r="W260" s="4" t="str">
        <f ca="1">IFERROR(__xludf.DUMMYFUNCTION("""COMPUTED_VALUE"""),"https://reklama.cncenter.cz/Online/nativni-rectangle-cross-device")</f>
        <v>https://reklama.cncenter.cz/Online/nativni-rectangle-cross-device</v>
      </c>
      <c r="X260" s="3"/>
      <c r="Y260" s="3"/>
      <c r="Z260" s="3" t="str">
        <f ca="1">IFERROR(__xludf.DUMMYFUNCTION("""COMPUTED_VALUE"""),"podklady@cncenter.cz")</f>
        <v>podklady@cncenter.cz</v>
      </c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 t="str">
        <f ca="1">IFERROR(__xludf.DUMMYFUNCTION("""COMPUTED_VALUE"""),"cross-device")</f>
        <v>cross-device</v>
      </c>
      <c r="AO260" s="3"/>
      <c r="AP260" s="3"/>
      <c r="AQ260" s="3"/>
      <c r="AR260" s="3"/>
      <c r="AS260" s="3"/>
      <c r="AT260" s="3"/>
      <c r="AU260" s="3" t="str">
        <f ca="1">IFERROR(__xludf.DUMMYFUNCTION("""COMPUTED_VALUE"""),"cílený nativní rectangle cross-device")</f>
        <v>cílený nativní rectangle cross-device</v>
      </c>
    </row>
    <row r="261" spans="1:47" x14ac:dyDescent="0.3">
      <c r="A261" s="3">
        <f ca="1"/>
        <v>2346826</v>
      </c>
      <c r="B261" s="3" t="str">
        <f ca="1"/>
        <v>CZECH NEWS CENTER a. s.</v>
      </c>
      <c r="C261" s="3" t="str">
        <f ca="1">IFERROR(__xludf.DUMMYFUNCTION("""COMPUTED_VALUE"""),"CNC auto moto pack")</f>
        <v>CNC auto moto pack</v>
      </c>
      <c r="D261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1" s="3" t="str">
        <f ca="1">IFERROR(__xludf.DUMMYFUNCTION("""COMPUTED_VALUE"""),"celý web")</f>
        <v>celý web</v>
      </c>
      <c r="F261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1" s="3" t="str">
        <f ca="1">IFERROR(__xludf.DUMMYFUNCTION("""COMPUTED_VALUE"""),"cílený outstream mid season")</f>
        <v>cílený outstream mid season</v>
      </c>
      <c r="H261" s="3">
        <f ca="1">IFERROR(__xludf.DUMMYFUNCTION("""COMPUTED_VALUE"""),7)</f>
        <v>7</v>
      </c>
      <c r="I261" s="5">
        <f ca="1">IFERROR(__xludf.DUMMYFUNCTION("""COMPUTED_VALUE"""),1000)</f>
        <v>1000</v>
      </c>
      <c r="J261" s="5">
        <f ca="1">IFERROR(__xludf.DUMMYFUNCTION("""COMPUTED_VALUE"""),396)</f>
        <v>396</v>
      </c>
      <c r="K261" s="3"/>
      <c r="L261" s="3" t="str">
        <f ca="1">IFERROR(__xludf.DUMMYFUNCTION("""COMPUTED_VALUE"""),"Cost per period")</f>
        <v>Cost per period</v>
      </c>
      <c r="M261" s="3"/>
      <c r="N261" s="3"/>
      <c r="O261" s="3" t="str">
        <f ca="1">IFERROR(__xludf.DUMMYFUNCTION("""COMPUTED_VALUE"""),"1280")</f>
        <v>1280</v>
      </c>
      <c r="P261" s="3" t="str">
        <f ca="1">IFERROR(__xludf.DUMMYFUNCTION("""COMPUTED_VALUE"""),"720")</f>
        <v>720</v>
      </c>
      <c r="Q261" s="3" t="str">
        <f ca="1">IFERROR(__xludf.DUMMYFUNCTION("""COMPUTED_VALUE"""),"16:9")</f>
        <v>16:9</v>
      </c>
      <c r="R261" s="3"/>
      <c r="S261" s="3" t="str">
        <f ca="1">IFERROR(__xludf.DUMMYFUNCTION("""COMPUTED_VALUE"""),"100")</f>
        <v>100</v>
      </c>
      <c r="T261" s="3"/>
      <c r="U261" s="3" t="str">
        <f ca="1">IFERROR(__xludf.DUMMYFUNCTION("""COMPUTED_VALUE"""),"videospot")</f>
        <v>videospot</v>
      </c>
      <c r="V261" s="3"/>
      <c r="W261" s="4" t="str">
        <f ca="1">IFERROR(__xludf.DUMMYFUNCTION("""COMPUTED_VALUE"""),"https://reklama.cncenter.cz/Online/Outstream")</f>
        <v>https://reklama.cncenter.cz/Online/Outstream</v>
      </c>
      <c r="X261" s="3"/>
      <c r="Y261" s="3"/>
      <c r="Z261" s="3" t="str">
        <f ca="1">IFERROR(__xludf.DUMMYFUNCTION("""COMPUTED_VALUE"""),"podklady@cncenter.cz")</f>
        <v>podklady@cncenter.cz</v>
      </c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 t="str">
        <f ca="1">IFERROR(__xludf.DUMMYFUNCTION("""COMPUTED_VALUE"""),"cross-device")</f>
        <v>cross-device</v>
      </c>
      <c r="AO261" s="3"/>
      <c r="AP261" s="3"/>
      <c r="AQ261" s="3"/>
      <c r="AR261" s="3"/>
      <c r="AS261" s="3"/>
      <c r="AT261" s="3"/>
      <c r="AU261" s="3" t="str">
        <f ca="1">IFERROR(__xludf.DUMMYFUNCTION("""COMPUTED_VALUE"""),"cílený outstream")</f>
        <v>cílený outstream</v>
      </c>
    </row>
    <row r="262" spans="1:47" x14ac:dyDescent="0.3">
      <c r="A262" s="3">
        <f ca="1"/>
        <v>2346826</v>
      </c>
      <c r="B262" s="3" t="str">
        <f ca="1"/>
        <v>CZECH NEWS CENTER a. s.</v>
      </c>
      <c r="C262" s="3" t="str">
        <f ca="1">IFERROR(__xludf.DUMMYFUNCTION("""COMPUTED_VALUE"""),"CNC auto moto pack")</f>
        <v>CNC auto moto pack</v>
      </c>
      <c r="D262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2" s="3" t="str">
        <f ca="1">IFERROR(__xludf.DUMMYFUNCTION("""COMPUTED_VALUE"""),"celý web")</f>
        <v>celý web</v>
      </c>
      <c r="F262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2" s="3" t="str">
        <f ca="1">IFERROR(__xludf.DUMMYFUNCTION("""COMPUTED_VALUE"""),"cílený Smarticle mid season")</f>
        <v>cílený Smarticle mid season</v>
      </c>
      <c r="H262" s="3">
        <f ca="1">IFERROR(__xludf.DUMMYFUNCTION("""COMPUTED_VALUE"""),7)</f>
        <v>7</v>
      </c>
      <c r="I262" s="5">
        <f ca="1">IFERROR(__xludf.DUMMYFUNCTION("""COMPUTED_VALUE"""),1000)</f>
        <v>1000</v>
      </c>
      <c r="J262" s="5">
        <f ca="1">IFERROR(__xludf.DUMMYFUNCTION("""COMPUTED_VALUE"""),240)</f>
        <v>240</v>
      </c>
      <c r="K262" s="3"/>
      <c r="L262" s="3" t="str">
        <f ca="1">IFERROR(__xludf.DUMMYFUNCTION("""COMPUTED_VALUE"""),"Cost per period")</f>
        <v>Cost per period</v>
      </c>
      <c r="M262" s="3"/>
      <c r="N262" s="3" t="str">
        <f ca="1">IFERROR(__xludf.DUMMYFUNCTION("""COMPUTED_VALUE"""),"A4")</f>
        <v>A4</v>
      </c>
      <c r="O262" s="3"/>
      <c r="P262" s="3"/>
      <c r="Q262" s="3" t="str">
        <f ca="1">IFERROR(__xludf.DUMMYFUNCTION("""COMPUTED_VALUE"""),"viz. tech.specifikace; HP + sekce")</f>
        <v>viz. tech.specifikace; HP + sekce</v>
      </c>
      <c r="R262" s="3" t="str">
        <f ca="1">IFERROR(__xludf.DUMMYFUNCTION("""COMPUTED_VALUE"""),"HP + sekce")</f>
        <v>HP + sekce</v>
      </c>
      <c r="S262" s="3" t="str">
        <f ca="1">IFERROR(__xludf.DUMMYFUNCTION("""COMPUTED_VALUE"""),"100")</f>
        <v>100</v>
      </c>
      <c r="T262" s="3"/>
      <c r="U262" s="3" t="str">
        <f ca="1">IFERROR(__xludf.DUMMYFUNCTION("""COMPUTED_VALUE"""),"pr článek")</f>
        <v>pr článek</v>
      </c>
      <c r="V262" s="3"/>
      <c r="W262" s="4" t="str">
        <f ca="1">IFERROR(__xludf.DUMMYFUNCTION("""COMPUTED_VALUE"""),"https://reklama.cncenter.cz/Online/Smarticle")</f>
        <v>https://reklama.cncenter.cz/Online/Smarticle</v>
      </c>
      <c r="X262" s="3"/>
      <c r="Y262" s="3"/>
      <c r="Z262" s="3" t="str">
        <f ca="1">IFERROR(__xludf.DUMMYFUNCTION("""COMPUTED_VALUE"""),"podklady@cncenter.cz")</f>
        <v>podklady@cncenter.cz</v>
      </c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 t="str">
        <f ca="1">IFERROR(__xludf.DUMMYFUNCTION("""COMPUTED_VALUE"""),"cross-device")</f>
        <v>cross-device</v>
      </c>
      <c r="AO262" s="3"/>
      <c r="AP262" s="3"/>
      <c r="AQ262" s="3"/>
      <c r="AR262" s="3"/>
      <c r="AS262" s="3"/>
      <c r="AT262" s="3"/>
      <c r="AU262" s="3" t="str">
        <f ca="1">IFERROR(__xludf.DUMMYFUNCTION("""COMPUTED_VALUE"""),"cílený Smarticle")</f>
        <v>cílený Smarticle</v>
      </c>
    </row>
    <row r="263" spans="1:47" x14ac:dyDescent="0.3">
      <c r="A263" s="3">
        <f ca="1"/>
        <v>2346826</v>
      </c>
      <c r="B263" s="3" t="str">
        <f ca="1"/>
        <v>CZECH NEWS CENTER a. s.</v>
      </c>
      <c r="C263" s="3" t="str">
        <f ca="1">IFERROR(__xludf.DUMMYFUNCTION("""COMPUTED_VALUE"""),"CNC auto moto pack")</f>
        <v>CNC auto moto pack</v>
      </c>
      <c r="D263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3" s="3" t="str">
        <f ca="1">IFERROR(__xludf.DUMMYFUNCTION("""COMPUTED_VALUE"""),"celý web")</f>
        <v>celý web</v>
      </c>
      <c r="F263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3" s="3" t="str">
        <f ca="1">IFERROR(__xludf.DUMMYFUNCTION("""COMPUTED_VALUE"""),"cílený videospot - max. 30 sec. / bumper mid season")</f>
        <v>cílený videospot - max. 30 sec. / bumper mid season</v>
      </c>
      <c r="H263" s="3">
        <f ca="1">IFERROR(__xludf.DUMMYFUNCTION("""COMPUTED_VALUE"""),7)</f>
        <v>7</v>
      </c>
      <c r="I263" s="5">
        <f ca="1">IFERROR(__xludf.DUMMYFUNCTION("""COMPUTED_VALUE"""),1000)</f>
        <v>1000</v>
      </c>
      <c r="J263" s="5">
        <f ca="1">IFERROR(__xludf.DUMMYFUNCTION("""COMPUTED_VALUE"""),1152)</f>
        <v>1152</v>
      </c>
      <c r="K263" s="3"/>
      <c r="L263" s="3" t="str">
        <f ca="1">IFERROR(__xludf.DUMMYFUNCTION("""COMPUTED_VALUE"""),"Cost per period")</f>
        <v>Cost per period</v>
      </c>
      <c r="M263" s="3"/>
      <c r="N263" s="3"/>
      <c r="O263" s="3" t="str">
        <f ca="1">IFERROR(__xludf.DUMMYFUNCTION("""COMPUTED_VALUE"""),"1280")</f>
        <v>1280</v>
      </c>
      <c r="P263" s="3" t="str">
        <f ca="1">IFERROR(__xludf.DUMMYFUNCTION("""COMPUTED_VALUE"""),"720")</f>
        <v>720</v>
      </c>
      <c r="Q263" s="3" t="str">
        <f ca="1">IFERROR(__xludf.DUMMYFUNCTION("""COMPUTED_VALUE"""),"16:9 / umístění po domluvě dle možností")</f>
        <v>16:9 / umístění po domluvě dle možností</v>
      </c>
      <c r="R263" s="3" t="str">
        <f ca="1">IFERROR(__xludf.DUMMYFUNCTION("""COMPUTED_VALUE"""),"přeskočení po 7 sekundách")</f>
        <v>přeskočení po 7 sekundách</v>
      </c>
      <c r="S263" s="3" t="str">
        <f ca="1">IFERROR(__xludf.DUMMYFUNCTION("""COMPUTED_VALUE"""),"100")</f>
        <v>100</v>
      </c>
      <c r="T263" s="3"/>
      <c r="U263" s="3" t="str">
        <f ca="1">IFERROR(__xludf.DUMMYFUNCTION("""COMPUTED_VALUE"""),"videospot")</f>
        <v>videospot</v>
      </c>
      <c r="V263" s="3"/>
      <c r="W263" s="4" t="str">
        <f ca="1">IFERROR(__xludf.DUMMYFUNCTION("""COMPUTED_VALUE"""),"https://reklama.cncenter.cz/Online/Bumper")</f>
        <v>https://reklama.cncenter.cz/Online/Bumper</v>
      </c>
      <c r="X263" s="3"/>
      <c r="Y263" s="3"/>
      <c r="Z263" s="3" t="str">
        <f ca="1">IFERROR(__xludf.DUMMYFUNCTION("""COMPUTED_VALUE"""),"podklady@cncenter.cz")</f>
        <v>podklady@cncenter.cz</v>
      </c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 t="str">
        <f ca="1">IFERROR(__xludf.DUMMYFUNCTION("""COMPUTED_VALUE"""),"cross-device")</f>
        <v>cross-device</v>
      </c>
      <c r="AO263" s="3"/>
      <c r="AP263" s="3"/>
      <c r="AQ263" s="3"/>
      <c r="AR263" s="3"/>
      <c r="AS263" s="3"/>
      <c r="AT263" s="3"/>
      <c r="AU263" s="3" t="str">
        <f ca="1">IFERROR(__xludf.DUMMYFUNCTION("""COMPUTED_VALUE"""),"cílený videospot - max. 30 sec. / bumper")</f>
        <v>cílený videospot - max. 30 sec. / bumper</v>
      </c>
    </row>
    <row r="264" spans="1:47" x14ac:dyDescent="0.3">
      <c r="A264" s="3">
        <f ca="1"/>
        <v>2346826</v>
      </c>
      <c r="B264" s="3" t="str">
        <f ca="1"/>
        <v>CZECH NEWS CENTER a. s.</v>
      </c>
      <c r="C264" s="3" t="str">
        <f ca="1">IFERROR(__xludf.DUMMYFUNCTION("""COMPUTED_VALUE"""),"CNC auto moto pack")</f>
        <v>CNC auto moto pack</v>
      </c>
      <c r="D264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4" s="3" t="str">
        <f ca="1">IFERROR(__xludf.DUMMYFUNCTION("""COMPUTED_VALUE"""),"celý web")</f>
        <v>celý web</v>
      </c>
      <c r="F264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4" s="3" t="str">
        <f ca="1">IFERROR(__xludf.DUMMYFUNCTION("""COMPUTED_VALUE"""),"double skyscraper mid season")</f>
        <v>double skyscraper mid season</v>
      </c>
      <c r="H264" s="3">
        <f ca="1">IFERROR(__xludf.DUMMYFUNCTION("""COMPUTED_VALUE"""),7)</f>
        <v>7</v>
      </c>
      <c r="I264" s="5">
        <f ca="1">IFERROR(__xludf.DUMMYFUNCTION("""COMPUTED_VALUE"""),1000)</f>
        <v>1000</v>
      </c>
      <c r="J264" s="5">
        <f ca="1">IFERROR(__xludf.DUMMYFUNCTION("""COMPUTED_VALUE"""),210)</f>
        <v>210</v>
      </c>
      <c r="K264" s="3"/>
      <c r="L264" s="3" t="str">
        <f ca="1">IFERROR(__xludf.DUMMYFUNCTION("""COMPUTED_VALUE"""),"Cost per period")</f>
        <v>Cost per period</v>
      </c>
      <c r="M264" s="3"/>
      <c r="N264" s="3"/>
      <c r="O264" s="3" t="str">
        <f ca="1">IFERROR(__xludf.DUMMYFUNCTION("""COMPUTED_VALUE"""),"300")</f>
        <v>300</v>
      </c>
      <c r="P264" s="3" t="str">
        <f ca="1">IFERROR(__xludf.DUMMYFUNCTION("""COMPUTED_VALUE"""),"600")</f>
        <v>600</v>
      </c>
      <c r="Q264" s="3" t="str">
        <f ca="1">IFERROR(__xludf.DUMMYFUNCTION("""COMPUTED_VALUE"""),"300x600")</f>
        <v>300x600</v>
      </c>
      <c r="R264" s="3"/>
      <c r="S264" s="3" t="str">
        <f ca="1">IFERROR(__xludf.DUMMYFUNCTION("""COMPUTED_VALUE"""),"100 (200 - HTML5)")</f>
        <v>100 (200 - HTML5)</v>
      </c>
      <c r="T264" s="3"/>
      <c r="U264" s="3" t="str">
        <f ca="1">IFERROR(__xludf.DUMMYFUNCTION("""COMPUTED_VALUE"""),"banner standard")</f>
        <v>banner standard</v>
      </c>
      <c r="V264" s="3"/>
      <c r="W264" s="4" t="str">
        <f ca="1">IFERROR(__xludf.DUMMYFUNCTION("""COMPUTED_VALUE"""),"https://reklama.cncenter.cz/Online/double-skyscraper")</f>
        <v>https://reklama.cncenter.cz/Online/double-skyscraper</v>
      </c>
      <c r="X264" s="3"/>
      <c r="Y264" s="3"/>
      <c r="Z264" s="3" t="str">
        <f ca="1">IFERROR(__xludf.DUMMYFUNCTION("""COMPUTED_VALUE"""),"podklady@cncenter.cz")</f>
        <v>podklady@cncenter.cz</v>
      </c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 t="str">
        <f ca="1">IFERROR(__xludf.DUMMYFUNCTION("""COMPUTED_VALUE"""),"desktop")</f>
        <v>desktop</v>
      </c>
      <c r="AO264" s="3"/>
      <c r="AP264" s="3"/>
      <c r="AQ264" s="3"/>
      <c r="AR264" s="3"/>
      <c r="AS264" s="3"/>
      <c r="AT264" s="3"/>
      <c r="AU264" s="3" t="str">
        <f ca="1">IFERROR(__xludf.DUMMYFUNCTION("""COMPUTED_VALUE"""),"double skyscraper")</f>
        <v>double skyscraper</v>
      </c>
    </row>
    <row r="265" spans="1:47" x14ac:dyDescent="0.3">
      <c r="A265" s="3">
        <f ca="1"/>
        <v>2346826</v>
      </c>
      <c r="B265" s="3" t="str">
        <f ca="1"/>
        <v>CZECH NEWS CENTER a. s.</v>
      </c>
      <c r="C265" s="3" t="str">
        <f ca="1">IFERROR(__xludf.DUMMYFUNCTION("""COMPUTED_VALUE"""),"CNC auto moto pack")</f>
        <v>CNC auto moto pack</v>
      </c>
      <c r="D265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5" s="3" t="str">
        <f ca="1">IFERROR(__xludf.DUMMYFUNCTION("""COMPUTED_VALUE"""),"celý web")</f>
        <v>celý web</v>
      </c>
      <c r="F265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5" s="3" t="str">
        <f ca="1">IFERROR(__xludf.DUMMYFUNCTION("""COMPUTED_VALUE"""),"mini videospot - max. 30 sec. mid season")</f>
        <v>mini videospot - max. 30 sec. mid season</v>
      </c>
      <c r="H265" s="3">
        <f ca="1">IFERROR(__xludf.DUMMYFUNCTION("""COMPUTED_VALUE"""),7)</f>
        <v>7</v>
      </c>
      <c r="I265" s="5">
        <f ca="1">IFERROR(__xludf.DUMMYFUNCTION("""COMPUTED_VALUE"""),1000)</f>
        <v>1000</v>
      </c>
      <c r="J265" s="5">
        <f ca="1">IFERROR(__xludf.DUMMYFUNCTION("""COMPUTED_VALUE"""),210)</f>
        <v>210</v>
      </c>
      <c r="K265" s="3"/>
      <c r="L265" s="3" t="str">
        <f ca="1">IFERROR(__xludf.DUMMYFUNCTION("""COMPUTED_VALUE"""),"Cost per period")</f>
        <v>Cost per period</v>
      </c>
      <c r="M265" s="3"/>
      <c r="N265" s="3"/>
      <c r="O265" s="3"/>
      <c r="P265" s="3"/>
      <c r="Q265" s="3" t="str">
        <f ca="1">IFERROR(__xludf.DUMMYFUNCTION("""COMPUTED_VALUE"""),"16:9 / umístění po domluvě dle možností")</f>
        <v>16:9 / umístění po domluvě dle možností</v>
      </c>
      <c r="R265" s="3" t="str">
        <f ca="1">IFERROR(__xludf.DUMMYFUNCTION("""COMPUTED_VALUE"""),"přeskočení po 7 sekundách")</f>
        <v>přeskočení po 7 sekundách</v>
      </c>
      <c r="S265" s="3" t="str">
        <f ca="1">IFERROR(__xludf.DUMMYFUNCTION("""COMPUTED_VALUE"""),"100")</f>
        <v>100</v>
      </c>
      <c r="T265" s="3"/>
      <c r="U265" s="3" t="str">
        <f ca="1">IFERROR(__xludf.DUMMYFUNCTION("""COMPUTED_VALUE"""),"videospot")</f>
        <v>videospot</v>
      </c>
      <c r="V265" s="3"/>
      <c r="W265" s="4" t="str">
        <f ca="1">IFERROR(__xludf.DUMMYFUNCTION("""COMPUTED_VALUE"""),"https://reklama.cncenter.cz/Online/Videospot")</f>
        <v>https://reklama.cncenter.cz/Online/Videospot</v>
      </c>
      <c r="X265" s="3"/>
      <c r="Y265" s="3"/>
      <c r="Z265" s="3" t="str">
        <f ca="1">IFERROR(__xludf.DUMMYFUNCTION("""COMPUTED_VALUE"""),"podklady@cncenter.cz")</f>
        <v>podklady@cncenter.cz</v>
      </c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 t="str">
        <f ca="1">IFERROR(__xludf.DUMMYFUNCTION("""COMPUTED_VALUE"""),"desktop")</f>
        <v>desktop</v>
      </c>
      <c r="AO265" s="3"/>
      <c r="AP265" s="3"/>
      <c r="AQ265" s="3"/>
      <c r="AR265" s="3"/>
      <c r="AS265" s="3"/>
      <c r="AT265" s="3"/>
      <c r="AU265" s="3" t="str">
        <f ca="1">IFERROR(__xludf.DUMMYFUNCTION("""COMPUTED_VALUE"""),"mini videospot - max. 30 sec.")</f>
        <v>mini videospot - max. 30 sec.</v>
      </c>
    </row>
    <row r="266" spans="1:47" x14ac:dyDescent="0.3">
      <c r="A266" s="3">
        <f ca="1"/>
        <v>2346826</v>
      </c>
      <c r="B266" s="3" t="str">
        <f ca="1"/>
        <v>CZECH NEWS CENTER a. s.</v>
      </c>
      <c r="C266" s="3" t="str">
        <f ca="1">IFERROR(__xludf.DUMMYFUNCTION("""COMPUTED_VALUE"""),"CNC auto moto pack")</f>
        <v>CNC auto moto pack</v>
      </c>
      <c r="D266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6" s="3" t="str">
        <f ca="1">IFERROR(__xludf.DUMMYFUNCTION("""COMPUTED_VALUE"""),"celý web")</f>
        <v>celý web</v>
      </c>
      <c r="F266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6" s="3" t="str">
        <f ca="1">IFERROR(__xludf.DUMMYFUNCTION("""COMPUTED_VALUE"""),"mobilní interscroller mid season")</f>
        <v>mobilní interscroller mid season</v>
      </c>
      <c r="H266" s="3">
        <f ca="1">IFERROR(__xludf.DUMMYFUNCTION("""COMPUTED_VALUE"""),7)</f>
        <v>7</v>
      </c>
      <c r="I266" s="5">
        <f ca="1">IFERROR(__xludf.DUMMYFUNCTION("""COMPUTED_VALUE"""),1000)</f>
        <v>1000</v>
      </c>
      <c r="J266" s="5">
        <f ca="1">IFERROR(__xludf.DUMMYFUNCTION("""COMPUTED_VALUE"""),280)</f>
        <v>280</v>
      </c>
      <c r="K266" s="3"/>
      <c r="L266" s="3" t="str">
        <f ca="1">IFERROR(__xludf.DUMMYFUNCTION("""COMPUTED_VALUE"""),"Cost per period")</f>
        <v>Cost per period</v>
      </c>
      <c r="M266" s="3"/>
      <c r="N266" s="3"/>
      <c r="O266" s="3" t="str">
        <f ca="1">IFERROR(__xludf.DUMMYFUNCTION("""COMPUTED_VALUE"""),"600")</f>
        <v>600</v>
      </c>
      <c r="P266" s="3" t="str">
        <f ca="1">IFERROR(__xludf.DUMMYFUNCTION("""COMPUTED_VALUE"""),"1080")</f>
        <v>1080</v>
      </c>
      <c r="Q266" s="3" t="str">
        <f ca="1">IFERROR(__xludf.DUMMYFUNCTION("""COMPUTED_VALUE"""),"600x1080")</f>
        <v>600x1080</v>
      </c>
      <c r="R266" s="3"/>
      <c r="S266" s="3" t="str">
        <f ca="1">IFERROR(__xludf.DUMMYFUNCTION("""COMPUTED_VALUE"""),"200")</f>
        <v>200</v>
      </c>
      <c r="T266" s="3"/>
      <c r="U266" s="3" t="str">
        <f ca="1">IFERROR(__xludf.DUMMYFUNCTION("""COMPUTED_VALUE"""),"banner standard")</f>
        <v>banner standard</v>
      </c>
      <c r="V266" s="3"/>
      <c r="W266" s="4" t="str">
        <f ca="1">IFERROR(__xludf.DUMMYFUNCTION("""COMPUTED_VALUE"""),"https://reklama.cncenter.cz/Online/mobilni-interscroller")</f>
        <v>https://reklama.cncenter.cz/Online/mobilni-interscroller</v>
      </c>
      <c r="X266" s="3"/>
      <c r="Y266" s="3"/>
      <c r="Z266" s="3" t="str">
        <f ca="1">IFERROR(__xludf.DUMMYFUNCTION("""COMPUTED_VALUE"""),"podklady@cncenter.cz")</f>
        <v>podklady@cncenter.cz</v>
      </c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 t="str">
        <f ca="1">IFERROR(__xludf.DUMMYFUNCTION("""COMPUTED_VALUE"""),"mobile")</f>
        <v>mobile</v>
      </c>
      <c r="AO266" s="3"/>
      <c r="AP266" s="3"/>
      <c r="AQ266" s="3"/>
      <c r="AR266" s="3"/>
      <c r="AS266" s="3"/>
      <c r="AT266" s="3"/>
      <c r="AU266" s="3" t="str">
        <f ca="1">IFERROR(__xludf.DUMMYFUNCTION("""COMPUTED_VALUE"""),"mobilní interscroller")</f>
        <v>mobilní interscroller</v>
      </c>
    </row>
    <row r="267" spans="1:47" x14ac:dyDescent="0.3">
      <c r="A267" s="3">
        <f ca="1"/>
        <v>2346826</v>
      </c>
      <c r="B267" s="3" t="str">
        <f ca="1"/>
        <v>CZECH NEWS CENTER a. s.</v>
      </c>
      <c r="C267" s="3" t="str">
        <f ca="1">IFERROR(__xludf.DUMMYFUNCTION("""COMPUTED_VALUE"""),"CNC auto moto pack")</f>
        <v>CNC auto moto pack</v>
      </c>
      <c r="D267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7" s="3" t="str">
        <f ca="1">IFERROR(__xludf.DUMMYFUNCTION("""COMPUTED_VALUE"""),"celý web")</f>
        <v>celý web</v>
      </c>
      <c r="F267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7" s="3" t="str">
        <f ca="1">IFERROR(__xludf.DUMMYFUNCTION("""COMPUTED_VALUE"""),"mobilní slide-up mid season")</f>
        <v>mobilní slide-up mid season</v>
      </c>
      <c r="H267" s="3">
        <f ca="1">IFERROR(__xludf.DUMMYFUNCTION("""COMPUTED_VALUE"""),7)</f>
        <v>7</v>
      </c>
      <c r="I267" s="5">
        <f ca="1">IFERROR(__xludf.DUMMYFUNCTION("""COMPUTED_VALUE"""),1000)</f>
        <v>1000</v>
      </c>
      <c r="J267" s="5">
        <f ca="1">IFERROR(__xludf.DUMMYFUNCTION("""COMPUTED_VALUE"""),560)</f>
        <v>560</v>
      </c>
      <c r="K267" s="3"/>
      <c r="L267" s="3" t="str">
        <f ca="1">IFERROR(__xludf.DUMMYFUNCTION("""COMPUTED_VALUE"""),"Cost per period")</f>
        <v>Cost per period</v>
      </c>
      <c r="M267" s="3"/>
      <c r="N267" s="3"/>
      <c r="O267" s="3" t="str">
        <f ca="1">IFERROR(__xludf.DUMMYFUNCTION("""COMPUTED_VALUE"""),"300")</f>
        <v>300</v>
      </c>
      <c r="P267" s="3" t="str">
        <f ca="1">IFERROR(__xludf.DUMMYFUNCTION("""COMPUTED_VALUE"""),"120")</f>
        <v>120</v>
      </c>
      <c r="Q267" s="3" t="str">
        <f ca="1">IFERROR(__xludf.DUMMYFUNCTION("""COMPUTED_VALUE"""),"300x120")</f>
        <v>300x120</v>
      </c>
      <c r="R267" s="3"/>
      <c r="S267" s="3" t="str">
        <f ca="1">IFERROR(__xludf.DUMMYFUNCTION("""COMPUTED_VALUE"""),"100")</f>
        <v>100</v>
      </c>
      <c r="T267" s="3"/>
      <c r="U267" s="3" t="str">
        <f ca="1">IFERROR(__xludf.DUMMYFUNCTION("""COMPUTED_VALUE"""),"banner standard")</f>
        <v>banner standard</v>
      </c>
      <c r="V267" s="3"/>
      <c r="W267" s="4" t="str">
        <f ca="1">IFERROR(__xludf.DUMMYFUNCTION("""COMPUTED_VALUE"""),"https://reklama.cncenter.cz/Online/mobilni-slide-up")</f>
        <v>https://reklama.cncenter.cz/Online/mobilni-slide-up</v>
      </c>
      <c r="X267" s="3"/>
      <c r="Y267" s="3"/>
      <c r="Z267" s="3" t="str">
        <f ca="1">IFERROR(__xludf.DUMMYFUNCTION("""COMPUTED_VALUE"""),"podklady@cncenter.cz")</f>
        <v>podklady@cncenter.cz</v>
      </c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 t="str">
        <f ca="1">IFERROR(__xludf.DUMMYFUNCTION("""COMPUTED_VALUE"""),"mobile")</f>
        <v>mobile</v>
      </c>
      <c r="AO267" s="3"/>
      <c r="AP267" s="3"/>
      <c r="AQ267" s="3"/>
      <c r="AR267" s="3"/>
      <c r="AS267" s="3"/>
      <c r="AT267" s="3"/>
      <c r="AU267" s="3" t="str">
        <f ca="1">IFERROR(__xludf.DUMMYFUNCTION("""COMPUTED_VALUE"""),"mobilní slide-up")</f>
        <v>mobilní slide-up</v>
      </c>
    </row>
    <row r="268" spans="1:47" x14ac:dyDescent="0.3">
      <c r="A268" s="3">
        <f ca="1"/>
        <v>2346826</v>
      </c>
      <c r="B268" s="3" t="str">
        <f ca="1"/>
        <v>CZECH NEWS CENTER a. s.</v>
      </c>
      <c r="C268" s="3" t="str">
        <f ca="1">IFERROR(__xludf.DUMMYFUNCTION("""COMPUTED_VALUE"""),"CNC auto moto pack")</f>
        <v>CNC auto moto pack</v>
      </c>
      <c r="D268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8" s="3" t="str">
        <f ca="1">IFERROR(__xludf.DUMMYFUNCTION("""COMPUTED_VALUE"""),"celý web")</f>
        <v>celý web</v>
      </c>
      <c r="F268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8" s="3" t="str">
        <f ca="1">IFERROR(__xludf.DUMMYFUNCTION("""COMPUTED_VALUE"""),"mobilní viněta mid season")</f>
        <v>mobilní viněta mid season</v>
      </c>
      <c r="H268" s="3">
        <f ca="1">IFERROR(__xludf.DUMMYFUNCTION("""COMPUTED_VALUE"""),7)</f>
        <v>7</v>
      </c>
      <c r="I268" s="5">
        <f ca="1">IFERROR(__xludf.DUMMYFUNCTION("""COMPUTED_VALUE"""),1000)</f>
        <v>1000</v>
      </c>
      <c r="J268" s="5">
        <f ca="1">IFERROR(__xludf.DUMMYFUNCTION("""COMPUTED_VALUE"""),790)</f>
        <v>790</v>
      </c>
      <c r="K268" s="3"/>
      <c r="L268" s="3" t="str">
        <f ca="1">IFERROR(__xludf.DUMMYFUNCTION("""COMPUTED_VALUE"""),"Cost per period")</f>
        <v>Cost per period</v>
      </c>
      <c r="M268" s="3"/>
      <c r="N268" s="3"/>
      <c r="O268" s="3" t="str">
        <f ca="1">IFERROR(__xludf.DUMMYFUNCTION("""COMPUTED_VALUE"""),"600")</f>
        <v>600</v>
      </c>
      <c r="P268" s="3" t="str">
        <f ca="1">IFERROR(__xludf.DUMMYFUNCTION("""COMPUTED_VALUE"""),"800")</f>
        <v>800</v>
      </c>
      <c r="Q268" s="3" t="str">
        <f ca="1">IFERROR(__xludf.DUMMYFUNCTION("""COMPUTED_VALUE"""),"300x250 nebo 600x800")</f>
        <v>300x250 nebo 600x800</v>
      </c>
      <c r="R268" s="3"/>
      <c r="S268" s="3" t="str">
        <f ca="1">IFERROR(__xludf.DUMMYFUNCTION("""COMPUTED_VALUE"""),"100")</f>
        <v>100</v>
      </c>
      <c r="T268" s="3"/>
      <c r="U268" s="3" t="str">
        <f ca="1">IFERROR(__xludf.DUMMYFUNCTION("""COMPUTED_VALUE"""),"banner standard")</f>
        <v>banner standard</v>
      </c>
      <c r="V268" s="3"/>
      <c r="W268" s="4" t="str">
        <f ca="1">IFERROR(__xludf.DUMMYFUNCTION("""COMPUTED_VALUE"""),"https://reklama.cncenter.cz/Online/mobilni-vineta")</f>
        <v>https://reklama.cncenter.cz/Online/mobilni-vineta</v>
      </c>
      <c r="X268" s="3"/>
      <c r="Y268" s="3"/>
      <c r="Z268" s="3" t="str">
        <f ca="1">IFERROR(__xludf.DUMMYFUNCTION("""COMPUTED_VALUE"""),"podklady@cncenter.cz")</f>
        <v>podklady@cncenter.cz</v>
      </c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 t="str">
        <f ca="1">IFERROR(__xludf.DUMMYFUNCTION("""COMPUTED_VALUE"""),"mobile")</f>
        <v>mobile</v>
      </c>
      <c r="AO268" s="3"/>
      <c r="AP268" s="3"/>
      <c r="AQ268" s="3"/>
      <c r="AR268" s="3"/>
      <c r="AS268" s="3"/>
      <c r="AT268" s="3"/>
      <c r="AU268" s="3" t="str">
        <f ca="1">IFERROR(__xludf.DUMMYFUNCTION("""COMPUTED_VALUE"""),"mobilní viněta")</f>
        <v>mobilní viněta</v>
      </c>
    </row>
    <row r="269" spans="1:47" x14ac:dyDescent="0.3">
      <c r="A269" s="3">
        <f ca="1"/>
        <v>2346826</v>
      </c>
      <c r="B269" s="3" t="str">
        <f ca="1"/>
        <v>CZECH NEWS CENTER a. s.</v>
      </c>
      <c r="C269" s="3" t="str">
        <f ca="1">IFERROR(__xludf.DUMMYFUNCTION("""COMPUTED_VALUE"""),"CNC auto moto pack")</f>
        <v>CNC auto moto pack</v>
      </c>
      <c r="D269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9" s="3" t="str">
        <f ca="1">IFERROR(__xludf.DUMMYFUNCTION("""COMPUTED_VALUE"""),"celý web")</f>
        <v>celý web</v>
      </c>
      <c r="F269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9" s="3" t="str">
        <f ca="1">IFERROR(__xludf.DUMMYFUNCTION("""COMPUTED_VALUE"""),"nativní rectangle cross-device mid season")</f>
        <v>nativní rectangle cross-device mid season</v>
      </c>
      <c r="H269" s="3">
        <f ca="1">IFERROR(__xludf.DUMMYFUNCTION("""COMPUTED_VALUE"""),7)</f>
        <v>7</v>
      </c>
      <c r="I269" s="5">
        <f ca="1">IFERROR(__xludf.DUMMYFUNCTION("""COMPUTED_VALUE"""),1000)</f>
        <v>1000</v>
      </c>
      <c r="J269" s="5">
        <f ca="1">IFERROR(__xludf.DUMMYFUNCTION("""COMPUTED_VALUE"""),210)</f>
        <v>210</v>
      </c>
      <c r="K269" s="3"/>
      <c r="L269" s="3" t="str">
        <f ca="1">IFERROR(__xludf.DUMMYFUNCTION("""COMPUTED_VALUE"""),"Cost per period")</f>
        <v>Cost per period</v>
      </c>
      <c r="M269" s="3"/>
      <c r="N269" s="3"/>
      <c r="O269" s="3" t="str">
        <f ca="1">IFERROR(__xludf.DUMMYFUNCTION("""COMPUTED_VALUE"""),"640")</f>
        <v>640</v>
      </c>
      <c r="P269" s="3" t="str">
        <f ca="1">IFERROR(__xludf.DUMMYFUNCTION("""COMPUTED_VALUE"""),"335, 640")</f>
        <v>335, 640</v>
      </c>
      <c r="Q269" s="3" t="str">
        <f ca="1">IFERROR(__xludf.DUMMYFUNCTION("""COMPUTED_VALUE"""),"640x640 a 640x335 + text + logo")</f>
        <v>640x640 a 640x335 + text + logo</v>
      </c>
      <c r="R269" s="3"/>
      <c r="S269" s="3" t="str">
        <f ca="1">IFERROR(__xludf.DUMMYFUNCTION("""COMPUTED_VALUE"""),"45")</f>
        <v>45</v>
      </c>
      <c r="T269" s="3"/>
      <c r="U269" s="3" t="str">
        <f ca="1">IFERROR(__xludf.DUMMYFUNCTION("""COMPUTED_VALUE"""),"nativní reklama")</f>
        <v>nativní reklama</v>
      </c>
      <c r="V269" s="3"/>
      <c r="W269" s="4" t="str">
        <f ca="1">IFERROR(__xludf.DUMMYFUNCTION("""COMPUTED_VALUE"""),"https://reklama.cncenter.cz/Online/nativni-rectangle-cross-device")</f>
        <v>https://reklama.cncenter.cz/Online/nativni-rectangle-cross-device</v>
      </c>
      <c r="X269" s="3"/>
      <c r="Y269" s="3"/>
      <c r="Z269" s="3" t="str">
        <f ca="1">IFERROR(__xludf.DUMMYFUNCTION("""COMPUTED_VALUE"""),"podklady@cncenter.cz")</f>
        <v>podklady@cncenter.cz</v>
      </c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 t="str">
        <f ca="1">IFERROR(__xludf.DUMMYFUNCTION("""COMPUTED_VALUE"""),"cross-device")</f>
        <v>cross-device</v>
      </c>
      <c r="AO269" s="3"/>
      <c r="AP269" s="3"/>
      <c r="AQ269" s="3"/>
      <c r="AR269" s="3"/>
      <c r="AS269" s="3"/>
      <c r="AT269" s="3"/>
      <c r="AU269" s="3" t="str">
        <f ca="1">IFERROR(__xludf.DUMMYFUNCTION("""COMPUTED_VALUE"""),"nativní rectangle cross-device")</f>
        <v>nativní rectangle cross-device</v>
      </c>
    </row>
    <row r="270" spans="1:47" x14ac:dyDescent="0.3">
      <c r="A270" s="3">
        <f ca="1"/>
        <v>2346826</v>
      </c>
      <c r="B270" s="3" t="str">
        <f ca="1"/>
        <v>CZECH NEWS CENTER a. s.</v>
      </c>
      <c r="C270" s="3" t="str">
        <f ca="1">IFERROR(__xludf.DUMMYFUNCTION("""COMPUTED_VALUE"""),"CNC auto moto pack")</f>
        <v>CNC auto moto pack</v>
      </c>
      <c r="D270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70" s="3" t="str">
        <f ca="1">IFERROR(__xludf.DUMMYFUNCTION("""COMPUTED_VALUE"""),"celý web")</f>
        <v>celý web</v>
      </c>
      <c r="F270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70" s="3" t="str">
        <f ca="1">IFERROR(__xludf.DUMMYFUNCTION("""COMPUTED_VALUE"""),"outstream mid season")</f>
        <v>outstream mid season</v>
      </c>
      <c r="H270" s="3">
        <f ca="1">IFERROR(__xludf.DUMMYFUNCTION("""COMPUTED_VALUE"""),7)</f>
        <v>7</v>
      </c>
      <c r="I270" s="5">
        <f ca="1">IFERROR(__xludf.DUMMYFUNCTION("""COMPUTED_VALUE"""),1000)</f>
        <v>1000</v>
      </c>
      <c r="J270" s="5">
        <f ca="1">IFERROR(__xludf.DUMMYFUNCTION("""COMPUTED_VALUE"""),330)</f>
        <v>330</v>
      </c>
      <c r="K270" s="3"/>
      <c r="L270" s="3" t="str">
        <f ca="1">IFERROR(__xludf.DUMMYFUNCTION("""COMPUTED_VALUE"""),"Cost per period")</f>
        <v>Cost per period</v>
      </c>
      <c r="M270" s="3"/>
      <c r="N270" s="3"/>
      <c r="O270" s="3" t="str">
        <f ca="1">IFERROR(__xludf.DUMMYFUNCTION("""COMPUTED_VALUE"""),"1280")</f>
        <v>1280</v>
      </c>
      <c r="P270" s="3" t="str">
        <f ca="1">IFERROR(__xludf.DUMMYFUNCTION("""COMPUTED_VALUE"""),"720")</f>
        <v>720</v>
      </c>
      <c r="Q270" s="3" t="str">
        <f ca="1">IFERROR(__xludf.DUMMYFUNCTION("""COMPUTED_VALUE"""),"16:9")</f>
        <v>16:9</v>
      </c>
      <c r="R270" s="3"/>
      <c r="S270" s="3" t="str">
        <f ca="1">IFERROR(__xludf.DUMMYFUNCTION("""COMPUTED_VALUE"""),"100")</f>
        <v>100</v>
      </c>
      <c r="T270" s="3"/>
      <c r="U270" s="3" t="str">
        <f ca="1">IFERROR(__xludf.DUMMYFUNCTION("""COMPUTED_VALUE"""),"videospot")</f>
        <v>videospot</v>
      </c>
      <c r="V270" s="3"/>
      <c r="W270" s="4" t="str">
        <f ca="1">IFERROR(__xludf.DUMMYFUNCTION("""COMPUTED_VALUE"""),"https://reklama.cncenter.cz/Online/Outstream")</f>
        <v>https://reklama.cncenter.cz/Online/Outstream</v>
      </c>
      <c r="X270" s="3"/>
      <c r="Y270" s="3"/>
      <c r="Z270" s="3" t="str">
        <f ca="1">IFERROR(__xludf.DUMMYFUNCTION("""COMPUTED_VALUE"""),"podklady@cncenter.cz")</f>
        <v>podklady@cncenter.cz</v>
      </c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 t="str">
        <f ca="1">IFERROR(__xludf.DUMMYFUNCTION("""COMPUTED_VALUE"""),"cross-device")</f>
        <v>cross-device</v>
      </c>
      <c r="AO270" s="3"/>
      <c r="AP270" s="3"/>
      <c r="AQ270" s="3"/>
      <c r="AR270" s="3"/>
      <c r="AS270" s="3"/>
      <c r="AT270" s="3"/>
      <c r="AU270" s="3" t="str">
        <f ca="1">IFERROR(__xludf.DUMMYFUNCTION("""COMPUTED_VALUE"""),"outstream")</f>
        <v>outstream</v>
      </c>
    </row>
    <row r="271" spans="1:47" x14ac:dyDescent="0.3">
      <c r="A271" s="3">
        <f ca="1"/>
        <v>2346826</v>
      </c>
      <c r="B271" s="3" t="str">
        <f ca="1"/>
        <v>CZECH NEWS CENTER a. s.</v>
      </c>
      <c r="C271" s="3" t="str">
        <f ca="1">IFERROR(__xludf.DUMMYFUNCTION("""COMPUTED_VALUE"""),"CNC auto moto pack")</f>
        <v>CNC auto moto pack</v>
      </c>
      <c r="D271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71" s="3" t="str">
        <f ca="1">IFERROR(__xludf.DUMMYFUNCTION("""COMPUTED_VALUE"""),"celý web")</f>
        <v>celý web</v>
      </c>
      <c r="F271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71" s="3" t="str">
        <f ca="1">IFERROR(__xludf.DUMMYFUNCTION("""COMPUTED_VALUE"""),"Smarticle mid season")</f>
        <v>Smarticle mid season</v>
      </c>
      <c r="H271" s="3">
        <f ca="1">IFERROR(__xludf.DUMMYFUNCTION("""COMPUTED_VALUE"""),7)</f>
        <v>7</v>
      </c>
      <c r="I271" s="5">
        <f ca="1">IFERROR(__xludf.DUMMYFUNCTION("""COMPUTED_VALUE"""),1000)</f>
        <v>1000</v>
      </c>
      <c r="J271" s="5">
        <f ca="1">IFERROR(__xludf.DUMMYFUNCTION("""COMPUTED_VALUE"""),200)</f>
        <v>200</v>
      </c>
      <c r="K271" s="3"/>
      <c r="L271" s="3" t="str">
        <f ca="1">IFERROR(__xludf.DUMMYFUNCTION("""COMPUTED_VALUE"""),"Cost per period")</f>
        <v>Cost per period</v>
      </c>
      <c r="M271" s="3"/>
      <c r="N271" s="3" t="str">
        <f ca="1">IFERROR(__xludf.DUMMYFUNCTION("""COMPUTED_VALUE"""),"A4")</f>
        <v>A4</v>
      </c>
      <c r="O271" s="3"/>
      <c r="P271" s="3"/>
      <c r="Q271" s="3" t="str">
        <f ca="1">IFERROR(__xludf.DUMMYFUNCTION("""COMPUTED_VALUE"""),"viz. tech.specifikace; HP + sekce")</f>
        <v>viz. tech.specifikace; HP + sekce</v>
      </c>
      <c r="R271" s="3" t="str">
        <f ca="1">IFERROR(__xludf.DUMMYFUNCTION("""COMPUTED_VALUE"""),"HP + sekce")</f>
        <v>HP + sekce</v>
      </c>
      <c r="S271" s="3" t="str">
        <f ca="1">IFERROR(__xludf.DUMMYFUNCTION("""COMPUTED_VALUE"""),"100")</f>
        <v>100</v>
      </c>
      <c r="T271" s="3"/>
      <c r="U271" s="3" t="str">
        <f ca="1">IFERROR(__xludf.DUMMYFUNCTION("""COMPUTED_VALUE"""),"pr článek")</f>
        <v>pr článek</v>
      </c>
      <c r="V271" s="3"/>
      <c r="W271" s="4" t="str">
        <f ca="1">IFERROR(__xludf.DUMMYFUNCTION("""COMPUTED_VALUE"""),"https://reklama.cncenter.cz/Online/Smarticle")</f>
        <v>https://reklama.cncenter.cz/Online/Smarticle</v>
      </c>
      <c r="X271" s="3"/>
      <c r="Y271" s="3"/>
      <c r="Z271" s="3" t="str">
        <f ca="1">IFERROR(__xludf.DUMMYFUNCTION("""COMPUTED_VALUE"""),"podklady@cncenter.cz")</f>
        <v>podklady@cncenter.cz</v>
      </c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 t="str">
        <f ca="1">IFERROR(__xludf.DUMMYFUNCTION("""COMPUTED_VALUE"""),"cross-device")</f>
        <v>cross-device</v>
      </c>
      <c r="AO271" s="3"/>
      <c r="AP271" s="3"/>
      <c r="AQ271" s="3"/>
      <c r="AR271" s="3"/>
      <c r="AS271" s="3"/>
      <c r="AT271" s="3"/>
      <c r="AU271" s="3" t="str">
        <f ca="1">IFERROR(__xludf.DUMMYFUNCTION("""COMPUTED_VALUE"""),"Smarticle")</f>
        <v>Smarticle</v>
      </c>
    </row>
    <row r="272" spans="1:47" x14ac:dyDescent="0.3">
      <c r="A272" s="3">
        <f ca="1"/>
        <v>2346826</v>
      </c>
      <c r="B272" s="3" t="str">
        <f ca="1"/>
        <v>CZECH NEWS CENTER a. s.</v>
      </c>
      <c r="C272" s="3" t="str">
        <f ca="1">IFERROR(__xludf.DUMMYFUNCTION("""COMPUTED_VALUE"""),"CNC auto moto pack")</f>
        <v>CNC auto moto pack</v>
      </c>
      <c r="D272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72" s="3" t="str">
        <f ca="1">IFERROR(__xludf.DUMMYFUNCTION("""COMPUTED_VALUE"""),"celý web")</f>
        <v>celý web</v>
      </c>
      <c r="F272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72" s="3" t="str">
        <f ca="1">IFERROR(__xludf.DUMMYFUNCTION("""COMPUTED_VALUE"""),"videospot - max. 30 sec. / bumper mid season")</f>
        <v>videospot - max. 30 sec. / bumper mid season</v>
      </c>
      <c r="H272" s="3">
        <f ca="1">IFERROR(__xludf.DUMMYFUNCTION("""COMPUTED_VALUE"""),7)</f>
        <v>7</v>
      </c>
      <c r="I272" s="5">
        <f ca="1">IFERROR(__xludf.DUMMYFUNCTION("""COMPUTED_VALUE"""),1000)</f>
        <v>1000</v>
      </c>
      <c r="J272" s="5">
        <f ca="1">IFERROR(__xludf.DUMMYFUNCTION("""COMPUTED_VALUE"""),960)</f>
        <v>960</v>
      </c>
      <c r="K272" s="3"/>
      <c r="L272" s="3" t="str">
        <f ca="1">IFERROR(__xludf.DUMMYFUNCTION("""COMPUTED_VALUE"""),"Cost per period")</f>
        <v>Cost per period</v>
      </c>
      <c r="M272" s="3"/>
      <c r="N272" s="3"/>
      <c r="O272" s="3" t="str">
        <f ca="1">IFERROR(__xludf.DUMMYFUNCTION("""COMPUTED_VALUE"""),"1280")</f>
        <v>1280</v>
      </c>
      <c r="P272" s="3" t="str">
        <f ca="1">IFERROR(__xludf.DUMMYFUNCTION("""COMPUTED_VALUE"""),"720")</f>
        <v>720</v>
      </c>
      <c r="Q272" s="3" t="str">
        <f ca="1">IFERROR(__xludf.DUMMYFUNCTION("""COMPUTED_VALUE"""),"16:9 / umístění po domluvě dle možností")</f>
        <v>16:9 / umístění po domluvě dle možností</v>
      </c>
      <c r="R272" s="3" t="str">
        <f ca="1">IFERROR(__xludf.DUMMYFUNCTION("""COMPUTED_VALUE"""),"přeskočení po 7 sekundách")</f>
        <v>přeskočení po 7 sekundách</v>
      </c>
      <c r="S272" s="3" t="str">
        <f ca="1">IFERROR(__xludf.DUMMYFUNCTION("""COMPUTED_VALUE"""),"100")</f>
        <v>100</v>
      </c>
      <c r="T272" s="3"/>
      <c r="U272" s="3" t="str">
        <f ca="1">IFERROR(__xludf.DUMMYFUNCTION("""COMPUTED_VALUE"""),"videospot")</f>
        <v>videospot</v>
      </c>
      <c r="V272" s="3"/>
      <c r="W272" s="4" t="str">
        <f ca="1">IFERROR(__xludf.DUMMYFUNCTION("""COMPUTED_VALUE"""),"https://reklama.cncenter.cz/Online/Bumper")</f>
        <v>https://reklama.cncenter.cz/Online/Bumper</v>
      </c>
      <c r="X272" s="3"/>
      <c r="Y272" s="3"/>
      <c r="Z272" s="3" t="str">
        <f ca="1">IFERROR(__xludf.DUMMYFUNCTION("""COMPUTED_VALUE"""),"podklady@cncenter.cz")</f>
        <v>podklady@cncenter.cz</v>
      </c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 t="str">
        <f ca="1">IFERROR(__xludf.DUMMYFUNCTION("""COMPUTED_VALUE"""),"cross-device")</f>
        <v>cross-device</v>
      </c>
      <c r="AO272" s="3"/>
      <c r="AP272" s="3"/>
      <c r="AQ272" s="3"/>
      <c r="AR272" s="3"/>
      <c r="AS272" s="3"/>
      <c r="AT272" s="3"/>
      <c r="AU272" s="3" t="str">
        <f ca="1">IFERROR(__xludf.DUMMYFUNCTION("""COMPUTED_VALUE"""),"videospot - max. 30 sec. / bumper")</f>
        <v>videospot - max. 30 sec. / bumper</v>
      </c>
    </row>
    <row r="273" spans="1:47" x14ac:dyDescent="0.3">
      <c r="A273" s="3">
        <f ca="1"/>
        <v>2346826</v>
      </c>
      <c r="B273" s="3" t="str">
        <f ca="1"/>
        <v>CZECH NEWS CENTER a. s.</v>
      </c>
      <c r="C273" s="3" t="str">
        <f ca="1">IFERROR(__xludf.DUMMYFUNCTION("""COMPUTED_VALUE"""),"CNC floating")</f>
        <v>CNC floating</v>
      </c>
      <c r="D27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3" s="3" t="str">
        <f ca="1">IFERROR(__xludf.DUMMYFUNCTION("""COMPUTED_VALUE"""),"celý web")</f>
        <v>celý web</v>
      </c>
      <c r="F27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3" s="3" t="str">
        <f ca="1">IFERROR(__xludf.DUMMYFUNCTION("""COMPUTED_VALUE"""),"billboard bottom mid season")</f>
        <v>billboard bottom mid season</v>
      </c>
      <c r="H273" s="3">
        <f ca="1">IFERROR(__xludf.DUMMYFUNCTION("""COMPUTED_VALUE"""),7)</f>
        <v>7</v>
      </c>
      <c r="I273" s="5">
        <f ca="1">IFERROR(__xludf.DUMMYFUNCTION("""COMPUTED_VALUE"""),1000)</f>
        <v>1000</v>
      </c>
      <c r="J273" s="5">
        <f ca="1">IFERROR(__xludf.DUMMYFUNCTION("""COMPUTED_VALUE"""),250)</f>
        <v>250</v>
      </c>
      <c r="K273" s="3"/>
      <c r="L273" s="3" t="str">
        <f ca="1">IFERROR(__xludf.DUMMYFUNCTION("""COMPUTED_VALUE"""),"Cost per period")</f>
        <v>Cost per period</v>
      </c>
      <c r="M273" s="3"/>
      <c r="N273" s="3"/>
      <c r="O273" s="3" t="str">
        <f ca="1">IFERROR(__xludf.DUMMYFUNCTION("""COMPUTED_VALUE"""),"970")</f>
        <v>970</v>
      </c>
      <c r="P273" s="3" t="str">
        <f ca="1">IFERROR(__xludf.DUMMYFUNCTION("""COMPUTED_VALUE"""),"250")</f>
        <v>250</v>
      </c>
      <c r="Q273" s="3" t="str">
        <f ca="1">IFERROR(__xludf.DUMMYFUNCTION("""COMPUTED_VALUE"""),"970x250")</f>
        <v>970x250</v>
      </c>
      <c r="R273" s="3"/>
      <c r="S273" s="3" t="str">
        <f ca="1">IFERROR(__xludf.DUMMYFUNCTION("""COMPUTED_VALUE"""),"100 (200 - HTML5)")</f>
        <v>100 (200 - HTML5)</v>
      </c>
      <c r="T273" s="3"/>
      <c r="U273" s="3" t="str">
        <f ca="1">IFERROR(__xludf.DUMMYFUNCTION("""COMPUTED_VALUE"""),"banner standard")</f>
        <v>banner standard</v>
      </c>
      <c r="V273" s="3"/>
      <c r="W273" s="4" t="str">
        <f ca="1">IFERROR(__xludf.DUMMYFUNCTION("""COMPUTED_VALUE"""),"https://reklama.cncenter.cz/Online/billboard-bottom")</f>
        <v>https://reklama.cncenter.cz/Online/billboard-bottom</v>
      </c>
      <c r="X273" s="3"/>
      <c r="Y273" s="3"/>
      <c r="Z273" s="3" t="str">
        <f ca="1">IFERROR(__xludf.DUMMYFUNCTION("""COMPUTED_VALUE"""),"podklady@cncenter.cz")</f>
        <v>podklady@cncenter.cz</v>
      </c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 t="str">
        <f ca="1">IFERROR(__xludf.DUMMYFUNCTION("""COMPUTED_VALUE"""),"desktop")</f>
        <v>desktop</v>
      </c>
      <c r="AO273" s="3"/>
      <c r="AP273" s="3"/>
      <c r="AQ273" s="3"/>
      <c r="AR273" s="3"/>
      <c r="AS273" s="3"/>
      <c r="AT273" s="3"/>
      <c r="AU273" s="3" t="str">
        <f ca="1">IFERROR(__xludf.DUMMYFUNCTION("""COMPUTED_VALUE"""),"billboard bottom")</f>
        <v>billboard bottom</v>
      </c>
    </row>
    <row r="274" spans="1:47" x14ac:dyDescent="0.3">
      <c r="A274" s="3">
        <f ca="1"/>
        <v>2346826</v>
      </c>
      <c r="B274" s="3" t="str">
        <f ca="1"/>
        <v>CZECH NEWS CENTER a. s.</v>
      </c>
      <c r="C274" s="3" t="str">
        <f ca="1">IFERROR(__xludf.DUMMYFUNCTION("""COMPUTED_VALUE"""),"CNC floating")</f>
        <v>CNC floating</v>
      </c>
      <c r="D274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4" s="3" t="str">
        <f ca="1">IFERROR(__xludf.DUMMYFUNCTION("""COMPUTED_VALUE"""),"celý web")</f>
        <v>celý web</v>
      </c>
      <c r="F274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4" s="3" t="str">
        <f ca="1">IFERROR(__xludf.DUMMYFUNCTION("""COMPUTED_VALUE"""),"branding cross-device mid season")</f>
        <v>branding cross-device mid season</v>
      </c>
      <c r="H274" s="3">
        <f ca="1">IFERROR(__xludf.DUMMYFUNCTION("""COMPUTED_VALUE"""),7)</f>
        <v>7</v>
      </c>
      <c r="I274" s="5">
        <f ca="1">IFERROR(__xludf.DUMMYFUNCTION("""COMPUTED_VALUE"""),1000)</f>
        <v>1000</v>
      </c>
      <c r="J274" s="5">
        <f ca="1">IFERROR(__xludf.DUMMYFUNCTION("""COMPUTED_VALUE"""),330)</f>
        <v>330</v>
      </c>
      <c r="K274" s="3"/>
      <c r="L274" s="3" t="str">
        <f ca="1">IFERROR(__xludf.DUMMYFUNCTION("""COMPUTED_VALUE"""),"Cost per period")</f>
        <v>Cost per period</v>
      </c>
      <c r="M274" s="3"/>
      <c r="N274" s="3"/>
      <c r="O274" s="3" t="str">
        <f ca="1">IFERROR(__xludf.DUMMYFUNCTION("""COMPUTED_VALUE"""),"2000")</f>
        <v>2000</v>
      </c>
      <c r="P274" s="3" t="str">
        <f ca="1">IFERROR(__xludf.DUMMYFUNCTION("""COMPUTED_VALUE"""),"1400")</f>
        <v>1400</v>
      </c>
      <c r="Q274" s="3" t="str">
        <f ca="1">IFERROR(__xludf.DUMMYFUNCTION("""COMPUTED_VALUE"""),"2000x1400 + 600x1080")</f>
        <v>2000x1400 + 600x1080</v>
      </c>
      <c r="R274" s="3"/>
      <c r="S274" s="3" t="str">
        <f ca="1">IFERROR(__xludf.DUMMYFUNCTION("""COMPUTED_VALUE"""),"500 (600 - HTLM5)")</f>
        <v>500 (600 - HTLM5)</v>
      </c>
      <c r="T274" s="3"/>
      <c r="U274" s="3" t="str">
        <f ca="1">IFERROR(__xludf.DUMMYFUNCTION("""COMPUTED_VALUE"""),"banner standard")</f>
        <v>banner standard</v>
      </c>
      <c r="V274" s="3"/>
      <c r="W274" s="4" t="str">
        <f ca="1">IFERROR(__xludf.DUMMYFUNCTION("""COMPUTED_VALUE"""),"https://reklama.cncenter.cz/Online/branding-cross-device")</f>
        <v>https://reklama.cncenter.cz/Online/branding-cross-device</v>
      </c>
      <c r="X274" s="3"/>
      <c r="Y274" s="3"/>
      <c r="Z274" s="3" t="str">
        <f ca="1">IFERROR(__xludf.DUMMYFUNCTION("""COMPUTED_VALUE"""),"podklady@cncenter.cz")</f>
        <v>podklady@cncenter.cz</v>
      </c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 t="str">
        <f ca="1">IFERROR(__xludf.DUMMYFUNCTION("""COMPUTED_VALUE"""),"cross-device")</f>
        <v>cross-device</v>
      </c>
      <c r="AO274" s="3"/>
      <c r="AP274" s="3"/>
      <c r="AQ274" s="3"/>
      <c r="AR274" s="3"/>
      <c r="AS274" s="3"/>
      <c r="AT274" s="3"/>
      <c r="AU274" s="3" t="str">
        <f ca="1">IFERROR(__xludf.DUMMYFUNCTION("""COMPUTED_VALUE"""),"branding cross-device")</f>
        <v>branding cross-device</v>
      </c>
    </row>
    <row r="275" spans="1:47" x14ac:dyDescent="0.3">
      <c r="A275" s="3">
        <f ca="1"/>
        <v>2346826</v>
      </c>
      <c r="B275" s="3" t="str">
        <f ca="1"/>
        <v>CZECH NEWS CENTER a. s.</v>
      </c>
      <c r="C275" s="3" t="str">
        <f ca="1">IFERROR(__xludf.DUMMYFUNCTION("""COMPUTED_VALUE"""),"CNC floating")</f>
        <v>CNC floating</v>
      </c>
      <c r="D275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5" s="3" t="str">
        <f ca="1">IFERROR(__xludf.DUMMYFUNCTION("""COMPUTED_VALUE"""),"celý web")</f>
        <v>celý web</v>
      </c>
      <c r="F275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5" s="3" t="str">
        <f ca="1">IFERROR(__xludf.DUMMYFUNCTION("""COMPUTED_VALUE"""),"branding mid season")</f>
        <v>branding mid season</v>
      </c>
      <c r="H275" s="3">
        <f ca="1">IFERROR(__xludf.DUMMYFUNCTION("""COMPUTED_VALUE"""),7)</f>
        <v>7</v>
      </c>
      <c r="I275" s="5">
        <f ca="1">IFERROR(__xludf.DUMMYFUNCTION("""COMPUTED_VALUE"""),1000)</f>
        <v>1000</v>
      </c>
      <c r="J275" s="5">
        <f ca="1">IFERROR(__xludf.DUMMYFUNCTION("""COMPUTED_VALUE"""),470)</f>
        <v>470</v>
      </c>
      <c r="K275" s="3"/>
      <c r="L275" s="3" t="str">
        <f ca="1">IFERROR(__xludf.DUMMYFUNCTION("""COMPUTED_VALUE"""),"Cost per period")</f>
        <v>Cost per period</v>
      </c>
      <c r="M275" s="3"/>
      <c r="N275" s="3"/>
      <c r="O275" s="3" t="str">
        <f ca="1">IFERROR(__xludf.DUMMYFUNCTION("""COMPUTED_VALUE"""),"2000")</f>
        <v>2000</v>
      </c>
      <c r="P275" s="3" t="str">
        <f ca="1">IFERROR(__xludf.DUMMYFUNCTION("""COMPUTED_VALUE"""),"1400")</f>
        <v>1400</v>
      </c>
      <c r="Q275" s="3" t="str">
        <f ca="1">IFERROR(__xludf.DUMMYFUNCTION("""COMPUTED_VALUE"""),"2000x1400")</f>
        <v>2000x1400</v>
      </c>
      <c r="R275" s="3"/>
      <c r="S275" s="3" t="str">
        <f ca="1">IFERROR(__xludf.DUMMYFUNCTION("""COMPUTED_VALUE"""),"500 + 200 (600+200 HTML5)")</f>
        <v>500 + 200 (600+200 HTML5)</v>
      </c>
      <c r="T275" s="3"/>
      <c r="U275" s="3" t="str">
        <f ca="1">IFERROR(__xludf.DUMMYFUNCTION("""COMPUTED_VALUE"""),"banner standard")</f>
        <v>banner standard</v>
      </c>
      <c r="V275" s="3"/>
      <c r="W275" s="4" t="str">
        <f ca="1">IFERROR(__xludf.DUMMYFUNCTION("""COMPUTED_VALUE"""),"https://reklama.cncenter.cz/Online/branding")</f>
        <v>https://reklama.cncenter.cz/Online/branding</v>
      </c>
      <c r="X275" s="3"/>
      <c r="Y275" s="3"/>
      <c r="Z275" s="3" t="str">
        <f ca="1">IFERROR(__xludf.DUMMYFUNCTION("""COMPUTED_VALUE"""),"podklady@cncenter.cz")</f>
        <v>podklady@cncenter.cz</v>
      </c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 t="str">
        <f ca="1">IFERROR(__xludf.DUMMYFUNCTION("""COMPUTED_VALUE"""),"desktop")</f>
        <v>desktop</v>
      </c>
      <c r="AO275" s="3"/>
      <c r="AP275" s="3"/>
      <c r="AQ275" s="3"/>
      <c r="AR275" s="3"/>
      <c r="AS275" s="3"/>
      <c r="AT275" s="3"/>
      <c r="AU275" s="3" t="str">
        <f ca="1">IFERROR(__xludf.DUMMYFUNCTION("""COMPUTED_VALUE"""),"branding")</f>
        <v>branding</v>
      </c>
    </row>
    <row r="276" spans="1:47" x14ac:dyDescent="0.3">
      <c r="A276" s="3">
        <f ca="1"/>
        <v>2346826</v>
      </c>
      <c r="B276" s="3" t="str">
        <f ca="1"/>
        <v>CZECH NEWS CENTER a. s.</v>
      </c>
      <c r="C276" s="3" t="str">
        <f ca="1">IFERROR(__xludf.DUMMYFUNCTION("""COMPUTED_VALUE"""),"CNC floating")</f>
        <v>CNC floating</v>
      </c>
      <c r="D276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6" s="3" t="str">
        <f ca="1">IFERROR(__xludf.DUMMYFUNCTION("""COMPUTED_VALUE"""),"celý web")</f>
        <v>celý web</v>
      </c>
      <c r="F276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6" s="3" t="str">
        <f ca="1">IFERROR(__xludf.DUMMYFUNCTION("""COMPUTED_VALUE"""),"cílený billboard bottom mid season")</f>
        <v>cílený billboard bottom mid season</v>
      </c>
      <c r="H276" s="3">
        <f ca="1">IFERROR(__xludf.DUMMYFUNCTION("""COMPUTED_VALUE"""),7)</f>
        <v>7</v>
      </c>
      <c r="I276" s="5">
        <f ca="1">IFERROR(__xludf.DUMMYFUNCTION("""COMPUTED_VALUE"""),1000)</f>
        <v>1000</v>
      </c>
      <c r="J276" s="5">
        <f ca="1">IFERROR(__xludf.DUMMYFUNCTION("""COMPUTED_VALUE"""),300)</f>
        <v>300</v>
      </c>
      <c r="K276" s="3"/>
      <c r="L276" s="3" t="str">
        <f ca="1">IFERROR(__xludf.DUMMYFUNCTION("""COMPUTED_VALUE"""),"Cost per period")</f>
        <v>Cost per period</v>
      </c>
      <c r="M276" s="3"/>
      <c r="N276" s="3"/>
      <c r="O276" s="3" t="str">
        <f ca="1">IFERROR(__xludf.DUMMYFUNCTION("""COMPUTED_VALUE"""),"970")</f>
        <v>970</v>
      </c>
      <c r="P276" s="3" t="str">
        <f ca="1">IFERROR(__xludf.DUMMYFUNCTION("""COMPUTED_VALUE"""),"250")</f>
        <v>250</v>
      </c>
      <c r="Q276" s="3" t="str">
        <f ca="1">IFERROR(__xludf.DUMMYFUNCTION("""COMPUTED_VALUE"""),"970x250")</f>
        <v>970x250</v>
      </c>
      <c r="R276" s="3"/>
      <c r="S276" s="3" t="str">
        <f ca="1">IFERROR(__xludf.DUMMYFUNCTION("""COMPUTED_VALUE"""),"100 (200 - HTML5)")</f>
        <v>100 (200 - HTML5)</v>
      </c>
      <c r="T276" s="3"/>
      <c r="U276" s="3" t="str">
        <f ca="1">IFERROR(__xludf.DUMMYFUNCTION("""COMPUTED_VALUE"""),"banner standard")</f>
        <v>banner standard</v>
      </c>
      <c r="V276" s="3"/>
      <c r="W276" s="4" t="str">
        <f ca="1">IFERROR(__xludf.DUMMYFUNCTION("""COMPUTED_VALUE"""),"https://reklama.cncenter.cz/Online/billboard-bottom")</f>
        <v>https://reklama.cncenter.cz/Online/billboard-bottom</v>
      </c>
      <c r="X276" s="3"/>
      <c r="Y276" s="3"/>
      <c r="Z276" s="3" t="str">
        <f ca="1">IFERROR(__xludf.DUMMYFUNCTION("""COMPUTED_VALUE"""),"podklady@cncenter.cz")</f>
        <v>podklady@cncenter.cz</v>
      </c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 t="str">
        <f ca="1">IFERROR(__xludf.DUMMYFUNCTION("""COMPUTED_VALUE"""),"desktop")</f>
        <v>desktop</v>
      </c>
      <c r="AO276" s="3"/>
      <c r="AP276" s="3"/>
      <c r="AQ276" s="3"/>
      <c r="AR276" s="3"/>
      <c r="AS276" s="3"/>
      <c r="AT276" s="3"/>
      <c r="AU276" s="3" t="str">
        <f ca="1">IFERROR(__xludf.DUMMYFUNCTION("""COMPUTED_VALUE"""),"cílený billboard bottom")</f>
        <v>cílený billboard bottom</v>
      </c>
    </row>
    <row r="277" spans="1:47" x14ac:dyDescent="0.3">
      <c r="A277" s="3">
        <f ca="1"/>
        <v>2346826</v>
      </c>
      <c r="B277" s="3" t="str">
        <f ca="1"/>
        <v>CZECH NEWS CENTER a. s.</v>
      </c>
      <c r="C277" s="3" t="str">
        <f ca="1">IFERROR(__xludf.DUMMYFUNCTION("""COMPUTED_VALUE"""),"CNC floating")</f>
        <v>CNC floating</v>
      </c>
      <c r="D277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7" s="3" t="str">
        <f ca="1">IFERROR(__xludf.DUMMYFUNCTION("""COMPUTED_VALUE"""),"celý web")</f>
        <v>celý web</v>
      </c>
      <c r="F277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7" s="3" t="str">
        <f ca="1">IFERROR(__xludf.DUMMYFUNCTION("""COMPUTED_VALUE"""),"cílený branding cross-device mid season")</f>
        <v>cílený branding cross-device mid season</v>
      </c>
      <c r="H277" s="3">
        <f ca="1">IFERROR(__xludf.DUMMYFUNCTION("""COMPUTED_VALUE"""),7)</f>
        <v>7</v>
      </c>
      <c r="I277" s="5">
        <f ca="1">IFERROR(__xludf.DUMMYFUNCTION("""COMPUTED_VALUE"""),1000)</f>
        <v>1000</v>
      </c>
      <c r="J277" s="5">
        <f ca="1">IFERROR(__xludf.DUMMYFUNCTION("""COMPUTED_VALUE"""),396)</f>
        <v>396</v>
      </c>
      <c r="K277" s="3"/>
      <c r="L277" s="3" t="str">
        <f ca="1">IFERROR(__xludf.DUMMYFUNCTION("""COMPUTED_VALUE"""),"Cost per period")</f>
        <v>Cost per period</v>
      </c>
      <c r="M277" s="3"/>
      <c r="N277" s="3"/>
      <c r="O277" s="3" t="str">
        <f ca="1">IFERROR(__xludf.DUMMYFUNCTION("""COMPUTED_VALUE"""),"2000")</f>
        <v>2000</v>
      </c>
      <c r="P277" s="3" t="str">
        <f ca="1">IFERROR(__xludf.DUMMYFUNCTION("""COMPUTED_VALUE"""),"1400")</f>
        <v>1400</v>
      </c>
      <c r="Q277" s="3" t="str">
        <f ca="1">IFERROR(__xludf.DUMMYFUNCTION("""COMPUTED_VALUE"""),"2000x1400 + 600x1080")</f>
        <v>2000x1400 + 600x1080</v>
      </c>
      <c r="R277" s="3"/>
      <c r="S277" s="3" t="str">
        <f ca="1">IFERROR(__xludf.DUMMYFUNCTION("""COMPUTED_VALUE"""),"500 (600 - HTLM5)")</f>
        <v>500 (600 - HTLM5)</v>
      </c>
      <c r="T277" s="3"/>
      <c r="U277" s="3" t="str">
        <f ca="1">IFERROR(__xludf.DUMMYFUNCTION("""COMPUTED_VALUE"""),"banner standard")</f>
        <v>banner standard</v>
      </c>
      <c r="V277" s="3"/>
      <c r="W277" s="4" t="str">
        <f ca="1">IFERROR(__xludf.DUMMYFUNCTION("""COMPUTED_VALUE"""),"https://reklama.cncenter.cz/Online/branding-cross-device")</f>
        <v>https://reklama.cncenter.cz/Online/branding-cross-device</v>
      </c>
      <c r="X277" s="3"/>
      <c r="Y277" s="3"/>
      <c r="Z277" s="3" t="str">
        <f ca="1">IFERROR(__xludf.DUMMYFUNCTION("""COMPUTED_VALUE"""),"podklady@cncenter.cz")</f>
        <v>podklady@cncenter.cz</v>
      </c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 t="str">
        <f ca="1">IFERROR(__xludf.DUMMYFUNCTION("""COMPUTED_VALUE"""),"cross-device")</f>
        <v>cross-device</v>
      </c>
      <c r="AO277" s="3"/>
      <c r="AP277" s="3"/>
      <c r="AQ277" s="3"/>
      <c r="AR277" s="3"/>
      <c r="AS277" s="3"/>
      <c r="AT277" s="3"/>
      <c r="AU277" s="3" t="str">
        <f ca="1">IFERROR(__xludf.DUMMYFUNCTION("""COMPUTED_VALUE"""),"cílený branding cross-device")</f>
        <v>cílený branding cross-device</v>
      </c>
    </row>
    <row r="278" spans="1:47" x14ac:dyDescent="0.3">
      <c r="A278" s="3">
        <f ca="1"/>
        <v>2346826</v>
      </c>
      <c r="B278" s="3" t="str">
        <f ca="1"/>
        <v>CZECH NEWS CENTER a. s.</v>
      </c>
      <c r="C278" s="3" t="str">
        <f ca="1">IFERROR(__xludf.DUMMYFUNCTION("""COMPUTED_VALUE"""),"CNC floating")</f>
        <v>CNC floating</v>
      </c>
      <c r="D278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8" s="3" t="str">
        <f ca="1">IFERROR(__xludf.DUMMYFUNCTION("""COMPUTED_VALUE"""),"celý web")</f>
        <v>celý web</v>
      </c>
      <c r="F278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8" s="3" t="str">
        <f ca="1">IFERROR(__xludf.DUMMYFUNCTION("""COMPUTED_VALUE"""),"cílený branding mid season")</f>
        <v>cílený branding mid season</v>
      </c>
      <c r="H278" s="3">
        <f ca="1">IFERROR(__xludf.DUMMYFUNCTION("""COMPUTED_VALUE"""),7)</f>
        <v>7</v>
      </c>
      <c r="I278" s="5">
        <f ca="1">IFERROR(__xludf.DUMMYFUNCTION("""COMPUTED_VALUE"""),1000)</f>
        <v>1000</v>
      </c>
      <c r="J278" s="5">
        <f ca="1">IFERROR(__xludf.DUMMYFUNCTION("""COMPUTED_VALUE"""),564)</f>
        <v>564</v>
      </c>
      <c r="K278" s="3"/>
      <c r="L278" s="3" t="str">
        <f ca="1">IFERROR(__xludf.DUMMYFUNCTION("""COMPUTED_VALUE"""),"Cost per period")</f>
        <v>Cost per period</v>
      </c>
      <c r="M278" s="3"/>
      <c r="N278" s="3"/>
      <c r="O278" s="3" t="str">
        <f ca="1">IFERROR(__xludf.DUMMYFUNCTION("""COMPUTED_VALUE"""),"2000")</f>
        <v>2000</v>
      </c>
      <c r="P278" s="3" t="str">
        <f ca="1">IFERROR(__xludf.DUMMYFUNCTION("""COMPUTED_VALUE"""),"1400")</f>
        <v>1400</v>
      </c>
      <c r="Q278" s="3" t="str">
        <f ca="1">IFERROR(__xludf.DUMMYFUNCTION("""COMPUTED_VALUE"""),"2000x1400")</f>
        <v>2000x1400</v>
      </c>
      <c r="R278" s="3"/>
      <c r="S278" s="3" t="str">
        <f ca="1">IFERROR(__xludf.DUMMYFUNCTION("""COMPUTED_VALUE"""),"500 + 200 (600+200 HTML5)")</f>
        <v>500 + 200 (600+200 HTML5)</v>
      </c>
      <c r="T278" s="3"/>
      <c r="U278" s="3" t="str">
        <f ca="1">IFERROR(__xludf.DUMMYFUNCTION("""COMPUTED_VALUE"""),"banner standard")</f>
        <v>banner standard</v>
      </c>
      <c r="V278" s="3"/>
      <c r="W278" s="4" t="str">
        <f ca="1">IFERROR(__xludf.DUMMYFUNCTION("""COMPUTED_VALUE"""),"https://reklama.cncenter.cz/Online/branding")</f>
        <v>https://reklama.cncenter.cz/Online/branding</v>
      </c>
      <c r="X278" s="3"/>
      <c r="Y278" s="3"/>
      <c r="Z278" s="3" t="str">
        <f ca="1">IFERROR(__xludf.DUMMYFUNCTION("""COMPUTED_VALUE"""),"podklady@cncenter.cz")</f>
        <v>podklady@cncenter.cz</v>
      </c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 t="str">
        <f ca="1">IFERROR(__xludf.DUMMYFUNCTION("""COMPUTED_VALUE"""),"desktop")</f>
        <v>desktop</v>
      </c>
      <c r="AO278" s="3"/>
      <c r="AP278" s="3"/>
      <c r="AQ278" s="3"/>
      <c r="AR278" s="3"/>
      <c r="AS278" s="3"/>
      <c r="AT278" s="3"/>
      <c r="AU278" s="3" t="str">
        <f ca="1">IFERROR(__xludf.DUMMYFUNCTION("""COMPUTED_VALUE"""),"cílený branding")</f>
        <v>cílený branding</v>
      </c>
    </row>
    <row r="279" spans="1:47" x14ac:dyDescent="0.3">
      <c r="A279" s="3">
        <f ca="1"/>
        <v>2346826</v>
      </c>
      <c r="B279" s="3" t="str">
        <f ca="1"/>
        <v>CZECH NEWS CENTER a. s.</v>
      </c>
      <c r="C279" s="3" t="str">
        <f ca="1">IFERROR(__xludf.DUMMYFUNCTION("""COMPUTED_VALUE"""),"CNC floating")</f>
        <v>CNC floating</v>
      </c>
      <c r="D279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9" s="3" t="str">
        <f ca="1">IFERROR(__xludf.DUMMYFUNCTION("""COMPUTED_VALUE"""),"celý web")</f>
        <v>celý web</v>
      </c>
      <c r="F279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9" s="3" t="str">
        <f ca="1">IFERROR(__xludf.DUMMYFUNCTION("""COMPUTED_VALUE"""),"cílený double skyscraper mid season")</f>
        <v>cílený double skyscraper mid season</v>
      </c>
      <c r="H279" s="3">
        <f ca="1">IFERROR(__xludf.DUMMYFUNCTION("""COMPUTED_VALUE"""),7)</f>
        <v>7</v>
      </c>
      <c r="I279" s="5">
        <f ca="1">IFERROR(__xludf.DUMMYFUNCTION("""COMPUTED_VALUE"""),1000)</f>
        <v>1000</v>
      </c>
      <c r="J279" s="5">
        <f ca="1">IFERROR(__xludf.DUMMYFUNCTION("""COMPUTED_VALUE"""),240)</f>
        <v>240</v>
      </c>
      <c r="K279" s="3"/>
      <c r="L279" s="3" t="str">
        <f ca="1">IFERROR(__xludf.DUMMYFUNCTION("""COMPUTED_VALUE"""),"Cost per period")</f>
        <v>Cost per period</v>
      </c>
      <c r="M279" s="3"/>
      <c r="N279" s="3"/>
      <c r="O279" s="3" t="str">
        <f ca="1">IFERROR(__xludf.DUMMYFUNCTION("""COMPUTED_VALUE"""),"300")</f>
        <v>300</v>
      </c>
      <c r="P279" s="3" t="str">
        <f ca="1">IFERROR(__xludf.DUMMYFUNCTION("""COMPUTED_VALUE"""),"600")</f>
        <v>600</v>
      </c>
      <c r="Q279" s="3" t="str">
        <f ca="1">IFERROR(__xludf.DUMMYFUNCTION("""COMPUTED_VALUE"""),"300x600")</f>
        <v>300x600</v>
      </c>
      <c r="R279" s="3"/>
      <c r="S279" s="3" t="str">
        <f ca="1">IFERROR(__xludf.DUMMYFUNCTION("""COMPUTED_VALUE"""),"100 (200 - HTML5)")</f>
        <v>100 (200 - HTML5)</v>
      </c>
      <c r="T279" s="3"/>
      <c r="U279" s="3" t="str">
        <f ca="1">IFERROR(__xludf.DUMMYFUNCTION("""COMPUTED_VALUE"""),"banner standard")</f>
        <v>banner standard</v>
      </c>
      <c r="V279" s="3"/>
      <c r="W279" s="4" t="str">
        <f ca="1">IFERROR(__xludf.DUMMYFUNCTION("""COMPUTED_VALUE"""),"https://reklama.cncenter.cz/Online/double-skyscraper")</f>
        <v>https://reklama.cncenter.cz/Online/double-skyscraper</v>
      </c>
      <c r="X279" s="3"/>
      <c r="Y279" s="3"/>
      <c r="Z279" s="3" t="str">
        <f ca="1">IFERROR(__xludf.DUMMYFUNCTION("""COMPUTED_VALUE"""),"podklady@cncenter.cz")</f>
        <v>podklady@cncenter.cz</v>
      </c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 t="str">
        <f ca="1">IFERROR(__xludf.DUMMYFUNCTION("""COMPUTED_VALUE"""),"desktop")</f>
        <v>desktop</v>
      </c>
      <c r="AO279" s="3"/>
      <c r="AP279" s="3"/>
      <c r="AQ279" s="3"/>
      <c r="AR279" s="3"/>
      <c r="AS279" s="3"/>
      <c r="AT279" s="3"/>
      <c r="AU279" s="3" t="str">
        <f ca="1">IFERROR(__xludf.DUMMYFUNCTION("""COMPUTED_VALUE"""),"cílený double skyscraper")</f>
        <v>cílený double skyscraper</v>
      </c>
    </row>
    <row r="280" spans="1:47" x14ac:dyDescent="0.3">
      <c r="A280" s="3">
        <f ca="1"/>
        <v>2346826</v>
      </c>
      <c r="B280" s="3" t="str">
        <f ca="1"/>
        <v>CZECH NEWS CENTER a. s.</v>
      </c>
      <c r="C280" s="3" t="str">
        <f ca="1">IFERROR(__xludf.DUMMYFUNCTION("""COMPUTED_VALUE"""),"CNC floating")</f>
        <v>CNC floating</v>
      </c>
      <c r="D280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0" s="3" t="str">
        <f ca="1">IFERROR(__xludf.DUMMYFUNCTION("""COMPUTED_VALUE"""),"celý web")</f>
        <v>celý web</v>
      </c>
      <c r="F280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0" s="3" t="str">
        <f ca="1">IFERROR(__xludf.DUMMYFUNCTION("""COMPUTED_VALUE"""),"cílený mini videospot - max. 30 sec. mid season")</f>
        <v>cílený mini videospot - max. 30 sec. mid season</v>
      </c>
      <c r="H280" s="3">
        <f ca="1">IFERROR(__xludf.DUMMYFUNCTION("""COMPUTED_VALUE"""),7)</f>
        <v>7</v>
      </c>
      <c r="I280" s="5">
        <f ca="1">IFERROR(__xludf.DUMMYFUNCTION("""COMPUTED_VALUE"""),1000)</f>
        <v>1000</v>
      </c>
      <c r="J280" s="5">
        <f ca="1">IFERROR(__xludf.DUMMYFUNCTION("""COMPUTED_VALUE"""),216)</f>
        <v>216</v>
      </c>
      <c r="K280" s="3"/>
      <c r="L280" s="3" t="str">
        <f ca="1">IFERROR(__xludf.DUMMYFUNCTION("""COMPUTED_VALUE"""),"Cost per period")</f>
        <v>Cost per period</v>
      </c>
      <c r="M280" s="3"/>
      <c r="N280" s="3"/>
      <c r="O280" s="3"/>
      <c r="P280" s="3"/>
      <c r="Q280" s="3" t="str">
        <f ca="1">IFERROR(__xludf.DUMMYFUNCTION("""COMPUTED_VALUE"""),"16:9 / umístění po domluvě dle možností")</f>
        <v>16:9 / umístění po domluvě dle možností</v>
      </c>
      <c r="R280" s="3" t="str">
        <f ca="1">IFERROR(__xludf.DUMMYFUNCTION("""COMPUTED_VALUE"""),"přeskočení po 7 sekundách")</f>
        <v>přeskočení po 7 sekundách</v>
      </c>
      <c r="S280" s="3" t="str">
        <f ca="1">IFERROR(__xludf.DUMMYFUNCTION("""COMPUTED_VALUE"""),"100")</f>
        <v>100</v>
      </c>
      <c r="T280" s="3"/>
      <c r="U280" s="3" t="str">
        <f ca="1">IFERROR(__xludf.DUMMYFUNCTION("""COMPUTED_VALUE"""),"videospot")</f>
        <v>videospot</v>
      </c>
      <c r="V280" s="3"/>
      <c r="W280" s="4" t="str">
        <f ca="1">IFERROR(__xludf.DUMMYFUNCTION("""COMPUTED_VALUE"""),"https://reklama.cncenter.cz/Online/Videospot")</f>
        <v>https://reklama.cncenter.cz/Online/Videospot</v>
      </c>
      <c r="X280" s="3"/>
      <c r="Y280" s="3"/>
      <c r="Z280" s="3" t="str">
        <f ca="1">IFERROR(__xludf.DUMMYFUNCTION("""COMPUTED_VALUE"""),"podklady@cncenter.cz")</f>
        <v>podklady@cncenter.cz</v>
      </c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 t="str">
        <f ca="1">IFERROR(__xludf.DUMMYFUNCTION("""COMPUTED_VALUE"""),"desktop")</f>
        <v>desktop</v>
      </c>
      <c r="AO280" s="3"/>
      <c r="AP280" s="3"/>
      <c r="AQ280" s="3"/>
      <c r="AR280" s="3"/>
      <c r="AS280" s="3"/>
      <c r="AT280" s="3"/>
      <c r="AU280" s="3" t="str">
        <f ca="1">IFERROR(__xludf.DUMMYFUNCTION("""COMPUTED_VALUE"""),"cílený mini videospot - max. 30 sec.")</f>
        <v>cílený mini videospot - max. 30 sec.</v>
      </c>
    </row>
    <row r="281" spans="1:47" x14ac:dyDescent="0.3">
      <c r="A281" s="3">
        <f ca="1"/>
        <v>2346826</v>
      </c>
      <c r="B281" s="3" t="str">
        <f ca="1"/>
        <v>CZECH NEWS CENTER a. s.</v>
      </c>
      <c r="C281" s="3" t="str">
        <f ca="1">IFERROR(__xludf.DUMMYFUNCTION("""COMPUTED_VALUE"""),"CNC floating")</f>
        <v>CNC floating</v>
      </c>
      <c r="D281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1" s="3" t="str">
        <f ca="1">IFERROR(__xludf.DUMMYFUNCTION("""COMPUTED_VALUE"""),"celý web")</f>
        <v>celý web</v>
      </c>
      <c r="F281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1" s="3" t="str">
        <f ca="1">IFERROR(__xludf.DUMMYFUNCTION("""COMPUTED_VALUE"""),"cílený mobilní interscroller mid season")</f>
        <v>cílený mobilní interscroller mid season</v>
      </c>
      <c r="H281" s="3">
        <f ca="1">IFERROR(__xludf.DUMMYFUNCTION("""COMPUTED_VALUE"""),7)</f>
        <v>7</v>
      </c>
      <c r="I281" s="5">
        <f ca="1">IFERROR(__xludf.DUMMYFUNCTION("""COMPUTED_VALUE"""),1000)</f>
        <v>1000</v>
      </c>
      <c r="J281" s="5">
        <f ca="1">IFERROR(__xludf.DUMMYFUNCTION("""COMPUTED_VALUE"""),300)</f>
        <v>300</v>
      </c>
      <c r="K281" s="3"/>
      <c r="L281" s="3" t="str">
        <f ca="1">IFERROR(__xludf.DUMMYFUNCTION("""COMPUTED_VALUE"""),"Cost per period")</f>
        <v>Cost per period</v>
      </c>
      <c r="M281" s="3"/>
      <c r="N281" s="3"/>
      <c r="O281" s="3" t="str">
        <f ca="1">IFERROR(__xludf.DUMMYFUNCTION("""COMPUTED_VALUE"""),"600")</f>
        <v>600</v>
      </c>
      <c r="P281" s="3" t="str">
        <f ca="1">IFERROR(__xludf.DUMMYFUNCTION("""COMPUTED_VALUE"""),"1080")</f>
        <v>1080</v>
      </c>
      <c r="Q281" s="3" t="str">
        <f ca="1">IFERROR(__xludf.DUMMYFUNCTION("""COMPUTED_VALUE"""),"600x1080")</f>
        <v>600x1080</v>
      </c>
      <c r="R281" s="3"/>
      <c r="S281" s="3" t="str">
        <f ca="1">IFERROR(__xludf.DUMMYFUNCTION("""COMPUTED_VALUE"""),"200")</f>
        <v>200</v>
      </c>
      <c r="T281" s="3"/>
      <c r="U281" s="3" t="str">
        <f ca="1">IFERROR(__xludf.DUMMYFUNCTION("""COMPUTED_VALUE"""),"banner standard")</f>
        <v>banner standard</v>
      </c>
      <c r="V281" s="3"/>
      <c r="W281" s="4" t="str">
        <f ca="1">IFERROR(__xludf.DUMMYFUNCTION("""COMPUTED_VALUE"""),"https://reklama.cncenter.cz/Online/mobilni-interscroller")</f>
        <v>https://reklama.cncenter.cz/Online/mobilni-interscroller</v>
      </c>
      <c r="X281" s="3"/>
      <c r="Y281" s="3"/>
      <c r="Z281" s="3" t="str">
        <f ca="1">IFERROR(__xludf.DUMMYFUNCTION("""COMPUTED_VALUE"""),"podklady@cncenter.cz")</f>
        <v>podklady@cncenter.cz</v>
      </c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 t="str">
        <f ca="1">IFERROR(__xludf.DUMMYFUNCTION("""COMPUTED_VALUE"""),"mobile")</f>
        <v>mobile</v>
      </c>
      <c r="AO281" s="3"/>
      <c r="AP281" s="3"/>
      <c r="AQ281" s="3"/>
      <c r="AR281" s="3"/>
      <c r="AS281" s="3"/>
      <c r="AT281" s="3"/>
      <c r="AU281" s="3" t="str">
        <f ca="1">IFERROR(__xludf.DUMMYFUNCTION("""COMPUTED_VALUE"""),"cílený mobilní interscroller")</f>
        <v>cílený mobilní interscroller</v>
      </c>
    </row>
    <row r="282" spans="1:47" x14ac:dyDescent="0.3">
      <c r="A282" s="3">
        <f ca="1"/>
        <v>2346826</v>
      </c>
      <c r="B282" s="3" t="str">
        <f ca="1"/>
        <v>CZECH NEWS CENTER a. s.</v>
      </c>
      <c r="C282" s="3" t="str">
        <f ca="1">IFERROR(__xludf.DUMMYFUNCTION("""COMPUTED_VALUE"""),"CNC floating")</f>
        <v>CNC floating</v>
      </c>
      <c r="D282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2" s="3" t="str">
        <f ca="1">IFERROR(__xludf.DUMMYFUNCTION("""COMPUTED_VALUE"""),"celý web")</f>
        <v>celý web</v>
      </c>
      <c r="F282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2" s="3" t="str">
        <f ca="1">IFERROR(__xludf.DUMMYFUNCTION("""COMPUTED_VALUE"""),"cílený mobilní slide-up mid season")</f>
        <v>cílený mobilní slide-up mid season</v>
      </c>
      <c r="H282" s="3">
        <f ca="1">IFERROR(__xludf.DUMMYFUNCTION("""COMPUTED_VALUE"""),7)</f>
        <v>7</v>
      </c>
      <c r="I282" s="5">
        <f ca="1">IFERROR(__xludf.DUMMYFUNCTION("""COMPUTED_VALUE"""),1000)</f>
        <v>1000</v>
      </c>
      <c r="J282" s="5">
        <f ca="1">IFERROR(__xludf.DUMMYFUNCTION("""COMPUTED_VALUE"""),648)</f>
        <v>648</v>
      </c>
      <c r="K282" s="3"/>
      <c r="L282" s="3" t="str">
        <f ca="1">IFERROR(__xludf.DUMMYFUNCTION("""COMPUTED_VALUE"""),"Cost per period")</f>
        <v>Cost per period</v>
      </c>
      <c r="M282" s="3"/>
      <c r="N282" s="3"/>
      <c r="O282" s="3" t="str">
        <f ca="1">IFERROR(__xludf.DUMMYFUNCTION("""COMPUTED_VALUE"""),"300")</f>
        <v>300</v>
      </c>
      <c r="P282" s="3" t="str">
        <f ca="1">IFERROR(__xludf.DUMMYFUNCTION("""COMPUTED_VALUE"""),"120")</f>
        <v>120</v>
      </c>
      <c r="Q282" s="3" t="str">
        <f ca="1">IFERROR(__xludf.DUMMYFUNCTION("""COMPUTED_VALUE"""),"300x120")</f>
        <v>300x120</v>
      </c>
      <c r="R282" s="3"/>
      <c r="S282" s="3" t="str">
        <f ca="1">IFERROR(__xludf.DUMMYFUNCTION("""COMPUTED_VALUE"""),"100")</f>
        <v>100</v>
      </c>
      <c r="T282" s="3"/>
      <c r="U282" s="3" t="str">
        <f ca="1">IFERROR(__xludf.DUMMYFUNCTION("""COMPUTED_VALUE"""),"banner standard")</f>
        <v>banner standard</v>
      </c>
      <c r="V282" s="3"/>
      <c r="W282" s="4" t="str">
        <f ca="1">IFERROR(__xludf.DUMMYFUNCTION("""COMPUTED_VALUE"""),"https://reklama.cncenter.cz/Online/mobilni-slide-up")</f>
        <v>https://reklama.cncenter.cz/Online/mobilni-slide-up</v>
      </c>
      <c r="X282" s="3"/>
      <c r="Y282" s="3"/>
      <c r="Z282" s="3" t="str">
        <f ca="1">IFERROR(__xludf.DUMMYFUNCTION("""COMPUTED_VALUE"""),"podklady@cncenter.cz")</f>
        <v>podklady@cncenter.cz</v>
      </c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 t="str">
        <f ca="1">IFERROR(__xludf.DUMMYFUNCTION("""COMPUTED_VALUE"""),"mobile")</f>
        <v>mobile</v>
      </c>
      <c r="AO282" s="3"/>
      <c r="AP282" s="3"/>
      <c r="AQ282" s="3"/>
      <c r="AR282" s="3"/>
      <c r="AS282" s="3"/>
      <c r="AT282" s="3"/>
      <c r="AU282" s="3" t="str">
        <f ca="1">IFERROR(__xludf.DUMMYFUNCTION("""COMPUTED_VALUE"""),"cílený mobilní slide-up")</f>
        <v>cílený mobilní slide-up</v>
      </c>
    </row>
    <row r="283" spans="1:47" x14ac:dyDescent="0.3">
      <c r="A283" s="3">
        <f ca="1"/>
        <v>2346826</v>
      </c>
      <c r="B283" s="3" t="str">
        <f ca="1"/>
        <v>CZECH NEWS CENTER a. s.</v>
      </c>
      <c r="C283" s="3" t="str">
        <f ca="1">IFERROR(__xludf.DUMMYFUNCTION("""COMPUTED_VALUE"""),"CNC floating")</f>
        <v>CNC floating</v>
      </c>
      <c r="D28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3" s="3" t="str">
        <f ca="1">IFERROR(__xludf.DUMMYFUNCTION("""COMPUTED_VALUE"""),"celý web")</f>
        <v>celý web</v>
      </c>
      <c r="F28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3" s="3" t="str">
        <f ca="1">IFERROR(__xludf.DUMMYFUNCTION("""COMPUTED_VALUE"""),"cílený mobilní viněta mid season")</f>
        <v>cílený mobilní viněta mid season</v>
      </c>
      <c r="H283" s="3">
        <f ca="1">IFERROR(__xludf.DUMMYFUNCTION("""COMPUTED_VALUE"""),7)</f>
        <v>7</v>
      </c>
      <c r="I283" s="5">
        <f ca="1">IFERROR(__xludf.DUMMYFUNCTION("""COMPUTED_VALUE"""),1000)</f>
        <v>1000</v>
      </c>
      <c r="J283" s="5">
        <f ca="1">IFERROR(__xludf.DUMMYFUNCTION("""COMPUTED_VALUE"""),1212)</f>
        <v>1212</v>
      </c>
      <c r="K283" s="3"/>
      <c r="L283" s="3" t="str">
        <f ca="1">IFERROR(__xludf.DUMMYFUNCTION("""COMPUTED_VALUE"""),"Cost per period")</f>
        <v>Cost per period</v>
      </c>
      <c r="M283" s="3"/>
      <c r="N283" s="3"/>
      <c r="O283" s="3" t="str">
        <f ca="1">IFERROR(__xludf.DUMMYFUNCTION("""COMPUTED_VALUE"""),"600")</f>
        <v>600</v>
      </c>
      <c r="P283" s="3" t="str">
        <f ca="1">IFERROR(__xludf.DUMMYFUNCTION("""COMPUTED_VALUE"""),"800")</f>
        <v>800</v>
      </c>
      <c r="Q283" s="3" t="str">
        <f ca="1">IFERROR(__xludf.DUMMYFUNCTION("""COMPUTED_VALUE"""),"300x250 nebo 600x800")</f>
        <v>300x250 nebo 600x800</v>
      </c>
      <c r="R283" s="3"/>
      <c r="S283" s="3" t="str">
        <f ca="1">IFERROR(__xludf.DUMMYFUNCTION("""COMPUTED_VALUE"""),"100")</f>
        <v>100</v>
      </c>
      <c r="T283" s="3"/>
      <c r="U283" s="3" t="str">
        <f ca="1">IFERROR(__xludf.DUMMYFUNCTION("""COMPUTED_VALUE"""),"banner standard")</f>
        <v>banner standard</v>
      </c>
      <c r="V283" s="3"/>
      <c r="W283" s="4" t="str">
        <f ca="1">IFERROR(__xludf.DUMMYFUNCTION("""COMPUTED_VALUE"""),"https://reklama.cncenter.cz/Online/mobilni-vineta")</f>
        <v>https://reklama.cncenter.cz/Online/mobilni-vineta</v>
      </c>
      <c r="X283" s="3"/>
      <c r="Y283" s="3"/>
      <c r="Z283" s="3" t="str">
        <f ca="1">IFERROR(__xludf.DUMMYFUNCTION("""COMPUTED_VALUE"""),"podklady@cncenter.cz")</f>
        <v>podklady@cncenter.cz</v>
      </c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 t="str">
        <f ca="1">IFERROR(__xludf.DUMMYFUNCTION("""COMPUTED_VALUE"""),"mobile")</f>
        <v>mobile</v>
      </c>
      <c r="AO283" s="3"/>
      <c r="AP283" s="3"/>
      <c r="AQ283" s="3"/>
      <c r="AR283" s="3"/>
      <c r="AS283" s="3"/>
      <c r="AT283" s="3"/>
      <c r="AU283" s="3" t="str">
        <f ca="1">IFERROR(__xludf.DUMMYFUNCTION("""COMPUTED_VALUE"""),"cílený mobilní viněta")</f>
        <v>cílený mobilní viněta</v>
      </c>
    </row>
    <row r="284" spans="1:47" x14ac:dyDescent="0.3">
      <c r="A284" s="3">
        <f ca="1"/>
        <v>2346826</v>
      </c>
      <c r="B284" s="3" t="str">
        <f ca="1"/>
        <v>CZECH NEWS CENTER a. s.</v>
      </c>
      <c r="C284" s="3" t="str">
        <f ca="1">IFERROR(__xludf.DUMMYFUNCTION("""COMPUTED_VALUE"""),"CNC floating")</f>
        <v>CNC floating</v>
      </c>
      <c r="D284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4" s="3" t="str">
        <f ca="1">IFERROR(__xludf.DUMMYFUNCTION("""COMPUTED_VALUE"""),"celý web")</f>
        <v>celý web</v>
      </c>
      <c r="F284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4" s="3" t="str">
        <f ca="1">IFERROR(__xludf.DUMMYFUNCTION("""COMPUTED_VALUE"""),"cílený nativní rectangle cross-device mid season")</f>
        <v>cílený nativní rectangle cross-device mid season</v>
      </c>
      <c r="H284" s="3">
        <f ca="1">IFERROR(__xludf.DUMMYFUNCTION("""COMPUTED_VALUE"""),7)</f>
        <v>7</v>
      </c>
      <c r="I284" s="5">
        <f ca="1">IFERROR(__xludf.DUMMYFUNCTION("""COMPUTED_VALUE"""),1000)</f>
        <v>1000</v>
      </c>
      <c r="J284" s="5">
        <f ca="1">IFERROR(__xludf.DUMMYFUNCTION("""COMPUTED_VALUE"""),264)</f>
        <v>264</v>
      </c>
      <c r="K284" s="3"/>
      <c r="L284" s="3" t="str">
        <f ca="1">IFERROR(__xludf.DUMMYFUNCTION("""COMPUTED_VALUE"""),"Cost per period")</f>
        <v>Cost per period</v>
      </c>
      <c r="M284" s="3"/>
      <c r="N284" s="3"/>
      <c r="O284" s="3" t="str">
        <f ca="1">IFERROR(__xludf.DUMMYFUNCTION("""COMPUTED_VALUE"""),"640")</f>
        <v>640</v>
      </c>
      <c r="P284" s="3" t="str">
        <f ca="1">IFERROR(__xludf.DUMMYFUNCTION("""COMPUTED_VALUE"""),"335, 640")</f>
        <v>335, 640</v>
      </c>
      <c r="Q284" s="3" t="str">
        <f ca="1">IFERROR(__xludf.DUMMYFUNCTION("""COMPUTED_VALUE"""),"640x640 a 640x335 + text + logo")</f>
        <v>640x640 a 640x335 + text + logo</v>
      </c>
      <c r="R284" s="3"/>
      <c r="S284" s="3" t="str">
        <f ca="1">IFERROR(__xludf.DUMMYFUNCTION("""COMPUTED_VALUE"""),"45")</f>
        <v>45</v>
      </c>
      <c r="T284" s="3"/>
      <c r="U284" s="3" t="str">
        <f ca="1">IFERROR(__xludf.DUMMYFUNCTION("""COMPUTED_VALUE"""),"nativní reklama")</f>
        <v>nativní reklama</v>
      </c>
      <c r="V284" s="3"/>
      <c r="W284" s="4" t="str">
        <f ca="1">IFERROR(__xludf.DUMMYFUNCTION("""COMPUTED_VALUE"""),"https://reklama.cncenter.cz/Online/nativni-rectangle-cross-device")</f>
        <v>https://reklama.cncenter.cz/Online/nativni-rectangle-cross-device</v>
      </c>
      <c r="X284" s="3"/>
      <c r="Y284" s="3"/>
      <c r="Z284" s="3" t="str">
        <f ca="1">IFERROR(__xludf.DUMMYFUNCTION("""COMPUTED_VALUE"""),"podklady@cncenter.cz")</f>
        <v>podklady@cncenter.cz</v>
      </c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 t="str">
        <f ca="1">IFERROR(__xludf.DUMMYFUNCTION("""COMPUTED_VALUE"""),"cross-device")</f>
        <v>cross-device</v>
      </c>
      <c r="AO284" s="3"/>
      <c r="AP284" s="3"/>
      <c r="AQ284" s="3"/>
      <c r="AR284" s="3"/>
      <c r="AS284" s="3"/>
      <c r="AT284" s="3"/>
      <c r="AU284" s="3" t="str">
        <f ca="1">IFERROR(__xludf.DUMMYFUNCTION("""COMPUTED_VALUE"""),"cílený nativní rectangle cross-device")</f>
        <v>cílený nativní rectangle cross-device</v>
      </c>
    </row>
    <row r="285" spans="1:47" x14ac:dyDescent="0.3">
      <c r="A285" s="3">
        <f ca="1"/>
        <v>2346826</v>
      </c>
      <c r="B285" s="3" t="str">
        <f ca="1"/>
        <v>CZECH NEWS CENTER a. s.</v>
      </c>
      <c r="C285" s="3" t="str">
        <f ca="1">IFERROR(__xludf.DUMMYFUNCTION("""COMPUTED_VALUE"""),"CNC floating")</f>
        <v>CNC floating</v>
      </c>
      <c r="D285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5" s="3" t="str">
        <f ca="1">IFERROR(__xludf.DUMMYFUNCTION("""COMPUTED_VALUE"""),"celý web")</f>
        <v>celý web</v>
      </c>
      <c r="F285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5" s="3" t="str">
        <f ca="1">IFERROR(__xludf.DUMMYFUNCTION("""COMPUTED_VALUE"""),"cílený outstream mid season")</f>
        <v>cílený outstream mid season</v>
      </c>
      <c r="H285" s="3">
        <f ca="1">IFERROR(__xludf.DUMMYFUNCTION("""COMPUTED_VALUE"""),7)</f>
        <v>7</v>
      </c>
      <c r="I285" s="5">
        <f ca="1">IFERROR(__xludf.DUMMYFUNCTION("""COMPUTED_VALUE"""),1000)</f>
        <v>1000</v>
      </c>
      <c r="J285" s="5">
        <f ca="1">IFERROR(__xludf.DUMMYFUNCTION("""COMPUTED_VALUE"""),324)</f>
        <v>324</v>
      </c>
      <c r="K285" s="3"/>
      <c r="L285" s="3" t="str">
        <f ca="1">IFERROR(__xludf.DUMMYFUNCTION("""COMPUTED_VALUE"""),"Cost per period")</f>
        <v>Cost per period</v>
      </c>
      <c r="M285" s="3"/>
      <c r="N285" s="3"/>
      <c r="O285" s="3" t="str">
        <f ca="1">IFERROR(__xludf.DUMMYFUNCTION("""COMPUTED_VALUE"""),"1280")</f>
        <v>1280</v>
      </c>
      <c r="P285" s="3" t="str">
        <f ca="1">IFERROR(__xludf.DUMMYFUNCTION("""COMPUTED_VALUE"""),"720")</f>
        <v>720</v>
      </c>
      <c r="Q285" s="3" t="str">
        <f ca="1">IFERROR(__xludf.DUMMYFUNCTION("""COMPUTED_VALUE"""),"16:9")</f>
        <v>16:9</v>
      </c>
      <c r="R285" s="3"/>
      <c r="S285" s="3" t="str">
        <f ca="1">IFERROR(__xludf.DUMMYFUNCTION("""COMPUTED_VALUE"""),"100")</f>
        <v>100</v>
      </c>
      <c r="T285" s="3"/>
      <c r="U285" s="3" t="str">
        <f ca="1">IFERROR(__xludf.DUMMYFUNCTION("""COMPUTED_VALUE"""),"videospot")</f>
        <v>videospot</v>
      </c>
      <c r="V285" s="3"/>
      <c r="W285" s="4" t="str">
        <f ca="1">IFERROR(__xludf.DUMMYFUNCTION("""COMPUTED_VALUE"""),"https://reklama.cncenter.cz/Online/Outstream")</f>
        <v>https://reklama.cncenter.cz/Online/Outstream</v>
      </c>
      <c r="X285" s="3"/>
      <c r="Y285" s="3"/>
      <c r="Z285" s="3" t="str">
        <f ca="1">IFERROR(__xludf.DUMMYFUNCTION("""COMPUTED_VALUE"""),"podklady@cncenter.cz")</f>
        <v>podklady@cncenter.cz</v>
      </c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 t="str">
        <f ca="1">IFERROR(__xludf.DUMMYFUNCTION("""COMPUTED_VALUE"""),"cross-device")</f>
        <v>cross-device</v>
      </c>
      <c r="AO285" s="3"/>
      <c r="AP285" s="3"/>
      <c r="AQ285" s="3"/>
      <c r="AR285" s="3"/>
      <c r="AS285" s="3"/>
      <c r="AT285" s="3"/>
      <c r="AU285" s="3" t="str">
        <f ca="1">IFERROR(__xludf.DUMMYFUNCTION("""COMPUTED_VALUE"""),"cílený outstream")</f>
        <v>cílený outstream</v>
      </c>
    </row>
    <row r="286" spans="1:47" x14ac:dyDescent="0.3">
      <c r="A286" s="3">
        <f ca="1"/>
        <v>2346826</v>
      </c>
      <c r="B286" s="3" t="str">
        <f ca="1"/>
        <v>CZECH NEWS CENTER a. s.</v>
      </c>
      <c r="C286" s="3" t="str">
        <f ca="1">IFERROR(__xludf.DUMMYFUNCTION("""COMPUTED_VALUE"""),"CNC floating")</f>
        <v>CNC floating</v>
      </c>
      <c r="D286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6" s="3" t="str">
        <f ca="1">IFERROR(__xludf.DUMMYFUNCTION("""COMPUTED_VALUE"""),"celý web")</f>
        <v>celý web</v>
      </c>
      <c r="F286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6" s="3" t="str">
        <f ca="1">IFERROR(__xludf.DUMMYFUNCTION("""COMPUTED_VALUE"""),"cílený Smarticle mid season")</f>
        <v>cílený Smarticle mid season</v>
      </c>
      <c r="H286" s="3">
        <f ca="1">IFERROR(__xludf.DUMMYFUNCTION("""COMPUTED_VALUE"""),7)</f>
        <v>7</v>
      </c>
      <c r="I286" s="5">
        <f ca="1">IFERROR(__xludf.DUMMYFUNCTION("""COMPUTED_VALUE"""),1000)</f>
        <v>1000</v>
      </c>
      <c r="J286" s="5">
        <f ca="1">IFERROR(__xludf.DUMMYFUNCTION("""COMPUTED_VALUE"""),204)</f>
        <v>204</v>
      </c>
      <c r="K286" s="3"/>
      <c r="L286" s="3" t="str">
        <f ca="1">IFERROR(__xludf.DUMMYFUNCTION("""COMPUTED_VALUE"""),"Cost per period")</f>
        <v>Cost per period</v>
      </c>
      <c r="M286" s="3"/>
      <c r="N286" s="3" t="str">
        <f ca="1">IFERROR(__xludf.DUMMYFUNCTION("""COMPUTED_VALUE"""),"A4")</f>
        <v>A4</v>
      </c>
      <c r="O286" s="3"/>
      <c r="P286" s="3"/>
      <c r="Q286" s="3" t="str">
        <f ca="1">IFERROR(__xludf.DUMMYFUNCTION("""COMPUTED_VALUE"""),"viz. tech.specifikace; HP + sekce")</f>
        <v>viz. tech.specifikace; HP + sekce</v>
      </c>
      <c r="R286" s="3" t="str">
        <f ca="1">IFERROR(__xludf.DUMMYFUNCTION("""COMPUTED_VALUE"""),"HP + sekce")</f>
        <v>HP + sekce</v>
      </c>
      <c r="S286" s="3" t="str">
        <f ca="1">IFERROR(__xludf.DUMMYFUNCTION("""COMPUTED_VALUE"""),"100")</f>
        <v>100</v>
      </c>
      <c r="T286" s="3"/>
      <c r="U286" s="3" t="str">
        <f ca="1">IFERROR(__xludf.DUMMYFUNCTION("""COMPUTED_VALUE"""),"pr článek")</f>
        <v>pr článek</v>
      </c>
      <c r="V286" s="3"/>
      <c r="W286" s="4" t="str">
        <f ca="1">IFERROR(__xludf.DUMMYFUNCTION("""COMPUTED_VALUE"""),"https://reklama.cncenter.cz/Online/Smarticle")</f>
        <v>https://reklama.cncenter.cz/Online/Smarticle</v>
      </c>
      <c r="X286" s="3"/>
      <c r="Y286" s="3"/>
      <c r="Z286" s="3" t="str">
        <f ca="1">IFERROR(__xludf.DUMMYFUNCTION("""COMPUTED_VALUE"""),"podklady@cncenter.cz")</f>
        <v>podklady@cncenter.cz</v>
      </c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 t="str">
        <f ca="1">IFERROR(__xludf.DUMMYFUNCTION("""COMPUTED_VALUE"""),"cross-device")</f>
        <v>cross-device</v>
      </c>
      <c r="AO286" s="3"/>
      <c r="AP286" s="3"/>
      <c r="AQ286" s="3"/>
      <c r="AR286" s="3"/>
      <c r="AS286" s="3"/>
      <c r="AT286" s="3"/>
      <c r="AU286" s="3" t="str">
        <f ca="1">IFERROR(__xludf.DUMMYFUNCTION("""COMPUTED_VALUE"""),"cílený Smarticle")</f>
        <v>cílený Smarticle</v>
      </c>
    </row>
    <row r="287" spans="1:47" x14ac:dyDescent="0.3">
      <c r="A287" s="3">
        <f ca="1"/>
        <v>2346826</v>
      </c>
      <c r="B287" s="3" t="str">
        <f ca="1"/>
        <v>CZECH NEWS CENTER a. s.</v>
      </c>
      <c r="C287" s="3" t="str">
        <f ca="1">IFERROR(__xludf.DUMMYFUNCTION("""COMPUTED_VALUE"""),"CNC floating")</f>
        <v>CNC floating</v>
      </c>
      <c r="D287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7" s="3" t="str">
        <f ca="1">IFERROR(__xludf.DUMMYFUNCTION("""COMPUTED_VALUE"""),"celý web")</f>
        <v>celý web</v>
      </c>
      <c r="F287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7" s="3" t="str">
        <f ca="1">IFERROR(__xludf.DUMMYFUNCTION("""COMPUTED_VALUE"""),"cílený videospot - max. 30 sec. / bumper mid season")</f>
        <v>cílený videospot - max. 30 sec. / bumper mid season</v>
      </c>
      <c r="H287" s="3">
        <f ca="1">IFERROR(__xludf.DUMMYFUNCTION("""COMPUTED_VALUE"""),7)</f>
        <v>7</v>
      </c>
      <c r="I287" s="5">
        <f ca="1">IFERROR(__xludf.DUMMYFUNCTION("""COMPUTED_VALUE"""),1000)</f>
        <v>1000</v>
      </c>
      <c r="J287" s="5">
        <f ca="1">IFERROR(__xludf.DUMMYFUNCTION("""COMPUTED_VALUE"""),960)</f>
        <v>960</v>
      </c>
      <c r="K287" s="3"/>
      <c r="L287" s="3" t="str">
        <f ca="1">IFERROR(__xludf.DUMMYFUNCTION("""COMPUTED_VALUE"""),"Cost per period")</f>
        <v>Cost per period</v>
      </c>
      <c r="M287" s="3"/>
      <c r="N287" s="3"/>
      <c r="O287" s="3" t="str">
        <f ca="1">IFERROR(__xludf.DUMMYFUNCTION("""COMPUTED_VALUE"""),"1280")</f>
        <v>1280</v>
      </c>
      <c r="P287" s="3" t="str">
        <f ca="1">IFERROR(__xludf.DUMMYFUNCTION("""COMPUTED_VALUE"""),"720")</f>
        <v>720</v>
      </c>
      <c r="Q287" s="3" t="str">
        <f ca="1">IFERROR(__xludf.DUMMYFUNCTION("""COMPUTED_VALUE"""),"16:9 / umístění po domluvě dle možností")</f>
        <v>16:9 / umístění po domluvě dle možností</v>
      </c>
      <c r="R287" s="3" t="str">
        <f ca="1">IFERROR(__xludf.DUMMYFUNCTION("""COMPUTED_VALUE"""),"přeskočení po 7 sekundách")</f>
        <v>přeskočení po 7 sekundách</v>
      </c>
      <c r="S287" s="3" t="str">
        <f ca="1">IFERROR(__xludf.DUMMYFUNCTION("""COMPUTED_VALUE"""),"100")</f>
        <v>100</v>
      </c>
      <c r="T287" s="3"/>
      <c r="U287" s="3" t="str">
        <f ca="1">IFERROR(__xludf.DUMMYFUNCTION("""COMPUTED_VALUE"""),"videospot")</f>
        <v>videospot</v>
      </c>
      <c r="V287" s="3"/>
      <c r="W287" s="4" t="str">
        <f ca="1">IFERROR(__xludf.DUMMYFUNCTION("""COMPUTED_VALUE"""),"https://reklama.cncenter.cz/Online/Bumper")</f>
        <v>https://reklama.cncenter.cz/Online/Bumper</v>
      </c>
      <c r="X287" s="3"/>
      <c r="Y287" s="3"/>
      <c r="Z287" s="3" t="str">
        <f ca="1">IFERROR(__xludf.DUMMYFUNCTION("""COMPUTED_VALUE"""),"podklady@cncenter.cz")</f>
        <v>podklady@cncenter.cz</v>
      </c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 t="str">
        <f ca="1">IFERROR(__xludf.DUMMYFUNCTION("""COMPUTED_VALUE"""),"cross-device")</f>
        <v>cross-device</v>
      </c>
      <c r="AO287" s="3"/>
      <c r="AP287" s="3"/>
      <c r="AQ287" s="3"/>
      <c r="AR287" s="3"/>
      <c r="AS287" s="3"/>
      <c r="AT287" s="3"/>
      <c r="AU287" s="3" t="str">
        <f ca="1">IFERROR(__xludf.DUMMYFUNCTION("""COMPUTED_VALUE"""),"cílený videospot - max. 30 sec. / bumper")</f>
        <v>cílený videospot - max. 30 sec. / bumper</v>
      </c>
    </row>
    <row r="288" spans="1:47" x14ac:dyDescent="0.3">
      <c r="A288" s="3">
        <f ca="1"/>
        <v>2346826</v>
      </c>
      <c r="B288" s="3" t="str">
        <f ca="1"/>
        <v>CZECH NEWS CENTER a. s.</v>
      </c>
      <c r="C288" s="3" t="str">
        <f ca="1">IFERROR(__xludf.DUMMYFUNCTION("""COMPUTED_VALUE"""),"CNC floating")</f>
        <v>CNC floating</v>
      </c>
      <c r="D288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8" s="3" t="str">
        <f ca="1">IFERROR(__xludf.DUMMYFUNCTION("""COMPUTED_VALUE"""),"celý web")</f>
        <v>celý web</v>
      </c>
      <c r="F288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8" s="3" t="str">
        <f ca="1">IFERROR(__xludf.DUMMYFUNCTION("""COMPUTED_VALUE"""),"double skyscraper mid season")</f>
        <v>double skyscraper mid season</v>
      </c>
      <c r="H288" s="3">
        <f ca="1">IFERROR(__xludf.DUMMYFUNCTION("""COMPUTED_VALUE"""),7)</f>
        <v>7</v>
      </c>
      <c r="I288" s="5">
        <f ca="1">IFERROR(__xludf.DUMMYFUNCTION("""COMPUTED_VALUE"""),1000)</f>
        <v>1000</v>
      </c>
      <c r="J288" s="5">
        <f ca="1">IFERROR(__xludf.DUMMYFUNCTION("""COMPUTED_VALUE"""),200)</f>
        <v>200</v>
      </c>
      <c r="K288" s="3"/>
      <c r="L288" s="3" t="str">
        <f ca="1">IFERROR(__xludf.DUMMYFUNCTION("""COMPUTED_VALUE"""),"Cost per period")</f>
        <v>Cost per period</v>
      </c>
      <c r="M288" s="3"/>
      <c r="N288" s="3"/>
      <c r="O288" s="3" t="str">
        <f ca="1">IFERROR(__xludf.DUMMYFUNCTION("""COMPUTED_VALUE"""),"300")</f>
        <v>300</v>
      </c>
      <c r="P288" s="3" t="str">
        <f ca="1">IFERROR(__xludf.DUMMYFUNCTION("""COMPUTED_VALUE"""),"600")</f>
        <v>600</v>
      </c>
      <c r="Q288" s="3" t="str">
        <f ca="1">IFERROR(__xludf.DUMMYFUNCTION("""COMPUTED_VALUE"""),"300x600")</f>
        <v>300x600</v>
      </c>
      <c r="R288" s="3"/>
      <c r="S288" s="3" t="str">
        <f ca="1">IFERROR(__xludf.DUMMYFUNCTION("""COMPUTED_VALUE"""),"100 (200 - HTML5)")</f>
        <v>100 (200 - HTML5)</v>
      </c>
      <c r="T288" s="3"/>
      <c r="U288" s="3" t="str">
        <f ca="1">IFERROR(__xludf.DUMMYFUNCTION("""COMPUTED_VALUE"""),"banner standard")</f>
        <v>banner standard</v>
      </c>
      <c r="V288" s="3"/>
      <c r="W288" s="4" t="str">
        <f ca="1">IFERROR(__xludf.DUMMYFUNCTION("""COMPUTED_VALUE"""),"https://reklama.cncenter.cz/Online/double-skyscraper")</f>
        <v>https://reklama.cncenter.cz/Online/double-skyscraper</v>
      </c>
      <c r="X288" s="3"/>
      <c r="Y288" s="3"/>
      <c r="Z288" s="3" t="str">
        <f ca="1">IFERROR(__xludf.DUMMYFUNCTION("""COMPUTED_VALUE"""),"podklady@cncenter.cz")</f>
        <v>podklady@cncenter.cz</v>
      </c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 t="str">
        <f ca="1">IFERROR(__xludf.DUMMYFUNCTION("""COMPUTED_VALUE"""),"desktop")</f>
        <v>desktop</v>
      </c>
      <c r="AO288" s="3"/>
      <c r="AP288" s="3"/>
      <c r="AQ288" s="3"/>
      <c r="AR288" s="3"/>
      <c r="AS288" s="3"/>
      <c r="AT288" s="3"/>
      <c r="AU288" s="3" t="str">
        <f ca="1">IFERROR(__xludf.DUMMYFUNCTION("""COMPUTED_VALUE"""),"double skyscraper")</f>
        <v>double skyscraper</v>
      </c>
    </row>
    <row r="289" spans="1:47" x14ac:dyDescent="0.3">
      <c r="A289" s="3">
        <f ca="1"/>
        <v>2346826</v>
      </c>
      <c r="B289" s="3" t="str">
        <f ca="1"/>
        <v>CZECH NEWS CENTER a. s.</v>
      </c>
      <c r="C289" s="3" t="str">
        <f ca="1">IFERROR(__xludf.DUMMYFUNCTION("""COMPUTED_VALUE"""),"CNC floating")</f>
        <v>CNC floating</v>
      </c>
      <c r="D289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9" s="3" t="str">
        <f ca="1">IFERROR(__xludf.DUMMYFUNCTION("""COMPUTED_VALUE"""),"celý web")</f>
        <v>celý web</v>
      </c>
      <c r="F289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9" s="3" t="str">
        <f ca="1">IFERROR(__xludf.DUMMYFUNCTION("""COMPUTED_VALUE"""),"korporátní video mid season")</f>
        <v>korporátní video mid season</v>
      </c>
      <c r="H289" s="3">
        <f ca="1">IFERROR(__xludf.DUMMYFUNCTION("""COMPUTED_VALUE"""),1)</f>
        <v>1</v>
      </c>
      <c r="I289" s="5">
        <f ca="1">IFERROR(__xludf.DUMMYFUNCTION("""COMPUTED_VALUE"""),1)</f>
        <v>1</v>
      </c>
      <c r="J289" s="5">
        <f ca="1">IFERROR(__xludf.DUMMYFUNCTION("""COMPUTED_VALUE"""),60000)</f>
        <v>60000</v>
      </c>
      <c r="K289" s="3"/>
      <c r="L289" s="3" t="str">
        <f ca="1">IFERROR(__xludf.DUMMYFUNCTION("""COMPUTED_VALUE"""),"Cost per instance")</f>
        <v>Cost per instance</v>
      </c>
      <c r="M289" s="3"/>
      <c r="N289" s="3"/>
      <c r="O289" s="3"/>
      <c r="P289" s="3"/>
      <c r="Q289" s="3"/>
      <c r="R289" s="3"/>
      <c r="S289" s="3" t="str">
        <f ca="1">IFERROR(__xludf.DUMMYFUNCTION("""COMPUTED_VALUE"""),"100")</f>
        <v>100</v>
      </c>
      <c r="T289" s="3"/>
      <c r="U289" s="3" t="str">
        <f ca="1">IFERROR(__xludf.DUMMYFUNCTION("""COMPUTED_VALUE"""),"pr video")</f>
        <v>pr video</v>
      </c>
      <c r="V289" s="3"/>
      <c r="W289" s="3"/>
      <c r="X289" s="3"/>
      <c r="Y289" s="3"/>
      <c r="Z289" s="3" t="str">
        <f ca="1">IFERROR(__xludf.DUMMYFUNCTION("""COMPUTED_VALUE"""),"podklady@cncenter.cz")</f>
        <v>podklady@cncenter.cz</v>
      </c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 t="str">
        <f ca="1">IFERROR(__xludf.DUMMYFUNCTION("""COMPUTED_VALUE"""),"cross-device")</f>
        <v>cross-device</v>
      </c>
      <c r="AO289" s="3"/>
      <c r="AP289" s="3"/>
      <c r="AQ289" s="3"/>
      <c r="AR289" s="3"/>
      <c r="AS289" s="3"/>
      <c r="AT289" s="3"/>
      <c r="AU289" s="3" t="str">
        <f ca="1">IFERROR(__xludf.DUMMYFUNCTION("""COMPUTED_VALUE"""),"korporátní video")</f>
        <v>korporátní video</v>
      </c>
    </row>
    <row r="290" spans="1:47" x14ac:dyDescent="0.3">
      <c r="A290" s="3">
        <f ca="1"/>
        <v>2346826</v>
      </c>
      <c r="B290" s="3" t="str">
        <f ca="1"/>
        <v>CZECH NEWS CENTER a. s.</v>
      </c>
      <c r="C290" s="3" t="str">
        <f ca="1">IFERROR(__xludf.DUMMYFUNCTION("""COMPUTED_VALUE"""),"CNC floating")</f>
        <v>CNC floating</v>
      </c>
      <c r="D290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0" s="3" t="str">
        <f ca="1">IFERROR(__xludf.DUMMYFUNCTION("""COMPUTED_VALUE"""),"celý web")</f>
        <v>celý web</v>
      </c>
      <c r="F290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0" s="3" t="str">
        <f ca="1">IFERROR(__xludf.DUMMYFUNCTION("""COMPUTED_VALUE"""),"mini videospot - max. 30 sec. mid season")</f>
        <v>mini videospot - max. 30 sec. mid season</v>
      </c>
      <c r="H290" s="3">
        <f ca="1">IFERROR(__xludf.DUMMYFUNCTION("""COMPUTED_VALUE"""),7)</f>
        <v>7</v>
      </c>
      <c r="I290" s="5">
        <f ca="1">IFERROR(__xludf.DUMMYFUNCTION("""COMPUTED_VALUE"""),1000)</f>
        <v>1000</v>
      </c>
      <c r="J290" s="5">
        <f ca="1">IFERROR(__xludf.DUMMYFUNCTION("""COMPUTED_VALUE"""),180)</f>
        <v>180</v>
      </c>
      <c r="K290" s="3"/>
      <c r="L290" s="3" t="str">
        <f ca="1">IFERROR(__xludf.DUMMYFUNCTION("""COMPUTED_VALUE"""),"Cost per period")</f>
        <v>Cost per period</v>
      </c>
      <c r="M290" s="3"/>
      <c r="N290" s="3"/>
      <c r="O290" s="3"/>
      <c r="P290" s="3"/>
      <c r="Q290" s="3" t="str">
        <f ca="1">IFERROR(__xludf.DUMMYFUNCTION("""COMPUTED_VALUE"""),"16:9 / umístění po domluvě dle možností")</f>
        <v>16:9 / umístění po domluvě dle možností</v>
      </c>
      <c r="R290" s="3" t="str">
        <f ca="1">IFERROR(__xludf.DUMMYFUNCTION("""COMPUTED_VALUE"""),"přeskočení po 7 sekundách")</f>
        <v>přeskočení po 7 sekundách</v>
      </c>
      <c r="S290" s="3" t="str">
        <f ca="1">IFERROR(__xludf.DUMMYFUNCTION("""COMPUTED_VALUE"""),"100")</f>
        <v>100</v>
      </c>
      <c r="T290" s="3"/>
      <c r="U290" s="3" t="str">
        <f ca="1">IFERROR(__xludf.DUMMYFUNCTION("""COMPUTED_VALUE"""),"videospot")</f>
        <v>videospot</v>
      </c>
      <c r="V290" s="3"/>
      <c r="W290" s="4" t="str">
        <f ca="1">IFERROR(__xludf.DUMMYFUNCTION("""COMPUTED_VALUE"""),"https://reklama.cncenter.cz/Online/Videospot")</f>
        <v>https://reklama.cncenter.cz/Online/Videospot</v>
      </c>
      <c r="X290" s="3"/>
      <c r="Y290" s="3"/>
      <c r="Z290" s="3" t="str">
        <f ca="1">IFERROR(__xludf.DUMMYFUNCTION("""COMPUTED_VALUE"""),"podklady@cncenter.cz")</f>
        <v>podklady@cncenter.cz</v>
      </c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 t="str">
        <f ca="1">IFERROR(__xludf.DUMMYFUNCTION("""COMPUTED_VALUE"""),"desktop")</f>
        <v>desktop</v>
      </c>
      <c r="AO290" s="3"/>
      <c r="AP290" s="3"/>
      <c r="AQ290" s="3"/>
      <c r="AR290" s="3"/>
      <c r="AS290" s="3"/>
      <c r="AT290" s="3"/>
      <c r="AU290" s="3" t="str">
        <f ca="1">IFERROR(__xludf.DUMMYFUNCTION("""COMPUTED_VALUE"""),"mini videospot - max. 30 sec.")</f>
        <v>mini videospot - max. 30 sec.</v>
      </c>
    </row>
    <row r="291" spans="1:47" x14ac:dyDescent="0.3">
      <c r="A291" s="3">
        <f ca="1"/>
        <v>2346826</v>
      </c>
      <c r="B291" s="3" t="str">
        <f ca="1"/>
        <v>CZECH NEWS CENTER a. s.</v>
      </c>
      <c r="C291" s="3" t="str">
        <f ca="1">IFERROR(__xludf.DUMMYFUNCTION("""COMPUTED_VALUE"""),"CNC floating")</f>
        <v>CNC floating</v>
      </c>
      <c r="D291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1" s="3" t="str">
        <f ca="1">IFERROR(__xludf.DUMMYFUNCTION("""COMPUTED_VALUE"""),"celý web")</f>
        <v>celý web</v>
      </c>
      <c r="F291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1" s="3" t="str">
        <f ca="1">IFERROR(__xludf.DUMMYFUNCTION("""COMPUTED_VALUE"""),"mobilní interscroller mid season")</f>
        <v>mobilní interscroller mid season</v>
      </c>
      <c r="H291" s="3">
        <f ca="1">IFERROR(__xludf.DUMMYFUNCTION("""COMPUTED_VALUE"""),7)</f>
        <v>7</v>
      </c>
      <c r="I291" s="5">
        <f ca="1">IFERROR(__xludf.DUMMYFUNCTION("""COMPUTED_VALUE"""),1000)</f>
        <v>1000</v>
      </c>
      <c r="J291" s="5">
        <f ca="1">IFERROR(__xludf.DUMMYFUNCTION("""COMPUTED_VALUE"""),250)</f>
        <v>250</v>
      </c>
      <c r="K291" s="3"/>
      <c r="L291" s="3" t="str">
        <f ca="1">IFERROR(__xludf.DUMMYFUNCTION("""COMPUTED_VALUE"""),"Cost per period")</f>
        <v>Cost per period</v>
      </c>
      <c r="M291" s="3"/>
      <c r="N291" s="3"/>
      <c r="O291" s="3" t="str">
        <f ca="1">IFERROR(__xludf.DUMMYFUNCTION("""COMPUTED_VALUE"""),"600")</f>
        <v>600</v>
      </c>
      <c r="P291" s="3" t="str">
        <f ca="1">IFERROR(__xludf.DUMMYFUNCTION("""COMPUTED_VALUE"""),"1080")</f>
        <v>1080</v>
      </c>
      <c r="Q291" s="3" t="str">
        <f ca="1">IFERROR(__xludf.DUMMYFUNCTION("""COMPUTED_VALUE"""),"600x1080")</f>
        <v>600x1080</v>
      </c>
      <c r="R291" s="3"/>
      <c r="S291" s="3" t="str">
        <f ca="1">IFERROR(__xludf.DUMMYFUNCTION("""COMPUTED_VALUE"""),"200")</f>
        <v>200</v>
      </c>
      <c r="T291" s="3"/>
      <c r="U291" s="3" t="str">
        <f ca="1">IFERROR(__xludf.DUMMYFUNCTION("""COMPUTED_VALUE"""),"banner standard")</f>
        <v>banner standard</v>
      </c>
      <c r="V291" s="3"/>
      <c r="W291" s="4" t="str">
        <f ca="1">IFERROR(__xludf.DUMMYFUNCTION("""COMPUTED_VALUE"""),"https://reklama.cncenter.cz/Online/mobilni-interscroller")</f>
        <v>https://reklama.cncenter.cz/Online/mobilni-interscroller</v>
      </c>
      <c r="X291" s="3"/>
      <c r="Y291" s="3"/>
      <c r="Z291" s="3" t="str">
        <f ca="1">IFERROR(__xludf.DUMMYFUNCTION("""COMPUTED_VALUE"""),"podklady@cncenter.cz")</f>
        <v>podklady@cncenter.cz</v>
      </c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 t="str">
        <f ca="1">IFERROR(__xludf.DUMMYFUNCTION("""COMPUTED_VALUE"""),"mobile")</f>
        <v>mobile</v>
      </c>
      <c r="AO291" s="3"/>
      <c r="AP291" s="3"/>
      <c r="AQ291" s="3"/>
      <c r="AR291" s="3"/>
      <c r="AS291" s="3"/>
      <c r="AT291" s="3"/>
      <c r="AU291" s="3" t="str">
        <f ca="1">IFERROR(__xludf.DUMMYFUNCTION("""COMPUTED_VALUE"""),"mobilní interscroller")</f>
        <v>mobilní interscroller</v>
      </c>
    </row>
    <row r="292" spans="1:47" x14ac:dyDescent="0.3">
      <c r="A292" s="3">
        <f ca="1"/>
        <v>2346826</v>
      </c>
      <c r="B292" s="3" t="str">
        <f ca="1"/>
        <v>CZECH NEWS CENTER a. s.</v>
      </c>
      <c r="C292" s="3" t="str">
        <f ca="1">IFERROR(__xludf.DUMMYFUNCTION("""COMPUTED_VALUE"""),"CNC floating")</f>
        <v>CNC floating</v>
      </c>
      <c r="D292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2" s="3" t="str">
        <f ca="1">IFERROR(__xludf.DUMMYFUNCTION("""COMPUTED_VALUE"""),"celý web")</f>
        <v>celý web</v>
      </c>
      <c r="F292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2" s="3" t="str">
        <f ca="1">IFERROR(__xludf.DUMMYFUNCTION("""COMPUTED_VALUE"""),"mobilní slide-up mid season")</f>
        <v>mobilní slide-up mid season</v>
      </c>
      <c r="H292" s="3">
        <f ca="1">IFERROR(__xludf.DUMMYFUNCTION("""COMPUTED_VALUE"""),7)</f>
        <v>7</v>
      </c>
      <c r="I292" s="5">
        <f ca="1">IFERROR(__xludf.DUMMYFUNCTION("""COMPUTED_VALUE"""),1000)</f>
        <v>1000</v>
      </c>
      <c r="J292" s="5">
        <f ca="1">IFERROR(__xludf.DUMMYFUNCTION("""COMPUTED_VALUE"""),540)</f>
        <v>540</v>
      </c>
      <c r="K292" s="3"/>
      <c r="L292" s="3" t="str">
        <f ca="1">IFERROR(__xludf.DUMMYFUNCTION("""COMPUTED_VALUE"""),"Cost per period")</f>
        <v>Cost per period</v>
      </c>
      <c r="M292" s="3"/>
      <c r="N292" s="3"/>
      <c r="O292" s="3" t="str">
        <f ca="1">IFERROR(__xludf.DUMMYFUNCTION("""COMPUTED_VALUE"""),"300")</f>
        <v>300</v>
      </c>
      <c r="P292" s="3" t="str">
        <f ca="1">IFERROR(__xludf.DUMMYFUNCTION("""COMPUTED_VALUE"""),"120")</f>
        <v>120</v>
      </c>
      <c r="Q292" s="3" t="str">
        <f ca="1">IFERROR(__xludf.DUMMYFUNCTION("""COMPUTED_VALUE"""),"300x120")</f>
        <v>300x120</v>
      </c>
      <c r="R292" s="3"/>
      <c r="S292" s="3" t="str">
        <f ca="1">IFERROR(__xludf.DUMMYFUNCTION("""COMPUTED_VALUE"""),"100")</f>
        <v>100</v>
      </c>
      <c r="T292" s="3"/>
      <c r="U292" s="3" t="str">
        <f ca="1">IFERROR(__xludf.DUMMYFUNCTION("""COMPUTED_VALUE"""),"banner standard")</f>
        <v>banner standard</v>
      </c>
      <c r="V292" s="3"/>
      <c r="W292" s="4" t="str">
        <f ca="1">IFERROR(__xludf.DUMMYFUNCTION("""COMPUTED_VALUE"""),"https://reklama.cncenter.cz/Online/mobilni-slide-up")</f>
        <v>https://reklama.cncenter.cz/Online/mobilni-slide-up</v>
      </c>
      <c r="X292" s="3"/>
      <c r="Y292" s="3"/>
      <c r="Z292" s="3" t="str">
        <f ca="1">IFERROR(__xludf.DUMMYFUNCTION("""COMPUTED_VALUE"""),"podklady@cncenter.cz")</f>
        <v>podklady@cncenter.cz</v>
      </c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 t="str">
        <f ca="1">IFERROR(__xludf.DUMMYFUNCTION("""COMPUTED_VALUE"""),"mobile")</f>
        <v>mobile</v>
      </c>
      <c r="AO292" s="3"/>
      <c r="AP292" s="3"/>
      <c r="AQ292" s="3"/>
      <c r="AR292" s="3"/>
      <c r="AS292" s="3"/>
      <c r="AT292" s="3"/>
      <c r="AU292" s="3" t="str">
        <f ca="1">IFERROR(__xludf.DUMMYFUNCTION("""COMPUTED_VALUE"""),"mobilní slide-up")</f>
        <v>mobilní slide-up</v>
      </c>
    </row>
    <row r="293" spans="1:47" x14ac:dyDescent="0.3">
      <c r="A293" s="3">
        <f ca="1"/>
        <v>2346826</v>
      </c>
      <c r="B293" s="3" t="str">
        <f ca="1"/>
        <v>CZECH NEWS CENTER a. s.</v>
      </c>
      <c r="C293" s="3" t="str">
        <f ca="1">IFERROR(__xludf.DUMMYFUNCTION("""COMPUTED_VALUE"""),"CNC floating")</f>
        <v>CNC floating</v>
      </c>
      <c r="D29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3" s="3" t="str">
        <f ca="1">IFERROR(__xludf.DUMMYFUNCTION("""COMPUTED_VALUE"""),"celý web")</f>
        <v>celý web</v>
      </c>
      <c r="F29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3" s="3" t="str">
        <f ca="1">IFERROR(__xludf.DUMMYFUNCTION("""COMPUTED_VALUE"""),"mobilní viněta mid season")</f>
        <v>mobilní viněta mid season</v>
      </c>
      <c r="H293" s="3">
        <f ca="1">IFERROR(__xludf.DUMMYFUNCTION("""COMPUTED_VALUE"""),7)</f>
        <v>7</v>
      </c>
      <c r="I293" s="5">
        <f ca="1">IFERROR(__xludf.DUMMYFUNCTION("""COMPUTED_VALUE"""),1000)</f>
        <v>1000</v>
      </c>
      <c r="J293" s="5">
        <f ca="1">IFERROR(__xludf.DUMMYFUNCTION("""COMPUTED_VALUE"""),1010)</f>
        <v>1010</v>
      </c>
      <c r="K293" s="3"/>
      <c r="L293" s="3" t="str">
        <f ca="1">IFERROR(__xludf.DUMMYFUNCTION("""COMPUTED_VALUE"""),"Cost per period")</f>
        <v>Cost per period</v>
      </c>
      <c r="M293" s="3"/>
      <c r="N293" s="3"/>
      <c r="O293" s="3" t="str">
        <f ca="1">IFERROR(__xludf.DUMMYFUNCTION("""COMPUTED_VALUE"""),"600")</f>
        <v>600</v>
      </c>
      <c r="P293" s="3" t="str">
        <f ca="1">IFERROR(__xludf.DUMMYFUNCTION("""COMPUTED_VALUE"""),"800")</f>
        <v>800</v>
      </c>
      <c r="Q293" s="3" t="str">
        <f ca="1">IFERROR(__xludf.DUMMYFUNCTION("""COMPUTED_VALUE"""),"300x250 nebo 600x800")</f>
        <v>300x250 nebo 600x800</v>
      </c>
      <c r="R293" s="3"/>
      <c r="S293" s="3" t="str">
        <f ca="1">IFERROR(__xludf.DUMMYFUNCTION("""COMPUTED_VALUE"""),"100")</f>
        <v>100</v>
      </c>
      <c r="T293" s="3"/>
      <c r="U293" s="3" t="str">
        <f ca="1">IFERROR(__xludf.DUMMYFUNCTION("""COMPUTED_VALUE"""),"banner standard")</f>
        <v>banner standard</v>
      </c>
      <c r="V293" s="3"/>
      <c r="W293" s="4" t="str">
        <f ca="1">IFERROR(__xludf.DUMMYFUNCTION("""COMPUTED_VALUE"""),"https://reklama.cncenter.cz/Online/mobilni-vineta")</f>
        <v>https://reklama.cncenter.cz/Online/mobilni-vineta</v>
      </c>
      <c r="X293" s="3"/>
      <c r="Y293" s="3"/>
      <c r="Z293" s="3" t="str">
        <f ca="1">IFERROR(__xludf.DUMMYFUNCTION("""COMPUTED_VALUE"""),"podklady@cncenter.cz")</f>
        <v>podklady@cncenter.cz</v>
      </c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 t="str">
        <f ca="1">IFERROR(__xludf.DUMMYFUNCTION("""COMPUTED_VALUE"""),"mobile")</f>
        <v>mobile</v>
      </c>
      <c r="AO293" s="3"/>
      <c r="AP293" s="3"/>
      <c r="AQ293" s="3"/>
      <c r="AR293" s="3"/>
      <c r="AS293" s="3"/>
      <c r="AT293" s="3"/>
      <c r="AU293" s="3" t="str">
        <f ca="1">IFERROR(__xludf.DUMMYFUNCTION("""COMPUTED_VALUE"""),"mobilní viněta")</f>
        <v>mobilní viněta</v>
      </c>
    </row>
    <row r="294" spans="1:47" x14ac:dyDescent="0.3">
      <c r="A294" s="3">
        <f ca="1"/>
        <v>2346826</v>
      </c>
      <c r="B294" s="3" t="str">
        <f ca="1"/>
        <v>CZECH NEWS CENTER a. s.</v>
      </c>
      <c r="C294" s="3" t="str">
        <f ca="1">IFERROR(__xludf.DUMMYFUNCTION("""COMPUTED_VALUE"""),"CNC floating")</f>
        <v>CNC floating</v>
      </c>
      <c r="D294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4" s="3" t="str">
        <f ca="1">IFERROR(__xludf.DUMMYFUNCTION("""COMPUTED_VALUE"""),"celý web")</f>
        <v>celý web</v>
      </c>
      <c r="F294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4" s="3" t="str">
        <f ca="1">IFERROR(__xludf.DUMMYFUNCTION("""COMPUTED_VALUE"""),"nativní rectangle cross-device mid season")</f>
        <v>nativní rectangle cross-device mid season</v>
      </c>
      <c r="H294" s="3">
        <f ca="1">IFERROR(__xludf.DUMMYFUNCTION("""COMPUTED_VALUE"""),7)</f>
        <v>7</v>
      </c>
      <c r="I294" s="5">
        <f ca="1">IFERROR(__xludf.DUMMYFUNCTION("""COMPUTED_VALUE"""),1000)</f>
        <v>1000</v>
      </c>
      <c r="J294" s="5">
        <f ca="1">IFERROR(__xludf.DUMMYFUNCTION("""COMPUTED_VALUE"""),220)</f>
        <v>220</v>
      </c>
      <c r="K294" s="3"/>
      <c r="L294" s="3" t="str">
        <f ca="1">IFERROR(__xludf.DUMMYFUNCTION("""COMPUTED_VALUE"""),"Cost per period")</f>
        <v>Cost per period</v>
      </c>
      <c r="M294" s="3"/>
      <c r="N294" s="3"/>
      <c r="O294" s="3" t="str">
        <f ca="1">IFERROR(__xludf.DUMMYFUNCTION("""COMPUTED_VALUE"""),"640")</f>
        <v>640</v>
      </c>
      <c r="P294" s="3" t="str">
        <f ca="1">IFERROR(__xludf.DUMMYFUNCTION("""COMPUTED_VALUE"""),"335, 640")</f>
        <v>335, 640</v>
      </c>
      <c r="Q294" s="3" t="str">
        <f ca="1">IFERROR(__xludf.DUMMYFUNCTION("""COMPUTED_VALUE"""),"640x640 a 640x335 + text + logo")</f>
        <v>640x640 a 640x335 + text + logo</v>
      </c>
      <c r="R294" s="3"/>
      <c r="S294" s="3" t="str">
        <f ca="1">IFERROR(__xludf.DUMMYFUNCTION("""COMPUTED_VALUE"""),"45")</f>
        <v>45</v>
      </c>
      <c r="T294" s="3"/>
      <c r="U294" s="3" t="str">
        <f ca="1">IFERROR(__xludf.DUMMYFUNCTION("""COMPUTED_VALUE"""),"nativní reklama")</f>
        <v>nativní reklama</v>
      </c>
      <c r="V294" s="3"/>
      <c r="W294" s="4" t="str">
        <f ca="1">IFERROR(__xludf.DUMMYFUNCTION("""COMPUTED_VALUE"""),"https://reklama.cncenter.cz/Online/nativni-rectangle-cross-device")</f>
        <v>https://reklama.cncenter.cz/Online/nativni-rectangle-cross-device</v>
      </c>
      <c r="X294" s="3"/>
      <c r="Y294" s="3"/>
      <c r="Z294" s="3" t="str">
        <f ca="1">IFERROR(__xludf.DUMMYFUNCTION("""COMPUTED_VALUE"""),"podklady@cncenter.cz")</f>
        <v>podklady@cncenter.cz</v>
      </c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 t="str">
        <f ca="1">IFERROR(__xludf.DUMMYFUNCTION("""COMPUTED_VALUE"""),"cross-device")</f>
        <v>cross-device</v>
      </c>
      <c r="AO294" s="3"/>
      <c r="AP294" s="3"/>
      <c r="AQ294" s="3"/>
      <c r="AR294" s="3"/>
      <c r="AS294" s="3"/>
      <c r="AT294" s="3"/>
      <c r="AU294" s="3" t="str">
        <f ca="1">IFERROR(__xludf.DUMMYFUNCTION("""COMPUTED_VALUE"""),"nativní rectangle cross-device")</f>
        <v>nativní rectangle cross-device</v>
      </c>
    </row>
    <row r="295" spans="1:47" x14ac:dyDescent="0.3">
      <c r="A295" s="3">
        <f ca="1"/>
        <v>2346826</v>
      </c>
      <c r="B295" s="3" t="str">
        <f ca="1"/>
        <v>CZECH NEWS CENTER a. s.</v>
      </c>
      <c r="C295" s="3" t="str">
        <f ca="1">IFERROR(__xludf.DUMMYFUNCTION("""COMPUTED_VALUE"""),"CNC floating")</f>
        <v>CNC floating</v>
      </c>
      <c r="D295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5" s="3" t="str">
        <f ca="1">IFERROR(__xludf.DUMMYFUNCTION("""COMPUTED_VALUE"""),"celý web")</f>
        <v>celý web</v>
      </c>
      <c r="F295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5" s="3" t="str">
        <f ca="1">IFERROR(__xludf.DUMMYFUNCTION("""COMPUTED_VALUE"""),"outstream mid season")</f>
        <v>outstream mid season</v>
      </c>
      <c r="H295" s="3">
        <f ca="1">IFERROR(__xludf.DUMMYFUNCTION("""COMPUTED_VALUE"""),7)</f>
        <v>7</v>
      </c>
      <c r="I295" s="5">
        <f ca="1">IFERROR(__xludf.DUMMYFUNCTION("""COMPUTED_VALUE"""),1000)</f>
        <v>1000</v>
      </c>
      <c r="J295" s="5">
        <f ca="1">IFERROR(__xludf.DUMMYFUNCTION("""COMPUTED_VALUE"""),270)</f>
        <v>270</v>
      </c>
      <c r="K295" s="3"/>
      <c r="L295" s="3" t="str">
        <f ca="1">IFERROR(__xludf.DUMMYFUNCTION("""COMPUTED_VALUE"""),"Cost per period")</f>
        <v>Cost per period</v>
      </c>
      <c r="M295" s="3"/>
      <c r="N295" s="3"/>
      <c r="O295" s="3" t="str">
        <f ca="1">IFERROR(__xludf.DUMMYFUNCTION("""COMPUTED_VALUE"""),"1280")</f>
        <v>1280</v>
      </c>
      <c r="P295" s="3" t="str">
        <f ca="1">IFERROR(__xludf.DUMMYFUNCTION("""COMPUTED_VALUE"""),"720")</f>
        <v>720</v>
      </c>
      <c r="Q295" s="3" t="str">
        <f ca="1">IFERROR(__xludf.DUMMYFUNCTION("""COMPUTED_VALUE"""),"16:9")</f>
        <v>16:9</v>
      </c>
      <c r="R295" s="3"/>
      <c r="S295" s="3" t="str">
        <f ca="1">IFERROR(__xludf.DUMMYFUNCTION("""COMPUTED_VALUE"""),"100")</f>
        <v>100</v>
      </c>
      <c r="T295" s="3"/>
      <c r="U295" s="3" t="str">
        <f ca="1">IFERROR(__xludf.DUMMYFUNCTION("""COMPUTED_VALUE"""),"videospot")</f>
        <v>videospot</v>
      </c>
      <c r="V295" s="3"/>
      <c r="W295" s="4" t="str">
        <f ca="1">IFERROR(__xludf.DUMMYFUNCTION("""COMPUTED_VALUE"""),"https://reklama.cncenter.cz/Online/Outstream")</f>
        <v>https://reklama.cncenter.cz/Online/Outstream</v>
      </c>
      <c r="X295" s="3"/>
      <c r="Y295" s="3"/>
      <c r="Z295" s="3" t="str">
        <f ca="1">IFERROR(__xludf.DUMMYFUNCTION("""COMPUTED_VALUE"""),"podklady@cncenter.cz")</f>
        <v>podklady@cncenter.cz</v>
      </c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 t="str">
        <f ca="1">IFERROR(__xludf.DUMMYFUNCTION("""COMPUTED_VALUE"""),"cross-device")</f>
        <v>cross-device</v>
      </c>
      <c r="AO295" s="3"/>
      <c r="AP295" s="3"/>
      <c r="AQ295" s="3"/>
      <c r="AR295" s="3"/>
      <c r="AS295" s="3"/>
      <c r="AT295" s="3"/>
      <c r="AU295" s="3" t="str">
        <f ca="1">IFERROR(__xludf.DUMMYFUNCTION("""COMPUTED_VALUE"""),"outstream")</f>
        <v>outstream</v>
      </c>
    </row>
    <row r="296" spans="1:47" x14ac:dyDescent="0.3">
      <c r="A296" s="3">
        <f ca="1"/>
        <v>2346826</v>
      </c>
      <c r="B296" s="3" t="str">
        <f ca="1"/>
        <v>CZECH NEWS CENTER a. s.</v>
      </c>
      <c r="C296" s="3" t="str">
        <f ca="1">IFERROR(__xludf.DUMMYFUNCTION("""COMPUTED_VALUE"""),"CNC floating")</f>
        <v>CNC floating</v>
      </c>
      <c r="D296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6" s="3" t="str">
        <f ca="1">IFERROR(__xludf.DUMMYFUNCTION("""COMPUTED_VALUE"""),"celý web")</f>
        <v>celý web</v>
      </c>
      <c r="F296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6" s="3" t="str">
        <f ca="1">IFERROR(__xludf.DUMMYFUNCTION("""COMPUTED_VALUE"""),"PR chat mid season")</f>
        <v>PR chat mid season</v>
      </c>
      <c r="H296" s="3">
        <f ca="1">IFERROR(__xludf.DUMMYFUNCTION("""COMPUTED_VALUE"""),1)</f>
        <v>1</v>
      </c>
      <c r="I296" s="5">
        <f ca="1">IFERROR(__xludf.DUMMYFUNCTION("""COMPUTED_VALUE"""),1)</f>
        <v>1</v>
      </c>
      <c r="J296" s="5">
        <f ca="1">IFERROR(__xludf.DUMMYFUNCTION("""COMPUTED_VALUE"""),50000)</f>
        <v>50000</v>
      </c>
      <c r="K296" s="3"/>
      <c r="L296" s="3" t="str">
        <f ca="1">IFERROR(__xludf.DUMMYFUNCTION("""COMPUTED_VALUE"""),"Cost per instance")</f>
        <v>Cost per instance</v>
      </c>
      <c r="M296" s="3"/>
      <c r="N296" s="3"/>
      <c r="O296" s="3"/>
      <c r="P296" s="3"/>
      <c r="Q296" s="3"/>
      <c r="R296" s="3"/>
      <c r="S296" s="3" t="str">
        <f ca="1">IFERROR(__xludf.DUMMYFUNCTION("""COMPUTED_VALUE"""),"100")</f>
        <v>100</v>
      </c>
      <c r="T296" s="3"/>
      <c r="U296" s="3" t="str">
        <f ca="1">IFERROR(__xludf.DUMMYFUNCTION("""COMPUTED_VALUE"""),"pr článek")</f>
        <v>pr článek</v>
      </c>
      <c r="V296" s="3"/>
      <c r="W296" s="3"/>
      <c r="X296" s="3"/>
      <c r="Y296" s="3"/>
      <c r="Z296" s="3" t="str">
        <f ca="1">IFERROR(__xludf.DUMMYFUNCTION("""COMPUTED_VALUE"""),"podklady@cncenter.cz")</f>
        <v>podklady@cncenter.cz</v>
      </c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 t="str">
        <f ca="1">IFERROR(__xludf.DUMMYFUNCTION("""COMPUTED_VALUE"""),"cross-device")</f>
        <v>cross-device</v>
      </c>
      <c r="AO296" s="3"/>
      <c r="AP296" s="3"/>
      <c r="AQ296" s="3"/>
      <c r="AR296" s="3"/>
      <c r="AS296" s="3"/>
      <c r="AT296" s="3"/>
      <c r="AU296" s="3" t="str">
        <f ca="1">IFERROR(__xludf.DUMMYFUNCTION("""COMPUTED_VALUE"""),"PR chat")</f>
        <v>PR chat</v>
      </c>
    </row>
    <row r="297" spans="1:47" x14ac:dyDescent="0.3">
      <c r="A297" s="3">
        <f ca="1"/>
        <v>2346826</v>
      </c>
      <c r="B297" s="3" t="str">
        <f ca="1"/>
        <v>CZECH NEWS CENTER a. s.</v>
      </c>
      <c r="C297" s="3" t="str">
        <f ca="1">IFERROR(__xludf.DUMMYFUNCTION("""COMPUTED_VALUE"""),"CNC floating")</f>
        <v>CNC floating</v>
      </c>
      <c r="D297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7" s="3" t="str">
        <f ca="1">IFERROR(__xludf.DUMMYFUNCTION("""COMPUTED_VALUE"""),"celý web")</f>
        <v>celý web</v>
      </c>
      <c r="F297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7" s="3" t="str">
        <f ca="1">IFERROR(__xludf.DUMMYFUNCTION("""COMPUTED_VALUE"""),"Smarticle mid season")</f>
        <v>Smarticle mid season</v>
      </c>
      <c r="H297" s="3">
        <f ca="1">IFERROR(__xludf.DUMMYFUNCTION("""COMPUTED_VALUE"""),7)</f>
        <v>7</v>
      </c>
      <c r="I297" s="5">
        <f ca="1">IFERROR(__xludf.DUMMYFUNCTION("""COMPUTED_VALUE"""),1000)</f>
        <v>1000</v>
      </c>
      <c r="J297" s="5">
        <f ca="1">IFERROR(__xludf.DUMMYFUNCTION("""COMPUTED_VALUE"""),170)</f>
        <v>170</v>
      </c>
      <c r="K297" s="3"/>
      <c r="L297" s="3" t="str">
        <f ca="1">IFERROR(__xludf.DUMMYFUNCTION("""COMPUTED_VALUE"""),"Cost per period")</f>
        <v>Cost per period</v>
      </c>
      <c r="M297" s="3"/>
      <c r="N297" s="3" t="str">
        <f ca="1">IFERROR(__xludf.DUMMYFUNCTION("""COMPUTED_VALUE"""),"A4")</f>
        <v>A4</v>
      </c>
      <c r="O297" s="3"/>
      <c r="P297" s="3"/>
      <c r="Q297" s="3" t="str">
        <f ca="1">IFERROR(__xludf.DUMMYFUNCTION("""COMPUTED_VALUE"""),"viz. tech.specifikace; HP + sekce")</f>
        <v>viz. tech.specifikace; HP + sekce</v>
      </c>
      <c r="R297" s="3" t="str">
        <f ca="1">IFERROR(__xludf.DUMMYFUNCTION("""COMPUTED_VALUE"""),"HP + sekce")</f>
        <v>HP + sekce</v>
      </c>
      <c r="S297" s="3" t="str">
        <f ca="1">IFERROR(__xludf.DUMMYFUNCTION("""COMPUTED_VALUE"""),"100")</f>
        <v>100</v>
      </c>
      <c r="T297" s="3"/>
      <c r="U297" s="3" t="str">
        <f ca="1">IFERROR(__xludf.DUMMYFUNCTION("""COMPUTED_VALUE"""),"pr článek")</f>
        <v>pr článek</v>
      </c>
      <c r="V297" s="3"/>
      <c r="W297" s="4" t="str">
        <f ca="1">IFERROR(__xludf.DUMMYFUNCTION("""COMPUTED_VALUE"""),"https://reklama.cncenter.cz/Online/Smarticle")</f>
        <v>https://reklama.cncenter.cz/Online/Smarticle</v>
      </c>
      <c r="X297" s="3"/>
      <c r="Y297" s="3"/>
      <c r="Z297" s="3" t="str">
        <f ca="1">IFERROR(__xludf.DUMMYFUNCTION("""COMPUTED_VALUE"""),"podklady@cncenter.cz")</f>
        <v>podklady@cncenter.cz</v>
      </c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 t="str">
        <f ca="1">IFERROR(__xludf.DUMMYFUNCTION("""COMPUTED_VALUE"""),"cross-device")</f>
        <v>cross-device</v>
      </c>
      <c r="AO297" s="3"/>
      <c r="AP297" s="3"/>
      <c r="AQ297" s="3"/>
      <c r="AR297" s="3"/>
      <c r="AS297" s="3"/>
      <c r="AT297" s="3"/>
      <c r="AU297" s="3" t="str">
        <f ca="1">IFERROR(__xludf.DUMMYFUNCTION("""COMPUTED_VALUE"""),"Smarticle")</f>
        <v>Smarticle</v>
      </c>
    </row>
    <row r="298" spans="1:47" x14ac:dyDescent="0.3">
      <c r="A298" s="3">
        <f ca="1"/>
        <v>2346826</v>
      </c>
      <c r="B298" s="3" t="str">
        <f ca="1"/>
        <v>CZECH NEWS CENTER a. s.</v>
      </c>
      <c r="C298" s="3" t="str">
        <f ca="1">IFERROR(__xludf.DUMMYFUNCTION("""COMPUTED_VALUE"""),"CNC floating")</f>
        <v>CNC floating</v>
      </c>
      <c r="D298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8" s="3" t="str">
        <f ca="1">IFERROR(__xludf.DUMMYFUNCTION("""COMPUTED_VALUE"""),"celý web")</f>
        <v>celý web</v>
      </c>
      <c r="F298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8" s="3" t="str">
        <f ca="1">IFERROR(__xludf.DUMMYFUNCTION("""COMPUTED_VALUE"""),"Speciální spolupráce mid season")</f>
        <v>Speciální spolupráce mid season</v>
      </c>
      <c r="H298" s="3">
        <f ca="1">IFERROR(__xludf.DUMMYFUNCTION("""COMPUTED_VALUE"""),1)</f>
        <v>1</v>
      </c>
      <c r="I298" s="5">
        <f ca="1">IFERROR(__xludf.DUMMYFUNCTION("""COMPUTED_VALUE"""),1)</f>
        <v>1</v>
      </c>
      <c r="J298" s="5"/>
      <c r="K298" s="3"/>
      <c r="L298" s="3" t="str">
        <f ca="1">IFERROR(__xludf.DUMMYFUNCTION("""COMPUTED_VALUE"""),"Cost per instance")</f>
        <v>Cost per instance</v>
      </c>
      <c r="M298" s="3"/>
      <c r="N298" s="3"/>
      <c r="O298" s="3"/>
      <c r="P298" s="3"/>
      <c r="Q298" s="3" t="str">
        <f ca="1">IFERROR(__xludf.DUMMYFUNCTION("""COMPUTED_VALUE"""),"viz. tech.specifikace")</f>
        <v>viz. tech.specifikace</v>
      </c>
      <c r="R298" s="3"/>
      <c r="S298" s="3" t="str">
        <f ca="1">IFERROR(__xludf.DUMMYFUNCTION("""COMPUTED_VALUE"""),"100")</f>
        <v>100</v>
      </c>
      <c r="T298" s="3"/>
      <c r="U298" s="3" t="str">
        <f ca="1">IFERROR(__xludf.DUMMYFUNCTION("""COMPUTED_VALUE"""),"pr článek")</f>
        <v>pr článek</v>
      </c>
      <c r="V298" s="3"/>
      <c r="W298" s="3"/>
      <c r="X298" s="3"/>
      <c r="Y298" s="3"/>
      <c r="Z298" s="3" t="str">
        <f ca="1">IFERROR(__xludf.DUMMYFUNCTION("""COMPUTED_VALUE"""),"podklady@cncenter.cz")</f>
        <v>podklady@cncenter.cz</v>
      </c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 t="str">
        <f ca="1">IFERROR(__xludf.DUMMYFUNCTION("""COMPUTED_VALUE"""),"cross-device")</f>
        <v>cross-device</v>
      </c>
      <c r="AO298" s="3"/>
      <c r="AP298" s="3"/>
      <c r="AQ298" s="3"/>
      <c r="AR298" s="3"/>
      <c r="AS298" s="3"/>
      <c r="AT298" s="3"/>
      <c r="AU298" s="3" t="str">
        <f ca="1">IFERROR(__xludf.DUMMYFUNCTION("""COMPUTED_VALUE"""),"Speciální spolupráce")</f>
        <v>Speciální spolupráce</v>
      </c>
    </row>
    <row r="299" spans="1:47" x14ac:dyDescent="0.3">
      <c r="A299" s="3">
        <f ca="1"/>
        <v>2346826</v>
      </c>
      <c r="B299" s="3" t="str">
        <f ca="1"/>
        <v>CZECH NEWS CENTER a. s.</v>
      </c>
      <c r="C299" s="3" t="str">
        <f ca="1">IFERROR(__xludf.DUMMYFUNCTION("""COMPUTED_VALUE"""),"CNC floating")</f>
        <v>CNC floating</v>
      </c>
      <c r="D299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9" s="3" t="str">
        <f ca="1">IFERROR(__xludf.DUMMYFUNCTION("""COMPUTED_VALUE"""),"celý web")</f>
        <v>celý web</v>
      </c>
      <c r="F299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9" s="3" t="str">
        <f ca="1">IFERROR(__xludf.DUMMYFUNCTION("""COMPUTED_VALUE"""),"tvorba článku vč. rešerše mid season")</f>
        <v>tvorba článku vč. rešerše mid season</v>
      </c>
      <c r="H299" s="3">
        <f ca="1">IFERROR(__xludf.DUMMYFUNCTION("""COMPUTED_VALUE"""),1)</f>
        <v>1</v>
      </c>
      <c r="I299" s="5">
        <f ca="1">IFERROR(__xludf.DUMMYFUNCTION("""COMPUTED_VALUE"""),1)</f>
        <v>1</v>
      </c>
      <c r="J299" s="5">
        <f ca="1">IFERROR(__xludf.DUMMYFUNCTION("""COMPUTED_VALUE"""),4000)</f>
        <v>4000</v>
      </c>
      <c r="K299" s="3"/>
      <c r="L299" s="3" t="str">
        <f ca="1">IFERROR(__xludf.DUMMYFUNCTION("""COMPUTED_VALUE"""),"Cost per instance")</f>
        <v>Cost per instance</v>
      </c>
      <c r="M299" s="3"/>
      <c r="N299" s="3"/>
      <c r="O299" s="3"/>
      <c r="P299" s="3"/>
      <c r="Q299" s="3"/>
      <c r="R299" s="3"/>
      <c r="S299" s="3" t="str">
        <f ca="1">IFERROR(__xludf.DUMMYFUNCTION("""COMPUTED_VALUE"""),"100")</f>
        <v>100</v>
      </c>
      <c r="T299" s="3"/>
      <c r="U299" s="3" t="str">
        <f ca="1">IFERROR(__xludf.DUMMYFUNCTION("""COMPUTED_VALUE"""),"pr nestandard")</f>
        <v>pr nestandard</v>
      </c>
      <c r="V299" s="3"/>
      <c r="W299" s="3"/>
      <c r="X299" s="3"/>
      <c r="Y299" s="3"/>
      <c r="Z299" s="3" t="str">
        <f ca="1">IFERROR(__xludf.DUMMYFUNCTION("""COMPUTED_VALUE"""),"podklady@cncenter.cz")</f>
        <v>podklady@cncenter.cz</v>
      </c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 t="str">
        <f ca="1">IFERROR(__xludf.DUMMYFUNCTION("""COMPUTED_VALUE"""),"cross-device")</f>
        <v>cross-device</v>
      </c>
      <c r="AO299" s="3"/>
      <c r="AP299" s="3"/>
      <c r="AQ299" s="3"/>
      <c r="AR299" s="3"/>
      <c r="AS299" s="3"/>
      <c r="AT299" s="3"/>
      <c r="AU299" s="3" t="str">
        <f ca="1">IFERROR(__xludf.DUMMYFUNCTION("""COMPUTED_VALUE"""),"tvorba článku vč. rešerše")</f>
        <v>tvorba článku vč. rešerše</v>
      </c>
    </row>
    <row r="300" spans="1:47" x14ac:dyDescent="0.3">
      <c r="A300" s="3">
        <f ca="1"/>
        <v>2346826</v>
      </c>
      <c r="B300" s="3" t="str">
        <f ca="1"/>
        <v>CZECH NEWS CENTER a. s.</v>
      </c>
      <c r="C300" s="3" t="str">
        <f ca="1">IFERROR(__xludf.DUMMYFUNCTION("""COMPUTED_VALUE"""),"CNC floating")</f>
        <v>CNC floating</v>
      </c>
      <c r="D300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300" s="3" t="str">
        <f ca="1">IFERROR(__xludf.DUMMYFUNCTION("""COMPUTED_VALUE"""),"celý web")</f>
        <v>celý web</v>
      </c>
      <c r="F300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300" s="3" t="str">
        <f ca="1">IFERROR(__xludf.DUMMYFUNCTION("""COMPUTED_VALUE"""),"video reklamního typu bez mediálního prostoru mid season")</f>
        <v>video reklamního typu bez mediálního prostoru mid season</v>
      </c>
      <c r="H300" s="3">
        <f ca="1">IFERROR(__xludf.DUMMYFUNCTION("""COMPUTED_VALUE"""),1)</f>
        <v>1</v>
      </c>
      <c r="I300" s="5">
        <f ca="1">IFERROR(__xludf.DUMMYFUNCTION("""COMPUTED_VALUE"""),1)</f>
        <v>1</v>
      </c>
      <c r="J300" s="5">
        <f ca="1">IFERROR(__xludf.DUMMYFUNCTION("""COMPUTED_VALUE"""),200000)</f>
        <v>200000</v>
      </c>
      <c r="K300" s="3"/>
      <c r="L300" s="3" t="str">
        <f ca="1">IFERROR(__xludf.DUMMYFUNCTION("""COMPUTED_VALUE"""),"Cost per instance")</f>
        <v>Cost per instance</v>
      </c>
      <c r="M300" s="3"/>
      <c r="N300" s="3"/>
      <c r="O300" s="3"/>
      <c r="P300" s="3"/>
      <c r="Q300" s="3"/>
      <c r="R300" s="3" t="str">
        <f ca="1">IFERROR(__xludf.DUMMYFUNCTION("""COMPUTED_VALUE"""),"cena od 200 000 Kč")</f>
        <v>cena od 200 000 Kč</v>
      </c>
      <c r="S300" s="3" t="str">
        <f ca="1">IFERROR(__xludf.DUMMYFUNCTION("""COMPUTED_VALUE"""),"100")</f>
        <v>100</v>
      </c>
      <c r="T300" s="3"/>
      <c r="U300" s="3" t="str">
        <f ca="1">IFERROR(__xludf.DUMMYFUNCTION("""COMPUTED_VALUE"""),"pr video")</f>
        <v>pr video</v>
      </c>
      <c r="V300" s="3"/>
      <c r="W300" s="3"/>
      <c r="X300" s="3"/>
      <c r="Y300" s="3"/>
      <c r="Z300" s="3" t="str">
        <f ca="1">IFERROR(__xludf.DUMMYFUNCTION("""COMPUTED_VALUE"""),"podklady@cncenter.cz")</f>
        <v>podklady@cncenter.cz</v>
      </c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 t="str">
        <f ca="1">IFERROR(__xludf.DUMMYFUNCTION("""COMPUTED_VALUE"""),"cross-device")</f>
        <v>cross-device</v>
      </c>
      <c r="AO300" s="3"/>
      <c r="AP300" s="3"/>
      <c r="AQ300" s="3"/>
      <c r="AR300" s="3"/>
      <c r="AS300" s="3"/>
      <c r="AT300" s="3"/>
      <c r="AU300" s="3" t="str">
        <f ca="1">IFERROR(__xludf.DUMMYFUNCTION("""COMPUTED_VALUE"""),"video reklamního typu bez mediálního prostoru")</f>
        <v>video reklamního typu bez mediálního prostoru</v>
      </c>
    </row>
    <row r="301" spans="1:47" x14ac:dyDescent="0.3">
      <c r="A301" s="3">
        <f ca="1"/>
        <v>2346826</v>
      </c>
      <c r="B301" s="3" t="str">
        <f ca="1"/>
        <v>CZECH NEWS CENTER a. s.</v>
      </c>
      <c r="C301" s="3" t="str">
        <f ca="1">IFERROR(__xludf.DUMMYFUNCTION("""COMPUTED_VALUE"""),"CNC floating")</f>
        <v>CNC floating</v>
      </c>
      <c r="D301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301" s="3" t="str">
        <f ca="1">IFERROR(__xludf.DUMMYFUNCTION("""COMPUTED_VALUE"""),"celý web")</f>
        <v>celý web</v>
      </c>
      <c r="F301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301" s="3" t="str">
        <f ca="1">IFERROR(__xludf.DUMMYFUNCTION("""COMPUTED_VALUE"""),"video reklamního typu s mediálním prostorem mid season")</f>
        <v>video reklamního typu s mediálním prostorem mid season</v>
      </c>
      <c r="H301" s="3">
        <f ca="1">IFERROR(__xludf.DUMMYFUNCTION("""COMPUTED_VALUE"""),1)</f>
        <v>1</v>
      </c>
      <c r="I301" s="5">
        <f ca="1">IFERROR(__xludf.DUMMYFUNCTION("""COMPUTED_VALUE"""),1)</f>
        <v>1</v>
      </c>
      <c r="J301" s="5">
        <f ca="1">IFERROR(__xludf.DUMMYFUNCTION("""COMPUTED_VALUE"""),300000)</f>
        <v>300000</v>
      </c>
      <c r="K301" s="3"/>
      <c r="L301" s="3" t="str">
        <f ca="1">IFERROR(__xludf.DUMMYFUNCTION("""COMPUTED_VALUE"""),"Cost per instance")</f>
        <v>Cost per instance</v>
      </c>
      <c r="M301" s="3"/>
      <c r="N301" s="3"/>
      <c r="O301" s="3"/>
      <c r="P301" s="3"/>
      <c r="Q301" s="3"/>
      <c r="R301" s="3" t="str">
        <f ca="1">IFERROR(__xludf.DUMMYFUNCTION("""COMPUTED_VALUE"""),"cena bez možnosti slevy")</f>
        <v>cena bez možnosti slevy</v>
      </c>
      <c r="S301" s="3" t="str">
        <f ca="1">IFERROR(__xludf.DUMMYFUNCTION("""COMPUTED_VALUE"""),"100")</f>
        <v>100</v>
      </c>
      <c r="T301" s="3"/>
      <c r="U301" s="3" t="str">
        <f ca="1">IFERROR(__xludf.DUMMYFUNCTION("""COMPUTED_VALUE"""),"pr video")</f>
        <v>pr video</v>
      </c>
      <c r="V301" s="3"/>
      <c r="W301" s="3"/>
      <c r="X301" s="3"/>
      <c r="Y301" s="3"/>
      <c r="Z301" s="3" t="str">
        <f ca="1">IFERROR(__xludf.DUMMYFUNCTION("""COMPUTED_VALUE"""),"podklady@cncenter.cz")</f>
        <v>podklady@cncenter.cz</v>
      </c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 t="str">
        <f ca="1">IFERROR(__xludf.DUMMYFUNCTION("""COMPUTED_VALUE"""),"cross-device")</f>
        <v>cross-device</v>
      </c>
      <c r="AO301" s="3"/>
      <c r="AP301" s="3"/>
      <c r="AQ301" s="3"/>
      <c r="AR301" s="3"/>
      <c r="AS301" s="3"/>
      <c r="AT301" s="3"/>
      <c r="AU301" s="3" t="str">
        <f ca="1">IFERROR(__xludf.DUMMYFUNCTION("""COMPUTED_VALUE"""),"video reklamního typu s mediálním prostorem")</f>
        <v>video reklamního typu s mediálním prostorem</v>
      </c>
    </row>
    <row r="302" spans="1:47" x14ac:dyDescent="0.3">
      <c r="A302" s="3">
        <f ca="1"/>
        <v>2346826</v>
      </c>
      <c r="B302" s="3" t="str">
        <f ca="1"/>
        <v>CZECH NEWS CENTER a. s.</v>
      </c>
      <c r="C302" s="3" t="str">
        <f ca="1">IFERROR(__xludf.DUMMYFUNCTION("""COMPUTED_VALUE"""),"CNC floating")</f>
        <v>CNC floating</v>
      </c>
      <c r="D302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302" s="3" t="str">
        <f ca="1">IFERROR(__xludf.DUMMYFUNCTION("""COMPUTED_VALUE"""),"celý web")</f>
        <v>celý web</v>
      </c>
      <c r="F302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302" s="3" t="str">
        <f ca="1">IFERROR(__xludf.DUMMYFUNCTION("""COMPUTED_VALUE"""),"videospot - max. 30 sec. / bumper mid season")</f>
        <v>videospot - max. 30 sec. / bumper mid season</v>
      </c>
      <c r="H302" s="3">
        <f ca="1">IFERROR(__xludf.DUMMYFUNCTION("""COMPUTED_VALUE"""),7)</f>
        <v>7</v>
      </c>
      <c r="I302" s="5">
        <f ca="1">IFERROR(__xludf.DUMMYFUNCTION("""COMPUTED_VALUE"""),1000)</f>
        <v>1000</v>
      </c>
      <c r="J302" s="5">
        <f ca="1">IFERROR(__xludf.DUMMYFUNCTION("""COMPUTED_VALUE"""),800)</f>
        <v>800</v>
      </c>
      <c r="K302" s="3"/>
      <c r="L302" s="3" t="str">
        <f ca="1">IFERROR(__xludf.DUMMYFUNCTION("""COMPUTED_VALUE"""),"Cost per period")</f>
        <v>Cost per period</v>
      </c>
      <c r="M302" s="3"/>
      <c r="N302" s="3"/>
      <c r="O302" s="3" t="str">
        <f ca="1">IFERROR(__xludf.DUMMYFUNCTION("""COMPUTED_VALUE"""),"1280")</f>
        <v>1280</v>
      </c>
      <c r="P302" s="3" t="str">
        <f ca="1">IFERROR(__xludf.DUMMYFUNCTION("""COMPUTED_VALUE"""),"720")</f>
        <v>720</v>
      </c>
      <c r="Q302" s="3" t="str">
        <f ca="1">IFERROR(__xludf.DUMMYFUNCTION("""COMPUTED_VALUE"""),"16:9 / umístění po domluvě dle možností")</f>
        <v>16:9 / umístění po domluvě dle možností</v>
      </c>
      <c r="R302" s="3" t="str">
        <f ca="1">IFERROR(__xludf.DUMMYFUNCTION("""COMPUTED_VALUE"""),"přeskočení po 7 sekundách")</f>
        <v>přeskočení po 7 sekundách</v>
      </c>
      <c r="S302" s="3" t="str">
        <f ca="1">IFERROR(__xludf.DUMMYFUNCTION("""COMPUTED_VALUE"""),"100")</f>
        <v>100</v>
      </c>
      <c r="T302" s="3"/>
      <c r="U302" s="3" t="str">
        <f ca="1">IFERROR(__xludf.DUMMYFUNCTION("""COMPUTED_VALUE"""),"videospot")</f>
        <v>videospot</v>
      </c>
      <c r="V302" s="3"/>
      <c r="W302" s="4" t="str">
        <f ca="1">IFERROR(__xludf.DUMMYFUNCTION("""COMPUTED_VALUE"""),"https://reklama.cncenter.cz/Online/Bumper")</f>
        <v>https://reklama.cncenter.cz/Online/Bumper</v>
      </c>
      <c r="X302" s="3"/>
      <c r="Y302" s="3"/>
      <c r="Z302" s="3" t="str">
        <f ca="1">IFERROR(__xludf.DUMMYFUNCTION("""COMPUTED_VALUE"""),"podklady@cncenter.cz")</f>
        <v>podklady@cncenter.cz</v>
      </c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 t="str">
        <f ca="1">IFERROR(__xludf.DUMMYFUNCTION("""COMPUTED_VALUE"""),"cross-device")</f>
        <v>cross-device</v>
      </c>
      <c r="AO302" s="3"/>
      <c r="AP302" s="3"/>
      <c r="AQ302" s="3"/>
      <c r="AR302" s="3"/>
      <c r="AS302" s="3"/>
      <c r="AT302" s="3"/>
      <c r="AU302" s="3" t="str">
        <f ca="1">IFERROR(__xludf.DUMMYFUNCTION("""COMPUTED_VALUE"""),"videospot - max. 30 sec. / bumper")</f>
        <v>videospot - max. 30 sec. / bumper</v>
      </c>
    </row>
    <row r="303" spans="1:47" x14ac:dyDescent="0.3">
      <c r="A303" s="3">
        <f ca="1"/>
        <v>2346826</v>
      </c>
      <c r="B303" s="3" t="str">
        <f ca="1"/>
        <v>CZECH NEWS CENTER a. s.</v>
      </c>
      <c r="C303" s="3" t="str">
        <f ca="1">IFERROR(__xludf.DUMMYFUNCTION("""COMPUTED_VALUE"""),"CNC floating")</f>
        <v>CNC floating</v>
      </c>
      <c r="D30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303" s="3" t="str">
        <f ca="1">IFERROR(__xludf.DUMMYFUNCTION("""COMPUTED_VALUE"""),"celý web")</f>
        <v>celý web</v>
      </c>
      <c r="F30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303" s="3" t="str">
        <f ca="1">IFERROR(__xludf.DUMMYFUNCTION("""COMPUTED_VALUE"""),"vytvoření nebo úprava 1 ks banneru z dodaného master podkladu mid season")</f>
        <v>vytvoření nebo úprava 1 ks banneru z dodaného master podkladu mid season</v>
      </c>
      <c r="H303" s="3">
        <f ca="1">IFERROR(__xludf.DUMMYFUNCTION("""COMPUTED_VALUE"""),1)</f>
        <v>1</v>
      </c>
      <c r="I303" s="5">
        <f ca="1">IFERROR(__xludf.DUMMYFUNCTION("""COMPUTED_VALUE"""),1)</f>
        <v>1</v>
      </c>
      <c r="J303" s="5"/>
      <c r="K303" s="3"/>
      <c r="L303" s="3" t="str">
        <f ca="1">IFERROR(__xludf.DUMMYFUNCTION("""COMPUTED_VALUE"""),"Cost per instance")</f>
        <v>Cost per instance</v>
      </c>
      <c r="M303" s="3"/>
      <c r="N303" s="3"/>
      <c r="O303" s="3"/>
      <c r="P303" s="3"/>
      <c r="Q303" s="3"/>
      <c r="R303" s="3"/>
      <c r="S303" s="3" t="str">
        <f ca="1">IFERROR(__xludf.DUMMYFUNCTION("""COMPUTED_VALUE"""),"100")</f>
        <v>100</v>
      </c>
      <c r="T303" s="3"/>
      <c r="U303" s="3" t="str">
        <f ca="1">IFERROR(__xludf.DUMMYFUNCTION("""COMPUTED_VALUE"""),"pr nestandard")</f>
        <v>pr nestandard</v>
      </c>
      <c r="V303" s="3"/>
      <c r="W303" s="3"/>
      <c r="X303" s="3"/>
      <c r="Y303" s="3"/>
      <c r="Z303" s="3" t="str">
        <f ca="1">IFERROR(__xludf.DUMMYFUNCTION("""COMPUTED_VALUE"""),"podklady@cncenter.cz")</f>
        <v>podklady@cncenter.cz</v>
      </c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 t="str">
        <f ca="1">IFERROR(__xludf.DUMMYFUNCTION("""COMPUTED_VALUE"""),"cross-device")</f>
        <v>cross-device</v>
      </c>
      <c r="AO303" s="3"/>
      <c r="AP303" s="3"/>
      <c r="AQ303" s="3"/>
      <c r="AR303" s="3"/>
      <c r="AS303" s="3"/>
      <c r="AT303" s="3"/>
      <c r="AU303" s="3" t="str">
        <f ca="1">IFERROR(__xludf.DUMMYFUNCTION("""COMPUTED_VALUE"""),"vytvoření nebo úprava 1 ks banneru z dodaného master podkladu")</f>
        <v>vytvoření nebo úprava 1 ks banneru z dodaného master podkladu</v>
      </c>
    </row>
    <row r="304" spans="1:47" x14ac:dyDescent="0.3">
      <c r="A304" s="3">
        <f ca="1"/>
        <v>2346826</v>
      </c>
      <c r="B304" s="3" t="str">
        <f ca="1"/>
        <v>CZECH NEWS CENTER a. s.</v>
      </c>
      <c r="C304" s="3" t="str">
        <f ca="1">IFERROR(__xludf.DUMMYFUNCTION("""COMPUTED_VALUE"""),"CNC IT &amp; mobile &amp; digital pack")</f>
        <v>CNC IT &amp; mobile &amp; digital pack</v>
      </c>
      <c r="D304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04" s="3" t="str">
        <f ca="1">IFERROR(__xludf.DUMMYFUNCTION("""COMPUTED_VALUE"""),"celý web")</f>
        <v>celý web</v>
      </c>
      <c r="F304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04" s="3" t="str">
        <f ca="1">IFERROR(__xludf.DUMMYFUNCTION("""COMPUTED_VALUE"""),"billboard bottom mid season")</f>
        <v>billboard bottom mid season</v>
      </c>
      <c r="H304" s="3">
        <f ca="1">IFERROR(__xludf.DUMMYFUNCTION("""COMPUTED_VALUE"""),7)</f>
        <v>7</v>
      </c>
      <c r="I304" s="5">
        <f ca="1">IFERROR(__xludf.DUMMYFUNCTION("""COMPUTED_VALUE"""),1000)</f>
        <v>1000</v>
      </c>
      <c r="J304" s="5">
        <f ca="1">IFERROR(__xludf.DUMMYFUNCTION("""COMPUTED_VALUE"""),300)</f>
        <v>300</v>
      </c>
      <c r="K304" s="3"/>
      <c r="L304" s="3" t="str">
        <f ca="1">IFERROR(__xludf.DUMMYFUNCTION("""COMPUTED_VALUE"""),"Cost per period")</f>
        <v>Cost per period</v>
      </c>
      <c r="M304" s="3"/>
      <c r="N304" s="3"/>
      <c r="O304" s="3" t="str">
        <f ca="1">IFERROR(__xludf.DUMMYFUNCTION("""COMPUTED_VALUE"""),"970")</f>
        <v>970</v>
      </c>
      <c r="P304" s="3" t="str">
        <f ca="1">IFERROR(__xludf.DUMMYFUNCTION("""COMPUTED_VALUE"""),"250")</f>
        <v>250</v>
      </c>
      <c r="Q304" s="3" t="str">
        <f ca="1">IFERROR(__xludf.DUMMYFUNCTION("""COMPUTED_VALUE"""),"970x250")</f>
        <v>970x250</v>
      </c>
      <c r="R304" s="3"/>
      <c r="S304" s="3" t="str">
        <f ca="1">IFERROR(__xludf.DUMMYFUNCTION("""COMPUTED_VALUE"""),"100 (200 - HTML5)")</f>
        <v>100 (200 - HTML5)</v>
      </c>
      <c r="T304" s="3"/>
      <c r="U304" s="3" t="str">
        <f ca="1">IFERROR(__xludf.DUMMYFUNCTION("""COMPUTED_VALUE"""),"banner standard")</f>
        <v>banner standard</v>
      </c>
      <c r="V304" s="3"/>
      <c r="W304" s="4" t="str">
        <f ca="1">IFERROR(__xludf.DUMMYFUNCTION("""COMPUTED_VALUE"""),"https://reklama.cncenter.cz/Online/billboard-bottom")</f>
        <v>https://reklama.cncenter.cz/Online/billboard-bottom</v>
      </c>
      <c r="X304" s="3"/>
      <c r="Y304" s="3"/>
      <c r="Z304" s="3" t="str">
        <f ca="1">IFERROR(__xludf.DUMMYFUNCTION("""COMPUTED_VALUE"""),"podklady@cncenter.cz")</f>
        <v>podklady@cncenter.cz</v>
      </c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 t="str">
        <f ca="1">IFERROR(__xludf.DUMMYFUNCTION("""COMPUTED_VALUE"""),"desktop")</f>
        <v>desktop</v>
      </c>
      <c r="AO304" s="3"/>
      <c r="AP304" s="3"/>
      <c r="AQ304" s="3"/>
      <c r="AR304" s="3"/>
      <c r="AS304" s="3"/>
      <c r="AT304" s="3"/>
      <c r="AU304" s="3" t="str">
        <f ca="1">IFERROR(__xludf.DUMMYFUNCTION("""COMPUTED_VALUE"""),"billboard bottom")</f>
        <v>billboard bottom</v>
      </c>
    </row>
    <row r="305" spans="1:47" x14ac:dyDescent="0.3">
      <c r="A305" s="3">
        <f ca="1"/>
        <v>2346826</v>
      </c>
      <c r="B305" s="3" t="str">
        <f ca="1"/>
        <v>CZECH NEWS CENTER a. s.</v>
      </c>
      <c r="C305" s="3" t="str">
        <f ca="1">IFERROR(__xludf.DUMMYFUNCTION("""COMPUTED_VALUE"""),"CNC IT &amp; mobile &amp; digital pack")</f>
        <v>CNC IT &amp; mobile &amp; digital pack</v>
      </c>
      <c r="D305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05" s="3" t="str">
        <f ca="1">IFERROR(__xludf.DUMMYFUNCTION("""COMPUTED_VALUE"""),"celý web")</f>
        <v>celý web</v>
      </c>
      <c r="F305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05" s="3" t="str">
        <f ca="1">IFERROR(__xludf.DUMMYFUNCTION("""COMPUTED_VALUE"""),"branding cross-device mid season")</f>
        <v>branding cross-device mid season</v>
      </c>
      <c r="H305" s="3">
        <f ca="1">IFERROR(__xludf.DUMMYFUNCTION("""COMPUTED_VALUE"""),7)</f>
        <v>7</v>
      </c>
      <c r="I305" s="5">
        <f ca="1">IFERROR(__xludf.DUMMYFUNCTION("""COMPUTED_VALUE"""),1000)</f>
        <v>1000</v>
      </c>
      <c r="J305" s="5">
        <f ca="1">IFERROR(__xludf.DUMMYFUNCTION("""COMPUTED_VALUE"""),380)</f>
        <v>380</v>
      </c>
      <c r="K305" s="3"/>
      <c r="L305" s="3" t="str">
        <f ca="1">IFERROR(__xludf.DUMMYFUNCTION("""COMPUTED_VALUE"""),"Cost per period")</f>
        <v>Cost per period</v>
      </c>
      <c r="M305" s="3"/>
      <c r="N305" s="3"/>
      <c r="O305" s="3" t="str">
        <f ca="1">IFERROR(__xludf.DUMMYFUNCTION("""COMPUTED_VALUE"""),"2000")</f>
        <v>2000</v>
      </c>
      <c r="P305" s="3" t="str">
        <f ca="1">IFERROR(__xludf.DUMMYFUNCTION("""COMPUTED_VALUE"""),"1400")</f>
        <v>1400</v>
      </c>
      <c r="Q305" s="3" t="str">
        <f ca="1">IFERROR(__xludf.DUMMYFUNCTION("""COMPUTED_VALUE"""),"2000x1400 + 600x1080")</f>
        <v>2000x1400 + 600x1080</v>
      </c>
      <c r="R305" s="3"/>
      <c r="S305" s="3" t="str">
        <f ca="1">IFERROR(__xludf.DUMMYFUNCTION("""COMPUTED_VALUE"""),"500 (600 - HTLM5)")</f>
        <v>500 (600 - HTLM5)</v>
      </c>
      <c r="T305" s="3"/>
      <c r="U305" s="3" t="str">
        <f ca="1">IFERROR(__xludf.DUMMYFUNCTION("""COMPUTED_VALUE"""),"banner standard")</f>
        <v>banner standard</v>
      </c>
      <c r="V305" s="3"/>
      <c r="W305" s="4" t="str">
        <f ca="1">IFERROR(__xludf.DUMMYFUNCTION("""COMPUTED_VALUE"""),"https://reklama.cncenter.cz/Online/branding-cross-device")</f>
        <v>https://reklama.cncenter.cz/Online/branding-cross-device</v>
      </c>
      <c r="X305" s="3"/>
      <c r="Y305" s="3"/>
      <c r="Z305" s="3" t="str">
        <f ca="1">IFERROR(__xludf.DUMMYFUNCTION("""COMPUTED_VALUE"""),"podklady@cncenter.cz")</f>
        <v>podklady@cncenter.cz</v>
      </c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 t="str">
        <f ca="1">IFERROR(__xludf.DUMMYFUNCTION("""COMPUTED_VALUE"""),"cross-device")</f>
        <v>cross-device</v>
      </c>
      <c r="AO305" s="3"/>
      <c r="AP305" s="3"/>
      <c r="AQ305" s="3"/>
      <c r="AR305" s="3"/>
      <c r="AS305" s="3"/>
      <c r="AT305" s="3"/>
      <c r="AU305" s="3" t="str">
        <f ca="1">IFERROR(__xludf.DUMMYFUNCTION("""COMPUTED_VALUE"""),"branding cross-device")</f>
        <v>branding cross-device</v>
      </c>
    </row>
    <row r="306" spans="1:47" x14ac:dyDescent="0.3">
      <c r="A306" s="3">
        <f ca="1"/>
        <v>2346826</v>
      </c>
      <c r="B306" s="3" t="str">
        <f ca="1"/>
        <v>CZECH NEWS CENTER a. s.</v>
      </c>
      <c r="C306" s="3" t="str">
        <f ca="1">IFERROR(__xludf.DUMMYFUNCTION("""COMPUTED_VALUE"""),"CNC IT &amp; mobile &amp; digital pack")</f>
        <v>CNC IT &amp; mobile &amp; digital pack</v>
      </c>
      <c r="D306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06" s="3" t="str">
        <f ca="1">IFERROR(__xludf.DUMMYFUNCTION("""COMPUTED_VALUE"""),"celý web")</f>
        <v>celý web</v>
      </c>
      <c r="F306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06" s="3" t="str">
        <f ca="1">IFERROR(__xludf.DUMMYFUNCTION("""COMPUTED_VALUE"""),"branding mid season")</f>
        <v>branding mid season</v>
      </c>
      <c r="H306" s="3">
        <f ca="1">IFERROR(__xludf.DUMMYFUNCTION("""COMPUTED_VALUE"""),7)</f>
        <v>7</v>
      </c>
      <c r="I306" s="5">
        <f ca="1">IFERROR(__xludf.DUMMYFUNCTION("""COMPUTED_VALUE"""),1000)</f>
        <v>1000</v>
      </c>
      <c r="J306" s="5">
        <f ca="1">IFERROR(__xludf.DUMMYFUNCTION("""COMPUTED_VALUE"""),560)</f>
        <v>560</v>
      </c>
      <c r="K306" s="3"/>
      <c r="L306" s="3" t="str">
        <f ca="1">IFERROR(__xludf.DUMMYFUNCTION("""COMPUTED_VALUE"""),"Cost per period")</f>
        <v>Cost per period</v>
      </c>
      <c r="M306" s="3"/>
      <c r="N306" s="3"/>
      <c r="O306" s="3" t="str">
        <f ca="1">IFERROR(__xludf.DUMMYFUNCTION("""COMPUTED_VALUE"""),"2000")</f>
        <v>2000</v>
      </c>
      <c r="P306" s="3" t="str">
        <f ca="1">IFERROR(__xludf.DUMMYFUNCTION("""COMPUTED_VALUE"""),"1400")</f>
        <v>1400</v>
      </c>
      <c r="Q306" s="3" t="str">
        <f ca="1">IFERROR(__xludf.DUMMYFUNCTION("""COMPUTED_VALUE"""),"2000x1400")</f>
        <v>2000x1400</v>
      </c>
      <c r="R306" s="3"/>
      <c r="S306" s="3" t="str">
        <f ca="1">IFERROR(__xludf.DUMMYFUNCTION("""COMPUTED_VALUE"""),"500 + 200 (600+200 HTML5)")</f>
        <v>500 + 200 (600+200 HTML5)</v>
      </c>
      <c r="T306" s="3"/>
      <c r="U306" s="3" t="str">
        <f ca="1">IFERROR(__xludf.DUMMYFUNCTION("""COMPUTED_VALUE"""),"banner standard")</f>
        <v>banner standard</v>
      </c>
      <c r="V306" s="3"/>
      <c r="W306" s="4" t="str">
        <f ca="1">IFERROR(__xludf.DUMMYFUNCTION("""COMPUTED_VALUE"""),"https://reklama.cncenter.cz/Online/branding")</f>
        <v>https://reklama.cncenter.cz/Online/branding</v>
      </c>
      <c r="X306" s="3"/>
      <c r="Y306" s="3"/>
      <c r="Z306" s="3" t="str">
        <f ca="1">IFERROR(__xludf.DUMMYFUNCTION("""COMPUTED_VALUE"""),"podklady@cncenter.cz")</f>
        <v>podklady@cncenter.cz</v>
      </c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 t="str">
        <f ca="1">IFERROR(__xludf.DUMMYFUNCTION("""COMPUTED_VALUE"""),"desktop")</f>
        <v>desktop</v>
      </c>
      <c r="AO306" s="3"/>
      <c r="AP306" s="3"/>
      <c r="AQ306" s="3"/>
      <c r="AR306" s="3"/>
      <c r="AS306" s="3"/>
      <c r="AT306" s="3"/>
      <c r="AU306" s="3" t="str">
        <f ca="1">IFERROR(__xludf.DUMMYFUNCTION("""COMPUTED_VALUE"""),"branding")</f>
        <v>branding</v>
      </c>
    </row>
    <row r="307" spans="1:47" x14ac:dyDescent="0.3">
      <c r="A307" s="3">
        <f ca="1"/>
        <v>2346826</v>
      </c>
      <c r="B307" s="3" t="str">
        <f ca="1"/>
        <v>CZECH NEWS CENTER a. s.</v>
      </c>
      <c r="C307" s="3" t="str">
        <f ca="1">IFERROR(__xludf.DUMMYFUNCTION("""COMPUTED_VALUE"""),"CNC IT &amp; mobile &amp; digital pack")</f>
        <v>CNC IT &amp; mobile &amp; digital pack</v>
      </c>
      <c r="D307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07" s="3" t="str">
        <f ca="1">IFERROR(__xludf.DUMMYFUNCTION("""COMPUTED_VALUE"""),"celý web")</f>
        <v>celý web</v>
      </c>
      <c r="F307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07" s="3" t="str">
        <f ca="1">IFERROR(__xludf.DUMMYFUNCTION("""COMPUTED_VALUE"""),"cílený billboard bottom mid season")</f>
        <v>cílený billboard bottom mid season</v>
      </c>
      <c r="H307" s="3">
        <f ca="1">IFERROR(__xludf.DUMMYFUNCTION("""COMPUTED_VALUE"""),7)</f>
        <v>7</v>
      </c>
      <c r="I307" s="5">
        <f ca="1">IFERROR(__xludf.DUMMYFUNCTION("""COMPUTED_VALUE"""),1000)</f>
        <v>1000</v>
      </c>
      <c r="J307" s="5">
        <f ca="1">IFERROR(__xludf.DUMMYFUNCTION("""COMPUTED_VALUE"""),360)</f>
        <v>360</v>
      </c>
      <c r="K307" s="3"/>
      <c r="L307" s="3" t="str">
        <f ca="1">IFERROR(__xludf.DUMMYFUNCTION("""COMPUTED_VALUE"""),"Cost per period")</f>
        <v>Cost per period</v>
      </c>
      <c r="M307" s="3"/>
      <c r="N307" s="3"/>
      <c r="O307" s="3" t="str">
        <f ca="1">IFERROR(__xludf.DUMMYFUNCTION("""COMPUTED_VALUE"""),"970")</f>
        <v>970</v>
      </c>
      <c r="P307" s="3" t="str">
        <f ca="1">IFERROR(__xludf.DUMMYFUNCTION("""COMPUTED_VALUE"""),"250")</f>
        <v>250</v>
      </c>
      <c r="Q307" s="3" t="str">
        <f ca="1">IFERROR(__xludf.DUMMYFUNCTION("""COMPUTED_VALUE"""),"970x250")</f>
        <v>970x250</v>
      </c>
      <c r="R307" s="3"/>
      <c r="S307" s="3" t="str">
        <f ca="1">IFERROR(__xludf.DUMMYFUNCTION("""COMPUTED_VALUE"""),"100 (200 - HTML5)")</f>
        <v>100 (200 - HTML5)</v>
      </c>
      <c r="T307" s="3"/>
      <c r="U307" s="3" t="str">
        <f ca="1">IFERROR(__xludf.DUMMYFUNCTION("""COMPUTED_VALUE"""),"banner standard")</f>
        <v>banner standard</v>
      </c>
      <c r="V307" s="3"/>
      <c r="W307" s="4" t="str">
        <f ca="1">IFERROR(__xludf.DUMMYFUNCTION("""COMPUTED_VALUE"""),"https://reklama.cncenter.cz/Online/billboard-bottom")</f>
        <v>https://reklama.cncenter.cz/Online/billboard-bottom</v>
      </c>
      <c r="X307" s="3"/>
      <c r="Y307" s="3"/>
      <c r="Z307" s="3" t="str">
        <f ca="1">IFERROR(__xludf.DUMMYFUNCTION("""COMPUTED_VALUE"""),"podklady@cncenter.cz")</f>
        <v>podklady@cncenter.cz</v>
      </c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 t="str">
        <f ca="1">IFERROR(__xludf.DUMMYFUNCTION("""COMPUTED_VALUE"""),"desktop")</f>
        <v>desktop</v>
      </c>
      <c r="AO307" s="3"/>
      <c r="AP307" s="3"/>
      <c r="AQ307" s="3"/>
      <c r="AR307" s="3"/>
      <c r="AS307" s="3"/>
      <c r="AT307" s="3"/>
      <c r="AU307" s="3" t="str">
        <f ca="1">IFERROR(__xludf.DUMMYFUNCTION("""COMPUTED_VALUE"""),"cílený billboard bottom")</f>
        <v>cílený billboard bottom</v>
      </c>
    </row>
    <row r="308" spans="1:47" x14ac:dyDescent="0.3">
      <c r="A308" s="3">
        <f ca="1"/>
        <v>2346826</v>
      </c>
      <c r="B308" s="3" t="str">
        <f ca="1"/>
        <v>CZECH NEWS CENTER a. s.</v>
      </c>
      <c r="C308" s="3" t="str">
        <f ca="1">IFERROR(__xludf.DUMMYFUNCTION("""COMPUTED_VALUE"""),"CNC IT &amp; mobile &amp; digital pack")</f>
        <v>CNC IT &amp; mobile &amp; digital pack</v>
      </c>
      <c r="D308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08" s="3" t="str">
        <f ca="1">IFERROR(__xludf.DUMMYFUNCTION("""COMPUTED_VALUE"""),"celý web")</f>
        <v>celý web</v>
      </c>
      <c r="F308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08" s="3" t="str">
        <f ca="1">IFERROR(__xludf.DUMMYFUNCTION("""COMPUTED_VALUE"""),"cílený branding cross-device mid season")</f>
        <v>cílený branding cross-device mid season</v>
      </c>
      <c r="H308" s="3">
        <f ca="1">IFERROR(__xludf.DUMMYFUNCTION("""COMPUTED_VALUE"""),7)</f>
        <v>7</v>
      </c>
      <c r="I308" s="5">
        <f ca="1">IFERROR(__xludf.DUMMYFUNCTION("""COMPUTED_VALUE"""),1000)</f>
        <v>1000</v>
      </c>
      <c r="J308" s="5">
        <f ca="1">IFERROR(__xludf.DUMMYFUNCTION("""COMPUTED_VALUE"""),456)</f>
        <v>456</v>
      </c>
      <c r="K308" s="3"/>
      <c r="L308" s="3" t="str">
        <f ca="1">IFERROR(__xludf.DUMMYFUNCTION("""COMPUTED_VALUE"""),"Cost per period")</f>
        <v>Cost per period</v>
      </c>
      <c r="M308" s="3"/>
      <c r="N308" s="3"/>
      <c r="O308" s="3" t="str">
        <f ca="1">IFERROR(__xludf.DUMMYFUNCTION("""COMPUTED_VALUE"""),"2000")</f>
        <v>2000</v>
      </c>
      <c r="P308" s="3" t="str">
        <f ca="1">IFERROR(__xludf.DUMMYFUNCTION("""COMPUTED_VALUE"""),"1400")</f>
        <v>1400</v>
      </c>
      <c r="Q308" s="3" t="str">
        <f ca="1">IFERROR(__xludf.DUMMYFUNCTION("""COMPUTED_VALUE"""),"2000x1400 + 600x1080")</f>
        <v>2000x1400 + 600x1080</v>
      </c>
      <c r="R308" s="3"/>
      <c r="S308" s="3" t="str">
        <f ca="1">IFERROR(__xludf.DUMMYFUNCTION("""COMPUTED_VALUE"""),"500 (600 - HTLM5)")</f>
        <v>500 (600 - HTLM5)</v>
      </c>
      <c r="T308" s="3"/>
      <c r="U308" s="3" t="str">
        <f ca="1">IFERROR(__xludf.DUMMYFUNCTION("""COMPUTED_VALUE"""),"banner standard")</f>
        <v>banner standard</v>
      </c>
      <c r="V308" s="3"/>
      <c r="W308" s="4" t="str">
        <f ca="1">IFERROR(__xludf.DUMMYFUNCTION("""COMPUTED_VALUE"""),"https://reklama.cncenter.cz/Online/branding-cross-device")</f>
        <v>https://reklama.cncenter.cz/Online/branding-cross-device</v>
      </c>
      <c r="X308" s="3"/>
      <c r="Y308" s="3"/>
      <c r="Z308" s="3" t="str">
        <f ca="1">IFERROR(__xludf.DUMMYFUNCTION("""COMPUTED_VALUE"""),"podklady@cncenter.cz")</f>
        <v>podklady@cncenter.cz</v>
      </c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 t="str">
        <f ca="1">IFERROR(__xludf.DUMMYFUNCTION("""COMPUTED_VALUE"""),"cross-device")</f>
        <v>cross-device</v>
      </c>
      <c r="AO308" s="3"/>
      <c r="AP308" s="3"/>
      <c r="AQ308" s="3"/>
      <c r="AR308" s="3"/>
      <c r="AS308" s="3"/>
      <c r="AT308" s="3"/>
      <c r="AU308" s="3" t="str">
        <f ca="1">IFERROR(__xludf.DUMMYFUNCTION("""COMPUTED_VALUE"""),"cílený branding cross-device")</f>
        <v>cílený branding cross-device</v>
      </c>
    </row>
    <row r="309" spans="1:47" x14ac:dyDescent="0.3">
      <c r="A309" s="3">
        <f ca="1"/>
        <v>2346826</v>
      </c>
      <c r="B309" s="3" t="str">
        <f ca="1"/>
        <v>CZECH NEWS CENTER a. s.</v>
      </c>
      <c r="C309" s="3" t="str">
        <f ca="1">IFERROR(__xludf.DUMMYFUNCTION("""COMPUTED_VALUE"""),"CNC IT &amp; mobile &amp; digital pack")</f>
        <v>CNC IT &amp; mobile &amp; digital pack</v>
      </c>
      <c r="D309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09" s="3" t="str">
        <f ca="1">IFERROR(__xludf.DUMMYFUNCTION("""COMPUTED_VALUE"""),"celý web")</f>
        <v>celý web</v>
      </c>
      <c r="F309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09" s="3" t="str">
        <f ca="1">IFERROR(__xludf.DUMMYFUNCTION("""COMPUTED_VALUE"""),"cílený branding mid season")</f>
        <v>cílený branding mid season</v>
      </c>
      <c r="H309" s="3">
        <f ca="1">IFERROR(__xludf.DUMMYFUNCTION("""COMPUTED_VALUE"""),7)</f>
        <v>7</v>
      </c>
      <c r="I309" s="5">
        <f ca="1">IFERROR(__xludf.DUMMYFUNCTION("""COMPUTED_VALUE"""),1000)</f>
        <v>1000</v>
      </c>
      <c r="J309" s="5">
        <f ca="1">IFERROR(__xludf.DUMMYFUNCTION("""COMPUTED_VALUE"""),672)</f>
        <v>672</v>
      </c>
      <c r="K309" s="3"/>
      <c r="L309" s="3" t="str">
        <f ca="1">IFERROR(__xludf.DUMMYFUNCTION("""COMPUTED_VALUE"""),"Cost per period")</f>
        <v>Cost per period</v>
      </c>
      <c r="M309" s="3"/>
      <c r="N309" s="3"/>
      <c r="O309" s="3" t="str">
        <f ca="1">IFERROR(__xludf.DUMMYFUNCTION("""COMPUTED_VALUE"""),"2000")</f>
        <v>2000</v>
      </c>
      <c r="P309" s="3" t="str">
        <f ca="1">IFERROR(__xludf.DUMMYFUNCTION("""COMPUTED_VALUE"""),"1400")</f>
        <v>1400</v>
      </c>
      <c r="Q309" s="3" t="str">
        <f ca="1">IFERROR(__xludf.DUMMYFUNCTION("""COMPUTED_VALUE"""),"2000x1400")</f>
        <v>2000x1400</v>
      </c>
      <c r="R309" s="3"/>
      <c r="S309" s="3" t="str">
        <f ca="1">IFERROR(__xludf.DUMMYFUNCTION("""COMPUTED_VALUE"""),"500 + 200 (600+200 HTML5)")</f>
        <v>500 + 200 (600+200 HTML5)</v>
      </c>
      <c r="T309" s="3"/>
      <c r="U309" s="3" t="str">
        <f ca="1">IFERROR(__xludf.DUMMYFUNCTION("""COMPUTED_VALUE"""),"banner standard")</f>
        <v>banner standard</v>
      </c>
      <c r="V309" s="3"/>
      <c r="W309" s="4" t="str">
        <f ca="1">IFERROR(__xludf.DUMMYFUNCTION("""COMPUTED_VALUE"""),"https://reklama.cncenter.cz/Online/branding")</f>
        <v>https://reklama.cncenter.cz/Online/branding</v>
      </c>
      <c r="X309" s="3"/>
      <c r="Y309" s="3"/>
      <c r="Z309" s="3" t="str">
        <f ca="1">IFERROR(__xludf.DUMMYFUNCTION("""COMPUTED_VALUE"""),"podklady@cncenter.cz")</f>
        <v>podklady@cncenter.cz</v>
      </c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 t="str">
        <f ca="1">IFERROR(__xludf.DUMMYFUNCTION("""COMPUTED_VALUE"""),"desktop")</f>
        <v>desktop</v>
      </c>
      <c r="AO309" s="3"/>
      <c r="AP309" s="3"/>
      <c r="AQ309" s="3"/>
      <c r="AR309" s="3"/>
      <c r="AS309" s="3"/>
      <c r="AT309" s="3"/>
      <c r="AU309" s="3" t="str">
        <f ca="1">IFERROR(__xludf.DUMMYFUNCTION("""COMPUTED_VALUE"""),"cílený branding")</f>
        <v>cílený branding</v>
      </c>
    </row>
    <row r="310" spans="1:47" x14ac:dyDescent="0.3">
      <c r="A310" s="3">
        <f ca="1"/>
        <v>2346826</v>
      </c>
      <c r="B310" s="3" t="str">
        <f ca="1"/>
        <v>CZECH NEWS CENTER a. s.</v>
      </c>
      <c r="C310" s="3" t="str">
        <f ca="1">IFERROR(__xludf.DUMMYFUNCTION("""COMPUTED_VALUE"""),"CNC IT &amp; mobile &amp; digital pack")</f>
        <v>CNC IT &amp; mobile &amp; digital pack</v>
      </c>
      <c r="D310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0" s="3" t="str">
        <f ca="1">IFERROR(__xludf.DUMMYFUNCTION("""COMPUTED_VALUE"""),"celý web")</f>
        <v>celý web</v>
      </c>
      <c r="F310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0" s="3" t="str">
        <f ca="1">IFERROR(__xludf.DUMMYFUNCTION("""COMPUTED_VALUE"""),"cílený double skyscraper mid season")</f>
        <v>cílený double skyscraper mid season</v>
      </c>
      <c r="H310" s="3">
        <f ca="1">IFERROR(__xludf.DUMMYFUNCTION("""COMPUTED_VALUE"""),7)</f>
        <v>7</v>
      </c>
      <c r="I310" s="5">
        <f ca="1">IFERROR(__xludf.DUMMYFUNCTION("""COMPUTED_VALUE"""),1000)</f>
        <v>1000</v>
      </c>
      <c r="J310" s="5">
        <f ca="1">IFERROR(__xludf.DUMMYFUNCTION("""COMPUTED_VALUE"""),252)</f>
        <v>252</v>
      </c>
      <c r="K310" s="3"/>
      <c r="L310" s="3" t="str">
        <f ca="1">IFERROR(__xludf.DUMMYFUNCTION("""COMPUTED_VALUE"""),"Cost per period")</f>
        <v>Cost per period</v>
      </c>
      <c r="M310" s="3"/>
      <c r="N310" s="3"/>
      <c r="O310" s="3" t="str">
        <f ca="1">IFERROR(__xludf.DUMMYFUNCTION("""COMPUTED_VALUE"""),"300")</f>
        <v>300</v>
      </c>
      <c r="P310" s="3" t="str">
        <f ca="1">IFERROR(__xludf.DUMMYFUNCTION("""COMPUTED_VALUE"""),"600")</f>
        <v>600</v>
      </c>
      <c r="Q310" s="3" t="str">
        <f ca="1">IFERROR(__xludf.DUMMYFUNCTION("""COMPUTED_VALUE"""),"300x600")</f>
        <v>300x600</v>
      </c>
      <c r="R310" s="3"/>
      <c r="S310" s="3" t="str">
        <f ca="1">IFERROR(__xludf.DUMMYFUNCTION("""COMPUTED_VALUE"""),"100 (200 - HTML5)")</f>
        <v>100 (200 - HTML5)</v>
      </c>
      <c r="T310" s="3"/>
      <c r="U310" s="3" t="str">
        <f ca="1">IFERROR(__xludf.DUMMYFUNCTION("""COMPUTED_VALUE"""),"banner standard")</f>
        <v>banner standard</v>
      </c>
      <c r="V310" s="3"/>
      <c r="W310" s="4" t="str">
        <f ca="1">IFERROR(__xludf.DUMMYFUNCTION("""COMPUTED_VALUE"""),"https://reklama.cncenter.cz/Online/double-skyscraper")</f>
        <v>https://reklama.cncenter.cz/Online/double-skyscraper</v>
      </c>
      <c r="X310" s="3"/>
      <c r="Y310" s="3"/>
      <c r="Z310" s="3" t="str">
        <f ca="1">IFERROR(__xludf.DUMMYFUNCTION("""COMPUTED_VALUE"""),"podklady@cncenter.cz")</f>
        <v>podklady@cncenter.cz</v>
      </c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 t="str">
        <f ca="1">IFERROR(__xludf.DUMMYFUNCTION("""COMPUTED_VALUE"""),"desktop")</f>
        <v>desktop</v>
      </c>
      <c r="AO310" s="3"/>
      <c r="AP310" s="3"/>
      <c r="AQ310" s="3"/>
      <c r="AR310" s="3"/>
      <c r="AS310" s="3"/>
      <c r="AT310" s="3"/>
      <c r="AU310" s="3" t="str">
        <f ca="1">IFERROR(__xludf.DUMMYFUNCTION("""COMPUTED_VALUE"""),"cílený double skyscraper")</f>
        <v>cílený double skyscraper</v>
      </c>
    </row>
    <row r="311" spans="1:47" x14ac:dyDescent="0.3">
      <c r="A311" s="3">
        <f ca="1"/>
        <v>2346826</v>
      </c>
      <c r="B311" s="3" t="str">
        <f ca="1"/>
        <v>CZECH NEWS CENTER a. s.</v>
      </c>
      <c r="C311" s="3" t="str">
        <f ca="1">IFERROR(__xludf.DUMMYFUNCTION("""COMPUTED_VALUE"""),"CNC IT &amp; mobile &amp; digital pack")</f>
        <v>CNC IT &amp; mobile &amp; digital pack</v>
      </c>
      <c r="D311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1" s="3" t="str">
        <f ca="1">IFERROR(__xludf.DUMMYFUNCTION("""COMPUTED_VALUE"""),"celý web")</f>
        <v>celý web</v>
      </c>
      <c r="F311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1" s="3" t="str">
        <f ca="1">IFERROR(__xludf.DUMMYFUNCTION("""COMPUTED_VALUE"""),"cílený mobilní interscroller mid season")</f>
        <v>cílený mobilní interscroller mid season</v>
      </c>
      <c r="H311" s="3">
        <f ca="1">IFERROR(__xludf.DUMMYFUNCTION("""COMPUTED_VALUE"""),7)</f>
        <v>7</v>
      </c>
      <c r="I311" s="5">
        <f ca="1">IFERROR(__xludf.DUMMYFUNCTION("""COMPUTED_VALUE"""),1000)</f>
        <v>1000</v>
      </c>
      <c r="J311" s="5">
        <f ca="1">IFERROR(__xludf.DUMMYFUNCTION("""COMPUTED_VALUE"""),336)</f>
        <v>336</v>
      </c>
      <c r="K311" s="3"/>
      <c r="L311" s="3" t="str">
        <f ca="1">IFERROR(__xludf.DUMMYFUNCTION("""COMPUTED_VALUE"""),"Cost per period")</f>
        <v>Cost per period</v>
      </c>
      <c r="M311" s="3"/>
      <c r="N311" s="3"/>
      <c r="O311" s="3" t="str">
        <f ca="1">IFERROR(__xludf.DUMMYFUNCTION("""COMPUTED_VALUE"""),"600")</f>
        <v>600</v>
      </c>
      <c r="P311" s="3" t="str">
        <f ca="1">IFERROR(__xludf.DUMMYFUNCTION("""COMPUTED_VALUE"""),"1080")</f>
        <v>1080</v>
      </c>
      <c r="Q311" s="3" t="str">
        <f ca="1">IFERROR(__xludf.DUMMYFUNCTION("""COMPUTED_VALUE"""),"600x1080")</f>
        <v>600x1080</v>
      </c>
      <c r="R311" s="3"/>
      <c r="S311" s="3" t="str">
        <f ca="1">IFERROR(__xludf.DUMMYFUNCTION("""COMPUTED_VALUE"""),"200")</f>
        <v>200</v>
      </c>
      <c r="T311" s="3"/>
      <c r="U311" s="3" t="str">
        <f ca="1">IFERROR(__xludf.DUMMYFUNCTION("""COMPUTED_VALUE"""),"banner standard")</f>
        <v>banner standard</v>
      </c>
      <c r="V311" s="3"/>
      <c r="W311" s="4" t="str">
        <f ca="1">IFERROR(__xludf.DUMMYFUNCTION("""COMPUTED_VALUE"""),"https://reklama.cncenter.cz/Online/mobilni-interscroller")</f>
        <v>https://reklama.cncenter.cz/Online/mobilni-interscroller</v>
      </c>
      <c r="X311" s="3"/>
      <c r="Y311" s="3"/>
      <c r="Z311" s="3" t="str">
        <f ca="1">IFERROR(__xludf.DUMMYFUNCTION("""COMPUTED_VALUE"""),"podklady@cncenter.cz")</f>
        <v>podklady@cncenter.cz</v>
      </c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 t="str">
        <f ca="1">IFERROR(__xludf.DUMMYFUNCTION("""COMPUTED_VALUE"""),"mobile")</f>
        <v>mobile</v>
      </c>
      <c r="AO311" s="3"/>
      <c r="AP311" s="3"/>
      <c r="AQ311" s="3"/>
      <c r="AR311" s="3"/>
      <c r="AS311" s="3"/>
      <c r="AT311" s="3"/>
      <c r="AU311" s="3" t="str">
        <f ca="1">IFERROR(__xludf.DUMMYFUNCTION("""COMPUTED_VALUE"""),"cílený mobilní interscroller")</f>
        <v>cílený mobilní interscroller</v>
      </c>
    </row>
    <row r="312" spans="1:47" x14ac:dyDescent="0.3">
      <c r="A312" s="3">
        <f ca="1"/>
        <v>2346826</v>
      </c>
      <c r="B312" s="3" t="str">
        <f ca="1"/>
        <v>CZECH NEWS CENTER a. s.</v>
      </c>
      <c r="C312" s="3" t="str">
        <f ca="1">IFERROR(__xludf.DUMMYFUNCTION("""COMPUTED_VALUE"""),"CNC IT &amp; mobile &amp; digital pack")</f>
        <v>CNC IT &amp; mobile &amp; digital pack</v>
      </c>
      <c r="D312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2" s="3" t="str">
        <f ca="1">IFERROR(__xludf.DUMMYFUNCTION("""COMPUTED_VALUE"""),"celý web")</f>
        <v>celý web</v>
      </c>
      <c r="F312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2" s="3" t="str">
        <f ca="1">IFERROR(__xludf.DUMMYFUNCTION("""COMPUTED_VALUE"""),"cílený mobilní slide-up mid season")</f>
        <v>cílený mobilní slide-up mid season</v>
      </c>
      <c r="H312" s="3">
        <f ca="1">IFERROR(__xludf.DUMMYFUNCTION("""COMPUTED_VALUE"""),7)</f>
        <v>7</v>
      </c>
      <c r="I312" s="5">
        <f ca="1">IFERROR(__xludf.DUMMYFUNCTION("""COMPUTED_VALUE"""),1000)</f>
        <v>1000</v>
      </c>
      <c r="J312" s="5">
        <f ca="1">IFERROR(__xludf.DUMMYFUNCTION("""COMPUTED_VALUE"""),672)</f>
        <v>672</v>
      </c>
      <c r="K312" s="3"/>
      <c r="L312" s="3" t="str">
        <f ca="1">IFERROR(__xludf.DUMMYFUNCTION("""COMPUTED_VALUE"""),"Cost per period")</f>
        <v>Cost per period</v>
      </c>
      <c r="M312" s="3"/>
      <c r="N312" s="3"/>
      <c r="O312" s="3" t="str">
        <f ca="1">IFERROR(__xludf.DUMMYFUNCTION("""COMPUTED_VALUE"""),"300")</f>
        <v>300</v>
      </c>
      <c r="P312" s="3" t="str">
        <f ca="1">IFERROR(__xludf.DUMMYFUNCTION("""COMPUTED_VALUE"""),"120")</f>
        <v>120</v>
      </c>
      <c r="Q312" s="3" t="str">
        <f ca="1">IFERROR(__xludf.DUMMYFUNCTION("""COMPUTED_VALUE"""),"300x120")</f>
        <v>300x120</v>
      </c>
      <c r="R312" s="3"/>
      <c r="S312" s="3" t="str">
        <f ca="1">IFERROR(__xludf.DUMMYFUNCTION("""COMPUTED_VALUE"""),"100")</f>
        <v>100</v>
      </c>
      <c r="T312" s="3"/>
      <c r="U312" s="3" t="str">
        <f ca="1">IFERROR(__xludf.DUMMYFUNCTION("""COMPUTED_VALUE"""),"banner standard")</f>
        <v>banner standard</v>
      </c>
      <c r="V312" s="3"/>
      <c r="W312" s="4" t="str">
        <f ca="1">IFERROR(__xludf.DUMMYFUNCTION("""COMPUTED_VALUE"""),"https://reklama.cncenter.cz/Online/mobilni-slide-up")</f>
        <v>https://reklama.cncenter.cz/Online/mobilni-slide-up</v>
      </c>
      <c r="X312" s="3"/>
      <c r="Y312" s="3"/>
      <c r="Z312" s="3" t="str">
        <f ca="1">IFERROR(__xludf.DUMMYFUNCTION("""COMPUTED_VALUE"""),"podklady@cncenter.cz")</f>
        <v>podklady@cncenter.cz</v>
      </c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 t="str">
        <f ca="1">IFERROR(__xludf.DUMMYFUNCTION("""COMPUTED_VALUE"""),"mobile")</f>
        <v>mobile</v>
      </c>
      <c r="AO312" s="3"/>
      <c r="AP312" s="3"/>
      <c r="AQ312" s="3"/>
      <c r="AR312" s="3"/>
      <c r="AS312" s="3"/>
      <c r="AT312" s="3"/>
      <c r="AU312" s="3" t="str">
        <f ca="1">IFERROR(__xludf.DUMMYFUNCTION("""COMPUTED_VALUE"""),"cílený mobilní slide-up")</f>
        <v>cílený mobilní slide-up</v>
      </c>
    </row>
    <row r="313" spans="1:47" x14ac:dyDescent="0.3">
      <c r="A313" s="3">
        <f ca="1"/>
        <v>2346826</v>
      </c>
      <c r="B313" s="3" t="str">
        <f ca="1"/>
        <v>CZECH NEWS CENTER a. s.</v>
      </c>
      <c r="C313" s="3" t="str">
        <f ca="1">IFERROR(__xludf.DUMMYFUNCTION("""COMPUTED_VALUE"""),"CNC IT &amp; mobile &amp; digital pack")</f>
        <v>CNC IT &amp; mobile &amp; digital pack</v>
      </c>
      <c r="D313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3" s="3" t="str">
        <f ca="1">IFERROR(__xludf.DUMMYFUNCTION("""COMPUTED_VALUE"""),"celý web")</f>
        <v>celý web</v>
      </c>
      <c r="F313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3" s="3" t="str">
        <f ca="1">IFERROR(__xludf.DUMMYFUNCTION("""COMPUTED_VALUE"""),"cílený mobilní viněta mid season")</f>
        <v>cílený mobilní viněta mid season</v>
      </c>
      <c r="H313" s="3">
        <f ca="1">IFERROR(__xludf.DUMMYFUNCTION("""COMPUTED_VALUE"""),7)</f>
        <v>7</v>
      </c>
      <c r="I313" s="5">
        <f ca="1">IFERROR(__xludf.DUMMYFUNCTION("""COMPUTED_VALUE"""),1000)</f>
        <v>1000</v>
      </c>
      <c r="J313" s="5">
        <f ca="1">IFERROR(__xludf.DUMMYFUNCTION("""COMPUTED_VALUE"""),948)</f>
        <v>948</v>
      </c>
      <c r="K313" s="3"/>
      <c r="L313" s="3" t="str">
        <f ca="1">IFERROR(__xludf.DUMMYFUNCTION("""COMPUTED_VALUE"""),"Cost per period")</f>
        <v>Cost per period</v>
      </c>
      <c r="M313" s="3"/>
      <c r="N313" s="3"/>
      <c r="O313" s="3" t="str">
        <f ca="1">IFERROR(__xludf.DUMMYFUNCTION("""COMPUTED_VALUE"""),"600")</f>
        <v>600</v>
      </c>
      <c r="P313" s="3" t="str">
        <f ca="1">IFERROR(__xludf.DUMMYFUNCTION("""COMPUTED_VALUE"""),"800")</f>
        <v>800</v>
      </c>
      <c r="Q313" s="3" t="str">
        <f ca="1">IFERROR(__xludf.DUMMYFUNCTION("""COMPUTED_VALUE"""),"300x250 nebo 600x800")</f>
        <v>300x250 nebo 600x800</v>
      </c>
      <c r="R313" s="3"/>
      <c r="S313" s="3" t="str">
        <f ca="1">IFERROR(__xludf.DUMMYFUNCTION("""COMPUTED_VALUE"""),"100")</f>
        <v>100</v>
      </c>
      <c r="T313" s="3"/>
      <c r="U313" s="3" t="str">
        <f ca="1">IFERROR(__xludf.DUMMYFUNCTION("""COMPUTED_VALUE"""),"banner standard")</f>
        <v>banner standard</v>
      </c>
      <c r="V313" s="3"/>
      <c r="W313" s="4" t="str">
        <f ca="1">IFERROR(__xludf.DUMMYFUNCTION("""COMPUTED_VALUE"""),"https://reklama.cncenter.cz/Online/mobilni-vineta")</f>
        <v>https://reklama.cncenter.cz/Online/mobilni-vineta</v>
      </c>
      <c r="X313" s="3"/>
      <c r="Y313" s="3"/>
      <c r="Z313" s="3" t="str">
        <f ca="1">IFERROR(__xludf.DUMMYFUNCTION("""COMPUTED_VALUE"""),"podklady@cncenter.cz")</f>
        <v>podklady@cncenter.cz</v>
      </c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 t="str">
        <f ca="1">IFERROR(__xludf.DUMMYFUNCTION("""COMPUTED_VALUE"""),"mobile")</f>
        <v>mobile</v>
      </c>
      <c r="AO313" s="3"/>
      <c r="AP313" s="3"/>
      <c r="AQ313" s="3"/>
      <c r="AR313" s="3"/>
      <c r="AS313" s="3"/>
      <c r="AT313" s="3"/>
      <c r="AU313" s="3" t="str">
        <f ca="1">IFERROR(__xludf.DUMMYFUNCTION("""COMPUTED_VALUE"""),"cílený mobilní viněta")</f>
        <v>cílený mobilní viněta</v>
      </c>
    </row>
    <row r="314" spans="1:47" x14ac:dyDescent="0.3">
      <c r="A314" s="3">
        <f ca="1"/>
        <v>2346826</v>
      </c>
      <c r="B314" s="3" t="str">
        <f ca="1"/>
        <v>CZECH NEWS CENTER a. s.</v>
      </c>
      <c r="C314" s="3" t="str">
        <f ca="1">IFERROR(__xludf.DUMMYFUNCTION("""COMPUTED_VALUE"""),"CNC IT &amp; mobile &amp; digital pack")</f>
        <v>CNC IT &amp; mobile &amp; digital pack</v>
      </c>
      <c r="D314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4" s="3" t="str">
        <f ca="1">IFERROR(__xludf.DUMMYFUNCTION("""COMPUTED_VALUE"""),"celý web")</f>
        <v>celý web</v>
      </c>
      <c r="F314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4" s="3" t="str">
        <f ca="1">IFERROR(__xludf.DUMMYFUNCTION("""COMPUTED_VALUE"""),"cílený nativní rectangle cross-device mid season")</f>
        <v>cílený nativní rectangle cross-device mid season</v>
      </c>
      <c r="H314" s="3">
        <f ca="1">IFERROR(__xludf.DUMMYFUNCTION("""COMPUTED_VALUE"""),7)</f>
        <v>7</v>
      </c>
      <c r="I314" s="5">
        <f ca="1">IFERROR(__xludf.DUMMYFUNCTION("""COMPUTED_VALUE"""),1000)</f>
        <v>1000</v>
      </c>
      <c r="J314" s="5">
        <f ca="1">IFERROR(__xludf.DUMMYFUNCTION("""COMPUTED_VALUE"""),252)</f>
        <v>252</v>
      </c>
      <c r="K314" s="3"/>
      <c r="L314" s="3" t="str">
        <f ca="1">IFERROR(__xludf.DUMMYFUNCTION("""COMPUTED_VALUE"""),"Cost per period")</f>
        <v>Cost per period</v>
      </c>
      <c r="M314" s="3"/>
      <c r="N314" s="3"/>
      <c r="O314" s="3" t="str">
        <f ca="1">IFERROR(__xludf.DUMMYFUNCTION("""COMPUTED_VALUE"""),"640")</f>
        <v>640</v>
      </c>
      <c r="P314" s="3" t="str">
        <f ca="1">IFERROR(__xludf.DUMMYFUNCTION("""COMPUTED_VALUE"""),"335, 640")</f>
        <v>335, 640</v>
      </c>
      <c r="Q314" s="3" t="str">
        <f ca="1">IFERROR(__xludf.DUMMYFUNCTION("""COMPUTED_VALUE"""),"640x640 a 640x335 + text + logo")</f>
        <v>640x640 a 640x335 + text + logo</v>
      </c>
      <c r="R314" s="3"/>
      <c r="S314" s="3" t="str">
        <f ca="1">IFERROR(__xludf.DUMMYFUNCTION("""COMPUTED_VALUE"""),"45")</f>
        <v>45</v>
      </c>
      <c r="T314" s="3"/>
      <c r="U314" s="3" t="str">
        <f ca="1">IFERROR(__xludf.DUMMYFUNCTION("""COMPUTED_VALUE"""),"nativní reklama")</f>
        <v>nativní reklama</v>
      </c>
      <c r="V314" s="3"/>
      <c r="W314" s="4" t="str">
        <f ca="1">IFERROR(__xludf.DUMMYFUNCTION("""COMPUTED_VALUE"""),"https://reklama.cncenter.cz/Online/nativni-rectangle-cross-device")</f>
        <v>https://reklama.cncenter.cz/Online/nativni-rectangle-cross-device</v>
      </c>
      <c r="X314" s="3"/>
      <c r="Y314" s="3"/>
      <c r="Z314" s="3" t="str">
        <f ca="1">IFERROR(__xludf.DUMMYFUNCTION("""COMPUTED_VALUE"""),"podklady@cncenter.cz")</f>
        <v>podklady@cncenter.cz</v>
      </c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 t="str">
        <f ca="1">IFERROR(__xludf.DUMMYFUNCTION("""COMPUTED_VALUE"""),"cross-device")</f>
        <v>cross-device</v>
      </c>
      <c r="AO314" s="3"/>
      <c r="AP314" s="3"/>
      <c r="AQ314" s="3"/>
      <c r="AR314" s="3"/>
      <c r="AS314" s="3"/>
      <c r="AT314" s="3"/>
      <c r="AU314" s="3" t="str">
        <f ca="1">IFERROR(__xludf.DUMMYFUNCTION("""COMPUTED_VALUE"""),"cílený nativní rectangle cross-device")</f>
        <v>cílený nativní rectangle cross-device</v>
      </c>
    </row>
    <row r="315" spans="1:47" x14ac:dyDescent="0.3">
      <c r="A315" s="3">
        <f ca="1"/>
        <v>2346826</v>
      </c>
      <c r="B315" s="3" t="str">
        <f ca="1"/>
        <v>CZECH NEWS CENTER a. s.</v>
      </c>
      <c r="C315" s="3" t="str">
        <f ca="1">IFERROR(__xludf.DUMMYFUNCTION("""COMPUTED_VALUE"""),"CNC IT &amp; mobile &amp; digital pack")</f>
        <v>CNC IT &amp; mobile &amp; digital pack</v>
      </c>
      <c r="D315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5" s="3" t="str">
        <f ca="1">IFERROR(__xludf.DUMMYFUNCTION("""COMPUTED_VALUE"""),"celý web")</f>
        <v>celý web</v>
      </c>
      <c r="F315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5" s="3" t="str">
        <f ca="1">IFERROR(__xludf.DUMMYFUNCTION("""COMPUTED_VALUE"""),"cílený outstream mid season")</f>
        <v>cílený outstream mid season</v>
      </c>
      <c r="H315" s="3">
        <f ca="1">IFERROR(__xludf.DUMMYFUNCTION("""COMPUTED_VALUE"""),7)</f>
        <v>7</v>
      </c>
      <c r="I315" s="5">
        <f ca="1">IFERROR(__xludf.DUMMYFUNCTION("""COMPUTED_VALUE"""),1000)</f>
        <v>1000</v>
      </c>
      <c r="J315" s="5">
        <f ca="1">IFERROR(__xludf.DUMMYFUNCTION("""COMPUTED_VALUE"""),396)</f>
        <v>396</v>
      </c>
      <c r="K315" s="3"/>
      <c r="L315" s="3" t="str">
        <f ca="1">IFERROR(__xludf.DUMMYFUNCTION("""COMPUTED_VALUE"""),"Cost per period")</f>
        <v>Cost per period</v>
      </c>
      <c r="M315" s="3"/>
      <c r="N315" s="3"/>
      <c r="O315" s="3" t="str">
        <f ca="1">IFERROR(__xludf.DUMMYFUNCTION("""COMPUTED_VALUE"""),"1280")</f>
        <v>1280</v>
      </c>
      <c r="P315" s="3" t="str">
        <f ca="1">IFERROR(__xludf.DUMMYFUNCTION("""COMPUTED_VALUE"""),"720")</f>
        <v>720</v>
      </c>
      <c r="Q315" s="3" t="str">
        <f ca="1">IFERROR(__xludf.DUMMYFUNCTION("""COMPUTED_VALUE"""),"16:9")</f>
        <v>16:9</v>
      </c>
      <c r="R315" s="3"/>
      <c r="S315" s="3" t="str">
        <f ca="1">IFERROR(__xludf.DUMMYFUNCTION("""COMPUTED_VALUE"""),"100")</f>
        <v>100</v>
      </c>
      <c r="T315" s="3"/>
      <c r="U315" s="3" t="str">
        <f ca="1">IFERROR(__xludf.DUMMYFUNCTION("""COMPUTED_VALUE"""),"videospot")</f>
        <v>videospot</v>
      </c>
      <c r="V315" s="3"/>
      <c r="W315" s="4" t="str">
        <f ca="1">IFERROR(__xludf.DUMMYFUNCTION("""COMPUTED_VALUE"""),"https://reklama.cncenter.cz/Online/Outstream")</f>
        <v>https://reklama.cncenter.cz/Online/Outstream</v>
      </c>
      <c r="X315" s="3"/>
      <c r="Y315" s="3"/>
      <c r="Z315" s="3" t="str">
        <f ca="1">IFERROR(__xludf.DUMMYFUNCTION("""COMPUTED_VALUE"""),"podklady@cncenter.cz")</f>
        <v>podklady@cncenter.cz</v>
      </c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 t="str">
        <f ca="1">IFERROR(__xludf.DUMMYFUNCTION("""COMPUTED_VALUE"""),"cross-device")</f>
        <v>cross-device</v>
      </c>
      <c r="AO315" s="3"/>
      <c r="AP315" s="3"/>
      <c r="AQ315" s="3"/>
      <c r="AR315" s="3"/>
      <c r="AS315" s="3"/>
      <c r="AT315" s="3"/>
      <c r="AU315" s="3" t="str">
        <f ca="1">IFERROR(__xludf.DUMMYFUNCTION("""COMPUTED_VALUE"""),"cílený outstream")</f>
        <v>cílený outstream</v>
      </c>
    </row>
    <row r="316" spans="1:47" x14ac:dyDescent="0.3">
      <c r="A316" s="3">
        <f ca="1"/>
        <v>2346826</v>
      </c>
      <c r="B316" s="3" t="str">
        <f ca="1"/>
        <v>CZECH NEWS CENTER a. s.</v>
      </c>
      <c r="C316" s="3" t="str">
        <f ca="1">IFERROR(__xludf.DUMMYFUNCTION("""COMPUTED_VALUE"""),"CNC IT &amp; mobile &amp; digital pack")</f>
        <v>CNC IT &amp; mobile &amp; digital pack</v>
      </c>
      <c r="D316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6" s="3" t="str">
        <f ca="1">IFERROR(__xludf.DUMMYFUNCTION("""COMPUTED_VALUE"""),"celý web")</f>
        <v>celý web</v>
      </c>
      <c r="F316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6" s="3" t="str">
        <f ca="1">IFERROR(__xludf.DUMMYFUNCTION("""COMPUTED_VALUE"""),"cílený Smarticle mid season")</f>
        <v>cílený Smarticle mid season</v>
      </c>
      <c r="H316" s="3">
        <f ca="1">IFERROR(__xludf.DUMMYFUNCTION("""COMPUTED_VALUE"""),7)</f>
        <v>7</v>
      </c>
      <c r="I316" s="5">
        <f ca="1">IFERROR(__xludf.DUMMYFUNCTION("""COMPUTED_VALUE"""),1000)</f>
        <v>1000</v>
      </c>
      <c r="J316" s="5">
        <f ca="1">IFERROR(__xludf.DUMMYFUNCTION("""COMPUTED_VALUE"""),240)</f>
        <v>240</v>
      </c>
      <c r="K316" s="3"/>
      <c r="L316" s="3" t="str">
        <f ca="1">IFERROR(__xludf.DUMMYFUNCTION("""COMPUTED_VALUE"""),"Cost per period")</f>
        <v>Cost per period</v>
      </c>
      <c r="M316" s="3"/>
      <c r="N316" s="3" t="str">
        <f ca="1">IFERROR(__xludf.DUMMYFUNCTION("""COMPUTED_VALUE"""),"A4")</f>
        <v>A4</v>
      </c>
      <c r="O316" s="3"/>
      <c r="P316" s="3"/>
      <c r="Q316" s="3" t="str">
        <f ca="1">IFERROR(__xludf.DUMMYFUNCTION("""COMPUTED_VALUE"""),"viz. tech.specifikace; HP + sekce")</f>
        <v>viz. tech.specifikace; HP + sekce</v>
      </c>
      <c r="R316" s="3" t="str">
        <f ca="1">IFERROR(__xludf.DUMMYFUNCTION("""COMPUTED_VALUE"""),"HP + sekce")</f>
        <v>HP + sekce</v>
      </c>
      <c r="S316" s="3" t="str">
        <f ca="1">IFERROR(__xludf.DUMMYFUNCTION("""COMPUTED_VALUE"""),"100")</f>
        <v>100</v>
      </c>
      <c r="T316" s="3"/>
      <c r="U316" s="3" t="str">
        <f ca="1">IFERROR(__xludf.DUMMYFUNCTION("""COMPUTED_VALUE"""),"pr článek")</f>
        <v>pr článek</v>
      </c>
      <c r="V316" s="3"/>
      <c r="W316" s="4" t="str">
        <f ca="1">IFERROR(__xludf.DUMMYFUNCTION("""COMPUTED_VALUE"""),"https://reklama.cncenter.cz/Online/Smarticle")</f>
        <v>https://reklama.cncenter.cz/Online/Smarticle</v>
      </c>
      <c r="X316" s="3"/>
      <c r="Y316" s="3"/>
      <c r="Z316" s="3" t="str">
        <f ca="1">IFERROR(__xludf.DUMMYFUNCTION("""COMPUTED_VALUE"""),"podklady@cncenter.cz")</f>
        <v>podklady@cncenter.cz</v>
      </c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 t="str">
        <f ca="1">IFERROR(__xludf.DUMMYFUNCTION("""COMPUTED_VALUE"""),"cross-device")</f>
        <v>cross-device</v>
      </c>
      <c r="AO316" s="3"/>
      <c r="AP316" s="3"/>
      <c r="AQ316" s="3"/>
      <c r="AR316" s="3"/>
      <c r="AS316" s="3"/>
      <c r="AT316" s="3"/>
      <c r="AU316" s="3" t="str">
        <f ca="1">IFERROR(__xludf.DUMMYFUNCTION("""COMPUTED_VALUE"""),"cílený Smarticle")</f>
        <v>cílený Smarticle</v>
      </c>
    </row>
    <row r="317" spans="1:47" x14ac:dyDescent="0.3">
      <c r="A317" s="3">
        <f ca="1"/>
        <v>2346826</v>
      </c>
      <c r="B317" s="3" t="str">
        <f ca="1"/>
        <v>CZECH NEWS CENTER a. s.</v>
      </c>
      <c r="C317" s="3" t="str">
        <f ca="1">IFERROR(__xludf.DUMMYFUNCTION("""COMPUTED_VALUE"""),"CNC IT &amp; mobile &amp; digital pack")</f>
        <v>CNC IT &amp; mobile &amp; digital pack</v>
      </c>
      <c r="D317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7" s="3" t="str">
        <f ca="1">IFERROR(__xludf.DUMMYFUNCTION("""COMPUTED_VALUE"""),"celý web")</f>
        <v>celý web</v>
      </c>
      <c r="F317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7" s="3" t="str">
        <f ca="1">IFERROR(__xludf.DUMMYFUNCTION("""COMPUTED_VALUE"""),"cílený videospot - max. 30 sec. / bumper mid season")</f>
        <v>cílený videospot - max. 30 sec. / bumper mid season</v>
      </c>
      <c r="H317" s="3">
        <f ca="1">IFERROR(__xludf.DUMMYFUNCTION("""COMPUTED_VALUE"""),7)</f>
        <v>7</v>
      </c>
      <c r="I317" s="5">
        <f ca="1">IFERROR(__xludf.DUMMYFUNCTION("""COMPUTED_VALUE"""),1000)</f>
        <v>1000</v>
      </c>
      <c r="J317" s="5">
        <f ca="1">IFERROR(__xludf.DUMMYFUNCTION("""COMPUTED_VALUE"""),1152)</f>
        <v>1152</v>
      </c>
      <c r="K317" s="3"/>
      <c r="L317" s="3" t="str">
        <f ca="1">IFERROR(__xludf.DUMMYFUNCTION("""COMPUTED_VALUE"""),"Cost per period")</f>
        <v>Cost per period</v>
      </c>
      <c r="M317" s="3"/>
      <c r="N317" s="3"/>
      <c r="O317" s="3" t="str">
        <f ca="1">IFERROR(__xludf.DUMMYFUNCTION("""COMPUTED_VALUE"""),"1280")</f>
        <v>1280</v>
      </c>
      <c r="P317" s="3" t="str">
        <f ca="1">IFERROR(__xludf.DUMMYFUNCTION("""COMPUTED_VALUE"""),"720")</f>
        <v>720</v>
      </c>
      <c r="Q317" s="3" t="str">
        <f ca="1">IFERROR(__xludf.DUMMYFUNCTION("""COMPUTED_VALUE"""),"16:9 / umístění po domluvě dle možností")</f>
        <v>16:9 / umístění po domluvě dle možností</v>
      </c>
      <c r="R317" s="3" t="str">
        <f ca="1">IFERROR(__xludf.DUMMYFUNCTION("""COMPUTED_VALUE"""),"přeskočení po 7 sekundách")</f>
        <v>přeskočení po 7 sekundách</v>
      </c>
      <c r="S317" s="3" t="str">
        <f ca="1">IFERROR(__xludf.DUMMYFUNCTION("""COMPUTED_VALUE"""),"100")</f>
        <v>100</v>
      </c>
      <c r="T317" s="3"/>
      <c r="U317" s="3" t="str">
        <f ca="1">IFERROR(__xludf.DUMMYFUNCTION("""COMPUTED_VALUE"""),"videospot")</f>
        <v>videospot</v>
      </c>
      <c r="V317" s="3"/>
      <c r="W317" s="4" t="str">
        <f ca="1">IFERROR(__xludf.DUMMYFUNCTION("""COMPUTED_VALUE"""),"https://reklama.cncenter.cz/Online/Bumper")</f>
        <v>https://reklama.cncenter.cz/Online/Bumper</v>
      </c>
      <c r="X317" s="3"/>
      <c r="Y317" s="3"/>
      <c r="Z317" s="3" t="str">
        <f ca="1">IFERROR(__xludf.DUMMYFUNCTION("""COMPUTED_VALUE"""),"podklady@cncenter.cz")</f>
        <v>podklady@cncenter.cz</v>
      </c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 t="str">
        <f ca="1">IFERROR(__xludf.DUMMYFUNCTION("""COMPUTED_VALUE"""),"cross-device")</f>
        <v>cross-device</v>
      </c>
      <c r="AO317" s="3"/>
      <c r="AP317" s="3"/>
      <c r="AQ317" s="3"/>
      <c r="AR317" s="3"/>
      <c r="AS317" s="3"/>
      <c r="AT317" s="3"/>
      <c r="AU317" s="3" t="str">
        <f ca="1">IFERROR(__xludf.DUMMYFUNCTION("""COMPUTED_VALUE"""),"cílený videospot - max. 30 sec. / bumper")</f>
        <v>cílený videospot - max. 30 sec. / bumper</v>
      </c>
    </row>
    <row r="318" spans="1:47" x14ac:dyDescent="0.3">
      <c r="A318" s="3">
        <f ca="1"/>
        <v>2346826</v>
      </c>
      <c r="B318" s="3" t="str">
        <f ca="1"/>
        <v>CZECH NEWS CENTER a. s.</v>
      </c>
      <c r="C318" s="3" t="str">
        <f ca="1">IFERROR(__xludf.DUMMYFUNCTION("""COMPUTED_VALUE"""),"CNC IT &amp; mobile &amp; digital pack")</f>
        <v>CNC IT &amp; mobile &amp; digital pack</v>
      </c>
      <c r="D318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8" s="3" t="str">
        <f ca="1">IFERROR(__xludf.DUMMYFUNCTION("""COMPUTED_VALUE"""),"celý web")</f>
        <v>celý web</v>
      </c>
      <c r="F318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8" s="3" t="str">
        <f ca="1">IFERROR(__xludf.DUMMYFUNCTION("""COMPUTED_VALUE"""),"double skyscraper mid season")</f>
        <v>double skyscraper mid season</v>
      </c>
      <c r="H318" s="3">
        <f ca="1">IFERROR(__xludf.DUMMYFUNCTION("""COMPUTED_VALUE"""),7)</f>
        <v>7</v>
      </c>
      <c r="I318" s="5">
        <f ca="1">IFERROR(__xludf.DUMMYFUNCTION("""COMPUTED_VALUE"""),1000)</f>
        <v>1000</v>
      </c>
      <c r="J318" s="5">
        <f ca="1">IFERROR(__xludf.DUMMYFUNCTION("""COMPUTED_VALUE"""),210)</f>
        <v>210</v>
      </c>
      <c r="K318" s="3"/>
      <c r="L318" s="3" t="str">
        <f ca="1">IFERROR(__xludf.DUMMYFUNCTION("""COMPUTED_VALUE"""),"Cost per period")</f>
        <v>Cost per period</v>
      </c>
      <c r="M318" s="3"/>
      <c r="N318" s="3"/>
      <c r="O318" s="3" t="str">
        <f ca="1">IFERROR(__xludf.DUMMYFUNCTION("""COMPUTED_VALUE"""),"300")</f>
        <v>300</v>
      </c>
      <c r="P318" s="3" t="str">
        <f ca="1">IFERROR(__xludf.DUMMYFUNCTION("""COMPUTED_VALUE"""),"600")</f>
        <v>600</v>
      </c>
      <c r="Q318" s="3" t="str">
        <f ca="1">IFERROR(__xludf.DUMMYFUNCTION("""COMPUTED_VALUE"""),"300x600")</f>
        <v>300x600</v>
      </c>
      <c r="R318" s="3"/>
      <c r="S318" s="3" t="str">
        <f ca="1">IFERROR(__xludf.DUMMYFUNCTION("""COMPUTED_VALUE"""),"100 (200 - HTML5)")</f>
        <v>100 (200 - HTML5)</v>
      </c>
      <c r="T318" s="3"/>
      <c r="U318" s="3" t="str">
        <f ca="1">IFERROR(__xludf.DUMMYFUNCTION("""COMPUTED_VALUE"""),"banner standard")</f>
        <v>banner standard</v>
      </c>
      <c r="V318" s="3"/>
      <c r="W318" s="4" t="str">
        <f ca="1">IFERROR(__xludf.DUMMYFUNCTION("""COMPUTED_VALUE"""),"https://reklama.cncenter.cz/Online/double-skyscraper")</f>
        <v>https://reklama.cncenter.cz/Online/double-skyscraper</v>
      </c>
      <c r="X318" s="3"/>
      <c r="Y318" s="3"/>
      <c r="Z318" s="3" t="str">
        <f ca="1">IFERROR(__xludf.DUMMYFUNCTION("""COMPUTED_VALUE"""),"podklady@cncenter.cz")</f>
        <v>podklady@cncenter.cz</v>
      </c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 t="str">
        <f ca="1">IFERROR(__xludf.DUMMYFUNCTION("""COMPUTED_VALUE"""),"desktop")</f>
        <v>desktop</v>
      </c>
      <c r="AO318" s="3"/>
      <c r="AP318" s="3"/>
      <c r="AQ318" s="3"/>
      <c r="AR318" s="3"/>
      <c r="AS318" s="3"/>
      <c r="AT318" s="3"/>
      <c r="AU318" s="3" t="str">
        <f ca="1">IFERROR(__xludf.DUMMYFUNCTION("""COMPUTED_VALUE"""),"double skyscraper")</f>
        <v>double skyscraper</v>
      </c>
    </row>
    <row r="319" spans="1:47" x14ac:dyDescent="0.3">
      <c r="A319" s="3">
        <f ca="1"/>
        <v>2346826</v>
      </c>
      <c r="B319" s="3" t="str">
        <f ca="1"/>
        <v>CZECH NEWS CENTER a. s.</v>
      </c>
      <c r="C319" s="3" t="str">
        <f ca="1">IFERROR(__xludf.DUMMYFUNCTION("""COMPUTED_VALUE"""),"CNC IT &amp; mobile &amp; digital pack")</f>
        <v>CNC IT &amp; mobile &amp; digital pack</v>
      </c>
      <c r="D319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9" s="3" t="str">
        <f ca="1">IFERROR(__xludf.DUMMYFUNCTION("""COMPUTED_VALUE"""),"celý web")</f>
        <v>celý web</v>
      </c>
      <c r="F319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9" s="3" t="str">
        <f ca="1">IFERROR(__xludf.DUMMYFUNCTION("""COMPUTED_VALUE"""),"mobilní interscroller mid season")</f>
        <v>mobilní interscroller mid season</v>
      </c>
      <c r="H319" s="3">
        <f ca="1">IFERROR(__xludf.DUMMYFUNCTION("""COMPUTED_VALUE"""),7)</f>
        <v>7</v>
      </c>
      <c r="I319" s="5">
        <f ca="1">IFERROR(__xludf.DUMMYFUNCTION("""COMPUTED_VALUE"""),1000)</f>
        <v>1000</v>
      </c>
      <c r="J319" s="5">
        <f ca="1">IFERROR(__xludf.DUMMYFUNCTION("""COMPUTED_VALUE"""),280)</f>
        <v>280</v>
      </c>
      <c r="K319" s="3"/>
      <c r="L319" s="3" t="str">
        <f ca="1">IFERROR(__xludf.DUMMYFUNCTION("""COMPUTED_VALUE"""),"Cost per period")</f>
        <v>Cost per period</v>
      </c>
      <c r="M319" s="3"/>
      <c r="N319" s="3"/>
      <c r="O319" s="3" t="str">
        <f ca="1">IFERROR(__xludf.DUMMYFUNCTION("""COMPUTED_VALUE"""),"600")</f>
        <v>600</v>
      </c>
      <c r="P319" s="3" t="str">
        <f ca="1">IFERROR(__xludf.DUMMYFUNCTION("""COMPUTED_VALUE"""),"1080")</f>
        <v>1080</v>
      </c>
      <c r="Q319" s="3" t="str">
        <f ca="1">IFERROR(__xludf.DUMMYFUNCTION("""COMPUTED_VALUE"""),"600x1080")</f>
        <v>600x1080</v>
      </c>
      <c r="R319" s="3"/>
      <c r="S319" s="3" t="str">
        <f ca="1">IFERROR(__xludf.DUMMYFUNCTION("""COMPUTED_VALUE"""),"200")</f>
        <v>200</v>
      </c>
      <c r="T319" s="3"/>
      <c r="U319" s="3" t="str">
        <f ca="1">IFERROR(__xludf.DUMMYFUNCTION("""COMPUTED_VALUE"""),"banner standard")</f>
        <v>banner standard</v>
      </c>
      <c r="V319" s="3"/>
      <c r="W319" s="4" t="str">
        <f ca="1">IFERROR(__xludf.DUMMYFUNCTION("""COMPUTED_VALUE"""),"https://reklama.cncenter.cz/Online/mobilni-interscroller")</f>
        <v>https://reklama.cncenter.cz/Online/mobilni-interscroller</v>
      </c>
      <c r="X319" s="3"/>
      <c r="Y319" s="3"/>
      <c r="Z319" s="3" t="str">
        <f ca="1">IFERROR(__xludf.DUMMYFUNCTION("""COMPUTED_VALUE"""),"podklady@cncenter.cz")</f>
        <v>podklady@cncenter.cz</v>
      </c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 t="str">
        <f ca="1">IFERROR(__xludf.DUMMYFUNCTION("""COMPUTED_VALUE"""),"mobile")</f>
        <v>mobile</v>
      </c>
      <c r="AO319" s="3"/>
      <c r="AP319" s="3"/>
      <c r="AQ319" s="3"/>
      <c r="AR319" s="3"/>
      <c r="AS319" s="3"/>
      <c r="AT319" s="3"/>
      <c r="AU319" s="3" t="str">
        <f ca="1">IFERROR(__xludf.DUMMYFUNCTION("""COMPUTED_VALUE"""),"mobilní interscroller")</f>
        <v>mobilní interscroller</v>
      </c>
    </row>
    <row r="320" spans="1:47" x14ac:dyDescent="0.3">
      <c r="A320" s="3">
        <f ca="1"/>
        <v>2346826</v>
      </c>
      <c r="B320" s="3" t="str">
        <f ca="1"/>
        <v>CZECH NEWS CENTER a. s.</v>
      </c>
      <c r="C320" s="3" t="str">
        <f ca="1">IFERROR(__xludf.DUMMYFUNCTION("""COMPUTED_VALUE"""),"CNC IT &amp; mobile &amp; digital pack")</f>
        <v>CNC IT &amp; mobile &amp; digital pack</v>
      </c>
      <c r="D320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20" s="3" t="str">
        <f ca="1">IFERROR(__xludf.DUMMYFUNCTION("""COMPUTED_VALUE"""),"celý web")</f>
        <v>celý web</v>
      </c>
      <c r="F320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20" s="3" t="str">
        <f ca="1">IFERROR(__xludf.DUMMYFUNCTION("""COMPUTED_VALUE"""),"mobilní slide-up mid season")</f>
        <v>mobilní slide-up mid season</v>
      </c>
      <c r="H320" s="3">
        <f ca="1">IFERROR(__xludf.DUMMYFUNCTION("""COMPUTED_VALUE"""),7)</f>
        <v>7</v>
      </c>
      <c r="I320" s="5">
        <f ca="1">IFERROR(__xludf.DUMMYFUNCTION("""COMPUTED_VALUE"""),1000)</f>
        <v>1000</v>
      </c>
      <c r="J320" s="5">
        <f ca="1">IFERROR(__xludf.DUMMYFUNCTION("""COMPUTED_VALUE"""),560)</f>
        <v>560</v>
      </c>
      <c r="K320" s="3"/>
      <c r="L320" s="3" t="str">
        <f ca="1">IFERROR(__xludf.DUMMYFUNCTION("""COMPUTED_VALUE"""),"Cost per period")</f>
        <v>Cost per period</v>
      </c>
      <c r="M320" s="3"/>
      <c r="N320" s="3"/>
      <c r="O320" s="3" t="str">
        <f ca="1">IFERROR(__xludf.DUMMYFUNCTION("""COMPUTED_VALUE"""),"300")</f>
        <v>300</v>
      </c>
      <c r="P320" s="3" t="str">
        <f ca="1">IFERROR(__xludf.DUMMYFUNCTION("""COMPUTED_VALUE"""),"120")</f>
        <v>120</v>
      </c>
      <c r="Q320" s="3" t="str">
        <f ca="1">IFERROR(__xludf.DUMMYFUNCTION("""COMPUTED_VALUE"""),"300x120")</f>
        <v>300x120</v>
      </c>
      <c r="R320" s="3"/>
      <c r="S320" s="3" t="str">
        <f ca="1">IFERROR(__xludf.DUMMYFUNCTION("""COMPUTED_VALUE"""),"100")</f>
        <v>100</v>
      </c>
      <c r="T320" s="3"/>
      <c r="U320" s="3" t="str">
        <f ca="1">IFERROR(__xludf.DUMMYFUNCTION("""COMPUTED_VALUE"""),"banner standard")</f>
        <v>banner standard</v>
      </c>
      <c r="V320" s="3"/>
      <c r="W320" s="4" t="str">
        <f ca="1">IFERROR(__xludf.DUMMYFUNCTION("""COMPUTED_VALUE"""),"https://reklama.cncenter.cz/Online/mobilni-slide-up")</f>
        <v>https://reklama.cncenter.cz/Online/mobilni-slide-up</v>
      </c>
      <c r="X320" s="3"/>
      <c r="Y320" s="3"/>
      <c r="Z320" s="3" t="str">
        <f ca="1">IFERROR(__xludf.DUMMYFUNCTION("""COMPUTED_VALUE"""),"podklady@cncenter.cz")</f>
        <v>podklady@cncenter.cz</v>
      </c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 t="str">
        <f ca="1">IFERROR(__xludf.DUMMYFUNCTION("""COMPUTED_VALUE"""),"mobile")</f>
        <v>mobile</v>
      </c>
      <c r="AO320" s="3"/>
      <c r="AP320" s="3"/>
      <c r="AQ320" s="3"/>
      <c r="AR320" s="3"/>
      <c r="AS320" s="3"/>
      <c r="AT320" s="3"/>
      <c r="AU320" s="3" t="str">
        <f ca="1">IFERROR(__xludf.DUMMYFUNCTION("""COMPUTED_VALUE"""),"mobilní slide-up")</f>
        <v>mobilní slide-up</v>
      </c>
    </row>
    <row r="321" spans="1:47" x14ac:dyDescent="0.3">
      <c r="A321" s="3">
        <f ca="1"/>
        <v>2346826</v>
      </c>
      <c r="B321" s="3" t="str">
        <f ca="1"/>
        <v>CZECH NEWS CENTER a. s.</v>
      </c>
      <c r="C321" s="3" t="str">
        <f ca="1">IFERROR(__xludf.DUMMYFUNCTION("""COMPUTED_VALUE"""),"CNC IT &amp; mobile &amp; digital pack")</f>
        <v>CNC IT &amp; mobile &amp; digital pack</v>
      </c>
      <c r="D321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21" s="3" t="str">
        <f ca="1">IFERROR(__xludf.DUMMYFUNCTION("""COMPUTED_VALUE"""),"celý web")</f>
        <v>celý web</v>
      </c>
      <c r="F321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21" s="3" t="str">
        <f ca="1">IFERROR(__xludf.DUMMYFUNCTION("""COMPUTED_VALUE"""),"mobilní viněta mid season")</f>
        <v>mobilní viněta mid season</v>
      </c>
      <c r="H321" s="3">
        <f ca="1">IFERROR(__xludf.DUMMYFUNCTION("""COMPUTED_VALUE"""),7)</f>
        <v>7</v>
      </c>
      <c r="I321" s="5">
        <f ca="1">IFERROR(__xludf.DUMMYFUNCTION("""COMPUTED_VALUE"""),1000)</f>
        <v>1000</v>
      </c>
      <c r="J321" s="5">
        <f ca="1">IFERROR(__xludf.DUMMYFUNCTION("""COMPUTED_VALUE"""),790)</f>
        <v>790</v>
      </c>
      <c r="K321" s="3"/>
      <c r="L321" s="3" t="str">
        <f ca="1">IFERROR(__xludf.DUMMYFUNCTION("""COMPUTED_VALUE"""),"Cost per period")</f>
        <v>Cost per period</v>
      </c>
      <c r="M321" s="3"/>
      <c r="N321" s="3"/>
      <c r="O321" s="3" t="str">
        <f ca="1">IFERROR(__xludf.DUMMYFUNCTION("""COMPUTED_VALUE"""),"600")</f>
        <v>600</v>
      </c>
      <c r="P321" s="3" t="str">
        <f ca="1">IFERROR(__xludf.DUMMYFUNCTION("""COMPUTED_VALUE"""),"800")</f>
        <v>800</v>
      </c>
      <c r="Q321" s="3" t="str">
        <f ca="1">IFERROR(__xludf.DUMMYFUNCTION("""COMPUTED_VALUE"""),"300x250 nebo 600x800")</f>
        <v>300x250 nebo 600x800</v>
      </c>
      <c r="R321" s="3"/>
      <c r="S321" s="3" t="str">
        <f ca="1">IFERROR(__xludf.DUMMYFUNCTION("""COMPUTED_VALUE"""),"100")</f>
        <v>100</v>
      </c>
      <c r="T321" s="3"/>
      <c r="U321" s="3" t="str">
        <f ca="1">IFERROR(__xludf.DUMMYFUNCTION("""COMPUTED_VALUE"""),"banner standard")</f>
        <v>banner standard</v>
      </c>
      <c r="V321" s="3"/>
      <c r="W321" s="4" t="str">
        <f ca="1">IFERROR(__xludf.DUMMYFUNCTION("""COMPUTED_VALUE"""),"https://reklama.cncenter.cz/Online/mobilni-vineta")</f>
        <v>https://reklama.cncenter.cz/Online/mobilni-vineta</v>
      </c>
      <c r="X321" s="3"/>
      <c r="Y321" s="3"/>
      <c r="Z321" s="3" t="str">
        <f ca="1">IFERROR(__xludf.DUMMYFUNCTION("""COMPUTED_VALUE"""),"podklady@cncenter.cz")</f>
        <v>podklady@cncenter.cz</v>
      </c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 t="str">
        <f ca="1">IFERROR(__xludf.DUMMYFUNCTION("""COMPUTED_VALUE"""),"mobile")</f>
        <v>mobile</v>
      </c>
      <c r="AO321" s="3"/>
      <c r="AP321" s="3"/>
      <c r="AQ321" s="3"/>
      <c r="AR321" s="3"/>
      <c r="AS321" s="3"/>
      <c r="AT321" s="3"/>
      <c r="AU321" s="3" t="str">
        <f ca="1">IFERROR(__xludf.DUMMYFUNCTION("""COMPUTED_VALUE"""),"mobilní viněta")</f>
        <v>mobilní viněta</v>
      </c>
    </row>
    <row r="322" spans="1:47" x14ac:dyDescent="0.3">
      <c r="A322" s="3">
        <f ca="1"/>
        <v>2346826</v>
      </c>
      <c r="B322" s="3" t="str">
        <f ca="1"/>
        <v>CZECH NEWS CENTER a. s.</v>
      </c>
      <c r="C322" s="3" t="str">
        <f ca="1">IFERROR(__xludf.DUMMYFUNCTION("""COMPUTED_VALUE"""),"CNC IT &amp; mobile &amp; digital pack")</f>
        <v>CNC IT &amp; mobile &amp; digital pack</v>
      </c>
      <c r="D322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22" s="3" t="str">
        <f ca="1">IFERROR(__xludf.DUMMYFUNCTION("""COMPUTED_VALUE"""),"celý web")</f>
        <v>celý web</v>
      </c>
      <c r="F322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22" s="3" t="str">
        <f ca="1">IFERROR(__xludf.DUMMYFUNCTION("""COMPUTED_VALUE"""),"nativní rectangle cross-device mid season")</f>
        <v>nativní rectangle cross-device mid season</v>
      </c>
      <c r="H322" s="3">
        <f ca="1">IFERROR(__xludf.DUMMYFUNCTION("""COMPUTED_VALUE"""),7)</f>
        <v>7</v>
      </c>
      <c r="I322" s="5">
        <f ca="1">IFERROR(__xludf.DUMMYFUNCTION("""COMPUTED_VALUE"""),1000)</f>
        <v>1000</v>
      </c>
      <c r="J322" s="5">
        <f ca="1">IFERROR(__xludf.DUMMYFUNCTION("""COMPUTED_VALUE"""),210)</f>
        <v>210</v>
      </c>
      <c r="K322" s="3"/>
      <c r="L322" s="3" t="str">
        <f ca="1">IFERROR(__xludf.DUMMYFUNCTION("""COMPUTED_VALUE"""),"Cost per period")</f>
        <v>Cost per period</v>
      </c>
      <c r="M322" s="3"/>
      <c r="N322" s="3"/>
      <c r="O322" s="3" t="str">
        <f ca="1">IFERROR(__xludf.DUMMYFUNCTION("""COMPUTED_VALUE"""),"640")</f>
        <v>640</v>
      </c>
      <c r="P322" s="3" t="str">
        <f ca="1">IFERROR(__xludf.DUMMYFUNCTION("""COMPUTED_VALUE"""),"335, 640")</f>
        <v>335, 640</v>
      </c>
      <c r="Q322" s="3" t="str">
        <f ca="1">IFERROR(__xludf.DUMMYFUNCTION("""COMPUTED_VALUE"""),"640x640 a 640x335 + text + logo")</f>
        <v>640x640 a 640x335 + text + logo</v>
      </c>
      <c r="R322" s="3"/>
      <c r="S322" s="3" t="str">
        <f ca="1">IFERROR(__xludf.DUMMYFUNCTION("""COMPUTED_VALUE"""),"45")</f>
        <v>45</v>
      </c>
      <c r="T322" s="3"/>
      <c r="U322" s="3" t="str">
        <f ca="1">IFERROR(__xludf.DUMMYFUNCTION("""COMPUTED_VALUE"""),"nativní reklama")</f>
        <v>nativní reklama</v>
      </c>
      <c r="V322" s="3"/>
      <c r="W322" s="4" t="str">
        <f ca="1">IFERROR(__xludf.DUMMYFUNCTION("""COMPUTED_VALUE"""),"https://reklama.cncenter.cz/Online/nativni-rectangle-cross-device")</f>
        <v>https://reklama.cncenter.cz/Online/nativni-rectangle-cross-device</v>
      </c>
      <c r="X322" s="3"/>
      <c r="Y322" s="3"/>
      <c r="Z322" s="3" t="str">
        <f ca="1">IFERROR(__xludf.DUMMYFUNCTION("""COMPUTED_VALUE"""),"podklady@cncenter.cz")</f>
        <v>podklady@cncenter.cz</v>
      </c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 t="str">
        <f ca="1">IFERROR(__xludf.DUMMYFUNCTION("""COMPUTED_VALUE"""),"cross-device")</f>
        <v>cross-device</v>
      </c>
      <c r="AO322" s="3"/>
      <c r="AP322" s="3"/>
      <c r="AQ322" s="3"/>
      <c r="AR322" s="3"/>
      <c r="AS322" s="3"/>
      <c r="AT322" s="3"/>
      <c r="AU322" s="3" t="str">
        <f ca="1">IFERROR(__xludf.DUMMYFUNCTION("""COMPUTED_VALUE"""),"nativní rectangle cross-device")</f>
        <v>nativní rectangle cross-device</v>
      </c>
    </row>
    <row r="323" spans="1:47" x14ac:dyDescent="0.3">
      <c r="A323" s="3">
        <f ca="1"/>
        <v>2346826</v>
      </c>
      <c r="B323" s="3" t="str">
        <f ca="1"/>
        <v>CZECH NEWS CENTER a. s.</v>
      </c>
      <c r="C323" s="3" t="str">
        <f ca="1">IFERROR(__xludf.DUMMYFUNCTION("""COMPUTED_VALUE"""),"CNC IT &amp; mobile &amp; digital pack")</f>
        <v>CNC IT &amp; mobile &amp; digital pack</v>
      </c>
      <c r="D323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23" s="3" t="str">
        <f ca="1">IFERROR(__xludf.DUMMYFUNCTION("""COMPUTED_VALUE"""),"celý web")</f>
        <v>celý web</v>
      </c>
      <c r="F323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23" s="3" t="str">
        <f ca="1">IFERROR(__xludf.DUMMYFUNCTION("""COMPUTED_VALUE"""),"outstream mid season")</f>
        <v>outstream mid season</v>
      </c>
      <c r="H323" s="3">
        <f ca="1">IFERROR(__xludf.DUMMYFUNCTION("""COMPUTED_VALUE"""),7)</f>
        <v>7</v>
      </c>
      <c r="I323" s="5">
        <f ca="1">IFERROR(__xludf.DUMMYFUNCTION("""COMPUTED_VALUE"""),1000)</f>
        <v>1000</v>
      </c>
      <c r="J323" s="5">
        <f ca="1">IFERROR(__xludf.DUMMYFUNCTION("""COMPUTED_VALUE"""),330)</f>
        <v>330</v>
      </c>
      <c r="K323" s="3"/>
      <c r="L323" s="3" t="str">
        <f ca="1">IFERROR(__xludf.DUMMYFUNCTION("""COMPUTED_VALUE"""),"Cost per period")</f>
        <v>Cost per period</v>
      </c>
      <c r="M323" s="3"/>
      <c r="N323" s="3"/>
      <c r="O323" s="3" t="str">
        <f ca="1">IFERROR(__xludf.DUMMYFUNCTION("""COMPUTED_VALUE"""),"1280")</f>
        <v>1280</v>
      </c>
      <c r="P323" s="3" t="str">
        <f ca="1">IFERROR(__xludf.DUMMYFUNCTION("""COMPUTED_VALUE"""),"720")</f>
        <v>720</v>
      </c>
      <c r="Q323" s="3" t="str">
        <f ca="1">IFERROR(__xludf.DUMMYFUNCTION("""COMPUTED_VALUE"""),"16:9")</f>
        <v>16:9</v>
      </c>
      <c r="R323" s="3"/>
      <c r="S323" s="3" t="str">
        <f ca="1">IFERROR(__xludf.DUMMYFUNCTION("""COMPUTED_VALUE"""),"100")</f>
        <v>100</v>
      </c>
      <c r="T323" s="3"/>
      <c r="U323" s="3" t="str">
        <f ca="1">IFERROR(__xludf.DUMMYFUNCTION("""COMPUTED_VALUE"""),"videospot")</f>
        <v>videospot</v>
      </c>
      <c r="V323" s="3"/>
      <c r="W323" s="4" t="str">
        <f ca="1">IFERROR(__xludf.DUMMYFUNCTION("""COMPUTED_VALUE"""),"https://reklama.cncenter.cz/Online/Outstream")</f>
        <v>https://reklama.cncenter.cz/Online/Outstream</v>
      </c>
      <c r="X323" s="3"/>
      <c r="Y323" s="3"/>
      <c r="Z323" s="3" t="str">
        <f ca="1">IFERROR(__xludf.DUMMYFUNCTION("""COMPUTED_VALUE"""),"podklady@cncenter.cz")</f>
        <v>podklady@cncenter.cz</v>
      </c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 t="str">
        <f ca="1">IFERROR(__xludf.DUMMYFUNCTION("""COMPUTED_VALUE"""),"cross-device")</f>
        <v>cross-device</v>
      </c>
      <c r="AO323" s="3"/>
      <c r="AP323" s="3"/>
      <c r="AQ323" s="3"/>
      <c r="AR323" s="3"/>
      <c r="AS323" s="3"/>
      <c r="AT323" s="3"/>
      <c r="AU323" s="3" t="str">
        <f ca="1">IFERROR(__xludf.DUMMYFUNCTION("""COMPUTED_VALUE"""),"outstream")</f>
        <v>outstream</v>
      </c>
    </row>
    <row r="324" spans="1:47" x14ac:dyDescent="0.3">
      <c r="A324" s="3">
        <f ca="1"/>
        <v>2346826</v>
      </c>
      <c r="B324" s="3" t="str">
        <f ca="1"/>
        <v>CZECH NEWS CENTER a. s.</v>
      </c>
      <c r="C324" s="3" t="str">
        <f ca="1">IFERROR(__xludf.DUMMYFUNCTION("""COMPUTED_VALUE"""),"CNC IT &amp; mobile &amp; digital pack")</f>
        <v>CNC IT &amp; mobile &amp; digital pack</v>
      </c>
      <c r="D324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24" s="3" t="str">
        <f ca="1">IFERROR(__xludf.DUMMYFUNCTION("""COMPUTED_VALUE"""),"celý web")</f>
        <v>celý web</v>
      </c>
      <c r="F324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24" s="3" t="str">
        <f ca="1">IFERROR(__xludf.DUMMYFUNCTION("""COMPUTED_VALUE"""),"Smarticle mid season")</f>
        <v>Smarticle mid season</v>
      </c>
      <c r="H324" s="3">
        <f ca="1">IFERROR(__xludf.DUMMYFUNCTION("""COMPUTED_VALUE"""),7)</f>
        <v>7</v>
      </c>
      <c r="I324" s="5">
        <f ca="1">IFERROR(__xludf.DUMMYFUNCTION("""COMPUTED_VALUE"""),1000)</f>
        <v>1000</v>
      </c>
      <c r="J324" s="5">
        <f ca="1">IFERROR(__xludf.DUMMYFUNCTION("""COMPUTED_VALUE"""),200)</f>
        <v>200</v>
      </c>
      <c r="K324" s="3"/>
      <c r="L324" s="3" t="str">
        <f ca="1">IFERROR(__xludf.DUMMYFUNCTION("""COMPUTED_VALUE"""),"Cost per period")</f>
        <v>Cost per period</v>
      </c>
      <c r="M324" s="3"/>
      <c r="N324" s="3" t="str">
        <f ca="1">IFERROR(__xludf.DUMMYFUNCTION("""COMPUTED_VALUE"""),"A4")</f>
        <v>A4</v>
      </c>
      <c r="O324" s="3"/>
      <c r="P324" s="3"/>
      <c r="Q324" s="3" t="str">
        <f ca="1">IFERROR(__xludf.DUMMYFUNCTION("""COMPUTED_VALUE"""),"viz. tech.specifikace; HP + sekce")</f>
        <v>viz. tech.specifikace; HP + sekce</v>
      </c>
      <c r="R324" s="3" t="str">
        <f ca="1">IFERROR(__xludf.DUMMYFUNCTION("""COMPUTED_VALUE"""),"HP + sekce")</f>
        <v>HP + sekce</v>
      </c>
      <c r="S324" s="3" t="str">
        <f ca="1">IFERROR(__xludf.DUMMYFUNCTION("""COMPUTED_VALUE"""),"100")</f>
        <v>100</v>
      </c>
      <c r="T324" s="3"/>
      <c r="U324" s="3" t="str">
        <f ca="1">IFERROR(__xludf.DUMMYFUNCTION("""COMPUTED_VALUE"""),"pr článek")</f>
        <v>pr článek</v>
      </c>
      <c r="V324" s="3"/>
      <c r="W324" s="4" t="str">
        <f ca="1">IFERROR(__xludf.DUMMYFUNCTION("""COMPUTED_VALUE"""),"https://reklama.cncenter.cz/Online/Smarticle")</f>
        <v>https://reklama.cncenter.cz/Online/Smarticle</v>
      </c>
      <c r="X324" s="3"/>
      <c r="Y324" s="3"/>
      <c r="Z324" s="3" t="str">
        <f ca="1">IFERROR(__xludf.DUMMYFUNCTION("""COMPUTED_VALUE"""),"podklady@cncenter.cz")</f>
        <v>podklady@cncenter.cz</v>
      </c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 t="str">
        <f ca="1">IFERROR(__xludf.DUMMYFUNCTION("""COMPUTED_VALUE"""),"cross-device")</f>
        <v>cross-device</v>
      </c>
      <c r="AO324" s="3"/>
      <c r="AP324" s="3"/>
      <c r="AQ324" s="3"/>
      <c r="AR324" s="3"/>
      <c r="AS324" s="3"/>
      <c r="AT324" s="3"/>
      <c r="AU324" s="3" t="str">
        <f ca="1">IFERROR(__xludf.DUMMYFUNCTION("""COMPUTED_VALUE"""),"Smarticle")</f>
        <v>Smarticle</v>
      </c>
    </row>
    <row r="325" spans="1:47" x14ac:dyDescent="0.3">
      <c r="A325" s="3">
        <f ca="1"/>
        <v>2346826</v>
      </c>
      <c r="B325" s="3" t="str">
        <f ca="1"/>
        <v>CZECH NEWS CENTER a. s.</v>
      </c>
      <c r="C325" s="3" t="str">
        <f ca="1">IFERROR(__xludf.DUMMYFUNCTION("""COMPUTED_VALUE"""),"CNC IT &amp; mobile &amp; digital pack")</f>
        <v>CNC IT &amp; mobile &amp; digital pack</v>
      </c>
      <c r="D325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25" s="3" t="str">
        <f ca="1">IFERROR(__xludf.DUMMYFUNCTION("""COMPUTED_VALUE"""),"celý web")</f>
        <v>celý web</v>
      </c>
      <c r="F325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25" s="3" t="str">
        <f ca="1">IFERROR(__xludf.DUMMYFUNCTION("""COMPUTED_VALUE"""),"videospot - max. 30 sec. / bumper mid season")</f>
        <v>videospot - max. 30 sec. / bumper mid season</v>
      </c>
      <c r="H325" s="3">
        <f ca="1">IFERROR(__xludf.DUMMYFUNCTION("""COMPUTED_VALUE"""),7)</f>
        <v>7</v>
      </c>
      <c r="I325" s="5">
        <f ca="1">IFERROR(__xludf.DUMMYFUNCTION("""COMPUTED_VALUE"""),1000)</f>
        <v>1000</v>
      </c>
      <c r="J325" s="5">
        <f ca="1">IFERROR(__xludf.DUMMYFUNCTION("""COMPUTED_VALUE"""),960)</f>
        <v>960</v>
      </c>
      <c r="K325" s="3"/>
      <c r="L325" s="3" t="str">
        <f ca="1">IFERROR(__xludf.DUMMYFUNCTION("""COMPUTED_VALUE"""),"Cost per period")</f>
        <v>Cost per period</v>
      </c>
      <c r="M325" s="3"/>
      <c r="N325" s="3"/>
      <c r="O325" s="3" t="str">
        <f ca="1">IFERROR(__xludf.DUMMYFUNCTION("""COMPUTED_VALUE"""),"1280")</f>
        <v>1280</v>
      </c>
      <c r="P325" s="3" t="str">
        <f ca="1">IFERROR(__xludf.DUMMYFUNCTION("""COMPUTED_VALUE"""),"720")</f>
        <v>720</v>
      </c>
      <c r="Q325" s="3" t="str">
        <f ca="1">IFERROR(__xludf.DUMMYFUNCTION("""COMPUTED_VALUE"""),"16:9 / umístění po domluvě dle možností")</f>
        <v>16:9 / umístění po domluvě dle možností</v>
      </c>
      <c r="R325" s="3" t="str">
        <f ca="1">IFERROR(__xludf.DUMMYFUNCTION("""COMPUTED_VALUE"""),"přeskočení po 7 sekundách")</f>
        <v>přeskočení po 7 sekundách</v>
      </c>
      <c r="S325" s="3" t="str">
        <f ca="1">IFERROR(__xludf.DUMMYFUNCTION("""COMPUTED_VALUE"""),"100")</f>
        <v>100</v>
      </c>
      <c r="T325" s="3"/>
      <c r="U325" s="3" t="str">
        <f ca="1">IFERROR(__xludf.DUMMYFUNCTION("""COMPUTED_VALUE"""),"videospot")</f>
        <v>videospot</v>
      </c>
      <c r="V325" s="3"/>
      <c r="W325" s="4" t="str">
        <f ca="1">IFERROR(__xludf.DUMMYFUNCTION("""COMPUTED_VALUE"""),"https://reklama.cncenter.cz/Online/Bumper")</f>
        <v>https://reklama.cncenter.cz/Online/Bumper</v>
      </c>
      <c r="X325" s="3"/>
      <c r="Y325" s="3"/>
      <c r="Z325" s="3" t="str">
        <f ca="1">IFERROR(__xludf.DUMMYFUNCTION("""COMPUTED_VALUE"""),"podklady@cncenter.cz")</f>
        <v>podklady@cncenter.cz</v>
      </c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 t="str">
        <f ca="1">IFERROR(__xludf.DUMMYFUNCTION("""COMPUTED_VALUE"""),"cross-device")</f>
        <v>cross-device</v>
      </c>
      <c r="AO325" s="3"/>
      <c r="AP325" s="3"/>
      <c r="AQ325" s="3"/>
      <c r="AR325" s="3"/>
      <c r="AS325" s="3"/>
      <c r="AT325" s="3"/>
      <c r="AU325" s="3" t="str">
        <f ca="1">IFERROR(__xludf.DUMMYFUNCTION("""COMPUTED_VALUE"""),"videospot - max. 30 sec. / bumper")</f>
        <v>videospot - max. 30 sec. / bumper</v>
      </c>
    </row>
    <row r="326" spans="1:47" x14ac:dyDescent="0.3">
      <c r="A326" s="3">
        <f ca="1"/>
        <v>2346826</v>
      </c>
      <c r="B326" s="3" t="str">
        <f ca="1"/>
        <v>CZECH NEWS CENTER a. s.</v>
      </c>
      <c r="C326" s="3" t="str">
        <f ca="1">IFERROR(__xludf.DUMMYFUNCTION("""COMPUTED_VALUE"""),"CNC muži pack")</f>
        <v>CNC muži pack</v>
      </c>
      <c r="D326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26" s="3" t="str">
        <f ca="1">IFERROR(__xludf.DUMMYFUNCTION("""COMPUTED_VALUE"""),"celý web")</f>
        <v>celý web</v>
      </c>
      <c r="F326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26" s="3" t="str">
        <f ca="1">IFERROR(__xludf.DUMMYFUNCTION("""COMPUTED_VALUE"""),"billboard bottom mid season")</f>
        <v>billboard bottom mid season</v>
      </c>
      <c r="H326" s="3">
        <f ca="1">IFERROR(__xludf.DUMMYFUNCTION("""COMPUTED_VALUE"""),7)</f>
        <v>7</v>
      </c>
      <c r="I326" s="5">
        <f ca="1">IFERROR(__xludf.DUMMYFUNCTION("""COMPUTED_VALUE"""),1000)</f>
        <v>1000</v>
      </c>
      <c r="J326" s="5">
        <f ca="1">IFERROR(__xludf.DUMMYFUNCTION("""COMPUTED_VALUE"""),300)</f>
        <v>300</v>
      </c>
      <c r="K326" s="3"/>
      <c r="L326" s="3" t="str">
        <f ca="1">IFERROR(__xludf.DUMMYFUNCTION("""COMPUTED_VALUE"""),"Cost per period")</f>
        <v>Cost per period</v>
      </c>
      <c r="M326" s="3"/>
      <c r="N326" s="3"/>
      <c r="O326" s="3" t="str">
        <f ca="1">IFERROR(__xludf.DUMMYFUNCTION("""COMPUTED_VALUE"""),"970")</f>
        <v>970</v>
      </c>
      <c r="P326" s="3" t="str">
        <f ca="1">IFERROR(__xludf.DUMMYFUNCTION("""COMPUTED_VALUE"""),"250")</f>
        <v>250</v>
      </c>
      <c r="Q326" s="3" t="str">
        <f ca="1">IFERROR(__xludf.DUMMYFUNCTION("""COMPUTED_VALUE"""),"970x250")</f>
        <v>970x250</v>
      </c>
      <c r="R326" s="3"/>
      <c r="S326" s="3" t="str">
        <f ca="1">IFERROR(__xludf.DUMMYFUNCTION("""COMPUTED_VALUE"""),"100 (200 - HTML5)")</f>
        <v>100 (200 - HTML5)</v>
      </c>
      <c r="T326" s="3"/>
      <c r="U326" s="3" t="str">
        <f ca="1">IFERROR(__xludf.DUMMYFUNCTION("""COMPUTED_VALUE"""),"banner standard")</f>
        <v>banner standard</v>
      </c>
      <c r="V326" s="3"/>
      <c r="W326" s="4" t="str">
        <f ca="1">IFERROR(__xludf.DUMMYFUNCTION("""COMPUTED_VALUE"""),"https://reklama.cncenter.cz/Online/billboard-bottom")</f>
        <v>https://reklama.cncenter.cz/Online/billboard-bottom</v>
      </c>
      <c r="X326" s="3"/>
      <c r="Y326" s="3"/>
      <c r="Z326" s="3" t="str">
        <f ca="1">IFERROR(__xludf.DUMMYFUNCTION("""COMPUTED_VALUE"""),"podklady@cncenter.cz")</f>
        <v>podklady@cncenter.cz</v>
      </c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 t="str">
        <f ca="1">IFERROR(__xludf.DUMMYFUNCTION("""COMPUTED_VALUE"""),"desktop")</f>
        <v>desktop</v>
      </c>
      <c r="AO326" s="3"/>
      <c r="AP326" s="3"/>
      <c r="AQ326" s="3"/>
      <c r="AR326" s="3"/>
      <c r="AS326" s="3"/>
      <c r="AT326" s="3"/>
      <c r="AU326" s="3" t="str">
        <f ca="1">IFERROR(__xludf.DUMMYFUNCTION("""COMPUTED_VALUE"""),"billboard bottom")</f>
        <v>billboard bottom</v>
      </c>
    </row>
    <row r="327" spans="1:47" x14ac:dyDescent="0.3">
      <c r="A327" s="3">
        <f ca="1"/>
        <v>2346826</v>
      </c>
      <c r="B327" s="3" t="str">
        <f ca="1"/>
        <v>CZECH NEWS CENTER a. s.</v>
      </c>
      <c r="C327" s="3" t="str">
        <f ca="1">IFERROR(__xludf.DUMMYFUNCTION("""COMPUTED_VALUE"""),"CNC muži pack")</f>
        <v>CNC muži pack</v>
      </c>
      <c r="D327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27" s="3" t="str">
        <f ca="1">IFERROR(__xludf.DUMMYFUNCTION("""COMPUTED_VALUE"""),"celý web")</f>
        <v>celý web</v>
      </c>
      <c r="F327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27" s="3" t="str">
        <f ca="1">IFERROR(__xludf.DUMMYFUNCTION("""COMPUTED_VALUE"""),"branding cross-device mid season")</f>
        <v>branding cross-device mid season</v>
      </c>
      <c r="H327" s="3">
        <f ca="1">IFERROR(__xludf.DUMMYFUNCTION("""COMPUTED_VALUE"""),7)</f>
        <v>7</v>
      </c>
      <c r="I327" s="5">
        <f ca="1">IFERROR(__xludf.DUMMYFUNCTION("""COMPUTED_VALUE"""),1000)</f>
        <v>1000</v>
      </c>
      <c r="J327" s="5">
        <f ca="1">IFERROR(__xludf.DUMMYFUNCTION("""COMPUTED_VALUE"""),380)</f>
        <v>380</v>
      </c>
      <c r="K327" s="3"/>
      <c r="L327" s="3" t="str">
        <f ca="1">IFERROR(__xludf.DUMMYFUNCTION("""COMPUTED_VALUE"""),"Cost per period")</f>
        <v>Cost per period</v>
      </c>
      <c r="M327" s="3"/>
      <c r="N327" s="3"/>
      <c r="O327" s="3" t="str">
        <f ca="1">IFERROR(__xludf.DUMMYFUNCTION("""COMPUTED_VALUE"""),"2000")</f>
        <v>2000</v>
      </c>
      <c r="P327" s="3" t="str">
        <f ca="1">IFERROR(__xludf.DUMMYFUNCTION("""COMPUTED_VALUE"""),"1400")</f>
        <v>1400</v>
      </c>
      <c r="Q327" s="3" t="str">
        <f ca="1">IFERROR(__xludf.DUMMYFUNCTION("""COMPUTED_VALUE"""),"2000x1400 + 600x1080")</f>
        <v>2000x1400 + 600x1080</v>
      </c>
      <c r="R327" s="3"/>
      <c r="S327" s="3" t="str">
        <f ca="1">IFERROR(__xludf.DUMMYFUNCTION("""COMPUTED_VALUE"""),"500 (600 - HTLM5)")</f>
        <v>500 (600 - HTLM5)</v>
      </c>
      <c r="T327" s="3"/>
      <c r="U327" s="3" t="str">
        <f ca="1">IFERROR(__xludf.DUMMYFUNCTION("""COMPUTED_VALUE"""),"banner standard")</f>
        <v>banner standard</v>
      </c>
      <c r="V327" s="3"/>
      <c r="W327" s="4" t="str">
        <f ca="1">IFERROR(__xludf.DUMMYFUNCTION("""COMPUTED_VALUE"""),"https://reklama.cncenter.cz/Online/branding-cross-device")</f>
        <v>https://reklama.cncenter.cz/Online/branding-cross-device</v>
      </c>
      <c r="X327" s="3"/>
      <c r="Y327" s="3"/>
      <c r="Z327" s="3" t="str">
        <f ca="1">IFERROR(__xludf.DUMMYFUNCTION("""COMPUTED_VALUE"""),"podklady@cncenter.cz")</f>
        <v>podklady@cncenter.cz</v>
      </c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 t="str">
        <f ca="1">IFERROR(__xludf.DUMMYFUNCTION("""COMPUTED_VALUE"""),"cross-device")</f>
        <v>cross-device</v>
      </c>
      <c r="AO327" s="3"/>
      <c r="AP327" s="3"/>
      <c r="AQ327" s="3"/>
      <c r="AR327" s="3"/>
      <c r="AS327" s="3"/>
      <c r="AT327" s="3"/>
      <c r="AU327" s="3" t="str">
        <f ca="1">IFERROR(__xludf.DUMMYFUNCTION("""COMPUTED_VALUE"""),"branding cross-device")</f>
        <v>branding cross-device</v>
      </c>
    </row>
    <row r="328" spans="1:47" x14ac:dyDescent="0.3">
      <c r="A328" s="3">
        <f ca="1"/>
        <v>2346826</v>
      </c>
      <c r="B328" s="3" t="str">
        <f ca="1"/>
        <v>CZECH NEWS CENTER a. s.</v>
      </c>
      <c r="C328" s="3" t="str">
        <f ca="1">IFERROR(__xludf.DUMMYFUNCTION("""COMPUTED_VALUE"""),"CNC muži pack")</f>
        <v>CNC muži pack</v>
      </c>
      <c r="D328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28" s="3" t="str">
        <f ca="1">IFERROR(__xludf.DUMMYFUNCTION("""COMPUTED_VALUE"""),"celý web")</f>
        <v>celý web</v>
      </c>
      <c r="F328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28" s="3" t="str">
        <f ca="1">IFERROR(__xludf.DUMMYFUNCTION("""COMPUTED_VALUE"""),"branding mid season")</f>
        <v>branding mid season</v>
      </c>
      <c r="H328" s="3">
        <f ca="1">IFERROR(__xludf.DUMMYFUNCTION("""COMPUTED_VALUE"""),7)</f>
        <v>7</v>
      </c>
      <c r="I328" s="5">
        <f ca="1">IFERROR(__xludf.DUMMYFUNCTION("""COMPUTED_VALUE"""),1000)</f>
        <v>1000</v>
      </c>
      <c r="J328" s="5">
        <f ca="1">IFERROR(__xludf.DUMMYFUNCTION("""COMPUTED_VALUE"""),560)</f>
        <v>560</v>
      </c>
      <c r="K328" s="3"/>
      <c r="L328" s="3" t="str">
        <f ca="1">IFERROR(__xludf.DUMMYFUNCTION("""COMPUTED_VALUE"""),"Cost per period")</f>
        <v>Cost per period</v>
      </c>
      <c r="M328" s="3"/>
      <c r="N328" s="3"/>
      <c r="O328" s="3" t="str">
        <f ca="1">IFERROR(__xludf.DUMMYFUNCTION("""COMPUTED_VALUE"""),"2000")</f>
        <v>2000</v>
      </c>
      <c r="P328" s="3" t="str">
        <f ca="1">IFERROR(__xludf.DUMMYFUNCTION("""COMPUTED_VALUE"""),"1400")</f>
        <v>1400</v>
      </c>
      <c r="Q328" s="3" t="str">
        <f ca="1">IFERROR(__xludf.DUMMYFUNCTION("""COMPUTED_VALUE"""),"2000x1400")</f>
        <v>2000x1400</v>
      </c>
      <c r="R328" s="3"/>
      <c r="S328" s="3" t="str">
        <f ca="1">IFERROR(__xludf.DUMMYFUNCTION("""COMPUTED_VALUE"""),"500 + 200 (600+200 HTML5)")</f>
        <v>500 + 200 (600+200 HTML5)</v>
      </c>
      <c r="T328" s="3"/>
      <c r="U328" s="3" t="str">
        <f ca="1">IFERROR(__xludf.DUMMYFUNCTION("""COMPUTED_VALUE"""),"banner standard")</f>
        <v>banner standard</v>
      </c>
      <c r="V328" s="3"/>
      <c r="W328" s="4" t="str">
        <f ca="1">IFERROR(__xludf.DUMMYFUNCTION("""COMPUTED_VALUE"""),"https://reklama.cncenter.cz/Online/branding")</f>
        <v>https://reklama.cncenter.cz/Online/branding</v>
      </c>
      <c r="X328" s="3"/>
      <c r="Y328" s="3"/>
      <c r="Z328" s="3" t="str">
        <f ca="1">IFERROR(__xludf.DUMMYFUNCTION("""COMPUTED_VALUE"""),"podklady@cncenter.cz")</f>
        <v>podklady@cncenter.cz</v>
      </c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 t="str">
        <f ca="1">IFERROR(__xludf.DUMMYFUNCTION("""COMPUTED_VALUE"""),"desktop")</f>
        <v>desktop</v>
      </c>
      <c r="AO328" s="3"/>
      <c r="AP328" s="3"/>
      <c r="AQ328" s="3"/>
      <c r="AR328" s="3"/>
      <c r="AS328" s="3"/>
      <c r="AT328" s="3"/>
      <c r="AU328" s="3" t="str">
        <f ca="1">IFERROR(__xludf.DUMMYFUNCTION("""COMPUTED_VALUE"""),"branding")</f>
        <v>branding</v>
      </c>
    </row>
    <row r="329" spans="1:47" x14ac:dyDescent="0.3">
      <c r="A329" s="3">
        <f ca="1"/>
        <v>2346826</v>
      </c>
      <c r="B329" s="3" t="str">
        <f ca="1"/>
        <v>CZECH NEWS CENTER a. s.</v>
      </c>
      <c r="C329" s="3" t="str">
        <f ca="1">IFERROR(__xludf.DUMMYFUNCTION("""COMPUTED_VALUE"""),"CNC muži pack")</f>
        <v>CNC muži pack</v>
      </c>
      <c r="D329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29" s="3" t="str">
        <f ca="1">IFERROR(__xludf.DUMMYFUNCTION("""COMPUTED_VALUE"""),"celý web")</f>
        <v>celý web</v>
      </c>
      <c r="F329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29" s="3" t="str">
        <f ca="1">IFERROR(__xludf.DUMMYFUNCTION("""COMPUTED_VALUE"""),"cílený billboard bottom mid season")</f>
        <v>cílený billboard bottom mid season</v>
      </c>
      <c r="H329" s="3">
        <f ca="1">IFERROR(__xludf.DUMMYFUNCTION("""COMPUTED_VALUE"""),7)</f>
        <v>7</v>
      </c>
      <c r="I329" s="5">
        <f ca="1">IFERROR(__xludf.DUMMYFUNCTION("""COMPUTED_VALUE"""),1000)</f>
        <v>1000</v>
      </c>
      <c r="J329" s="5">
        <f ca="1">IFERROR(__xludf.DUMMYFUNCTION("""COMPUTED_VALUE"""),360)</f>
        <v>360</v>
      </c>
      <c r="K329" s="3"/>
      <c r="L329" s="3" t="str">
        <f ca="1">IFERROR(__xludf.DUMMYFUNCTION("""COMPUTED_VALUE"""),"Cost per period")</f>
        <v>Cost per period</v>
      </c>
      <c r="M329" s="3"/>
      <c r="N329" s="3"/>
      <c r="O329" s="3" t="str">
        <f ca="1">IFERROR(__xludf.DUMMYFUNCTION("""COMPUTED_VALUE"""),"970")</f>
        <v>970</v>
      </c>
      <c r="P329" s="3" t="str">
        <f ca="1">IFERROR(__xludf.DUMMYFUNCTION("""COMPUTED_VALUE"""),"250")</f>
        <v>250</v>
      </c>
      <c r="Q329" s="3" t="str">
        <f ca="1">IFERROR(__xludf.DUMMYFUNCTION("""COMPUTED_VALUE"""),"970x250")</f>
        <v>970x250</v>
      </c>
      <c r="R329" s="3"/>
      <c r="S329" s="3" t="str">
        <f ca="1">IFERROR(__xludf.DUMMYFUNCTION("""COMPUTED_VALUE"""),"100 (200 - HTML5)")</f>
        <v>100 (200 - HTML5)</v>
      </c>
      <c r="T329" s="3"/>
      <c r="U329" s="3" t="str">
        <f ca="1">IFERROR(__xludf.DUMMYFUNCTION("""COMPUTED_VALUE"""),"banner standard")</f>
        <v>banner standard</v>
      </c>
      <c r="V329" s="3"/>
      <c r="W329" s="4" t="str">
        <f ca="1">IFERROR(__xludf.DUMMYFUNCTION("""COMPUTED_VALUE"""),"https://reklama.cncenter.cz/Online/billboard-bottom")</f>
        <v>https://reklama.cncenter.cz/Online/billboard-bottom</v>
      </c>
      <c r="X329" s="3"/>
      <c r="Y329" s="3"/>
      <c r="Z329" s="3" t="str">
        <f ca="1">IFERROR(__xludf.DUMMYFUNCTION("""COMPUTED_VALUE"""),"podklady@cncenter.cz")</f>
        <v>podklady@cncenter.cz</v>
      </c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 t="str">
        <f ca="1">IFERROR(__xludf.DUMMYFUNCTION("""COMPUTED_VALUE"""),"desktop")</f>
        <v>desktop</v>
      </c>
      <c r="AO329" s="3"/>
      <c r="AP329" s="3"/>
      <c r="AQ329" s="3"/>
      <c r="AR329" s="3"/>
      <c r="AS329" s="3"/>
      <c r="AT329" s="3"/>
      <c r="AU329" s="3" t="str">
        <f ca="1">IFERROR(__xludf.DUMMYFUNCTION("""COMPUTED_VALUE"""),"cílený billboard bottom")</f>
        <v>cílený billboard bottom</v>
      </c>
    </row>
    <row r="330" spans="1:47" x14ac:dyDescent="0.3">
      <c r="A330" s="3">
        <f ca="1"/>
        <v>2346826</v>
      </c>
      <c r="B330" s="3" t="str">
        <f ca="1"/>
        <v>CZECH NEWS CENTER a. s.</v>
      </c>
      <c r="C330" s="3" t="str">
        <f ca="1">IFERROR(__xludf.DUMMYFUNCTION("""COMPUTED_VALUE"""),"CNC muži pack")</f>
        <v>CNC muži pack</v>
      </c>
      <c r="D330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0" s="3" t="str">
        <f ca="1">IFERROR(__xludf.DUMMYFUNCTION("""COMPUTED_VALUE"""),"celý web")</f>
        <v>celý web</v>
      </c>
      <c r="F330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0" s="3" t="str">
        <f ca="1">IFERROR(__xludf.DUMMYFUNCTION("""COMPUTED_VALUE"""),"cílený branding cross-device mid season")</f>
        <v>cílený branding cross-device mid season</v>
      </c>
      <c r="H330" s="3">
        <f ca="1">IFERROR(__xludf.DUMMYFUNCTION("""COMPUTED_VALUE"""),7)</f>
        <v>7</v>
      </c>
      <c r="I330" s="5">
        <f ca="1">IFERROR(__xludf.DUMMYFUNCTION("""COMPUTED_VALUE"""),1000)</f>
        <v>1000</v>
      </c>
      <c r="J330" s="5">
        <f ca="1">IFERROR(__xludf.DUMMYFUNCTION("""COMPUTED_VALUE"""),456)</f>
        <v>456</v>
      </c>
      <c r="K330" s="3"/>
      <c r="L330" s="3" t="str">
        <f ca="1">IFERROR(__xludf.DUMMYFUNCTION("""COMPUTED_VALUE"""),"Cost per period")</f>
        <v>Cost per period</v>
      </c>
      <c r="M330" s="3"/>
      <c r="N330" s="3"/>
      <c r="O330" s="3" t="str">
        <f ca="1">IFERROR(__xludf.DUMMYFUNCTION("""COMPUTED_VALUE"""),"2000")</f>
        <v>2000</v>
      </c>
      <c r="P330" s="3" t="str">
        <f ca="1">IFERROR(__xludf.DUMMYFUNCTION("""COMPUTED_VALUE"""),"1400")</f>
        <v>1400</v>
      </c>
      <c r="Q330" s="3" t="str">
        <f ca="1">IFERROR(__xludf.DUMMYFUNCTION("""COMPUTED_VALUE"""),"2000x1400 + 600x1080")</f>
        <v>2000x1400 + 600x1080</v>
      </c>
      <c r="R330" s="3"/>
      <c r="S330" s="3" t="str">
        <f ca="1">IFERROR(__xludf.DUMMYFUNCTION("""COMPUTED_VALUE"""),"500 (600 - HTLM5)")</f>
        <v>500 (600 - HTLM5)</v>
      </c>
      <c r="T330" s="3"/>
      <c r="U330" s="3" t="str">
        <f ca="1">IFERROR(__xludf.DUMMYFUNCTION("""COMPUTED_VALUE"""),"banner standard")</f>
        <v>banner standard</v>
      </c>
      <c r="V330" s="3"/>
      <c r="W330" s="4" t="str">
        <f ca="1">IFERROR(__xludf.DUMMYFUNCTION("""COMPUTED_VALUE"""),"https://reklama.cncenter.cz/Online/branding-cross-device")</f>
        <v>https://reklama.cncenter.cz/Online/branding-cross-device</v>
      </c>
      <c r="X330" s="3"/>
      <c r="Y330" s="3"/>
      <c r="Z330" s="3" t="str">
        <f ca="1">IFERROR(__xludf.DUMMYFUNCTION("""COMPUTED_VALUE"""),"podklady@cncenter.cz")</f>
        <v>podklady@cncenter.cz</v>
      </c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 t="str">
        <f ca="1">IFERROR(__xludf.DUMMYFUNCTION("""COMPUTED_VALUE"""),"cross-device")</f>
        <v>cross-device</v>
      </c>
      <c r="AO330" s="3"/>
      <c r="AP330" s="3"/>
      <c r="AQ330" s="3"/>
      <c r="AR330" s="3"/>
      <c r="AS330" s="3"/>
      <c r="AT330" s="3"/>
      <c r="AU330" s="3" t="str">
        <f ca="1">IFERROR(__xludf.DUMMYFUNCTION("""COMPUTED_VALUE"""),"cílený branding cross-device")</f>
        <v>cílený branding cross-device</v>
      </c>
    </row>
    <row r="331" spans="1:47" x14ac:dyDescent="0.3">
      <c r="A331" s="3">
        <f ca="1"/>
        <v>2346826</v>
      </c>
      <c r="B331" s="3" t="str">
        <f ca="1"/>
        <v>CZECH NEWS CENTER a. s.</v>
      </c>
      <c r="C331" s="3" t="str">
        <f ca="1">IFERROR(__xludf.DUMMYFUNCTION("""COMPUTED_VALUE"""),"CNC muži pack")</f>
        <v>CNC muži pack</v>
      </c>
      <c r="D331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1" s="3" t="str">
        <f ca="1">IFERROR(__xludf.DUMMYFUNCTION("""COMPUTED_VALUE"""),"celý web")</f>
        <v>celý web</v>
      </c>
      <c r="F331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1" s="3" t="str">
        <f ca="1">IFERROR(__xludf.DUMMYFUNCTION("""COMPUTED_VALUE"""),"cílený branding mid season")</f>
        <v>cílený branding mid season</v>
      </c>
      <c r="H331" s="3">
        <f ca="1">IFERROR(__xludf.DUMMYFUNCTION("""COMPUTED_VALUE"""),7)</f>
        <v>7</v>
      </c>
      <c r="I331" s="5">
        <f ca="1">IFERROR(__xludf.DUMMYFUNCTION("""COMPUTED_VALUE"""),1000)</f>
        <v>1000</v>
      </c>
      <c r="J331" s="5">
        <f ca="1">IFERROR(__xludf.DUMMYFUNCTION("""COMPUTED_VALUE"""),672)</f>
        <v>672</v>
      </c>
      <c r="K331" s="3"/>
      <c r="L331" s="3" t="str">
        <f ca="1">IFERROR(__xludf.DUMMYFUNCTION("""COMPUTED_VALUE"""),"Cost per period")</f>
        <v>Cost per period</v>
      </c>
      <c r="M331" s="3"/>
      <c r="N331" s="3"/>
      <c r="O331" s="3" t="str">
        <f ca="1">IFERROR(__xludf.DUMMYFUNCTION("""COMPUTED_VALUE"""),"2000")</f>
        <v>2000</v>
      </c>
      <c r="P331" s="3" t="str">
        <f ca="1">IFERROR(__xludf.DUMMYFUNCTION("""COMPUTED_VALUE"""),"1400")</f>
        <v>1400</v>
      </c>
      <c r="Q331" s="3" t="str">
        <f ca="1">IFERROR(__xludf.DUMMYFUNCTION("""COMPUTED_VALUE"""),"2000x1400")</f>
        <v>2000x1400</v>
      </c>
      <c r="R331" s="3"/>
      <c r="S331" s="3" t="str">
        <f ca="1">IFERROR(__xludf.DUMMYFUNCTION("""COMPUTED_VALUE"""),"500 + 200 (600+200 HTML5)")</f>
        <v>500 + 200 (600+200 HTML5)</v>
      </c>
      <c r="T331" s="3"/>
      <c r="U331" s="3" t="str">
        <f ca="1">IFERROR(__xludf.DUMMYFUNCTION("""COMPUTED_VALUE"""),"banner standard")</f>
        <v>banner standard</v>
      </c>
      <c r="V331" s="3"/>
      <c r="W331" s="4" t="str">
        <f ca="1">IFERROR(__xludf.DUMMYFUNCTION("""COMPUTED_VALUE"""),"https://reklama.cncenter.cz/Online/branding")</f>
        <v>https://reklama.cncenter.cz/Online/branding</v>
      </c>
      <c r="X331" s="3"/>
      <c r="Y331" s="3"/>
      <c r="Z331" s="3" t="str">
        <f ca="1">IFERROR(__xludf.DUMMYFUNCTION("""COMPUTED_VALUE"""),"podklady@cncenter.cz")</f>
        <v>podklady@cncenter.cz</v>
      </c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 t="str">
        <f ca="1">IFERROR(__xludf.DUMMYFUNCTION("""COMPUTED_VALUE"""),"desktop")</f>
        <v>desktop</v>
      </c>
      <c r="AO331" s="3"/>
      <c r="AP331" s="3"/>
      <c r="AQ331" s="3"/>
      <c r="AR331" s="3"/>
      <c r="AS331" s="3"/>
      <c r="AT331" s="3"/>
      <c r="AU331" s="3" t="str">
        <f ca="1">IFERROR(__xludf.DUMMYFUNCTION("""COMPUTED_VALUE"""),"cílený branding")</f>
        <v>cílený branding</v>
      </c>
    </row>
    <row r="332" spans="1:47" x14ac:dyDescent="0.3">
      <c r="A332" s="3">
        <f ca="1"/>
        <v>2346826</v>
      </c>
      <c r="B332" s="3" t="str">
        <f ca="1"/>
        <v>CZECH NEWS CENTER a. s.</v>
      </c>
      <c r="C332" s="3" t="str">
        <f ca="1">IFERROR(__xludf.DUMMYFUNCTION("""COMPUTED_VALUE"""),"CNC muži pack")</f>
        <v>CNC muži pack</v>
      </c>
      <c r="D332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2" s="3" t="str">
        <f ca="1">IFERROR(__xludf.DUMMYFUNCTION("""COMPUTED_VALUE"""),"celý web")</f>
        <v>celý web</v>
      </c>
      <c r="F332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2" s="3" t="str">
        <f ca="1">IFERROR(__xludf.DUMMYFUNCTION("""COMPUTED_VALUE"""),"cílený double skyscraper mid season")</f>
        <v>cílený double skyscraper mid season</v>
      </c>
      <c r="H332" s="3">
        <f ca="1">IFERROR(__xludf.DUMMYFUNCTION("""COMPUTED_VALUE"""),7)</f>
        <v>7</v>
      </c>
      <c r="I332" s="5">
        <f ca="1">IFERROR(__xludf.DUMMYFUNCTION("""COMPUTED_VALUE"""),1000)</f>
        <v>1000</v>
      </c>
      <c r="J332" s="5">
        <f ca="1">IFERROR(__xludf.DUMMYFUNCTION("""COMPUTED_VALUE"""),252)</f>
        <v>252</v>
      </c>
      <c r="K332" s="3"/>
      <c r="L332" s="3" t="str">
        <f ca="1">IFERROR(__xludf.DUMMYFUNCTION("""COMPUTED_VALUE"""),"Cost per period")</f>
        <v>Cost per period</v>
      </c>
      <c r="M332" s="3"/>
      <c r="N332" s="3"/>
      <c r="O332" s="3" t="str">
        <f ca="1">IFERROR(__xludf.DUMMYFUNCTION("""COMPUTED_VALUE"""),"300")</f>
        <v>300</v>
      </c>
      <c r="P332" s="3" t="str">
        <f ca="1">IFERROR(__xludf.DUMMYFUNCTION("""COMPUTED_VALUE"""),"600")</f>
        <v>600</v>
      </c>
      <c r="Q332" s="3" t="str">
        <f ca="1">IFERROR(__xludf.DUMMYFUNCTION("""COMPUTED_VALUE"""),"300x600")</f>
        <v>300x600</v>
      </c>
      <c r="R332" s="3"/>
      <c r="S332" s="3" t="str">
        <f ca="1">IFERROR(__xludf.DUMMYFUNCTION("""COMPUTED_VALUE"""),"100 (200 - HTML5)")</f>
        <v>100 (200 - HTML5)</v>
      </c>
      <c r="T332" s="3"/>
      <c r="U332" s="3" t="str">
        <f ca="1">IFERROR(__xludf.DUMMYFUNCTION("""COMPUTED_VALUE"""),"banner standard")</f>
        <v>banner standard</v>
      </c>
      <c r="V332" s="3"/>
      <c r="W332" s="4" t="str">
        <f ca="1">IFERROR(__xludf.DUMMYFUNCTION("""COMPUTED_VALUE"""),"https://reklama.cncenter.cz/Online/double-skyscraper")</f>
        <v>https://reklama.cncenter.cz/Online/double-skyscraper</v>
      </c>
      <c r="X332" s="3"/>
      <c r="Y332" s="3"/>
      <c r="Z332" s="3" t="str">
        <f ca="1">IFERROR(__xludf.DUMMYFUNCTION("""COMPUTED_VALUE"""),"podklady@cncenter.cz")</f>
        <v>podklady@cncenter.cz</v>
      </c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 t="str">
        <f ca="1">IFERROR(__xludf.DUMMYFUNCTION("""COMPUTED_VALUE"""),"desktop")</f>
        <v>desktop</v>
      </c>
      <c r="AO332" s="3"/>
      <c r="AP332" s="3"/>
      <c r="AQ332" s="3"/>
      <c r="AR332" s="3"/>
      <c r="AS332" s="3"/>
      <c r="AT332" s="3"/>
      <c r="AU332" s="3" t="str">
        <f ca="1">IFERROR(__xludf.DUMMYFUNCTION("""COMPUTED_VALUE"""),"cílený double skyscraper")</f>
        <v>cílený double skyscraper</v>
      </c>
    </row>
    <row r="333" spans="1:47" x14ac:dyDescent="0.3">
      <c r="A333" s="3">
        <f ca="1"/>
        <v>2346826</v>
      </c>
      <c r="B333" s="3" t="str">
        <f ca="1"/>
        <v>CZECH NEWS CENTER a. s.</v>
      </c>
      <c r="C333" s="3" t="str">
        <f ca="1">IFERROR(__xludf.DUMMYFUNCTION("""COMPUTED_VALUE"""),"CNC muži pack")</f>
        <v>CNC muži pack</v>
      </c>
      <c r="D333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3" s="3" t="str">
        <f ca="1">IFERROR(__xludf.DUMMYFUNCTION("""COMPUTED_VALUE"""),"celý web")</f>
        <v>celý web</v>
      </c>
      <c r="F333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3" s="3" t="str">
        <f ca="1">IFERROR(__xludf.DUMMYFUNCTION("""COMPUTED_VALUE"""),"cílený mini videospot - max. 30 sec. mid season")</f>
        <v>cílený mini videospot - max. 30 sec. mid season</v>
      </c>
      <c r="H333" s="3">
        <f ca="1">IFERROR(__xludf.DUMMYFUNCTION("""COMPUTED_VALUE"""),7)</f>
        <v>7</v>
      </c>
      <c r="I333" s="5">
        <f ca="1">IFERROR(__xludf.DUMMYFUNCTION("""COMPUTED_VALUE"""),1000)</f>
        <v>1000</v>
      </c>
      <c r="J333" s="5">
        <f ca="1">IFERROR(__xludf.DUMMYFUNCTION("""COMPUTED_VALUE"""),252)</f>
        <v>252</v>
      </c>
      <c r="K333" s="3"/>
      <c r="L333" s="3" t="str">
        <f ca="1">IFERROR(__xludf.DUMMYFUNCTION("""COMPUTED_VALUE"""),"Cost per period")</f>
        <v>Cost per period</v>
      </c>
      <c r="M333" s="3"/>
      <c r="N333" s="3"/>
      <c r="O333" s="3"/>
      <c r="P333" s="3"/>
      <c r="Q333" s="3" t="str">
        <f ca="1">IFERROR(__xludf.DUMMYFUNCTION("""COMPUTED_VALUE"""),"16:9 / umístění po domluvě dle možností")</f>
        <v>16:9 / umístění po domluvě dle možností</v>
      </c>
      <c r="R333" s="3" t="str">
        <f ca="1">IFERROR(__xludf.DUMMYFUNCTION("""COMPUTED_VALUE"""),"přeskočení po 7 sekundách")</f>
        <v>přeskočení po 7 sekundách</v>
      </c>
      <c r="S333" s="3" t="str">
        <f ca="1">IFERROR(__xludf.DUMMYFUNCTION("""COMPUTED_VALUE"""),"100")</f>
        <v>100</v>
      </c>
      <c r="T333" s="3"/>
      <c r="U333" s="3" t="str">
        <f ca="1">IFERROR(__xludf.DUMMYFUNCTION("""COMPUTED_VALUE"""),"videospot")</f>
        <v>videospot</v>
      </c>
      <c r="V333" s="3"/>
      <c r="W333" s="4" t="str">
        <f ca="1">IFERROR(__xludf.DUMMYFUNCTION("""COMPUTED_VALUE"""),"https://reklama.cncenter.cz/Online/Videospot")</f>
        <v>https://reklama.cncenter.cz/Online/Videospot</v>
      </c>
      <c r="X333" s="3"/>
      <c r="Y333" s="3"/>
      <c r="Z333" s="3" t="str">
        <f ca="1">IFERROR(__xludf.DUMMYFUNCTION("""COMPUTED_VALUE"""),"podklady@cncenter.cz")</f>
        <v>podklady@cncenter.cz</v>
      </c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 t="str">
        <f ca="1">IFERROR(__xludf.DUMMYFUNCTION("""COMPUTED_VALUE"""),"desktop")</f>
        <v>desktop</v>
      </c>
      <c r="AO333" s="3"/>
      <c r="AP333" s="3"/>
      <c r="AQ333" s="3"/>
      <c r="AR333" s="3"/>
      <c r="AS333" s="3"/>
      <c r="AT333" s="3"/>
      <c r="AU333" s="3" t="str">
        <f ca="1">IFERROR(__xludf.DUMMYFUNCTION("""COMPUTED_VALUE"""),"cílený mini videospot - max. 30 sec.")</f>
        <v>cílený mini videospot - max. 30 sec.</v>
      </c>
    </row>
    <row r="334" spans="1:47" x14ac:dyDescent="0.3">
      <c r="A334" s="3">
        <f ca="1"/>
        <v>2346826</v>
      </c>
      <c r="B334" s="3" t="str">
        <f ca="1"/>
        <v>CZECH NEWS CENTER a. s.</v>
      </c>
      <c r="C334" s="3" t="str">
        <f ca="1">IFERROR(__xludf.DUMMYFUNCTION("""COMPUTED_VALUE"""),"CNC muži pack")</f>
        <v>CNC muži pack</v>
      </c>
      <c r="D334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4" s="3" t="str">
        <f ca="1">IFERROR(__xludf.DUMMYFUNCTION("""COMPUTED_VALUE"""),"celý web")</f>
        <v>celý web</v>
      </c>
      <c r="F334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4" s="3" t="str">
        <f ca="1">IFERROR(__xludf.DUMMYFUNCTION("""COMPUTED_VALUE"""),"cílený mobilní interscroller mid season")</f>
        <v>cílený mobilní interscroller mid season</v>
      </c>
      <c r="H334" s="3">
        <f ca="1">IFERROR(__xludf.DUMMYFUNCTION("""COMPUTED_VALUE"""),7)</f>
        <v>7</v>
      </c>
      <c r="I334" s="5">
        <f ca="1">IFERROR(__xludf.DUMMYFUNCTION("""COMPUTED_VALUE"""),1000)</f>
        <v>1000</v>
      </c>
      <c r="J334" s="5">
        <f ca="1">IFERROR(__xludf.DUMMYFUNCTION("""COMPUTED_VALUE"""),336)</f>
        <v>336</v>
      </c>
      <c r="K334" s="3"/>
      <c r="L334" s="3" t="str">
        <f ca="1">IFERROR(__xludf.DUMMYFUNCTION("""COMPUTED_VALUE"""),"Cost per period")</f>
        <v>Cost per period</v>
      </c>
      <c r="M334" s="3"/>
      <c r="N334" s="3"/>
      <c r="O334" s="3" t="str">
        <f ca="1">IFERROR(__xludf.DUMMYFUNCTION("""COMPUTED_VALUE"""),"600")</f>
        <v>600</v>
      </c>
      <c r="P334" s="3" t="str">
        <f ca="1">IFERROR(__xludf.DUMMYFUNCTION("""COMPUTED_VALUE"""),"1080")</f>
        <v>1080</v>
      </c>
      <c r="Q334" s="3" t="str">
        <f ca="1">IFERROR(__xludf.DUMMYFUNCTION("""COMPUTED_VALUE"""),"600x1080")</f>
        <v>600x1080</v>
      </c>
      <c r="R334" s="3"/>
      <c r="S334" s="3" t="str">
        <f ca="1">IFERROR(__xludf.DUMMYFUNCTION("""COMPUTED_VALUE"""),"200")</f>
        <v>200</v>
      </c>
      <c r="T334" s="3"/>
      <c r="U334" s="3" t="str">
        <f ca="1">IFERROR(__xludf.DUMMYFUNCTION("""COMPUTED_VALUE"""),"banner standard")</f>
        <v>banner standard</v>
      </c>
      <c r="V334" s="3"/>
      <c r="W334" s="4" t="str">
        <f ca="1">IFERROR(__xludf.DUMMYFUNCTION("""COMPUTED_VALUE"""),"https://reklama.cncenter.cz/Online/mobilni-interscroller")</f>
        <v>https://reklama.cncenter.cz/Online/mobilni-interscroller</v>
      </c>
      <c r="X334" s="3"/>
      <c r="Y334" s="3"/>
      <c r="Z334" s="3" t="str">
        <f ca="1">IFERROR(__xludf.DUMMYFUNCTION("""COMPUTED_VALUE"""),"podklady@cncenter.cz")</f>
        <v>podklady@cncenter.cz</v>
      </c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 t="str">
        <f ca="1">IFERROR(__xludf.DUMMYFUNCTION("""COMPUTED_VALUE"""),"mobile")</f>
        <v>mobile</v>
      </c>
      <c r="AO334" s="3"/>
      <c r="AP334" s="3"/>
      <c r="AQ334" s="3"/>
      <c r="AR334" s="3"/>
      <c r="AS334" s="3"/>
      <c r="AT334" s="3"/>
      <c r="AU334" s="3" t="str">
        <f ca="1">IFERROR(__xludf.DUMMYFUNCTION("""COMPUTED_VALUE"""),"cílený mobilní interscroller")</f>
        <v>cílený mobilní interscroller</v>
      </c>
    </row>
    <row r="335" spans="1:47" x14ac:dyDescent="0.3">
      <c r="A335" s="3">
        <f ca="1"/>
        <v>2346826</v>
      </c>
      <c r="B335" s="3" t="str">
        <f ca="1"/>
        <v>CZECH NEWS CENTER a. s.</v>
      </c>
      <c r="C335" s="3" t="str">
        <f ca="1">IFERROR(__xludf.DUMMYFUNCTION("""COMPUTED_VALUE"""),"CNC muži pack")</f>
        <v>CNC muži pack</v>
      </c>
      <c r="D335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5" s="3" t="str">
        <f ca="1">IFERROR(__xludf.DUMMYFUNCTION("""COMPUTED_VALUE"""),"celý web")</f>
        <v>celý web</v>
      </c>
      <c r="F335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5" s="3" t="str">
        <f ca="1">IFERROR(__xludf.DUMMYFUNCTION("""COMPUTED_VALUE"""),"cílený mobilní slide-up mid season")</f>
        <v>cílený mobilní slide-up mid season</v>
      </c>
      <c r="H335" s="3">
        <f ca="1">IFERROR(__xludf.DUMMYFUNCTION("""COMPUTED_VALUE"""),7)</f>
        <v>7</v>
      </c>
      <c r="I335" s="5">
        <f ca="1">IFERROR(__xludf.DUMMYFUNCTION("""COMPUTED_VALUE"""),1000)</f>
        <v>1000</v>
      </c>
      <c r="J335" s="5">
        <f ca="1">IFERROR(__xludf.DUMMYFUNCTION("""COMPUTED_VALUE"""),672)</f>
        <v>672</v>
      </c>
      <c r="K335" s="3"/>
      <c r="L335" s="3" t="str">
        <f ca="1">IFERROR(__xludf.DUMMYFUNCTION("""COMPUTED_VALUE"""),"Cost per period")</f>
        <v>Cost per period</v>
      </c>
      <c r="M335" s="3"/>
      <c r="N335" s="3"/>
      <c r="O335" s="3" t="str">
        <f ca="1">IFERROR(__xludf.DUMMYFUNCTION("""COMPUTED_VALUE"""),"300")</f>
        <v>300</v>
      </c>
      <c r="P335" s="3" t="str">
        <f ca="1">IFERROR(__xludf.DUMMYFUNCTION("""COMPUTED_VALUE"""),"120")</f>
        <v>120</v>
      </c>
      <c r="Q335" s="3" t="str">
        <f ca="1">IFERROR(__xludf.DUMMYFUNCTION("""COMPUTED_VALUE"""),"300x120")</f>
        <v>300x120</v>
      </c>
      <c r="R335" s="3"/>
      <c r="S335" s="3" t="str">
        <f ca="1">IFERROR(__xludf.DUMMYFUNCTION("""COMPUTED_VALUE"""),"100")</f>
        <v>100</v>
      </c>
      <c r="T335" s="3"/>
      <c r="U335" s="3" t="str">
        <f ca="1">IFERROR(__xludf.DUMMYFUNCTION("""COMPUTED_VALUE"""),"banner standard")</f>
        <v>banner standard</v>
      </c>
      <c r="V335" s="3"/>
      <c r="W335" s="4" t="str">
        <f ca="1">IFERROR(__xludf.DUMMYFUNCTION("""COMPUTED_VALUE"""),"https://reklama.cncenter.cz/Online/mobilni-slide-up")</f>
        <v>https://reklama.cncenter.cz/Online/mobilni-slide-up</v>
      </c>
      <c r="X335" s="3"/>
      <c r="Y335" s="3"/>
      <c r="Z335" s="3" t="str">
        <f ca="1">IFERROR(__xludf.DUMMYFUNCTION("""COMPUTED_VALUE"""),"podklady@cncenter.cz")</f>
        <v>podklady@cncenter.cz</v>
      </c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 t="str">
        <f ca="1">IFERROR(__xludf.DUMMYFUNCTION("""COMPUTED_VALUE"""),"mobile")</f>
        <v>mobile</v>
      </c>
      <c r="AO335" s="3"/>
      <c r="AP335" s="3"/>
      <c r="AQ335" s="3"/>
      <c r="AR335" s="3"/>
      <c r="AS335" s="3"/>
      <c r="AT335" s="3"/>
      <c r="AU335" s="3" t="str">
        <f ca="1">IFERROR(__xludf.DUMMYFUNCTION("""COMPUTED_VALUE"""),"cílený mobilní slide-up")</f>
        <v>cílený mobilní slide-up</v>
      </c>
    </row>
    <row r="336" spans="1:47" x14ac:dyDescent="0.3">
      <c r="A336" s="3">
        <f ca="1"/>
        <v>2346826</v>
      </c>
      <c r="B336" s="3" t="str">
        <f ca="1"/>
        <v>CZECH NEWS CENTER a. s.</v>
      </c>
      <c r="C336" s="3" t="str">
        <f ca="1">IFERROR(__xludf.DUMMYFUNCTION("""COMPUTED_VALUE"""),"CNC muži pack")</f>
        <v>CNC muži pack</v>
      </c>
      <c r="D336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6" s="3" t="str">
        <f ca="1">IFERROR(__xludf.DUMMYFUNCTION("""COMPUTED_VALUE"""),"celý web")</f>
        <v>celý web</v>
      </c>
      <c r="F336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6" s="3" t="str">
        <f ca="1">IFERROR(__xludf.DUMMYFUNCTION("""COMPUTED_VALUE"""),"cílený mobilní viněta mid season")</f>
        <v>cílený mobilní viněta mid season</v>
      </c>
      <c r="H336" s="3">
        <f ca="1">IFERROR(__xludf.DUMMYFUNCTION("""COMPUTED_VALUE"""),7)</f>
        <v>7</v>
      </c>
      <c r="I336" s="5">
        <f ca="1">IFERROR(__xludf.DUMMYFUNCTION("""COMPUTED_VALUE"""),1000)</f>
        <v>1000</v>
      </c>
      <c r="J336" s="5">
        <f ca="1">IFERROR(__xludf.DUMMYFUNCTION("""COMPUTED_VALUE"""),948)</f>
        <v>948</v>
      </c>
      <c r="K336" s="3"/>
      <c r="L336" s="3" t="str">
        <f ca="1">IFERROR(__xludf.DUMMYFUNCTION("""COMPUTED_VALUE"""),"Cost per period")</f>
        <v>Cost per period</v>
      </c>
      <c r="M336" s="3"/>
      <c r="N336" s="3"/>
      <c r="O336" s="3" t="str">
        <f ca="1">IFERROR(__xludf.DUMMYFUNCTION("""COMPUTED_VALUE"""),"600")</f>
        <v>600</v>
      </c>
      <c r="P336" s="3" t="str">
        <f ca="1">IFERROR(__xludf.DUMMYFUNCTION("""COMPUTED_VALUE"""),"800")</f>
        <v>800</v>
      </c>
      <c r="Q336" s="3" t="str">
        <f ca="1">IFERROR(__xludf.DUMMYFUNCTION("""COMPUTED_VALUE"""),"300x250 nebo 600x800")</f>
        <v>300x250 nebo 600x800</v>
      </c>
      <c r="R336" s="3"/>
      <c r="S336" s="3" t="str">
        <f ca="1">IFERROR(__xludf.DUMMYFUNCTION("""COMPUTED_VALUE"""),"100")</f>
        <v>100</v>
      </c>
      <c r="T336" s="3"/>
      <c r="U336" s="3" t="str">
        <f ca="1">IFERROR(__xludf.DUMMYFUNCTION("""COMPUTED_VALUE"""),"banner standard")</f>
        <v>banner standard</v>
      </c>
      <c r="V336" s="3"/>
      <c r="W336" s="4" t="str">
        <f ca="1">IFERROR(__xludf.DUMMYFUNCTION("""COMPUTED_VALUE"""),"https://reklama.cncenter.cz/Online/mobilni-vineta")</f>
        <v>https://reklama.cncenter.cz/Online/mobilni-vineta</v>
      </c>
      <c r="X336" s="3"/>
      <c r="Y336" s="3"/>
      <c r="Z336" s="3" t="str">
        <f ca="1">IFERROR(__xludf.DUMMYFUNCTION("""COMPUTED_VALUE"""),"podklady@cncenter.cz")</f>
        <v>podklady@cncenter.cz</v>
      </c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 t="str">
        <f ca="1">IFERROR(__xludf.DUMMYFUNCTION("""COMPUTED_VALUE"""),"mobile")</f>
        <v>mobile</v>
      </c>
      <c r="AO336" s="3"/>
      <c r="AP336" s="3"/>
      <c r="AQ336" s="3"/>
      <c r="AR336" s="3"/>
      <c r="AS336" s="3"/>
      <c r="AT336" s="3"/>
      <c r="AU336" s="3" t="str">
        <f ca="1">IFERROR(__xludf.DUMMYFUNCTION("""COMPUTED_VALUE"""),"cílený mobilní viněta")</f>
        <v>cílený mobilní viněta</v>
      </c>
    </row>
    <row r="337" spans="1:47" x14ac:dyDescent="0.3">
      <c r="A337" s="3">
        <f ca="1"/>
        <v>2346826</v>
      </c>
      <c r="B337" s="3" t="str">
        <f ca="1"/>
        <v>CZECH NEWS CENTER a. s.</v>
      </c>
      <c r="C337" s="3" t="str">
        <f ca="1">IFERROR(__xludf.DUMMYFUNCTION("""COMPUTED_VALUE"""),"CNC muži pack")</f>
        <v>CNC muži pack</v>
      </c>
      <c r="D337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7" s="3" t="str">
        <f ca="1">IFERROR(__xludf.DUMMYFUNCTION("""COMPUTED_VALUE"""),"celý web")</f>
        <v>celý web</v>
      </c>
      <c r="F337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7" s="3" t="str">
        <f ca="1">IFERROR(__xludf.DUMMYFUNCTION("""COMPUTED_VALUE"""),"cílený nativní rectangle cross-device mid season")</f>
        <v>cílený nativní rectangle cross-device mid season</v>
      </c>
      <c r="H337" s="3">
        <f ca="1">IFERROR(__xludf.DUMMYFUNCTION("""COMPUTED_VALUE"""),7)</f>
        <v>7</v>
      </c>
      <c r="I337" s="5">
        <f ca="1">IFERROR(__xludf.DUMMYFUNCTION("""COMPUTED_VALUE"""),1000)</f>
        <v>1000</v>
      </c>
      <c r="J337" s="5">
        <f ca="1">IFERROR(__xludf.DUMMYFUNCTION("""COMPUTED_VALUE"""),252)</f>
        <v>252</v>
      </c>
      <c r="K337" s="3"/>
      <c r="L337" s="3" t="str">
        <f ca="1">IFERROR(__xludf.DUMMYFUNCTION("""COMPUTED_VALUE"""),"Cost per period")</f>
        <v>Cost per period</v>
      </c>
      <c r="M337" s="3"/>
      <c r="N337" s="3"/>
      <c r="O337" s="3" t="str">
        <f ca="1">IFERROR(__xludf.DUMMYFUNCTION("""COMPUTED_VALUE"""),"640")</f>
        <v>640</v>
      </c>
      <c r="P337" s="3" t="str">
        <f ca="1">IFERROR(__xludf.DUMMYFUNCTION("""COMPUTED_VALUE"""),"335, 640")</f>
        <v>335, 640</v>
      </c>
      <c r="Q337" s="3" t="str">
        <f ca="1">IFERROR(__xludf.DUMMYFUNCTION("""COMPUTED_VALUE"""),"640x640 a 640x335 + text + logo")</f>
        <v>640x640 a 640x335 + text + logo</v>
      </c>
      <c r="R337" s="3"/>
      <c r="S337" s="3" t="str">
        <f ca="1">IFERROR(__xludf.DUMMYFUNCTION("""COMPUTED_VALUE"""),"45")</f>
        <v>45</v>
      </c>
      <c r="T337" s="3"/>
      <c r="U337" s="3" t="str">
        <f ca="1">IFERROR(__xludf.DUMMYFUNCTION("""COMPUTED_VALUE"""),"nativní reklama")</f>
        <v>nativní reklama</v>
      </c>
      <c r="V337" s="3"/>
      <c r="W337" s="4" t="str">
        <f ca="1">IFERROR(__xludf.DUMMYFUNCTION("""COMPUTED_VALUE"""),"https://reklama.cncenter.cz/Online/nativni-rectangle-cross-device")</f>
        <v>https://reklama.cncenter.cz/Online/nativni-rectangle-cross-device</v>
      </c>
      <c r="X337" s="3"/>
      <c r="Y337" s="3"/>
      <c r="Z337" s="3" t="str">
        <f ca="1">IFERROR(__xludf.DUMMYFUNCTION("""COMPUTED_VALUE"""),"podklady@cncenter.cz")</f>
        <v>podklady@cncenter.cz</v>
      </c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 t="str">
        <f ca="1">IFERROR(__xludf.DUMMYFUNCTION("""COMPUTED_VALUE"""),"cross-device")</f>
        <v>cross-device</v>
      </c>
      <c r="AO337" s="3"/>
      <c r="AP337" s="3"/>
      <c r="AQ337" s="3"/>
      <c r="AR337" s="3"/>
      <c r="AS337" s="3"/>
      <c r="AT337" s="3"/>
      <c r="AU337" s="3" t="str">
        <f ca="1">IFERROR(__xludf.DUMMYFUNCTION("""COMPUTED_VALUE"""),"cílený nativní rectangle cross-device")</f>
        <v>cílený nativní rectangle cross-device</v>
      </c>
    </row>
    <row r="338" spans="1:47" x14ac:dyDescent="0.3">
      <c r="A338" s="3">
        <f ca="1"/>
        <v>2346826</v>
      </c>
      <c r="B338" s="3" t="str">
        <f ca="1"/>
        <v>CZECH NEWS CENTER a. s.</v>
      </c>
      <c r="C338" s="3" t="str">
        <f ca="1">IFERROR(__xludf.DUMMYFUNCTION("""COMPUTED_VALUE"""),"CNC muži pack")</f>
        <v>CNC muži pack</v>
      </c>
      <c r="D338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8" s="3" t="str">
        <f ca="1">IFERROR(__xludf.DUMMYFUNCTION("""COMPUTED_VALUE"""),"celý web")</f>
        <v>celý web</v>
      </c>
      <c r="F338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8" s="3" t="str">
        <f ca="1">IFERROR(__xludf.DUMMYFUNCTION("""COMPUTED_VALUE"""),"cílený outstream mid season")</f>
        <v>cílený outstream mid season</v>
      </c>
      <c r="H338" s="3">
        <f ca="1">IFERROR(__xludf.DUMMYFUNCTION("""COMPUTED_VALUE"""),7)</f>
        <v>7</v>
      </c>
      <c r="I338" s="5">
        <f ca="1">IFERROR(__xludf.DUMMYFUNCTION("""COMPUTED_VALUE"""),1000)</f>
        <v>1000</v>
      </c>
      <c r="J338" s="5">
        <f ca="1">IFERROR(__xludf.DUMMYFUNCTION("""COMPUTED_VALUE"""),396)</f>
        <v>396</v>
      </c>
      <c r="K338" s="3"/>
      <c r="L338" s="3" t="str">
        <f ca="1">IFERROR(__xludf.DUMMYFUNCTION("""COMPUTED_VALUE"""),"Cost per period")</f>
        <v>Cost per period</v>
      </c>
      <c r="M338" s="3"/>
      <c r="N338" s="3"/>
      <c r="O338" s="3" t="str">
        <f ca="1">IFERROR(__xludf.DUMMYFUNCTION("""COMPUTED_VALUE"""),"1280")</f>
        <v>1280</v>
      </c>
      <c r="P338" s="3" t="str">
        <f ca="1">IFERROR(__xludf.DUMMYFUNCTION("""COMPUTED_VALUE"""),"720")</f>
        <v>720</v>
      </c>
      <c r="Q338" s="3" t="str">
        <f ca="1">IFERROR(__xludf.DUMMYFUNCTION("""COMPUTED_VALUE"""),"16:9")</f>
        <v>16:9</v>
      </c>
      <c r="R338" s="3"/>
      <c r="S338" s="3" t="str">
        <f ca="1">IFERROR(__xludf.DUMMYFUNCTION("""COMPUTED_VALUE"""),"100")</f>
        <v>100</v>
      </c>
      <c r="T338" s="3"/>
      <c r="U338" s="3" t="str">
        <f ca="1">IFERROR(__xludf.DUMMYFUNCTION("""COMPUTED_VALUE"""),"videospot")</f>
        <v>videospot</v>
      </c>
      <c r="V338" s="3"/>
      <c r="W338" s="4" t="str">
        <f ca="1">IFERROR(__xludf.DUMMYFUNCTION("""COMPUTED_VALUE"""),"https://reklama.cncenter.cz/Online/Outstream")</f>
        <v>https://reklama.cncenter.cz/Online/Outstream</v>
      </c>
      <c r="X338" s="3"/>
      <c r="Y338" s="3"/>
      <c r="Z338" s="3" t="str">
        <f ca="1">IFERROR(__xludf.DUMMYFUNCTION("""COMPUTED_VALUE"""),"podklady@cncenter.cz")</f>
        <v>podklady@cncenter.cz</v>
      </c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 t="str">
        <f ca="1">IFERROR(__xludf.DUMMYFUNCTION("""COMPUTED_VALUE"""),"cross-device")</f>
        <v>cross-device</v>
      </c>
      <c r="AO338" s="3"/>
      <c r="AP338" s="3"/>
      <c r="AQ338" s="3"/>
      <c r="AR338" s="3"/>
      <c r="AS338" s="3"/>
      <c r="AT338" s="3"/>
      <c r="AU338" s="3" t="str">
        <f ca="1">IFERROR(__xludf.DUMMYFUNCTION("""COMPUTED_VALUE"""),"cílený outstream")</f>
        <v>cílený outstream</v>
      </c>
    </row>
    <row r="339" spans="1:47" x14ac:dyDescent="0.3">
      <c r="A339" s="3">
        <f ca="1"/>
        <v>2346826</v>
      </c>
      <c r="B339" s="3" t="str">
        <f ca="1"/>
        <v>CZECH NEWS CENTER a. s.</v>
      </c>
      <c r="C339" s="3" t="str">
        <f ca="1">IFERROR(__xludf.DUMMYFUNCTION("""COMPUTED_VALUE"""),"CNC muži pack")</f>
        <v>CNC muži pack</v>
      </c>
      <c r="D339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9" s="3" t="str">
        <f ca="1">IFERROR(__xludf.DUMMYFUNCTION("""COMPUTED_VALUE"""),"celý web")</f>
        <v>celý web</v>
      </c>
      <c r="F339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9" s="3" t="str">
        <f ca="1">IFERROR(__xludf.DUMMYFUNCTION("""COMPUTED_VALUE"""),"cílený Smarticle mid season")</f>
        <v>cílený Smarticle mid season</v>
      </c>
      <c r="H339" s="3">
        <f ca="1">IFERROR(__xludf.DUMMYFUNCTION("""COMPUTED_VALUE"""),7)</f>
        <v>7</v>
      </c>
      <c r="I339" s="5">
        <f ca="1">IFERROR(__xludf.DUMMYFUNCTION("""COMPUTED_VALUE"""),1000)</f>
        <v>1000</v>
      </c>
      <c r="J339" s="5">
        <f ca="1">IFERROR(__xludf.DUMMYFUNCTION("""COMPUTED_VALUE"""),240)</f>
        <v>240</v>
      </c>
      <c r="K339" s="3"/>
      <c r="L339" s="3" t="str">
        <f ca="1">IFERROR(__xludf.DUMMYFUNCTION("""COMPUTED_VALUE"""),"Cost per period")</f>
        <v>Cost per period</v>
      </c>
      <c r="M339" s="3"/>
      <c r="N339" s="3" t="str">
        <f ca="1">IFERROR(__xludf.DUMMYFUNCTION("""COMPUTED_VALUE"""),"A4")</f>
        <v>A4</v>
      </c>
      <c r="O339" s="3"/>
      <c r="P339" s="3"/>
      <c r="Q339" s="3" t="str">
        <f ca="1">IFERROR(__xludf.DUMMYFUNCTION("""COMPUTED_VALUE"""),"viz. tech.specifikace; HP + sekce")</f>
        <v>viz. tech.specifikace; HP + sekce</v>
      </c>
      <c r="R339" s="3" t="str">
        <f ca="1">IFERROR(__xludf.DUMMYFUNCTION("""COMPUTED_VALUE"""),"HP + sekce")</f>
        <v>HP + sekce</v>
      </c>
      <c r="S339" s="3" t="str">
        <f ca="1">IFERROR(__xludf.DUMMYFUNCTION("""COMPUTED_VALUE"""),"100")</f>
        <v>100</v>
      </c>
      <c r="T339" s="3"/>
      <c r="U339" s="3" t="str">
        <f ca="1">IFERROR(__xludf.DUMMYFUNCTION("""COMPUTED_VALUE"""),"pr článek")</f>
        <v>pr článek</v>
      </c>
      <c r="V339" s="3"/>
      <c r="W339" s="4" t="str">
        <f ca="1">IFERROR(__xludf.DUMMYFUNCTION("""COMPUTED_VALUE"""),"https://reklama.cncenter.cz/Online/Smarticle")</f>
        <v>https://reklama.cncenter.cz/Online/Smarticle</v>
      </c>
      <c r="X339" s="3"/>
      <c r="Y339" s="3"/>
      <c r="Z339" s="3" t="str">
        <f ca="1">IFERROR(__xludf.DUMMYFUNCTION("""COMPUTED_VALUE"""),"podklady@cncenter.cz")</f>
        <v>podklady@cncenter.cz</v>
      </c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 t="str">
        <f ca="1">IFERROR(__xludf.DUMMYFUNCTION("""COMPUTED_VALUE"""),"cross-device")</f>
        <v>cross-device</v>
      </c>
      <c r="AO339" s="3"/>
      <c r="AP339" s="3"/>
      <c r="AQ339" s="3"/>
      <c r="AR339" s="3"/>
      <c r="AS339" s="3"/>
      <c r="AT339" s="3"/>
      <c r="AU339" s="3" t="str">
        <f ca="1">IFERROR(__xludf.DUMMYFUNCTION("""COMPUTED_VALUE"""),"cílený Smarticle")</f>
        <v>cílený Smarticle</v>
      </c>
    </row>
    <row r="340" spans="1:47" x14ac:dyDescent="0.3">
      <c r="A340" s="3">
        <f ca="1"/>
        <v>2346826</v>
      </c>
      <c r="B340" s="3" t="str">
        <f ca="1"/>
        <v>CZECH NEWS CENTER a. s.</v>
      </c>
      <c r="C340" s="3" t="str">
        <f ca="1">IFERROR(__xludf.DUMMYFUNCTION("""COMPUTED_VALUE"""),"CNC muži pack")</f>
        <v>CNC muži pack</v>
      </c>
      <c r="D340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0" s="3" t="str">
        <f ca="1">IFERROR(__xludf.DUMMYFUNCTION("""COMPUTED_VALUE"""),"celý web")</f>
        <v>celý web</v>
      </c>
      <c r="F340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0" s="3" t="str">
        <f ca="1">IFERROR(__xludf.DUMMYFUNCTION("""COMPUTED_VALUE"""),"cílený videospot - max. 30 sec. / bumper mid season")</f>
        <v>cílený videospot - max. 30 sec. / bumper mid season</v>
      </c>
      <c r="H340" s="3">
        <f ca="1">IFERROR(__xludf.DUMMYFUNCTION("""COMPUTED_VALUE"""),7)</f>
        <v>7</v>
      </c>
      <c r="I340" s="5">
        <f ca="1">IFERROR(__xludf.DUMMYFUNCTION("""COMPUTED_VALUE"""),1000)</f>
        <v>1000</v>
      </c>
      <c r="J340" s="5">
        <f ca="1">IFERROR(__xludf.DUMMYFUNCTION("""COMPUTED_VALUE"""),1152)</f>
        <v>1152</v>
      </c>
      <c r="K340" s="3"/>
      <c r="L340" s="3" t="str">
        <f ca="1">IFERROR(__xludf.DUMMYFUNCTION("""COMPUTED_VALUE"""),"Cost per period")</f>
        <v>Cost per period</v>
      </c>
      <c r="M340" s="3"/>
      <c r="N340" s="3"/>
      <c r="O340" s="3" t="str">
        <f ca="1">IFERROR(__xludf.DUMMYFUNCTION("""COMPUTED_VALUE"""),"1280")</f>
        <v>1280</v>
      </c>
      <c r="P340" s="3" t="str">
        <f ca="1">IFERROR(__xludf.DUMMYFUNCTION("""COMPUTED_VALUE"""),"720")</f>
        <v>720</v>
      </c>
      <c r="Q340" s="3" t="str">
        <f ca="1">IFERROR(__xludf.DUMMYFUNCTION("""COMPUTED_VALUE"""),"16:9 / umístění po domluvě dle možností")</f>
        <v>16:9 / umístění po domluvě dle možností</v>
      </c>
      <c r="R340" s="3" t="str">
        <f ca="1">IFERROR(__xludf.DUMMYFUNCTION("""COMPUTED_VALUE"""),"přeskočení po 7 sekundách")</f>
        <v>přeskočení po 7 sekundách</v>
      </c>
      <c r="S340" s="3" t="str">
        <f ca="1">IFERROR(__xludf.DUMMYFUNCTION("""COMPUTED_VALUE"""),"100")</f>
        <v>100</v>
      </c>
      <c r="T340" s="3"/>
      <c r="U340" s="3" t="str">
        <f ca="1">IFERROR(__xludf.DUMMYFUNCTION("""COMPUTED_VALUE"""),"videospot")</f>
        <v>videospot</v>
      </c>
      <c r="V340" s="3"/>
      <c r="W340" s="4" t="str">
        <f ca="1">IFERROR(__xludf.DUMMYFUNCTION("""COMPUTED_VALUE"""),"https://reklama.cncenter.cz/Online/Bumper")</f>
        <v>https://reklama.cncenter.cz/Online/Bumper</v>
      </c>
      <c r="X340" s="3"/>
      <c r="Y340" s="3"/>
      <c r="Z340" s="3" t="str">
        <f ca="1">IFERROR(__xludf.DUMMYFUNCTION("""COMPUTED_VALUE"""),"podklady@cncenter.cz")</f>
        <v>podklady@cncenter.cz</v>
      </c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 t="str">
        <f ca="1">IFERROR(__xludf.DUMMYFUNCTION("""COMPUTED_VALUE"""),"cross-device")</f>
        <v>cross-device</v>
      </c>
      <c r="AO340" s="3"/>
      <c r="AP340" s="3"/>
      <c r="AQ340" s="3"/>
      <c r="AR340" s="3"/>
      <c r="AS340" s="3"/>
      <c r="AT340" s="3"/>
      <c r="AU340" s="3" t="str">
        <f ca="1">IFERROR(__xludf.DUMMYFUNCTION("""COMPUTED_VALUE"""),"cílený videospot - max. 30 sec. / bumper")</f>
        <v>cílený videospot - max. 30 sec. / bumper</v>
      </c>
    </row>
    <row r="341" spans="1:47" x14ac:dyDescent="0.3">
      <c r="A341" s="3">
        <f ca="1"/>
        <v>2346826</v>
      </c>
      <c r="B341" s="3" t="str">
        <f ca="1"/>
        <v>CZECH NEWS CENTER a. s.</v>
      </c>
      <c r="C341" s="3" t="str">
        <f ca="1">IFERROR(__xludf.DUMMYFUNCTION("""COMPUTED_VALUE"""),"CNC muži pack")</f>
        <v>CNC muži pack</v>
      </c>
      <c r="D341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1" s="3" t="str">
        <f ca="1">IFERROR(__xludf.DUMMYFUNCTION("""COMPUTED_VALUE"""),"celý web")</f>
        <v>celý web</v>
      </c>
      <c r="F341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1" s="3" t="str">
        <f ca="1">IFERROR(__xludf.DUMMYFUNCTION("""COMPUTED_VALUE"""),"double skyscraper mid season")</f>
        <v>double skyscraper mid season</v>
      </c>
      <c r="H341" s="3">
        <f ca="1">IFERROR(__xludf.DUMMYFUNCTION("""COMPUTED_VALUE"""),7)</f>
        <v>7</v>
      </c>
      <c r="I341" s="5">
        <f ca="1">IFERROR(__xludf.DUMMYFUNCTION("""COMPUTED_VALUE"""),1000)</f>
        <v>1000</v>
      </c>
      <c r="J341" s="5">
        <f ca="1">IFERROR(__xludf.DUMMYFUNCTION("""COMPUTED_VALUE"""),210)</f>
        <v>210</v>
      </c>
      <c r="K341" s="3"/>
      <c r="L341" s="3" t="str">
        <f ca="1">IFERROR(__xludf.DUMMYFUNCTION("""COMPUTED_VALUE"""),"Cost per period")</f>
        <v>Cost per period</v>
      </c>
      <c r="M341" s="3"/>
      <c r="N341" s="3"/>
      <c r="O341" s="3" t="str">
        <f ca="1">IFERROR(__xludf.DUMMYFUNCTION("""COMPUTED_VALUE"""),"300")</f>
        <v>300</v>
      </c>
      <c r="P341" s="3" t="str">
        <f ca="1">IFERROR(__xludf.DUMMYFUNCTION("""COMPUTED_VALUE"""),"600")</f>
        <v>600</v>
      </c>
      <c r="Q341" s="3" t="str">
        <f ca="1">IFERROR(__xludf.DUMMYFUNCTION("""COMPUTED_VALUE"""),"300x600")</f>
        <v>300x600</v>
      </c>
      <c r="R341" s="3"/>
      <c r="S341" s="3" t="str">
        <f ca="1">IFERROR(__xludf.DUMMYFUNCTION("""COMPUTED_VALUE"""),"100 (200 - HTML5)")</f>
        <v>100 (200 - HTML5)</v>
      </c>
      <c r="T341" s="3"/>
      <c r="U341" s="3" t="str">
        <f ca="1">IFERROR(__xludf.DUMMYFUNCTION("""COMPUTED_VALUE"""),"banner standard")</f>
        <v>banner standard</v>
      </c>
      <c r="V341" s="3"/>
      <c r="W341" s="4" t="str">
        <f ca="1">IFERROR(__xludf.DUMMYFUNCTION("""COMPUTED_VALUE"""),"https://reklama.cncenter.cz/Online/double-skyscraper")</f>
        <v>https://reklama.cncenter.cz/Online/double-skyscraper</v>
      </c>
      <c r="X341" s="3"/>
      <c r="Y341" s="3"/>
      <c r="Z341" s="3" t="str">
        <f ca="1">IFERROR(__xludf.DUMMYFUNCTION("""COMPUTED_VALUE"""),"podklady@cncenter.cz")</f>
        <v>podklady@cncenter.cz</v>
      </c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 t="str">
        <f ca="1">IFERROR(__xludf.DUMMYFUNCTION("""COMPUTED_VALUE"""),"desktop")</f>
        <v>desktop</v>
      </c>
      <c r="AO341" s="3"/>
      <c r="AP341" s="3"/>
      <c r="AQ341" s="3"/>
      <c r="AR341" s="3"/>
      <c r="AS341" s="3"/>
      <c r="AT341" s="3"/>
      <c r="AU341" s="3" t="str">
        <f ca="1">IFERROR(__xludf.DUMMYFUNCTION("""COMPUTED_VALUE"""),"double skyscraper")</f>
        <v>double skyscraper</v>
      </c>
    </row>
    <row r="342" spans="1:47" x14ac:dyDescent="0.3">
      <c r="A342" s="3">
        <f ca="1"/>
        <v>2346826</v>
      </c>
      <c r="B342" s="3" t="str">
        <f ca="1"/>
        <v>CZECH NEWS CENTER a. s.</v>
      </c>
      <c r="C342" s="3" t="str">
        <f ca="1">IFERROR(__xludf.DUMMYFUNCTION("""COMPUTED_VALUE"""),"CNC muži pack")</f>
        <v>CNC muži pack</v>
      </c>
      <c r="D342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2" s="3" t="str">
        <f ca="1">IFERROR(__xludf.DUMMYFUNCTION("""COMPUTED_VALUE"""),"celý web")</f>
        <v>celý web</v>
      </c>
      <c r="F342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2" s="3" t="str">
        <f ca="1">IFERROR(__xludf.DUMMYFUNCTION("""COMPUTED_VALUE"""),"mini videospot - max. 30 sec. mid season")</f>
        <v>mini videospot - max. 30 sec. mid season</v>
      </c>
      <c r="H342" s="3">
        <f ca="1">IFERROR(__xludf.DUMMYFUNCTION("""COMPUTED_VALUE"""),7)</f>
        <v>7</v>
      </c>
      <c r="I342" s="5">
        <f ca="1">IFERROR(__xludf.DUMMYFUNCTION("""COMPUTED_VALUE"""),1000)</f>
        <v>1000</v>
      </c>
      <c r="J342" s="5">
        <f ca="1">IFERROR(__xludf.DUMMYFUNCTION("""COMPUTED_VALUE"""),210)</f>
        <v>210</v>
      </c>
      <c r="K342" s="3"/>
      <c r="L342" s="3" t="str">
        <f ca="1">IFERROR(__xludf.DUMMYFUNCTION("""COMPUTED_VALUE"""),"Cost per period")</f>
        <v>Cost per period</v>
      </c>
      <c r="M342" s="3"/>
      <c r="N342" s="3"/>
      <c r="O342" s="3"/>
      <c r="P342" s="3"/>
      <c r="Q342" s="3" t="str">
        <f ca="1">IFERROR(__xludf.DUMMYFUNCTION("""COMPUTED_VALUE"""),"16:9 / umístění po domluvě dle možností")</f>
        <v>16:9 / umístění po domluvě dle možností</v>
      </c>
      <c r="R342" s="3" t="str">
        <f ca="1">IFERROR(__xludf.DUMMYFUNCTION("""COMPUTED_VALUE"""),"přeskočení po 7 sekundách")</f>
        <v>přeskočení po 7 sekundách</v>
      </c>
      <c r="S342" s="3" t="str">
        <f ca="1">IFERROR(__xludf.DUMMYFUNCTION("""COMPUTED_VALUE"""),"100")</f>
        <v>100</v>
      </c>
      <c r="T342" s="3"/>
      <c r="U342" s="3" t="str">
        <f ca="1">IFERROR(__xludf.DUMMYFUNCTION("""COMPUTED_VALUE"""),"videospot")</f>
        <v>videospot</v>
      </c>
      <c r="V342" s="3"/>
      <c r="W342" s="4" t="str">
        <f ca="1">IFERROR(__xludf.DUMMYFUNCTION("""COMPUTED_VALUE"""),"https://reklama.cncenter.cz/Online/Videospot")</f>
        <v>https://reklama.cncenter.cz/Online/Videospot</v>
      </c>
      <c r="X342" s="3"/>
      <c r="Y342" s="3"/>
      <c r="Z342" s="3" t="str">
        <f ca="1">IFERROR(__xludf.DUMMYFUNCTION("""COMPUTED_VALUE"""),"podklady@cncenter.cz")</f>
        <v>podklady@cncenter.cz</v>
      </c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 t="str">
        <f ca="1">IFERROR(__xludf.DUMMYFUNCTION("""COMPUTED_VALUE"""),"desktop")</f>
        <v>desktop</v>
      </c>
      <c r="AO342" s="3"/>
      <c r="AP342" s="3"/>
      <c r="AQ342" s="3"/>
      <c r="AR342" s="3"/>
      <c r="AS342" s="3"/>
      <c r="AT342" s="3"/>
      <c r="AU342" s="3" t="str">
        <f ca="1">IFERROR(__xludf.DUMMYFUNCTION("""COMPUTED_VALUE"""),"mini videospot - max. 30 sec.")</f>
        <v>mini videospot - max. 30 sec.</v>
      </c>
    </row>
    <row r="343" spans="1:47" x14ac:dyDescent="0.3">
      <c r="A343" s="3">
        <f ca="1"/>
        <v>2346826</v>
      </c>
      <c r="B343" s="3" t="str">
        <f ca="1"/>
        <v>CZECH NEWS CENTER a. s.</v>
      </c>
      <c r="C343" s="3" t="str">
        <f ca="1">IFERROR(__xludf.DUMMYFUNCTION("""COMPUTED_VALUE"""),"CNC muži pack")</f>
        <v>CNC muži pack</v>
      </c>
      <c r="D343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3" s="3" t="str">
        <f ca="1">IFERROR(__xludf.DUMMYFUNCTION("""COMPUTED_VALUE"""),"celý web")</f>
        <v>celý web</v>
      </c>
      <c r="F343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3" s="3" t="str">
        <f ca="1">IFERROR(__xludf.DUMMYFUNCTION("""COMPUTED_VALUE"""),"mobilní interscroller mid season")</f>
        <v>mobilní interscroller mid season</v>
      </c>
      <c r="H343" s="3">
        <f ca="1">IFERROR(__xludf.DUMMYFUNCTION("""COMPUTED_VALUE"""),7)</f>
        <v>7</v>
      </c>
      <c r="I343" s="5">
        <f ca="1">IFERROR(__xludf.DUMMYFUNCTION("""COMPUTED_VALUE"""),1000)</f>
        <v>1000</v>
      </c>
      <c r="J343" s="5">
        <f ca="1">IFERROR(__xludf.DUMMYFUNCTION("""COMPUTED_VALUE"""),280)</f>
        <v>280</v>
      </c>
      <c r="K343" s="3"/>
      <c r="L343" s="3" t="str">
        <f ca="1">IFERROR(__xludf.DUMMYFUNCTION("""COMPUTED_VALUE"""),"Cost per period")</f>
        <v>Cost per period</v>
      </c>
      <c r="M343" s="3"/>
      <c r="N343" s="3"/>
      <c r="O343" s="3" t="str">
        <f ca="1">IFERROR(__xludf.DUMMYFUNCTION("""COMPUTED_VALUE"""),"600")</f>
        <v>600</v>
      </c>
      <c r="P343" s="3" t="str">
        <f ca="1">IFERROR(__xludf.DUMMYFUNCTION("""COMPUTED_VALUE"""),"1080")</f>
        <v>1080</v>
      </c>
      <c r="Q343" s="3" t="str">
        <f ca="1">IFERROR(__xludf.DUMMYFUNCTION("""COMPUTED_VALUE"""),"600x1080")</f>
        <v>600x1080</v>
      </c>
      <c r="R343" s="3"/>
      <c r="S343" s="3" t="str">
        <f ca="1">IFERROR(__xludf.DUMMYFUNCTION("""COMPUTED_VALUE"""),"200")</f>
        <v>200</v>
      </c>
      <c r="T343" s="3"/>
      <c r="U343" s="3" t="str">
        <f ca="1">IFERROR(__xludf.DUMMYFUNCTION("""COMPUTED_VALUE"""),"banner standard")</f>
        <v>banner standard</v>
      </c>
      <c r="V343" s="3"/>
      <c r="W343" s="4" t="str">
        <f ca="1">IFERROR(__xludf.DUMMYFUNCTION("""COMPUTED_VALUE"""),"https://reklama.cncenter.cz/Online/mobilni-interscroller")</f>
        <v>https://reklama.cncenter.cz/Online/mobilni-interscroller</v>
      </c>
      <c r="X343" s="3"/>
      <c r="Y343" s="3"/>
      <c r="Z343" s="3" t="str">
        <f ca="1">IFERROR(__xludf.DUMMYFUNCTION("""COMPUTED_VALUE"""),"podklady@cncenter.cz")</f>
        <v>podklady@cncenter.cz</v>
      </c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 t="str">
        <f ca="1">IFERROR(__xludf.DUMMYFUNCTION("""COMPUTED_VALUE"""),"mobile")</f>
        <v>mobile</v>
      </c>
      <c r="AO343" s="3"/>
      <c r="AP343" s="3"/>
      <c r="AQ343" s="3"/>
      <c r="AR343" s="3"/>
      <c r="AS343" s="3"/>
      <c r="AT343" s="3"/>
      <c r="AU343" s="3" t="str">
        <f ca="1">IFERROR(__xludf.DUMMYFUNCTION("""COMPUTED_VALUE"""),"mobilní interscroller")</f>
        <v>mobilní interscroller</v>
      </c>
    </row>
    <row r="344" spans="1:47" x14ac:dyDescent="0.3">
      <c r="A344" s="3">
        <f ca="1"/>
        <v>2346826</v>
      </c>
      <c r="B344" s="3" t="str">
        <f ca="1"/>
        <v>CZECH NEWS CENTER a. s.</v>
      </c>
      <c r="C344" s="3" t="str">
        <f ca="1">IFERROR(__xludf.DUMMYFUNCTION("""COMPUTED_VALUE"""),"CNC muži pack")</f>
        <v>CNC muži pack</v>
      </c>
      <c r="D344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4" s="3" t="str">
        <f ca="1">IFERROR(__xludf.DUMMYFUNCTION("""COMPUTED_VALUE"""),"celý web")</f>
        <v>celý web</v>
      </c>
      <c r="F344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4" s="3" t="str">
        <f ca="1">IFERROR(__xludf.DUMMYFUNCTION("""COMPUTED_VALUE"""),"mobilní slide-up mid season")</f>
        <v>mobilní slide-up mid season</v>
      </c>
      <c r="H344" s="3">
        <f ca="1">IFERROR(__xludf.DUMMYFUNCTION("""COMPUTED_VALUE"""),7)</f>
        <v>7</v>
      </c>
      <c r="I344" s="5">
        <f ca="1">IFERROR(__xludf.DUMMYFUNCTION("""COMPUTED_VALUE"""),1000)</f>
        <v>1000</v>
      </c>
      <c r="J344" s="5">
        <f ca="1">IFERROR(__xludf.DUMMYFUNCTION("""COMPUTED_VALUE"""),560)</f>
        <v>560</v>
      </c>
      <c r="K344" s="3"/>
      <c r="L344" s="3" t="str">
        <f ca="1">IFERROR(__xludf.DUMMYFUNCTION("""COMPUTED_VALUE"""),"Cost per period")</f>
        <v>Cost per period</v>
      </c>
      <c r="M344" s="3"/>
      <c r="N344" s="3"/>
      <c r="O344" s="3" t="str">
        <f ca="1">IFERROR(__xludf.DUMMYFUNCTION("""COMPUTED_VALUE"""),"300")</f>
        <v>300</v>
      </c>
      <c r="P344" s="3" t="str">
        <f ca="1">IFERROR(__xludf.DUMMYFUNCTION("""COMPUTED_VALUE"""),"120")</f>
        <v>120</v>
      </c>
      <c r="Q344" s="3" t="str">
        <f ca="1">IFERROR(__xludf.DUMMYFUNCTION("""COMPUTED_VALUE"""),"300x120")</f>
        <v>300x120</v>
      </c>
      <c r="R344" s="3"/>
      <c r="S344" s="3" t="str">
        <f ca="1">IFERROR(__xludf.DUMMYFUNCTION("""COMPUTED_VALUE"""),"100")</f>
        <v>100</v>
      </c>
      <c r="T344" s="3"/>
      <c r="U344" s="3" t="str">
        <f ca="1">IFERROR(__xludf.DUMMYFUNCTION("""COMPUTED_VALUE"""),"banner standard")</f>
        <v>banner standard</v>
      </c>
      <c r="V344" s="3"/>
      <c r="W344" s="4" t="str">
        <f ca="1">IFERROR(__xludf.DUMMYFUNCTION("""COMPUTED_VALUE"""),"https://reklama.cncenter.cz/Online/mobilni-slide-up")</f>
        <v>https://reklama.cncenter.cz/Online/mobilni-slide-up</v>
      </c>
      <c r="X344" s="3"/>
      <c r="Y344" s="3"/>
      <c r="Z344" s="3" t="str">
        <f ca="1">IFERROR(__xludf.DUMMYFUNCTION("""COMPUTED_VALUE"""),"podklady@cncenter.cz")</f>
        <v>podklady@cncenter.cz</v>
      </c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 t="str">
        <f ca="1">IFERROR(__xludf.DUMMYFUNCTION("""COMPUTED_VALUE"""),"mobile")</f>
        <v>mobile</v>
      </c>
      <c r="AO344" s="3"/>
      <c r="AP344" s="3"/>
      <c r="AQ344" s="3"/>
      <c r="AR344" s="3"/>
      <c r="AS344" s="3"/>
      <c r="AT344" s="3"/>
      <c r="AU344" s="3" t="str">
        <f ca="1">IFERROR(__xludf.DUMMYFUNCTION("""COMPUTED_VALUE"""),"mobilní slide-up")</f>
        <v>mobilní slide-up</v>
      </c>
    </row>
    <row r="345" spans="1:47" x14ac:dyDescent="0.3">
      <c r="A345" s="3">
        <f ca="1"/>
        <v>2346826</v>
      </c>
      <c r="B345" s="3" t="str">
        <f ca="1"/>
        <v>CZECH NEWS CENTER a. s.</v>
      </c>
      <c r="C345" s="3" t="str">
        <f ca="1">IFERROR(__xludf.DUMMYFUNCTION("""COMPUTED_VALUE"""),"CNC muži pack")</f>
        <v>CNC muži pack</v>
      </c>
      <c r="D345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5" s="3" t="str">
        <f ca="1">IFERROR(__xludf.DUMMYFUNCTION("""COMPUTED_VALUE"""),"celý web")</f>
        <v>celý web</v>
      </c>
      <c r="F345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5" s="3" t="str">
        <f ca="1">IFERROR(__xludf.DUMMYFUNCTION("""COMPUTED_VALUE"""),"mobilní viněta mid season")</f>
        <v>mobilní viněta mid season</v>
      </c>
      <c r="H345" s="3">
        <f ca="1">IFERROR(__xludf.DUMMYFUNCTION("""COMPUTED_VALUE"""),7)</f>
        <v>7</v>
      </c>
      <c r="I345" s="5">
        <f ca="1">IFERROR(__xludf.DUMMYFUNCTION("""COMPUTED_VALUE"""),1000)</f>
        <v>1000</v>
      </c>
      <c r="J345" s="5">
        <f ca="1">IFERROR(__xludf.DUMMYFUNCTION("""COMPUTED_VALUE"""),790)</f>
        <v>790</v>
      </c>
      <c r="K345" s="3"/>
      <c r="L345" s="3" t="str">
        <f ca="1">IFERROR(__xludf.DUMMYFUNCTION("""COMPUTED_VALUE"""),"Cost per period")</f>
        <v>Cost per period</v>
      </c>
      <c r="M345" s="3"/>
      <c r="N345" s="3"/>
      <c r="O345" s="3" t="str">
        <f ca="1">IFERROR(__xludf.DUMMYFUNCTION("""COMPUTED_VALUE"""),"600")</f>
        <v>600</v>
      </c>
      <c r="P345" s="3" t="str">
        <f ca="1">IFERROR(__xludf.DUMMYFUNCTION("""COMPUTED_VALUE"""),"800")</f>
        <v>800</v>
      </c>
      <c r="Q345" s="3" t="str">
        <f ca="1">IFERROR(__xludf.DUMMYFUNCTION("""COMPUTED_VALUE"""),"300x250 nebo 600x800")</f>
        <v>300x250 nebo 600x800</v>
      </c>
      <c r="R345" s="3"/>
      <c r="S345" s="3" t="str">
        <f ca="1">IFERROR(__xludf.DUMMYFUNCTION("""COMPUTED_VALUE"""),"100")</f>
        <v>100</v>
      </c>
      <c r="T345" s="3"/>
      <c r="U345" s="3" t="str">
        <f ca="1">IFERROR(__xludf.DUMMYFUNCTION("""COMPUTED_VALUE"""),"banner standard")</f>
        <v>banner standard</v>
      </c>
      <c r="V345" s="3"/>
      <c r="W345" s="4" t="str">
        <f ca="1">IFERROR(__xludf.DUMMYFUNCTION("""COMPUTED_VALUE"""),"https://reklama.cncenter.cz/Online/mobilni-vineta")</f>
        <v>https://reklama.cncenter.cz/Online/mobilni-vineta</v>
      </c>
      <c r="X345" s="3"/>
      <c r="Y345" s="3"/>
      <c r="Z345" s="3" t="str">
        <f ca="1">IFERROR(__xludf.DUMMYFUNCTION("""COMPUTED_VALUE"""),"podklady@cncenter.cz")</f>
        <v>podklady@cncenter.cz</v>
      </c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 t="str">
        <f ca="1">IFERROR(__xludf.DUMMYFUNCTION("""COMPUTED_VALUE"""),"mobile")</f>
        <v>mobile</v>
      </c>
      <c r="AO345" s="3"/>
      <c r="AP345" s="3"/>
      <c r="AQ345" s="3"/>
      <c r="AR345" s="3"/>
      <c r="AS345" s="3"/>
      <c r="AT345" s="3"/>
      <c r="AU345" s="3" t="str">
        <f ca="1">IFERROR(__xludf.DUMMYFUNCTION("""COMPUTED_VALUE"""),"mobilní viněta")</f>
        <v>mobilní viněta</v>
      </c>
    </row>
    <row r="346" spans="1:47" x14ac:dyDescent="0.3">
      <c r="A346" s="3">
        <f ca="1"/>
        <v>2346826</v>
      </c>
      <c r="B346" s="3" t="str">
        <f ca="1"/>
        <v>CZECH NEWS CENTER a. s.</v>
      </c>
      <c r="C346" s="3" t="str">
        <f ca="1">IFERROR(__xludf.DUMMYFUNCTION("""COMPUTED_VALUE"""),"CNC muži pack")</f>
        <v>CNC muži pack</v>
      </c>
      <c r="D346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6" s="3" t="str">
        <f ca="1">IFERROR(__xludf.DUMMYFUNCTION("""COMPUTED_VALUE"""),"celý web")</f>
        <v>celý web</v>
      </c>
      <c r="F346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6" s="3" t="str">
        <f ca="1">IFERROR(__xludf.DUMMYFUNCTION("""COMPUTED_VALUE"""),"nativní rectangle cross-device mid season")</f>
        <v>nativní rectangle cross-device mid season</v>
      </c>
      <c r="H346" s="3">
        <f ca="1">IFERROR(__xludf.DUMMYFUNCTION("""COMPUTED_VALUE"""),7)</f>
        <v>7</v>
      </c>
      <c r="I346" s="5">
        <f ca="1">IFERROR(__xludf.DUMMYFUNCTION("""COMPUTED_VALUE"""),1000)</f>
        <v>1000</v>
      </c>
      <c r="J346" s="5">
        <f ca="1">IFERROR(__xludf.DUMMYFUNCTION("""COMPUTED_VALUE"""),210)</f>
        <v>210</v>
      </c>
      <c r="K346" s="3"/>
      <c r="L346" s="3" t="str">
        <f ca="1">IFERROR(__xludf.DUMMYFUNCTION("""COMPUTED_VALUE"""),"Cost per period")</f>
        <v>Cost per period</v>
      </c>
      <c r="M346" s="3"/>
      <c r="N346" s="3"/>
      <c r="O346" s="3" t="str">
        <f ca="1">IFERROR(__xludf.DUMMYFUNCTION("""COMPUTED_VALUE"""),"640")</f>
        <v>640</v>
      </c>
      <c r="P346" s="3" t="str">
        <f ca="1">IFERROR(__xludf.DUMMYFUNCTION("""COMPUTED_VALUE"""),"335, 640")</f>
        <v>335, 640</v>
      </c>
      <c r="Q346" s="3" t="str">
        <f ca="1">IFERROR(__xludf.DUMMYFUNCTION("""COMPUTED_VALUE"""),"640x640 a 640x335 + text + logo")</f>
        <v>640x640 a 640x335 + text + logo</v>
      </c>
      <c r="R346" s="3"/>
      <c r="S346" s="3" t="str">
        <f ca="1">IFERROR(__xludf.DUMMYFUNCTION("""COMPUTED_VALUE"""),"45")</f>
        <v>45</v>
      </c>
      <c r="T346" s="3"/>
      <c r="U346" s="3" t="str">
        <f ca="1">IFERROR(__xludf.DUMMYFUNCTION("""COMPUTED_VALUE"""),"nativní reklama")</f>
        <v>nativní reklama</v>
      </c>
      <c r="V346" s="3"/>
      <c r="W346" s="4" t="str">
        <f ca="1">IFERROR(__xludf.DUMMYFUNCTION("""COMPUTED_VALUE"""),"https://reklama.cncenter.cz/Online/nativni-rectangle-cross-device")</f>
        <v>https://reklama.cncenter.cz/Online/nativni-rectangle-cross-device</v>
      </c>
      <c r="X346" s="3"/>
      <c r="Y346" s="3"/>
      <c r="Z346" s="3" t="str">
        <f ca="1">IFERROR(__xludf.DUMMYFUNCTION("""COMPUTED_VALUE"""),"podklady@cncenter.cz")</f>
        <v>podklady@cncenter.cz</v>
      </c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 t="str">
        <f ca="1">IFERROR(__xludf.DUMMYFUNCTION("""COMPUTED_VALUE"""),"cross-device")</f>
        <v>cross-device</v>
      </c>
      <c r="AO346" s="3"/>
      <c r="AP346" s="3"/>
      <c r="AQ346" s="3"/>
      <c r="AR346" s="3"/>
      <c r="AS346" s="3"/>
      <c r="AT346" s="3"/>
      <c r="AU346" s="3" t="str">
        <f ca="1">IFERROR(__xludf.DUMMYFUNCTION("""COMPUTED_VALUE"""),"nativní rectangle cross-device")</f>
        <v>nativní rectangle cross-device</v>
      </c>
    </row>
    <row r="347" spans="1:47" x14ac:dyDescent="0.3">
      <c r="A347" s="3">
        <f ca="1"/>
        <v>2346826</v>
      </c>
      <c r="B347" s="3" t="str">
        <f ca="1"/>
        <v>CZECH NEWS CENTER a. s.</v>
      </c>
      <c r="C347" s="3" t="str">
        <f ca="1">IFERROR(__xludf.DUMMYFUNCTION("""COMPUTED_VALUE"""),"CNC muži pack")</f>
        <v>CNC muži pack</v>
      </c>
      <c r="D347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7" s="3" t="str">
        <f ca="1">IFERROR(__xludf.DUMMYFUNCTION("""COMPUTED_VALUE"""),"celý web")</f>
        <v>celý web</v>
      </c>
      <c r="F347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7" s="3" t="str">
        <f ca="1">IFERROR(__xludf.DUMMYFUNCTION("""COMPUTED_VALUE"""),"outstream mid season")</f>
        <v>outstream mid season</v>
      </c>
      <c r="H347" s="3">
        <f ca="1">IFERROR(__xludf.DUMMYFUNCTION("""COMPUTED_VALUE"""),7)</f>
        <v>7</v>
      </c>
      <c r="I347" s="5">
        <f ca="1">IFERROR(__xludf.DUMMYFUNCTION("""COMPUTED_VALUE"""),1000)</f>
        <v>1000</v>
      </c>
      <c r="J347" s="5">
        <f ca="1">IFERROR(__xludf.DUMMYFUNCTION("""COMPUTED_VALUE"""),330)</f>
        <v>330</v>
      </c>
      <c r="K347" s="3"/>
      <c r="L347" s="3" t="str">
        <f ca="1">IFERROR(__xludf.DUMMYFUNCTION("""COMPUTED_VALUE"""),"Cost per period")</f>
        <v>Cost per period</v>
      </c>
      <c r="M347" s="3"/>
      <c r="N347" s="3"/>
      <c r="O347" s="3" t="str">
        <f ca="1">IFERROR(__xludf.DUMMYFUNCTION("""COMPUTED_VALUE"""),"1280")</f>
        <v>1280</v>
      </c>
      <c r="P347" s="3" t="str">
        <f ca="1">IFERROR(__xludf.DUMMYFUNCTION("""COMPUTED_VALUE"""),"720")</f>
        <v>720</v>
      </c>
      <c r="Q347" s="3" t="str">
        <f ca="1">IFERROR(__xludf.DUMMYFUNCTION("""COMPUTED_VALUE"""),"16:9")</f>
        <v>16:9</v>
      </c>
      <c r="R347" s="3"/>
      <c r="S347" s="3" t="str">
        <f ca="1">IFERROR(__xludf.DUMMYFUNCTION("""COMPUTED_VALUE"""),"100")</f>
        <v>100</v>
      </c>
      <c r="T347" s="3"/>
      <c r="U347" s="3" t="str">
        <f ca="1">IFERROR(__xludf.DUMMYFUNCTION("""COMPUTED_VALUE"""),"videospot")</f>
        <v>videospot</v>
      </c>
      <c r="V347" s="3"/>
      <c r="W347" s="4" t="str">
        <f ca="1">IFERROR(__xludf.DUMMYFUNCTION("""COMPUTED_VALUE"""),"https://reklama.cncenter.cz/Online/Outstream")</f>
        <v>https://reklama.cncenter.cz/Online/Outstream</v>
      </c>
      <c r="X347" s="3"/>
      <c r="Y347" s="3"/>
      <c r="Z347" s="3" t="str">
        <f ca="1">IFERROR(__xludf.DUMMYFUNCTION("""COMPUTED_VALUE"""),"podklady@cncenter.cz")</f>
        <v>podklady@cncenter.cz</v>
      </c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 t="str">
        <f ca="1">IFERROR(__xludf.DUMMYFUNCTION("""COMPUTED_VALUE"""),"cross-device")</f>
        <v>cross-device</v>
      </c>
      <c r="AO347" s="3"/>
      <c r="AP347" s="3"/>
      <c r="AQ347" s="3"/>
      <c r="AR347" s="3"/>
      <c r="AS347" s="3"/>
      <c r="AT347" s="3"/>
      <c r="AU347" s="3" t="str">
        <f ca="1">IFERROR(__xludf.DUMMYFUNCTION("""COMPUTED_VALUE"""),"outstream")</f>
        <v>outstream</v>
      </c>
    </row>
    <row r="348" spans="1:47" x14ac:dyDescent="0.3">
      <c r="A348" s="3">
        <f ca="1"/>
        <v>2346826</v>
      </c>
      <c r="B348" s="3" t="str">
        <f ca="1"/>
        <v>CZECH NEWS CENTER a. s.</v>
      </c>
      <c r="C348" s="3" t="str">
        <f ca="1">IFERROR(__xludf.DUMMYFUNCTION("""COMPUTED_VALUE"""),"CNC muži pack")</f>
        <v>CNC muži pack</v>
      </c>
      <c r="D348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8" s="3" t="str">
        <f ca="1">IFERROR(__xludf.DUMMYFUNCTION("""COMPUTED_VALUE"""),"celý web")</f>
        <v>celý web</v>
      </c>
      <c r="F348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8" s="3" t="str">
        <f ca="1">IFERROR(__xludf.DUMMYFUNCTION("""COMPUTED_VALUE"""),"Smarticle mid season")</f>
        <v>Smarticle mid season</v>
      </c>
      <c r="H348" s="3">
        <f ca="1">IFERROR(__xludf.DUMMYFUNCTION("""COMPUTED_VALUE"""),7)</f>
        <v>7</v>
      </c>
      <c r="I348" s="5">
        <f ca="1">IFERROR(__xludf.DUMMYFUNCTION("""COMPUTED_VALUE"""),1000)</f>
        <v>1000</v>
      </c>
      <c r="J348" s="5">
        <f ca="1">IFERROR(__xludf.DUMMYFUNCTION("""COMPUTED_VALUE"""),200)</f>
        <v>200</v>
      </c>
      <c r="K348" s="3"/>
      <c r="L348" s="3" t="str">
        <f ca="1">IFERROR(__xludf.DUMMYFUNCTION("""COMPUTED_VALUE"""),"Cost per period")</f>
        <v>Cost per period</v>
      </c>
      <c r="M348" s="3"/>
      <c r="N348" s="3" t="str">
        <f ca="1">IFERROR(__xludf.DUMMYFUNCTION("""COMPUTED_VALUE"""),"A4")</f>
        <v>A4</v>
      </c>
      <c r="O348" s="3"/>
      <c r="P348" s="3"/>
      <c r="Q348" s="3" t="str">
        <f ca="1">IFERROR(__xludf.DUMMYFUNCTION("""COMPUTED_VALUE"""),"viz. tech.specifikace; HP + sekce")</f>
        <v>viz. tech.specifikace; HP + sekce</v>
      </c>
      <c r="R348" s="3" t="str">
        <f ca="1">IFERROR(__xludf.DUMMYFUNCTION("""COMPUTED_VALUE"""),"HP + sekce")</f>
        <v>HP + sekce</v>
      </c>
      <c r="S348" s="3" t="str">
        <f ca="1">IFERROR(__xludf.DUMMYFUNCTION("""COMPUTED_VALUE"""),"100")</f>
        <v>100</v>
      </c>
      <c r="T348" s="3"/>
      <c r="U348" s="3" t="str">
        <f ca="1">IFERROR(__xludf.DUMMYFUNCTION("""COMPUTED_VALUE"""),"pr článek")</f>
        <v>pr článek</v>
      </c>
      <c r="V348" s="3"/>
      <c r="W348" s="4" t="str">
        <f ca="1">IFERROR(__xludf.DUMMYFUNCTION("""COMPUTED_VALUE"""),"https://reklama.cncenter.cz/Online/Smarticle")</f>
        <v>https://reklama.cncenter.cz/Online/Smarticle</v>
      </c>
      <c r="X348" s="3"/>
      <c r="Y348" s="3"/>
      <c r="Z348" s="3" t="str">
        <f ca="1">IFERROR(__xludf.DUMMYFUNCTION("""COMPUTED_VALUE"""),"podklady@cncenter.cz")</f>
        <v>podklady@cncenter.cz</v>
      </c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 t="str">
        <f ca="1">IFERROR(__xludf.DUMMYFUNCTION("""COMPUTED_VALUE"""),"cross-device")</f>
        <v>cross-device</v>
      </c>
      <c r="AO348" s="3"/>
      <c r="AP348" s="3"/>
      <c r="AQ348" s="3"/>
      <c r="AR348" s="3"/>
      <c r="AS348" s="3"/>
      <c r="AT348" s="3"/>
      <c r="AU348" s="3" t="str">
        <f ca="1">IFERROR(__xludf.DUMMYFUNCTION("""COMPUTED_VALUE"""),"Smarticle")</f>
        <v>Smarticle</v>
      </c>
    </row>
    <row r="349" spans="1:47" x14ac:dyDescent="0.3">
      <c r="A349" s="3">
        <f ca="1"/>
        <v>2346826</v>
      </c>
      <c r="B349" s="3" t="str">
        <f ca="1"/>
        <v>CZECH NEWS CENTER a. s.</v>
      </c>
      <c r="C349" s="3" t="str">
        <f ca="1">IFERROR(__xludf.DUMMYFUNCTION("""COMPUTED_VALUE"""),"CNC muži pack")</f>
        <v>CNC muži pack</v>
      </c>
      <c r="D349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9" s="3" t="str">
        <f ca="1">IFERROR(__xludf.DUMMYFUNCTION("""COMPUTED_VALUE"""),"celý web")</f>
        <v>celý web</v>
      </c>
      <c r="F349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9" s="3" t="str">
        <f ca="1">IFERROR(__xludf.DUMMYFUNCTION("""COMPUTED_VALUE"""),"videospot - max. 30 sec. / bumper mid season")</f>
        <v>videospot - max. 30 sec. / bumper mid season</v>
      </c>
      <c r="H349" s="3">
        <f ca="1">IFERROR(__xludf.DUMMYFUNCTION("""COMPUTED_VALUE"""),7)</f>
        <v>7</v>
      </c>
      <c r="I349" s="5">
        <f ca="1">IFERROR(__xludf.DUMMYFUNCTION("""COMPUTED_VALUE"""),1000)</f>
        <v>1000</v>
      </c>
      <c r="J349" s="5">
        <f ca="1">IFERROR(__xludf.DUMMYFUNCTION("""COMPUTED_VALUE"""),960)</f>
        <v>960</v>
      </c>
      <c r="K349" s="3"/>
      <c r="L349" s="3" t="str">
        <f ca="1">IFERROR(__xludf.DUMMYFUNCTION("""COMPUTED_VALUE"""),"Cost per period")</f>
        <v>Cost per period</v>
      </c>
      <c r="M349" s="3"/>
      <c r="N349" s="3"/>
      <c r="O349" s="3" t="str">
        <f ca="1">IFERROR(__xludf.DUMMYFUNCTION("""COMPUTED_VALUE"""),"1280")</f>
        <v>1280</v>
      </c>
      <c r="P349" s="3" t="str">
        <f ca="1">IFERROR(__xludf.DUMMYFUNCTION("""COMPUTED_VALUE"""),"720")</f>
        <v>720</v>
      </c>
      <c r="Q349" s="3" t="str">
        <f ca="1">IFERROR(__xludf.DUMMYFUNCTION("""COMPUTED_VALUE"""),"16:9 / umístění po domluvě dle možností")</f>
        <v>16:9 / umístění po domluvě dle možností</v>
      </c>
      <c r="R349" s="3" t="str">
        <f ca="1">IFERROR(__xludf.DUMMYFUNCTION("""COMPUTED_VALUE"""),"přeskočení po 7 sekundách")</f>
        <v>přeskočení po 7 sekundách</v>
      </c>
      <c r="S349" s="3" t="str">
        <f ca="1">IFERROR(__xludf.DUMMYFUNCTION("""COMPUTED_VALUE"""),"100")</f>
        <v>100</v>
      </c>
      <c r="T349" s="3"/>
      <c r="U349" s="3" t="str">
        <f ca="1">IFERROR(__xludf.DUMMYFUNCTION("""COMPUTED_VALUE"""),"videospot")</f>
        <v>videospot</v>
      </c>
      <c r="V349" s="3"/>
      <c r="W349" s="4" t="str">
        <f ca="1">IFERROR(__xludf.DUMMYFUNCTION("""COMPUTED_VALUE"""),"https://reklama.cncenter.cz/Online/Bumper")</f>
        <v>https://reklama.cncenter.cz/Online/Bumper</v>
      </c>
      <c r="X349" s="3"/>
      <c r="Y349" s="3"/>
      <c r="Z349" s="3" t="str">
        <f ca="1">IFERROR(__xludf.DUMMYFUNCTION("""COMPUTED_VALUE"""),"podklady@cncenter.cz")</f>
        <v>podklady@cncenter.cz</v>
      </c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 t="str">
        <f ca="1">IFERROR(__xludf.DUMMYFUNCTION("""COMPUTED_VALUE"""),"cross-device")</f>
        <v>cross-device</v>
      </c>
      <c r="AO349" s="3"/>
      <c r="AP349" s="3"/>
      <c r="AQ349" s="3"/>
      <c r="AR349" s="3"/>
      <c r="AS349" s="3"/>
      <c r="AT349" s="3"/>
      <c r="AU349" s="3" t="str">
        <f ca="1">IFERROR(__xludf.DUMMYFUNCTION("""COMPUTED_VALUE"""),"videospot - max. 30 sec. / bumper")</f>
        <v>videospot - max. 30 sec. / bumper</v>
      </c>
    </row>
    <row r="350" spans="1:47" x14ac:dyDescent="0.3">
      <c r="A350" s="3">
        <f ca="1"/>
        <v>2346826</v>
      </c>
      <c r="B350" s="3" t="str">
        <f ca="1"/>
        <v>CZECH NEWS CENTER a. s.</v>
      </c>
      <c r="C350" s="3" t="str">
        <f ca="1">IFERROR(__xludf.DUMMYFUNCTION("""COMPUTED_VALUE"""),"CNC zpravodajský pack")</f>
        <v>CNC zpravodajský pack</v>
      </c>
      <c r="D350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0" s="3" t="str">
        <f ca="1">IFERROR(__xludf.DUMMYFUNCTION("""COMPUTED_VALUE"""),"celý web")</f>
        <v>celý web</v>
      </c>
      <c r="F350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0" s="3" t="str">
        <f ca="1">IFERROR(__xludf.DUMMYFUNCTION("""COMPUTED_VALUE"""),"billboard bottom mid season")</f>
        <v>billboard bottom mid season</v>
      </c>
      <c r="H350" s="3">
        <f ca="1">IFERROR(__xludf.DUMMYFUNCTION("""COMPUTED_VALUE"""),7)</f>
        <v>7</v>
      </c>
      <c r="I350" s="5">
        <f ca="1">IFERROR(__xludf.DUMMYFUNCTION("""COMPUTED_VALUE"""),1000)</f>
        <v>1000</v>
      </c>
      <c r="J350" s="5">
        <f ca="1">IFERROR(__xludf.DUMMYFUNCTION("""COMPUTED_VALUE"""),350)</f>
        <v>350</v>
      </c>
      <c r="K350" s="3"/>
      <c r="L350" s="3" t="str">
        <f ca="1">IFERROR(__xludf.DUMMYFUNCTION("""COMPUTED_VALUE"""),"Cost per period")</f>
        <v>Cost per period</v>
      </c>
      <c r="M350" s="3"/>
      <c r="N350" s="3"/>
      <c r="O350" s="3" t="str">
        <f ca="1">IFERROR(__xludf.DUMMYFUNCTION("""COMPUTED_VALUE"""),"970")</f>
        <v>970</v>
      </c>
      <c r="P350" s="3" t="str">
        <f ca="1">IFERROR(__xludf.DUMMYFUNCTION("""COMPUTED_VALUE"""),"250")</f>
        <v>250</v>
      </c>
      <c r="Q350" s="3" t="str">
        <f ca="1">IFERROR(__xludf.DUMMYFUNCTION("""COMPUTED_VALUE"""),"970x250")</f>
        <v>970x250</v>
      </c>
      <c r="R350" s="3"/>
      <c r="S350" s="3" t="str">
        <f ca="1">IFERROR(__xludf.DUMMYFUNCTION("""COMPUTED_VALUE"""),"100 (200 - HTML5)")</f>
        <v>100 (200 - HTML5)</v>
      </c>
      <c r="T350" s="3"/>
      <c r="U350" s="3" t="str">
        <f ca="1">IFERROR(__xludf.DUMMYFUNCTION("""COMPUTED_VALUE"""),"banner standard")</f>
        <v>banner standard</v>
      </c>
      <c r="V350" s="3"/>
      <c r="W350" s="4" t="str">
        <f ca="1">IFERROR(__xludf.DUMMYFUNCTION("""COMPUTED_VALUE"""),"https://reklama.cncenter.cz/Online/billboard-bottom")</f>
        <v>https://reklama.cncenter.cz/Online/billboard-bottom</v>
      </c>
      <c r="X350" s="3"/>
      <c r="Y350" s="3"/>
      <c r="Z350" s="3" t="str">
        <f ca="1">IFERROR(__xludf.DUMMYFUNCTION("""COMPUTED_VALUE"""),"podklady@cncenter.cz")</f>
        <v>podklady@cncenter.cz</v>
      </c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 t="str">
        <f ca="1">IFERROR(__xludf.DUMMYFUNCTION("""COMPUTED_VALUE"""),"desktop")</f>
        <v>desktop</v>
      </c>
      <c r="AO350" s="3"/>
      <c r="AP350" s="3"/>
      <c r="AQ350" s="3"/>
      <c r="AR350" s="3"/>
      <c r="AS350" s="3"/>
      <c r="AT350" s="3"/>
      <c r="AU350" s="3" t="str">
        <f ca="1">IFERROR(__xludf.DUMMYFUNCTION("""COMPUTED_VALUE"""),"billboard bottom")</f>
        <v>billboard bottom</v>
      </c>
    </row>
    <row r="351" spans="1:47" x14ac:dyDescent="0.3">
      <c r="A351" s="3">
        <f ca="1"/>
        <v>2346826</v>
      </c>
      <c r="B351" s="3" t="str">
        <f ca="1"/>
        <v>CZECH NEWS CENTER a. s.</v>
      </c>
      <c r="C351" s="3" t="str">
        <f ca="1">IFERROR(__xludf.DUMMYFUNCTION("""COMPUTED_VALUE"""),"CNC zpravodajský pack")</f>
        <v>CNC zpravodajský pack</v>
      </c>
      <c r="D351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1" s="3" t="str">
        <f ca="1">IFERROR(__xludf.DUMMYFUNCTION("""COMPUTED_VALUE"""),"celý web")</f>
        <v>celý web</v>
      </c>
      <c r="F351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1" s="3" t="str">
        <f ca="1">IFERROR(__xludf.DUMMYFUNCTION("""COMPUTED_VALUE"""),"branding cross-device mid season")</f>
        <v>branding cross-device mid season</v>
      </c>
      <c r="H351" s="3">
        <f ca="1">IFERROR(__xludf.DUMMYFUNCTION("""COMPUTED_VALUE"""),7)</f>
        <v>7</v>
      </c>
      <c r="I351" s="5">
        <f ca="1">IFERROR(__xludf.DUMMYFUNCTION("""COMPUTED_VALUE"""),1000)</f>
        <v>1000</v>
      </c>
      <c r="J351" s="5">
        <f ca="1">IFERROR(__xludf.DUMMYFUNCTION("""COMPUTED_VALUE"""),450)</f>
        <v>450</v>
      </c>
      <c r="K351" s="3"/>
      <c r="L351" s="3" t="str">
        <f ca="1">IFERROR(__xludf.DUMMYFUNCTION("""COMPUTED_VALUE"""),"Cost per period")</f>
        <v>Cost per period</v>
      </c>
      <c r="M351" s="3"/>
      <c r="N351" s="3"/>
      <c r="O351" s="3" t="str">
        <f ca="1">IFERROR(__xludf.DUMMYFUNCTION("""COMPUTED_VALUE"""),"2000")</f>
        <v>2000</v>
      </c>
      <c r="P351" s="3" t="str">
        <f ca="1">IFERROR(__xludf.DUMMYFUNCTION("""COMPUTED_VALUE"""),"1400")</f>
        <v>1400</v>
      </c>
      <c r="Q351" s="3" t="str">
        <f ca="1">IFERROR(__xludf.DUMMYFUNCTION("""COMPUTED_VALUE"""),"2000x1400 + 600x1080")</f>
        <v>2000x1400 + 600x1080</v>
      </c>
      <c r="R351" s="3"/>
      <c r="S351" s="3" t="str">
        <f ca="1">IFERROR(__xludf.DUMMYFUNCTION("""COMPUTED_VALUE"""),"500 (600 - HTLM5)")</f>
        <v>500 (600 - HTLM5)</v>
      </c>
      <c r="T351" s="3"/>
      <c r="U351" s="3" t="str">
        <f ca="1">IFERROR(__xludf.DUMMYFUNCTION("""COMPUTED_VALUE"""),"banner standard")</f>
        <v>banner standard</v>
      </c>
      <c r="V351" s="3"/>
      <c r="W351" s="4" t="str">
        <f ca="1">IFERROR(__xludf.DUMMYFUNCTION("""COMPUTED_VALUE"""),"https://reklama.cncenter.cz/Online/branding-cross-device")</f>
        <v>https://reklama.cncenter.cz/Online/branding-cross-device</v>
      </c>
      <c r="X351" s="3"/>
      <c r="Y351" s="3"/>
      <c r="Z351" s="3" t="str">
        <f ca="1">IFERROR(__xludf.DUMMYFUNCTION("""COMPUTED_VALUE"""),"podklady@cncenter.cz")</f>
        <v>podklady@cncenter.cz</v>
      </c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 t="str">
        <f ca="1">IFERROR(__xludf.DUMMYFUNCTION("""COMPUTED_VALUE"""),"cross-device")</f>
        <v>cross-device</v>
      </c>
      <c r="AO351" s="3"/>
      <c r="AP351" s="3"/>
      <c r="AQ351" s="3"/>
      <c r="AR351" s="3"/>
      <c r="AS351" s="3"/>
      <c r="AT351" s="3"/>
      <c r="AU351" s="3" t="str">
        <f ca="1">IFERROR(__xludf.DUMMYFUNCTION("""COMPUTED_VALUE"""),"branding cross-device")</f>
        <v>branding cross-device</v>
      </c>
    </row>
    <row r="352" spans="1:47" x14ac:dyDescent="0.3">
      <c r="A352" s="3">
        <f ca="1"/>
        <v>2346826</v>
      </c>
      <c r="B352" s="3" t="str">
        <f ca="1"/>
        <v>CZECH NEWS CENTER a. s.</v>
      </c>
      <c r="C352" s="3" t="str">
        <f ca="1">IFERROR(__xludf.DUMMYFUNCTION("""COMPUTED_VALUE"""),"CNC zpravodajský pack")</f>
        <v>CNC zpravodajský pack</v>
      </c>
      <c r="D352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2" s="3" t="str">
        <f ca="1">IFERROR(__xludf.DUMMYFUNCTION("""COMPUTED_VALUE"""),"celý web")</f>
        <v>celý web</v>
      </c>
      <c r="F352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2" s="3" t="str">
        <f ca="1">IFERROR(__xludf.DUMMYFUNCTION("""COMPUTED_VALUE"""),"branding mid season")</f>
        <v>branding mid season</v>
      </c>
      <c r="H352" s="3">
        <f ca="1">IFERROR(__xludf.DUMMYFUNCTION("""COMPUTED_VALUE"""),7)</f>
        <v>7</v>
      </c>
      <c r="I352" s="5">
        <f ca="1">IFERROR(__xludf.DUMMYFUNCTION("""COMPUTED_VALUE"""),1000)</f>
        <v>1000</v>
      </c>
      <c r="J352" s="5">
        <f ca="1">IFERROR(__xludf.DUMMYFUNCTION("""COMPUTED_VALUE"""),700)</f>
        <v>700</v>
      </c>
      <c r="K352" s="3"/>
      <c r="L352" s="3" t="str">
        <f ca="1">IFERROR(__xludf.DUMMYFUNCTION("""COMPUTED_VALUE"""),"Cost per period")</f>
        <v>Cost per period</v>
      </c>
      <c r="M352" s="3"/>
      <c r="N352" s="3"/>
      <c r="O352" s="3" t="str">
        <f ca="1">IFERROR(__xludf.DUMMYFUNCTION("""COMPUTED_VALUE"""),"2000")</f>
        <v>2000</v>
      </c>
      <c r="P352" s="3" t="str">
        <f ca="1">IFERROR(__xludf.DUMMYFUNCTION("""COMPUTED_VALUE"""),"1400")</f>
        <v>1400</v>
      </c>
      <c r="Q352" s="3" t="str">
        <f ca="1">IFERROR(__xludf.DUMMYFUNCTION("""COMPUTED_VALUE"""),"2000x1400")</f>
        <v>2000x1400</v>
      </c>
      <c r="R352" s="3"/>
      <c r="S352" s="3" t="str">
        <f ca="1">IFERROR(__xludf.DUMMYFUNCTION("""COMPUTED_VALUE"""),"500 + 200 (600+200 HTML5)")</f>
        <v>500 + 200 (600+200 HTML5)</v>
      </c>
      <c r="T352" s="3"/>
      <c r="U352" s="3" t="str">
        <f ca="1">IFERROR(__xludf.DUMMYFUNCTION("""COMPUTED_VALUE"""),"banner standard")</f>
        <v>banner standard</v>
      </c>
      <c r="V352" s="3"/>
      <c r="W352" s="4" t="str">
        <f ca="1">IFERROR(__xludf.DUMMYFUNCTION("""COMPUTED_VALUE"""),"https://reklama.cncenter.cz/Online/branding")</f>
        <v>https://reklama.cncenter.cz/Online/branding</v>
      </c>
      <c r="X352" s="3"/>
      <c r="Y352" s="3"/>
      <c r="Z352" s="3" t="str">
        <f ca="1">IFERROR(__xludf.DUMMYFUNCTION("""COMPUTED_VALUE"""),"podklady@cncenter.cz")</f>
        <v>podklady@cncenter.cz</v>
      </c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 t="str">
        <f ca="1">IFERROR(__xludf.DUMMYFUNCTION("""COMPUTED_VALUE"""),"desktop")</f>
        <v>desktop</v>
      </c>
      <c r="AO352" s="3"/>
      <c r="AP352" s="3"/>
      <c r="AQ352" s="3"/>
      <c r="AR352" s="3"/>
      <c r="AS352" s="3"/>
      <c r="AT352" s="3"/>
      <c r="AU352" s="3" t="str">
        <f ca="1">IFERROR(__xludf.DUMMYFUNCTION("""COMPUTED_VALUE"""),"branding")</f>
        <v>branding</v>
      </c>
    </row>
    <row r="353" spans="1:47" x14ac:dyDescent="0.3">
      <c r="A353" s="3">
        <f ca="1"/>
        <v>2346826</v>
      </c>
      <c r="B353" s="3" t="str">
        <f ca="1"/>
        <v>CZECH NEWS CENTER a. s.</v>
      </c>
      <c r="C353" s="3" t="str">
        <f ca="1">IFERROR(__xludf.DUMMYFUNCTION("""COMPUTED_VALUE"""),"CNC zpravodajský pack")</f>
        <v>CNC zpravodajský pack</v>
      </c>
      <c r="D353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3" s="3" t="str">
        <f ca="1">IFERROR(__xludf.DUMMYFUNCTION("""COMPUTED_VALUE"""),"celý web")</f>
        <v>celý web</v>
      </c>
      <c r="F353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3" s="3" t="str">
        <f ca="1">IFERROR(__xludf.DUMMYFUNCTION("""COMPUTED_VALUE"""),"cílený billboard bottom mid season")</f>
        <v>cílený billboard bottom mid season</v>
      </c>
      <c r="H353" s="3">
        <f ca="1">IFERROR(__xludf.DUMMYFUNCTION("""COMPUTED_VALUE"""),7)</f>
        <v>7</v>
      </c>
      <c r="I353" s="5">
        <f ca="1">IFERROR(__xludf.DUMMYFUNCTION("""COMPUTED_VALUE"""),1000)</f>
        <v>1000</v>
      </c>
      <c r="J353" s="5">
        <f ca="1">IFERROR(__xludf.DUMMYFUNCTION("""COMPUTED_VALUE"""),420)</f>
        <v>420</v>
      </c>
      <c r="K353" s="3"/>
      <c r="L353" s="3" t="str">
        <f ca="1">IFERROR(__xludf.DUMMYFUNCTION("""COMPUTED_VALUE"""),"Cost per period")</f>
        <v>Cost per period</v>
      </c>
      <c r="M353" s="3"/>
      <c r="N353" s="3"/>
      <c r="O353" s="3" t="str">
        <f ca="1">IFERROR(__xludf.DUMMYFUNCTION("""COMPUTED_VALUE"""),"970")</f>
        <v>970</v>
      </c>
      <c r="P353" s="3" t="str">
        <f ca="1">IFERROR(__xludf.DUMMYFUNCTION("""COMPUTED_VALUE"""),"250")</f>
        <v>250</v>
      </c>
      <c r="Q353" s="3" t="str">
        <f ca="1">IFERROR(__xludf.DUMMYFUNCTION("""COMPUTED_VALUE"""),"970x250")</f>
        <v>970x250</v>
      </c>
      <c r="R353" s="3"/>
      <c r="S353" s="3" t="str">
        <f ca="1">IFERROR(__xludf.DUMMYFUNCTION("""COMPUTED_VALUE"""),"100 (200 - HTML5)")</f>
        <v>100 (200 - HTML5)</v>
      </c>
      <c r="T353" s="3"/>
      <c r="U353" s="3" t="str">
        <f ca="1">IFERROR(__xludf.DUMMYFUNCTION("""COMPUTED_VALUE"""),"banner standard")</f>
        <v>banner standard</v>
      </c>
      <c r="V353" s="3"/>
      <c r="W353" s="4" t="str">
        <f ca="1">IFERROR(__xludf.DUMMYFUNCTION("""COMPUTED_VALUE"""),"https://reklama.cncenter.cz/Online/billboard-bottom")</f>
        <v>https://reklama.cncenter.cz/Online/billboard-bottom</v>
      </c>
      <c r="X353" s="3"/>
      <c r="Y353" s="3"/>
      <c r="Z353" s="3" t="str">
        <f ca="1">IFERROR(__xludf.DUMMYFUNCTION("""COMPUTED_VALUE"""),"podklady@cncenter.cz")</f>
        <v>podklady@cncenter.cz</v>
      </c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 t="str">
        <f ca="1">IFERROR(__xludf.DUMMYFUNCTION("""COMPUTED_VALUE"""),"desktop")</f>
        <v>desktop</v>
      </c>
      <c r="AO353" s="3"/>
      <c r="AP353" s="3"/>
      <c r="AQ353" s="3"/>
      <c r="AR353" s="3"/>
      <c r="AS353" s="3"/>
      <c r="AT353" s="3"/>
      <c r="AU353" s="3" t="str">
        <f ca="1">IFERROR(__xludf.DUMMYFUNCTION("""COMPUTED_VALUE"""),"cílený billboard bottom")</f>
        <v>cílený billboard bottom</v>
      </c>
    </row>
    <row r="354" spans="1:47" x14ac:dyDescent="0.3">
      <c r="A354" s="3">
        <f ca="1"/>
        <v>2346826</v>
      </c>
      <c r="B354" s="3" t="str">
        <f ca="1"/>
        <v>CZECH NEWS CENTER a. s.</v>
      </c>
      <c r="C354" s="3" t="str">
        <f ca="1">IFERROR(__xludf.DUMMYFUNCTION("""COMPUTED_VALUE"""),"CNC zpravodajský pack")</f>
        <v>CNC zpravodajský pack</v>
      </c>
      <c r="D354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4" s="3" t="str">
        <f ca="1">IFERROR(__xludf.DUMMYFUNCTION("""COMPUTED_VALUE"""),"celý web")</f>
        <v>celý web</v>
      </c>
      <c r="F354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4" s="3" t="str">
        <f ca="1">IFERROR(__xludf.DUMMYFUNCTION("""COMPUTED_VALUE"""),"cílený branding cross-device mid season")</f>
        <v>cílený branding cross-device mid season</v>
      </c>
      <c r="H354" s="3">
        <f ca="1">IFERROR(__xludf.DUMMYFUNCTION("""COMPUTED_VALUE"""),7)</f>
        <v>7</v>
      </c>
      <c r="I354" s="5">
        <f ca="1">IFERROR(__xludf.DUMMYFUNCTION("""COMPUTED_VALUE"""),1000)</f>
        <v>1000</v>
      </c>
      <c r="J354" s="5">
        <f ca="1">IFERROR(__xludf.DUMMYFUNCTION("""COMPUTED_VALUE"""),540)</f>
        <v>540</v>
      </c>
      <c r="K354" s="3"/>
      <c r="L354" s="3" t="str">
        <f ca="1">IFERROR(__xludf.DUMMYFUNCTION("""COMPUTED_VALUE"""),"Cost per period")</f>
        <v>Cost per period</v>
      </c>
      <c r="M354" s="3"/>
      <c r="N354" s="3"/>
      <c r="O354" s="3" t="str">
        <f ca="1">IFERROR(__xludf.DUMMYFUNCTION("""COMPUTED_VALUE"""),"2000")</f>
        <v>2000</v>
      </c>
      <c r="P354" s="3" t="str">
        <f ca="1">IFERROR(__xludf.DUMMYFUNCTION("""COMPUTED_VALUE"""),"1400")</f>
        <v>1400</v>
      </c>
      <c r="Q354" s="3" t="str">
        <f ca="1">IFERROR(__xludf.DUMMYFUNCTION("""COMPUTED_VALUE"""),"2000x1400 + 600x1080")</f>
        <v>2000x1400 + 600x1080</v>
      </c>
      <c r="R354" s="3"/>
      <c r="S354" s="3" t="str">
        <f ca="1">IFERROR(__xludf.DUMMYFUNCTION("""COMPUTED_VALUE"""),"500 (600 - HTLM5)")</f>
        <v>500 (600 - HTLM5)</v>
      </c>
      <c r="T354" s="3"/>
      <c r="U354" s="3" t="str">
        <f ca="1">IFERROR(__xludf.DUMMYFUNCTION("""COMPUTED_VALUE"""),"banner standard")</f>
        <v>banner standard</v>
      </c>
      <c r="V354" s="3"/>
      <c r="W354" s="4" t="str">
        <f ca="1">IFERROR(__xludf.DUMMYFUNCTION("""COMPUTED_VALUE"""),"https://reklama.cncenter.cz/Online/branding-cross-device")</f>
        <v>https://reklama.cncenter.cz/Online/branding-cross-device</v>
      </c>
      <c r="X354" s="3"/>
      <c r="Y354" s="3"/>
      <c r="Z354" s="3" t="str">
        <f ca="1">IFERROR(__xludf.DUMMYFUNCTION("""COMPUTED_VALUE"""),"podklady@cncenter.cz")</f>
        <v>podklady@cncenter.cz</v>
      </c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 t="str">
        <f ca="1">IFERROR(__xludf.DUMMYFUNCTION("""COMPUTED_VALUE"""),"cross-device")</f>
        <v>cross-device</v>
      </c>
      <c r="AO354" s="3"/>
      <c r="AP354" s="3"/>
      <c r="AQ354" s="3"/>
      <c r="AR354" s="3"/>
      <c r="AS354" s="3"/>
      <c r="AT354" s="3"/>
      <c r="AU354" s="3" t="str">
        <f ca="1">IFERROR(__xludf.DUMMYFUNCTION("""COMPUTED_VALUE"""),"cílený branding cross-device")</f>
        <v>cílený branding cross-device</v>
      </c>
    </row>
    <row r="355" spans="1:47" x14ac:dyDescent="0.3">
      <c r="A355" s="3">
        <f ca="1"/>
        <v>2346826</v>
      </c>
      <c r="B355" s="3" t="str">
        <f ca="1"/>
        <v>CZECH NEWS CENTER a. s.</v>
      </c>
      <c r="C355" s="3" t="str">
        <f ca="1">IFERROR(__xludf.DUMMYFUNCTION("""COMPUTED_VALUE"""),"CNC zpravodajský pack")</f>
        <v>CNC zpravodajský pack</v>
      </c>
      <c r="D355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5" s="3" t="str">
        <f ca="1">IFERROR(__xludf.DUMMYFUNCTION("""COMPUTED_VALUE"""),"celý web")</f>
        <v>celý web</v>
      </c>
      <c r="F355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5" s="3" t="str">
        <f ca="1">IFERROR(__xludf.DUMMYFUNCTION("""COMPUTED_VALUE"""),"cílený branding mid season")</f>
        <v>cílený branding mid season</v>
      </c>
      <c r="H355" s="3">
        <f ca="1">IFERROR(__xludf.DUMMYFUNCTION("""COMPUTED_VALUE"""),7)</f>
        <v>7</v>
      </c>
      <c r="I355" s="5">
        <f ca="1">IFERROR(__xludf.DUMMYFUNCTION("""COMPUTED_VALUE"""),1000)</f>
        <v>1000</v>
      </c>
      <c r="J355" s="5">
        <f ca="1">IFERROR(__xludf.DUMMYFUNCTION("""COMPUTED_VALUE"""),840)</f>
        <v>840</v>
      </c>
      <c r="K355" s="3"/>
      <c r="L355" s="3" t="str">
        <f ca="1">IFERROR(__xludf.DUMMYFUNCTION("""COMPUTED_VALUE"""),"Cost per period")</f>
        <v>Cost per period</v>
      </c>
      <c r="M355" s="3"/>
      <c r="N355" s="3"/>
      <c r="O355" s="3" t="str">
        <f ca="1">IFERROR(__xludf.DUMMYFUNCTION("""COMPUTED_VALUE"""),"2000")</f>
        <v>2000</v>
      </c>
      <c r="P355" s="3" t="str">
        <f ca="1">IFERROR(__xludf.DUMMYFUNCTION("""COMPUTED_VALUE"""),"1400")</f>
        <v>1400</v>
      </c>
      <c r="Q355" s="3" t="str">
        <f ca="1">IFERROR(__xludf.DUMMYFUNCTION("""COMPUTED_VALUE"""),"2000x1400")</f>
        <v>2000x1400</v>
      </c>
      <c r="R355" s="3"/>
      <c r="S355" s="3" t="str">
        <f ca="1">IFERROR(__xludf.DUMMYFUNCTION("""COMPUTED_VALUE"""),"500 + 200 (600+200 HTML5)")</f>
        <v>500 + 200 (600+200 HTML5)</v>
      </c>
      <c r="T355" s="3"/>
      <c r="U355" s="3" t="str">
        <f ca="1">IFERROR(__xludf.DUMMYFUNCTION("""COMPUTED_VALUE"""),"banner standard")</f>
        <v>banner standard</v>
      </c>
      <c r="V355" s="3"/>
      <c r="W355" s="4" t="str">
        <f ca="1">IFERROR(__xludf.DUMMYFUNCTION("""COMPUTED_VALUE"""),"https://reklama.cncenter.cz/Online/branding")</f>
        <v>https://reklama.cncenter.cz/Online/branding</v>
      </c>
      <c r="X355" s="3"/>
      <c r="Y355" s="3"/>
      <c r="Z355" s="3" t="str">
        <f ca="1">IFERROR(__xludf.DUMMYFUNCTION("""COMPUTED_VALUE"""),"podklady@cncenter.cz")</f>
        <v>podklady@cncenter.cz</v>
      </c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 t="str">
        <f ca="1">IFERROR(__xludf.DUMMYFUNCTION("""COMPUTED_VALUE"""),"desktop")</f>
        <v>desktop</v>
      </c>
      <c r="AO355" s="3"/>
      <c r="AP355" s="3"/>
      <c r="AQ355" s="3"/>
      <c r="AR355" s="3"/>
      <c r="AS355" s="3"/>
      <c r="AT355" s="3"/>
      <c r="AU355" s="3" t="str">
        <f ca="1">IFERROR(__xludf.DUMMYFUNCTION("""COMPUTED_VALUE"""),"cílený branding")</f>
        <v>cílený branding</v>
      </c>
    </row>
    <row r="356" spans="1:47" x14ac:dyDescent="0.3">
      <c r="A356" s="3">
        <f ca="1"/>
        <v>2346826</v>
      </c>
      <c r="B356" s="3" t="str">
        <f ca="1"/>
        <v>CZECH NEWS CENTER a. s.</v>
      </c>
      <c r="C356" s="3" t="str">
        <f ca="1">IFERROR(__xludf.DUMMYFUNCTION("""COMPUTED_VALUE"""),"CNC zpravodajský pack")</f>
        <v>CNC zpravodajský pack</v>
      </c>
      <c r="D356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6" s="3" t="str">
        <f ca="1">IFERROR(__xludf.DUMMYFUNCTION("""COMPUTED_VALUE"""),"celý web")</f>
        <v>celý web</v>
      </c>
      <c r="F356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6" s="3" t="str">
        <f ca="1">IFERROR(__xludf.DUMMYFUNCTION("""COMPUTED_VALUE"""),"cílený double skyscraper mid season")</f>
        <v>cílený double skyscraper mid season</v>
      </c>
      <c r="H356" s="3">
        <f ca="1">IFERROR(__xludf.DUMMYFUNCTION("""COMPUTED_VALUE"""),7)</f>
        <v>7</v>
      </c>
      <c r="I356" s="5">
        <f ca="1">IFERROR(__xludf.DUMMYFUNCTION("""COMPUTED_VALUE"""),1000)</f>
        <v>1000</v>
      </c>
      <c r="J356" s="5">
        <f ca="1">IFERROR(__xludf.DUMMYFUNCTION("""COMPUTED_VALUE"""),288)</f>
        <v>288</v>
      </c>
      <c r="K356" s="3"/>
      <c r="L356" s="3" t="str">
        <f ca="1">IFERROR(__xludf.DUMMYFUNCTION("""COMPUTED_VALUE"""),"Cost per period")</f>
        <v>Cost per period</v>
      </c>
      <c r="M356" s="3"/>
      <c r="N356" s="3"/>
      <c r="O356" s="3" t="str">
        <f ca="1">IFERROR(__xludf.DUMMYFUNCTION("""COMPUTED_VALUE"""),"300")</f>
        <v>300</v>
      </c>
      <c r="P356" s="3" t="str">
        <f ca="1">IFERROR(__xludf.DUMMYFUNCTION("""COMPUTED_VALUE"""),"600")</f>
        <v>600</v>
      </c>
      <c r="Q356" s="3" t="str">
        <f ca="1">IFERROR(__xludf.DUMMYFUNCTION("""COMPUTED_VALUE"""),"300x600")</f>
        <v>300x600</v>
      </c>
      <c r="R356" s="3"/>
      <c r="S356" s="3" t="str">
        <f ca="1">IFERROR(__xludf.DUMMYFUNCTION("""COMPUTED_VALUE"""),"100 (200 - HTML5)")</f>
        <v>100 (200 - HTML5)</v>
      </c>
      <c r="T356" s="3"/>
      <c r="U356" s="3" t="str">
        <f ca="1">IFERROR(__xludf.DUMMYFUNCTION("""COMPUTED_VALUE"""),"banner standard")</f>
        <v>banner standard</v>
      </c>
      <c r="V356" s="3"/>
      <c r="W356" s="4" t="str">
        <f ca="1">IFERROR(__xludf.DUMMYFUNCTION("""COMPUTED_VALUE"""),"https://reklama.cncenter.cz/Online/double-skyscraper")</f>
        <v>https://reklama.cncenter.cz/Online/double-skyscraper</v>
      </c>
      <c r="X356" s="3"/>
      <c r="Y356" s="3"/>
      <c r="Z356" s="3" t="str">
        <f ca="1">IFERROR(__xludf.DUMMYFUNCTION("""COMPUTED_VALUE"""),"podklady@cncenter.cz")</f>
        <v>podklady@cncenter.cz</v>
      </c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 t="str">
        <f ca="1">IFERROR(__xludf.DUMMYFUNCTION("""COMPUTED_VALUE"""),"desktop")</f>
        <v>desktop</v>
      </c>
      <c r="AO356" s="3"/>
      <c r="AP356" s="3"/>
      <c r="AQ356" s="3"/>
      <c r="AR356" s="3"/>
      <c r="AS356" s="3"/>
      <c r="AT356" s="3"/>
      <c r="AU356" s="3" t="str">
        <f ca="1">IFERROR(__xludf.DUMMYFUNCTION("""COMPUTED_VALUE"""),"cílený double skyscraper")</f>
        <v>cílený double skyscraper</v>
      </c>
    </row>
    <row r="357" spans="1:47" x14ac:dyDescent="0.3">
      <c r="A357" s="3">
        <f ca="1"/>
        <v>2346826</v>
      </c>
      <c r="B357" s="3" t="str">
        <f ca="1"/>
        <v>CZECH NEWS CENTER a. s.</v>
      </c>
      <c r="C357" s="3" t="str">
        <f ca="1">IFERROR(__xludf.DUMMYFUNCTION("""COMPUTED_VALUE"""),"CNC zpravodajský pack")</f>
        <v>CNC zpravodajský pack</v>
      </c>
      <c r="D357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7" s="3" t="str">
        <f ca="1">IFERROR(__xludf.DUMMYFUNCTION("""COMPUTED_VALUE"""),"celý web")</f>
        <v>celý web</v>
      </c>
      <c r="F357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7" s="3" t="str">
        <f ca="1">IFERROR(__xludf.DUMMYFUNCTION("""COMPUTED_VALUE"""),"cílený mini videospot - max. 30 sec. mid season")</f>
        <v>cílený mini videospot - max. 30 sec. mid season</v>
      </c>
      <c r="H357" s="3">
        <f ca="1">IFERROR(__xludf.DUMMYFUNCTION("""COMPUTED_VALUE"""),7)</f>
        <v>7</v>
      </c>
      <c r="I357" s="5">
        <f ca="1">IFERROR(__xludf.DUMMYFUNCTION("""COMPUTED_VALUE"""),1000)</f>
        <v>1000</v>
      </c>
      <c r="J357" s="5">
        <f ca="1">IFERROR(__xludf.DUMMYFUNCTION("""COMPUTED_VALUE"""),312)</f>
        <v>312</v>
      </c>
      <c r="K357" s="3"/>
      <c r="L357" s="3" t="str">
        <f ca="1">IFERROR(__xludf.DUMMYFUNCTION("""COMPUTED_VALUE"""),"Cost per period")</f>
        <v>Cost per period</v>
      </c>
      <c r="M357" s="3"/>
      <c r="N357" s="3"/>
      <c r="O357" s="3"/>
      <c r="P357" s="3"/>
      <c r="Q357" s="3" t="str">
        <f ca="1">IFERROR(__xludf.DUMMYFUNCTION("""COMPUTED_VALUE"""),"16:9 / umístění po domluvě dle možností")</f>
        <v>16:9 / umístění po domluvě dle možností</v>
      </c>
      <c r="R357" s="3" t="str">
        <f ca="1">IFERROR(__xludf.DUMMYFUNCTION("""COMPUTED_VALUE"""),"přeskočení po 7 sekundách")</f>
        <v>přeskočení po 7 sekundách</v>
      </c>
      <c r="S357" s="3" t="str">
        <f ca="1">IFERROR(__xludf.DUMMYFUNCTION("""COMPUTED_VALUE"""),"100")</f>
        <v>100</v>
      </c>
      <c r="T357" s="3"/>
      <c r="U357" s="3" t="str">
        <f ca="1">IFERROR(__xludf.DUMMYFUNCTION("""COMPUTED_VALUE"""),"videospot")</f>
        <v>videospot</v>
      </c>
      <c r="V357" s="3"/>
      <c r="W357" s="4" t="str">
        <f ca="1">IFERROR(__xludf.DUMMYFUNCTION("""COMPUTED_VALUE"""),"https://reklama.cncenter.cz/Online/Videospot")</f>
        <v>https://reklama.cncenter.cz/Online/Videospot</v>
      </c>
      <c r="X357" s="3"/>
      <c r="Y357" s="3"/>
      <c r="Z357" s="3" t="str">
        <f ca="1">IFERROR(__xludf.DUMMYFUNCTION("""COMPUTED_VALUE"""),"podklady@cncenter.cz")</f>
        <v>podklady@cncenter.cz</v>
      </c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 t="str">
        <f ca="1">IFERROR(__xludf.DUMMYFUNCTION("""COMPUTED_VALUE"""),"desktop")</f>
        <v>desktop</v>
      </c>
      <c r="AO357" s="3"/>
      <c r="AP357" s="3"/>
      <c r="AQ357" s="3"/>
      <c r="AR357" s="3"/>
      <c r="AS357" s="3"/>
      <c r="AT357" s="3"/>
      <c r="AU357" s="3" t="str">
        <f ca="1">IFERROR(__xludf.DUMMYFUNCTION("""COMPUTED_VALUE"""),"cílený mini videospot - max. 30 sec.")</f>
        <v>cílený mini videospot - max. 30 sec.</v>
      </c>
    </row>
    <row r="358" spans="1:47" x14ac:dyDescent="0.3">
      <c r="A358" s="3">
        <f ca="1"/>
        <v>2346826</v>
      </c>
      <c r="B358" s="3" t="str">
        <f ca="1"/>
        <v>CZECH NEWS CENTER a. s.</v>
      </c>
      <c r="C358" s="3" t="str">
        <f ca="1">IFERROR(__xludf.DUMMYFUNCTION("""COMPUTED_VALUE"""),"CNC zpravodajský pack")</f>
        <v>CNC zpravodajský pack</v>
      </c>
      <c r="D358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8" s="3" t="str">
        <f ca="1">IFERROR(__xludf.DUMMYFUNCTION("""COMPUTED_VALUE"""),"celý web")</f>
        <v>celý web</v>
      </c>
      <c r="F358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8" s="3" t="str">
        <f ca="1">IFERROR(__xludf.DUMMYFUNCTION("""COMPUTED_VALUE"""),"cílený mobilní interscroller mid season")</f>
        <v>cílený mobilní interscroller mid season</v>
      </c>
      <c r="H358" s="3">
        <f ca="1">IFERROR(__xludf.DUMMYFUNCTION("""COMPUTED_VALUE"""),7)</f>
        <v>7</v>
      </c>
      <c r="I358" s="5">
        <f ca="1">IFERROR(__xludf.DUMMYFUNCTION("""COMPUTED_VALUE"""),1000)</f>
        <v>1000</v>
      </c>
      <c r="J358" s="5">
        <f ca="1">IFERROR(__xludf.DUMMYFUNCTION("""COMPUTED_VALUE"""),336)</f>
        <v>336</v>
      </c>
      <c r="K358" s="3"/>
      <c r="L358" s="3" t="str">
        <f ca="1">IFERROR(__xludf.DUMMYFUNCTION("""COMPUTED_VALUE"""),"Cost per period")</f>
        <v>Cost per period</v>
      </c>
      <c r="M358" s="3"/>
      <c r="N358" s="3"/>
      <c r="O358" s="3" t="str">
        <f ca="1">IFERROR(__xludf.DUMMYFUNCTION("""COMPUTED_VALUE"""),"600")</f>
        <v>600</v>
      </c>
      <c r="P358" s="3" t="str">
        <f ca="1">IFERROR(__xludf.DUMMYFUNCTION("""COMPUTED_VALUE"""),"1080")</f>
        <v>1080</v>
      </c>
      <c r="Q358" s="3" t="str">
        <f ca="1">IFERROR(__xludf.DUMMYFUNCTION("""COMPUTED_VALUE"""),"600x1080")</f>
        <v>600x1080</v>
      </c>
      <c r="R358" s="3"/>
      <c r="S358" s="3" t="str">
        <f ca="1">IFERROR(__xludf.DUMMYFUNCTION("""COMPUTED_VALUE"""),"200")</f>
        <v>200</v>
      </c>
      <c r="T358" s="3"/>
      <c r="U358" s="3" t="str">
        <f ca="1">IFERROR(__xludf.DUMMYFUNCTION("""COMPUTED_VALUE"""),"banner standard")</f>
        <v>banner standard</v>
      </c>
      <c r="V358" s="3"/>
      <c r="W358" s="4" t="str">
        <f ca="1">IFERROR(__xludf.DUMMYFUNCTION("""COMPUTED_VALUE"""),"https://reklama.cncenter.cz/Online/mobilni-interscroller")</f>
        <v>https://reklama.cncenter.cz/Online/mobilni-interscroller</v>
      </c>
      <c r="X358" s="3"/>
      <c r="Y358" s="3"/>
      <c r="Z358" s="3" t="str">
        <f ca="1">IFERROR(__xludf.DUMMYFUNCTION("""COMPUTED_VALUE"""),"podklady@cncenter.cz")</f>
        <v>podklady@cncenter.cz</v>
      </c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 t="str">
        <f ca="1">IFERROR(__xludf.DUMMYFUNCTION("""COMPUTED_VALUE"""),"mobile")</f>
        <v>mobile</v>
      </c>
      <c r="AO358" s="3"/>
      <c r="AP358" s="3"/>
      <c r="AQ358" s="3"/>
      <c r="AR358" s="3"/>
      <c r="AS358" s="3"/>
      <c r="AT358" s="3"/>
      <c r="AU358" s="3" t="str">
        <f ca="1">IFERROR(__xludf.DUMMYFUNCTION("""COMPUTED_VALUE"""),"cílený mobilní interscroller")</f>
        <v>cílený mobilní interscroller</v>
      </c>
    </row>
    <row r="359" spans="1:47" x14ac:dyDescent="0.3">
      <c r="A359" s="3">
        <f ca="1"/>
        <v>2346826</v>
      </c>
      <c r="B359" s="3" t="str">
        <f ca="1"/>
        <v>CZECH NEWS CENTER a. s.</v>
      </c>
      <c r="C359" s="3" t="str">
        <f ca="1">IFERROR(__xludf.DUMMYFUNCTION("""COMPUTED_VALUE"""),"CNC zpravodajský pack")</f>
        <v>CNC zpravodajský pack</v>
      </c>
      <c r="D359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9" s="3" t="str">
        <f ca="1">IFERROR(__xludf.DUMMYFUNCTION("""COMPUTED_VALUE"""),"celý web")</f>
        <v>celý web</v>
      </c>
      <c r="F359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9" s="3" t="str">
        <f ca="1">IFERROR(__xludf.DUMMYFUNCTION("""COMPUTED_VALUE"""),"cílený mobilní slide-up mid season")</f>
        <v>cílený mobilní slide-up mid season</v>
      </c>
      <c r="H359" s="3">
        <f ca="1">IFERROR(__xludf.DUMMYFUNCTION("""COMPUTED_VALUE"""),7)</f>
        <v>7</v>
      </c>
      <c r="I359" s="5">
        <f ca="1">IFERROR(__xludf.DUMMYFUNCTION("""COMPUTED_VALUE"""),1000)</f>
        <v>1000</v>
      </c>
      <c r="J359" s="5">
        <f ca="1">IFERROR(__xludf.DUMMYFUNCTION("""COMPUTED_VALUE"""),708)</f>
        <v>708</v>
      </c>
      <c r="K359" s="3"/>
      <c r="L359" s="3" t="str">
        <f ca="1">IFERROR(__xludf.DUMMYFUNCTION("""COMPUTED_VALUE"""),"Cost per period")</f>
        <v>Cost per period</v>
      </c>
      <c r="M359" s="3"/>
      <c r="N359" s="3"/>
      <c r="O359" s="3" t="str">
        <f ca="1">IFERROR(__xludf.DUMMYFUNCTION("""COMPUTED_VALUE"""),"300")</f>
        <v>300</v>
      </c>
      <c r="P359" s="3" t="str">
        <f ca="1">IFERROR(__xludf.DUMMYFUNCTION("""COMPUTED_VALUE"""),"120")</f>
        <v>120</v>
      </c>
      <c r="Q359" s="3" t="str">
        <f ca="1">IFERROR(__xludf.DUMMYFUNCTION("""COMPUTED_VALUE"""),"300x120")</f>
        <v>300x120</v>
      </c>
      <c r="R359" s="3"/>
      <c r="S359" s="3" t="str">
        <f ca="1">IFERROR(__xludf.DUMMYFUNCTION("""COMPUTED_VALUE"""),"100")</f>
        <v>100</v>
      </c>
      <c r="T359" s="3"/>
      <c r="U359" s="3" t="str">
        <f ca="1">IFERROR(__xludf.DUMMYFUNCTION("""COMPUTED_VALUE"""),"banner standard")</f>
        <v>banner standard</v>
      </c>
      <c r="V359" s="3"/>
      <c r="W359" s="4" t="str">
        <f ca="1">IFERROR(__xludf.DUMMYFUNCTION("""COMPUTED_VALUE"""),"https://reklama.cncenter.cz/Online/mobilni-slide-up")</f>
        <v>https://reklama.cncenter.cz/Online/mobilni-slide-up</v>
      </c>
      <c r="X359" s="3"/>
      <c r="Y359" s="3"/>
      <c r="Z359" s="3" t="str">
        <f ca="1">IFERROR(__xludf.DUMMYFUNCTION("""COMPUTED_VALUE"""),"podklady@cncenter.cz")</f>
        <v>podklady@cncenter.cz</v>
      </c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 t="str">
        <f ca="1">IFERROR(__xludf.DUMMYFUNCTION("""COMPUTED_VALUE"""),"mobile")</f>
        <v>mobile</v>
      </c>
      <c r="AO359" s="3"/>
      <c r="AP359" s="3"/>
      <c r="AQ359" s="3"/>
      <c r="AR359" s="3"/>
      <c r="AS359" s="3"/>
      <c r="AT359" s="3"/>
      <c r="AU359" s="3" t="str">
        <f ca="1">IFERROR(__xludf.DUMMYFUNCTION("""COMPUTED_VALUE"""),"cílený mobilní slide-up")</f>
        <v>cílený mobilní slide-up</v>
      </c>
    </row>
    <row r="360" spans="1:47" x14ac:dyDescent="0.3">
      <c r="A360" s="3">
        <f ca="1"/>
        <v>2346826</v>
      </c>
      <c r="B360" s="3" t="str">
        <f ca="1"/>
        <v>CZECH NEWS CENTER a. s.</v>
      </c>
      <c r="C360" s="3" t="str">
        <f ca="1">IFERROR(__xludf.DUMMYFUNCTION("""COMPUTED_VALUE"""),"CNC zpravodajský pack")</f>
        <v>CNC zpravodajský pack</v>
      </c>
      <c r="D360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0" s="3" t="str">
        <f ca="1">IFERROR(__xludf.DUMMYFUNCTION("""COMPUTED_VALUE"""),"celý web")</f>
        <v>celý web</v>
      </c>
      <c r="F360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0" s="3" t="str">
        <f ca="1">IFERROR(__xludf.DUMMYFUNCTION("""COMPUTED_VALUE"""),"cílený mobilní viněta mid season")</f>
        <v>cílený mobilní viněta mid season</v>
      </c>
      <c r="H360" s="3">
        <f ca="1">IFERROR(__xludf.DUMMYFUNCTION("""COMPUTED_VALUE"""),7)</f>
        <v>7</v>
      </c>
      <c r="I360" s="5">
        <f ca="1">IFERROR(__xludf.DUMMYFUNCTION("""COMPUTED_VALUE"""),1000)</f>
        <v>1000</v>
      </c>
      <c r="J360" s="5">
        <f ca="1">IFERROR(__xludf.DUMMYFUNCTION("""COMPUTED_VALUE"""),1080)</f>
        <v>1080</v>
      </c>
      <c r="K360" s="3"/>
      <c r="L360" s="3" t="str">
        <f ca="1">IFERROR(__xludf.DUMMYFUNCTION("""COMPUTED_VALUE"""),"Cost per period")</f>
        <v>Cost per period</v>
      </c>
      <c r="M360" s="3"/>
      <c r="N360" s="3"/>
      <c r="O360" s="3" t="str">
        <f ca="1">IFERROR(__xludf.DUMMYFUNCTION("""COMPUTED_VALUE"""),"600")</f>
        <v>600</v>
      </c>
      <c r="P360" s="3" t="str">
        <f ca="1">IFERROR(__xludf.DUMMYFUNCTION("""COMPUTED_VALUE"""),"800")</f>
        <v>800</v>
      </c>
      <c r="Q360" s="3" t="str">
        <f ca="1">IFERROR(__xludf.DUMMYFUNCTION("""COMPUTED_VALUE"""),"300x250 nebo 600x800")</f>
        <v>300x250 nebo 600x800</v>
      </c>
      <c r="R360" s="3"/>
      <c r="S360" s="3" t="str">
        <f ca="1">IFERROR(__xludf.DUMMYFUNCTION("""COMPUTED_VALUE"""),"100")</f>
        <v>100</v>
      </c>
      <c r="T360" s="3"/>
      <c r="U360" s="3" t="str">
        <f ca="1">IFERROR(__xludf.DUMMYFUNCTION("""COMPUTED_VALUE"""),"banner standard")</f>
        <v>banner standard</v>
      </c>
      <c r="V360" s="3"/>
      <c r="W360" s="4" t="str">
        <f ca="1">IFERROR(__xludf.DUMMYFUNCTION("""COMPUTED_VALUE"""),"https://reklama.cncenter.cz/Online/mobilni-vineta")</f>
        <v>https://reklama.cncenter.cz/Online/mobilni-vineta</v>
      </c>
      <c r="X360" s="3"/>
      <c r="Y360" s="3"/>
      <c r="Z360" s="3" t="str">
        <f ca="1">IFERROR(__xludf.DUMMYFUNCTION("""COMPUTED_VALUE"""),"podklady@cncenter.cz")</f>
        <v>podklady@cncenter.cz</v>
      </c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 t="str">
        <f ca="1">IFERROR(__xludf.DUMMYFUNCTION("""COMPUTED_VALUE"""),"mobile")</f>
        <v>mobile</v>
      </c>
      <c r="AO360" s="3"/>
      <c r="AP360" s="3"/>
      <c r="AQ360" s="3"/>
      <c r="AR360" s="3"/>
      <c r="AS360" s="3"/>
      <c r="AT360" s="3"/>
      <c r="AU360" s="3" t="str">
        <f ca="1">IFERROR(__xludf.DUMMYFUNCTION("""COMPUTED_VALUE"""),"cílený mobilní viněta")</f>
        <v>cílený mobilní viněta</v>
      </c>
    </row>
    <row r="361" spans="1:47" x14ac:dyDescent="0.3">
      <c r="A361" s="3">
        <f ca="1"/>
        <v>2346826</v>
      </c>
      <c r="B361" s="3" t="str">
        <f ca="1"/>
        <v>CZECH NEWS CENTER a. s.</v>
      </c>
      <c r="C361" s="3" t="str">
        <f ca="1">IFERROR(__xludf.DUMMYFUNCTION("""COMPUTED_VALUE"""),"CNC zpravodajský pack")</f>
        <v>CNC zpravodajský pack</v>
      </c>
      <c r="D361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1" s="3" t="str">
        <f ca="1">IFERROR(__xludf.DUMMYFUNCTION("""COMPUTED_VALUE"""),"celý web")</f>
        <v>celý web</v>
      </c>
      <c r="F361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1" s="3" t="str">
        <f ca="1">IFERROR(__xludf.DUMMYFUNCTION("""COMPUTED_VALUE"""),"cílený nativní rectangle cross-device mid season")</f>
        <v>cílený nativní rectangle cross-device mid season</v>
      </c>
      <c r="H361" s="3">
        <f ca="1">IFERROR(__xludf.DUMMYFUNCTION("""COMPUTED_VALUE"""),7)</f>
        <v>7</v>
      </c>
      <c r="I361" s="5">
        <f ca="1">IFERROR(__xludf.DUMMYFUNCTION("""COMPUTED_VALUE"""),1000)</f>
        <v>1000</v>
      </c>
      <c r="J361" s="5">
        <f ca="1">IFERROR(__xludf.DUMMYFUNCTION("""COMPUTED_VALUE"""),288)</f>
        <v>288</v>
      </c>
      <c r="K361" s="3"/>
      <c r="L361" s="3" t="str">
        <f ca="1">IFERROR(__xludf.DUMMYFUNCTION("""COMPUTED_VALUE"""),"Cost per period")</f>
        <v>Cost per period</v>
      </c>
      <c r="M361" s="3"/>
      <c r="N361" s="3"/>
      <c r="O361" s="3" t="str">
        <f ca="1">IFERROR(__xludf.DUMMYFUNCTION("""COMPUTED_VALUE"""),"640")</f>
        <v>640</v>
      </c>
      <c r="P361" s="3" t="str">
        <f ca="1">IFERROR(__xludf.DUMMYFUNCTION("""COMPUTED_VALUE"""),"335, 640")</f>
        <v>335, 640</v>
      </c>
      <c r="Q361" s="3" t="str">
        <f ca="1">IFERROR(__xludf.DUMMYFUNCTION("""COMPUTED_VALUE"""),"640x640 a 640x335 + text + logo")</f>
        <v>640x640 a 640x335 + text + logo</v>
      </c>
      <c r="R361" s="3"/>
      <c r="S361" s="3" t="str">
        <f ca="1">IFERROR(__xludf.DUMMYFUNCTION("""COMPUTED_VALUE"""),"45")</f>
        <v>45</v>
      </c>
      <c r="T361" s="3"/>
      <c r="U361" s="3" t="str">
        <f ca="1">IFERROR(__xludf.DUMMYFUNCTION("""COMPUTED_VALUE"""),"nativní reklama")</f>
        <v>nativní reklama</v>
      </c>
      <c r="V361" s="3"/>
      <c r="W361" s="4" t="str">
        <f ca="1">IFERROR(__xludf.DUMMYFUNCTION("""COMPUTED_VALUE"""),"https://reklama.cncenter.cz/Online/nativni-rectangle-cross-device")</f>
        <v>https://reklama.cncenter.cz/Online/nativni-rectangle-cross-device</v>
      </c>
      <c r="X361" s="3"/>
      <c r="Y361" s="3"/>
      <c r="Z361" s="3" t="str">
        <f ca="1">IFERROR(__xludf.DUMMYFUNCTION("""COMPUTED_VALUE"""),"podklady@cncenter.cz")</f>
        <v>podklady@cncenter.cz</v>
      </c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 t="str">
        <f ca="1">IFERROR(__xludf.DUMMYFUNCTION("""COMPUTED_VALUE"""),"cross-device")</f>
        <v>cross-device</v>
      </c>
      <c r="AO361" s="3"/>
      <c r="AP361" s="3"/>
      <c r="AQ361" s="3"/>
      <c r="AR361" s="3"/>
      <c r="AS361" s="3"/>
      <c r="AT361" s="3"/>
      <c r="AU361" s="3" t="str">
        <f ca="1">IFERROR(__xludf.DUMMYFUNCTION("""COMPUTED_VALUE"""),"cílený nativní rectangle cross-device")</f>
        <v>cílený nativní rectangle cross-device</v>
      </c>
    </row>
    <row r="362" spans="1:47" x14ac:dyDescent="0.3">
      <c r="A362" s="3">
        <f ca="1"/>
        <v>2346826</v>
      </c>
      <c r="B362" s="3" t="str">
        <f ca="1"/>
        <v>CZECH NEWS CENTER a. s.</v>
      </c>
      <c r="C362" s="3" t="str">
        <f ca="1">IFERROR(__xludf.DUMMYFUNCTION("""COMPUTED_VALUE"""),"CNC zpravodajský pack")</f>
        <v>CNC zpravodajský pack</v>
      </c>
      <c r="D362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2" s="3" t="str">
        <f ca="1">IFERROR(__xludf.DUMMYFUNCTION("""COMPUTED_VALUE"""),"celý web")</f>
        <v>celý web</v>
      </c>
      <c r="F362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2" s="3" t="str">
        <f ca="1">IFERROR(__xludf.DUMMYFUNCTION("""COMPUTED_VALUE"""),"cílený outstream mid season")</f>
        <v>cílený outstream mid season</v>
      </c>
      <c r="H362" s="3">
        <f ca="1">IFERROR(__xludf.DUMMYFUNCTION("""COMPUTED_VALUE"""),7)</f>
        <v>7</v>
      </c>
      <c r="I362" s="5">
        <f ca="1">IFERROR(__xludf.DUMMYFUNCTION("""COMPUTED_VALUE"""),1000)</f>
        <v>1000</v>
      </c>
      <c r="J362" s="5">
        <f ca="1">IFERROR(__xludf.DUMMYFUNCTION("""COMPUTED_VALUE"""),396)</f>
        <v>396</v>
      </c>
      <c r="K362" s="3"/>
      <c r="L362" s="3" t="str">
        <f ca="1">IFERROR(__xludf.DUMMYFUNCTION("""COMPUTED_VALUE"""),"Cost per period")</f>
        <v>Cost per period</v>
      </c>
      <c r="M362" s="3"/>
      <c r="N362" s="3"/>
      <c r="O362" s="3" t="str">
        <f ca="1">IFERROR(__xludf.DUMMYFUNCTION("""COMPUTED_VALUE"""),"1280")</f>
        <v>1280</v>
      </c>
      <c r="P362" s="3" t="str">
        <f ca="1">IFERROR(__xludf.DUMMYFUNCTION("""COMPUTED_VALUE"""),"720")</f>
        <v>720</v>
      </c>
      <c r="Q362" s="3" t="str">
        <f ca="1">IFERROR(__xludf.DUMMYFUNCTION("""COMPUTED_VALUE"""),"16:9")</f>
        <v>16:9</v>
      </c>
      <c r="R362" s="3"/>
      <c r="S362" s="3" t="str">
        <f ca="1">IFERROR(__xludf.DUMMYFUNCTION("""COMPUTED_VALUE"""),"100")</f>
        <v>100</v>
      </c>
      <c r="T362" s="3"/>
      <c r="U362" s="3" t="str">
        <f ca="1">IFERROR(__xludf.DUMMYFUNCTION("""COMPUTED_VALUE"""),"videospot")</f>
        <v>videospot</v>
      </c>
      <c r="V362" s="3"/>
      <c r="W362" s="4" t="str">
        <f ca="1">IFERROR(__xludf.DUMMYFUNCTION("""COMPUTED_VALUE"""),"https://reklama.cncenter.cz/Online/Outstream")</f>
        <v>https://reklama.cncenter.cz/Online/Outstream</v>
      </c>
      <c r="X362" s="3"/>
      <c r="Y362" s="3"/>
      <c r="Z362" s="3" t="str">
        <f ca="1">IFERROR(__xludf.DUMMYFUNCTION("""COMPUTED_VALUE"""),"podklady@cncenter.cz")</f>
        <v>podklady@cncenter.cz</v>
      </c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 t="str">
        <f ca="1">IFERROR(__xludf.DUMMYFUNCTION("""COMPUTED_VALUE"""),"cross-device")</f>
        <v>cross-device</v>
      </c>
      <c r="AO362" s="3"/>
      <c r="AP362" s="3"/>
      <c r="AQ362" s="3"/>
      <c r="AR362" s="3"/>
      <c r="AS362" s="3"/>
      <c r="AT362" s="3"/>
      <c r="AU362" s="3" t="str">
        <f ca="1">IFERROR(__xludf.DUMMYFUNCTION("""COMPUTED_VALUE"""),"cílený outstream")</f>
        <v>cílený outstream</v>
      </c>
    </row>
    <row r="363" spans="1:47" x14ac:dyDescent="0.3">
      <c r="A363" s="3">
        <f ca="1"/>
        <v>2346826</v>
      </c>
      <c r="B363" s="3" t="str">
        <f ca="1"/>
        <v>CZECH NEWS CENTER a. s.</v>
      </c>
      <c r="C363" s="3" t="str">
        <f ca="1">IFERROR(__xludf.DUMMYFUNCTION("""COMPUTED_VALUE"""),"CNC zpravodajský pack")</f>
        <v>CNC zpravodajský pack</v>
      </c>
      <c r="D363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3" s="3" t="str">
        <f ca="1">IFERROR(__xludf.DUMMYFUNCTION("""COMPUTED_VALUE"""),"celý web")</f>
        <v>celý web</v>
      </c>
      <c r="F363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3" s="3" t="str">
        <f ca="1">IFERROR(__xludf.DUMMYFUNCTION("""COMPUTED_VALUE"""),"cílený Smarticle mid season")</f>
        <v>cílený Smarticle mid season</v>
      </c>
      <c r="H363" s="3">
        <f ca="1">IFERROR(__xludf.DUMMYFUNCTION("""COMPUTED_VALUE"""),7)</f>
        <v>7</v>
      </c>
      <c r="I363" s="5">
        <f ca="1">IFERROR(__xludf.DUMMYFUNCTION("""COMPUTED_VALUE"""),1000)</f>
        <v>1000</v>
      </c>
      <c r="J363" s="5">
        <f ca="1">IFERROR(__xludf.DUMMYFUNCTION("""COMPUTED_VALUE"""),240)</f>
        <v>240</v>
      </c>
      <c r="K363" s="3"/>
      <c r="L363" s="3" t="str">
        <f ca="1">IFERROR(__xludf.DUMMYFUNCTION("""COMPUTED_VALUE"""),"Cost per period")</f>
        <v>Cost per period</v>
      </c>
      <c r="M363" s="3"/>
      <c r="N363" s="3" t="str">
        <f ca="1">IFERROR(__xludf.DUMMYFUNCTION("""COMPUTED_VALUE"""),"A4")</f>
        <v>A4</v>
      </c>
      <c r="O363" s="3"/>
      <c r="P363" s="3"/>
      <c r="Q363" s="3" t="str">
        <f ca="1">IFERROR(__xludf.DUMMYFUNCTION("""COMPUTED_VALUE"""),"viz. tech.specifikace; HP + sekce")</f>
        <v>viz. tech.specifikace; HP + sekce</v>
      </c>
      <c r="R363" s="3" t="str">
        <f ca="1">IFERROR(__xludf.DUMMYFUNCTION("""COMPUTED_VALUE"""),"HP + sekce")</f>
        <v>HP + sekce</v>
      </c>
      <c r="S363" s="3" t="str">
        <f ca="1">IFERROR(__xludf.DUMMYFUNCTION("""COMPUTED_VALUE"""),"100")</f>
        <v>100</v>
      </c>
      <c r="T363" s="3"/>
      <c r="U363" s="3" t="str">
        <f ca="1">IFERROR(__xludf.DUMMYFUNCTION("""COMPUTED_VALUE"""),"pr článek")</f>
        <v>pr článek</v>
      </c>
      <c r="V363" s="3"/>
      <c r="W363" s="4" t="str">
        <f ca="1">IFERROR(__xludf.DUMMYFUNCTION("""COMPUTED_VALUE"""),"https://reklama.cncenter.cz/Online/Smarticle")</f>
        <v>https://reklama.cncenter.cz/Online/Smarticle</v>
      </c>
      <c r="X363" s="3"/>
      <c r="Y363" s="3"/>
      <c r="Z363" s="3" t="str">
        <f ca="1">IFERROR(__xludf.DUMMYFUNCTION("""COMPUTED_VALUE"""),"podklady@cncenter.cz")</f>
        <v>podklady@cncenter.cz</v>
      </c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 t="str">
        <f ca="1">IFERROR(__xludf.DUMMYFUNCTION("""COMPUTED_VALUE"""),"cross-device")</f>
        <v>cross-device</v>
      </c>
      <c r="AO363" s="3"/>
      <c r="AP363" s="3"/>
      <c r="AQ363" s="3"/>
      <c r="AR363" s="3"/>
      <c r="AS363" s="3"/>
      <c r="AT363" s="3"/>
      <c r="AU363" s="3" t="str">
        <f ca="1">IFERROR(__xludf.DUMMYFUNCTION("""COMPUTED_VALUE"""),"cílený Smarticle")</f>
        <v>cílený Smarticle</v>
      </c>
    </row>
    <row r="364" spans="1:47" x14ac:dyDescent="0.3">
      <c r="A364" s="3">
        <f ca="1"/>
        <v>2346826</v>
      </c>
      <c r="B364" s="3" t="str">
        <f ca="1"/>
        <v>CZECH NEWS CENTER a. s.</v>
      </c>
      <c r="C364" s="3" t="str">
        <f ca="1">IFERROR(__xludf.DUMMYFUNCTION("""COMPUTED_VALUE"""),"CNC zpravodajský pack")</f>
        <v>CNC zpravodajský pack</v>
      </c>
      <c r="D364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4" s="3" t="str">
        <f ca="1">IFERROR(__xludf.DUMMYFUNCTION("""COMPUTED_VALUE"""),"celý web")</f>
        <v>celý web</v>
      </c>
      <c r="F364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4" s="3" t="str">
        <f ca="1">IFERROR(__xludf.DUMMYFUNCTION("""COMPUTED_VALUE"""),"cílený videospot - max. 30 sec. / bumper mid season")</f>
        <v>cílený videospot - max. 30 sec. / bumper mid season</v>
      </c>
      <c r="H364" s="3">
        <f ca="1">IFERROR(__xludf.DUMMYFUNCTION("""COMPUTED_VALUE"""),7)</f>
        <v>7</v>
      </c>
      <c r="I364" s="5">
        <f ca="1">IFERROR(__xludf.DUMMYFUNCTION("""COMPUTED_VALUE"""),1000)</f>
        <v>1000</v>
      </c>
      <c r="J364" s="5">
        <f ca="1">IFERROR(__xludf.DUMMYFUNCTION("""COMPUTED_VALUE"""),1584)</f>
        <v>1584</v>
      </c>
      <c r="K364" s="3"/>
      <c r="L364" s="3" t="str">
        <f ca="1">IFERROR(__xludf.DUMMYFUNCTION("""COMPUTED_VALUE"""),"Cost per period")</f>
        <v>Cost per period</v>
      </c>
      <c r="M364" s="3"/>
      <c r="N364" s="3"/>
      <c r="O364" s="3" t="str">
        <f ca="1">IFERROR(__xludf.DUMMYFUNCTION("""COMPUTED_VALUE"""),"1280")</f>
        <v>1280</v>
      </c>
      <c r="P364" s="3" t="str">
        <f ca="1">IFERROR(__xludf.DUMMYFUNCTION("""COMPUTED_VALUE"""),"720")</f>
        <v>720</v>
      </c>
      <c r="Q364" s="3" t="str">
        <f ca="1">IFERROR(__xludf.DUMMYFUNCTION("""COMPUTED_VALUE"""),"16:9 / umístění po domluvě dle možností")</f>
        <v>16:9 / umístění po domluvě dle možností</v>
      </c>
      <c r="R364" s="3" t="str">
        <f ca="1">IFERROR(__xludf.DUMMYFUNCTION("""COMPUTED_VALUE"""),"přeskočení po 7 sekundách")</f>
        <v>přeskočení po 7 sekundách</v>
      </c>
      <c r="S364" s="3" t="str">
        <f ca="1">IFERROR(__xludf.DUMMYFUNCTION("""COMPUTED_VALUE"""),"100")</f>
        <v>100</v>
      </c>
      <c r="T364" s="3"/>
      <c r="U364" s="3" t="str">
        <f ca="1">IFERROR(__xludf.DUMMYFUNCTION("""COMPUTED_VALUE"""),"videospot")</f>
        <v>videospot</v>
      </c>
      <c r="V364" s="3"/>
      <c r="W364" s="4" t="str">
        <f ca="1">IFERROR(__xludf.DUMMYFUNCTION("""COMPUTED_VALUE"""),"https://reklama.cncenter.cz/Online/Bumper")</f>
        <v>https://reklama.cncenter.cz/Online/Bumper</v>
      </c>
      <c r="X364" s="3"/>
      <c r="Y364" s="3"/>
      <c r="Z364" s="3" t="str">
        <f ca="1">IFERROR(__xludf.DUMMYFUNCTION("""COMPUTED_VALUE"""),"podklady@cncenter.cz")</f>
        <v>podklady@cncenter.cz</v>
      </c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 t="str">
        <f ca="1">IFERROR(__xludf.DUMMYFUNCTION("""COMPUTED_VALUE"""),"cross-device")</f>
        <v>cross-device</v>
      </c>
      <c r="AO364" s="3"/>
      <c r="AP364" s="3"/>
      <c r="AQ364" s="3"/>
      <c r="AR364" s="3"/>
      <c r="AS364" s="3"/>
      <c r="AT364" s="3"/>
      <c r="AU364" s="3" t="str">
        <f ca="1">IFERROR(__xludf.DUMMYFUNCTION("""COMPUTED_VALUE"""),"cílený videospot - max. 30 sec. / bumper")</f>
        <v>cílený videospot - max. 30 sec. / bumper</v>
      </c>
    </row>
    <row r="365" spans="1:47" x14ac:dyDescent="0.3">
      <c r="A365" s="3">
        <f ca="1"/>
        <v>2346826</v>
      </c>
      <c r="B365" s="3" t="str">
        <f ca="1"/>
        <v>CZECH NEWS CENTER a. s.</v>
      </c>
      <c r="C365" s="3" t="str">
        <f ca="1">IFERROR(__xludf.DUMMYFUNCTION("""COMPUTED_VALUE"""),"CNC zpravodajský pack")</f>
        <v>CNC zpravodajský pack</v>
      </c>
      <c r="D365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5" s="3" t="str">
        <f ca="1">IFERROR(__xludf.DUMMYFUNCTION("""COMPUTED_VALUE"""),"celý web")</f>
        <v>celý web</v>
      </c>
      <c r="F365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5" s="3" t="str">
        <f ca="1">IFERROR(__xludf.DUMMYFUNCTION("""COMPUTED_VALUE"""),"double skyscraper mid season")</f>
        <v>double skyscraper mid season</v>
      </c>
      <c r="H365" s="3">
        <f ca="1">IFERROR(__xludf.DUMMYFUNCTION("""COMPUTED_VALUE"""),7)</f>
        <v>7</v>
      </c>
      <c r="I365" s="5">
        <f ca="1">IFERROR(__xludf.DUMMYFUNCTION("""COMPUTED_VALUE"""),1000)</f>
        <v>1000</v>
      </c>
      <c r="J365" s="5">
        <f ca="1">IFERROR(__xludf.DUMMYFUNCTION("""COMPUTED_VALUE"""),240)</f>
        <v>240</v>
      </c>
      <c r="K365" s="3"/>
      <c r="L365" s="3" t="str">
        <f ca="1">IFERROR(__xludf.DUMMYFUNCTION("""COMPUTED_VALUE"""),"Cost per period")</f>
        <v>Cost per period</v>
      </c>
      <c r="M365" s="3"/>
      <c r="N365" s="3"/>
      <c r="O365" s="3" t="str">
        <f ca="1">IFERROR(__xludf.DUMMYFUNCTION("""COMPUTED_VALUE"""),"300")</f>
        <v>300</v>
      </c>
      <c r="P365" s="3" t="str">
        <f ca="1">IFERROR(__xludf.DUMMYFUNCTION("""COMPUTED_VALUE"""),"600")</f>
        <v>600</v>
      </c>
      <c r="Q365" s="3" t="str">
        <f ca="1">IFERROR(__xludf.DUMMYFUNCTION("""COMPUTED_VALUE"""),"300x600")</f>
        <v>300x600</v>
      </c>
      <c r="R365" s="3"/>
      <c r="S365" s="3" t="str">
        <f ca="1">IFERROR(__xludf.DUMMYFUNCTION("""COMPUTED_VALUE"""),"100 (200 - HTML5)")</f>
        <v>100 (200 - HTML5)</v>
      </c>
      <c r="T365" s="3"/>
      <c r="U365" s="3" t="str">
        <f ca="1">IFERROR(__xludf.DUMMYFUNCTION("""COMPUTED_VALUE"""),"banner standard")</f>
        <v>banner standard</v>
      </c>
      <c r="V365" s="3"/>
      <c r="W365" s="4" t="str">
        <f ca="1">IFERROR(__xludf.DUMMYFUNCTION("""COMPUTED_VALUE"""),"https://reklama.cncenter.cz/Online/double-skyscraper")</f>
        <v>https://reklama.cncenter.cz/Online/double-skyscraper</v>
      </c>
      <c r="X365" s="3"/>
      <c r="Y365" s="3"/>
      <c r="Z365" s="3" t="str">
        <f ca="1">IFERROR(__xludf.DUMMYFUNCTION("""COMPUTED_VALUE"""),"podklady@cncenter.cz")</f>
        <v>podklady@cncenter.cz</v>
      </c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 t="str">
        <f ca="1">IFERROR(__xludf.DUMMYFUNCTION("""COMPUTED_VALUE"""),"desktop")</f>
        <v>desktop</v>
      </c>
      <c r="AO365" s="3"/>
      <c r="AP365" s="3"/>
      <c r="AQ365" s="3"/>
      <c r="AR365" s="3"/>
      <c r="AS365" s="3"/>
      <c r="AT365" s="3"/>
      <c r="AU365" s="3" t="str">
        <f ca="1">IFERROR(__xludf.DUMMYFUNCTION("""COMPUTED_VALUE"""),"double skyscraper")</f>
        <v>double skyscraper</v>
      </c>
    </row>
    <row r="366" spans="1:47" x14ac:dyDescent="0.3">
      <c r="A366" s="3">
        <f ca="1"/>
        <v>2346826</v>
      </c>
      <c r="B366" s="3" t="str">
        <f ca="1"/>
        <v>CZECH NEWS CENTER a. s.</v>
      </c>
      <c r="C366" s="3" t="str">
        <f ca="1">IFERROR(__xludf.DUMMYFUNCTION("""COMPUTED_VALUE"""),"CNC zpravodajský pack")</f>
        <v>CNC zpravodajský pack</v>
      </c>
      <c r="D366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6" s="3" t="str">
        <f ca="1">IFERROR(__xludf.DUMMYFUNCTION("""COMPUTED_VALUE"""),"celý web")</f>
        <v>celý web</v>
      </c>
      <c r="F366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6" s="3" t="str">
        <f ca="1">IFERROR(__xludf.DUMMYFUNCTION("""COMPUTED_VALUE"""),"mini videospot - max. 30 sec. mid season")</f>
        <v>mini videospot - max. 30 sec. mid season</v>
      </c>
      <c r="H366" s="3">
        <f ca="1">IFERROR(__xludf.DUMMYFUNCTION("""COMPUTED_VALUE"""),7)</f>
        <v>7</v>
      </c>
      <c r="I366" s="5">
        <f ca="1">IFERROR(__xludf.DUMMYFUNCTION("""COMPUTED_VALUE"""),1000)</f>
        <v>1000</v>
      </c>
      <c r="J366" s="5">
        <f ca="1">IFERROR(__xludf.DUMMYFUNCTION("""COMPUTED_VALUE"""),260)</f>
        <v>260</v>
      </c>
      <c r="K366" s="3"/>
      <c r="L366" s="3" t="str">
        <f ca="1">IFERROR(__xludf.DUMMYFUNCTION("""COMPUTED_VALUE"""),"Cost per period")</f>
        <v>Cost per period</v>
      </c>
      <c r="M366" s="3"/>
      <c r="N366" s="3"/>
      <c r="O366" s="3"/>
      <c r="P366" s="3"/>
      <c r="Q366" s="3" t="str">
        <f ca="1">IFERROR(__xludf.DUMMYFUNCTION("""COMPUTED_VALUE"""),"16:9 / umístění po domluvě dle možností")</f>
        <v>16:9 / umístění po domluvě dle možností</v>
      </c>
      <c r="R366" s="3" t="str">
        <f ca="1">IFERROR(__xludf.DUMMYFUNCTION("""COMPUTED_VALUE"""),"přeskočení po 7 sekundách")</f>
        <v>přeskočení po 7 sekundách</v>
      </c>
      <c r="S366" s="3" t="str">
        <f ca="1">IFERROR(__xludf.DUMMYFUNCTION("""COMPUTED_VALUE"""),"100")</f>
        <v>100</v>
      </c>
      <c r="T366" s="3"/>
      <c r="U366" s="3" t="str">
        <f ca="1">IFERROR(__xludf.DUMMYFUNCTION("""COMPUTED_VALUE"""),"videospot")</f>
        <v>videospot</v>
      </c>
      <c r="V366" s="3"/>
      <c r="W366" s="4" t="str">
        <f ca="1">IFERROR(__xludf.DUMMYFUNCTION("""COMPUTED_VALUE"""),"https://reklama.cncenter.cz/Online/Videospot")</f>
        <v>https://reklama.cncenter.cz/Online/Videospot</v>
      </c>
      <c r="X366" s="3"/>
      <c r="Y366" s="3"/>
      <c r="Z366" s="3" t="str">
        <f ca="1">IFERROR(__xludf.DUMMYFUNCTION("""COMPUTED_VALUE"""),"podklady@cncenter.cz")</f>
        <v>podklady@cncenter.cz</v>
      </c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 t="str">
        <f ca="1">IFERROR(__xludf.DUMMYFUNCTION("""COMPUTED_VALUE"""),"desktop")</f>
        <v>desktop</v>
      </c>
      <c r="AO366" s="3"/>
      <c r="AP366" s="3"/>
      <c r="AQ366" s="3"/>
      <c r="AR366" s="3"/>
      <c r="AS366" s="3"/>
      <c r="AT366" s="3"/>
      <c r="AU366" s="3" t="str">
        <f ca="1">IFERROR(__xludf.DUMMYFUNCTION("""COMPUTED_VALUE"""),"mini videospot - max. 30 sec.")</f>
        <v>mini videospot - max. 30 sec.</v>
      </c>
    </row>
    <row r="367" spans="1:47" x14ac:dyDescent="0.3">
      <c r="A367" s="3">
        <f ca="1"/>
        <v>2346826</v>
      </c>
      <c r="B367" s="3" t="str">
        <f ca="1"/>
        <v>CZECH NEWS CENTER a. s.</v>
      </c>
      <c r="C367" s="3" t="str">
        <f ca="1">IFERROR(__xludf.DUMMYFUNCTION("""COMPUTED_VALUE"""),"CNC zpravodajský pack")</f>
        <v>CNC zpravodajský pack</v>
      </c>
      <c r="D367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7" s="3" t="str">
        <f ca="1">IFERROR(__xludf.DUMMYFUNCTION("""COMPUTED_VALUE"""),"celý web")</f>
        <v>celý web</v>
      </c>
      <c r="F367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7" s="3" t="str">
        <f ca="1">IFERROR(__xludf.DUMMYFUNCTION("""COMPUTED_VALUE"""),"mobilní interscroller mid season")</f>
        <v>mobilní interscroller mid season</v>
      </c>
      <c r="H367" s="3">
        <f ca="1">IFERROR(__xludf.DUMMYFUNCTION("""COMPUTED_VALUE"""),7)</f>
        <v>7</v>
      </c>
      <c r="I367" s="5">
        <f ca="1">IFERROR(__xludf.DUMMYFUNCTION("""COMPUTED_VALUE"""),1000)</f>
        <v>1000</v>
      </c>
      <c r="J367" s="5">
        <f ca="1">IFERROR(__xludf.DUMMYFUNCTION("""COMPUTED_VALUE"""),280)</f>
        <v>280</v>
      </c>
      <c r="K367" s="3"/>
      <c r="L367" s="3" t="str">
        <f ca="1">IFERROR(__xludf.DUMMYFUNCTION("""COMPUTED_VALUE"""),"Cost per period")</f>
        <v>Cost per period</v>
      </c>
      <c r="M367" s="3"/>
      <c r="N367" s="3"/>
      <c r="O367" s="3" t="str">
        <f ca="1">IFERROR(__xludf.DUMMYFUNCTION("""COMPUTED_VALUE"""),"600")</f>
        <v>600</v>
      </c>
      <c r="P367" s="3" t="str">
        <f ca="1">IFERROR(__xludf.DUMMYFUNCTION("""COMPUTED_VALUE"""),"1080")</f>
        <v>1080</v>
      </c>
      <c r="Q367" s="3" t="str">
        <f ca="1">IFERROR(__xludf.DUMMYFUNCTION("""COMPUTED_VALUE"""),"600x1080")</f>
        <v>600x1080</v>
      </c>
      <c r="R367" s="3"/>
      <c r="S367" s="3" t="str">
        <f ca="1">IFERROR(__xludf.DUMMYFUNCTION("""COMPUTED_VALUE"""),"200")</f>
        <v>200</v>
      </c>
      <c r="T367" s="3"/>
      <c r="U367" s="3" t="str">
        <f ca="1">IFERROR(__xludf.DUMMYFUNCTION("""COMPUTED_VALUE"""),"banner standard")</f>
        <v>banner standard</v>
      </c>
      <c r="V367" s="3"/>
      <c r="W367" s="4" t="str">
        <f ca="1">IFERROR(__xludf.DUMMYFUNCTION("""COMPUTED_VALUE"""),"https://reklama.cncenter.cz/Online/mobilni-interscroller")</f>
        <v>https://reklama.cncenter.cz/Online/mobilni-interscroller</v>
      </c>
      <c r="X367" s="3"/>
      <c r="Y367" s="3"/>
      <c r="Z367" s="3" t="str">
        <f ca="1">IFERROR(__xludf.DUMMYFUNCTION("""COMPUTED_VALUE"""),"podklady@cncenter.cz")</f>
        <v>podklady@cncenter.cz</v>
      </c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 t="str">
        <f ca="1">IFERROR(__xludf.DUMMYFUNCTION("""COMPUTED_VALUE"""),"mobile")</f>
        <v>mobile</v>
      </c>
      <c r="AO367" s="3"/>
      <c r="AP367" s="3"/>
      <c r="AQ367" s="3"/>
      <c r="AR367" s="3"/>
      <c r="AS367" s="3"/>
      <c r="AT367" s="3"/>
      <c r="AU367" s="3" t="str">
        <f ca="1">IFERROR(__xludf.DUMMYFUNCTION("""COMPUTED_VALUE"""),"mobilní interscroller")</f>
        <v>mobilní interscroller</v>
      </c>
    </row>
    <row r="368" spans="1:47" x14ac:dyDescent="0.3">
      <c r="A368" s="3">
        <f ca="1"/>
        <v>2346826</v>
      </c>
      <c r="B368" s="3" t="str">
        <f ca="1"/>
        <v>CZECH NEWS CENTER a. s.</v>
      </c>
      <c r="C368" s="3" t="str">
        <f ca="1">IFERROR(__xludf.DUMMYFUNCTION("""COMPUTED_VALUE"""),"CNC zpravodajský pack")</f>
        <v>CNC zpravodajský pack</v>
      </c>
      <c r="D368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8" s="3" t="str">
        <f ca="1">IFERROR(__xludf.DUMMYFUNCTION("""COMPUTED_VALUE"""),"celý web")</f>
        <v>celý web</v>
      </c>
      <c r="F368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8" s="3" t="str">
        <f ca="1">IFERROR(__xludf.DUMMYFUNCTION("""COMPUTED_VALUE"""),"mobilní slide-up mid season")</f>
        <v>mobilní slide-up mid season</v>
      </c>
      <c r="H368" s="3">
        <f ca="1">IFERROR(__xludf.DUMMYFUNCTION("""COMPUTED_VALUE"""),7)</f>
        <v>7</v>
      </c>
      <c r="I368" s="5">
        <f ca="1">IFERROR(__xludf.DUMMYFUNCTION("""COMPUTED_VALUE"""),1000)</f>
        <v>1000</v>
      </c>
      <c r="J368" s="5">
        <f ca="1">IFERROR(__xludf.DUMMYFUNCTION("""COMPUTED_VALUE"""),590)</f>
        <v>590</v>
      </c>
      <c r="K368" s="3"/>
      <c r="L368" s="3" t="str">
        <f ca="1">IFERROR(__xludf.DUMMYFUNCTION("""COMPUTED_VALUE"""),"Cost per period")</f>
        <v>Cost per period</v>
      </c>
      <c r="M368" s="3"/>
      <c r="N368" s="3"/>
      <c r="O368" s="3" t="str">
        <f ca="1">IFERROR(__xludf.DUMMYFUNCTION("""COMPUTED_VALUE"""),"300")</f>
        <v>300</v>
      </c>
      <c r="P368" s="3" t="str">
        <f ca="1">IFERROR(__xludf.DUMMYFUNCTION("""COMPUTED_VALUE"""),"120")</f>
        <v>120</v>
      </c>
      <c r="Q368" s="3" t="str">
        <f ca="1">IFERROR(__xludf.DUMMYFUNCTION("""COMPUTED_VALUE"""),"300x120")</f>
        <v>300x120</v>
      </c>
      <c r="R368" s="3"/>
      <c r="S368" s="3" t="str">
        <f ca="1">IFERROR(__xludf.DUMMYFUNCTION("""COMPUTED_VALUE"""),"100")</f>
        <v>100</v>
      </c>
      <c r="T368" s="3"/>
      <c r="U368" s="3" t="str">
        <f ca="1">IFERROR(__xludf.DUMMYFUNCTION("""COMPUTED_VALUE"""),"banner standard")</f>
        <v>banner standard</v>
      </c>
      <c r="V368" s="3"/>
      <c r="W368" s="4" t="str">
        <f ca="1">IFERROR(__xludf.DUMMYFUNCTION("""COMPUTED_VALUE"""),"https://reklama.cncenter.cz/Online/mobilni-slide-up")</f>
        <v>https://reklama.cncenter.cz/Online/mobilni-slide-up</v>
      </c>
      <c r="X368" s="3"/>
      <c r="Y368" s="3"/>
      <c r="Z368" s="3" t="str">
        <f ca="1">IFERROR(__xludf.DUMMYFUNCTION("""COMPUTED_VALUE"""),"podklady@cncenter.cz")</f>
        <v>podklady@cncenter.cz</v>
      </c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 t="str">
        <f ca="1">IFERROR(__xludf.DUMMYFUNCTION("""COMPUTED_VALUE"""),"mobile")</f>
        <v>mobile</v>
      </c>
      <c r="AO368" s="3"/>
      <c r="AP368" s="3"/>
      <c r="AQ368" s="3"/>
      <c r="AR368" s="3"/>
      <c r="AS368" s="3"/>
      <c r="AT368" s="3"/>
      <c r="AU368" s="3" t="str">
        <f ca="1">IFERROR(__xludf.DUMMYFUNCTION("""COMPUTED_VALUE"""),"mobilní slide-up")</f>
        <v>mobilní slide-up</v>
      </c>
    </row>
    <row r="369" spans="1:47" x14ac:dyDescent="0.3">
      <c r="A369" s="3">
        <f ca="1"/>
        <v>2346826</v>
      </c>
      <c r="B369" s="3" t="str">
        <f ca="1"/>
        <v>CZECH NEWS CENTER a. s.</v>
      </c>
      <c r="C369" s="3" t="str">
        <f ca="1">IFERROR(__xludf.DUMMYFUNCTION("""COMPUTED_VALUE"""),"CNC zpravodajský pack")</f>
        <v>CNC zpravodajský pack</v>
      </c>
      <c r="D369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9" s="3" t="str">
        <f ca="1">IFERROR(__xludf.DUMMYFUNCTION("""COMPUTED_VALUE"""),"celý web")</f>
        <v>celý web</v>
      </c>
      <c r="F369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9" s="3" t="str">
        <f ca="1">IFERROR(__xludf.DUMMYFUNCTION("""COMPUTED_VALUE"""),"mobilní viněta mid season")</f>
        <v>mobilní viněta mid season</v>
      </c>
      <c r="H369" s="3">
        <f ca="1">IFERROR(__xludf.DUMMYFUNCTION("""COMPUTED_VALUE"""),7)</f>
        <v>7</v>
      </c>
      <c r="I369" s="5">
        <f ca="1">IFERROR(__xludf.DUMMYFUNCTION("""COMPUTED_VALUE"""),1000)</f>
        <v>1000</v>
      </c>
      <c r="J369" s="5">
        <f ca="1">IFERROR(__xludf.DUMMYFUNCTION("""COMPUTED_VALUE"""),900)</f>
        <v>900</v>
      </c>
      <c r="K369" s="3"/>
      <c r="L369" s="3" t="str">
        <f ca="1">IFERROR(__xludf.DUMMYFUNCTION("""COMPUTED_VALUE"""),"Cost per period")</f>
        <v>Cost per period</v>
      </c>
      <c r="M369" s="3"/>
      <c r="N369" s="3"/>
      <c r="O369" s="3" t="str">
        <f ca="1">IFERROR(__xludf.DUMMYFUNCTION("""COMPUTED_VALUE"""),"600")</f>
        <v>600</v>
      </c>
      <c r="P369" s="3" t="str">
        <f ca="1">IFERROR(__xludf.DUMMYFUNCTION("""COMPUTED_VALUE"""),"800")</f>
        <v>800</v>
      </c>
      <c r="Q369" s="3" t="str">
        <f ca="1">IFERROR(__xludf.DUMMYFUNCTION("""COMPUTED_VALUE"""),"300x250 nebo 600x800")</f>
        <v>300x250 nebo 600x800</v>
      </c>
      <c r="R369" s="3"/>
      <c r="S369" s="3" t="str">
        <f ca="1">IFERROR(__xludf.DUMMYFUNCTION("""COMPUTED_VALUE"""),"100")</f>
        <v>100</v>
      </c>
      <c r="T369" s="3"/>
      <c r="U369" s="3" t="str">
        <f ca="1">IFERROR(__xludf.DUMMYFUNCTION("""COMPUTED_VALUE"""),"banner standard")</f>
        <v>banner standard</v>
      </c>
      <c r="V369" s="3"/>
      <c r="W369" s="4" t="str">
        <f ca="1">IFERROR(__xludf.DUMMYFUNCTION("""COMPUTED_VALUE"""),"https://reklama.cncenter.cz/Online/mobilni-vineta")</f>
        <v>https://reklama.cncenter.cz/Online/mobilni-vineta</v>
      </c>
      <c r="X369" s="3"/>
      <c r="Y369" s="3"/>
      <c r="Z369" s="3" t="str">
        <f ca="1">IFERROR(__xludf.DUMMYFUNCTION("""COMPUTED_VALUE"""),"podklady@cncenter.cz")</f>
        <v>podklady@cncenter.cz</v>
      </c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 t="str">
        <f ca="1">IFERROR(__xludf.DUMMYFUNCTION("""COMPUTED_VALUE"""),"mobile")</f>
        <v>mobile</v>
      </c>
      <c r="AO369" s="3"/>
      <c r="AP369" s="3"/>
      <c r="AQ369" s="3"/>
      <c r="AR369" s="3"/>
      <c r="AS369" s="3"/>
      <c r="AT369" s="3"/>
      <c r="AU369" s="3" t="str">
        <f ca="1">IFERROR(__xludf.DUMMYFUNCTION("""COMPUTED_VALUE"""),"mobilní viněta")</f>
        <v>mobilní viněta</v>
      </c>
    </row>
    <row r="370" spans="1:47" x14ac:dyDescent="0.3">
      <c r="A370" s="3">
        <f ca="1"/>
        <v>2346826</v>
      </c>
      <c r="B370" s="3" t="str">
        <f ca="1"/>
        <v>CZECH NEWS CENTER a. s.</v>
      </c>
      <c r="C370" s="3" t="str">
        <f ca="1">IFERROR(__xludf.DUMMYFUNCTION("""COMPUTED_VALUE"""),"CNC zpravodajský pack")</f>
        <v>CNC zpravodajský pack</v>
      </c>
      <c r="D370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70" s="3" t="str">
        <f ca="1">IFERROR(__xludf.DUMMYFUNCTION("""COMPUTED_VALUE"""),"celý web")</f>
        <v>celý web</v>
      </c>
      <c r="F370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70" s="3" t="str">
        <f ca="1">IFERROR(__xludf.DUMMYFUNCTION("""COMPUTED_VALUE"""),"nativní rectangle cross-device mid season")</f>
        <v>nativní rectangle cross-device mid season</v>
      </c>
      <c r="H370" s="3">
        <f ca="1">IFERROR(__xludf.DUMMYFUNCTION("""COMPUTED_VALUE"""),7)</f>
        <v>7</v>
      </c>
      <c r="I370" s="5">
        <f ca="1">IFERROR(__xludf.DUMMYFUNCTION("""COMPUTED_VALUE"""),1000)</f>
        <v>1000</v>
      </c>
      <c r="J370" s="5">
        <f ca="1">IFERROR(__xludf.DUMMYFUNCTION("""COMPUTED_VALUE"""),240)</f>
        <v>240</v>
      </c>
      <c r="K370" s="3"/>
      <c r="L370" s="3" t="str">
        <f ca="1">IFERROR(__xludf.DUMMYFUNCTION("""COMPUTED_VALUE"""),"Cost per period")</f>
        <v>Cost per period</v>
      </c>
      <c r="M370" s="3"/>
      <c r="N370" s="3"/>
      <c r="O370" s="3" t="str">
        <f ca="1">IFERROR(__xludf.DUMMYFUNCTION("""COMPUTED_VALUE"""),"640")</f>
        <v>640</v>
      </c>
      <c r="P370" s="3" t="str">
        <f ca="1">IFERROR(__xludf.DUMMYFUNCTION("""COMPUTED_VALUE"""),"335, 640")</f>
        <v>335, 640</v>
      </c>
      <c r="Q370" s="3" t="str">
        <f ca="1">IFERROR(__xludf.DUMMYFUNCTION("""COMPUTED_VALUE"""),"640x640 a 640x335 + text + logo")</f>
        <v>640x640 a 640x335 + text + logo</v>
      </c>
      <c r="R370" s="3"/>
      <c r="S370" s="3" t="str">
        <f ca="1">IFERROR(__xludf.DUMMYFUNCTION("""COMPUTED_VALUE"""),"45")</f>
        <v>45</v>
      </c>
      <c r="T370" s="3"/>
      <c r="U370" s="3" t="str">
        <f ca="1">IFERROR(__xludf.DUMMYFUNCTION("""COMPUTED_VALUE"""),"nativní reklama")</f>
        <v>nativní reklama</v>
      </c>
      <c r="V370" s="3"/>
      <c r="W370" s="4" t="str">
        <f ca="1">IFERROR(__xludf.DUMMYFUNCTION("""COMPUTED_VALUE"""),"https://reklama.cncenter.cz/Online/nativni-rectangle-cross-device")</f>
        <v>https://reklama.cncenter.cz/Online/nativni-rectangle-cross-device</v>
      </c>
      <c r="X370" s="3"/>
      <c r="Y370" s="3"/>
      <c r="Z370" s="3" t="str">
        <f ca="1">IFERROR(__xludf.DUMMYFUNCTION("""COMPUTED_VALUE"""),"podklady@cncenter.cz")</f>
        <v>podklady@cncenter.cz</v>
      </c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 t="str">
        <f ca="1">IFERROR(__xludf.DUMMYFUNCTION("""COMPUTED_VALUE"""),"cross-device")</f>
        <v>cross-device</v>
      </c>
      <c r="AO370" s="3"/>
      <c r="AP370" s="3"/>
      <c r="AQ370" s="3"/>
      <c r="AR370" s="3"/>
      <c r="AS370" s="3"/>
      <c r="AT370" s="3"/>
      <c r="AU370" s="3" t="str">
        <f ca="1">IFERROR(__xludf.DUMMYFUNCTION("""COMPUTED_VALUE"""),"nativní rectangle cross-device")</f>
        <v>nativní rectangle cross-device</v>
      </c>
    </row>
    <row r="371" spans="1:47" x14ac:dyDescent="0.3">
      <c r="A371" s="3">
        <f ca="1"/>
        <v>2346826</v>
      </c>
      <c r="B371" s="3" t="str">
        <f ca="1"/>
        <v>CZECH NEWS CENTER a. s.</v>
      </c>
      <c r="C371" s="3" t="str">
        <f ca="1">IFERROR(__xludf.DUMMYFUNCTION("""COMPUTED_VALUE"""),"CNC zpravodajský pack")</f>
        <v>CNC zpravodajský pack</v>
      </c>
      <c r="D371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71" s="3" t="str">
        <f ca="1">IFERROR(__xludf.DUMMYFUNCTION("""COMPUTED_VALUE"""),"celý web")</f>
        <v>celý web</v>
      </c>
      <c r="F371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71" s="3" t="str">
        <f ca="1">IFERROR(__xludf.DUMMYFUNCTION("""COMPUTED_VALUE"""),"outstream mid season")</f>
        <v>outstream mid season</v>
      </c>
      <c r="H371" s="3">
        <f ca="1">IFERROR(__xludf.DUMMYFUNCTION("""COMPUTED_VALUE"""),7)</f>
        <v>7</v>
      </c>
      <c r="I371" s="5">
        <f ca="1">IFERROR(__xludf.DUMMYFUNCTION("""COMPUTED_VALUE"""),1000)</f>
        <v>1000</v>
      </c>
      <c r="J371" s="5">
        <f ca="1">IFERROR(__xludf.DUMMYFUNCTION("""COMPUTED_VALUE"""),330)</f>
        <v>330</v>
      </c>
      <c r="K371" s="3"/>
      <c r="L371" s="3" t="str">
        <f ca="1">IFERROR(__xludf.DUMMYFUNCTION("""COMPUTED_VALUE"""),"Cost per period")</f>
        <v>Cost per period</v>
      </c>
      <c r="M371" s="3"/>
      <c r="N371" s="3"/>
      <c r="O371" s="3" t="str">
        <f ca="1">IFERROR(__xludf.DUMMYFUNCTION("""COMPUTED_VALUE"""),"1280")</f>
        <v>1280</v>
      </c>
      <c r="P371" s="3" t="str">
        <f ca="1">IFERROR(__xludf.DUMMYFUNCTION("""COMPUTED_VALUE"""),"720")</f>
        <v>720</v>
      </c>
      <c r="Q371" s="3" t="str">
        <f ca="1">IFERROR(__xludf.DUMMYFUNCTION("""COMPUTED_VALUE"""),"16:9")</f>
        <v>16:9</v>
      </c>
      <c r="R371" s="3"/>
      <c r="S371" s="3" t="str">
        <f ca="1">IFERROR(__xludf.DUMMYFUNCTION("""COMPUTED_VALUE"""),"100")</f>
        <v>100</v>
      </c>
      <c r="T371" s="3"/>
      <c r="U371" s="3" t="str">
        <f ca="1">IFERROR(__xludf.DUMMYFUNCTION("""COMPUTED_VALUE"""),"videospot")</f>
        <v>videospot</v>
      </c>
      <c r="V371" s="3"/>
      <c r="W371" s="4" t="str">
        <f ca="1">IFERROR(__xludf.DUMMYFUNCTION("""COMPUTED_VALUE"""),"https://reklama.cncenter.cz/Online/Outstream")</f>
        <v>https://reklama.cncenter.cz/Online/Outstream</v>
      </c>
      <c r="X371" s="3"/>
      <c r="Y371" s="3"/>
      <c r="Z371" s="3" t="str">
        <f ca="1">IFERROR(__xludf.DUMMYFUNCTION("""COMPUTED_VALUE"""),"podklady@cncenter.cz")</f>
        <v>podklady@cncenter.cz</v>
      </c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 t="str">
        <f ca="1">IFERROR(__xludf.DUMMYFUNCTION("""COMPUTED_VALUE"""),"cross-device")</f>
        <v>cross-device</v>
      </c>
      <c r="AO371" s="3"/>
      <c r="AP371" s="3"/>
      <c r="AQ371" s="3"/>
      <c r="AR371" s="3"/>
      <c r="AS371" s="3"/>
      <c r="AT371" s="3"/>
      <c r="AU371" s="3" t="str">
        <f ca="1">IFERROR(__xludf.DUMMYFUNCTION("""COMPUTED_VALUE"""),"outstream")</f>
        <v>outstream</v>
      </c>
    </row>
    <row r="372" spans="1:47" x14ac:dyDescent="0.3">
      <c r="A372" s="3">
        <f ca="1"/>
        <v>2346826</v>
      </c>
      <c r="B372" s="3" t="str">
        <f ca="1"/>
        <v>CZECH NEWS CENTER a. s.</v>
      </c>
      <c r="C372" s="3" t="str">
        <f ca="1">IFERROR(__xludf.DUMMYFUNCTION("""COMPUTED_VALUE"""),"CNC zpravodajský pack")</f>
        <v>CNC zpravodajský pack</v>
      </c>
      <c r="D372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72" s="3" t="str">
        <f ca="1">IFERROR(__xludf.DUMMYFUNCTION("""COMPUTED_VALUE"""),"celý web")</f>
        <v>celý web</v>
      </c>
      <c r="F372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72" s="3" t="str">
        <f ca="1">IFERROR(__xludf.DUMMYFUNCTION("""COMPUTED_VALUE"""),"Smarticle mid season")</f>
        <v>Smarticle mid season</v>
      </c>
      <c r="H372" s="3">
        <f ca="1">IFERROR(__xludf.DUMMYFUNCTION("""COMPUTED_VALUE"""),7)</f>
        <v>7</v>
      </c>
      <c r="I372" s="5">
        <f ca="1">IFERROR(__xludf.DUMMYFUNCTION("""COMPUTED_VALUE"""),1000)</f>
        <v>1000</v>
      </c>
      <c r="J372" s="5">
        <f ca="1">IFERROR(__xludf.DUMMYFUNCTION("""COMPUTED_VALUE"""),200)</f>
        <v>200</v>
      </c>
      <c r="K372" s="3"/>
      <c r="L372" s="3" t="str">
        <f ca="1">IFERROR(__xludf.DUMMYFUNCTION("""COMPUTED_VALUE"""),"Cost per period")</f>
        <v>Cost per period</v>
      </c>
      <c r="M372" s="3"/>
      <c r="N372" s="3" t="str">
        <f ca="1">IFERROR(__xludf.DUMMYFUNCTION("""COMPUTED_VALUE"""),"A4")</f>
        <v>A4</v>
      </c>
      <c r="O372" s="3"/>
      <c r="P372" s="3"/>
      <c r="Q372" s="3" t="str">
        <f ca="1">IFERROR(__xludf.DUMMYFUNCTION("""COMPUTED_VALUE"""),"viz. tech.specifikace; HP + sekce")</f>
        <v>viz. tech.specifikace; HP + sekce</v>
      </c>
      <c r="R372" s="3" t="str">
        <f ca="1">IFERROR(__xludf.DUMMYFUNCTION("""COMPUTED_VALUE"""),"HP + sekce")</f>
        <v>HP + sekce</v>
      </c>
      <c r="S372" s="3" t="str">
        <f ca="1">IFERROR(__xludf.DUMMYFUNCTION("""COMPUTED_VALUE"""),"100")</f>
        <v>100</v>
      </c>
      <c r="T372" s="3"/>
      <c r="U372" s="3" t="str">
        <f ca="1">IFERROR(__xludf.DUMMYFUNCTION("""COMPUTED_VALUE"""),"pr článek")</f>
        <v>pr článek</v>
      </c>
      <c r="V372" s="3"/>
      <c r="W372" s="4" t="str">
        <f ca="1">IFERROR(__xludf.DUMMYFUNCTION("""COMPUTED_VALUE"""),"https://reklama.cncenter.cz/Online/Smarticle")</f>
        <v>https://reklama.cncenter.cz/Online/Smarticle</v>
      </c>
      <c r="X372" s="3"/>
      <c r="Y372" s="3"/>
      <c r="Z372" s="3" t="str">
        <f ca="1">IFERROR(__xludf.DUMMYFUNCTION("""COMPUTED_VALUE"""),"podklady@cncenter.cz")</f>
        <v>podklady@cncenter.cz</v>
      </c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 t="str">
        <f ca="1">IFERROR(__xludf.DUMMYFUNCTION("""COMPUTED_VALUE"""),"cross-device")</f>
        <v>cross-device</v>
      </c>
      <c r="AO372" s="3"/>
      <c r="AP372" s="3"/>
      <c r="AQ372" s="3"/>
      <c r="AR372" s="3"/>
      <c r="AS372" s="3"/>
      <c r="AT372" s="3"/>
      <c r="AU372" s="3" t="str">
        <f ca="1">IFERROR(__xludf.DUMMYFUNCTION("""COMPUTED_VALUE"""),"Smarticle")</f>
        <v>Smarticle</v>
      </c>
    </row>
    <row r="373" spans="1:47" x14ac:dyDescent="0.3">
      <c r="A373" s="3">
        <f ca="1"/>
        <v>2346826</v>
      </c>
      <c r="B373" s="3" t="str">
        <f ca="1"/>
        <v>CZECH NEWS CENTER a. s.</v>
      </c>
      <c r="C373" s="3" t="str">
        <f ca="1">IFERROR(__xludf.DUMMYFUNCTION("""COMPUTED_VALUE"""),"CNC zpravodajský pack")</f>
        <v>CNC zpravodajský pack</v>
      </c>
      <c r="D373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73" s="3" t="str">
        <f ca="1">IFERROR(__xludf.DUMMYFUNCTION("""COMPUTED_VALUE"""),"celý web")</f>
        <v>celý web</v>
      </c>
      <c r="F373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73" s="3" t="str">
        <f ca="1">IFERROR(__xludf.DUMMYFUNCTION("""COMPUTED_VALUE"""),"videospot - max. 30 sec. / bumper mid season")</f>
        <v>videospot - max. 30 sec. / bumper mid season</v>
      </c>
      <c r="H373" s="3">
        <f ca="1">IFERROR(__xludf.DUMMYFUNCTION("""COMPUTED_VALUE"""),7)</f>
        <v>7</v>
      </c>
      <c r="I373" s="5">
        <f ca="1">IFERROR(__xludf.DUMMYFUNCTION("""COMPUTED_VALUE"""),1000)</f>
        <v>1000</v>
      </c>
      <c r="J373" s="5">
        <f ca="1">IFERROR(__xludf.DUMMYFUNCTION("""COMPUTED_VALUE"""),1320)</f>
        <v>1320</v>
      </c>
      <c r="K373" s="3"/>
      <c r="L373" s="3" t="str">
        <f ca="1">IFERROR(__xludf.DUMMYFUNCTION("""COMPUTED_VALUE"""),"Cost per period")</f>
        <v>Cost per period</v>
      </c>
      <c r="M373" s="3"/>
      <c r="N373" s="3"/>
      <c r="O373" s="3" t="str">
        <f ca="1">IFERROR(__xludf.DUMMYFUNCTION("""COMPUTED_VALUE"""),"1280")</f>
        <v>1280</v>
      </c>
      <c r="P373" s="3" t="str">
        <f ca="1">IFERROR(__xludf.DUMMYFUNCTION("""COMPUTED_VALUE"""),"720")</f>
        <v>720</v>
      </c>
      <c r="Q373" s="3" t="str">
        <f ca="1">IFERROR(__xludf.DUMMYFUNCTION("""COMPUTED_VALUE"""),"16:9 / umístění po domluvě dle možností")</f>
        <v>16:9 / umístění po domluvě dle možností</v>
      </c>
      <c r="R373" s="3" t="str">
        <f ca="1">IFERROR(__xludf.DUMMYFUNCTION("""COMPUTED_VALUE"""),"přeskočení po 7 sekundách")</f>
        <v>přeskočení po 7 sekundách</v>
      </c>
      <c r="S373" s="3" t="str">
        <f ca="1">IFERROR(__xludf.DUMMYFUNCTION("""COMPUTED_VALUE"""),"100")</f>
        <v>100</v>
      </c>
      <c r="T373" s="3"/>
      <c r="U373" s="3" t="str">
        <f ca="1">IFERROR(__xludf.DUMMYFUNCTION("""COMPUTED_VALUE"""),"videospot")</f>
        <v>videospot</v>
      </c>
      <c r="V373" s="3"/>
      <c r="W373" s="4" t="str">
        <f ca="1">IFERROR(__xludf.DUMMYFUNCTION("""COMPUTED_VALUE"""),"https://reklama.cncenter.cz/Online/Bumper")</f>
        <v>https://reklama.cncenter.cz/Online/Bumper</v>
      </c>
      <c r="X373" s="3"/>
      <c r="Y373" s="3"/>
      <c r="Z373" s="3" t="str">
        <f ca="1">IFERROR(__xludf.DUMMYFUNCTION("""COMPUTED_VALUE"""),"podklady@cncenter.cz")</f>
        <v>podklady@cncenter.cz</v>
      </c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 t="str">
        <f ca="1">IFERROR(__xludf.DUMMYFUNCTION("""COMPUTED_VALUE"""),"cross-device")</f>
        <v>cross-device</v>
      </c>
      <c r="AO373" s="3"/>
      <c r="AP373" s="3"/>
      <c r="AQ373" s="3"/>
      <c r="AR373" s="3"/>
      <c r="AS373" s="3"/>
      <c r="AT373" s="3"/>
      <c r="AU373" s="3" t="str">
        <f ca="1">IFERROR(__xludf.DUMMYFUNCTION("""COMPUTED_VALUE"""),"videospot - max. 30 sec. / bumper")</f>
        <v>videospot - max. 30 sec. / bumper</v>
      </c>
    </row>
    <row r="374" spans="1:47" x14ac:dyDescent="0.3">
      <c r="A374" s="3">
        <f ca="1"/>
        <v>2346826</v>
      </c>
      <c r="B374" s="3" t="str">
        <f ca="1"/>
        <v>CZECH NEWS CENTER a. s.</v>
      </c>
      <c r="C374" s="3" t="str">
        <f ca="1">IFERROR(__xludf.DUMMYFUNCTION("""COMPUTED_VALUE"""),"CNC ženy pack")</f>
        <v>CNC ženy pack</v>
      </c>
      <c r="D374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74" s="3" t="str">
        <f ca="1">IFERROR(__xludf.DUMMYFUNCTION("""COMPUTED_VALUE"""),"celý web")</f>
        <v>celý web</v>
      </c>
      <c r="F374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74" s="3" t="str">
        <f ca="1">IFERROR(__xludf.DUMMYFUNCTION("""COMPUTED_VALUE"""),"billboard bottom mid season")</f>
        <v>billboard bottom mid season</v>
      </c>
      <c r="H374" s="3">
        <f ca="1">IFERROR(__xludf.DUMMYFUNCTION("""COMPUTED_VALUE"""),7)</f>
        <v>7</v>
      </c>
      <c r="I374" s="5">
        <f ca="1">IFERROR(__xludf.DUMMYFUNCTION("""COMPUTED_VALUE"""),1000)</f>
        <v>1000</v>
      </c>
      <c r="J374" s="5">
        <f ca="1">IFERROR(__xludf.DUMMYFUNCTION("""COMPUTED_VALUE"""),300)</f>
        <v>300</v>
      </c>
      <c r="K374" s="3"/>
      <c r="L374" s="3" t="str">
        <f ca="1">IFERROR(__xludf.DUMMYFUNCTION("""COMPUTED_VALUE"""),"Cost per period")</f>
        <v>Cost per period</v>
      </c>
      <c r="M374" s="3"/>
      <c r="N374" s="3"/>
      <c r="O374" s="3" t="str">
        <f ca="1">IFERROR(__xludf.DUMMYFUNCTION("""COMPUTED_VALUE"""),"970")</f>
        <v>970</v>
      </c>
      <c r="P374" s="3" t="str">
        <f ca="1">IFERROR(__xludf.DUMMYFUNCTION("""COMPUTED_VALUE"""),"250")</f>
        <v>250</v>
      </c>
      <c r="Q374" s="3" t="str">
        <f ca="1">IFERROR(__xludf.DUMMYFUNCTION("""COMPUTED_VALUE"""),"970x250")</f>
        <v>970x250</v>
      </c>
      <c r="R374" s="3"/>
      <c r="S374" s="3" t="str">
        <f ca="1">IFERROR(__xludf.DUMMYFUNCTION("""COMPUTED_VALUE"""),"100 (200 - HTML5)")</f>
        <v>100 (200 - HTML5)</v>
      </c>
      <c r="T374" s="3"/>
      <c r="U374" s="3" t="str">
        <f ca="1">IFERROR(__xludf.DUMMYFUNCTION("""COMPUTED_VALUE"""),"banner standard")</f>
        <v>banner standard</v>
      </c>
      <c r="V374" s="3"/>
      <c r="W374" s="4" t="str">
        <f ca="1">IFERROR(__xludf.DUMMYFUNCTION("""COMPUTED_VALUE"""),"https://reklama.cncenter.cz/Online/billboard-bottom")</f>
        <v>https://reklama.cncenter.cz/Online/billboard-bottom</v>
      </c>
      <c r="X374" s="3"/>
      <c r="Y374" s="3"/>
      <c r="Z374" s="3" t="str">
        <f ca="1">IFERROR(__xludf.DUMMYFUNCTION("""COMPUTED_VALUE"""),"podklady@cncenter.cz")</f>
        <v>podklady@cncenter.cz</v>
      </c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 t="str">
        <f ca="1">IFERROR(__xludf.DUMMYFUNCTION("""COMPUTED_VALUE"""),"desktop")</f>
        <v>desktop</v>
      </c>
      <c r="AO374" s="3"/>
      <c r="AP374" s="3"/>
      <c r="AQ374" s="3"/>
      <c r="AR374" s="3"/>
      <c r="AS374" s="3"/>
      <c r="AT374" s="3"/>
      <c r="AU374" s="3" t="str">
        <f ca="1">IFERROR(__xludf.DUMMYFUNCTION("""COMPUTED_VALUE"""),"billboard bottom")</f>
        <v>billboard bottom</v>
      </c>
    </row>
    <row r="375" spans="1:47" x14ac:dyDescent="0.3">
      <c r="A375" s="3">
        <f ca="1"/>
        <v>2346826</v>
      </c>
      <c r="B375" s="3" t="str">
        <f ca="1"/>
        <v>CZECH NEWS CENTER a. s.</v>
      </c>
      <c r="C375" s="3" t="str">
        <f ca="1">IFERROR(__xludf.DUMMYFUNCTION("""COMPUTED_VALUE"""),"CNC ženy pack")</f>
        <v>CNC ženy pack</v>
      </c>
      <c r="D375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75" s="3" t="str">
        <f ca="1">IFERROR(__xludf.DUMMYFUNCTION("""COMPUTED_VALUE"""),"celý web")</f>
        <v>celý web</v>
      </c>
      <c r="F375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75" s="3" t="str">
        <f ca="1">IFERROR(__xludf.DUMMYFUNCTION("""COMPUTED_VALUE"""),"branding cross-device mid season")</f>
        <v>branding cross-device mid season</v>
      </c>
      <c r="H375" s="3">
        <f ca="1">IFERROR(__xludf.DUMMYFUNCTION("""COMPUTED_VALUE"""),7)</f>
        <v>7</v>
      </c>
      <c r="I375" s="5">
        <f ca="1">IFERROR(__xludf.DUMMYFUNCTION("""COMPUTED_VALUE"""),1000)</f>
        <v>1000</v>
      </c>
      <c r="J375" s="5">
        <f ca="1">IFERROR(__xludf.DUMMYFUNCTION("""COMPUTED_VALUE"""),380)</f>
        <v>380</v>
      </c>
      <c r="K375" s="3"/>
      <c r="L375" s="3" t="str">
        <f ca="1">IFERROR(__xludf.DUMMYFUNCTION("""COMPUTED_VALUE"""),"Cost per period")</f>
        <v>Cost per period</v>
      </c>
      <c r="M375" s="3"/>
      <c r="N375" s="3"/>
      <c r="O375" s="3" t="str">
        <f ca="1">IFERROR(__xludf.DUMMYFUNCTION("""COMPUTED_VALUE"""),"2000")</f>
        <v>2000</v>
      </c>
      <c r="P375" s="3" t="str">
        <f ca="1">IFERROR(__xludf.DUMMYFUNCTION("""COMPUTED_VALUE"""),"1400")</f>
        <v>1400</v>
      </c>
      <c r="Q375" s="3" t="str">
        <f ca="1">IFERROR(__xludf.DUMMYFUNCTION("""COMPUTED_VALUE"""),"2000x1400 + 600x1080")</f>
        <v>2000x1400 + 600x1080</v>
      </c>
      <c r="R375" s="3"/>
      <c r="S375" s="3" t="str">
        <f ca="1">IFERROR(__xludf.DUMMYFUNCTION("""COMPUTED_VALUE"""),"500 (600 - HTLM5)")</f>
        <v>500 (600 - HTLM5)</v>
      </c>
      <c r="T375" s="3"/>
      <c r="U375" s="3" t="str">
        <f ca="1">IFERROR(__xludf.DUMMYFUNCTION("""COMPUTED_VALUE"""),"banner standard")</f>
        <v>banner standard</v>
      </c>
      <c r="V375" s="3"/>
      <c r="W375" s="4" t="str">
        <f ca="1">IFERROR(__xludf.DUMMYFUNCTION("""COMPUTED_VALUE"""),"https://reklama.cncenter.cz/Online/branding-cross-device")</f>
        <v>https://reklama.cncenter.cz/Online/branding-cross-device</v>
      </c>
      <c r="X375" s="3"/>
      <c r="Y375" s="3"/>
      <c r="Z375" s="3" t="str">
        <f ca="1">IFERROR(__xludf.DUMMYFUNCTION("""COMPUTED_VALUE"""),"podklady@cncenter.cz")</f>
        <v>podklady@cncenter.cz</v>
      </c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 t="str">
        <f ca="1">IFERROR(__xludf.DUMMYFUNCTION("""COMPUTED_VALUE"""),"cross-device")</f>
        <v>cross-device</v>
      </c>
      <c r="AO375" s="3"/>
      <c r="AP375" s="3"/>
      <c r="AQ375" s="3"/>
      <c r="AR375" s="3"/>
      <c r="AS375" s="3"/>
      <c r="AT375" s="3"/>
      <c r="AU375" s="3" t="str">
        <f ca="1">IFERROR(__xludf.DUMMYFUNCTION("""COMPUTED_VALUE"""),"branding cross-device")</f>
        <v>branding cross-device</v>
      </c>
    </row>
    <row r="376" spans="1:47" x14ac:dyDescent="0.3">
      <c r="A376" s="3">
        <f ca="1"/>
        <v>2346826</v>
      </c>
      <c r="B376" s="3" t="str">
        <f ca="1"/>
        <v>CZECH NEWS CENTER a. s.</v>
      </c>
      <c r="C376" s="3" t="str">
        <f ca="1">IFERROR(__xludf.DUMMYFUNCTION("""COMPUTED_VALUE"""),"CNC ženy pack")</f>
        <v>CNC ženy pack</v>
      </c>
      <c r="D376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76" s="3" t="str">
        <f ca="1">IFERROR(__xludf.DUMMYFUNCTION("""COMPUTED_VALUE"""),"celý web")</f>
        <v>celý web</v>
      </c>
      <c r="F376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76" s="3" t="str">
        <f ca="1">IFERROR(__xludf.DUMMYFUNCTION("""COMPUTED_VALUE"""),"branding mid season")</f>
        <v>branding mid season</v>
      </c>
      <c r="H376" s="3">
        <f ca="1">IFERROR(__xludf.DUMMYFUNCTION("""COMPUTED_VALUE"""),7)</f>
        <v>7</v>
      </c>
      <c r="I376" s="5">
        <f ca="1">IFERROR(__xludf.DUMMYFUNCTION("""COMPUTED_VALUE"""),1000)</f>
        <v>1000</v>
      </c>
      <c r="J376" s="5">
        <f ca="1">IFERROR(__xludf.DUMMYFUNCTION("""COMPUTED_VALUE"""),560)</f>
        <v>560</v>
      </c>
      <c r="K376" s="3"/>
      <c r="L376" s="3" t="str">
        <f ca="1">IFERROR(__xludf.DUMMYFUNCTION("""COMPUTED_VALUE"""),"Cost per period")</f>
        <v>Cost per period</v>
      </c>
      <c r="M376" s="3"/>
      <c r="N376" s="3"/>
      <c r="O376" s="3" t="str">
        <f ca="1">IFERROR(__xludf.DUMMYFUNCTION("""COMPUTED_VALUE"""),"2000")</f>
        <v>2000</v>
      </c>
      <c r="P376" s="3" t="str">
        <f ca="1">IFERROR(__xludf.DUMMYFUNCTION("""COMPUTED_VALUE"""),"1400")</f>
        <v>1400</v>
      </c>
      <c r="Q376" s="3" t="str">
        <f ca="1">IFERROR(__xludf.DUMMYFUNCTION("""COMPUTED_VALUE"""),"2000x1400")</f>
        <v>2000x1400</v>
      </c>
      <c r="R376" s="3"/>
      <c r="S376" s="3" t="str">
        <f ca="1">IFERROR(__xludf.DUMMYFUNCTION("""COMPUTED_VALUE"""),"500 + 200 (600+200 HTML5)")</f>
        <v>500 + 200 (600+200 HTML5)</v>
      </c>
      <c r="T376" s="3"/>
      <c r="U376" s="3" t="str">
        <f ca="1">IFERROR(__xludf.DUMMYFUNCTION("""COMPUTED_VALUE"""),"banner standard")</f>
        <v>banner standard</v>
      </c>
      <c r="V376" s="3"/>
      <c r="W376" s="4" t="str">
        <f ca="1">IFERROR(__xludf.DUMMYFUNCTION("""COMPUTED_VALUE"""),"https://reklama.cncenter.cz/Online/branding")</f>
        <v>https://reklama.cncenter.cz/Online/branding</v>
      </c>
      <c r="X376" s="3"/>
      <c r="Y376" s="3"/>
      <c r="Z376" s="3" t="str">
        <f ca="1">IFERROR(__xludf.DUMMYFUNCTION("""COMPUTED_VALUE"""),"podklady@cncenter.cz")</f>
        <v>podklady@cncenter.cz</v>
      </c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 t="str">
        <f ca="1">IFERROR(__xludf.DUMMYFUNCTION("""COMPUTED_VALUE"""),"desktop")</f>
        <v>desktop</v>
      </c>
      <c r="AO376" s="3"/>
      <c r="AP376" s="3"/>
      <c r="AQ376" s="3"/>
      <c r="AR376" s="3"/>
      <c r="AS376" s="3"/>
      <c r="AT376" s="3"/>
      <c r="AU376" s="3" t="str">
        <f ca="1">IFERROR(__xludf.DUMMYFUNCTION("""COMPUTED_VALUE"""),"branding")</f>
        <v>branding</v>
      </c>
    </row>
    <row r="377" spans="1:47" x14ac:dyDescent="0.3">
      <c r="A377" s="3">
        <f ca="1"/>
        <v>2346826</v>
      </c>
      <c r="B377" s="3" t="str">
        <f ca="1"/>
        <v>CZECH NEWS CENTER a. s.</v>
      </c>
      <c r="C377" s="3" t="str">
        <f ca="1">IFERROR(__xludf.DUMMYFUNCTION("""COMPUTED_VALUE"""),"CNC ženy pack")</f>
        <v>CNC ženy pack</v>
      </c>
      <c r="D377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77" s="3" t="str">
        <f ca="1">IFERROR(__xludf.DUMMYFUNCTION("""COMPUTED_VALUE"""),"celý web")</f>
        <v>celý web</v>
      </c>
      <c r="F377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77" s="3" t="str">
        <f ca="1">IFERROR(__xludf.DUMMYFUNCTION("""COMPUTED_VALUE"""),"cílený billboard bottom mid season")</f>
        <v>cílený billboard bottom mid season</v>
      </c>
      <c r="H377" s="3">
        <f ca="1">IFERROR(__xludf.DUMMYFUNCTION("""COMPUTED_VALUE"""),7)</f>
        <v>7</v>
      </c>
      <c r="I377" s="5">
        <f ca="1">IFERROR(__xludf.DUMMYFUNCTION("""COMPUTED_VALUE"""),1000)</f>
        <v>1000</v>
      </c>
      <c r="J377" s="5">
        <f ca="1">IFERROR(__xludf.DUMMYFUNCTION("""COMPUTED_VALUE"""),360)</f>
        <v>360</v>
      </c>
      <c r="K377" s="3"/>
      <c r="L377" s="3" t="str">
        <f ca="1">IFERROR(__xludf.DUMMYFUNCTION("""COMPUTED_VALUE"""),"Cost per period")</f>
        <v>Cost per period</v>
      </c>
      <c r="M377" s="3"/>
      <c r="N377" s="3"/>
      <c r="O377" s="3" t="str">
        <f ca="1">IFERROR(__xludf.DUMMYFUNCTION("""COMPUTED_VALUE"""),"970")</f>
        <v>970</v>
      </c>
      <c r="P377" s="3" t="str">
        <f ca="1">IFERROR(__xludf.DUMMYFUNCTION("""COMPUTED_VALUE"""),"250")</f>
        <v>250</v>
      </c>
      <c r="Q377" s="3" t="str">
        <f ca="1">IFERROR(__xludf.DUMMYFUNCTION("""COMPUTED_VALUE"""),"970x250")</f>
        <v>970x250</v>
      </c>
      <c r="R377" s="3"/>
      <c r="S377" s="3" t="str">
        <f ca="1">IFERROR(__xludf.DUMMYFUNCTION("""COMPUTED_VALUE"""),"100 (200 - HTML5)")</f>
        <v>100 (200 - HTML5)</v>
      </c>
      <c r="T377" s="3"/>
      <c r="U377" s="3" t="str">
        <f ca="1">IFERROR(__xludf.DUMMYFUNCTION("""COMPUTED_VALUE"""),"banner standard")</f>
        <v>banner standard</v>
      </c>
      <c r="V377" s="3"/>
      <c r="W377" s="4" t="str">
        <f ca="1">IFERROR(__xludf.DUMMYFUNCTION("""COMPUTED_VALUE"""),"https://reklama.cncenter.cz/Online/billboard-bottom")</f>
        <v>https://reklama.cncenter.cz/Online/billboard-bottom</v>
      </c>
      <c r="X377" s="3"/>
      <c r="Y377" s="3"/>
      <c r="Z377" s="3" t="str">
        <f ca="1">IFERROR(__xludf.DUMMYFUNCTION("""COMPUTED_VALUE"""),"podklady@cncenter.cz")</f>
        <v>podklady@cncenter.cz</v>
      </c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 t="str">
        <f ca="1">IFERROR(__xludf.DUMMYFUNCTION("""COMPUTED_VALUE"""),"desktop")</f>
        <v>desktop</v>
      </c>
      <c r="AO377" s="3"/>
      <c r="AP377" s="3"/>
      <c r="AQ377" s="3"/>
      <c r="AR377" s="3"/>
      <c r="AS377" s="3"/>
      <c r="AT377" s="3"/>
      <c r="AU377" s="3" t="str">
        <f ca="1">IFERROR(__xludf.DUMMYFUNCTION("""COMPUTED_VALUE"""),"cílený billboard bottom")</f>
        <v>cílený billboard bottom</v>
      </c>
    </row>
    <row r="378" spans="1:47" x14ac:dyDescent="0.3">
      <c r="A378" s="3">
        <f ca="1"/>
        <v>2346826</v>
      </c>
      <c r="B378" s="3" t="str">
        <f ca="1"/>
        <v>CZECH NEWS CENTER a. s.</v>
      </c>
      <c r="C378" s="3" t="str">
        <f ca="1">IFERROR(__xludf.DUMMYFUNCTION("""COMPUTED_VALUE"""),"CNC ženy pack")</f>
        <v>CNC ženy pack</v>
      </c>
      <c r="D378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78" s="3" t="str">
        <f ca="1">IFERROR(__xludf.DUMMYFUNCTION("""COMPUTED_VALUE"""),"celý web")</f>
        <v>celý web</v>
      </c>
      <c r="F378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78" s="3" t="str">
        <f ca="1">IFERROR(__xludf.DUMMYFUNCTION("""COMPUTED_VALUE"""),"cílený branding cross-device mid season")</f>
        <v>cílený branding cross-device mid season</v>
      </c>
      <c r="H378" s="3">
        <f ca="1">IFERROR(__xludf.DUMMYFUNCTION("""COMPUTED_VALUE"""),7)</f>
        <v>7</v>
      </c>
      <c r="I378" s="5">
        <f ca="1">IFERROR(__xludf.DUMMYFUNCTION("""COMPUTED_VALUE"""),1000)</f>
        <v>1000</v>
      </c>
      <c r="J378" s="5">
        <f ca="1">IFERROR(__xludf.DUMMYFUNCTION("""COMPUTED_VALUE"""),456)</f>
        <v>456</v>
      </c>
      <c r="K378" s="3"/>
      <c r="L378" s="3" t="str">
        <f ca="1">IFERROR(__xludf.DUMMYFUNCTION("""COMPUTED_VALUE"""),"Cost per period")</f>
        <v>Cost per period</v>
      </c>
      <c r="M378" s="3"/>
      <c r="N378" s="3"/>
      <c r="O378" s="3" t="str">
        <f ca="1">IFERROR(__xludf.DUMMYFUNCTION("""COMPUTED_VALUE"""),"2000")</f>
        <v>2000</v>
      </c>
      <c r="P378" s="3" t="str">
        <f ca="1">IFERROR(__xludf.DUMMYFUNCTION("""COMPUTED_VALUE"""),"1400")</f>
        <v>1400</v>
      </c>
      <c r="Q378" s="3" t="str">
        <f ca="1">IFERROR(__xludf.DUMMYFUNCTION("""COMPUTED_VALUE"""),"2000x1400 + 600x1080")</f>
        <v>2000x1400 + 600x1080</v>
      </c>
      <c r="R378" s="3"/>
      <c r="S378" s="3" t="str">
        <f ca="1">IFERROR(__xludf.DUMMYFUNCTION("""COMPUTED_VALUE"""),"500 (600 - HTLM5)")</f>
        <v>500 (600 - HTLM5)</v>
      </c>
      <c r="T378" s="3"/>
      <c r="U378" s="3" t="str">
        <f ca="1">IFERROR(__xludf.DUMMYFUNCTION("""COMPUTED_VALUE"""),"banner standard")</f>
        <v>banner standard</v>
      </c>
      <c r="V378" s="3"/>
      <c r="W378" s="4" t="str">
        <f ca="1">IFERROR(__xludf.DUMMYFUNCTION("""COMPUTED_VALUE"""),"https://reklama.cncenter.cz/Online/branding-cross-device")</f>
        <v>https://reklama.cncenter.cz/Online/branding-cross-device</v>
      </c>
      <c r="X378" s="3"/>
      <c r="Y378" s="3"/>
      <c r="Z378" s="3" t="str">
        <f ca="1">IFERROR(__xludf.DUMMYFUNCTION("""COMPUTED_VALUE"""),"podklady@cncenter.cz")</f>
        <v>podklady@cncenter.cz</v>
      </c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 t="str">
        <f ca="1">IFERROR(__xludf.DUMMYFUNCTION("""COMPUTED_VALUE"""),"cross-device")</f>
        <v>cross-device</v>
      </c>
      <c r="AO378" s="3"/>
      <c r="AP378" s="3"/>
      <c r="AQ378" s="3"/>
      <c r="AR378" s="3"/>
      <c r="AS378" s="3"/>
      <c r="AT378" s="3"/>
      <c r="AU378" s="3" t="str">
        <f ca="1">IFERROR(__xludf.DUMMYFUNCTION("""COMPUTED_VALUE"""),"cílený branding cross-device")</f>
        <v>cílený branding cross-device</v>
      </c>
    </row>
    <row r="379" spans="1:47" x14ac:dyDescent="0.3">
      <c r="A379" s="3">
        <f ca="1"/>
        <v>2346826</v>
      </c>
      <c r="B379" s="3" t="str">
        <f ca="1"/>
        <v>CZECH NEWS CENTER a. s.</v>
      </c>
      <c r="C379" s="3" t="str">
        <f ca="1">IFERROR(__xludf.DUMMYFUNCTION("""COMPUTED_VALUE"""),"CNC ženy pack")</f>
        <v>CNC ženy pack</v>
      </c>
      <c r="D379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79" s="3" t="str">
        <f ca="1">IFERROR(__xludf.DUMMYFUNCTION("""COMPUTED_VALUE"""),"celý web")</f>
        <v>celý web</v>
      </c>
      <c r="F379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79" s="3" t="str">
        <f ca="1">IFERROR(__xludf.DUMMYFUNCTION("""COMPUTED_VALUE"""),"cílený branding mid season")</f>
        <v>cílený branding mid season</v>
      </c>
      <c r="H379" s="3">
        <f ca="1">IFERROR(__xludf.DUMMYFUNCTION("""COMPUTED_VALUE"""),7)</f>
        <v>7</v>
      </c>
      <c r="I379" s="5">
        <f ca="1">IFERROR(__xludf.DUMMYFUNCTION("""COMPUTED_VALUE"""),1000)</f>
        <v>1000</v>
      </c>
      <c r="J379" s="5">
        <f ca="1">IFERROR(__xludf.DUMMYFUNCTION("""COMPUTED_VALUE"""),672)</f>
        <v>672</v>
      </c>
      <c r="K379" s="3"/>
      <c r="L379" s="3" t="str">
        <f ca="1">IFERROR(__xludf.DUMMYFUNCTION("""COMPUTED_VALUE"""),"Cost per period")</f>
        <v>Cost per period</v>
      </c>
      <c r="M379" s="3"/>
      <c r="N379" s="3"/>
      <c r="O379" s="3" t="str">
        <f ca="1">IFERROR(__xludf.DUMMYFUNCTION("""COMPUTED_VALUE"""),"2000")</f>
        <v>2000</v>
      </c>
      <c r="P379" s="3" t="str">
        <f ca="1">IFERROR(__xludf.DUMMYFUNCTION("""COMPUTED_VALUE"""),"1400")</f>
        <v>1400</v>
      </c>
      <c r="Q379" s="3" t="str">
        <f ca="1">IFERROR(__xludf.DUMMYFUNCTION("""COMPUTED_VALUE"""),"2000x1400")</f>
        <v>2000x1400</v>
      </c>
      <c r="R379" s="3"/>
      <c r="S379" s="3" t="str">
        <f ca="1">IFERROR(__xludf.DUMMYFUNCTION("""COMPUTED_VALUE"""),"500 + 200 (600+200 HTML5)")</f>
        <v>500 + 200 (600+200 HTML5)</v>
      </c>
      <c r="T379" s="3"/>
      <c r="U379" s="3" t="str">
        <f ca="1">IFERROR(__xludf.DUMMYFUNCTION("""COMPUTED_VALUE"""),"banner standard")</f>
        <v>banner standard</v>
      </c>
      <c r="V379" s="3"/>
      <c r="W379" s="4" t="str">
        <f ca="1">IFERROR(__xludf.DUMMYFUNCTION("""COMPUTED_VALUE"""),"https://reklama.cncenter.cz/Online/branding")</f>
        <v>https://reklama.cncenter.cz/Online/branding</v>
      </c>
      <c r="X379" s="3"/>
      <c r="Y379" s="3"/>
      <c r="Z379" s="3" t="str">
        <f ca="1">IFERROR(__xludf.DUMMYFUNCTION("""COMPUTED_VALUE"""),"podklady@cncenter.cz")</f>
        <v>podklady@cncenter.cz</v>
      </c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 t="str">
        <f ca="1">IFERROR(__xludf.DUMMYFUNCTION("""COMPUTED_VALUE"""),"desktop")</f>
        <v>desktop</v>
      </c>
      <c r="AO379" s="3"/>
      <c r="AP379" s="3"/>
      <c r="AQ379" s="3"/>
      <c r="AR379" s="3"/>
      <c r="AS379" s="3"/>
      <c r="AT379" s="3"/>
      <c r="AU379" s="3" t="str">
        <f ca="1">IFERROR(__xludf.DUMMYFUNCTION("""COMPUTED_VALUE"""),"cílený branding")</f>
        <v>cílený branding</v>
      </c>
    </row>
    <row r="380" spans="1:47" x14ac:dyDescent="0.3">
      <c r="A380" s="3">
        <f ca="1"/>
        <v>2346826</v>
      </c>
      <c r="B380" s="3" t="str">
        <f ca="1"/>
        <v>CZECH NEWS CENTER a. s.</v>
      </c>
      <c r="C380" s="3" t="str">
        <f ca="1">IFERROR(__xludf.DUMMYFUNCTION("""COMPUTED_VALUE"""),"CNC ženy pack")</f>
        <v>CNC ženy pack</v>
      </c>
      <c r="D380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0" s="3" t="str">
        <f ca="1">IFERROR(__xludf.DUMMYFUNCTION("""COMPUTED_VALUE"""),"celý web")</f>
        <v>celý web</v>
      </c>
      <c r="F380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0" s="3" t="str">
        <f ca="1">IFERROR(__xludf.DUMMYFUNCTION("""COMPUTED_VALUE"""),"cílený double skyscraper mid season")</f>
        <v>cílený double skyscraper mid season</v>
      </c>
      <c r="H380" s="3">
        <f ca="1">IFERROR(__xludf.DUMMYFUNCTION("""COMPUTED_VALUE"""),7)</f>
        <v>7</v>
      </c>
      <c r="I380" s="5">
        <f ca="1">IFERROR(__xludf.DUMMYFUNCTION("""COMPUTED_VALUE"""),1000)</f>
        <v>1000</v>
      </c>
      <c r="J380" s="5">
        <f ca="1">IFERROR(__xludf.DUMMYFUNCTION("""COMPUTED_VALUE"""),252)</f>
        <v>252</v>
      </c>
      <c r="K380" s="3"/>
      <c r="L380" s="3" t="str">
        <f ca="1">IFERROR(__xludf.DUMMYFUNCTION("""COMPUTED_VALUE"""),"Cost per period")</f>
        <v>Cost per period</v>
      </c>
      <c r="M380" s="3"/>
      <c r="N380" s="3"/>
      <c r="O380" s="3" t="str">
        <f ca="1">IFERROR(__xludf.DUMMYFUNCTION("""COMPUTED_VALUE"""),"300")</f>
        <v>300</v>
      </c>
      <c r="P380" s="3" t="str">
        <f ca="1">IFERROR(__xludf.DUMMYFUNCTION("""COMPUTED_VALUE"""),"600")</f>
        <v>600</v>
      </c>
      <c r="Q380" s="3" t="str">
        <f ca="1">IFERROR(__xludf.DUMMYFUNCTION("""COMPUTED_VALUE"""),"300x600")</f>
        <v>300x600</v>
      </c>
      <c r="R380" s="3"/>
      <c r="S380" s="3" t="str">
        <f ca="1">IFERROR(__xludf.DUMMYFUNCTION("""COMPUTED_VALUE"""),"100 (200 - HTML5)")</f>
        <v>100 (200 - HTML5)</v>
      </c>
      <c r="T380" s="3"/>
      <c r="U380" s="3" t="str">
        <f ca="1">IFERROR(__xludf.DUMMYFUNCTION("""COMPUTED_VALUE"""),"banner standard")</f>
        <v>banner standard</v>
      </c>
      <c r="V380" s="3"/>
      <c r="W380" s="4" t="str">
        <f ca="1">IFERROR(__xludf.DUMMYFUNCTION("""COMPUTED_VALUE"""),"https://reklama.cncenter.cz/Online/double-skyscraper")</f>
        <v>https://reklama.cncenter.cz/Online/double-skyscraper</v>
      </c>
      <c r="X380" s="3"/>
      <c r="Y380" s="3"/>
      <c r="Z380" s="3" t="str">
        <f ca="1">IFERROR(__xludf.DUMMYFUNCTION("""COMPUTED_VALUE"""),"podklady@cncenter.cz")</f>
        <v>podklady@cncenter.cz</v>
      </c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 t="str">
        <f ca="1">IFERROR(__xludf.DUMMYFUNCTION("""COMPUTED_VALUE"""),"desktop")</f>
        <v>desktop</v>
      </c>
      <c r="AO380" s="3"/>
      <c r="AP380" s="3"/>
      <c r="AQ380" s="3"/>
      <c r="AR380" s="3"/>
      <c r="AS380" s="3"/>
      <c r="AT380" s="3"/>
      <c r="AU380" s="3" t="str">
        <f ca="1">IFERROR(__xludf.DUMMYFUNCTION("""COMPUTED_VALUE"""),"cílený double skyscraper")</f>
        <v>cílený double skyscraper</v>
      </c>
    </row>
    <row r="381" spans="1:47" x14ac:dyDescent="0.3">
      <c r="A381" s="3">
        <f ca="1"/>
        <v>2346826</v>
      </c>
      <c r="B381" s="3" t="str">
        <f ca="1"/>
        <v>CZECH NEWS CENTER a. s.</v>
      </c>
      <c r="C381" s="3" t="str">
        <f ca="1">IFERROR(__xludf.DUMMYFUNCTION("""COMPUTED_VALUE"""),"CNC ženy pack")</f>
        <v>CNC ženy pack</v>
      </c>
      <c r="D381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1" s="3" t="str">
        <f ca="1">IFERROR(__xludf.DUMMYFUNCTION("""COMPUTED_VALUE"""),"celý web")</f>
        <v>celý web</v>
      </c>
      <c r="F381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1" s="3" t="str">
        <f ca="1">IFERROR(__xludf.DUMMYFUNCTION("""COMPUTED_VALUE"""),"cílený mini videospot - max. 30 sec. mid season")</f>
        <v>cílený mini videospot - max. 30 sec. mid season</v>
      </c>
      <c r="H381" s="3">
        <f ca="1">IFERROR(__xludf.DUMMYFUNCTION("""COMPUTED_VALUE"""),7)</f>
        <v>7</v>
      </c>
      <c r="I381" s="5">
        <f ca="1">IFERROR(__xludf.DUMMYFUNCTION("""COMPUTED_VALUE"""),1000)</f>
        <v>1000</v>
      </c>
      <c r="J381" s="5">
        <f ca="1">IFERROR(__xludf.DUMMYFUNCTION("""COMPUTED_VALUE"""),252)</f>
        <v>252</v>
      </c>
      <c r="K381" s="3"/>
      <c r="L381" s="3" t="str">
        <f ca="1">IFERROR(__xludf.DUMMYFUNCTION("""COMPUTED_VALUE"""),"Cost per period")</f>
        <v>Cost per period</v>
      </c>
      <c r="M381" s="3"/>
      <c r="N381" s="3"/>
      <c r="O381" s="3"/>
      <c r="P381" s="3"/>
      <c r="Q381" s="3" t="str">
        <f ca="1">IFERROR(__xludf.DUMMYFUNCTION("""COMPUTED_VALUE"""),"16:9 / umístění po domluvě dle možností")</f>
        <v>16:9 / umístění po domluvě dle možností</v>
      </c>
      <c r="R381" s="3" t="str">
        <f ca="1">IFERROR(__xludf.DUMMYFUNCTION("""COMPUTED_VALUE"""),"přeskočení po 7 sekundách")</f>
        <v>přeskočení po 7 sekundách</v>
      </c>
      <c r="S381" s="3" t="str">
        <f ca="1">IFERROR(__xludf.DUMMYFUNCTION("""COMPUTED_VALUE"""),"100")</f>
        <v>100</v>
      </c>
      <c r="T381" s="3"/>
      <c r="U381" s="3" t="str">
        <f ca="1">IFERROR(__xludf.DUMMYFUNCTION("""COMPUTED_VALUE"""),"videospot")</f>
        <v>videospot</v>
      </c>
      <c r="V381" s="3"/>
      <c r="W381" s="4" t="str">
        <f ca="1">IFERROR(__xludf.DUMMYFUNCTION("""COMPUTED_VALUE"""),"https://reklama.cncenter.cz/Online/Videospot")</f>
        <v>https://reklama.cncenter.cz/Online/Videospot</v>
      </c>
      <c r="X381" s="3"/>
      <c r="Y381" s="3"/>
      <c r="Z381" s="3" t="str">
        <f ca="1">IFERROR(__xludf.DUMMYFUNCTION("""COMPUTED_VALUE"""),"podklady@cncenter.cz")</f>
        <v>podklady@cncenter.cz</v>
      </c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 t="str">
        <f ca="1">IFERROR(__xludf.DUMMYFUNCTION("""COMPUTED_VALUE"""),"desktop")</f>
        <v>desktop</v>
      </c>
      <c r="AO381" s="3"/>
      <c r="AP381" s="3"/>
      <c r="AQ381" s="3"/>
      <c r="AR381" s="3"/>
      <c r="AS381" s="3"/>
      <c r="AT381" s="3"/>
      <c r="AU381" s="3" t="str">
        <f ca="1">IFERROR(__xludf.DUMMYFUNCTION("""COMPUTED_VALUE"""),"cílený mini videospot - max. 30 sec.")</f>
        <v>cílený mini videospot - max. 30 sec.</v>
      </c>
    </row>
    <row r="382" spans="1:47" x14ac:dyDescent="0.3">
      <c r="A382" s="3">
        <f ca="1"/>
        <v>2346826</v>
      </c>
      <c r="B382" s="3" t="str">
        <f ca="1"/>
        <v>CZECH NEWS CENTER a. s.</v>
      </c>
      <c r="C382" s="3" t="str">
        <f ca="1">IFERROR(__xludf.DUMMYFUNCTION("""COMPUTED_VALUE"""),"CNC ženy pack")</f>
        <v>CNC ženy pack</v>
      </c>
      <c r="D382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2" s="3" t="str">
        <f ca="1">IFERROR(__xludf.DUMMYFUNCTION("""COMPUTED_VALUE"""),"celý web")</f>
        <v>celý web</v>
      </c>
      <c r="F382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2" s="3" t="str">
        <f ca="1">IFERROR(__xludf.DUMMYFUNCTION("""COMPUTED_VALUE"""),"cílený mobilní interscroller mid season")</f>
        <v>cílený mobilní interscroller mid season</v>
      </c>
      <c r="H382" s="3">
        <f ca="1">IFERROR(__xludf.DUMMYFUNCTION("""COMPUTED_VALUE"""),7)</f>
        <v>7</v>
      </c>
      <c r="I382" s="5">
        <f ca="1">IFERROR(__xludf.DUMMYFUNCTION("""COMPUTED_VALUE"""),1000)</f>
        <v>1000</v>
      </c>
      <c r="J382" s="5">
        <f ca="1">IFERROR(__xludf.DUMMYFUNCTION("""COMPUTED_VALUE"""),336)</f>
        <v>336</v>
      </c>
      <c r="K382" s="3"/>
      <c r="L382" s="3" t="str">
        <f ca="1">IFERROR(__xludf.DUMMYFUNCTION("""COMPUTED_VALUE"""),"Cost per period")</f>
        <v>Cost per period</v>
      </c>
      <c r="M382" s="3"/>
      <c r="N382" s="3"/>
      <c r="O382" s="3" t="str">
        <f ca="1">IFERROR(__xludf.DUMMYFUNCTION("""COMPUTED_VALUE"""),"600")</f>
        <v>600</v>
      </c>
      <c r="P382" s="3" t="str">
        <f ca="1">IFERROR(__xludf.DUMMYFUNCTION("""COMPUTED_VALUE"""),"1080")</f>
        <v>1080</v>
      </c>
      <c r="Q382" s="3" t="str">
        <f ca="1">IFERROR(__xludf.DUMMYFUNCTION("""COMPUTED_VALUE"""),"600x1080")</f>
        <v>600x1080</v>
      </c>
      <c r="R382" s="3"/>
      <c r="S382" s="3" t="str">
        <f ca="1">IFERROR(__xludf.DUMMYFUNCTION("""COMPUTED_VALUE"""),"200")</f>
        <v>200</v>
      </c>
      <c r="T382" s="3"/>
      <c r="U382" s="3" t="str">
        <f ca="1">IFERROR(__xludf.DUMMYFUNCTION("""COMPUTED_VALUE"""),"banner standard")</f>
        <v>banner standard</v>
      </c>
      <c r="V382" s="3"/>
      <c r="W382" s="4" t="str">
        <f ca="1">IFERROR(__xludf.DUMMYFUNCTION("""COMPUTED_VALUE"""),"https://reklama.cncenter.cz/Online/mobilni-interscroller")</f>
        <v>https://reklama.cncenter.cz/Online/mobilni-interscroller</v>
      </c>
      <c r="X382" s="3"/>
      <c r="Y382" s="3"/>
      <c r="Z382" s="3" t="str">
        <f ca="1">IFERROR(__xludf.DUMMYFUNCTION("""COMPUTED_VALUE"""),"podklady@cncenter.cz")</f>
        <v>podklady@cncenter.cz</v>
      </c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 t="str">
        <f ca="1">IFERROR(__xludf.DUMMYFUNCTION("""COMPUTED_VALUE"""),"mobile")</f>
        <v>mobile</v>
      </c>
      <c r="AO382" s="3"/>
      <c r="AP382" s="3"/>
      <c r="AQ382" s="3"/>
      <c r="AR382" s="3"/>
      <c r="AS382" s="3"/>
      <c r="AT382" s="3"/>
      <c r="AU382" s="3" t="str">
        <f ca="1">IFERROR(__xludf.DUMMYFUNCTION("""COMPUTED_VALUE"""),"cílený mobilní interscroller")</f>
        <v>cílený mobilní interscroller</v>
      </c>
    </row>
    <row r="383" spans="1:47" x14ac:dyDescent="0.3">
      <c r="A383" s="3">
        <f ca="1"/>
        <v>2346826</v>
      </c>
      <c r="B383" s="3" t="str">
        <f ca="1"/>
        <v>CZECH NEWS CENTER a. s.</v>
      </c>
      <c r="C383" s="3" t="str">
        <f ca="1">IFERROR(__xludf.DUMMYFUNCTION("""COMPUTED_VALUE"""),"CNC ženy pack")</f>
        <v>CNC ženy pack</v>
      </c>
      <c r="D383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3" s="3" t="str">
        <f ca="1">IFERROR(__xludf.DUMMYFUNCTION("""COMPUTED_VALUE"""),"celý web")</f>
        <v>celý web</v>
      </c>
      <c r="F383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3" s="3" t="str">
        <f ca="1">IFERROR(__xludf.DUMMYFUNCTION("""COMPUTED_VALUE"""),"cílený mobilní slide-up mid season")</f>
        <v>cílený mobilní slide-up mid season</v>
      </c>
      <c r="H383" s="3">
        <f ca="1">IFERROR(__xludf.DUMMYFUNCTION("""COMPUTED_VALUE"""),7)</f>
        <v>7</v>
      </c>
      <c r="I383" s="5">
        <f ca="1">IFERROR(__xludf.DUMMYFUNCTION("""COMPUTED_VALUE"""),1000)</f>
        <v>1000</v>
      </c>
      <c r="J383" s="5">
        <f ca="1">IFERROR(__xludf.DUMMYFUNCTION("""COMPUTED_VALUE"""),672)</f>
        <v>672</v>
      </c>
      <c r="K383" s="3"/>
      <c r="L383" s="3" t="str">
        <f ca="1">IFERROR(__xludf.DUMMYFUNCTION("""COMPUTED_VALUE"""),"Cost per period")</f>
        <v>Cost per period</v>
      </c>
      <c r="M383" s="3"/>
      <c r="N383" s="3"/>
      <c r="O383" s="3" t="str">
        <f ca="1">IFERROR(__xludf.DUMMYFUNCTION("""COMPUTED_VALUE"""),"300")</f>
        <v>300</v>
      </c>
      <c r="P383" s="3" t="str">
        <f ca="1">IFERROR(__xludf.DUMMYFUNCTION("""COMPUTED_VALUE"""),"120")</f>
        <v>120</v>
      </c>
      <c r="Q383" s="3" t="str">
        <f ca="1">IFERROR(__xludf.DUMMYFUNCTION("""COMPUTED_VALUE"""),"300x120")</f>
        <v>300x120</v>
      </c>
      <c r="R383" s="3"/>
      <c r="S383" s="3" t="str">
        <f ca="1">IFERROR(__xludf.DUMMYFUNCTION("""COMPUTED_VALUE"""),"100")</f>
        <v>100</v>
      </c>
      <c r="T383" s="3"/>
      <c r="U383" s="3" t="str">
        <f ca="1">IFERROR(__xludf.DUMMYFUNCTION("""COMPUTED_VALUE"""),"banner standard")</f>
        <v>banner standard</v>
      </c>
      <c r="V383" s="3"/>
      <c r="W383" s="4" t="str">
        <f ca="1">IFERROR(__xludf.DUMMYFUNCTION("""COMPUTED_VALUE"""),"https://reklama.cncenter.cz/Online/mobilni-slide-up")</f>
        <v>https://reklama.cncenter.cz/Online/mobilni-slide-up</v>
      </c>
      <c r="X383" s="3"/>
      <c r="Y383" s="3"/>
      <c r="Z383" s="3" t="str">
        <f ca="1">IFERROR(__xludf.DUMMYFUNCTION("""COMPUTED_VALUE"""),"podklady@cncenter.cz")</f>
        <v>podklady@cncenter.cz</v>
      </c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 t="str">
        <f ca="1">IFERROR(__xludf.DUMMYFUNCTION("""COMPUTED_VALUE"""),"mobile")</f>
        <v>mobile</v>
      </c>
      <c r="AO383" s="3"/>
      <c r="AP383" s="3"/>
      <c r="AQ383" s="3"/>
      <c r="AR383" s="3"/>
      <c r="AS383" s="3"/>
      <c r="AT383" s="3"/>
      <c r="AU383" s="3" t="str">
        <f ca="1">IFERROR(__xludf.DUMMYFUNCTION("""COMPUTED_VALUE"""),"cílený mobilní slide-up")</f>
        <v>cílený mobilní slide-up</v>
      </c>
    </row>
    <row r="384" spans="1:47" x14ac:dyDescent="0.3">
      <c r="A384" s="3">
        <f ca="1"/>
        <v>2346826</v>
      </c>
      <c r="B384" s="3" t="str">
        <f ca="1"/>
        <v>CZECH NEWS CENTER a. s.</v>
      </c>
      <c r="C384" s="3" t="str">
        <f ca="1">IFERROR(__xludf.DUMMYFUNCTION("""COMPUTED_VALUE"""),"CNC ženy pack")</f>
        <v>CNC ženy pack</v>
      </c>
      <c r="D384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4" s="3" t="str">
        <f ca="1">IFERROR(__xludf.DUMMYFUNCTION("""COMPUTED_VALUE"""),"celý web")</f>
        <v>celý web</v>
      </c>
      <c r="F384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4" s="3" t="str">
        <f ca="1">IFERROR(__xludf.DUMMYFUNCTION("""COMPUTED_VALUE"""),"cílený mobilní viněta mid season")</f>
        <v>cílený mobilní viněta mid season</v>
      </c>
      <c r="H384" s="3">
        <f ca="1">IFERROR(__xludf.DUMMYFUNCTION("""COMPUTED_VALUE"""),7)</f>
        <v>7</v>
      </c>
      <c r="I384" s="5">
        <f ca="1">IFERROR(__xludf.DUMMYFUNCTION("""COMPUTED_VALUE"""),1000)</f>
        <v>1000</v>
      </c>
      <c r="J384" s="5">
        <f ca="1">IFERROR(__xludf.DUMMYFUNCTION("""COMPUTED_VALUE"""),948)</f>
        <v>948</v>
      </c>
      <c r="K384" s="3"/>
      <c r="L384" s="3" t="str">
        <f ca="1">IFERROR(__xludf.DUMMYFUNCTION("""COMPUTED_VALUE"""),"Cost per period")</f>
        <v>Cost per period</v>
      </c>
      <c r="M384" s="3"/>
      <c r="N384" s="3"/>
      <c r="O384" s="3" t="str">
        <f ca="1">IFERROR(__xludf.DUMMYFUNCTION("""COMPUTED_VALUE"""),"600")</f>
        <v>600</v>
      </c>
      <c r="P384" s="3" t="str">
        <f ca="1">IFERROR(__xludf.DUMMYFUNCTION("""COMPUTED_VALUE"""),"800")</f>
        <v>800</v>
      </c>
      <c r="Q384" s="3" t="str">
        <f ca="1">IFERROR(__xludf.DUMMYFUNCTION("""COMPUTED_VALUE"""),"300x250 nebo 600x800")</f>
        <v>300x250 nebo 600x800</v>
      </c>
      <c r="R384" s="3"/>
      <c r="S384" s="3" t="str">
        <f ca="1">IFERROR(__xludf.DUMMYFUNCTION("""COMPUTED_VALUE"""),"100")</f>
        <v>100</v>
      </c>
      <c r="T384" s="3"/>
      <c r="U384" s="3" t="str">
        <f ca="1">IFERROR(__xludf.DUMMYFUNCTION("""COMPUTED_VALUE"""),"banner standard")</f>
        <v>banner standard</v>
      </c>
      <c r="V384" s="3"/>
      <c r="W384" s="4" t="str">
        <f ca="1">IFERROR(__xludf.DUMMYFUNCTION("""COMPUTED_VALUE"""),"https://reklama.cncenter.cz/Online/mobilni-vineta")</f>
        <v>https://reklama.cncenter.cz/Online/mobilni-vineta</v>
      </c>
      <c r="X384" s="3"/>
      <c r="Y384" s="3"/>
      <c r="Z384" s="3" t="str">
        <f ca="1">IFERROR(__xludf.DUMMYFUNCTION("""COMPUTED_VALUE"""),"podklady@cncenter.cz")</f>
        <v>podklady@cncenter.cz</v>
      </c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 t="str">
        <f ca="1">IFERROR(__xludf.DUMMYFUNCTION("""COMPUTED_VALUE"""),"mobile")</f>
        <v>mobile</v>
      </c>
      <c r="AO384" s="3"/>
      <c r="AP384" s="3"/>
      <c r="AQ384" s="3"/>
      <c r="AR384" s="3"/>
      <c r="AS384" s="3"/>
      <c r="AT384" s="3"/>
      <c r="AU384" s="3" t="str">
        <f ca="1">IFERROR(__xludf.DUMMYFUNCTION("""COMPUTED_VALUE"""),"cílený mobilní viněta")</f>
        <v>cílený mobilní viněta</v>
      </c>
    </row>
    <row r="385" spans="1:47" x14ac:dyDescent="0.3">
      <c r="A385" s="3">
        <f ca="1"/>
        <v>2346826</v>
      </c>
      <c r="B385" s="3" t="str">
        <f ca="1"/>
        <v>CZECH NEWS CENTER a. s.</v>
      </c>
      <c r="C385" s="3" t="str">
        <f ca="1">IFERROR(__xludf.DUMMYFUNCTION("""COMPUTED_VALUE"""),"CNC ženy pack")</f>
        <v>CNC ženy pack</v>
      </c>
      <c r="D385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5" s="3" t="str">
        <f ca="1">IFERROR(__xludf.DUMMYFUNCTION("""COMPUTED_VALUE"""),"celý web")</f>
        <v>celý web</v>
      </c>
      <c r="F385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5" s="3" t="str">
        <f ca="1">IFERROR(__xludf.DUMMYFUNCTION("""COMPUTED_VALUE"""),"cílený nativní rectangle cross-device mid season")</f>
        <v>cílený nativní rectangle cross-device mid season</v>
      </c>
      <c r="H385" s="3">
        <f ca="1">IFERROR(__xludf.DUMMYFUNCTION("""COMPUTED_VALUE"""),7)</f>
        <v>7</v>
      </c>
      <c r="I385" s="5">
        <f ca="1">IFERROR(__xludf.DUMMYFUNCTION("""COMPUTED_VALUE"""),1000)</f>
        <v>1000</v>
      </c>
      <c r="J385" s="5">
        <f ca="1">IFERROR(__xludf.DUMMYFUNCTION("""COMPUTED_VALUE"""),252)</f>
        <v>252</v>
      </c>
      <c r="K385" s="3"/>
      <c r="L385" s="3" t="str">
        <f ca="1">IFERROR(__xludf.DUMMYFUNCTION("""COMPUTED_VALUE"""),"Cost per period")</f>
        <v>Cost per period</v>
      </c>
      <c r="M385" s="3"/>
      <c r="N385" s="3"/>
      <c r="O385" s="3" t="str">
        <f ca="1">IFERROR(__xludf.DUMMYFUNCTION("""COMPUTED_VALUE"""),"640")</f>
        <v>640</v>
      </c>
      <c r="P385" s="3" t="str">
        <f ca="1">IFERROR(__xludf.DUMMYFUNCTION("""COMPUTED_VALUE"""),"335, 640")</f>
        <v>335, 640</v>
      </c>
      <c r="Q385" s="3" t="str">
        <f ca="1">IFERROR(__xludf.DUMMYFUNCTION("""COMPUTED_VALUE"""),"640x640 a 640x335 + text + logo")</f>
        <v>640x640 a 640x335 + text + logo</v>
      </c>
      <c r="R385" s="3"/>
      <c r="S385" s="3" t="str">
        <f ca="1">IFERROR(__xludf.DUMMYFUNCTION("""COMPUTED_VALUE"""),"45")</f>
        <v>45</v>
      </c>
      <c r="T385" s="3"/>
      <c r="U385" s="3" t="str">
        <f ca="1">IFERROR(__xludf.DUMMYFUNCTION("""COMPUTED_VALUE"""),"nativní reklama")</f>
        <v>nativní reklama</v>
      </c>
      <c r="V385" s="3"/>
      <c r="W385" s="4" t="str">
        <f ca="1">IFERROR(__xludf.DUMMYFUNCTION("""COMPUTED_VALUE"""),"https://reklama.cncenter.cz/Online/nativni-rectangle-cross-device")</f>
        <v>https://reklama.cncenter.cz/Online/nativni-rectangle-cross-device</v>
      </c>
      <c r="X385" s="3"/>
      <c r="Y385" s="3"/>
      <c r="Z385" s="3" t="str">
        <f ca="1">IFERROR(__xludf.DUMMYFUNCTION("""COMPUTED_VALUE"""),"podklady@cncenter.cz")</f>
        <v>podklady@cncenter.cz</v>
      </c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 t="str">
        <f ca="1">IFERROR(__xludf.DUMMYFUNCTION("""COMPUTED_VALUE"""),"cross-device")</f>
        <v>cross-device</v>
      </c>
      <c r="AO385" s="3"/>
      <c r="AP385" s="3"/>
      <c r="AQ385" s="3"/>
      <c r="AR385" s="3"/>
      <c r="AS385" s="3"/>
      <c r="AT385" s="3"/>
      <c r="AU385" s="3" t="str">
        <f ca="1">IFERROR(__xludf.DUMMYFUNCTION("""COMPUTED_VALUE"""),"cílený nativní rectangle cross-device")</f>
        <v>cílený nativní rectangle cross-device</v>
      </c>
    </row>
    <row r="386" spans="1:47" x14ac:dyDescent="0.3">
      <c r="A386" s="3">
        <f ca="1"/>
        <v>2346826</v>
      </c>
      <c r="B386" s="3" t="str">
        <f ca="1"/>
        <v>CZECH NEWS CENTER a. s.</v>
      </c>
      <c r="C386" s="3" t="str">
        <f ca="1">IFERROR(__xludf.DUMMYFUNCTION("""COMPUTED_VALUE"""),"CNC ženy pack")</f>
        <v>CNC ženy pack</v>
      </c>
      <c r="D386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6" s="3" t="str">
        <f ca="1">IFERROR(__xludf.DUMMYFUNCTION("""COMPUTED_VALUE"""),"celý web")</f>
        <v>celý web</v>
      </c>
      <c r="F386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6" s="3" t="str">
        <f ca="1">IFERROR(__xludf.DUMMYFUNCTION("""COMPUTED_VALUE"""),"cílený outstream mid season")</f>
        <v>cílený outstream mid season</v>
      </c>
      <c r="H386" s="3">
        <f ca="1">IFERROR(__xludf.DUMMYFUNCTION("""COMPUTED_VALUE"""),7)</f>
        <v>7</v>
      </c>
      <c r="I386" s="5">
        <f ca="1">IFERROR(__xludf.DUMMYFUNCTION("""COMPUTED_VALUE"""),1000)</f>
        <v>1000</v>
      </c>
      <c r="J386" s="5">
        <f ca="1">IFERROR(__xludf.DUMMYFUNCTION("""COMPUTED_VALUE"""),396)</f>
        <v>396</v>
      </c>
      <c r="K386" s="3"/>
      <c r="L386" s="3" t="str">
        <f ca="1">IFERROR(__xludf.DUMMYFUNCTION("""COMPUTED_VALUE"""),"Cost per period")</f>
        <v>Cost per period</v>
      </c>
      <c r="M386" s="3"/>
      <c r="N386" s="3"/>
      <c r="O386" s="3" t="str">
        <f ca="1">IFERROR(__xludf.DUMMYFUNCTION("""COMPUTED_VALUE"""),"1280")</f>
        <v>1280</v>
      </c>
      <c r="P386" s="3" t="str">
        <f ca="1">IFERROR(__xludf.DUMMYFUNCTION("""COMPUTED_VALUE"""),"720")</f>
        <v>720</v>
      </c>
      <c r="Q386" s="3" t="str">
        <f ca="1">IFERROR(__xludf.DUMMYFUNCTION("""COMPUTED_VALUE"""),"16:9")</f>
        <v>16:9</v>
      </c>
      <c r="R386" s="3"/>
      <c r="S386" s="3" t="str">
        <f ca="1">IFERROR(__xludf.DUMMYFUNCTION("""COMPUTED_VALUE"""),"100")</f>
        <v>100</v>
      </c>
      <c r="T386" s="3"/>
      <c r="U386" s="3" t="str">
        <f ca="1">IFERROR(__xludf.DUMMYFUNCTION("""COMPUTED_VALUE"""),"videospot")</f>
        <v>videospot</v>
      </c>
      <c r="V386" s="3"/>
      <c r="W386" s="4" t="str">
        <f ca="1">IFERROR(__xludf.DUMMYFUNCTION("""COMPUTED_VALUE"""),"https://reklama.cncenter.cz/Online/Outstream")</f>
        <v>https://reklama.cncenter.cz/Online/Outstream</v>
      </c>
      <c r="X386" s="3"/>
      <c r="Y386" s="3"/>
      <c r="Z386" s="3" t="str">
        <f ca="1">IFERROR(__xludf.DUMMYFUNCTION("""COMPUTED_VALUE"""),"podklady@cncenter.cz")</f>
        <v>podklady@cncenter.cz</v>
      </c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 t="str">
        <f ca="1">IFERROR(__xludf.DUMMYFUNCTION("""COMPUTED_VALUE"""),"cross-device")</f>
        <v>cross-device</v>
      </c>
      <c r="AO386" s="3"/>
      <c r="AP386" s="3"/>
      <c r="AQ386" s="3"/>
      <c r="AR386" s="3"/>
      <c r="AS386" s="3"/>
      <c r="AT386" s="3"/>
      <c r="AU386" s="3" t="str">
        <f ca="1">IFERROR(__xludf.DUMMYFUNCTION("""COMPUTED_VALUE"""),"cílený outstream")</f>
        <v>cílený outstream</v>
      </c>
    </row>
    <row r="387" spans="1:47" x14ac:dyDescent="0.3">
      <c r="A387" s="3">
        <f ca="1"/>
        <v>2346826</v>
      </c>
      <c r="B387" s="3" t="str">
        <f ca="1"/>
        <v>CZECH NEWS CENTER a. s.</v>
      </c>
      <c r="C387" s="3" t="str">
        <f ca="1">IFERROR(__xludf.DUMMYFUNCTION("""COMPUTED_VALUE"""),"CNC ženy pack")</f>
        <v>CNC ženy pack</v>
      </c>
      <c r="D387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7" s="3" t="str">
        <f ca="1">IFERROR(__xludf.DUMMYFUNCTION("""COMPUTED_VALUE"""),"celý web")</f>
        <v>celý web</v>
      </c>
      <c r="F387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7" s="3" t="str">
        <f ca="1">IFERROR(__xludf.DUMMYFUNCTION("""COMPUTED_VALUE"""),"cílený Smarticle mid season")</f>
        <v>cílený Smarticle mid season</v>
      </c>
      <c r="H387" s="3">
        <f ca="1">IFERROR(__xludf.DUMMYFUNCTION("""COMPUTED_VALUE"""),7)</f>
        <v>7</v>
      </c>
      <c r="I387" s="5">
        <f ca="1">IFERROR(__xludf.DUMMYFUNCTION("""COMPUTED_VALUE"""),1000)</f>
        <v>1000</v>
      </c>
      <c r="J387" s="5">
        <f ca="1">IFERROR(__xludf.DUMMYFUNCTION("""COMPUTED_VALUE"""),240)</f>
        <v>240</v>
      </c>
      <c r="K387" s="3"/>
      <c r="L387" s="3" t="str">
        <f ca="1">IFERROR(__xludf.DUMMYFUNCTION("""COMPUTED_VALUE"""),"Cost per period")</f>
        <v>Cost per period</v>
      </c>
      <c r="M387" s="3"/>
      <c r="N387" s="3" t="str">
        <f ca="1">IFERROR(__xludf.DUMMYFUNCTION("""COMPUTED_VALUE"""),"A4")</f>
        <v>A4</v>
      </c>
      <c r="O387" s="3"/>
      <c r="P387" s="3"/>
      <c r="Q387" s="3" t="str">
        <f ca="1">IFERROR(__xludf.DUMMYFUNCTION("""COMPUTED_VALUE"""),"viz. tech.specifikace; HP + sekce")</f>
        <v>viz. tech.specifikace; HP + sekce</v>
      </c>
      <c r="R387" s="3" t="str">
        <f ca="1">IFERROR(__xludf.DUMMYFUNCTION("""COMPUTED_VALUE"""),"HP + sekce")</f>
        <v>HP + sekce</v>
      </c>
      <c r="S387" s="3" t="str">
        <f ca="1">IFERROR(__xludf.DUMMYFUNCTION("""COMPUTED_VALUE"""),"100")</f>
        <v>100</v>
      </c>
      <c r="T387" s="3"/>
      <c r="U387" s="3" t="str">
        <f ca="1">IFERROR(__xludf.DUMMYFUNCTION("""COMPUTED_VALUE"""),"pr článek")</f>
        <v>pr článek</v>
      </c>
      <c r="V387" s="3"/>
      <c r="W387" s="4" t="str">
        <f ca="1">IFERROR(__xludf.DUMMYFUNCTION("""COMPUTED_VALUE"""),"https://reklama.cncenter.cz/Online/Smarticle")</f>
        <v>https://reklama.cncenter.cz/Online/Smarticle</v>
      </c>
      <c r="X387" s="3"/>
      <c r="Y387" s="3"/>
      <c r="Z387" s="3" t="str">
        <f ca="1">IFERROR(__xludf.DUMMYFUNCTION("""COMPUTED_VALUE"""),"podklady@cncenter.cz")</f>
        <v>podklady@cncenter.cz</v>
      </c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 t="str">
        <f ca="1">IFERROR(__xludf.DUMMYFUNCTION("""COMPUTED_VALUE"""),"cross-device")</f>
        <v>cross-device</v>
      </c>
      <c r="AO387" s="3"/>
      <c r="AP387" s="3"/>
      <c r="AQ387" s="3"/>
      <c r="AR387" s="3"/>
      <c r="AS387" s="3"/>
      <c r="AT387" s="3"/>
      <c r="AU387" s="3" t="str">
        <f ca="1">IFERROR(__xludf.DUMMYFUNCTION("""COMPUTED_VALUE"""),"cílený Smarticle")</f>
        <v>cílený Smarticle</v>
      </c>
    </row>
    <row r="388" spans="1:47" x14ac:dyDescent="0.3">
      <c r="A388" s="3">
        <f ca="1"/>
        <v>2346826</v>
      </c>
      <c r="B388" s="3" t="str">
        <f ca="1"/>
        <v>CZECH NEWS CENTER a. s.</v>
      </c>
      <c r="C388" s="3" t="str">
        <f ca="1">IFERROR(__xludf.DUMMYFUNCTION("""COMPUTED_VALUE"""),"CNC ženy pack")</f>
        <v>CNC ženy pack</v>
      </c>
      <c r="D388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8" s="3" t="str">
        <f ca="1">IFERROR(__xludf.DUMMYFUNCTION("""COMPUTED_VALUE"""),"celý web")</f>
        <v>celý web</v>
      </c>
      <c r="F388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8" s="3" t="str">
        <f ca="1">IFERROR(__xludf.DUMMYFUNCTION("""COMPUTED_VALUE"""),"cílený videospot - max. 30 sec. / bumper mid season")</f>
        <v>cílený videospot - max. 30 sec. / bumper mid season</v>
      </c>
      <c r="H388" s="3">
        <f ca="1">IFERROR(__xludf.DUMMYFUNCTION("""COMPUTED_VALUE"""),7)</f>
        <v>7</v>
      </c>
      <c r="I388" s="5">
        <f ca="1">IFERROR(__xludf.DUMMYFUNCTION("""COMPUTED_VALUE"""),1000)</f>
        <v>1000</v>
      </c>
      <c r="J388" s="5">
        <f ca="1">IFERROR(__xludf.DUMMYFUNCTION("""COMPUTED_VALUE"""),1152)</f>
        <v>1152</v>
      </c>
      <c r="K388" s="3"/>
      <c r="L388" s="3" t="str">
        <f ca="1">IFERROR(__xludf.DUMMYFUNCTION("""COMPUTED_VALUE"""),"Cost per period")</f>
        <v>Cost per period</v>
      </c>
      <c r="M388" s="3"/>
      <c r="N388" s="3"/>
      <c r="O388" s="3" t="str">
        <f ca="1">IFERROR(__xludf.DUMMYFUNCTION("""COMPUTED_VALUE"""),"1280")</f>
        <v>1280</v>
      </c>
      <c r="P388" s="3" t="str">
        <f ca="1">IFERROR(__xludf.DUMMYFUNCTION("""COMPUTED_VALUE"""),"720")</f>
        <v>720</v>
      </c>
      <c r="Q388" s="3" t="str">
        <f ca="1">IFERROR(__xludf.DUMMYFUNCTION("""COMPUTED_VALUE"""),"16:9 / umístění po domluvě dle možností")</f>
        <v>16:9 / umístění po domluvě dle možností</v>
      </c>
      <c r="R388" s="3" t="str">
        <f ca="1">IFERROR(__xludf.DUMMYFUNCTION("""COMPUTED_VALUE"""),"přeskočení po 7 sekundách")</f>
        <v>přeskočení po 7 sekundách</v>
      </c>
      <c r="S388" s="3" t="str">
        <f ca="1">IFERROR(__xludf.DUMMYFUNCTION("""COMPUTED_VALUE"""),"100")</f>
        <v>100</v>
      </c>
      <c r="T388" s="3"/>
      <c r="U388" s="3" t="str">
        <f ca="1">IFERROR(__xludf.DUMMYFUNCTION("""COMPUTED_VALUE"""),"videospot")</f>
        <v>videospot</v>
      </c>
      <c r="V388" s="3"/>
      <c r="W388" s="4" t="str">
        <f ca="1">IFERROR(__xludf.DUMMYFUNCTION("""COMPUTED_VALUE"""),"https://reklama.cncenter.cz/Online/Bumper")</f>
        <v>https://reklama.cncenter.cz/Online/Bumper</v>
      </c>
      <c r="X388" s="3"/>
      <c r="Y388" s="3"/>
      <c r="Z388" s="3" t="str">
        <f ca="1">IFERROR(__xludf.DUMMYFUNCTION("""COMPUTED_VALUE"""),"podklady@cncenter.cz")</f>
        <v>podklady@cncenter.cz</v>
      </c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 t="str">
        <f ca="1">IFERROR(__xludf.DUMMYFUNCTION("""COMPUTED_VALUE"""),"cross-device")</f>
        <v>cross-device</v>
      </c>
      <c r="AO388" s="3"/>
      <c r="AP388" s="3"/>
      <c r="AQ388" s="3"/>
      <c r="AR388" s="3"/>
      <c r="AS388" s="3"/>
      <c r="AT388" s="3"/>
      <c r="AU388" s="3" t="str">
        <f ca="1">IFERROR(__xludf.DUMMYFUNCTION("""COMPUTED_VALUE"""),"cílený videospot - max. 30 sec. / bumper")</f>
        <v>cílený videospot - max. 30 sec. / bumper</v>
      </c>
    </row>
    <row r="389" spans="1:47" x14ac:dyDescent="0.3">
      <c r="A389" s="3">
        <f ca="1"/>
        <v>2346826</v>
      </c>
      <c r="B389" s="3" t="str">
        <f ca="1"/>
        <v>CZECH NEWS CENTER a. s.</v>
      </c>
      <c r="C389" s="3" t="str">
        <f ca="1">IFERROR(__xludf.DUMMYFUNCTION("""COMPUTED_VALUE"""),"CNC ženy pack")</f>
        <v>CNC ženy pack</v>
      </c>
      <c r="D389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9" s="3" t="str">
        <f ca="1">IFERROR(__xludf.DUMMYFUNCTION("""COMPUTED_VALUE"""),"celý web")</f>
        <v>celý web</v>
      </c>
      <c r="F389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9" s="3" t="str">
        <f ca="1">IFERROR(__xludf.DUMMYFUNCTION("""COMPUTED_VALUE"""),"double skyscraper mid season")</f>
        <v>double skyscraper mid season</v>
      </c>
      <c r="H389" s="3">
        <f ca="1">IFERROR(__xludf.DUMMYFUNCTION("""COMPUTED_VALUE"""),7)</f>
        <v>7</v>
      </c>
      <c r="I389" s="5">
        <f ca="1">IFERROR(__xludf.DUMMYFUNCTION("""COMPUTED_VALUE"""),1000)</f>
        <v>1000</v>
      </c>
      <c r="J389" s="5">
        <f ca="1">IFERROR(__xludf.DUMMYFUNCTION("""COMPUTED_VALUE"""),210)</f>
        <v>210</v>
      </c>
      <c r="K389" s="3"/>
      <c r="L389" s="3" t="str">
        <f ca="1">IFERROR(__xludf.DUMMYFUNCTION("""COMPUTED_VALUE"""),"Cost per period")</f>
        <v>Cost per period</v>
      </c>
      <c r="M389" s="3"/>
      <c r="N389" s="3"/>
      <c r="O389" s="3" t="str">
        <f ca="1">IFERROR(__xludf.DUMMYFUNCTION("""COMPUTED_VALUE"""),"300")</f>
        <v>300</v>
      </c>
      <c r="P389" s="3" t="str">
        <f ca="1">IFERROR(__xludf.DUMMYFUNCTION("""COMPUTED_VALUE"""),"600")</f>
        <v>600</v>
      </c>
      <c r="Q389" s="3" t="str">
        <f ca="1">IFERROR(__xludf.DUMMYFUNCTION("""COMPUTED_VALUE"""),"300x600")</f>
        <v>300x600</v>
      </c>
      <c r="R389" s="3"/>
      <c r="S389" s="3" t="str">
        <f ca="1">IFERROR(__xludf.DUMMYFUNCTION("""COMPUTED_VALUE"""),"100 (200 - HTML5)")</f>
        <v>100 (200 - HTML5)</v>
      </c>
      <c r="T389" s="3"/>
      <c r="U389" s="3" t="str">
        <f ca="1">IFERROR(__xludf.DUMMYFUNCTION("""COMPUTED_VALUE"""),"banner standard")</f>
        <v>banner standard</v>
      </c>
      <c r="V389" s="3"/>
      <c r="W389" s="4" t="str">
        <f ca="1">IFERROR(__xludf.DUMMYFUNCTION("""COMPUTED_VALUE"""),"https://reklama.cncenter.cz/Online/double-skyscraper")</f>
        <v>https://reklama.cncenter.cz/Online/double-skyscraper</v>
      </c>
      <c r="X389" s="3"/>
      <c r="Y389" s="3"/>
      <c r="Z389" s="3" t="str">
        <f ca="1">IFERROR(__xludf.DUMMYFUNCTION("""COMPUTED_VALUE"""),"podklady@cncenter.cz")</f>
        <v>podklady@cncenter.cz</v>
      </c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 t="str">
        <f ca="1">IFERROR(__xludf.DUMMYFUNCTION("""COMPUTED_VALUE"""),"desktop")</f>
        <v>desktop</v>
      </c>
      <c r="AO389" s="3"/>
      <c r="AP389" s="3"/>
      <c r="AQ389" s="3"/>
      <c r="AR389" s="3"/>
      <c r="AS389" s="3"/>
      <c r="AT389" s="3"/>
      <c r="AU389" s="3" t="str">
        <f ca="1">IFERROR(__xludf.DUMMYFUNCTION("""COMPUTED_VALUE"""),"double skyscraper")</f>
        <v>double skyscraper</v>
      </c>
    </row>
    <row r="390" spans="1:47" x14ac:dyDescent="0.3">
      <c r="A390" s="3">
        <f ca="1"/>
        <v>2346826</v>
      </c>
      <c r="B390" s="3" t="str">
        <f ca="1"/>
        <v>CZECH NEWS CENTER a. s.</v>
      </c>
      <c r="C390" s="3" t="str">
        <f ca="1">IFERROR(__xludf.DUMMYFUNCTION("""COMPUTED_VALUE"""),"CNC ženy pack")</f>
        <v>CNC ženy pack</v>
      </c>
      <c r="D390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0" s="3" t="str">
        <f ca="1">IFERROR(__xludf.DUMMYFUNCTION("""COMPUTED_VALUE"""),"celý web")</f>
        <v>celý web</v>
      </c>
      <c r="F390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0" s="3" t="str">
        <f ca="1">IFERROR(__xludf.DUMMYFUNCTION("""COMPUTED_VALUE"""),"mini videospot - max. 30 sec. mid season")</f>
        <v>mini videospot - max. 30 sec. mid season</v>
      </c>
      <c r="H390" s="3">
        <f ca="1">IFERROR(__xludf.DUMMYFUNCTION("""COMPUTED_VALUE"""),7)</f>
        <v>7</v>
      </c>
      <c r="I390" s="5">
        <f ca="1">IFERROR(__xludf.DUMMYFUNCTION("""COMPUTED_VALUE"""),1000)</f>
        <v>1000</v>
      </c>
      <c r="J390" s="5">
        <f ca="1">IFERROR(__xludf.DUMMYFUNCTION("""COMPUTED_VALUE"""),210)</f>
        <v>210</v>
      </c>
      <c r="K390" s="3"/>
      <c r="L390" s="3" t="str">
        <f ca="1">IFERROR(__xludf.DUMMYFUNCTION("""COMPUTED_VALUE"""),"Cost per period")</f>
        <v>Cost per period</v>
      </c>
      <c r="M390" s="3"/>
      <c r="N390" s="3"/>
      <c r="O390" s="3"/>
      <c r="P390" s="3"/>
      <c r="Q390" s="3" t="str">
        <f ca="1">IFERROR(__xludf.DUMMYFUNCTION("""COMPUTED_VALUE"""),"16:9 / umístění po domluvě dle možností")</f>
        <v>16:9 / umístění po domluvě dle možností</v>
      </c>
      <c r="R390" s="3" t="str">
        <f ca="1">IFERROR(__xludf.DUMMYFUNCTION("""COMPUTED_VALUE"""),"přeskočení po 7 sekundách")</f>
        <v>přeskočení po 7 sekundách</v>
      </c>
      <c r="S390" s="3" t="str">
        <f ca="1">IFERROR(__xludf.DUMMYFUNCTION("""COMPUTED_VALUE"""),"100")</f>
        <v>100</v>
      </c>
      <c r="T390" s="3"/>
      <c r="U390" s="3" t="str">
        <f ca="1">IFERROR(__xludf.DUMMYFUNCTION("""COMPUTED_VALUE"""),"videospot")</f>
        <v>videospot</v>
      </c>
      <c r="V390" s="3"/>
      <c r="W390" s="4" t="str">
        <f ca="1">IFERROR(__xludf.DUMMYFUNCTION("""COMPUTED_VALUE"""),"https://reklama.cncenter.cz/Online/Videospot")</f>
        <v>https://reklama.cncenter.cz/Online/Videospot</v>
      </c>
      <c r="X390" s="3"/>
      <c r="Y390" s="3"/>
      <c r="Z390" s="3" t="str">
        <f ca="1">IFERROR(__xludf.DUMMYFUNCTION("""COMPUTED_VALUE"""),"podklady@cncenter.cz")</f>
        <v>podklady@cncenter.cz</v>
      </c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 t="str">
        <f ca="1">IFERROR(__xludf.DUMMYFUNCTION("""COMPUTED_VALUE"""),"desktop")</f>
        <v>desktop</v>
      </c>
      <c r="AO390" s="3"/>
      <c r="AP390" s="3"/>
      <c r="AQ390" s="3"/>
      <c r="AR390" s="3"/>
      <c r="AS390" s="3"/>
      <c r="AT390" s="3"/>
      <c r="AU390" s="3" t="str">
        <f ca="1">IFERROR(__xludf.DUMMYFUNCTION("""COMPUTED_VALUE"""),"mini videospot - max. 30 sec.")</f>
        <v>mini videospot - max. 30 sec.</v>
      </c>
    </row>
    <row r="391" spans="1:47" x14ac:dyDescent="0.3">
      <c r="A391" s="3">
        <f ca="1"/>
        <v>2346826</v>
      </c>
      <c r="B391" s="3" t="str">
        <f ca="1"/>
        <v>CZECH NEWS CENTER a. s.</v>
      </c>
      <c r="C391" s="3" t="str">
        <f ca="1">IFERROR(__xludf.DUMMYFUNCTION("""COMPUTED_VALUE"""),"CNC ženy pack")</f>
        <v>CNC ženy pack</v>
      </c>
      <c r="D391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1" s="3" t="str">
        <f ca="1">IFERROR(__xludf.DUMMYFUNCTION("""COMPUTED_VALUE"""),"celý web")</f>
        <v>celý web</v>
      </c>
      <c r="F391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1" s="3" t="str">
        <f ca="1">IFERROR(__xludf.DUMMYFUNCTION("""COMPUTED_VALUE"""),"mobilní interscroller mid season")</f>
        <v>mobilní interscroller mid season</v>
      </c>
      <c r="H391" s="3">
        <f ca="1">IFERROR(__xludf.DUMMYFUNCTION("""COMPUTED_VALUE"""),7)</f>
        <v>7</v>
      </c>
      <c r="I391" s="5">
        <f ca="1">IFERROR(__xludf.DUMMYFUNCTION("""COMPUTED_VALUE"""),1000)</f>
        <v>1000</v>
      </c>
      <c r="J391" s="5">
        <f ca="1">IFERROR(__xludf.DUMMYFUNCTION("""COMPUTED_VALUE"""),280)</f>
        <v>280</v>
      </c>
      <c r="K391" s="3"/>
      <c r="L391" s="3" t="str">
        <f ca="1">IFERROR(__xludf.DUMMYFUNCTION("""COMPUTED_VALUE"""),"Cost per period")</f>
        <v>Cost per period</v>
      </c>
      <c r="M391" s="3"/>
      <c r="N391" s="3"/>
      <c r="O391" s="3" t="str">
        <f ca="1">IFERROR(__xludf.DUMMYFUNCTION("""COMPUTED_VALUE"""),"600")</f>
        <v>600</v>
      </c>
      <c r="P391" s="3" t="str">
        <f ca="1">IFERROR(__xludf.DUMMYFUNCTION("""COMPUTED_VALUE"""),"1080")</f>
        <v>1080</v>
      </c>
      <c r="Q391" s="3" t="str">
        <f ca="1">IFERROR(__xludf.DUMMYFUNCTION("""COMPUTED_VALUE"""),"600x1080")</f>
        <v>600x1080</v>
      </c>
      <c r="R391" s="3"/>
      <c r="S391" s="3" t="str">
        <f ca="1">IFERROR(__xludf.DUMMYFUNCTION("""COMPUTED_VALUE"""),"200")</f>
        <v>200</v>
      </c>
      <c r="T391" s="3"/>
      <c r="U391" s="3" t="str">
        <f ca="1">IFERROR(__xludf.DUMMYFUNCTION("""COMPUTED_VALUE"""),"banner standard")</f>
        <v>banner standard</v>
      </c>
      <c r="V391" s="3"/>
      <c r="W391" s="4" t="str">
        <f ca="1">IFERROR(__xludf.DUMMYFUNCTION("""COMPUTED_VALUE"""),"https://reklama.cncenter.cz/Online/mobilni-interscroller")</f>
        <v>https://reklama.cncenter.cz/Online/mobilni-interscroller</v>
      </c>
      <c r="X391" s="3"/>
      <c r="Y391" s="3"/>
      <c r="Z391" s="3" t="str">
        <f ca="1">IFERROR(__xludf.DUMMYFUNCTION("""COMPUTED_VALUE"""),"podklady@cncenter.cz")</f>
        <v>podklady@cncenter.cz</v>
      </c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 t="str">
        <f ca="1">IFERROR(__xludf.DUMMYFUNCTION("""COMPUTED_VALUE"""),"mobile")</f>
        <v>mobile</v>
      </c>
      <c r="AO391" s="3"/>
      <c r="AP391" s="3"/>
      <c r="AQ391" s="3"/>
      <c r="AR391" s="3"/>
      <c r="AS391" s="3"/>
      <c r="AT391" s="3"/>
      <c r="AU391" s="3" t="str">
        <f ca="1">IFERROR(__xludf.DUMMYFUNCTION("""COMPUTED_VALUE"""),"mobilní interscroller")</f>
        <v>mobilní interscroller</v>
      </c>
    </row>
    <row r="392" spans="1:47" x14ac:dyDescent="0.3">
      <c r="A392" s="3">
        <f ca="1"/>
        <v>2346826</v>
      </c>
      <c r="B392" s="3" t="str">
        <f ca="1"/>
        <v>CZECH NEWS CENTER a. s.</v>
      </c>
      <c r="C392" s="3" t="str">
        <f ca="1">IFERROR(__xludf.DUMMYFUNCTION("""COMPUTED_VALUE"""),"CNC ženy pack")</f>
        <v>CNC ženy pack</v>
      </c>
      <c r="D392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2" s="3" t="str">
        <f ca="1">IFERROR(__xludf.DUMMYFUNCTION("""COMPUTED_VALUE"""),"celý web")</f>
        <v>celý web</v>
      </c>
      <c r="F392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2" s="3" t="str">
        <f ca="1">IFERROR(__xludf.DUMMYFUNCTION("""COMPUTED_VALUE"""),"mobilní slide-up mid season")</f>
        <v>mobilní slide-up mid season</v>
      </c>
      <c r="H392" s="3">
        <f ca="1">IFERROR(__xludf.DUMMYFUNCTION("""COMPUTED_VALUE"""),7)</f>
        <v>7</v>
      </c>
      <c r="I392" s="5">
        <f ca="1">IFERROR(__xludf.DUMMYFUNCTION("""COMPUTED_VALUE"""),1000)</f>
        <v>1000</v>
      </c>
      <c r="J392" s="5">
        <f ca="1">IFERROR(__xludf.DUMMYFUNCTION("""COMPUTED_VALUE"""),560)</f>
        <v>560</v>
      </c>
      <c r="K392" s="3"/>
      <c r="L392" s="3" t="str">
        <f ca="1">IFERROR(__xludf.DUMMYFUNCTION("""COMPUTED_VALUE"""),"Cost per period")</f>
        <v>Cost per period</v>
      </c>
      <c r="M392" s="3"/>
      <c r="N392" s="3"/>
      <c r="O392" s="3" t="str">
        <f ca="1">IFERROR(__xludf.DUMMYFUNCTION("""COMPUTED_VALUE"""),"300")</f>
        <v>300</v>
      </c>
      <c r="P392" s="3" t="str">
        <f ca="1">IFERROR(__xludf.DUMMYFUNCTION("""COMPUTED_VALUE"""),"120")</f>
        <v>120</v>
      </c>
      <c r="Q392" s="3" t="str">
        <f ca="1">IFERROR(__xludf.DUMMYFUNCTION("""COMPUTED_VALUE"""),"300x120")</f>
        <v>300x120</v>
      </c>
      <c r="R392" s="3"/>
      <c r="S392" s="3" t="str">
        <f ca="1">IFERROR(__xludf.DUMMYFUNCTION("""COMPUTED_VALUE"""),"100")</f>
        <v>100</v>
      </c>
      <c r="T392" s="3"/>
      <c r="U392" s="3" t="str">
        <f ca="1">IFERROR(__xludf.DUMMYFUNCTION("""COMPUTED_VALUE"""),"banner standard")</f>
        <v>banner standard</v>
      </c>
      <c r="V392" s="3"/>
      <c r="W392" s="4" t="str">
        <f ca="1">IFERROR(__xludf.DUMMYFUNCTION("""COMPUTED_VALUE"""),"https://reklama.cncenter.cz/Online/mobilni-slide-up")</f>
        <v>https://reklama.cncenter.cz/Online/mobilni-slide-up</v>
      </c>
      <c r="X392" s="3"/>
      <c r="Y392" s="3"/>
      <c r="Z392" s="3" t="str">
        <f ca="1">IFERROR(__xludf.DUMMYFUNCTION("""COMPUTED_VALUE"""),"podklady@cncenter.cz")</f>
        <v>podklady@cncenter.cz</v>
      </c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 t="str">
        <f ca="1">IFERROR(__xludf.DUMMYFUNCTION("""COMPUTED_VALUE"""),"mobile")</f>
        <v>mobile</v>
      </c>
      <c r="AO392" s="3"/>
      <c r="AP392" s="3"/>
      <c r="AQ392" s="3"/>
      <c r="AR392" s="3"/>
      <c r="AS392" s="3"/>
      <c r="AT392" s="3"/>
      <c r="AU392" s="3" t="str">
        <f ca="1">IFERROR(__xludf.DUMMYFUNCTION("""COMPUTED_VALUE"""),"mobilní slide-up")</f>
        <v>mobilní slide-up</v>
      </c>
    </row>
    <row r="393" spans="1:47" x14ac:dyDescent="0.3">
      <c r="A393" s="3">
        <f ca="1"/>
        <v>2346826</v>
      </c>
      <c r="B393" s="3" t="str">
        <f ca="1"/>
        <v>CZECH NEWS CENTER a. s.</v>
      </c>
      <c r="C393" s="3" t="str">
        <f ca="1">IFERROR(__xludf.DUMMYFUNCTION("""COMPUTED_VALUE"""),"CNC ženy pack")</f>
        <v>CNC ženy pack</v>
      </c>
      <c r="D393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3" s="3" t="str">
        <f ca="1">IFERROR(__xludf.DUMMYFUNCTION("""COMPUTED_VALUE"""),"celý web")</f>
        <v>celý web</v>
      </c>
      <c r="F393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3" s="3" t="str">
        <f ca="1">IFERROR(__xludf.DUMMYFUNCTION("""COMPUTED_VALUE"""),"mobilní viněta mid season")</f>
        <v>mobilní viněta mid season</v>
      </c>
      <c r="H393" s="3">
        <f ca="1">IFERROR(__xludf.DUMMYFUNCTION("""COMPUTED_VALUE"""),7)</f>
        <v>7</v>
      </c>
      <c r="I393" s="5">
        <f ca="1">IFERROR(__xludf.DUMMYFUNCTION("""COMPUTED_VALUE"""),1000)</f>
        <v>1000</v>
      </c>
      <c r="J393" s="5">
        <f ca="1">IFERROR(__xludf.DUMMYFUNCTION("""COMPUTED_VALUE"""),790)</f>
        <v>790</v>
      </c>
      <c r="K393" s="3"/>
      <c r="L393" s="3" t="str">
        <f ca="1">IFERROR(__xludf.DUMMYFUNCTION("""COMPUTED_VALUE"""),"Cost per period")</f>
        <v>Cost per period</v>
      </c>
      <c r="M393" s="3"/>
      <c r="N393" s="3"/>
      <c r="O393" s="3" t="str">
        <f ca="1">IFERROR(__xludf.DUMMYFUNCTION("""COMPUTED_VALUE"""),"600")</f>
        <v>600</v>
      </c>
      <c r="P393" s="3" t="str">
        <f ca="1">IFERROR(__xludf.DUMMYFUNCTION("""COMPUTED_VALUE"""),"800")</f>
        <v>800</v>
      </c>
      <c r="Q393" s="3" t="str">
        <f ca="1">IFERROR(__xludf.DUMMYFUNCTION("""COMPUTED_VALUE"""),"300x250 nebo 600x800")</f>
        <v>300x250 nebo 600x800</v>
      </c>
      <c r="R393" s="3"/>
      <c r="S393" s="3" t="str">
        <f ca="1">IFERROR(__xludf.DUMMYFUNCTION("""COMPUTED_VALUE"""),"100")</f>
        <v>100</v>
      </c>
      <c r="T393" s="3"/>
      <c r="U393" s="3" t="str">
        <f ca="1">IFERROR(__xludf.DUMMYFUNCTION("""COMPUTED_VALUE"""),"banner standard")</f>
        <v>banner standard</v>
      </c>
      <c r="V393" s="3"/>
      <c r="W393" s="4" t="str">
        <f ca="1">IFERROR(__xludf.DUMMYFUNCTION("""COMPUTED_VALUE"""),"https://reklama.cncenter.cz/Online/mobilni-vineta")</f>
        <v>https://reklama.cncenter.cz/Online/mobilni-vineta</v>
      </c>
      <c r="X393" s="3"/>
      <c r="Y393" s="3"/>
      <c r="Z393" s="3" t="str">
        <f ca="1">IFERROR(__xludf.DUMMYFUNCTION("""COMPUTED_VALUE"""),"podklady@cncenter.cz")</f>
        <v>podklady@cncenter.cz</v>
      </c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 t="str">
        <f ca="1">IFERROR(__xludf.DUMMYFUNCTION("""COMPUTED_VALUE"""),"mobile")</f>
        <v>mobile</v>
      </c>
      <c r="AO393" s="3"/>
      <c r="AP393" s="3"/>
      <c r="AQ393" s="3"/>
      <c r="AR393" s="3"/>
      <c r="AS393" s="3"/>
      <c r="AT393" s="3"/>
      <c r="AU393" s="3" t="str">
        <f ca="1">IFERROR(__xludf.DUMMYFUNCTION("""COMPUTED_VALUE"""),"mobilní viněta")</f>
        <v>mobilní viněta</v>
      </c>
    </row>
    <row r="394" spans="1:47" x14ac:dyDescent="0.3">
      <c r="A394" s="3">
        <f ca="1"/>
        <v>2346826</v>
      </c>
      <c r="B394" s="3" t="str">
        <f ca="1"/>
        <v>CZECH NEWS CENTER a. s.</v>
      </c>
      <c r="C394" s="3" t="str">
        <f ca="1">IFERROR(__xludf.DUMMYFUNCTION("""COMPUTED_VALUE"""),"CNC ženy pack")</f>
        <v>CNC ženy pack</v>
      </c>
      <c r="D394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4" s="3" t="str">
        <f ca="1">IFERROR(__xludf.DUMMYFUNCTION("""COMPUTED_VALUE"""),"celý web")</f>
        <v>celý web</v>
      </c>
      <c r="F394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4" s="3" t="str">
        <f ca="1">IFERROR(__xludf.DUMMYFUNCTION("""COMPUTED_VALUE"""),"nativní rectangle cross-device mid season")</f>
        <v>nativní rectangle cross-device mid season</v>
      </c>
      <c r="H394" s="3">
        <f ca="1">IFERROR(__xludf.DUMMYFUNCTION("""COMPUTED_VALUE"""),7)</f>
        <v>7</v>
      </c>
      <c r="I394" s="5">
        <f ca="1">IFERROR(__xludf.DUMMYFUNCTION("""COMPUTED_VALUE"""),1000)</f>
        <v>1000</v>
      </c>
      <c r="J394" s="5">
        <f ca="1">IFERROR(__xludf.DUMMYFUNCTION("""COMPUTED_VALUE"""),210)</f>
        <v>210</v>
      </c>
      <c r="K394" s="3"/>
      <c r="L394" s="3" t="str">
        <f ca="1">IFERROR(__xludf.DUMMYFUNCTION("""COMPUTED_VALUE"""),"Cost per period")</f>
        <v>Cost per period</v>
      </c>
      <c r="M394" s="3"/>
      <c r="N394" s="3"/>
      <c r="O394" s="3" t="str">
        <f ca="1">IFERROR(__xludf.DUMMYFUNCTION("""COMPUTED_VALUE"""),"640")</f>
        <v>640</v>
      </c>
      <c r="P394" s="3" t="str">
        <f ca="1">IFERROR(__xludf.DUMMYFUNCTION("""COMPUTED_VALUE"""),"335, 640")</f>
        <v>335, 640</v>
      </c>
      <c r="Q394" s="3" t="str">
        <f ca="1">IFERROR(__xludf.DUMMYFUNCTION("""COMPUTED_VALUE"""),"640x640 a 640x335 + text + logo")</f>
        <v>640x640 a 640x335 + text + logo</v>
      </c>
      <c r="R394" s="3"/>
      <c r="S394" s="3" t="str">
        <f ca="1">IFERROR(__xludf.DUMMYFUNCTION("""COMPUTED_VALUE"""),"45")</f>
        <v>45</v>
      </c>
      <c r="T394" s="3"/>
      <c r="U394" s="3" t="str">
        <f ca="1">IFERROR(__xludf.DUMMYFUNCTION("""COMPUTED_VALUE"""),"nativní reklama")</f>
        <v>nativní reklama</v>
      </c>
      <c r="V394" s="3"/>
      <c r="W394" s="4" t="str">
        <f ca="1">IFERROR(__xludf.DUMMYFUNCTION("""COMPUTED_VALUE"""),"https://reklama.cncenter.cz/Online/nativni-rectangle-cross-device")</f>
        <v>https://reklama.cncenter.cz/Online/nativni-rectangle-cross-device</v>
      </c>
      <c r="X394" s="3"/>
      <c r="Y394" s="3"/>
      <c r="Z394" s="3" t="str">
        <f ca="1">IFERROR(__xludf.DUMMYFUNCTION("""COMPUTED_VALUE"""),"podklady@cncenter.cz")</f>
        <v>podklady@cncenter.cz</v>
      </c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 t="str">
        <f ca="1">IFERROR(__xludf.DUMMYFUNCTION("""COMPUTED_VALUE"""),"cross-device")</f>
        <v>cross-device</v>
      </c>
      <c r="AO394" s="3"/>
      <c r="AP394" s="3"/>
      <c r="AQ394" s="3"/>
      <c r="AR394" s="3"/>
      <c r="AS394" s="3"/>
      <c r="AT394" s="3"/>
      <c r="AU394" s="3" t="str">
        <f ca="1">IFERROR(__xludf.DUMMYFUNCTION("""COMPUTED_VALUE"""),"nativní rectangle cross-device")</f>
        <v>nativní rectangle cross-device</v>
      </c>
    </row>
    <row r="395" spans="1:47" x14ac:dyDescent="0.3">
      <c r="A395" s="3">
        <f ca="1"/>
        <v>2346826</v>
      </c>
      <c r="B395" s="3" t="str">
        <f ca="1"/>
        <v>CZECH NEWS CENTER a. s.</v>
      </c>
      <c r="C395" s="3" t="str">
        <f ca="1">IFERROR(__xludf.DUMMYFUNCTION("""COMPUTED_VALUE"""),"CNC ženy pack")</f>
        <v>CNC ženy pack</v>
      </c>
      <c r="D395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5" s="3" t="str">
        <f ca="1">IFERROR(__xludf.DUMMYFUNCTION("""COMPUTED_VALUE"""),"celý web")</f>
        <v>celý web</v>
      </c>
      <c r="F395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5" s="3" t="str">
        <f ca="1">IFERROR(__xludf.DUMMYFUNCTION("""COMPUTED_VALUE"""),"outstream mid season")</f>
        <v>outstream mid season</v>
      </c>
      <c r="H395" s="3">
        <f ca="1">IFERROR(__xludf.DUMMYFUNCTION("""COMPUTED_VALUE"""),7)</f>
        <v>7</v>
      </c>
      <c r="I395" s="5">
        <f ca="1">IFERROR(__xludf.DUMMYFUNCTION("""COMPUTED_VALUE"""),1000)</f>
        <v>1000</v>
      </c>
      <c r="J395" s="5">
        <f ca="1">IFERROR(__xludf.DUMMYFUNCTION("""COMPUTED_VALUE"""),330)</f>
        <v>330</v>
      </c>
      <c r="K395" s="3"/>
      <c r="L395" s="3" t="str">
        <f ca="1">IFERROR(__xludf.DUMMYFUNCTION("""COMPUTED_VALUE"""),"Cost per period")</f>
        <v>Cost per period</v>
      </c>
      <c r="M395" s="3"/>
      <c r="N395" s="3"/>
      <c r="O395" s="3" t="str">
        <f ca="1">IFERROR(__xludf.DUMMYFUNCTION("""COMPUTED_VALUE"""),"1280")</f>
        <v>1280</v>
      </c>
      <c r="P395" s="3" t="str">
        <f ca="1">IFERROR(__xludf.DUMMYFUNCTION("""COMPUTED_VALUE"""),"720")</f>
        <v>720</v>
      </c>
      <c r="Q395" s="3" t="str">
        <f ca="1">IFERROR(__xludf.DUMMYFUNCTION("""COMPUTED_VALUE"""),"16:9")</f>
        <v>16:9</v>
      </c>
      <c r="R395" s="3"/>
      <c r="S395" s="3" t="str">
        <f ca="1">IFERROR(__xludf.DUMMYFUNCTION("""COMPUTED_VALUE"""),"100")</f>
        <v>100</v>
      </c>
      <c r="T395" s="3"/>
      <c r="U395" s="3" t="str">
        <f ca="1">IFERROR(__xludf.DUMMYFUNCTION("""COMPUTED_VALUE"""),"videospot")</f>
        <v>videospot</v>
      </c>
      <c r="V395" s="3"/>
      <c r="W395" s="4" t="str">
        <f ca="1">IFERROR(__xludf.DUMMYFUNCTION("""COMPUTED_VALUE"""),"https://reklama.cncenter.cz/Online/Outstream")</f>
        <v>https://reklama.cncenter.cz/Online/Outstream</v>
      </c>
      <c r="X395" s="3"/>
      <c r="Y395" s="3"/>
      <c r="Z395" s="3" t="str">
        <f ca="1">IFERROR(__xludf.DUMMYFUNCTION("""COMPUTED_VALUE"""),"podklady@cncenter.cz")</f>
        <v>podklady@cncenter.cz</v>
      </c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 t="str">
        <f ca="1">IFERROR(__xludf.DUMMYFUNCTION("""COMPUTED_VALUE"""),"cross-device")</f>
        <v>cross-device</v>
      </c>
      <c r="AO395" s="3"/>
      <c r="AP395" s="3"/>
      <c r="AQ395" s="3"/>
      <c r="AR395" s="3"/>
      <c r="AS395" s="3"/>
      <c r="AT395" s="3"/>
      <c r="AU395" s="3" t="str">
        <f ca="1">IFERROR(__xludf.DUMMYFUNCTION("""COMPUTED_VALUE"""),"outstream")</f>
        <v>outstream</v>
      </c>
    </row>
    <row r="396" spans="1:47" x14ac:dyDescent="0.3">
      <c r="A396" s="3">
        <f ca="1"/>
        <v>2346826</v>
      </c>
      <c r="B396" s="3" t="str">
        <f ca="1"/>
        <v>CZECH NEWS CENTER a. s.</v>
      </c>
      <c r="C396" s="3" t="str">
        <f ca="1">IFERROR(__xludf.DUMMYFUNCTION("""COMPUTED_VALUE"""),"CNC ženy pack")</f>
        <v>CNC ženy pack</v>
      </c>
      <c r="D396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6" s="3" t="str">
        <f ca="1">IFERROR(__xludf.DUMMYFUNCTION("""COMPUTED_VALUE"""),"celý web")</f>
        <v>celý web</v>
      </c>
      <c r="F396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6" s="3" t="str">
        <f ca="1">IFERROR(__xludf.DUMMYFUNCTION("""COMPUTED_VALUE"""),"Smarticle mid season")</f>
        <v>Smarticle mid season</v>
      </c>
      <c r="H396" s="3">
        <f ca="1">IFERROR(__xludf.DUMMYFUNCTION("""COMPUTED_VALUE"""),7)</f>
        <v>7</v>
      </c>
      <c r="I396" s="5">
        <f ca="1">IFERROR(__xludf.DUMMYFUNCTION("""COMPUTED_VALUE"""),1000)</f>
        <v>1000</v>
      </c>
      <c r="J396" s="5">
        <f ca="1">IFERROR(__xludf.DUMMYFUNCTION("""COMPUTED_VALUE"""),200)</f>
        <v>200</v>
      </c>
      <c r="K396" s="3"/>
      <c r="L396" s="3" t="str">
        <f ca="1">IFERROR(__xludf.DUMMYFUNCTION("""COMPUTED_VALUE"""),"Cost per period")</f>
        <v>Cost per period</v>
      </c>
      <c r="M396" s="3"/>
      <c r="N396" s="3" t="str">
        <f ca="1">IFERROR(__xludf.DUMMYFUNCTION("""COMPUTED_VALUE"""),"A4")</f>
        <v>A4</v>
      </c>
      <c r="O396" s="3"/>
      <c r="P396" s="3"/>
      <c r="Q396" s="3" t="str">
        <f ca="1">IFERROR(__xludf.DUMMYFUNCTION("""COMPUTED_VALUE"""),"viz. tech.specifikace; HP + sekce")</f>
        <v>viz. tech.specifikace; HP + sekce</v>
      </c>
      <c r="R396" s="3" t="str">
        <f ca="1">IFERROR(__xludf.DUMMYFUNCTION("""COMPUTED_VALUE"""),"HP + sekce")</f>
        <v>HP + sekce</v>
      </c>
      <c r="S396" s="3" t="str">
        <f ca="1">IFERROR(__xludf.DUMMYFUNCTION("""COMPUTED_VALUE"""),"100")</f>
        <v>100</v>
      </c>
      <c r="T396" s="3"/>
      <c r="U396" s="3" t="str">
        <f ca="1">IFERROR(__xludf.DUMMYFUNCTION("""COMPUTED_VALUE"""),"pr článek")</f>
        <v>pr článek</v>
      </c>
      <c r="V396" s="3"/>
      <c r="W396" s="4" t="str">
        <f ca="1">IFERROR(__xludf.DUMMYFUNCTION("""COMPUTED_VALUE"""),"https://reklama.cncenter.cz/Online/Smarticle")</f>
        <v>https://reklama.cncenter.cz/Online/Smarticle</v>
      </c>
      <c r="X396" s="3"/>
      <c r="Y396" s="3"/>
      <c r="Z396" s="3" t="str">
        <f ca="1">IFERROR(__xludf.DUMMYFUNCTION("""COMPUTED_VALUE"""),"podklady@cncenter.cz")</f>
        <v>podklady@cncenter.cz</v>
      </c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 t="str">
        <f ca="1">IFERROR(__xludf.DUMMYFUNCTION("""COMPUTED_VALUE"""),"cross-device")</f>
        <v>cross-device</v>
      </c>
      <c r="AO396" s="3"/>
      <c r="AP396" s="3"/>
      <c r="AQ396" s="3"/>
      <c r="AR396" s="3"/>
      <c r="AS396" s="3"/>
      <c r="AT396" s="3"/>
      <c r="AU396" s="3" t="str">
        <f ca="1">IFERROR(__xludf.DUMMYFUNCTION("""COMPUTED_VALUE"""),"Smarticle")</f>
        <v>Smarticle</v>
      </c>
    </row>
    <row r="397" spans="1:47" x14ac:dyDescent="0.3">
      <c r="A397" s="3">
        <f ca="1"/>
        <v>2346826</v>
      </c>
      <c r="B397" s="3" t="str">
        <f ca="1"/>
        <v>CZECH NEWS CENTER a. s.</v>
      </c>
      <c r="C397" s="3" t="str">
        <f ca="1">IFERROR(__xludf.DUMMYFUNCTION("""COMPUTED_VALUE"""),"CNC ženy pack")</f>
        <v>CNC ženy pack</v>
      </c>
      <c r="D397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7" s="3" t="str">
        <f ca="1">IFERROR(__xludf.DUMMYFUNCTION("""COMPUTED_VALUE"""),"celý web")</f>
        <v>celý web</v>
      </c>
      <c r="F397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7" s="3" t="str">
        <f ca="1">IFERROR(__xludf.DUMMYFUNCTION("""COMPUTED_VALUE"""),"videospot - max. 30 sec. / bumper mid season")</f>
        <v>videospot - max. 30 sec. / bumper mid season</v>
      </c>
      <c r="H397" s="3">
        <f ca="1">IFERROR(__xludf.DUMMYFUNCTION("""COMPUTED_VALUE"""),7)</f>
        <v>7</v>
      </c>
      <c r="I397" s="5">
        <f ca="1">IFERROR(__xludf.DUMMYFUNCTION("""COMPUTED_VALUE"""),1000)</f>
        <v>1000</v>
      </c>
      <c r="J397" s="5">
        <f ca="1">IFERROR(__xludf.DUMMYFUNCTION("""COMPUTED_VALUE"""),960)</f>
        <v>960</v>
      </c>
      <c r="K397" s="3"/>
      <c r="L397" s="3" t="str">
        <f ca="1">IFERROR(__xludf.DUMMYFUNCTION("""COMPUTED_VALUE"""),"Cost per period")</f>
        <v>Cost per period</v>
      </c>
      <c r="M397" s="3"/>
      <c r="N397" s="3"/>
      <c r="O397" s="3" t="str">
        <f ca="1">IFERROR(__xludf.DUMMYFUNCTION("""COMPUTED_VALUE"""),"1280")</f>
        <v>1280</v>
      </c>
      <c r="P397" s="3" t="str">
        <f ca="1">IFERROR(__xludf.DUMMYFUNCTION("""COMPUTED_VALUE"""),"720")</f>
        <v>720</v>
      </c>
      <c r="Q397" s="3" t="str">
        <f ca="1">IFERROR(__xludf.DUMMYFUNCTION("""COMPUTED_VALUE"""),"16:9 / umístění po domluvě dle možností")</f>
        <v>16:9 / umístění po domluvě dle možností</v>
      </c>
      <c r="R397" s="3" t="str">
        <f ca="1">IFERROR(__xludf.DUMMYFUNCTION("""COMPUTED_VALUE"""),"přeskočení po 7 sekundách")</f>
        <v>přeskočení po 7 sekundách</v>
      </c>
      <c r="S397" s="3" t="str">
        <f ca="1">IFERROR(__xludf.DUMMYFUNCTION("""COMPUTED_VALUE"""),"100")</f>
        <v>100</v>
      </c>
      <c r="T397" s="3"/>
      <c r="U397" s="3" t="str">
        <f ca="1">IFERROR(__xludf.DUMMYFUNCTION("""COMPUTED_VALUE"""),"videospot")</f>
        <v>videospot</v>
      </c>
      <c r="V397" s="3"/>
      <c r="W397" s="4" t="str">
        <f ca="1">IFERROR(__xludf.DUMMYFUNCTION("""COMPUTED_VALUE"""),"https://reklama.cncenter.cz/Online/Bumper")</f>
        <v>https://reklama.cncenter.cz/Online/Bumper</v>
      </c>
      <c r="X397" s="3"/>
      <c r="Y397" s="3"/>
      <c r="Z397" s="3" t="str">
        <f ca="1">IFERROR(__xludf.DUMMYFUNCTION("""COMPUTED_VALUE"""),"podklady@cncenter.cz")</f>
        <v>podklady@cncenter.cz</v>
      </c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 t="str">
        <f ca="1">IFERROR(__xludf.DUMMYFUNCTION("""COMPUTED_VALUE"""),"cross-device")</f>
        <v>cross-device</v>
      </c>
      <c r="AO397" s="3"/>
      <c r="AP397" s="3"/>
      <c r="AQ397" s="3"/>
      <c r="AR397" s="3"/>
      <c r="AS397" s="3"/>
      <c r="AT397" s="3"/>
      <c r="AU397" s="3" t="str">
        <f ca="1">IFERROR(__xludf.DUMMYFUNCTION("""COMPUTED_VALUE"""),"videospot - max. 30 sec. / bumper")</f>
        <v>videospot - max. 30 sec. / bumper</v>
      </c>
    </row>
    <row r="398" spans="1:47" x14ac:dyDescent="0.3">
      <c r="A398" s="3">
        <f ca="1"/>
        <v>2346826</v>
      </c>
      <c r="B398" s="3" t="str">
        <f ca="1"/>
        <v>CZECH NEWS CENTER a. s.</v>
      </c>
      <c r="C398" s="3" t="str">
        <f ca="1">IFERROR(__xludf.DUMMYFUNCTION("""COMPUTED_VALUE"""),"DIGIarena")</f>
        <v>DIGIarena</v>
      </c>
      <c r="D398" s="4" t="str">
        <f ca="1">IFERROR(__xludf.DUMMYFUNCTION("""COMPUTED_VALUE"""),"https://digiarena.zive.cz")</f>
        <v>https://digiarena.zive.cz</v>
      </c>
      <c r="E398" s="3" t="str">
        <f ca="1">IFERROR(__xludf.DUMMYFUNCTION("""COMPUTED_VALUE"""),"celý web")</f>
        <v>celý web</v>
      </c>
      <c r="F398" s="4" t="str">
        <f ca="1">IFERROR(__xludf.DUMMYFUNCTION("""COMPUTED_VALUE"""),"https://digiarena.zive.cz")</f>
        <v>https://digiarena.zive.cz</v>
      </c>
      <c r="G398" s="3" t="str">
        <f ca="1">IFERROR(__xludf.DUMMYFUNCTION("""COMPUTED_VALUE"""),"Advertorial mid season")</f>
        <v>Advertorial mid season</v>
      </c>
      <c r="H398" s="3">
        <f ca="1">IFERROR(__xludf.DUMMYFUNCTION("""COMPUTED_VALUE"""),1)</f>
        <v>1</v>
      </c>
      <c r="I398" s="5">
        <f ca="1">IFERROR(__xludf.DUMMYFUNCTION("""COMPUTED_VALUE"""),1)</f>
        <v>1</v>
      </c>
      <c r="J398" s="5">
        <f ca="1">IFERROR(__xludf.DUMMYFUNCTION("""COMPUTED_VALUE"""),90000)</f>
        <v>90000</v>
      </c>
      <c r="K398" s="3"/>
      <c r="L398" s="3" t="str">
        <f ca="1">IFERROR(__xludf.DUMMYFUNCTION("""COMPUTED_VALUE"""),"Cost per instance")</f>
        <v>Cost per instance</v>
      </c>
      <c r="M398" s="3"/>
      <c r="N398" s="3"/>
      <c r="O398" s="3"/>
      <c r="P398" s="3"/>
      <c r="Q398" s="3"/>
      <c r="R398" s="3"/>
      <c r="S398" s="3" t="str">
        <f ca="1">IFERROR(__xludf.DUMMYFUNCTION("""COMPUTED_VALUE"""),"100")</f>
        <v>100</v>
      </c>
      <c r="T398" s="3"/>
      <c r="U398" s="3" t="str">
        <f ca="1">IFERROR(__xludf.DUMMYFUNCTION("""COMPUTED_VALUE"""),"pr článek")</f>
        <v>pr článek</v>
      </c>
      <c r="V398" s="3"/>
      <c r="W398" s="3"/>
      <c r="X398" s="3"/>
      <c r="Y398" s="3"/>
      <c r="Z398" s="3" t="str">
        <f ca="1">IFERROR(__xludf.DUMMYFUNCTION("""COMPUTED_VALUE"""),"podklady@cncenter.cz")</f>
        <v>podklady@cncenter.cz</v>
      </c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 t="str">
        <f ca="1">IFERROR(__xludf.DUMMYFUNCTION("""COMPUTED_VALUE"""),"cross-device")</f>
        <v>cross-device</v>
      </c>
      <c r="AO398" s="3"/>
      <c r="AP398" s="3"/>
      <c r="AQ398" s="3"/>
      <c r="AR398" s="3"/>
      <c r="AS398" s="3"/>
      <c r="AT398" s="3"/>
      <c r="AU398" s="3" t="str">
        <f ca="1">IFERROR(__xludf.DUMMYFUNCTION("""COMPUTED_VALUE"""),"Advertorial")</f>
        <v>Advertorial</v>
      </c>
    </row>
    <row r="399" spans="1:47" x14ac:dyDescent="0.3">
      <c r="A399" s="3">
        <f ca="1"/>
        <v>2346826</v>
      </c>
      <c r="B399" s="3" t="str">
        <f ca="1"/>
        <v>CZECH NEWS CENTER a. s.</v>
      </c>
      <c r="C399" s="3" t="str">
        <f ca="1">IFERROR(__xludf.DUMMYFUNCTION("""COMPUTED_VALUE"""),"Digiarena")</f>
        <v>Digiarena</v>
      </c>
      <c r="D399" s="4" t="str">
        <f ca="1">IFERROR(__xludf.DUMMYFUNCTION("""COMPUTED_VALUE"""),"https://digiarena.zive.cz")</f>
        <v>https://digiarena.zive.cz</v>
      </c>
      <c r="E399" s="3" t="str">
        <f ca="1">IFERROR(__xludf.DUMMYFUNCTION("""COMPUTED_VALUE"""),"celý web")</f>
        <v>celý web</v>
      </c>
      <c r="F399" s="4" t="str">
        <f ca="1">IFERROR(__xludf.DUMMYFUNCTION("""COMPUTED_VALUE"""),"https://digiarena.zive.cz")</f>
        <v>https://digiarena.zive.cz</v>
      </c>
      <c r="G399" s="3" t="str">
        <f ca="1">IFERROR(__xludf.DUMMYFUNCTION("""COMPUTED_VALUE"""),"billboard bottom mid season")</f>
        <v>billboard bottom mid season</v>
      </c>
      <c r="H399" s="3">
        <f ca="1">IFERROR(__xludf.DUMMYFUNCTION("""COMPUTED_VALUE"""),7)</f>
        <v>7</v>
      </c>
      <c r="I399" s="5">
        <f ca="1">IFERROR(__xludf.DUMMYFUNCTION("""COMPUTED_VALUE"""),1000)</f>
        <v>1000</v>
      </c>
      <c r="J399" s="5">
        <f ca="1">IFERROR(__xludf.DUMMYFUNCTION("""COMPUTED_VALUE"""),340)</f>
        <v>340</v>
      </c>
      <c r="K399" s="3"/>
      <c r="L399" s="3" t="str">
        <f ca="1">IFERROR(__xludf.DUMMYFUNCTION("""COMPUTED_VALUE"""),"Cost per period")</f>
        <v>Cost per period</v>
      </c>
      <c r="M399" s="3"/>
      <c r="N399" s="3"/>
      <c r="O399" s="3" t="str">
        <f ca="1">IFERROR(__xludf.DUMMYFUNCTION("""COMPUTED_VALUE"""),"970")</f>
        <v>970</v>
      </c>
      <c r="P399" s="3" t="str">
        <f ca="1">IFERROR(__xludf.DUMMYFUNCTION("""COMPUTED_VALUE"""),"250")</f>
        <v>250</v>
      </c>
      <c r="Q399" s="3" t="str">
        <f ca="1">IFERROR(__xludf.DUMMYFUNCTION("""COMPUTED_VALUE"""),"970x250")</f>
        <v>970x250</v>
      </c>
      <c r="R399" s="3"/>
      <c r="S399" s="3" t="str">
        <f ca="1">IFERROR(__xludf.DUMMYFUNCTION("""COMPUTED_VALUE"""),"100 (200 - HTML5)")</f>
        <v>100 (200 - HTML5)</v>
      </c>
      <c r="T399" s="3"/>
      <c r="U399" s="3" t="str">
        <f ca="1">IFERROR(__xludf.DUMMYFUNCTION("""COMPUTED_VALUE"""),"banner standard")</f>
        <v>banner standard</v>
      </c>
      <c r="V399" s="3"/>
      <c r="W399" s="4" t="str">
        <f ca="1">IFERROR(__xludf.DUMMYFUNCTION("""COMPUTED_VALUE"""),"https://reklama.cncenter.cz/Online/billboard-bottom")</f>
        <v>https://reklama.cncenter.cz/Online/billboard-bottom</v>
      </c>
      <c r="X399" s="3"/>
      <c r="Y399" s="3"/>
      <c r="Z399" s="3" t="str">
        <f ca="1">IFERROR(__xludf.DUMMYFUNCTION("""COMPUTED_VALUE"""),"podklady@cncenter.cz")</f>
        <v>podklady@cncenter.cz</v>
      </c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 t="str">
        <f ca="1">IFERROR(__xludf.DUMMYFUNCTION("""COMPUTED_VALUE"""),"desktop")</f>
        <v>desktop</v>
      </c>
      <c r="AO399" s="3"/>
      <c r="AP399" s="3"/>
      <c r="AQ399" s="3"/>
      <c r="AR399" s="3"/>
      <c r="AS399" s="3"/>
      <c r="AT399" s="3"/>
      <c r="AU399" s="3" t="str">
        <f ca="1">IFERROR(__xludf.DUMMYFUNCTION("""COMPUTED_VALUE"""),"billboard bottom")</f>
        <v>billboard bottom</v>
      </c>
    </row>
    <row r="400" spans="1:47" x14ac:dyDescent="0.3">
      <c r="A400" s="3">
        <f ca="1"/>
        <v>2346826</v>
      </c>
      <c r="B400" s="3" t="str">
        <f ca="1"/>
        <v>CZECH NEWS CENTER a. s.</v>
      </c>
      <c r="C400" s="3" t="str">
        <f ca="1">IFERROR(__xludf.DUMMYFUNCTION("""COMPUTED_VALUE"""),"Digiarena")</f>
        <v>Digiarena</v>
      </c>
      <c r="D400" s="4" t="str">
        <f ca="1">IFERROR(__xludf.DUMMYFUNCTION("""COMPUTED_VALUE"""),"https://digiarena.zive.cz")</f>
        <v>https://digiarena.zive.cz</v>
      </c>
      <c r="E400" s="3" t="str">
        <f ca="1">IFERROR(__xludf.DUMMYFUNCTION("""COMPUTED_VALUE"""),"celý web")</f>
        <v>celý web</v>
      </c>
      <c r="F400" s="4" t="str">
        <f ca="1">IFERROR(__xludf.DUMMYFUNCTION("""COMPUTED_VALUE"""),"https://digiarena.zive.cz")</f>
        <v>https://digiarena.zive.cz</v>
      </c>
      <c r="G400" s="3" t="str">
        <f ca="1">IFERROR(__xludf.DUMMYFUNCTION("""COMPUTED_VALUE"""),"branding cross-device mid season")</f>
        <v>branding cross-device mid season</v>
      </c>
      <c r="H400" s="3">
        <f ca="1">IFERROR(__xludf.DUMMYFUNCTION("""COMPUTED_VALUE"""),7)</f>
        <v>7</v>
      </c>
      <c r="I400" s="5">
        <f ca="1">IFERROR(__xludf.DUMMYFUNCTION("""COMPUTED_VALUE"""),1000)</f>
        <v>1000</v>
      </c>
      <c r="J400" s="5">
        <f ca="1">IFERROR(__xludf.DUMMYFUNCTION("""COMPUTED_VALUE"""),420)</f>
        <v>420</v>
      </c>
      <c r="K400" s="3"/>
      <c r="L400" s="3" t="str">
        <f ca="1">IFERROR(__xludf.DUMMYFUNCTION("""COMPUTED_VALUE"""),"Cost per period")</f>
        <v>Cost per period</v>
      </c>
      <c r="M400" s="3"/>
      <c r="N400" s="3"/>
      <c r="O400" s="3" t="str">
        <f ca="1">IFERROR(__xludf.DUMMYFUNCTION("""COMPUTED_VALUE"""),"2000")</f>
        <v>2000</v>
      </c>
      <c r="P400" s="3" t="str">
        <f ca="1">IFERROR(__xludf.DUMMYFUNCTION("""COMPUTED_VALUE"""),"1400")</f>
        <v>1400</v>
      </c>
      <c r="Q400" s="3" t="str">
        <f ca="1">IFERROR(__xludf.DUMMYFUNCTION("""COMPUTED_VALUE"""),"2000x1400 + 600x1080")</f>
        <v>2000x1400 + 600x1080</v>
      </c>
      <c r="R400" s="3"/>
      <c r="S400" s="3" t="str">
        <f ca="1">IFERROR(__xludf.DUMMYFUNCTION("""COMPUTED_VALUE"""),"500 (600 - HTLM5)")</f>
        <v>500 (600 - HTLM5)</v>
      </c>
      <c r="T400" s="3"/>
      <c r="U400" s="3" t="str">
        <f ca="1">IFERROR(__xludf.DUMMYFUNCTION("""COMPUTED_VALUE"""),"banner standard")</f>
        <v>banner standard</v>
      </c>
      <c r="V400" s="3"/>
      <c r="W400" s="4" t="str">
        <f ca="1">IFERROR(__xludf.DUMMYFUNCTION("""COMPUTED_VALUE"""),"https://reklama.cncenter.cz/Online/branding-cross-device")</f>
        <v>https://reklama.cncenter.cz/Online/branding-cross-device</v>
      </c>
      <c r="X400" s="3"/>
      <c r="Y400" s="3"/>
      <c r="Z400" s="3" t="str">
        <f ca="1">IFERROR(__xludf.DUMMYFUNCTION("""COMPUTED_VALUE"""),"podklady@cncenter.cz")</f>
        <v>podklady@cncenter.cz</v>
      </c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 t="str">
        <f ca="1">IFERROR(__xludf.DUMMYFUNCTION("""COMPUTED_VALUE"""),"cross-device")</f>
        <v>cross-device</v>
      </c>
      <c r="AO400" s="3"/>
      <c r="AP400" s="3"/>
      <c r="AQ400" s="3"/>
      <c r="AR400" s="3"/>
      <c r="AS400" s="3"/>
      <c r="AT400" s="3"/>
      <c r="AU400" s="3" t="str">
        <f ca="1">IFERROR(__xludf.DUMMYFUNCTION("""COMPUTED_VALUE"""),"branding cross-device")</f>
        <v>branding cross-device</v>
      </c>
    </row>
    <row r="401" spans="1:47" x14ac:dyDescent="0.3">
      <c r="A401" s="3">
        <f ca="1"/>
        <v>2346826</v>
      </c>
      <c r="B401" s="3" t="str">
        <f ca="1"/>
        <v>CZECH NEWS CENTER a. s.</v>
      </c>
      <c r="C401" s="3" t="str">
        <f ca="1">IFERROR(__xludf.DUMMYFUNCTION("""COMPUTED_VALUE"""),"Digiarena")</f>
        <v>Digiarena</v>
      </c>
      <c r="D401" s="4" t="str">
        <f ca="1">IFERROR(__xludf.DUMMYFUNCTION("""COMPUTED_VALUE"""),"https://digiarena.zive.cz")</f>
        <v>https://digiarena.zive.cz</v>
      </c>
      <c r="E401" s="3" t="str">
        <f ca="1">IFERROR(__xludf.DUMMYFUNCTION("""COMPUTED_VALUE"""),"celý web")</f>
        <v>celý web</v>
      </c>
      <c r="F401" s="4" t="str">
        <f ca="1">IFERROR(__xludf.DUMMYFUNCTION("""COMPUTED_VALUE"""),"https://digiarena.zive.cz")</f>
        <v>https://digiarena.zive.cz</v>
      </c>
      <c r="G401" s="3" t="str">
        <f ca="1">IFERROR(__xludf.DUMMYFUNCTION("""COMPUTED_VALUE"""),"branding mid season")</f>
        <v>branding mid season</v>
      </c>
      <c r="H401" s="3">
        <f ca="1">IFERROR(__xludf.DUMMYFUNCTION("""COMPUTED_VALUE"""),7)</f>
        <v>7</v>
      </c>
      <c r="I401" s="5">
        <f ca="1">IFERROR(__xludf.DUMMYFUNCTION("""COMPUTED_VALUE"""),1000)</f>
        <v>1000</v>
      </c>
      <c r="J401" s="5">
        <f ca="1">IFERROR(__xludf.DUMMYFUNCTION("""COMPUTED_VALUE"""),690)</f>
        <v>690</v>
      </c>
      <c r="K401" s="3"/>
      <c r="L401" s="3" t="str">
        <f ca="1">IFERROR(__xludf.DUMMYFUNCTION("""COMPUTED_VALUE"""),"Cost per period")</f>
        <v>Cost per period</v>
      </c>
      <c r="M401" s="3"/>
      <c r="N401" s="3"/>
      <c r="O401" s="3" t="str">
        <f ca="1">IFERROR(__xludf.DUMMYFUNCTION("""COMPUTED_VALUE"""),"2000")</f>
        <v>2000</v>
      </c>
      <c r="P401" s="3" t="str">
        <f ca="1">IFERROR(__xludf.DUMMYFUNCTION("""COMPUTED_VALUE"""),"1400")</f>
        <v>1400</v>
      </c>
      <c r="Q401" s="3" t="str">
        <f ca="1">IFERROR(__xludf.DUMMYFUNCTION("""COMPUTED_VALUE"""),"2000x1400")</f>
        <v>2000x1400</v>
      </c>
      <c r="R401" s="3"/>
      <c r="S401" s="3" t="str">
        <f ca="1">IFERROR(__xludf.DUMMYFUNCTION("""COMPUTED_VALUE"""),"500 + 200 (600+200 HTML5)")</f>
        <v>500 + 200 (600+200 HTML5)</v>
      </c>
      <c r="T401" s="3"/>
      <c r="U401" s="3" t="str">
        <f ca="1">IFERROR(__xludf.DUMMYFUNCTION("""COMPUTED_VALUE"""),"banner standard")</f>
        <v>banner standard</v>
      </c>
      <c r="V401" s="3"/>
      <c r="W401" s="4" t="str">
        <f ca="1">IFERROR(__xludf.DUMMYFUNCTION("""COMPUTED_VALUE"""),"https://reklama.cncenter.cz/Online/branding")</f>
        <v>https://reklama.cncenter.cz/Online/branding</v>
      </c>
      <c r="X401" s="3"/>
      <c r="Y401" s="3"/>
      <c r="Z401" s="3" t="str">
        <f ca="1">IFERROR(__xludf.DUMMYFUNCTION("""COMPUTED_VALUE"""),"podklady@cncenter.cz")</f>
        <v>podklady@cncenter.cz</v>
      </c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 t="str">
        <f ca="1">IFERROR(__xludf.DUMMYFUNCTION("""COMPUTED_VALUE"""),"desktop")</f>
        <v>desktop</v>
      </c>
      <c r="AO401" s="3"/>
      <c r="AP401" s="3"/>
      <c r="AQ401" s="3"/>
      <c r="AR401" s="3"/>
      <c r="AS401" s="3"/>
      <c r="AT401" s="3"/>
      <c r="AU401" s="3" t="str">
        <f ca="1">IFERROR(__xludf.DUMMYFUNCTION("""COMPUTED_VALUE"""),"branding")</f>
        <v>branding</v>
      </c>
    </row>
    <row r="402" spans="1:47" x14ac:dyDescent="0.3">
      <c r="A402" s="3">
        <f ca="1"/>
        <v>2346826</v>
      </c>
      <c r="B402" s="3" t="str">
        <f ca="1"/>
        <v>CZECH NEWS CENTER a. s.</v>
      </c>
      <c r="C402" s="3" t="str">
        <f ca="1">IFERROR(__xludf.DUMMYFUNCTION("""COMPUTED_VALUE"""),"Digiarena")</f>
        <v>Digiarena</v>
      </c>
      <c r="D402" s="4" t="str">
        <f ca="1">IFERROR(__xludf.DUMMYFUNCTION("""COMPUTED_VALUE"""),"https://digiarena.zive.cz")</f>
        <v>https://digiarena.zive.cz</v>
      </c>
      <c r="E402" s="3" t="str">
        <f ca="1">IFERROR(__xludf.DUMMYFUNCTION("""COMPUTED_VALUE"""),"celý web")</f>
        <v>celý web</v>
      </c>
      <c r="F402" s="4" t="str">
        <f ca="1">IFERROR(__xludf.DUMMYFUNCTION("""COMPUTED_VALUE"""),"https://digiarena.zive.cz")</f>
        <v>https://digiarena.zive.cz</v>
      </c>
      <c r="G402" s="3" t="str">
        <f ca="1">IFERROR(__xludf.DUMMYFUNCTION("""COMPUTED_VALUE"""),"cílený billboard bottom mid season")</f>
        <v>cílený billboard bottom mid season</v>
      </c>
      <c r="H402" s="3">
        <f ca="1">IFERROR(__xludf.DUMMYFUNCTION("""COMPUTED_VALUE"""),7)</f>
        <v>7</v>
      </c>
      <c r="I402" s="5">
        <f ca="1">IFERROR(__xludf.DUMMYFUNCTION("""COMPUTED_VALUE"""),1000)</f>
        <v>1000</v>
      </c>
      <c r="J402" s="5">
        <f ca="1">IFERROR(__xludf.DUMMYFUNCTION("""COMPUTED_VALUE"""),408)</f>
        <v>408</v>
      </c>
      <c r="K402" s="3"/>
      <c r="L402" s="3" t="str">
        <f ca="1">IFERROR(__xludf.DUMMYFUNCTION("""COMPUTED_VALUE"""),"Cost per period")</f>
        <v>Cost per period</v>
      </c>
      <c r="M402" s="3"/>
      <c r="N402" s="3"/>
      <c r="O402" s="3" t="str">
        <f ca="1">IFERROR(__xludf.DUMMYFUNCTION("""COMPUTED_VALUE"""),"970")</f>
        <v>970</v>
      </c>
      <c r="P402" s="3" t="str">
        <f ca="1">IFERROR(__xludf.DUMMYFUNCTION("""COMPUTED_VALUE"""),"250")</f>
        <v>250</v>
      </c>
      <c r="Q402" s="3" t="str">
        <f ca="1">IFERROR(__xludf.DUMMYFUNCTION("""COMPUTED_VALUE"""),"970x250")</f>
        <v>970x250</v>
      </c>
      <c r="R402" s="3"/>
      <c r="S402" s="3" t="str">
        <f ca="1">IFERROR(__xludf.DUMMYFUNCTION("""COMPUTED_VALUE"""),"100 (200 - HTML5)")</f>
        <v>100 (200 - HTML5)</v>
      </c>
      <c r="T402" s="3"/>
      <c r="U402" s="3" t="str">
        <f ca="1">IFERROR(__xludf.DUMMYFUNCTION("""COMPUTED_VALUE"""),"banner standard")</f>
        <v>banner standard</v>
      </c>
      <c r="V402" s="3"/>
      <c r="W402" s="4" t="str">
        <f ca="1">IFERROR(__xludf.DUMMYFUNCTION("""COMPUTED_VALUE"""),"https://reklama.cncenter.cz/Online/billboard-bottom")</f>
        <v>https://reklama.cncenter.cz/Online/billboard-bottom</v>
      </c>
      <c r="X402" s="3"/>
      <c r="Y402" s="3"/>
      <c r="Z402" s="3" t="str">
        <f ca="1">IFERROR(__xludf.DUMMYFUNCTION("""COMPUTED_VALUE"""),"podklady@cncenter.cz")</f>
        <v>podklady@cncenter.cz</v>
      </c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 t="str">
        <f ca="1">IFERROR(__xludf.DUMMYFUNCTION("""COMPUTED_VALUE"""),"desktop")</f>
        <v>desktop</v>
      </c>
      <c r="AO402" s="3"/>
      <c r="AP402" s="3"/>
      <c r="AQ402" s="3"/>
      <c r="AR402" s="3"/>
      <c r="AS402" s="3"/>
      <c r="AT402" s="3"/>
      <c r="AU402" s="3" t="str">
        <f ca="1">IFERROR(__xludf.DUMMYFUNCTION("""COMPUTED_VALUE"""),"cílený billboard bottom")</f>
        <v>cílený billboard bottom</v>
      </c>
    </row>
    <row r="403" spans="1:47" x14ac:dyDescent="0.3">
      <c r="A403" s="3">
        <f ca="1"/>
        <v>2346826</v>
      </c>
      <c r="B403" s="3" t="str">
        <f ca="1"/>
        <v>CZECH NEWS CENTER a. s.</v>
      </c>
      <c r="C403" s="3" t="str">
        <f ca="1">IFERROR(__xludf.DUMMYFUNCTION("""COMPUTED_VALUE"""),"Digiarena")</f>
        <v>Digiarena</v>
      </c>
      <c r="D403" s="4" t="str">
        <f ca="1">IFERROR(__xludf.DUMMYFUNCTION("""COMPUTED_VALUE"""),"https://digiarena.zive.cz")</f>
        <v>https://digiarena.zive.cz</v>
      </c>
      <c r="E403" s="3" t="str">
        <f ca="1">IFERROR(__xludf.DUMMYFUNCTION("""COMPUTED_VALUE"""),"celý web")</f>
        <v>celý web</v>
      </c>
      <c r="F403" s="4" t="str">
        <f ca="1">IFERROR(__xludf.DUMMYFUNCTION("""COMPUTED_VALUE"""),"https://digiarena.zive.cz")</f>
        <v>https://digiarena.zive.cz</v>
      </c>
      <c r="G403" s="3" t="str">
        <f ca="1">IFERROR(__xludf.DUMMYFUNCTION("""COMPUTED_VALUE"""),"cílený branding cross-device mid season")</f>
        <v>cílený branding cross-device mid season</v>
      </c>
      <c r="H403" s="3">
        <f ca="1">IFERROR(__xludf.DUMMYFUNCTION("""COMPUTED_VALUE"""),7)</f>
        <v>7</v>
      </c>
      <c r="I403" s="5">
        <f ca="1">IFERROR(__xludf.DUMMYFUNCTION("""COMPUTED_VALUE"""),1000)</f>
        <v>1000</v>
      </c>
      <c r="J403" s="5">
        <f ca="1">IFERROR(__xludf.DUMMYFUNCTION("""COMPUTED_VALUE"""),504)</f>
        <v>504</v>
      </c>
      <c r="K403" s="3"/>
      <c r="L403" s="3" t="str">
        <f ca="1">IFERROR(__xludf.DUMMYFUNCTION("""COMPUTED_VALUE"""),"Cost per period")</f>
        <v>Cost per period</v>
      </c>
      <c r="M403" s="3"/>
      <c r="N403" s="3"/>
      <c r="O403" s="3" t="str">
        <f ca="1">IFERROR(__xludf.DUMMYFUNCTION("""COMPUTED_VALUE"""),"2000")</f>
        <v>2000</v>
      </c>
      <c r="P403" s="3" t="str">
        <f ca="1">IFERROR(__xludf.DUMMYFUNCTION("""COMPUTED_VALUE"""),"1400")</f>
        <v>1400</v>
      </c>
      <c r="Q403" s="3" t="str">
        <f ca="1">IFERROR(__xludf.DUMMYFUNCTION("""COMPUTED_VALUE"""),"2000x1400 + 600x1080")</f>
        <v>2000x1400 + 600x1080</v>
      </c>
      <c r="R403" s="3"/>
      <c r="S403" s="3" t="str">
        <f ca="1">IFERROR(__xludf.DUMMYFUNCTION("""COMPUTED_VALUE"""),"500 (600 - HTLM5)")</f>
        <v>500 (600 - HTLM5)</v>
      </c>
      <c r="T403" s="3"/>
      <c r="U403" s="3" t="str">
        <f ca="1">IFERROR(__xludf.DUMMYFUNCTION("""COMPUTED_VALUE"""),"banner standard")</f>
        <v>banner standard</v>
      </c>
      <c r="V403" s="3"/>
      <c r="W403" s="4" t="str">
        <f ca="1">IFERROR(__xludf.DUMMYFUNCTION("""COMPUTED_VALUE"""),"https://reklama.cncenter.cz/Online/branding-cross-device")</f>
        <v>https://reklama.cncenter.cz/Online/branding-cross-device</v>
      </c>
      <c r="X403" s="3"/>
      <c r="Y403" s="3"/>
      <c r="Z403" s="3" t="str">
        <f ca="1">IFERROR(__xludf.DUMMYFUNCTION("""COMPUTED_VALUE"""),"podklady@cncenter.cz")</f>
        <v>podklady@cncenter.cz</v>
      </c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 t="str">
        <f ca="1">IFERROR(__xludf.DUMMYFUNCTION("""COMPUTED_VALUE"""),"cross-device")</f>
        <v>cross-device</v>
      </c>
      <c r="AO403" s="3"/>
      <c r="AP403" s="3"/>
      <c r="AQ403" s="3"/>
      <c r="AR403" s="3"/>
      <c r="AS403" s="3"/>
      <c r="AT403" s="3"/>
      <c r="AU403" s="3" t="str">
        <f ca="1">IFERROR(__xludf.DUMMYFUNCTION("""COMPUTED_VALUE"""),"cílený branding cross-device")</f>
        <v>cílený branding cross-device</v>
      </c>
    </row>
    <row r="404" spans="1:47" x14ac:dyDescent="0.3">
      <c r="A404" s="3">
        <f ca="1"/>
        <v>2346826</v>
      </c>
      <c r="B404" s="3" t="str">
        <f ca="1"/>
        <v>CZECH NEWS CENTER a. s.</v>
      </c>
      <c r="C404" s="3" t="str">
        <f ca="1">IFERROR(__xludf.DUMMYFUNCTION("""COMPUTED_VALUE"""),"Digiarena")</f>
        <v>Digiarena</v>
      </c>
      <c r="D404" s="4" t="str">
        <f ca="1">IFERROR(__xludf.DUMMYFUNCTION("""COMPUTED_VALUE"""),"https://digiarena.zive.cz")</f>
        <v>https://digiarena.zive.cz</v>
      </c>
      <c r="E404" s="3" t="str">
        <f ca="1">IFERROR(__xludf.DUMMYFUNCTION("""COMPUTED_VALUE"""),"celý web")</f>
        <v>celý web</v>
      </c>
      <c r="F404" s="4" t="str">
        <f ca="1">IFERROR(__xludf.DUMMYFUNCTION("""COMPUTED_VALUE"""),"https://digiarena.zive.cz")</f>
        <v>https://digiarena.zive.cz</v>
      </c>
      <c r="G404" s="3" t="str">
        <f ca="1">IFERROR(__xludf.DUMMYFUNCTION("""COMPUTED_VALUE"""),"cílený branding mid season")</f>
        <v>cílený branding mid season</v>
      </c>
      <c r="H404" s="3">
        <f ca="1">IFERROR(__xludf.DUMMYFUNCTION("""COMPUTED_VALUE"""),7)</f>
        <v>7</v>
      </c>
      <c r="I404" s="5">
        <f ca="1">IFERROR(__xludf.DUMMYFUNCTION("""COMPUTED_VALUE"""),1000)</f>
        <v>1000</v>
      </c>
      <c r="J404" s="5">
        <f ca="1">IFERROR(__xludf.DUMMYFUNCTION("""COMPUTED_VALUE"""),828)</f>
        <v>828</v>
      </c>
      <c r="K404" s="3"/>
      <c r="L404" s="3" t="str">
        <f ca="1">IFERROR(__xludf.DUMMYFUNCTION("""COMPUTED_VALUE"""),"Cost per period")</f>
        <v>Cost per period</v>
      </c>
      <c r="M404" s="3"/>
      <c r="N404" s="3"/>
      <c r="O404" s="3" t="str">
        <f ca="1">IFERROR(__xludf.DUMMYFUNCTION("""COMPUTED_VALUE"""),"2000")</f>
        <v>2000</v>
      </c>
      <c r="P404" s="3" t="str">
        <f ca="1">IFERROR(__xludf.DUMMYFUNCTION("""COMPUTED_VALUE"""),"1400")</f>
        <v>1400</v>
      </c>
      <c r="Q404" s="3" t="str">
        <f ca="1">IFERROR(__xludf.DUMMYFUNCTION("""COMPUTED_VALUE"""),"2000x1400")</f>
        <v>2000x1400</v>
      </c>
      <c r="R404" s="3"/>
      <c r="S404" s="3" t="str">
        <f ca="1">IFERROR(__xludf.DUMMYFUNCTION("""COMPUTED_VALUE"""),"500 + 200 (600+200 HTML5)")</f>
        <v>500 + 200 (600+200 HTML5)</v>
      </c>
      <c r="T404" s="3"/>
      <c r="U404" s="3" t="str">
        <f ca="1">IFERROR(__xludf.DUMMYFUNCTION("""COMPUTED_VALUE"""),"banner standard")</f>
        <v>banner standard</v>
      </c>
      <c r="V404" s="3"/>
      <c r="W404" s="4" t="str">
        <f ca="1">IFERROR(__xludf.DUMMYFUNCTION("""COMPUTED_VALUE"""),"https://reklama.cncenter.cz/Online/branding")</f>
        <v>https://reklama.cncenter.cz/Online/branding</v>
      </c>
      <c r="X404" s="3"/>
      <c r="Y404" s="3"/>
      <c r="Z404" s="3" t="str">
        <f ca="1">IFERROR(__xludf.DUMMYFUNCTION("""COMPUTED_VALUE"""),"podklady@cncenter.cz")</f>
        <v>podklady@cncenter.cz</v>
      </c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 t="str">
        <f ca="1">IFERROR(__xludf.DUMMYFUNCTION("""COMPUTED_VALUE"""),"desktop")</f>
        <v>desktop</v>
      </c>
      <c r="AO404" s="3"/>
      <c r="AP404" s="3"/>
      <c r="AQ404" s="3"/>
      <c r="AR404" s="3"/>
      <c r="AS404" s="3"/>
      <c r="AT404" s="3"/>
      <c r="AU404" s="3" t="str">
        <f ca="1">IFERROR(__xludf.DUMMYFUNCTION("""COMPUTED_VALUE"""),"cílený branding")</f>
        <v>cílený branding</v>
      </c>
    </row>
    <row r="405" spans="1:47" x14ac:dyDescent="0.3">
      <c r="A405" s="3">
        <f ca="1"/>
        <v>2346826</v>
      </c>
      <c r="B405" s="3" t="str">
        <f ca="1"/>
        <v>CZECH NEWS CENTER a. s.</v>
      </c>
      <c r="C405" s="3" t="str">
        <f ca="1">IFERROR(__xludf.DUMMYFUNCTION("""COMPUTED_VALUE"""),"Digiarena")</f>
        <v>Digiarena</v>
      </c>
      <c r="D405" s="4" t="str">
        <f ca="1">IFERROR(__xludf.DUMMYFUNCTION("""COMPUTED_VALUE"""),"https://digiarena.zive.cz")</f>
        <v>https://digiarena.zive.cz</v>
      </c>
      <c r="E405" s="3" t="str">
        <f ca="1">IFERROR(__xludf.DUMMYFUNCTION("""COMPUTED_VALUE"""),"celý web")</f>
        <v>celý web</v>
      </c>
      <c r="F405" s="4" t="str">
        <f ca="1">IFERROR(__xludf.DUMMYFUNCTION("""COMPUTED_VALUE"""),"https://digiarena.zive.cz")</f>
        <v>https://digiarena.zive.cz</v>
      </c>
      <c r="G405" s="3" t="str">
        <f ca="1">IFERROR(__xludf.DUMMYFUNCTION("""COMPUTED_VALUE"""),"cílený double skyscraper mid season")</f>
        <v>cílený double skyscraper mid season</v>
      </c>
      <c r="H405" s="3">
        <f ca="1">IFERROR(__xludf.DUMMYFUNCTION("""COMPUTED_VALUE"""),7)</f>
        <v>7</v>
      </c>
      <c r="I405" s="5">
        <f ca="1">IFERROR(__xludf.DUMMYFUNCTION("""COMPUTED_VALUE"""),1000)</f>
        <v>1000</v>
      </c>
      <c r="J405" s="5">
        <f ca="1">IFERROR(__xludf.DUMMYFUNCTION("""COMPUTED_VALUE"""),324)</f>
        <v>324</v>
      </c>
      <c r="K405" s="3"/>
      <c r="L405" s="3" t="str">
        <f ca="1">IFERROR(__xludf.DUMMYFUNCTION("""COMPUTED_VALUE"""),"Cost per period")</f>
        <v>Cost per period</v>
      </c>
      <c r="M405" s="3"/>
      <c r="N405" s="3"/>
      <c r="O405" s="3" t="str">
        <f ca="1">IFERROR(__xludf.DUMMYFUNCTION("""COMPUTED_VALUE"""),"300")</f>
        <v>300</v>
      </c>
      <c r="P405" s="3" t="str">
        <f ca="1">IFERROR(__xludf.DUMMYFUNCTION("""COMPUTED_VALUE"""),"600")</f>
        <v>600</v>
      </c>
      <c r="Q405" s="3" t="str">
        <f ca="1">IFERROR(__xludf.DUMMYFUNCTION("""COMPUTED_VALUE"""),"300x600")</f>
        <v>300x600</v>
      </c>
      <c r="R405" s="3"/>
      <c r="S405" s="3" t="str">
        <f ca="1">IFERROR(__xludf.DUMMYFUNCTION("""COMPUTED_VALUE"""),"100 (200 - HTML5)")</f>
        <v>100 (200 - HTML5)</v>
      </c>
      <c r="T405" s="3"/>
      <c r="U405" s="3" t="str">
        <f ca="1">IFERROR(__xludf.DUMMYFUNCTION("""COMPUTED_VALUE"""),"banner standard")</f>
        <v>banner standard</v>
      </c>
      <c r="V405" s="3"/>
      <c r="W405" s="4" t="str">
        <f ca="1">IFERROR(__xludf.DUMMYFUNCTION("""COMPUTED_VALUE"""),"https://reklama.cncenter.cz/Online/double-skyscraper")</f>
        <v>https://reklama.cncenter.cz/Online/double-skyscraper</v>
      </c>
      <c r="X405" s="3"/>
      <c r="Y405" s="3"/>
      <c r="Z405" s="3" t="str">
        <f ca="1">IFERROR(__xludf.DUMMYFUNCTION("""COMPUTED_VALUE"""),"podklady@cncenter.cz")</f>
        <v>podklady@cncenter.cz</v>
      </c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 t="str">
        <f ca="1">IFERROR(__xludf.DUMMYFUNCTION("""COMPUTED_VALUE"""),"desktop")</f>
        <v>desktop</v>
      </c>
      <c r="AO405" s="3"/>
      <c r="AP405" s="3"/>
      <c r="AQ405" s="3"/>
      <c r="AR405" s="3"/>
      <c r="AS405" s="3"/>
      <c r="AT405" s="3"/>
      <c r="AU405" s="3" t="str">
        <f ca="1">IFERROR(__xludf.DUMMYFUNCTION("""COMPUTED_VALUE"""),"cílený double skyscraper")</f>
        <v>cílený double skyscraper</v>
      </c>
    </row>
    <row r="406" spans="1:47" x14ac:dyDescent="0.3">
      <c r="A406" s="3">
        <f ca="1"/>
        <v>2346826</v>
      </c>
      <c r="B406" s="3" t="str">
        <f ca="1"/>
        <v>CZECH NEWS CENTER a. s.</v>
      </c>
      <c r="C406" s="3" t="str">
        <f ca="1">IFERROR(__xludf.DUMMYFUNCTION("""COMPUTED_VALUE"""),"Digiarena")</f>
        <v>Digiarena</v>
      </c>
      <c r="D406" s="4" t="str">
        <f ca="1">IFERROR(__xludf.DUMMYFUNCTION("""COMPUTED_VALUE"""),"https://digiarena.zive.cz")</f>
        <v>https://digiarena.zive.cz</v>
      </c>
      <c r="E406" s="3" t="str">
        <f ca="1">IFERROR(__xludf.DUMMYFUNCTION("""COMPUTED_VALUE"""),"celý web")</f>
        <v>celý web</v>
      </c>
      <c r="F406" s="4" t="str">
        <f ca="1">IFERROR(__xludf.DUMMYFUNCTION("""COMPUTED_VALUE"""),"https://digiarena.zive.cz")</f>
        <v>https://digiarena.zive.cz</v>
      </c>
      <c r="G406" s="3" t="str">
        <f ca="1">IFERROR(__xludf.DUMMYFUNCTION("""COMPUTED_VALUE"""),"cílený mobilní interscroller mid season")</f>
        <v>cílený mobilní interscroller mid season</v>
      </c>
      <c r="H406" s="3">
        <f ca="1">IFERROR(__xludf.DUMMYFUNCTION("""COMPUTED_VALUE"""),7)</f>
        <v>7</v>
      </c>
      <c r="I406" s="5">
        <f ca="1">IFERROR(__xludf.DUMMYFUNCTION("""COMPUTED_VALUE"""),1000)</f>
        <v>1000</v>
      </c>
      <c r="J406" s="5">
        <f ca="1">IFERROR(__xludf.DUMMYFUNCTION("""COMPUTED_VALUE"""),420)</f>
        <v>420</v>
      </c>
      <c r="K406" s="3"/>
      <c r="L406" s="3" t="str">
        <f ca="1">IFERROR(__xludf.DUMMYFUNCTION("""COMPUTED_VALUE"""),"Cost per period")</f>
        <v>Cost per period</v>
      </c>
      <c r="M406" s="3"/>
      <c r="N406" s="3"/>
      <c r="O406" s="3" t="str">
        <f ca="1">IFERROR(__xludf.DUMMYFUNCTION("""COMPUTED_VALUE"""),"600")</f>
        <v>600</v>
      </c>
      <c r="P406" s="3" t="str">
        <f ca="1">IFERROR(__xludf.DUMMYFUNCTION("""COMPUTED_VALUE"""),"1080")</f>
        <v>1080</v>
      </c>
      <c r="Q406" s="3" t="str">
        <f ca="1">IFERROR(__xludf.DUMMYFUNCTION("""COMPUTED_VALUE"""),"600x1080")</f>
        <v>600x1080</v>
      </c>
      <c r="R406" s="3"/>
      <c r="S406" s="3" t="str">
        <f ca="1">IFERROR(__xludf.DUMMYFUNCTION("""COMPUTED_VALUE"""),"200")</f>
        <v>200</v>
      </c>
      <c r="T406" s="3"/>
      <c r="U406" s="3" t="str">
        <f ca="1">IFERROR(__xludf.DUMMYFUNCTION("""COMPUTED_VALUE"""),"banner standard")</f>
        <v>banner standard</v>
      </c>
      <c r="V406" s="3"/>
      <c r="W406" s="4" t="str">
        <f ca="1">IFERROR(__xludf.DUMMYFUNCTION("""COMPUTED_VALUE"""),"https://reklama.cncenter.cz/Online/mobilni-interscroller")</f>
        <v>https://reklama.cncenter.cz/Online/mobilni-interscroller</v>
      </c>
      <c r="X406" s="3"/>
      <c r="Y406" s="3"/>
      <c r="Z406" s="3" t="str">
        <f ca="1">IFERROR(__xludf.DUMMYFUNCTION("""COMPUTED_VALUE"""),"podklady@cncenter.cz")</f>
        <v>podklady@cncenter.cz</v>
      </c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 t="str">
        <f ca="1">IFERROR(__xludf.DUMMYFUNCTION("""COMPUTED_VALUE"""),"mobile")</f>
        <v>mobile</v>
      </c>
      <c r="AO406" s="3"/>
      <c r="AP406" s="3"/>
      <c r="AQ406" s="3"/>
      <c r="AR406" s="3"/>
      <c r="AS406" s="3"/>
      <c r="AT406" s="3"/>
      <c r="AU406" s="3" t="str">
        <f ca="1">IFERROR(__xludf.DUMMYFUNCTION("""COMPUTED_VALUE"""),"cílený mobilní interscroller")</f>
        <v>cílený mobilní interscroller</v>
      </c>
    </row>
    <row r="407" spans="1:47" x14ac:dyDescent="0.3">
      <c r="A407" s="3">
        <f ca="1"/>
        <v>2346826</v>
      </c>
      <c r="B407" s="3" t="str">
        <f ca="1"/>
        <v>CZECH NEWS CENTER a. s.</v>
      </c>
      <c r="C407" s="3" t="str">
        <f ca="1">IFERROR(__xludf.DUMMYFUNCTION("""COMPUTED_VALUE"""),"Digiarena")</f>
        <v>Digiarena</v>
      </c>
      <c r="D407" s="4" t="str">
        <f ca="1">IFERROR(__xludf.DUMMYFUNCTION("""COMPUTED_VALUE"""),"https://digiarena.zive.cz")</f>
        <v>https://digiarena.zive.cz</v>
      </c>
      <c r="E407" s="3" t="str">
        <f ca="1">IFERROR(__xludf.DUMMYFUNCTION("""COMPUTED_VALUE"""),"celý web")</f>
        <v>celý web</v>
      </c>
      <c r="F407" s="4" t="str">
        <f ca="1">IFERROR(__xludf.DUMMYFUNCTION("""COMPUTED_VALUE"""),"https://digiarena.zive.cz")</f>
        <v>https://digiarena.zive.cz</v>
      </c>
      <c r="G407" s="3" t="str">
        <f ca="1">IFERROR(__xludf.DUMMYFUNCTION("""COMPUTED_VALUE"""),"cílený mobilní slide-up mid season")</f>
        <v>cílený mobilní slide-up mid season</v>
      </c>
      <c r="H407" s="3">
        <f ca="1">IFERROR(__xludf.DUMMYFUNCTION("""COMPUTED_VALUE"""),7)</f>
        <v>7</v>
      </c>
      <c r="I407" s="5">
        <f ca="1">IFERROR(__xludf.DUMMYFUNCTION("""COMPUTED_VALUE"""),1000)</f>
        <v>1000</v>
      </c>
      <c r="J407" s="5">
        <f ca="1">IFERROR(__xludf.DUMMYFUNCTION("""COMPUTED_VALUE"""),864)</f>
        <v>864</v>
      </c>
      <c r="K407" s="3"/>
      <c r="L407" s="3" t="str">
        <f ca="1">IFERROR(__xludf.DUMMYFUNCTION("""COMPUTED_VALUE"""),"Cost per period")</f>
        <v>Cost per period</v>
      </c>
      <c r="M407" s="3"/>
      <c r="N407" s="3"/>
      <c r="O407" s="3" t="str">
        <f ca="1">IFERROR(__xludf.DUMMYFUNCTION("""COMPUTED_VALUE"""),"300")</f>
        <v>300</v>
      </c>
      <c r="P407" s="3" t="str">
        <f ca="1">IFERROR(__xludf.DUMMYFUNCTION("""COMPUTED_VALUE"""),"120")</f>
        <v>120</v>
      </c>
      <c r="Q407" s="3" t="str">
        <f ca="1">IFERROR(__xludf.DUMMYFUNCTION("""COMPUTED_VALUE"""),"300x120")</f>
        <v>300x120</v>
      </c>
      <c r="R407" s="3"/>
      <c r="S407" s="3" t="str">
        <f ca="1">IFERROR(__xludf.DUMMYFUNCTION("""COMPUTED_VALUE"""),"100")</f>
        <v>100</v>
      </c>
      <c r="T407" s="3"/>
      <c r="U407" s="3" t="str">
        <f ca="1">IFERROR(__xludf.DUMMYFUNCTION("""COMPUTED_VALUE"""),"banner standard")</f>
        <v>banner standard</v>
      </c>
      <c r="V407" s="3"/>
      <c r="W407" s="4" t="str">
        <f ca="1">IFERROR(__xludf.DUMMYFUNCTION("""COMPUTED_VALUE"""),"https://reklama.cncenter.cz/Online/mobilni-slide-up")</f>
        <v>https://reklama.cncenter.cz/Online/mobilni-slide-up</v>
      </c>
      <c r="X407" s="3"/>
      <c r="Y407" s="3"/>
      <c r="Z407" s="3" t="str">
        <f ca="1">IFERROR(__xludf.DUMMYFUNCTION("""COMPUTED_VALUE"""),"podklady@cncenter.cz")</f>
        <v>podklady@cncenter.cz</v>
      </c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 t="str">
        <f ca="1">IFERROR(__xludf.DUMMYFUNCTION("""COMPUTED_VALUE"""),"mobile")</f>
        <v>mobile</v>
      </c>
      <c r="AO407" s="3"/>
      <c r="AP407" s="3"/>
      <c r="AQ407" s="3"/>
      <c r="AR407" s="3"/>
      <c r="AS407" s="3"/>
      <c r="AT407" s="3"/>
      <c r="AU407" s="3" t="str">
        <f ca="1">IFERROR(__xludf.DUMMYFUNCTION("""COMPUTED_VALUE"""),"cílený mobilní slide-up")</f>
        <v>cílený mobilní slide-up</v>
      </c>
    </row>
    <row r="408" spans="1:47" x14ac:dyDescent="0.3">
      <c r="A408" s="3">
        <f ca="1"/>
        <v>2346826</v>
      </c>
      <c r="B408" s="3" t="str">
        <f ca="1"/>
        <v>CZECH NEWS CENTER a. s.</v>
      </c>
      <c r="C408" s="3" t="str">
        <f ca="1">IFERROR(__xludf.DUMMYFUNCTION("""COMPUTED_VALUE"""),"Digiarena")</f>
        <v>Digiarena</v>
      </c>
      <c r="D408" s="4" t="str">
        <f ca="1">IFERROR(__xludf.DUMMYFUNCTION("""COMPUTED_VALUE"""),"https://digiarena.zive.cz")</f>
        <v>https://digiarena.zive.cz</v>
      </c>
      <c r="E408" s="3" t="str">
        <f ca="1">IFERROR(__xludf.DUMMYFUNCTION("""COMPUTED_VALUE"""),"celý web")</f>
        <v>celý web</v>
      </c>
      <c r="F408" s="4" t="str">
        <f ca="1">IFERROR(__xludf.DUMMYFUNCTION("""COMPUTED_VALUE"""),"https://digiarena.zive.cz")</f>
        <v>https://digiarena.zive.cz</v>
      </c>
      <c r="G408" s="3" t="str">
        <f ca="1">IFERROR(__xludf.DUMMYFUNCTION("""COMPUTED_VALUE"""),"cílený mobilní viněta mid season")</f>
        <v>cílený mobilní viněta mid season</v>
      </c>
      <c r="H408" s="3">
        <f ca="1">IFERROR(__xludf.DUMMYFUNCTION("""COMPUTED_VALUE"""),7)</f>
        <v>7</v>
      </c>
      <c r="I408" s="5">
        <f ca="1">IFERROR(__xludf.DUMMYFUNCTION("""COMPUTED_VALUE"""),1000)</f>
        <v>1000</v>
      </c>
      <c r="J408" s="5">
        <f ca="1">IFERROR(__xludf.DUMMYFUNCTION("""COMPUTED_VALUE"""),1488)</f>
        <v>1488</v>
      </c>
      <c r="K408" s="3"/>
      <c r="L408" s="3" t="str">
        <f ca="1">IFERROR(__xludf.DUMMYFUNCTION("""COMPUTED_VALUE"""),"Cost per period")</f>
        <v>Cost per period</v>
      </c>
      <c r="M408" s="3"/>
      <c r="N408" s="3"/>
      <c r="O408" s="3" t="str">
        <f ca="1">IFERROR(__xludf.DUMMYFUNCTION("""COMPUTED_VALUE"""),"600")</f>
        <v>600</v>
      </c>
      <c r="P408" s="3" t="str">
        <f ca="1">IFERROR(__xludf.DUMMYFUNCTION("""COMPUTED_VALUE"""),"800")</f>
        <v>800</v>
      </c>
      <c r="Q408" s="3" t="str">
        <f ca="1">IFERROR(__xludf.DUMMYFUNCTION("""COMPUTED_VALUE"""),"300x250 nebo 600x800")</f>
        <v>300x250 nebo 600x800</v>
      </c>
      <c r="R408" s="3"/>
      <c r="S408" s="3" t="str">
        <f ca="1">IFERROR(__xludf.DUMMYFUNCTION("""COMPUTED_VALUE"""),"100")</f>
        <v>100</v>
      </c>
      <c r="T408" s="3"/>
      <c r="U408" s="3" t="str">
        <f ca="1">IFERROR(__xludf.DUMMYFUNCTION("""COMPUTED_VALUE"""),"banner standard")</f>
        <v>banner standard</v>
      </c>
      <c r="V408" s="3"/>
      <c r="W408" s="4" t="str">
        <f ca="1">IFERROR(__xludf.DUMMYFUNCTION("""COMPUTED_VALUE"""),"https://reklama.cncenter.cz/Online/mobilni-vineta")</f>
        <v>https://reklama.cncenter.cz/Online/mobilni-vineta</v>
      </c>
      <c r="X408" s="3"/>
      <c r="Y408" s="3"/>
      <c r="Z408" s="3" t="str">
        <f ca="1">IFERROR(__xludf.DUMMYFUNCTION("""COMPUTED_VALUE"""),"podklady@cncenter.cz")</f>
        <v>podklady@cncenter.cz</v>
      </c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 t="str">
        <f ca="1">IFERROR(__xludf.DUMMYFUNCTION("""COMPUTED_VALUE"""),"mobile")</f>
        <v>mobile</v>
      </c>
      <c r="AO408" s="3"/>
      <c r="AP408" s="3"/>
      <c r="AQ408" s="3"/>
      <c r="AR408" s="3"/>
      <c r="AS408" s="3"/>
      <c r="AT408" s="3"/>
      <c r="AU408" s="3" t="str">
        <f ca="1">IFERROR(__xludf.DUMMYFUNCTION("""COMPUTED_VALUE"""),"cílený mobilní viněta")</f>
        <v>cílený mobilní viněta</v>
      </c>
    </row>
    <row r="409" spans="1:47" x14ac:dyDescent="0.3">
      <c r="A409" s="3">
        <f ca="1"/>
        <v>2346826</v>
      </c>
      <c r="B409" s="3" t="str">
        <f ca="1"/>
        <v>CZECH NEWS CENTER a. s.</v>
      </c>
      <c r="C409" s="3" t="str">
        <f ca="1">IFERROR(__xludf.DUMMYFUNCTION("""COMPUTED_VALUE"""),"Digiarena")</f>
        <v>Digiarena</v>
      </c>
      <c r="D409" s="4" t="str">
        <f ca="1">IFERROR(__xludf.DUMMYFUNCTION("""COMPUTED_VALUE"""),"https://digiarena.zive.cz")</f>
        <v>https://digiarena.zive.cz</v>
      </c>
      <c r="E409" s="3" t="str">
        <f ca="1">IFERROR(__xludf.DUMMYFUNCTION("""COMPUTED_VALUE"""),"celý web")</f>
        <v>celý web</v>
      </c>
      <c r="F409" s="4" t="str">
        <f ca="1">IFERROR(__xludf.DUMMYFUNCTION("""COMPUTED_VALUE"""),"https://digiarena.zive.cz")</f>
        <v>https://digiarena.zive.cz</v>
      </c>
      <c r="G409" s="3" t="str">
        <f ca="1">IFERROR(__xludf.DUMMYFUNCTION("""COMPUTED_VALUE"""),"cílený nativní rectangle cross-device mid season")</f>
        <v>cílený nativní rectangle cross-device mid season</v>
      </c>
      <c r="H409" s="3">
        <f ca="1">IFERROR(__xludf.DUMMYFUNCTION("""COMPUTED_VALUE"""),7)</f>
        <v>7</v>
      </c>
      <c r="I409" s="5">
        <f ca="1">IFERROR(__xludf.DUMMYFUNCTION("""COMPUTED_VALUE"""),1000)</f>
        <v>1000</v>
      </c>
      <c r="J409" s="5">
        <f ca="1">IFERROR(__xludf.DUMMYFUNCTION("""COMPUTED_VALUE"""),336)</f>
        <v>336</v>
      </c>
      <c r="K409" s="3"/>
      <c r="L409" s="3" t="str">
        <f ca="1">IFERROR(__xludf.DUMMYFUNCTION("""COMPUTED_VALUE"""),"Cost per period")</f>
        <v>Cost per period</v>
      </c>
      <c r="M409" s="3"/>
      <c r="N409" s="3"/>
      <c r="O409" s="3" t="str">
        <f ca="1">IFERROR(__xludf.DUMMYFUNCTION("""COMPUTED_VALUE"""),"640")</f>
        <v>640</v>
      </c>
      <c r="P409" s="3" t="str">
        <f ca="1">IFERROR(__xludf.DUMMYFUNCTION("""COMPUTED_VALUE"""),"335, 640")</f>
        <v>335, 640</v>
      </c>
      <c r="Q409" s="3" t="str">
        <f ca="1">IFERROR(__xludf.DUMMYFUNCTION("""COMPUTED_VALUE"""),"640x640 a 640x335 + text + logo")</f>
        <v>640x640 a 640x335 + text + logo</v>
      </c>
      <c r="R409" s="3"/>
      <c r="S409" s="3" t="str">
        <f ca="1">IFERROR(__xludf.DUMMYFUNCTION("""COMPUTED_VALUE"""),"45")</f>
        <v>45</v>
      </c>
      <c r="T409" s="3"/>
      <c r="U409" s="3" t="str">
        <f ca="1">IFERROR(__xludf.DUMMYFUNCTION("""COMPUTED_VALUE"""),"nativní reklama")</f>
        <v>nativní reklama</v>
      </c>
      <c r="V409" s="3"/>
      <c r="W409" s="4" t="str">
        <f ca="1">IFERROR(__xludf.DUMMYFUNCTION("""COMPUTED_VALUE"""),"https://reklama.cncenter.cz/Online/nativni-rectangle-cross-device")</f>
        <v>https://reklama.cncenter.cz/Online/nativni-rectangle-cross-device</v>
      </c>
      <c r="X409" s="3"/>
      <c r="Y409" s="3"/>
      <c r="Z409" s="3" t="str">
        <f ca="1">IFERROR(__xludf.DUMMYFUNCTION("""COMPUTED_VALUE"""),"podklady@cncenter.cz")</f>
        <v>podklady@cncenter.cz</v>
      </c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 t="str">
        <f ca="1">IFERROR(__xludf.DUMMYFUNCTION("""COMPUTED_VALUE"""),"cross-device")</f>
        <v>cross-device</v>
      </c>
      <c r="AO409" s="3"/>
      <c r="AP409" s="3"/>
      <c r="AQ409" s="3"/>
      <c r="AR409" s="3"/>
      <c r="AS409" s="3"/>
      <c r="AT409" s="3"/>
      <c r="AU409" s="3" t="str">
        <f ca="1">IFERROR(__xludf.DUMMYFUNCTION("""COMPUTED_VALUE"""),"cílený nativní rectangle cross-device")</f>
        <v>cílený nativní rectangle cross-device</v>
      </c>
    </row>
    <row r="410" spans="1:47" x14ac:dyDescent="0.3">
      <c r="A410" s="3">
        <f ca="1"/>
        <v>2346826</v>
      </c>
      <c r="B410" s="3" t="str">
        <f ca="1"/>
        <v>CZECH NEWS CENTER a. s.</v>
      </c>
      <c r="C410" s="3" t="str">
        <f ca="1">IFERROR(__xludf.DUMMYFUNCTION("""COMPUTED_VALUE"""),"Digiarena")</f>
        <v>Digiarena</v>
      </c>
      <c r="D410" s="4" t="str">
        <f ca="1">IFERROR(__xludf.DUMMYFUNCTION("""COMPUTED_VALUE"""),"https://digiarena.zive.cz")</f>
        <v>https://digiarena.zive.cz</v>
      </c>
      <c r="E410" s="3" t="str">
        <f ca="1">IFERROR(__xludf.DUMMYFUNCTION("""COMPUTED_VALUE"""),"celý web")</f>
        <v>celý web</v>
      </c>
      <c r="F410" s="4" t="str">
        <f ca="1">IFERROR(__xludf.DUMMYFUNCTION("""COMPUTED_VALUE"""),"https://digiarena.zive.cz")</f>
        <v>https://digiarena.zive.cz</v>
      </c>
      <c r="G410" s="3" t="str">
        <f ca="1">IFERROR(__xludf.DUMMYFUNCTION("""COMPUTED_VALUE"""),"cílený outstream mid season")</f>
        <v>cílený outstream mid season</v>
      </c>
      <c r="H410" s="3">
        <f ca="1">IFERROR(__xludf.DUMMYFUNCTION("""COMPUTED_VALUE"""),7)</f>
        <v>7</v>
      </c>
      <c r="I410" s="5">
        <f ca="1">IFERROR(__xludf.DUMMYFUNCTION("""COMPUTED_VALUE"""),1000)</f>
        <v>1000</v>
      </c>
      <c r="J410" s="5">
        <f ca="1">IFERROR(__xludf.DUMMYFUNCTION("""COMPUTED_VALUE"""),420)</f>
        <v>420</v>
      </c>
      <c r="K410" s="3"/>
      <c r="L410" s="3" t="str">
        <f ca="1">IFERROR(__xludf.DUMMYFUNCTION("""COMPUTED_VALUE"""),"Cost per period")</f>
        <v>Cost per period</v>
      </c>
      <c r="M410" s="3"/>
      <c r="N410" s="3"/>
      <c r="O410" s="3" t="str">
        <f ca="1">IFERROR(__xludf.DUMMYFUNCTION("""COMPUTED_VALUE"""),"1280")</f>
        <v>1280</v>
      </c>
      <c r="P410" s="3" t="str">
        <f ca="1">IFERROR(__xludf.DUMMYFUNCTION("""COMPUTED_VALUE"""),"720")</f>
        <v>720</v>
      </c>
      <c r="Q410" s="3" t="str">
        <f ca="1">IFERROR(__xludf.DUMMYFUNCTION("""COMPUTED_VALUE"""),"16:9")</f>
        <v>16:9</v>
      </c>
      <c r="R410" s="3"/>
      <c r="S410" s="3" t="str">
        <f ca="1">IFERROR(__xludf.DUMMYFUNCTION("""COMPUTED_VALUE"""),"100")</f>
        <v>100</v>
      </c>
      <c r="T410" s="3"/>
      <c r="U410" s="3" t="str">
        <f ca="1">IFERROR(__xludf.DUMMYFUNCTION("""COMPUTED_VALUE"""),"videospot")</f>
        <v>videospot</v>
      </c>
      <c r="V410" s="3"/>
      <c r="W410" s="4" t="str">
        <f ca="1">IFERROR(__xludf.DUMMYFUNCTION("""COMPUTED_VALUE"""),"https://reklama.cncenter.cz/Online/Outstream")</f>
        <v>https://reklama.cncenter.cz/Online/Outstream</v>
      </c>
      <c r="X410" s="3"/>
      <c r="Y410" s="3"/>
      <c r="Z410" s="3" t="str">
        <f ca="1">IFERROR(__xludf.DUMMYFUNCTION("""COMPUTED_VALUE"""),"podklady@cncenter.cz")</f>
        <v>podklady@cncenter.cz</v>
      </c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 t="str">
        <f ca="1">IFERROR(__xludf.DUMMYFUNCTION("""COMPUTED_VALUE"""),"cross-device")</f>
        <v>cross-device</v>
      </c>
      <c r="AO410" s="3"/>
      <c r="AP410" s="3"/>
      <c r="AQ410" s="3"/>
      <c r="AR410" s="3"/>
      <c r="AS410" s="3"/>
      <c r="AT410" s="3"/>
      <c r="AU410" s="3" t="str">
        <f ca="1">IFERROR(__xludf.DUMMYFUNCTION("""COMPUTED_VALUE"""),"cílený outstream")</f>
        <v>cílený outstream</v>
      </c>
    </row>
    <row r="411" spans="1:47" x14ac:dyDescent="0.3">
      <c r="A411" s="3">
        <f ca="1"/>
        <v>2346826</v>
      </c>
      <c r="B411" s="3" t="str">
        <f ca="1"/>
        <v>CZECH NEWS CENTER a. s.</v>
      </c>
      <c r="C411" s="3" t="str">
        <f ca="1">IFERROR(__xludf.DUMMYFUNCTION("""COMPUTED_VALUE"""),"DIGIarena")</f>
        <v>DIGIarena</v>
      </c>
      <c r="D411" s="4" t="str">
        <f ca="1">IFERROR(__xludf.DUMMYFUNCTION("""COMPUTED_VALUE"""),"https://digiarena.zive.cz")</f>
        <v>https://digiarena.zive.cz</v>
      </c>
      <c r="E411" s="3" t="str">
        <f ca="1">IFERROR(__xludf.DUMMYFUNCTION("""COMPUTED_VALUE"""),"celý web")</f>
        <v>celý web</v>
      </c>
      <c r="F411" s="4" t="str">
        <f ca="1">IFERROR(__xludf.DUMMYFUNCTION("""COMPUTED_VALUE"""),"https://digiarena.zive.cz")</f>
        <v>https://digiarena.zive.cz</v>
      </c>
      <c r="G411" s="3" t="str">
        <f ca="1">IFERROR(__xludf.DUMMYFUNCTION("""COMPUTED_VALUE"""),"dokoupení proma o 2 týdny - 10 000 PV *** mid season")</f>
        <v>dokoupení proma o 2 týdny - 10 000 PV *** mid season</v>
      </c>
      <c r="H411" s="3">
        <f ca="1">IFERROR(__xludf.DUMMYFUNCTION("""COMPUTED_VALUE"""),1)</f>
        <v>1</v>
      </c>
      <c r="I411" s="5">
        <f ca="1">IFERROR(__xludf.DUMMYFUNCTION("""COMPUTED_VALUE"""),1)</f>
        <v>1</v>
      </c>
      <c r="J411" s="5">
        <f ca="1">IFERROR(__xludf.DUMMYFUNCTION("""COMPUTED_VALUE"""),60000)</f>
        <v>60000</v>
      </c>
      <c r="K411" s="3"/>
      <c r="L411" s="3" t="str">
        <f ca="1">IFERROR(__xludf.DUMMYFUNCTION("""COMPUTED_VALUE"""),"Cost per instance")</f>
        <v>Cost per instance</v>
      </c>
      <c r="M411" s="3"/>
      <c r="N411" s="3"/>
      <c r="O411" s="3"/>
      <c r="P411" s="3"/>
      <c r="Q411" s="3"/>
      <c r="R411" s="3"/>
      <c r="S411" s="3" t="str">
        <f ca="1">IFERROR(__xludf.DUMMYFUNCTION("""COMPUTED_VALUE"""),"100")</f>
        <v>100</v>
      </c>
      <c r="T411" s="3"/>
      <c r="U411" s="3" t="str">
        <f ca="1">IFERROR(__xludf.DUMMYFUNCTION("""COMPUTED_VALUE"""),"microsite")</f>
        <v>microsite</v>
      </c>
      <c r="V411" s="3"/>
      <c r="W411" s="3"/>
      <c r="X411" s="3"/>
      <c r="Y411" s="3"/>
      <c r="Z411" s="3" t="str">
        <f ca="1">IFERROR(__xludf.DUMMYFUNCTION("""COMPUTED_VALUE"""),"podklady@cncenter.cz")</f>
        <v>podklady@cncenter.cz</v>
      </c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 t="str">
        <f ca="1">IFERROR(__xludf.DUMMYFUNCTION("""COMPUTED_VALUE"""),"cross-device")</f>
        <v>cross-device</v>
      </c>
      <c r="AO411" s="3"/>
      <c r="AP411" s="3"/>
      <c r="AQ411" s="3"/>
      <c r="AR411" s="3"/>
      <c r="AS411" s="3"/>
      <c r="AT411" s="3"/>
      <c r="AU411" s="3" t="str">
        <f ca="1">IFERROR(__xludf.DUMMYFUNCTION("""COMPUTED_VALUE"""),"dokoupení proma o 2 týdny - 10 000 PV ***")</f>
        <v>dokoupení proma o 2 týdny - 10 000 PV ***</v>
      </c>
    </row>
    <row r="412" spans="1:47" x14ac:dyDescent="0.3">
      <c r="A412" s="3">
        <f ca="1"/>
        <v>2346826</v>
      </c>
      <c r="B412" s="3" t="str">
        <f ca="1"/>
        <v>CZECH NEWS CENTER a. s.</v>
      </c>
      <c r="C412" s="3" t="str">
        <f ca="1">IFERROR(__xludf.DUMMYFUNCTION("""COMPUTED_VALUE"""),"Digiarena")</f>
        <v>Digiarena</v>
      </c>
      <c r="D412" s="4" t="str">
        <f ca="1">IFERROR(__xludf.DUMMYFUNCTION("""COMPUTED_VALUE"""),"https://digiarena.zive.cz")</f>
        <v>https://digiarena.zive.cz</v>
      </c>
      <c r="E412" s="3" t="str">
        <f ca="1">IFERROR(__xludf.DUMMYFUNCTION("""COMPUTED_VALUE"""),"celý web")</f>
        <v>celý web</v>
      </c>
      <c r="F412" s="4" t="str">
        <f ca="1">IFERROR(__xludf.DUMMYFUNCTION("""COMPUTED_VALUE"""),"https://digiarena.zive.cz")</f>
        <v>https://digiarena.zive.cz</v>
      </c>
      <c r="G412" s="3" t="str">
        <f ca="1">IFERROR(__xludf.DUMMYFUNCTION("""COMPUTED_VALUE"""),"double skyscraper mid season")</f>
        <v>double skyscraper mid season</v>
      </c>
      <c r="H412" s="3">
        <f ca="1">IFERROR(__xludf.DUMMYFUNCTION("""COMPUTED_VALUE"""),7)</f>
        <v>7</v>
      </c>
      <c r="I412" s="5">
        <f ca="1">IFERROR(__xludf.DUMMYFUNCTION("""COMPUTED_VALUE"""),1000)</f>
        <v>1000</v>
      </c>
      <c r="J412" s="5">
        <f ca="1">IFERROR(__xludf.DUMMYFUNCTION("""COMPUTED_VALUE"""),270)</f>
        <v>270</v>
      </c>
      <c r="K412" s="3"/>
      <c r="L412" s="3" t="str">
        <f ca="1">IFERROR(__xludf.DUMMYFUNCTION("""COMPUTED_VALUE"""),"Cost per period")</f>
        <v>Cost per period</v>
      </c>
      <c r="M412" s="3"/>
      <c r="N412" s="3"/>
      <c r="O412" s="3" t="str">
        <f ca="1">IFERROR(__xludf.DUMMYFUNCTION("""COMPUTED_VALUE"""),"300")</f>
        <v>300</v>
      </c>
      <c r="P412" s="3" t="str">
        <f ca="1">IFERROR(__xludf.DUMMYFUNCTION("""COMPUTED_VALUE"""),"600")</f>
        <v>600</v>
      </c>
      <c r="Q412" s="3" t="str">
        <f ca="1">IFERROR(__xludf.DUMMYFUNCTION("""COMPUTED_VALUE"""),"300x600")</f>
        <v>300x600</v>
      </c>
      <c r="R412" s="3"/>
      <c r="S412" s="3" t="str">
        <f ca="1">IFERROR(__xludf.DUMMYFUNCTION("""COMPUTED_VALUE"""),"100 (200 - HTML5)")</f>
        <v>100 (200 - HTML5)</v>
      </c>
      <c r="T412" s="3"/>
      <c r="U412" s="3" t="str">
        <f ca="1">IFERROR(__xludf.DUMMYFUNCTION("""COMPUTED_VALUE"""),"banner standard")</f>
        <v>banner standard</v>
      </c>
      <c r="V412" s="3"/>
      <c r="W412" s="4" t="str">
        <f ca="1">IFERROR(__xludf.DUMMYFUNCTION("""COMPUTED_VALUE"""),"https://reklama.cncenter.cz/Online/double-skyscraper")</f>
        <v>https://reklama.cncenter.cz/Online/double-skyscraper</v>
      </c>
      <c r="X412" s="3"/>
      <c r="Y412" s="3"/>
      <c r="Z412" s="3" t="str">
        <f ca="1">IFERROR(__xludf.DUMMYFUNCTION("""COMPUTED_VALUE"""),"podklady@cncenter.cz")</f>
        <v>podklady@cncenter.cz</v>
      </c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 t="str">
        <f ca="1">IFERROR(__xludf.DUMMYFUNCTION("""COMPUTED_VALUE"""),"desktop")</f>
        <v>desktop</v>
      </c>
      <c r="AO412" s="3"/>
      <c r="AP412" s="3"/>
      <c r="AQ412" s="3"/>
      <c r="AR412" s="3"/>
      <c r="AS412" s="3"/>
      <c r="AT412" s="3"/>
      <c r="AU412" s="3" t="str">
        <f ca="1">IFERROR(__xludf.DUMMYFUNCTION("""COMPUTED_VALUE"""),"double skyscraper")</f>
        <v>double skyscraper</v>
      </c>
    </row>
    <row r="413" spans="1:47" x14ac:dyDescent="0.3">
      <c r="A413" s="3">
        <f ca="1"/>
        <v>2346826</v>
      </c>
      <c r="B413" s="3" t="str">
        <f ca="1"/>
        <v>CZECH NEWS CENTER a. s.</v>
      </c>
      <c r="C413" s="3" t="str">
        <f ca="1">IFERROR(__xludf.DUMMYFUNCTION("""COMPUTED_VALUE"""),"Digiarena")</f>
        <v>Digiarena</v>
      </c>
      <c r="D413" s="4" t="str">
        <f ca="1">IFERROR(__xludf.DUMMYFUNCTION("""COMPUTED_VALUE"""),"https://digiarena.zive.cz")</f>
        <v>https://digiarena.zive.cz</v>
      </c>
      <c r="E413" s="3" t="str">
        <f ca="1">IFERROR(__xludf.DUMMYFUNCTION("""COMPUTED_VALUE"""),"celý web")</f>
        <v>celý web</v>
      </c>
      <c r="F413" s="4" t="str">
        <f ca="1">IFERROR(__xludf.DUMMYFUNCTION("""COMPUTED_VALUE"""),"https://digiarena.zive.cz")</f>
        <v>https://digiarena.zive.cz</v>
      </c>
      <c r="G413" s="3" t="str">
        <f ca="1">IFERROR(__xludf.DUMMYFUNCTION("""COMPUTED_VALUE"""),"mobilní interscroller mid season")</f>
        <v>mobilní interscroller mid season</v>
      </c>
      <c r="H413" s="3">
        <f ca="1">IFERROR(__xludf.DUMMYFUNCTION("""COMPUTED_VALUE"""),7)</f>
        <v>7</v>
      </c>
      <c r="I413" s="5">
        <f ca="1">IFERROR(__xludf.DUMMYFUNCTION("""COMPUTED_VALUE"""),1000)</f>
        <v>1000</v>
      </c>
      <c r="J413" s="5">
        <f ca="1">IFERROR(__xludf.DUMMYFUNCTION("""COMPUTED_VALUE"""),350)</f>
        <v>350</v>
      </c>
      <c r="K413" s="3"/>
      <c r="L413" s="3" t="str">
        <f ca="1">IFERROR(__xludf.DUMMYFUNCTION("""COMPUTED_VALUE"""),"Cost per period")</f>
        <v>Cost per period</v>
      </c>
      <c r="M413" s="3"/>
      <c r="N413" s="3"/>
      <c r="O413" s="3" t="str">
        <f ca="1">IFERROR(__xludf.DUMMYFUNCTION("""COMPUTED_VALUE"""),"600")</f>
        <v>600</v>
      </c>
      <c r="P413" s="3" t="str">
        <f ca="1">IFERROR(__xludf.DUMMYFUNCTION("""COMPUTED_VALUE"""),"1080")</f>
        <v>1080</v>
      </c>
      <c r="Q413" s="3" t="str">
        <f ca="1">IFERROR(__xludf.DUMMYFUNCTION("""COMPUTED_VALUE"""),"600x1080")</f>
        <v>600x1080</v>
      </c>
      <c r="R413" s="3"/>
      <c r="S413" s="3" t="str">
        <f ca="1">IFERROR(__xludf.DUMMYFUNCTION("""COMPUTED_VALUE"""),"200")</f>
        <v>200</v>
      </c>
      <c r="T413" s="3"/>
      <c r="U413" s="3" t="str">
        <f ca="1">IFERROR(__xludf.DUMMYFUNCTION("""COMPUTED_VALUE"""),"banner standard")</f>
        <v>banner standard</v>
      </c>
      <c r="V413" s="3"/>
      <c r="W413" s="4" t="str">
        <f ca="1">IFERROR(__xludf.DUMMYFUNCTION("""COMPUTED_VALUE"""),"https://reklama.cncenter.cz/Online/mobilni-interscroller")</f>
        <v>https://reklama.cncenter.cz/Online/mobilni-interscroller</v>
      </c>
      <c r="X413" s="3"/>
      <c r="Y413" s="3"/>
      <c r="Z413" s="3" t="str">
        <f ca="1">IFERROR(__xludf.DUMMYFUNCTION("""COMPUTED_VALUE"""),"podklady@cncenter.cz")</f>
        <v>podklady@cncenter.cz</v>
      </c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 t="str">
        <f ca="1">IFERROR(__xludf.DUMMYFUNCTION("""COMPUTED_VALUE"""),"mobile")</f>
        <v>mobile</v>
      </c>
      <c r="AO413" s="3"/>
      <c r="AP413" s="3"/>
      <c r="AQ413" s="3"/>
      <c r="AR413" s="3"/>
      <c r="AS413" s="3"/>
      <c r="AT413" s="3"/>
      <c r="AU413" s="3" t="str">
        <f ca="1">IFERROR(__xludf.DUMMYFUNCTION("""COMPUTED_VALUE"""),"mobilní interscroller")</f>
        <v>mobilní interscroller</v>
      </c>
    </row>
    <row r="414" spans="1:47" x14ac:dyDescent="0.3">
      <c r="A414" s="3">
        <f ca="1"/>
        <v>2346826</v>
      </c>
      <c r="B414" s="3" t="str">
        <f ca="1"/>
        <v>CZECH NEWS CENTER a. s.</v>
      </c>
      <c r="C414" s="3" t="str">
        <f ca="1">IFERROR(__xludf.DUMMYFUNCTION("""COMPUTED_VALUE"""),"Digiarena")</f>
        <v>Digiarena</v>
      </c>
      <c r="D414" s="4" t="str">
        <f ca="1">IFERROR(__xludf.DUMMYFUNCTION("""COMPUTED_VALUE"""),"https://digiarena.zive.cz")</f>
        <v>https://digiarena.zive.cz</v>
      </c>
      <c r="E414" s="3" t="str">
        <f ca="1">IFERROR(__xludf.DUMMYFUNCTION("""COMPUTED_VALUE"""),"celý web")</f>
        <v>celý web</v>
      </c>
      <c r="F414" s="4" t="str">
        <f ca="1">IFERROR(__xludf.DUMMYFUNCTION("""COMPUTED_VALUE"""),"https://digiarena.zive.cz")</f>
        <v>https://digiarena.zive.cz</v>
      </c>
      <c r="G414" s="3" t="str">
        <f ca="1">IFERROR(__xludf.DUMMYFUNCTION("""COMPUTED_VALUE"""),"mobilní slide-up mid season")</f>
        <v>mobilní slide-up mid season</v>
      </c>
      <c r="H414" s="3">
        <f ca="1">IFERROR(__xludf.DUMMYFUNCTION("""COMPUTED_VALUE"""),7)</f>
        <v>7</v>
      </c>
      <c r="I414" s="5">
        <f ca="1">IFERROR(__xludf.DUMMYFUNCTION("""COMPUTED_VALUE"""),1000)</f>
        <v>1000</v>
      </c>
      <c r="J414" s="5">
        <f ca="1">IFERROR(__xludf.DUMMYFUNCTION("""COMPUTED_VALUE"""),720)</f>
        <v>720</v>
      </c>
      <c r="K414" s="3"/>
      <c r="L414" s="3" t="str">
        <f ca="1">IFERROR(__xludf.DUMMYFUNCTION("""COMPUTED_VALUE"""),"Cost per period")</f>
        <v>Cost per period</v>
      </c>
      <c r="M414" s="3"/>
      <c r="N414" s="3"/>
      <c r="O414" s="3" t="str">
        <f ca="1">IFERROR(__xludf.DUMMYFUNCTION("""COMPUTED_VALUE"""),"300")</f>
        <v>300</v>
      </c>
      <c r="P414" s="3" t="str">
        <f ca="1">IFERROR(__xludf.DUMMYFUNCTION("""COMPUTED_VALUE"""),"120")</f>
        <v>120</v>
      </c>
      <c r="Q414" s="3" t="str">
        <f ca="1">IFERROR(__xludf.DUMMYFUNCTION("""COMPUTED_VALUE"""),"300x120")</f>
        <v>300x120</v>
      </c>
      <c r="R414" s="3"/>
      <c r="S414" s="3" t="str">
        <f ca="1">IFERROR(__xludf.DUMMYFUNCTION("""COMPUTED_VALUE"""),"100")</f>
        <v>100</v>
      </c>
      <c r="T414" s="3"/>
      <c r="U414" s="3" t="str">
        <f ca="1">IFERROR(__xludf.DUMMYFUNCTION("""COMPUTED_VALUE"""),"banner standard")</f>
        <v>banner standard</v>
      </c>
      <c r="V414" s="3"/>
      <c r="W414" s="4" t="str">
        <f ca="1">IFERROR(__xludf.DUMMYFUNCTION("""COMPUTED_VALUE"""),"https://reklama.cncenter.cz/Online/mobilni-slide-up")</f>
        <v>https://reklama.cncenter.cz/Online/mobilni-slide-up</v>
      </c>
      <c r="X414" s="3"/>
      <c r="Y414" s="3"/>
      <c r="Z414" s="3" t="str">
        <f ca="1">IFERROR(__xludf.DUMMYFUNCTION("""COMPUTED_VALUE"""),"podklady@cncenter.cz")</f>
        <v>podklady@cncenter.cz</v>
      </c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 t="str">
        <f ca="1">IFERROR(__xludf.DUMMYFUNCTION("""COMPUTED_VALUE"""),"mobile")</f>
        <v>mobile</v>
      </c>
      <c r="AO414" s="3"/>
      <c r="AP414" s="3"/>
      <c r="AQ414" s="3"/>
      <c r="AR414" s="3"/>
      <c r="AS414" s="3"/>
      <c r="AT414" s="3"/>
      <c r="AU414" s="3" t="str">
        <f ca="1">IFERROR(__xludf.DUMMYFUNCTION("""COMPUTED_VALUE"""),"mobilní slide-up")</f>
        <v>mobilní slide-up</v>
      </c>
    </row>
    <row r="415" spans="1:47" x14ac:dyDescent="0.3">
      <c r="A415" s="3">
        <f ca="1"/>
        <v>2346826</v>
      </c>
      <c r="B415" s="3" t="str">
        <f ca="1"/>
        <v>CZECH NEWS CENTER a. s.</v>
      </c>
      <c r="C415" s="3" t="str">
        <f ca="1">IFERROR(__xludf.DUMMYFUNCTION("""COMPUTED_VALUE"""),"Digiarena")</f>
        <v>Digiarena</v>
      </c>
      <c r="D415" s="4" t="str">
        <f ca="1">IFERROR(__xludf.DUMMYFUNCTION("""COMPUTED_VALUE"""),"https://digiarena.zive.cz")</f>
        <v>https://digiarena.zive.cz</v>
      </c>
      <c r="E415" s="3" t="str">
        <f ca="1">IFERROR(__xludf.DUMMYFUNCTION("""COMPUTED_VALUE"""),"celý web")</f>
        <v>celý web</v>
      </c>
      <c r="F415" s="4" t="str">
        <f ca="1">IFERROR(__xludf.DUMMYFUNCTION("""COMPUTED_VALUE"""),"https://digiarena.zive.cz")</f>
        <v>https://digiarena.zive.cz</v>
      </c>
      <c r="G415" s="3" t="str">
        <f ca="1">IFERROR(__xludf.DUMMYFUNCTION("""COMPUTED_VALUE"""),"mobilní viněta mid season")</f>
        <v>mobilní viněta mid season</v>
      </c>
      <c r="H415" s="3">
        <f ca="1">IFERROR(__xludf.DUMMYFUNCTION("""COMPUTED_VALUE"""),7)</f>
        <v>7</v>
      </c>
      <c r="I415" s="5">
        <f ca="1">IFERROR(__xludf.DUMMYFUNCTION("""COMPUTED_VALUE"""),1000)</f>
        <v>1000</v>
      </c>
      <c r="J415" s="5">
        <f ca="1">IFERROR(__xludf.DUMMYFUNCTION("""COMPUTED_VALUE"""),1240)</f>
        <v>1240</v>
      </c>
      <c r="K415" s="3"/>
      <c r="L415" s="3" t="str">
        <f ca="1">IFERROR(__xludf.DUMMYFUNCTION("""COMPUTED_VALUE"""),"Cost per period")</f>
        <v>Cost per period</v>
      </c>
      <c r="M415" s="3"/>
      <c r="N415" s="3"/>
      <c r="O415" s="3" t="str">
        <f ca="1">IFERROR(__xludf.DUMMYFUNCTION("""COMPUTED_VALUE"""),"600")</f>
        <v>600</v>
      </c>
      <c r="P415" s="3" t="str">
        <f ca="1">IFERROR(__xludf.DUMMYFUNCTION("""COMPUTED_VALUE"""),"800")</f>
        <v>800</v>
      </c>
      <c r="Q415" s="3" t="str">
        <f ca="1">IFERROR(__xludf.DUMMYFUNCTION("""COMPUTED_VALUE"""),"300x250 nebo 600x800")</f>
        <v>300x250 nebo 600x800</v>
      </c>
      <c r="R415" s="3"/>
      <c r="S415" s="3" t="str">
        <f ca="1">IFERROR(__xludf.DUMMYFUNCTION("""COMPUTED_VALUE"""),"100")</f>
        <v>100</v>
      </c>
      <c r="T415" s="3"/>
      <c r="U415" s="3" t="str">
        <f ca="1">IFERROR(__xludf.DUMMYFUNCTION("""COMPUTED_VALUE"""),"banner standard")</f>
        <v>banner standard</v>
      </c>
      <c r="V415" s="3"/>
      <c r="W415" s="4" t="str">
        <f ca="1">IFERROR(__xludf.DUMMYFUNCTION("""COMPUTED_VALUE"""),"https://reklama.cncenter.cz/Online/mobilni-vineta")</f>
        <v>https://reklama.cncenter.cz/Online/mobilni-vineta</v>
      </c>
      <c r="X415" s="3"/>
      <c r="Y415" s="3"/>
      <c r="Z415" s="3" t="str">
        <f ca="1">IFERROR(__xludf.DUMMYFUNCTION("""COMPUTED_VALUE"""),"podklady@cncenter.cz")</f>
        <v>podklady@cncenter.cz</v>
      </c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 t="str">
        <f ca="1">IFERROR(__xludf.DUMMYFUNCTION("""COMPUTED_VALUE"""),"mobile")</f>
        <v>mobile</v>
      </c>
      <c r="AO415" s="3"/>
      <c r="AP415" s="3"/>
      <c r="AQ415" s="3"/>
      <c r="AR415" s="3"/>
      <c r="AS415" s="3"/>
      <c r="AT415" s="3"/>
      <c r="AU415" s="3" t="str">
        <f ca="1">IFERROR(__xludf.DUMMYFUNCTION("""COMPUTED_VALUE"""),"mobilní viněta")</f>
        <v>mobilní viněta</v>
      </c>
    </row>
    <row r="416" spans="1:47" x14ac:dyDescent="0.3">
      <c r="A416" s="3">
        <f ca="1"/>
        <v>2346826</v>
      </c>
      <c r="B416" s="3" t="str">
        <f ca="1"/>
        <v>CZECH NEWS CENTER a. s.</v>
      </c>
      <c r="C416" s="3" t="str">
        <f ca="1">IFERROR(__xludf.DUMMYFUNCTION("""COMPUTED_VALUE"""),"DIGIarena")</f>
        <v>DIGIarena</v>
      </c>
      <c r="D416" s="4" t="str">
        <f ca="1">IFERROR(__xludf.DUMMYFUNCTION("""COMPUTED_VALUE"""),"https://digiarena.zive.cz")</f>
        <v>https://digiarena.zive.cz</v>
      </c>
      <c r="E416" s="3" t="str">
        <f ca="1">IFERROR(__xludf.DUMMYFUNCTION("""COMPUTED_VALUE"""),"celý web")</f>
        <v>celý web</v>
      </c>
      <c r="F416" s="4" t="str">
        <f ca="1">IFERROR(__xludf.DUMMYFUNCTION("""COMPUTED_VALUE"""),"https://digiarena.zive.cz")</f>
        <v>https://digiarena.zive.cz</v>
      </c>
      <c r="G416" s="3" t="str">
        <f ca="1">IFERROR(__xludf.DUMMYFUNCTION("""COMPUTED_VALUE"""),"Native Standard mid season")</f>
        <v>Native Standard mid season</v>
      </c>
      <c r="H416" s="3">
        <f ca="1">IFERROR(__xludf.DUMMYFUNCTION("""COMPUTED_VALUE"""),1)</f>
        <v>1</v>
      </c>
      <c r="I416" s="5">
        <f ca="1">IFERROR(__xludf.DUMMYFUNCTION("""COMPUTED_VALUE"""),1)</f>
        <v>1</v>
      </c>
      <c r="J416" s="5">
        <f ca="1">IFERROR(__xludf.DUMMYFUNCTION("""COMPUTED_VALUE"""),330000)</f>
        <v>330000</v>
      </c>
      <c r="K416" s="3"/>
      <c r="L416" s="3" t="str">
        <f ca="1">IFERROR(__xludf.DUMMYFUNCTION("""COMPUTED_VALUE"""),"Cost per instance")</f>
        <v>Cost per instance</v>
      </c>
      <c r="M416" s="3"/>
      <c r="N416" s="3"/>
      <c r="O416" s="3"/>
      <c r="P416" s="3"/>
      <c r="Q416" s="3"/>
      <c r="R416" s="3"/>
      <c r="S416" s="3" t="str">
        <f ca="1">IFERROR(__xludf.DUMMYFUNCTION("""COMPUTED_VALUE"""),"100")</f>
        <v>100</v>
      </c>
      <c r="T416" s="3"/>
      <c r="U416" s="3" t="str">
        <f ca="1">IFERROR(__xludf.DUMMYFUNCTION("""COMPUTED_VALUE"""),"microsite")</f>
        <v>microsite</v>
      </c>
      <c r="V416" s="3"/>
      <c r="W416" s="3"/>
      <c r="X416" s="3"/>
      <c r="Y416" s="3"/>
      <c r="Z416" s="3" t="str">
        <f ca="1">IFERROR(__xludf.DUMMYFUNCTION("""COMPUTED_VALUE"""),"podklady@cncenter.cz")</f>
        <v>podklady@cncenter.cz</v>
      </c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 t="str">
        <f ca="1">IFERROR(__xludf.DUMMYFUNCTION("""COMPUTED_VALUE"""),"cross-device")</f>
        <v>cross-device</v>
      </c>
      <c r="AO416" s="3"/>
      <c r="AP416" s="3"/>
      <c r="AQ416" s="3"/>
      <c r="AR416" s="3"/>
      <c r="AS416" s="3"/>
      <c r="AT416" s="3"/>
      <c r="AU416" s="3" t="str">
        <f ca="1">IFERROR(__xludf.DUMMYFUNCTION("""COMPUTED_VALUE"""),"Native Standard")</f>
        <v>Native Standard</v>
      </c>
    </row>
    <row r="417" spans="1:47" x14ac:dyDescent="0.3">
      <c r="A417" s="3">
        <f ca="1"/>
        <v>2346826</v>
      </c>
      <c r="B417" s="3" t="str">
        <f ca="1"/>
        <v>CZECH NEWS CENTER a. s.</v>
      </c>
      <c r="C417" s="3" t="str">
        <f ca="1">IFERROR(__xludf.DUMMYFUNCTION("""COMPUTED_VALUE"""),"Digiarena")</f>
        <v>Digiarena</v>
      </c>
      <c r="D417" s="4" t="str">
        <f ca="1">IFERROR(__xludf.DUMMYFUNCTION("""COMPUTED_VALUE"""),"https://digiarena.zive.cz")</f>
        <v>https://digiarena.zive.cz</v>
      </c>
      <c r="E417" s="3" t="str">
        <f ca="1">IFERROR(__xludf.DUMMYFUNCTION("""COMPUTED_VALUE"""),"celý web")</f>
        <v>celý web</v>
      </c>
      <c r="F417" s="4" t="str">
        <f ca="1">IFERROR(__xludf.DUMMYFUNCTION("""COMPUTED_VALUE"""),"https://digiarena.zive.cz")</f>
        <v>https://digiarena.zive.cz</v>
      </c>
      <c r="G417" s="3" t="str">
        <f ca="1">IFERROR(__xludf.DUMMYFUNCTION("""COMPUTED_VALUE"""),"nativní rectangle cross-device mid season")</f>
        <v>nativní rectangle cross-device mid season</v>
      </c>
      <c r="H417" s="3">
        <f ca="1">IFERROR(__xludf.DUMMYFUNCTION("""COMPUTED_VALUE"""),7)</f>
        <v>7</v>
      </c>
      <c r="I417" s="5">
        <f ca="1">IFERROR(__xludf.DUMMYFUNCTION("""COMPUTED_VALUE"""),1000)</f>
        <v>1000</v>
      </c>
      <c r="J417" s="5">
        <f ca="1">IFERROR(__xludf.DUMMYFUNCTION("""COMPUTED_VALUE"""),280)</f>
        <v>280</v>
      </c>
      <c r="K417" s="3"/>
      <c r="L417" s="3" t="str">
        <f ca="1">IFERROR(__xludf.DUMMYFUNCTION("""COMPUTED_VALUE"""),"Cost per period")</f>
        <v>Cost per period</v>
      </c>
      <c r="M417" s="3"/>
      <c r="N417" s="3"/>
      <c r="O417" s="3" t="str">
        <f ca="1">IFERROR(__xludf.DUMMYFUNCTION("""COMPUTED_VALUE"""),"640")</f>
        <v>640</v>
      </c>
      <c r="P417" s="3" t="str">
        <f ca="1">IFERROR(__xludf.DUMMYFUNCTION("""COMPUTED_VALUE"""),"335, 640")</f>
        <v>335, 640</v>
      </c>
      <c r="Q417" s="3" t="str">
        <f ca="1">IFERROR(__xludf.DUMMYFUNCTION("""COMPUTED_VALUE"""),"640x640 a 640x335 + text + logo")</f>
        <v>640x640 a 640x335 + text + logo</v>
      </c>
      <c r="R417" s="3"/>
      <c r="S417" s="3" t="str">
        <f ca="1">IFERROR(__xludf.DUMMYFUNCTION("""COMPUTED_VALUE"""),"45")</f>
        <v>45</v>
      </c>
      <c r="T417" s="3"/>
      <c r="U417" s="3" t="str">
        <f ca="1">IFERROR(__xludf.DUMMYFUNCTION("""COMPUTED_VALUE"""),"nativní reklama")</f>
        <v>nativní reklama</v>
      </c>
      <c r="V417" s="3"/>
      <c r="W417" s="4" t="str">
        <f ca="1">IFERROR(__xludf.DUMMYFUNCTION("""COMPUTED_VALUE"""),"https://reklama.cncenter.cz/Online/nativni-rectangle-cross-device")</f>
        <v>https://reklama.cncenter.cz/Online/nativni-rectangle-cross-device</v>
      </c>
      <c r="X417" s="3"/>
      <c r="Y417" s="3"/>
      <c r="Z417" s="3" t="str">
        <f ca="1">IFERROR(__xludf.DUMMYFUNCTION("""COMPUTED_VALUE"""),"podklady@cncenter.cz")</f>
        <v>podklady@cncenter.cz</v>
      </c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 t="str">
        <f ca="1">IFERROR(__xludf.DUMMYFUNCTION("""COMPUTED_VALUE"""),"cross-device")</f>
        <v>cross-device</v>
      </c>
      <c r="AO417" s="3"/>
      <c r="AP417" s="3"/>
      <c r="AQ417" s="3"/>
      <c r="AR417" s="3"/>
      <c r="AS417" s="3"/>
      <c r="AT417" s="3"/>
      <c r="AU417" s="3" t="str">
        <f ca="1">IFERROR(__xludf.DUMMYFUNCTION("""COMPUTED_VALUE"""),"nativní rectangle cross-device")</f>
        <v>nativní rectangle cross-device</v>
      </c>
    </row>
    <row r="418" spans="1:47" x14ac:dyDescent="0.3">
      <c r="A418" s="3">
        <f ca="1"/>
        <v>2346826</v>
      </c>
      <c r="B418" s="3" t="str">
        <f ca="1"/>
        <v>CZECH NEWS CENTER a. s.</v>
      </c>
      <c r="C418" s="3" t="str">
        <f ca="1">IFERROR(__xludf.DUMMYFUNCTION("""COMPUTED_VALUE"""),"Digiarena")</f>
        <v>Digiarena</v>
      </c>
      <c r="D418" s="4" t="str">
        <f ca="1">IFERROR(__xludf.DUMMYFUNCTION("""COMPUTED_VALUE"""),"https://digiarena.zive.cz")</f>
        <v>https://digiarena.zive.cz</v>
      </c>
      <c r="E418" s="3" t="str">
        <f ca="1">IFERROR(__xludf.DUMMYFUNCTION("""COMPUTED_VALUE"""),"celý web")</f>
        <v>celý web</v>
      </c>
      <c r="F418" s="4" t="str">
        <f ca="1">IFERROR(__xludf.DUMMYFUNCTION("""COMPUTED_VALUE"""),"https://digiarena.zive.cz")</f>
        <v>https://digiarena.zive.cz</v>
      </c>
      <c r="G418" s="3" t="str">
        <f ca="1">IFERROR(__xludf.DUMMYFUNCTION("""COMPUTED_VALUE"""),"outstream mid season")</f>
        <v>outstream mid season</v>
      </c>
      <c r="H418" s="3">
        <f ca="1">IFERROR(__xludf.DUMMYFUNCTION("""COMPUTED_VALUE"""),7)</f>
        <v>7</v>
      </c>
      <c r="I418" s="5">
        <f ca="1">IFERROR(__xludf.DUMMYFUNCTION("""COMPUTED_VALUE"""),1000)</f>
        <v>1000</v>
      </c>
      <c r="J418" s="5">
        <f ca="1">IFERROR(__xludf.DUMMYFUNCTION("""COMPUTED_VALUE"""),350)</f>
        <v>350</v>
      </c>
      <c r="K418" s="3"/>
      <c r="L418" s="3" t="str">
        <f ca="1">IFERROR(__xludf.DUMMYFUNCTION("""COMPUTED_VALUE"""),"Cost per period")</f>
        <v>Cost per period</v>
      </c>
      <c r="M418" s="3"/>
      <c r="N418" s="3"/>
      <c r="O418" s="3" t="str">
        <f ca="1">IFERROR(__xludf.DUMMYFUNCTION("""COMPUTED_VALUE"""),"1280")</f>
        <v>1280</v>
      </c>
      <c r="P418" s="3" t="str">
        <f ca="1">IFERROR(__xludf.DUMMYFUNCTION("""COMPUTED_VALUE"""),"720")</f>
        <v>720</v>
      </c>
      <c r="Q418" s="3" t="str">
        <f ca="1">IFERROR(__xludf.DUMMYFUNCTION("""COMPUTED_VALUE"""),"16:9")</f>
        <v>16:9</v>
      </c>
      <c r="R418" s="3"/>
      <c r="S418" s="3" t="str">
        <f ca="1">IFERROR(__xludf.DUMMYFUNCTION("""COMPUTED_VALUE"""),"100")</f>
        <v>100</v>
      </c>
      <c r="T418" s="3"/>
      <c r="U418" s="3" t="str">
        <f ca="1">IFERROR(__xludf.DUMMYFUNCTION("""COMPUTED_VALUE"""),"videospot")</f>
        <v>videospot</v>
      </c>
      <c r="V418" s="3"/>
      <c r="W418" s="4" t="str">
        <f ca="1">IFERROR(__xludf.DUMMYFUNCTION("""COMPUTED_VALUE"""),"https://reklama.cncenter.cz/Online/Outstream")</f>
        <v>https://reklama.cncenter.cz/Online/Outstream</v>
      </c>
      <c r="X418" s="3"/>
      <c r="Y418" s="3"/>
      <c r="Z418" s="3" t="str">
        <f ca="1">IFERROR(__xludf.DUMMYFUNCTION("""COMPUTED_VALUE"""),"podklady@cncenter.cz")</f>
        <v>podklady@cncenter.cz</v>
      </c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 t="str">
        <f ca="1">IFERROR(__xludf.DUMMYFUNCTION("""COMPUTED_VALUE"""),"cross-device")</f>
        <v>cross-device</v>
      </c>
      <c r="AO418" s="3"/>
      <c r="AP418" s="3"/>
      <c r="AQ418" s="3"/>
      <c r="AR418" s="3"/>
      <c r="AS418" s="3"/>
      <c r="AT418" s="3"/>
      <c r="AU418" s="3" t="str">
        <f ca="1">IFERROR(__xludf.DUMMYFUNCTION("""COMPUTED_VALUE"""),"outstream")</f>
        <v>outstream</v>
      </c>
    </row>
    <row r="419" spans="1:47" x14ac:dyDescent="0.3">
      <c r="A419" s="3">
        <f ca="1"/>
        <v>2346826</v>
      </c>
      <c r="B419" s="3" t="str">
        <f ca="1"/>
        <v>CZECH NEWS CENTER a. s.</v>
      </c>
      <c r="C419" s="3" t="str">
        <f ca="1">IFERROR(__xludf.DUMMYFUNCTION("""COMPUTED_VALUE"""),"DIGIarena")</f>
        <v>DIGIarena</v>
      </c>
      <c r="D419" s="4" t="str">
        <f ca="1">IFERROR(__xludf.DUMMYFUNCTION("""COMPUTED_VALUE"""),"https://digiarena.zive.cz")</f>
        <v>https://digiarena.zive.cz</v>
      </c>
      <c r="E419" s="3" t="str">
        <f ca="1">IFERROR(__xludf.DUMMYFUNCTION("""COMPUTED_VALUE"""),"celý web")</f>
        <v>celý web</v>
      </c>
      <c r="F419" s="4" t="str">
        <f ca="1">IFERROR(__xludf.DUMMYFUNCTION("""COMPUTED_VALUE"""),"https://digiarena.zive.cz")</f>
        <v>https://digiarena.zive.cz</v>
      </c>
      <c r="G419" s="3" t="str">
        <f ca="1">IFERROR(__xludf.DUMMYFUNCTION("""COMPUTED_VALUE"""),"PR článek mid season")</f>
        <v>PR článek mid season</v>
      </c>
      <c r="H419" s="3">
        <f ca="1">IFERROR(__xludf.DUMMYFUNCTION("""COMPUTED_VALUE"""),1)</f>
        <v>1</v>
      </c>
      <c r="I419" s="5">
        <f ca="1">IFERROR(__xludf.DUMMYFUNCTION("""COMPUTED_VALUE"""),1)</f>
        <v>1</v>
      </c>
      <c r="J419" s="5">
        <f ca="1">IFERROR(__xludf.DUMMYFUNCTION("""COMPUTED_VALUE"""),20000)</f>
        <v>20000</v>
      </c>
      <c r="K419" s="3"/>
      <c r="L419" s="3" t="str">
        <f ca="1">IFERROR(__xludf.DUMMYFUNCTION("""COMPUTED_VALUE"""),"Cost per instance")</f>
        <v>Cost per instance</v>
      </c>
      <c r="M419" s="3"/>
      <c r="N419" s="3"/>
      <c r="O419" s="3"/>
      <c r="P419" s="3"/>
      <c r="Q419" s="3"/>
      <c r="R419" s="3"/>
      <c r="S419" s="3" t="str">
        <f ca="1">IFERROR(__xludf.DUMMYFUNCTION("""COMPUTED_VALUE"""),"100")</f>
        <v>100</v>
      </c>
      <c r="T419" s="3"/>
      <c r="U419" s="3" t="str">
        <f ca="1">IFERROR(__xludf.DUMMYFUNCTION("""COMPUTED_VALUE"""),"pr článek")</f>
        <v>pr článek</v>
      </c>
      <c r="V419" s="3"/>
      <c r="W419" s="4" t="str">
        <f ca="1">IFERROR(__xludf.DUMMYFUNCTION("""COMPUTED_VALUE"""),"https://reklama.cncenter.cz/?ads=PR%2520%25C4%258Dl%25C3%25A1nky")</f>
        <v>https://reklama.cncenter.cz/?ads=PR%2520%25C4%258Dl%25C3%25A1nky</v>
      </c>
      <c r="X419" s="3"/>
      <c r="Y419" s="3"/>
      <c r="Z419" s="3" t="str">
        <f ca="1">IFERROR(__xludf.DUMMYFUNCTION("""COMPUTED_VALUE"""),"podklady@cncenter.cz")</f>
        <v>podklady@cncenter.cz</v>
      </c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 t="str">
        <f ca="1">IFERROR(__xludf.DUMMYFUNCTION("""COMPUTED_VALUE"""),"cross-device")</f>
        <v>cross-device</v>
      </c>
      <c r="AO419" s="3"/>
      <c r="AP419" s="3"/>
      <c r="AQ419" s="3"/>
      <c r="AR419" s="3"/>
      <c r="AS419" s="3"/>
      <c r="AT419" s="3"/>
      <c r="AU419" s="3" t="str">
        <f ca="1">IFERROR(__xludf.DUMMYFUNCTION("""COMPUTED_VALUE"""),"PR článek")</f>
        <v>PR článek</v>
      </c>
    </row>
    <row r="420" spans="1:47" x14ac:dyDescent="0.3">
      <c r="A420" s="3">
        <f ca="1"/>
        <v>2346826</v>
      </c>
      <c r="B420" s="3" t="str">
        <f ca="1"/>
        <v>CZECH NEWS CENTER a. s.</v>
      </c>
      <c r="C420" s="3" t="str">
        <f ca="1">IFERROR(__xludf.DUMMYFUNCTION("""COMPUTED_VALUE"""),"DIGIarena")</f>
        <v>DIGIarena</v>
      </c>
      <c r="D420" s="4" t="str">
        <f ca="1">IFERROR(__xludf.DUMMYFUNCTION("""COMPUTED_VALUE"""),"https://digiarena.zive.cz")</f>
        <v>https://digiarena.zive.cz</v>
      </c>
      <c r="E420" s="3" t="str">
        <f ca="1">IFERROR(__xludf.DUMMYFUNCTION("""COMPUTED_VALUE"""),"celý web")</f>
        <v>celý web</v>
      </c>
      <c r="F420" s="4" t="str">
        <f ca="1">IFERROR(__xludf.DUMMYFUNCTION("""COMPUTED_VALUE"""),"https://digiarena.zive.cz")</f>
        <v>https://digiarena.zive.cz</v>
      </c>
      <c r="G420" s="3" t="str">
        <f ca="1">IFERROR(__xludf.DUMMYFUNCTION("""COMPUTED_VALUE"""),"Prodloužení existující microsite, bez úprav mid season")</f>
        <v>Prodloužení existující microsite, bez úprav mid season</v>
      </c>
      <c r="H420" s="3">
        <f ca="1">IFERROR(__xludf.DUMMYFUNCTION("""COMPUTED_VALUE"""),1)</f>
        <v>1</v>
      </c>
      <c r="I420" s="5">
        <f ca="1">IFERROR(__xludf.DUMMYFUNCTION("""COMPUTED_VALUE"""),1)</f>
        <v>1</v>
      </c>
      <c r="J420" s="5">
        <f ca="1">IFERROR(__xludf.DUMMYFUNCTION("""COMPUTED_VALUE"""),15000)</f>
        <v>15000</v>
      </c>
      <c r="K420" s="3"/>
      <c r="L420" s="3" t="str">
        <f ca="1">IFERROR(__xludf.DUMMYFUNCTION("""COMPUTED_VALUE"""),"Cost per instance")</f>
        <v>Cost per instance</v>
      </c>
      <c r="M420" s="3"/>
      <c r="N420" s="3"/>
      <c r="O420" s="3"/>
      <c r="P420" s="3"/>
      <c r="Q420" s="3"/>
      <c r="R420" s="3"/>
      <c r="S420" s="3" t="str">
        <f ca="1">IFERROR(__xludf.DUMMYFUNCTION("""COMPUTED_VALUE"""),"100")</f>
        <v>100</v>
      </c>
      <c r="T420" s="3"/>
      <c r="U420" s="3" t="str">
        <f ca="1">IFERROR(__xludf.DUMMYFUNCTION("""COMPUTED_VALUE"""),"microsite")</f>
        <v>microsite</v>
      </c>
      <c r="V420" s="3"/>
      <c r="W420" s="3"/>
      <c r="X420" s="3"/>
      <c r="Y420" s="3"/>
      <c r="Z420" s="3" t="str">
        <f ca="1">IFERROR(__xludf.DUMMYFUNCTION("""COMPUTED_VALUE"""),"podklady@cncenter.cz")</f>
        <v>podklady@cncenter.cz</v>
      </c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 t="str">
        <f ca="1">IFERROR(__xludf.DUMMYFUNCTION("""COMPUTED_VALUE"""),"cross-device")</f>
        <v>cross-device</v>
      </c>
      <c r="AO420" s="3"/>
      <c r="AP420" s="3"/>
      <c r="AQ420" s="3"/>
      <c r="AR420" s="3"/>
      <c r="AS420" s="3"/>
      <c r="AT420" s="3"/>
      <c r="AU420" s="3" t="str">
        <f ca="1">IFERROR(__xludf.DUMMYFUNCTION("""COMPUTED_VALUE"""),"Prodloužení existující microsite, bez úprav")</f>
        <v>Prodloužení existující microsite, bez úprav</v>
      </c>
    </row>
    <row r="421" spans="1:47" x14ac:dyDescent="0.3">
      <c r="A421" s="3">
        <f ca="1"/>
        <v>2346826</v>
      </c>
      <c r="B421" s="3" t="str">
        <f ca="1"/>
        <v>CZECH NEWS CENTER a. s.</v>
      </c>
      <c r="C421" s="3" t="str">
        <f ca="1">IFERROR(__xludf.DUMMYFUNCTION("""COMPUTED_VALUE"""),"DIGIarena")</f>
        <v>DIGIarena</v>
      </c>
      <c r="D421" s="4" t="str">
        <f ca="1">IFERROR(__xludf.DUMMYFUNCTION("""COMPUTED_VALUE"""),"https://digiarena.zive.cz")</f>
        <v>https://digiarena.zive.cz</v>
      </c>
      <c r="E421" s="3" t="str">
        <f ca="1">IFERROR(__xludf.DUMMYFUNCTION("""COMPUTED_VALUE"""),"celý web")</f>
        <v>celý web</v>
      </c>
      <c r="F421" s="4" t="str">
        <f ca="1">IFERROR(__xludf.DUMMYFUNCTION("""COMPUTED_VALUE"""),"https://digiarena.zive.cz")</f>
        <v>https://digiarena.zive.cz</v>
      </c>
      <c r="G421" s="3" t="str">
        <f ca="1">IFERROR(__xludf.DUMMYFUNCTION("""COMPUTED_VALUE"""),"Prodloužení existující microsite, bez úprav mid season")</f>
        <v>Prodloužení existující microsite, bez úprav mid season</v>
      </c>
      <c r="H421" s="3">
        <f ca="1">IFERROR(__xludf.DUMMYFUNCTION("""COMPUTED_VALUE"""),1)</f>
        <v>1</v>
      </c>
      <c r="I421" s="5">
        <f ca="1">IFERROR(__xludf.DUMMYFUNCTION("""COMPUTED_VALUE"""),1)</f>
        <v>1</v>
      </c>
      <c r="J421" s="5">
        <f ca="1">IFERROR(__xludf.DUMMYFUNCTION("""COMPUTED_VALUE"""),15000)</f>
        <v>15000</v>
      </c>
      <c r="K421" s="3"/>
      <c r="L421" s="3" t="str">
        <f ca="1">IFERROR(__xludf.DUMMYFUNCTION("""COMPUTED_VALUE"""),"Cost per instance")</f>
        <v>Cost per instance</v>
      </c>
      <c r="M421" s="3"/>
      <c r="N421" s="3"/>
      <c r="O421" s="3"/>
      <c r="P421" s="3"/>
      <c r="Q421" s="3"/>
      <c r="R421" s="3"/>
      <c r="S421" s="3" t="str">
        <f ca="1">IFERROR(__xludf.DUMMYFUNCTION("""COMPUTED_VALUE"""),"100")</f>
        <v>100</v>
      </c>
      <c r="T421" s="3"/>
      <c r="U421" s="3" t="str">
        <f ca="1">IFERROR(__xludf.DUMMYFUNCTION("""COMPUTED_VALUE"""),"microsite")</f>
        <v>microsite</v>
      </c>
      <c r="V421" s="3"/>
      <c r="W421" s="3"/>
      <c r="X421" s="3"/>
      <c r="Y421" s="3"/>
      <c r="Z421" s="3" t="str">
        <f ca="1">IFERROR(__xludf.DUMMYFUNCTION("""COMPUTED_VALUE"""),"podklady@cncenter.cz")</f>
        <v>podklady@cncenter.cz</v>
      </c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 t="str">
        <f ca="1">IFERROR(__xludf.DUMMYFUNCTION("""COMPUTED_VALUE"""),"cross-device")</f>
        <v>cross-device</v>
      </c>
      <c r="AO421" s="3"/>
      <c r="AP421" s="3"/>
      <c r="AQ421" s="3"/>
      <c r="AR421" s="3"/>
      <c r="AS421" s="3"/>
      <c r="AT421" s="3"/>
      <c r="AU421" s="3" t="str">
        <f ca="1">IFERROR(__xludf.DUMMYFUNCTION("""COMPUTED_VALUE"""),"Prodloužení existující microsite, bez úprav")</f>
        <v>Prodloužení existující microsite, bez úprav</v>
      </c>
    </row>
    <row r="422" spans="1:47" x14ac:dyDescent="0.3">
      <c r="A422" s="3">
        <f ca="1"/>
        <v>2346826</v>
      </c>
      <c r="B422" s="3" t="str">
        <f ca="1"/>
        <v>CZECH NEWS CENTER a. s.</v>
      </c>
      <c r="C422" s="3" t="str">
        <f ca="1">IFERROR(__xludf.DUMMYFUNCTION("""COMPUTED_VALUE"""),"DIGIarena")</f>
        <v>DIGIarena</v>
      </c>
      <c r="D422" s="4" t="str">
        <f ca="1">IFERROR(__xludf.DUMMYFUNCTION("""COMPUTED_VALUE"""),"https://digiarena.zive.cz")</f>
        <v>https://digiarena.zive.cz</v>
      </c>
      <c r="E422" s="3" t="str">
        <f ca="1">IFERROR(__xludf.DUMMYFUNCTION("""COMPUTED_VALUE"""),"celý web")</f>
        <v>celý web</v>
      </c>
      <c r="F422" s="4" t="str">
        <f ca="1">IFERROR(__xludf.DUMMYFUNCTION("""COMPUTED_VALUE"""),"https://digiarena.zive.cz")</f>
        <v>https://digiarena.zive.cz</v>
      </c>
      <c r="G422" s="3" t="str">
        <f ca="1">IFERROR(__xludf.DUMMYFUNCTION("""COMPUTED_VALUE"""),"Prodloužení existující microsite, bez úprav mid season")</f>
        <v>Prodloužení existující microsite, bez úprav mid season</v>
      </c>
      <c r="H422" s="3">
        <f ca="1">IFERROR(__xludf.DUMMYFUNCTION("""COMPUTED_VALUE"""),1)</f>
        <v>1</v>
      </c>
      <c r="I422" s="5">
        <f ca="1">IFERROR(__xludf.DUMMYFUNCTION("""COMPUTED_VALUE"""),1)</f>
        <v>1</v>
      </c>
      <c r="J422" s="5">
        <f ca="1">IFERROR(__xludf.DUMMYFUNCTION("""COMPUTED_VALUE"""),15000)</f>
        <v>15000</v>
      </c>
      <c r="K422" s="3"/>
      <c r="L422" s="3" t="str">
        <f ca="1">IFERROR(__xludf.DUMMYFUNCTION("""COMPUTED_VALUE"""),"Cost per instance")</f>
        <v>Cost per instance</v>
      </c>
      <c r="M422" s="3"/>
      <c r="N422" s="3"/>
      <c r="O422" s="3"/>
      <c r="P422" s="3"/>
      <c r="Q422" s="3"/>
      <c r="R422" s="3"/>
      <c r="S422" s="3" t="str">
        <f ca="1">IFERROR(__xludf.DUMMYFUNCTION("""COMPUTED_VALUE"""),"100")</f>
        <v>100</v>
      </c>
      <c r="T422" s="3"/>
      <c r="U422" s="3" t="str">
        <f ca="1">IFERROR(__xludf.DUMMYFUNCTION("""COMPUTED_VALUE"""),"microsite")</f>
        <v>microsite</v>
      </c>
      <c r="V422" s="3"/>
      <c r="W422" s="3"/>
      <c r="X422" s="3"/>
      <c r="Y422" s="3"/>
      <c r="Z422" s="3" t="str">
        <f ca="1">IFERROR(__xludf.DUMMYFUNCTION("""COMPUTED_VALUE"""),"podklady@cncenter.cz")</f>
        <v>podklady@cncenter.cz</v>
      </c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 t="str">
        <f ca="1">IFERROR(__xludf.DUMMYFUNCTION("""COMPUTED_VALUE"""),"cross-device")</f>
        <v>cross-device</v>
      </c>
      <c r="AO422" s="3"/>
      <c r="AP422" s="3"/>
      <c r="AQ422" s="3"/>
      <c r="AR422" s="3"/>
      <c r="AS422" s="3"/>
      <c r="AT422" s="3"/>
      <c r="AU422" s="3" t="str">
        <f ca="1">IFERROR(__xludf.DUMMYFUNCTION("""COMPUTED_VALUE"""),"Prodloužení existující microsite, bez úprav")</f>
        <v>Prodloužení existující microsite, bez úprav</v>
      </c>
    </row>
    <row r="423" spans="1:47" x14ac:dyDescent="0.3">
      <c r="A423" s="3">
        <f ca="1"/>
        <v>2346826</v>
      </c>
      <c r="B423" s="3" t="str">
        <f ca="1"/>
        <v>CZECH NEWS CENTER a. s.</v>
      </c>
      <c r="C423" s="3" t="str">
        <f ca="1">IFERROR(__xludf.DUMMYFUNCTION("""COMPUTED_VALUE"""),"Doupě")</f>
        <v>Doupě</v>
      </c>
      <c r="D423" s="4" t="str">
        <f ca="1">IFERROR(__xludf.DUMMYFUNCTION("""COMPUTED_VALUE"""),"https://doupe.zive.cz")</f>
        <v>https://doupe.zive.cz</v>
      </c>
      <c r="E423" s="3" t="str">
        <f ca="1">IFERROR(__xludf.DUMMYFUNCTION("""COMPUTED_VALUE"""),"celý web")</f>
        <v>celý web</v>
      </c>
      <c r="F423" s="4" t="str">
        <f ca="1">IFERROR(__xludf.DUMMYFUNCTION("""COMPUTED_VALUE"""),"https://doupe.zive.cz")</f>
        <v>https://doupe.zive.cz</v>
      </c>
      <c r="G423" s="3" t="str">
        <f ca="1">IFERROR(__xludf.DUMMYFUNCTION("""COMPUTED_VALUE"""),"Advertorial mid season")</f>
        <v>Advertorial mid season</v>
      </c>
      <c r="H423" s="3">
        <f ca="1">IFERROR(__xludf.DUMMYFUNCTION("""COMPUTED_VALUE"""),1)</f>
        <v>1</v>
      </c>
      <c r="I423" s="5">
        <f ca="1">IFERROR(__xludf.DUMMYFUNCTION("""COMPUTED_VALUE"""),1)</f>
        <v>1</v>
      </c>
      <c r="J423" s="5">
        <f ca="1">IFERROR(__xludf.DUMMYFUNCTION("""COMPUTED_VALUE"""),90000)</f>
        <v>90000</v>
      </c>
      <c r="K423" s="3"/>
      <c r="L423" s="3" t="str">
        <f ca="1">IFERROR(__xludf.DUMMYFUNCTION("""COMPUTED_VALUE"""),"Cost per instance")</f>
        <v>Cost per instance</v>
      </c>
      <c r="M423" s="3"/>
      <c r="N423" s="3"/>
      <c r="O423" s="3"/>
      <c r="P423" s="3"/>
      <c r="Q423" s="3"/>
      <c r="R423" s="3"/>
      <c r="S423" s="3" t="str">
        <f ca="1">IFERROR(__xludf.DUMMYFUNCTION("""COMPUTED_VALUE"""),"100")</f>
        <v>100</v>
      </c>
      <c r="T423" s="3"/>
      <c r="U423" s="3" t="str">
        <f ca="1">IFERROR(__xludf.DUMMYFUNCTION("""COMPUTED_VALUE"""),"pr článek")</f>
        <v>pr článek</v>
      </c>
      <c r="V423" s="3"/>
      <c r="W423" s="3"/>
      <c r="X423" s="3"/>
      <c r="Y423" s="3"/>
      <c r="Z423" s="3" t="str">
        <f ca="1">IFERROR(__xludf.DUMMYFUNCTION("""COMPUTED_VALUE"""),"podklady@cncenter.cz")</f>
        <v>podklady@cncenter.cz</v>
      </c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 t="str">
        <f ca="1">IFERROR(__xludf.DUMMYFUNCTION("""COMPUTED_VALUE"""),"cross-device")</f>
        <v>cross-device</v>
      </c>
      <c r="AO423" s="3"/>
      <c r="AP423" s="3"/>
      <c r="AQ423" s="3"/>
      <c r="AR423" s="3"/>
      <c r="AS423" s="3"/>
      <c r="AT423" s="3"/>
      <c r="AU423" s="3" t="str">
        <f ca="1">IFERROR(__xludf.DUMMYFUNCTION("""COMPUTED_VALUE"""),"Advertorial")</f>
        <v>Advertorial</v>
      </c>
    </row>
    <row r="424" spans="1:47" x14ac:dyDescent="0.3">
      <c r="A424" s="3">
        <f ca="1"/>
        <v>2346826</v>
      </c>
      <c r="B424" s="3" t="str">
        <f ca="1"/>
        <v>CZECH NEWS CENTER a. s.</v>
      </c>
      <c r="C424" s="3" t="str">
        <f ca="1">IFERROR(__xludf.DUMMYFUNCTION("""COMPUTED_VALUE"""),"Doupě")</f>
        <v>Doupě</v>
      </c>
      <c r="D424" s="4" t="str">
        <f ca="1">IFERROR(__xludf.DUMMYFUNCTION("""COMPUTED_VALUE"""),"https://doupe.zive.cz")</f>
        <v>https://doupe.zive.cz</v>
      </c>
      <c r="E424" s="3" t="str">
        <f ca="1">IFERROR(__xludf.DUMMYFUNCTION("""COMPUTED_VALUE"""),"celý web")</f>
        <v>celý web</v>
      </c>
      <c r="F424" s="4" t="str">
        <f ca="1">IFERROR(__xludf.DUMMYFUNCTION("""COMPUTED_VALUE"""),"https://doupe.zive.cz")</f>
        <v>https://doupe.zive.cz</v>
      </c>
      <c r="G424" s="3" t="str">
        <f ca="1">IFERROR(__xludf.DUMMYFUNCTION("""COMPUTED_VALUE"""),"billboard bottom mid season")</f>
        <v>billboard bottom mid season</v>
      </c>
      <c r="H424" s="3">
        <f ca="1">IFERROR(__xludf.DUMMYFUNCTION("""COMPUTED_VALUE"""),7)</f>
        <v>7</v>
      </c>
      <c r="I424" s="5">
        <f ca="1">IFERROR(__xludf.DUMMYFUNCTION("""COMPUTED_VALUE"""),1000)</f>
        <v>1000</v>
      </c>
      <c r="J424" s="5">
        <f ca="1">IFERROR(__xludf.DUMMYFUNCTION("""COMPUTED_VALUE"""),340)</f>
        <v>340</v>
      </c>
      <c r="K424" s="3"/>
      <c r="L424" s="3" t="str">
        <f ca="1">IFERROR(__xludf.DUMMYFUNCTION("""COMPUTED_VALUE"""),"Cost per period")</f>
        <v>Cost per period</v>
      </c>
      <c r="M424" s="3"/>
      <c r="N424" s="3"/>
      <c r="O424" s="3" t="str">
        <f ca="1">IFERROR(__xludf.DUMMYFUNCTION("""COMPUTED_VALUE"""),"970")</f>
        <v>970</v>
      </c>
      <c r="P424" s="3" t="str">
        <f ca="1">IFERROR(__xludf.DUMMYFUNCTION("""COMPUTED_VALUE"""),"250")</f>
        <v>250</v>
      </c>
      <c r="Q424" s="3" t="str">
        <f ca="1">IFERROR(__xludf.DUMMYFUNCTION("""COMPUTED_VALUE"""),"970x250")</f>
        <v>970x250</v>
      </c>
      <c r="R424" s="3"/>
      <c r="S424" s="3" t="str">
        <f ca="1">IFERROR(__xludf.DUMMYFUNCTION("""COMPUTED_VALUE"""),"100 (200 - HTML5)")</f>
        <v>100 (200 - HTML5)</v>
      </c>
      <c r="T424" s="3"/>
      <c r="U424" s="3" t="str">
        <f ca="1">IFERROR(__xludf.DUMMYFUNCTION("""COMPUTED_VALUE"""),"banner standard")</f>
        <v>banner standard</v>
      </c>
      <c r="V424" s="3"/>
      <c r="W424" s="4" t="str">
        <f ca="1">IFERROR(__xludf.DUMMYFUNCTION("""COMPUTED_VALUE"""),"https://reklama.cncenter.cz/Online/billboard-bottom")</f>
        <v>https://reklama.cncenter.cz/Online/billboard-bottom</v>
      </c>
      <c r="X424" s="3"/>
      <c r="Y424" s="3"/>
      <c r="Z424" s="3" t="str">
        <f ca="1">IFERROR(__xludf.DUMMYFUNCTION("""COMPUTED_VALUE"""),"podklady@cncenter.cz")</f>
        <v>podklady@cncenter.cz</v>
      </c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 t="str">
        <f ca="1">IFERROR(__xludf.DUMMYFUNCTION("""COMPUTED_VALUE"""),"desktop")</f>
        <v>desktop</v>
      </c>
      <c r="AO424" s="3"/>
      <c r="AP424" s="3"/>
      <c r="AQ424" s="3"/>
      <c r="AR424" s="3"/>
      <c r="AS424" s="3"/>
      <c r="AT424" s="3"/>
      <c r="AU424" s="3" t="str">
        <f ca="1">IFERROR(__xludf.DUMMYFUNCTION("""COMPUTED_VALUE"""),"billboard bottom")</f>
        <v>billboard bottom</v>
      </c>
    </row>
    <row r="425" spans="1:47" x14ac:dyDescent="0.3">
      <c r="A425" s="3">
        <f ca="1"/>
        <v>2346826</v>
      </c>
      <c r="B425" s="3" t="str">
        <f ca="1"/>
        <v>CZECH NEWS CENTER a. s.</v>
      </c>
      <c r="C425" s="3" t="str">
        <f ca="1">IFERROR(__xludf.DUMMYFUNCTION("""COMPUTED_VALUE"""),"Doupě")</f>
        <v>Doupě</v>
      </c>
      <c r="D425" s="4" t="str">
        <f ca="1">IFERROR(__xludf.DUMMYFUNCTION("""COMPUTED_VALUE"""),"https://doupe.zive.cz")</f>
        <v>https://doupe.zive.cz</v>
      </c>
      <c r="E425" s="3" t="str">
        <f ca="1">IFERROR(__xludf.DUMMYFUNCTION("""COMPUTED_VALUE"""),"celý web")</f>
        <v>celý web</v>
      </c>
      <c r="F425" s="4" t="str">
        <f ca="1">IFERROR(__xludf.DUMMYFUNCTION("""COMPUTED_VALUE"""),"https://doupe.zive.cz")</f>
        <v>https://doupe.zive.cz</v>
      </c>
      <c r="G425" s="3" t="str">
        <f ca="1">IFERROR(__xludf.DUMMYFUNCTION("""COMPUTED_VALUE"""),"branding cross-device mid season")</f>
        <v>branding cross-device mid season</v>
      </c>
      <c r="H425" s="3">
        <f ca="1">IFERROR(__xludf.DUMMYFUNCTION("""COMPUTED_VALUE"""),7)</f>
        <v>7</v>
      </c>
      <c r="I425" s="5">
        <f ca="1">IFERROR(__xludf.DUMMYFUNCTION("""COMPUTED_VALUE"""),1000)</f>
        <v>1000</v>
      </c>
      <c r="J425" s="5">
        <f ca="1">IFERROR(__xludf.DUMMYFUNCTION("""COMPUTED_VALUE"""),420)</f>
        <v>420</v>
      </c>
      <c r="K425" s="3"/>
      <c r="L425" s="3" t="str">
        <f ca="1">IFERROR(__xludf.DUMMYFUNCTION("""COMPUTED_VALUE"""),"Cost per period")</f>
        <v>Cost per period</v>
      </c>
      <c r="M425" s="3"/>
      <c r="N425" s="3"/>
      <c r="O425" s="3" t="str">
        <f ca="1">IFERROR(__xludf.DUMMYFUNCTION("""COMPUTED_VALUE"""),"2000")</f>
        <v>2000</v>
      </c>
      <c r="P425" s="3" t="str">
        <f ca="1">IFERROR(__xludf.DUMMYFUNCTION("""COMPUTED_VALUE"""),"1400")</f>
        <v>1400</v>
      </c>
      <c r="Q425" s="3" t="str">
        <f ca="1">IFERROR(__xludf.DUMMYFUNCTION("""COMPUTED_VALUE"""),"2000x1400 + 600x1080")</f>
        <v>2000x1400 + 600x1080</v>
      </c>
      <c r="R425" s="3"/>
      <c r="S425" s="3" t="str">
        <f ca="1">IFERROR(__xludf.DUMMYFUNCTION("""COMPUTED_VALUE"""),"500 (600 - HTLM5)")</f>
        <v>500 (600 - HTLM5)</v>
      </c>
      <c r="T425" s="3"/>
      <c r="U425" s="3" t="str">
        <f ca="1">IFERROR(__xludf.DUMMYFUNCTION("""COMPUTED_VALUE"""),"banner standard")</f>
        <v>banner standard</v>
      </c>
      <c r="V425" s="3"/>
      <c r="W425" s="4" t="str">
        <f ca="1">IFERROR(__xludf.DUMMYFUNCTION("""COMPUTED_VALUE"""),"https://reklama.cncenter.cz/Online/branding-cross-device")</f>
        <v>https://reklama.cncenter.cz/Online/branding-cross-device</v>
      </c>
      <c r="X425" s="3"/>
      <c r="Y425" s="3"/>
      <c r="Z425" s="3" t="str">
        <f ca="1">IFERROR(__xludf.DUMMYFUNCTION("""COMPUTED_VALUE"""),"podklady@cncenter.cz")</f>
        <v>podklady@cncenter.cz</v>
      </c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 t="str">
        <f ca="1">IFERROR(__xludf.DUMMYFUNCTION("""COMPUTED_VALUE"""),"cross-device")</f>
        <v>cross-device</v>
      </c>
      <c r="AO425" s="3"/>
      <c r="AP425" s="3"/>
      <c r="AQ425" s="3"/>
      <c r="AR425" s="3"/>
      <c r="AS425" s="3"/>
      <c r="AT425" s="3"/>
      <c r="AU425" s="3" t="str">
        <f ca="1">IFERROR(__xludf.DUMMYFUNCTION("""COMPUTED_VALUE"""),"branding cross-device")</f>
        <v>branding cross-device</v>
      </c>
    </row>
    <row r="426" spans="1:47" x14ac:dyDescent="0.3">
      <c r="A426" s="3">
        <f ca="1"/>
        <v>2346826</v>
      </c>
      <c r="B426" s="3" t="str">
        <f ca="1"/>
        <v>CZECH NEWS CENTER a. s.</v>
      </c>
      <c r="C426" s="3" t="str">
        <f ca="1">IFERROR(__xludf.DUMMYFUNCTION("""COMPUTED_VALUE"""),"Doupě")</f>
        <v>Doupě</v>
      </c>
      <c r="D426" s="4" t="str">
        <f ca="1">IFERROR(__xludf.DUMMYFUNCTION("""COMPUTED_VALUE"""),"https://doupe.zive.cz")</f>
        <v>https://doupe.zive.cz</v>
      </c>
      <c r="E426" s="3" t="str">
        <f ca="1">IFERROR(__xludf.DUMMYFUNCTION("""COMPUTED_VALUE"""),"celý web")</f>
        <v>celý web</v>
      </c>
      <c r="F426" s="4" t="str">
        <f ca="1">IFERROR(__xludf.DUMMYFUNCTION("""COMPUTED_VALUE"""),"https://doupe.zive.cz")</f>
        <v>https://doupe.zive.cz</v>
      </c>
      <c r="G426" s="3" t="str">
        <f ca="1">IFERROR(__xludf.DUMMYFUNCTION("""COMPUTED_VALUE"""),"branding mid season")</f>
        <v>branding mid season</v>
      </c>
      <c r="H426" s="3">
        <f ca="1">IFERROR(__xludf.DUMMYFUNCTION("""COMPUTED_VALUE"""),7)</f>
        <v>7</v>
      </c>
      <c r="I426" s="5">
        <f ca="1">IFERROR(__xludf.DUMMYFUNCTION("""COMPUTED_VALUE"""),1000)</f>
        <v>1000</v>
      </c>
      <c r="J426" s="5">
        <f ca="1">IFERROR(__xludf.DUMMYFUNCTION("""COMPUTED_VALUE"""),690)</f>
        <v>690</v>
      </c>
      <c r="K426" s="3"/>
      <c r="L426" s="3" t="str">
        <f ca="1">IFERROR(__xludf.DUMMYFUNCTION("""COMPUTED_VALUE"""),"Cost per period")</f>
        <v>Cost per period</v>
      </c>
      <c r="M426" s="3"/>
      <c r="N426" s="3"/>
      <c r="O426" s="3" t="str">
        <f ca="1">IFERROR(__xludf.DUMMYFUNCTION("""COMPUTED_VALUE"""),"2000")</f>
        <v>2000</v>
      </c>
      <c r="P426" s="3" t="str">
        <f ca="1">IFERROR(__xludf.DUMMYFUNCTION("""COMPUTED_VALUE"""),"1400")</f>
        <v>1400</v>
      </c>
      <c r="Q426" s="3" t="str">
        <f ca="1">IFERROR(__xludf.DUMMYFUNCTION("""COMPUTED_VALUE"""),"2000x1400")</f>
        <v>2000x1400</v>
      </c>
      <c r="R426" s="3"/>
      <c r="S426" s="3" t="str">
        <f ca="1">IFERROR(__xludf.DUMMYFUNCTION("""COMPUTED_VALUE"""),"500 + 200 (600+200 HTML5)")</f>
        <v>500 + 200 (600+200 HTML5)</v>
      </c>
      <c r="T426" s="3"/>
      <c r="U426" s="3" t="str">
        <f ca="1">IFERROR(__xludf.DUMMYFUNCTION("""COMPUTED_VALUE"""),"banner standard")</f>
        <v>banner standard</v>
      </c>
      <c r="V426" s="3"/>
      <c r="W426" s="4" t="str">
        <f ca="1">IFERROR(__xludf.DUMMYFUNCTION("""COMPUTED_VALUE"""),"https://reklama.cncenter.cz/Online/branding")</f>
        <v>https://reklama.cncenter.cz/Online/branding</v>
      </c>
      <c r="X426" s="3"/>
      <c r="Y426" s="3"/>
      <c r="Z426" s="3" t="str">
        <f ca="1">IFERROR(__xludf.DUMMYFUNCTION("""COMPUTED_VALUE"""),"podklady@cncenter.cz")</f>
        <v>podklady@cncenter.cz</v>
      </c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 t="str">
        <f ca="1">IFERROR(__xludf.DUMMYFUNCTION("""COMPUTED_VALUE"""),"desktop")</f>
        <v>desktop</v>
      </c>
      <c r="AO426" s="3"/>
      <c r="AP426" s="3"/>
      <c r="AQ426" s="3"/>
      <c r="AR426" s="3"/>
      <c r="AS426" s="3"/>
      <c r="AT426" s="3"/>
      <c r="AU426" s="3" t="str">
        <f ca="1">IFERROR(__xludf.DUMMYFUNCTION("""COMPUTED_VALUE"""),"branding")</f>
        <v>branding</v>
      </c>
    </row>
    <row r="427" spans="1:47" x14ac:dyDescent="0.3">
      <c r="A427" s="3">
        <f ca="1"/>
        <v>2346826</v>
      </c>
      <c r="B427" s="3" t="str">
        <f ca="1"/>
        <v>CZECH NEWS CENTER a. s.</v>
      </c>
      <c r="C427" s="3" t="str">
        <f ca="1">IFERROR(__xludf.DUMMYFUNCTION("""COMPUTED_VALUE"""),"Doupě")</f>
        <v>Doupě</v>
      </c>
      <c r="D427" s="4" t="str">
        <f ca="1">IFERROR(__xludf.DUMMYFUNCTION("""COMPUTED_VALUE"""),"https://doupe.zive.cz")</f>
        <v>https://doupe.zive.cz</v>
      </c>
      <c r="E427" s="3" t="str">
        <f ca="1">IFERROR(__xludf.DUMMYFUNCTION("""COMPUTED_VALUE"""),"celý web")</f>
        <v>celý web</v>
      </c>
      <c r="F427" s="4" t="str">
        <f ca="1">IFERROR(__xludf.DUMMYFUNCTION("""COMPUTED_VALUE"""),"https://doupe.zive.cz")</f>
        <v>https://doupe.zive.cz</v>
      </c>
      <c r="G427" s="3" t="str">
        <f ca="1">IFERROR(__xludf.DUMMYFUNCTION("""COMPUTED_VALUE"""),"cílený billboard bottom mid season")</f>
        <v>cílený billboard bottom mid season</v>
      </c>
      <c r="H427" s="3">
        <f ca="1">IFERROR(__xludf.DUMMYFUNCTION("""COMPUTED_VALUE"""),7)</f>
        <v>7</v>
      </c>
      <c r="I427" s="5">
        <f ca="1">IFERROR(__xludf.DUMMYFUNCTION("""COMPUTED_VALUE"""),1000)</f>
        <v>1000</v>
      </c>
      <c r="J427" s="5">
        <f ca="1">IFERROR(__xludf.DUMMYFUNCTION("""COMPUTED_VALUE"""),408)</f>
        <v>408</v>
      </c>
      <c r="K427" s="3"/>
      <c r="L427" s="3" t="str">
        <f ca="1">IFERROR(__xludf.DUMMYFUNCTION("""COMPUTED_VALUE"""),"Cost per period")</f>
        <v>Cost per period</v>
      </c>
      <c r="M427" s="3"/>
      <c r="N427" s="3"/>
      <c r="O427" s="3" t="str">
        <f ca="1">IFERROR(__xludf.DUMMYFUNCTION("""COMPUTED_VALUE"""),"970")</f>
        <v>970</v>
      </c>
      <c r="P427" s="3" t="str">
        <f ca="1">IFERROR(__xludf.DUMMYFUNCTION("""COMPUTED_VALUE"""),"250")</f>
        <v>250</v>
      </c>
      <c r="Q427" s="3" t="str">
        <f ca="1">IFERROR(__xludf.DUMMYFUNCTION("""COMPUTED_VALUE"""),"970x250")</f>
        <v>970x250</v>
      </c>
      <c r="R427" s="3"/>
      <c r="S427" s="3" t="str">
        <f ca="1">IFERROR(__xludf.DUMMYFUNCTION("""COMPUTED_VALUE"""),"100 (200 - HTML5)")</f>
        <v>100 (200 - HTML5)</v>
      </c>
      <c r="T427" s="3"/>
      <c r="U427" s="3" t="str">
        <f ca="1">IFERROR(__xludf.DUMMYFUNCTION("""COMPUTED_VALUE"""),"banner standard")</f>
        <v>banner standard</v>
      </c>
      <c r="V427" s="3"/>
      <c r="W427" s="4" t="str">
        <f ca="1">IFERROR(__xludf.DUMMYFUNCTION("""COMPUTED_VALUE"""),"https://reklama.cncenter.cz/Online/billboard-bottom")</f>
        <v>https://reklama.cncenter.cz/Online/billboard-bottom</v>
      </c>
      <c r="X427" s="3"/>
      <c r="Y427" s="3"/>
      <c r="Z427" s="3" t="str">
        <f ca="1">IFERROR(__xludf.DUMMYFUNCTION("""COMPUTED_VALUE"""),"podklady@cncenter.cz")</f>
        <v>podklady@cncenter.cz</v>
      </c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 t="str">
        <f ca="1">IFERROR(__xludf.DUMMYFUNCTION("""COMPUTED_VALUE"""),"desktop")</f>
        <v>desktop</v>
      </c>
      <c r="AO427" s="3"/>
      <c r="AP427" s="3"/>
      <c r="AQ427" s="3"/>
      <c r="AR427" s="3"/>
      <c r="AS427" s="3"/>
      <c r="AT427" s="3"/>
      <c r="AU427" s="3" t="str">
        <f ca="1">IFERROR(__xludf.DUMMYFUNCTION("""COMPUTED_VALUE"""),"cílený billboard bottom")</f>
        <v>cílený billboard bottom</v>
      </c>
    </row>
    <row r="428" spans="1:47" x14ac:dyDescent="0.3">
      <c r="A428" s="3">
        <f ca="1"/>
        <v>2346826</v>
      </c>
      <c r="B428" s="3" t="str">
        <f ca="1"/>
        <v>CZECH NEWS CENTER a. s.</v>
      </c>
      <c r="C428" s="3" t="str">
        <f ca="1">IFERROR(__xludf.DUMMYFUNCTION("""COMPUTED_VALUE"""),"Doupě")</f>
        <v>Doupě</v>
      </c>
      <c r="D428" s="4" t="str">
        <f ca="1">IFERROR(__xludf.DUMMYFUNCTION("""COMPUTED_VALUE"""),"https://doupe.zive.cz")</f>
        <v>https://doupe.zive.cz</v>
      </c>
      <c r="E428" s="3" t="str">
        <f ca="1">IFERROR(__xludf.DUMMYFUNCTION("""COMPUTED_VALUE"""),"celý web")</f>
        <v>celý web</v>
      </c>
      <c r="F428" s="4" t="str">
        <f ca="1">IFERROR(__xludf.DUMMYFUNCTION("""COMPUTED_VALUE"""),"https://doupe.zive.cz")</f>
        <v>https://doupe.zive.cz</v>
      </c>
      <c r="G428" s="3" t="str">
        <f ca="1">IFERROR(__xludf.DUMMYFUNCTION("""COMPUTED_VALUE"""),"cílený branding cross-device mid season")</f>
        <v>cílený branding cross-device mid season</v>
      </c>
      <c r="H428" s="3">
        <f ca="1">IFERROR(__xludf.DUMMYFUNCTION("""COMPUTED_VALUE"""),7)</f>
        <v>7</v>
      </c>
      <c r="I428" s="5">
        <f ca="1">IFERROR(__xludf.DUMMYFUNCTION("""COMPUTED_VALUE"""),1000)</f>
        <v>1000</v>
      </c>
      <c r="J428" s="5">
        <f ca="1">IFERROR(__xludf.DUMMYFUNCTION("""COMPUTED_VALUE"""),504)</f>
        <v>504</v>
      </c>
      <c r="K428" s="3"/>
      <c r="L428" s="3" t="str">
        <f ca="1">IFERROR(__xludf.DUMMYFUNCTION("""COMPUTED_VALUE"""),"Cost per period")</f>
        <v>Cost per period</v>
      </c>
      <c r="M428" s="3"/>
      <c r="N428" s="3"/>
      <c r="O428" s="3" t="str">
        <f ca="1">IFERROR(__xludf.DUMMYFUNCTION("""COMPUTED_VALUE"""),"2000")</f>
        <v>2000</v>
      </c>
      <c r="P428" s="3" t="str">
        <f ca="1">IFERROR(__xludf.DUMMYFUNCTION("""COMPUTED_VALUE"""),"1400")</f>
        <v>1400</v>
      </c>
      <c r="Q428" s="3" t="str">
        <f ca="1">IFERROR(__xludf.DUMMYFUNCTION("""COMPUTED_VALUE"""),"2000x1400 + 600x1080")</f>
        <v>2000x1400 + 600x1080</v>
      </c>
      <c r="R428" s="3"/>
      <c r="S428" s="3" t="str">
        <f ca="1">IFERROR(__xludf.DUMMYFUNCTION("""COMPUTED_VALUE"""),"500 (600 - HTLM5)")</f>
        <v>500 (600 - HTLM5)</v>
      </c>
      <c r="T428" s="3"/>
      <c r="U428" s="3" t="str">
        <f ca="1">IFERROR(__xludf.DUMMYFUNCTION("""COMPUTED_VALUE"""),"banner standard")</f>
        <v>banner standard</v>
      </c>
      <c r="V428" s="3"/>
      <c r="W428" s="4" t="str">
        <f ca="1">IFERROR(__xludf.DUMMYFUNCTION("""COMPUTED_VALUE"""),"https://reklama.cncenter.cz/Online/branding-cross-device")</f>
        <v>https://reklama.cncenter.cz/Online/branding-cross-device</v>
      </c>
      <c r="X428" s="3"/>
      <c r="Y428" s="3"/>
      <c r="Z428" s="3" t="str">
        <f ca="1">IFERROR(__xludf.DUMMYFUNCTION("""COMPUTED_VALUE"""),"podklady@cncenter.cz")</f>
        <v>podklady@cncenter.cz</v>
      </c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 t="str">
        <f ca="1">IFERROR(__xludf.DUMMYFUNCTION("""COMPUTED_VALUE"""),"cross-device")</f>
        <v>cross-device</v>
      </c>
      <c r="AO428" s="3"/>
      <c r="AP428" s="3"/>
      <c r="AQ428" s="3"/>
      <c r="AR428" s="3"/>
      <c r="AS428" s="3"/>
      <c r="AT428" s="3"/>
      <c r="AU428" s="3" t="str">
        <f ca="1">IFERROR(__xludf.DUMMYFUNCTION("""COMPUTED_VALUE"""),"cílený branding cross-device")</f>
        <v>cílený branding cross-device</v>
      </c>
    </row>
    <row r="429" spans="1:47" x14ac:dyDescent="0.3">
      <c r="A429" s="3">
        <f ca="1"/>
        <v>2346826</v>
      </c>
      <c r="B429" s="3" t="str">
        <f ca="1"/>
        <v>CZECH NEWS CENTER a. s.</v>
      </c>
      <c r="C429" s="3" t="str">
        <f ca="1">IFERROR(__xludf.DUMMYFUNCTION("""COMPUTED_VALUE"""),"Doupě")</f>
        <v>Doupě</v>
      </c>
      <c r="D429" s="4" t="str">
        <f ca="1">IFERROR(__xludf.DUMMYFUNCTION("""COMPUTED_VALUE"""),"https://doupe.zive.cz")</f>
        <v>https://doupe.zive.cz</v>
      </c>
      <c r="E429" s="3" t="str">
        <f ca="1">IFERROR(__xludf.DUMMYFUNCTION("""COMPUTED_VALUE"""),"celý web")</f>
        <v>celý web</v>
      </c>
      <c r="F429" s="4" t="str">
        <f ca="1">IFERROR(__xludf.DUMMYFUNCTION("""COMPUTED_VALUE"""),"https://doupe.zive.cz")</f>
        <v>https://doupe.zive.cz</v>
      </c>
      <c r="G429" s="3" t="str">
        <f ca="1">IFERROR(__xludf.DUMMYFUNCTION("""COMPUTED_VALUE"""),"cílený branding mid season")</f>
        <v>cílený branding mid season</v>
      </c>
      <c r="H429" s="3">
        <f ca="1">IFERROR(__xludf.DUMMYFUNCTION("""COMPUTED_VALUE"""),7)</f>
        <v>7</v>
      </c>
      <c r="I429" s="5">
        <f ca="1">IFERROR(__xludf.DUMMYFUNCTION("""COMPUTED_VALUE"""),1000)</f>
        <v>1000</v>
      </c>
      <c r="J429" s="5">
        <f ca="1">IFERROR(__xludf.DUMMYFUNCTION("""COMPUTED_VALUE"""),828)</f>
        <v>828</v>
      </c>
      <c r="K429" s="3"/>
      <c r="L429" s="3" t="str">
        <f ca="1">IFERROR(__xludf.DUMMYFUNCTION("""COMPUTED_VALUE"""),"Cost per period")</f>
        <v>Cost per period</v>
      </c>
      <c r="M429" s="3"/>
      <c r="N429" s="3"/>
      <c r="O429" s="3" t="str">
        <f ca="1">IFERROR(__xludf.DUMMYFUNCTION("""COMPUTED_VALUE"""),"2000")</f>
        <v>2000</v>
      </c>
      <c r="P429" s="3" t="str">
        <f ca="1">IFERROR(__xludf.DUMMYFUNCTION("""COMPUTED_VALUE"""),"1400")</f>
        <v>1400</v>
      </c>
      <c r="Q429" s="3" t="str">
        <f ca="1">IFERROR(__xludf.DUMMYFUNCTION("""COMPUTED_VALUE"""),"2000x1400")</f>
        <v>2000x1400</v>
      </c>
      <c r="R429" s="3"/>
      <c r="S429" s="3" t="str">
        <f ca="1">IFERROR(__xludf.DUMMYFUNCTION("""COMPUTED_VALUE"""),"500 + 200 (600+200 HTML5)")</f>
        <v>500 + 200 (600+200 HTML5)</v>
      </c>
      <c r="T429" s="3"/>
      <c r="U429" s="3" t="str">
        <f ca="1">IFERROR(__xludf.DUMMYFUNCTION("""COMPUTED_VALUE"""),"banner standard")</f>
        <v>banner standard</v>
      </c>
      <c r="V429" s="3"/>
      <c r="W429" s="4" t="str">
        <f ca="1">IFERROR(__xludf.DUMMYFUNCTION("""COMPUTED_VALUE"""),"https://reklama.cncenter.cz/Online/branding")</f>
        <v>https://reklama.cncenter.cz/Online/branding</v>
      </c>
      <c r="X429" s="3"/>
      <c r="Y429" s="3"/>
      <c r="Z429" s="3" t="str">
        <f ca="1">IFERROR(__xludf.DUMMYFUNCTION("""COMPUTED_VALUE"""),"podklady@cncenter.cz")</f>
        <v>podklady@cncenter.cz</v>
      </c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 t="str">
        <f ca="1">IFERROR(__xludf.DUMMYFUNCTION("""COMPUTED_VALUE"""),"desktop")</f>
        <v>desktop</v>
      </c>
      <c r="AO429" s="3"/>
      <c r="AP429" s="3"/>
      <c r="AQ429" s="3"/>
      <c r="AR429" s="3"/>
      <c r="AS429" s="3"/>
      <c r="AT429" s="3"/>
      <c r="AU429" s="3" t="str">
        <f ca="1">IFERROR(__xludf.DUMMYFUNCTION("""COMPUTED_VALUE"""),"cílený branding")</f>
        <v>cílený branding</v>
      </c>
    </row>
    <row r="430" spans="1:47" x14ac:dyDescent="0.3">
      <c r="A430" s="3">
        <f ca="1"/>
        <v>2346826</v>
      </c>
      <c r="B430" s="3" t="str">
        <f ca="1"/>
        <v>CZECH NEWS CENTER a. s.</v>
      </c>
      <c r="C430" s="3" t="str">
        <f ca="1">IFERROR(__xludf.DUMMYFUNCTION("""COMPUTED_VALUE"""),"Doupě")</f>
        <v>Doupě</v>
      </c>
      <c r="D430" s="4" t="str">
        <f ca="1">IFERROR(__xludf.DUMMYFUNCTION("""COMPUTED_VALUE"""),"https://doupe.zive.cz")</f>
        <v>https://doupe.zive.cz</v>
      </c>
      <c r="E430" s="3" t="str">
        <f ca="1">IFERROR(__xludf.DUMMYFUNCTION("""COMPUTED_VALUE"""),"celý web")</f>
        <v>celý web</v>
      </c>
      <c r="F430" s="4" t="str">
        <f ca="1">IFERROR(__xludf.DUMMYFUNCTION("""COMPUTED_VALUE"""),"https://doupe.zive.cz")</f>
        <v>https://doupe.zive.cz</v>
      </c>
      <c r="G430" s="3" t="str">
        <f ca="1">IFERROR(__xludf.DUMMYFUNCTION("""COMPUTED_VALUE"""),"cílený double skyscraper mid season")</f>
        <v>cílený double skyscraper mid season</v>
      </c>
      <c r="H430" s="3">
        <f ca="1">IFERROR(__xludf.DUMMYFUNCTION("""COMPUTED_VALUE"""),7)</f>
        <v>7</v>
      </c>
      <c r="I430" s="5">
        <f ca="1">IFERROR(__xludf.DUMMYFUNCTION("""COMPUTED_VALUE"""),1000)</f>
        <v>1000</v>
      </c>
      <c r="J430" s="5">
        <f ca="1">IFERROR(__xludf.DUMMYFUNCTION("""COMPUTED_VALUE"""),324)</f>
        <v>324</v>
      </c>
      <c r="K430" s="3"/>
      <c r="L430" s="3" t="str">
        <f ca="1">IFERROR(__xludf.DUMMYFUNCTION("""COMPUTED_VALUE"""),"Cost per period")</f>
        <v>Cost per period</v>
      </c>
      <c r="M430" s="3"/>
      <c r="N430" s="3"/>
      <c r="O430" s="3" t="str">
        <f ca="1">IFERROR(__xludf.DUMMYFUNCTION("""COMPUTED_VALUE"""),"300")</f>
        <v>300</v>
      </c>
      <c r="P430" s="3" t="str">
        <f ca="1">IFERROR(__xludf.DUMMYFUNCTION("""COMPUTED_VALUE"""),"600")</f>
        <v>600</v>
      </c>
      <c r="Q430" s="3" t="str">
        <f ca="1">IFERROR(__xludf.DUMMYFUNCTION("""COMPUTED_VALUE"""),"300x600")</f>
        <v>300x600</v>
      </c>
      <c r="R430" s="3"/>
      <c r="S430" s="3" t="str">
        <f ca="1">IFERROR(__xludf.DUMMYFUNCTION("""COMPUTED_VALUE"""),"100 (200 - HTML5)")</f>
        <v>100 (200 - HTML5)</v>
      </c>
      <c r="T430" s="3"/>
      <c r="U430" s="3" t="str">
        <f ca="1">IFERROR(__xludf.DUMMYFUNCTION("""COMPUTED_VALUE"""),"banner standard")</f>
        <v>banner standard</v>
      </c>
      <c r="V430" s="3"/>
      <c r="W430" s="4" t="str">
        <f ca="1">IFERROR(__xludf.DUMMYFUNCTION("""COMPUTED_VALUE"""),"https://reklama.cncenter.cz/Online/double-skyscraper")</f>
        <v>https://reklama.cncenter.cz/Online/double-skyscraper</v>
      </c>
      <c r="X430" s="3"/>
      <c r="Y430" s="3"/>
      <c r="Z430" s="3" t="str">
        <f ca="1">IFERROR(__xludf.DUMMYFUNCTION("""COMPUTED_VALUE"""),"podklady@cncenter.cz")</f>
        <v>podklady@cncenter.cz</v>
      </c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 t="str">
        <f ca="1">IFERROR(__xludf.DUMMYFUNCTION("""COMPUTED_VALUE"""),"desktop")</f>
        <v>desktop</v>
      </c>
      <c r="AO430" s="3"/>
      <c r="AP430" s="3"/>
      <c r="AQ430" s="3"/>
      <c r="AR430" s="3"/>
      <c r="AS430" s="3"/>
      <c r="AT430" s="3"/>
      <c r="AU430" s="3" t="str">
        <f ca="1">IFERROR(__xludf.DUMMYFUNCTION("""COMPUTED_VALUE"""),"cílený double skyscraper")</f>
        <v>cílený double skyscraper</v>
      </c>
    </row>
    <row r="431" spans="1:47" x14ac:dyDescent="0.3">
      <c r="A431" s="3">
        <f ca="1"/>
        <v>2346826</v>
      </c>
      <c r="B431" s="3" t="str">
        <f ca="1"/>
        <v>CZECH NEWS CENTER a. s.</v>
      </c>
      <c r="C431" s="3" t="str">
        <f ca="1">IFERROR(__xludf.DUMMYFUNCTION("""COMPUTED_VALUE"""),"Doupě")</f>
        <v>Doupě</v>
      </c>
      <c r="D431" s="4" t="str">
        <f ca="1">IFERROR(__xludf.DUMMYFUNCTION("""COMPUTED_VALUE"""),"https://doupe.zive.cz")</f>
        <v>https://doupe.zive.cz</v>
      </c>
      <c r="E431" s="3" t="str">
        <f ca="1">IFERROR(__xludf.DUMMYFUNCTION("""COMPUTED_VALUE"""),"celý web")</f>
        <v>celý web</v>
      </c>
      <c r="F431" s="4" t="str">
        <f ca="1">IFERROR(__xludf.DUMMYFUNCTION("""COMPUTED_VALUE"""),"https://doupe.zive.cz")</f>
        <v>https://doupe.zive.cz</v>
      </c>
      <c r="G431" s="3" t="str">
        <f ca="1">IFERROR(__xludf.DUMMYFUNCTION("""COMPUTED_VALUE"""),"cílený mobilní interscroller mid season")</f>
        <v>cílený mobilní interscroller mid season</v>
      </c>
      <c r="H431" s="3">
        <f ca="1">IFERROR(__xludf.DUMMYFUNCTION("""COMPUTED_VALUE"""),7)</f>
        <v>7</v>
      </c>
      <c r="I431" s="5">
        <f ca="1">IFERROR(__xludf.DUMMYFUNCTION("""COMPUTED_VALUE"""),1000)</f>
        <v>1000</v>
      </c>
      <c r="J431" s="5">
        <f ca="1">IFERROR(__xludf.DUMMYFUNCTION("""COMPUTED_VALUE"""),420)</f>
        <v>420</v>
      </c>
      <c r="K431" s="3"/>
      <c r="L431" s="3" t="str">
        <f ca="1">IFERROR(__xludf.DUMMYFUNCTION("""COMPUTED_VALUE"""),"Cost per period")</f>
        <v>Cost per period</v>
      </c>
      <c r="M431" s="3"/>
      <c r="N431" s="3"/>
      <c r="O431" s="3" t="str">
        <f ca="1">IFERROR(__xludf.DUMMYFUNCTION("""COMPUTED_VALUE"""),"600")</f>
        <v>600</v>
      </c>
      <c r="P431" s="3" t="str">
        <f ca="1">IFERROR(__xludf.DUMMYFUNCTION("""COMPUTED_VALUE"""),"1080")</f>
        <v>1080</v>
      </c>
      <c r="Q431" s="3" t="str">
        <f ca="1">IFERROR(__xludf.DUMMYFUNCTION("""COMPUTED_VALUE"""),"600x1080")</f>
        <v>600x1080</v>
      </c>
      <c r="R431" s="3"/>
      <c r="S431" s="3" t="str">
        <f ca="1">IFERROR(__xludf.DUMMYFUNCTION("""COMPUTED_VALUE"""),"200")</f>
        <v>200</v>
      </c>
      <c r="T431" s="3"/>
      <c r="U431" s="3" t="str">
        <f ca="1">IFERROR(__xludf.DUMMYFUNCTION("""COMPUTED_VALUE"""),"banner standard")</f>
        <v>banner standard</v>
      </c>
      <c r="V431" s="3"/>
      <c r="W431" s="4" t="str">
        <f ca="1">IFERROR(__xludf.DUMMYFUNCTION("""COMPUTED_VALUE"""),"https://reklama.cncenter.cz/Online/mobilni-interscroller")</f>
        <v>https://reklama.cncenter.cz/Online/mobilni-interscroller</v>
      </c>
      <c r="X431" s="3"/>
      <c r="Y431" s="3"/>
      <c r="Z431" s="3" t="str">
        <f ca="1">IFERROR(__xludf.DUMMYFUNCTION("""COMPUTED_VALUE"""),"podklady@cncenter.cz")</f>
        <v>podklady@cncenter.cz</v>
      </c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 t="str">
        <f ca="1">IFERROR(__xludf.DUMMYFUNCTION("""COMPUTED_VALUE"""),"mobile")</f>
        <v>mobile</v>
      </c>
      <c r="AO431" s="3"/>
      <c r="AP431" s="3"/>
      <c r="AQ431" s="3"/>
      <c r="AR431" s="3"/>
      <c r="AS431" s="3"/>
      <c r="AT431" s="3"/>
      <c r="AU431" s="3" t="str">
        <f ca="1">IFERROR(__xludf.DUMMYFUNCTION("""COMPUTED_VALUE"""),"cílený mobilní interscroller")</f>
        <v>cílený mobilní interscroller</v>
      </c>
    </row>
    <row r="432" spans="1:47" x14ac:dyDescent="0.3">
      <c r="A432" s="3">
        <f ca="1"/>
        <v>2346826</v>
      </c>
      <c r="B432" s="3" t="str">
        <f ca="1"/>
        <v>CZECH NEWS CENTER a. s.</v>
      </c>
      <c r="C432" s="3" t="str">
        <f ca="1">IFERROR(__xludf.DUMMYFUNCTION("""COMPUTED_VALUE"""),"Doupě")</f>
        <v>Doupě</v>
      </c>
      <c r="D432" s="4" t="str">
        <f ca="1">IFERROR(__xludf.DUMMYFUNCTION("""COMPUTED_VALUE"""),"https://doupe.zive.cz")</f>
        <v>https://doupe.zive.cz</v>
      </c>
      <c r="E432" s="3" t="str">
        <f ca="1">IFERROR(__xludf.DUMMYFUNCTION("""COMPUTED_VALUE"""),"celý web")</f>
        <v>celý web</v>
      </c>
      <c r="F432" s="4" t="str">
        <f ca="1">IFERROR(__xludf.DUMMYFUNCTION("""COMPUTED_VALUE"""),"https://doupe.zive.cz")</f>
        <v>https://doupe.zive.cz</v>
      </c>
      <c r="G432" s="3" t="str">
        <f ca="1">IFERROR(__xludf.DUMMYFUNCTION("""COMPUTED_VALUE"""),"cílený mobilní slide-up mid season")</f>
        <v>cílený mobilní slide-up mid season</v>
      </c>
      <c r="H432" s="3">
        <f ca="1">IFERROR(__xludf.DUMMYFUNCTION("""COMPUTED_VALUE"""),7)</f>
        <v>7</v>
      </c>
      <c r="I432" s="5">
        <f ca="1">IFERROR(__xludf.DUMMYFUNCTION("""COMPUTED_VALUE"""),1000)</f>
        <v>1000</v>
      </c>
      <c r="J432" s="5">
        <f ca="1">IFERROR(__xludf.DUMMYFUNCTION("""COMPUTED_VALUE"""),864)</f>
        <v>864</v>
      </c>
      <c r="K432" s="3"/>
      <c r="L432" s="3" t="str">
        <f ca="1">IFERROR(__xludf.DUMMYFUNCTION("""COMPUTED_VALUE"""),"Cost per period")</f>
        <v>Cost per period</v>
      </c>
      <c r="M432" s="3"/>
      <c r="N432" s="3"/>
      <c r="O432" s="3" t="str">
        <f ca="1">IFERROR(__xludf.DUMMYFUNCTION("""COMPUTED_VALUE"""),"300")</f>
        <v>300</v>
      </c>
      <c r="P432" s="3" t="str">
        <f ca="1">IFERROR(__xludf.DUMMYFUNCTION("""COMPUTED_VALUE"""),"120")</f>
        <v>120</v>
      </c>
      <c r="Q432" s="3" t="str">
        <f ca="1">IFERROR(__xludf.DUMMYFUNCTION("""COMPUTED_VALUE"""),"300x120")</f>
        <v>300x120</v>
      </c>
      <c r="R432" s="3"/>
      <c r="S432" s="3" t="str">
        <f ca="1">IFERROR(__xludf.DUMMYFUNCTION("""COMPUTED_VALUE"""),"100")</f>
        <v>100</v>
      </c>
      <c r="T432" s="3"/>
      <c r="U432" s="3" t="str">
        <f ca="1">IFERROR(__xludf.DUMMYFUNCTION("""COMPUTED_VALUE"""),"banner standard")</f>
        <v>banner standard</v>
      </c>
      <c r="V432" s="3"/>
      <c r="W432" s="4" t="str">
        <f ca="1">IFERROR(__xludf.DUMMYFUNCTION("""COMPUTED_VALUE"""),"https://reklama.cncenter.cz/Online/mobilni-slide-up")</f>
        <v>https://reklama.cncenter.cz/Online/mobilni-slide-up</v>
      </c>
      <c r="X432" s="3"/>
      <c r="Y432" s="3"/>
      <c r="Z432" s="3" t="str">
        <f ca="1">IFERROR(__xludf.DUMMYFUNCTION("""COMPUTED_VALUE"""),"podklady@cncenter.cz")</f>
        <v>podklady@cncenter.cz</v>
      </c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 t="str">
        <f ca="1">IFERROR(__xludf.DUMMYFUNCTION("""COMPUTED_VALUE"""),"mobile")</f>
        <v>mobile</v>
      </c>
      <c r="AO432" s="3"/>
      <c r="AP432" s="3"/>
      <c r="AQ432" s="3"/>
      <c r="AR432" s="3"/>
      <c r="AS432" s="3"/>
      <c r="AT432" s="3"/>
      <c r="AU432" s="3" t="str">
        <f ca="1">IFERROR(__xludf.DUMMYFUNCTION("""COMPUTED_VALUE"""),"cílený mobilní slide-up")</f>
        <v>cílený mobilní slide-up</v>
      </c>
    </row>
    <row r="433" spans="1:47" x14ac:dyDescent="0.3">
      <c r="A433" s="3">
        <f ca="1"/>
        <v>2346826</v>
      </c>
      <c r="B433" s="3" t="str">
        <f ca="1"/>
        <v>CZECH NEWS CENTER a. s.</v>
      </c>
      <c r="C433" s="3" t="str">
        <f ca="1">IFERROR(__xludf.DUMMYFUNCTION("""COMPUTED_VALUE"""),"Doupě")</f>
        <v>Doupě</v>
      </c>
      <c r="D433" s="4" t="str">
        <f ca="1">IFERROR(__xludf.DUMMYFUNCTION("""COMPUTED_VALUE"""),"https://doupe.zive.cz")</f>
        <v>https://doupe.zive.cz</v>
      </c>
      <c r="E433" s="3" t="str">
        <f ca="1">IFERROR(__xludf.DUMMYFUNCTION("""COMPUTED_VALUE"""),"celý web")</f>
        <v>celý web</v>
      </c>
      <c r="F433" s="4" t="str">
        <f ca="1">IFERROR(__xludf.DUMMYFUNCTION("""COMPUTED_VALUE"""),"https://doupe.zive.cz")</f>
        <v>https://doupe.zive.cz</v>
      </c>
      <c r="G433" s="3" t="str">
        <f ca="1">IFERROR(__xludf.DUMMYFUNCTION("""COMPUTED_VALUE"""),"cílený mobilní viněta mid season")</f>
        <v>cílený mobilní viněta mid season</v>
      </c>
      <c r="H433" s="3">
        <f ca="1">IFERROR(__xludf.DUMMYFUNCTION("""COMPUTED_VALUE"""),7)</f>
        <v>7</v>
      </c>
      <c r="I433" s="5">
        <f ca="1">IFERROR(__xludf.DUMMYFUNCTION("""COMPUTED_VALUE"""),1000)</f>
        <v>1000</v>
      </c>
      <c r="J433" s="5">
        <f ca="1">IFERROR(__xludf.DUMMYFUNCTION("""COMPUTED_VALUE"""),1488)</f>
        <v>1488</v>
      </c>
      <c r="K433" s="3"/>
      <c r="L433" s="3" t="str">
        <f ca="1">IFERROR(__xludf.DUMMYFUNCTION("""COMPUTED_VALUE"""),"Cost per period")</f>
        <v>Cost per period</v>
      </c>
      <c r="M433" s="3"/>
      <c r="N433" s="3"/>
      <c r="O433" s="3" t="str">
        <f ca="1">IFERROR(__xludf.DUMMYFUNCTION("""COMPUTED_VALUE"""),"600")</f>
        <v>600</v>
      </c>
      <c r="P433" s="3" t="str">
        <f ca="1">IFERROR(__xludf.DUMMYFUNCTION("""COMPUTED_VALUE"""),"800")</f>
        <v>800</v>
      </c>
      <c r="Q433" s="3" t="str">
        <f ca="1">IFERROR(__xludf.DUMMYFUNCTION("""COMPUTED_VALUE"""),"300x250 nebo 600x800")</f>
        <v>300x250 nebo 600x800</v>
      </c>
      <c r="R433" s="3"/>
      <c r="S433" s="3" t="str">
        <f ca="1">IFERROR(__xludf.DUMMYFUNCTION("""COMPUTED_VALUE"""),"100")</f>
        <v>100</v>
      </c>
      <c r="T433" s="3"/>
      <c r="U433" s="3" t="str">
        <f ca="1">IFERROR(__xludf.DUMMYFUNCTION("""COMPUTED_VALUE"""),"banner standard")</f>
        <v>banner standard</v>
      </c>
      <c r="V433" s="3"/>
      <c r="W433" s="4" t="str">
        <f ca="1">IFERROR(__xludf.DUMMYFUNCTION("""COMPUTED_VALUE"""),"https://reklama.cncenter.cz/Online/mobilni-vineta")</f>
        <v>https://reklama.cncenter.cz/Online/mobilni-vineta</v>
      </c>
      <c r="X433" s="3"/>
      <c r="Y433" s="3"/>
      <c r="Z433" s="3" t="str">
        <f ca="1">IFERROR(__xludf.DUMMYFUNCTION("""COMPUTED_VALUE"""),"podklady@cncenter.cz")</f>
        <v>podklady@cncenter.cz</v>
      </c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 t="str">
        <f ca="1">IFERROR(__xludf.DUMMYFUNCTION("""COMPUTED_VALUE"""),"mobile")</f>
        <v>mobile</v>
      </c>
      <c r="AO433" s="3"/>
      <c r="AP433" s="3"/>
      <c r="AQ433" s="3"/>
      <c r="AR433" s="3"/>
      <c r="AS433" s="3"/>
      <c r="AT433" s="3"/>
      <c r="AU433" s="3" t="str">
        <f ca="1">IFERROR(__xludf.DUMMYFUNCTION("""COMPUTED_VALUE"""),"cílený mobilní viněta")</f>
        <v>cílený mobilní viněta</v>
      </c>
    </row>
    <row r="434" spans="1:47" x14ac:dyDescent="0.3">
      <c r="A434" s="3">
        <f ca="1"/>
        <v>2346826</v>
      </c>
      <c r="B434" s="3" t="str">
        <f ca="1"/>
        <v>CZECH NEWS CENTER a. s.</v>
      </c>
      <c r="C434" s="3" t="str">
        <f ca="1">IFERROR(__xludf.DUMMYFUNCTION("""COMPUTED_VALUE"""),"Doupě")</f>
        <v>Doupě</v>
      </c>
      <c r="D434" s="4" t="str">
        <f ca="1">IFERROR(__xludf.DUMMYFUNCTION("""COMPUTED_VALUE"""),"https://doupe.zive.cz")</f>
        <v>https://doupe.zive.cz</v>
      </c>
      <c r="E434" s="3" t="str">
        <f ca="1">IFERROR(__xludf.DUMMYFUNCTION("""COMPUTED_VALUE"""),"celý web")</f>
        <v>celý web</v>
      </c>
      <c r="F434" s="4" t="str">
        <f ca="1">IFERROR(__xludf.DUMMYFUNCTION("""COMPUTED_VALUE"""),"https://doupe.zive.cz")</f>
        <v>https://doupe.zive.cz</v>
      </c>
      <c r="G434" s="3" t="str">
        <f ca="1">IFERROR(__xludf.DUMMYFUNCTION("""COMPUTED_VALUE"""),"cílený nativní rectangle cross-device mid season")</f>
        <v>cílený nativní rectangle cross-device mid season</v>
      </c>
      <c r="H434" s="3">
        <f ca="1">IFERROR(__xludf.DUMMYFUNCTION("""COMPUTED_VALUE"""),7)</f>
        <v>7</v>
      </c>
      <c r="I434" s="5">
        <f ca="1">IFERROR(__xludf.DUMMYFUNCTION("""COMPUTED_VALUE"""),1000)</f>
        <v>1000</v>
      </c>
      <c r="J434" s="5">
        <f ca="1">IFERROR(__xludf.DUMMYFUNCTION("""COMPUTED_VALUE"""),336)</f>
        <v>336</v>
      </c>
      <c r="K434" s="3"/>
      <c r="L434" s="3" t="str">
        <f ca="1">IFERROR(__xludf.DUMMYFUNCTION("""COMPUTED_VALUE"""),"Cost per period")</f>
        <v>Cost per period</v>
      </c>
      <c r="M434" s="3"/>
      <c r="N434" s="3"/>
      <c r="O434" s="3" t="str">
        <f ca="1">IFERROR(__xludf.DUMMYFUNCTION("""COMPUTED_VALUE"""),"640")</f>
        <v>640</v>
      </c>
      <c r="P434" s="3" t="str">
        <f ca="1">IFERROR(__xludf.DUMMYFUNCTION("""COMPUTED_VALUE"""),"335, 640")</f>
        <v>335, 640</v>
      </c>
      <c r="Q434" s="3" t="str">
        <f ca="1">IFERROR(__xludf.DUMMYFUNCTION("""COMPUTED_VALUE"""),"640x640 a 640x335 + text + logo")</f>
        <v>640x640 a 640x335 + text + logo</v>
      </c>
      <c r="R434" s="3"/>
      <c r="S434" s="3" t="str">
        <f ca="1">IFERROR(__xludf.DUMMYFUNCTION("""COMPUTED_VALUE"""),"45")</f>
        <v>45</v>
      </c>
      <c r="T434" s="3"/>
      <c r="U434" s="3" t="str">
        <f ca="1">IFERROR(__xludf.DUMMYFUNCTION("""COMPUTED_VALUE"""),"nativní reklama")</f>
        <v>nativní reklama</v>
      </c>
      <c r="V434" s="3"/>
      <c r="W434" s="4" t="str">
        <f ca="1">IFERROR(__xludf.DUMMYFUNCTION("""COMPUTED_VALUE"""),"https://reklama.cncenter.cz/Online/nativni-rectangle-cross-device")</f>
        <v>https://reklama.cncenter.cz/Online/nativni-rectangle-cross-device</v>
      </c>
      <c r="X434" s="3"/>
      <c r="Y434" s="3"/>
      <c r="Z434" s="3" t="str">
        <f ca="1">IFERROR(__xludf.DUMMYFUNCTION("""COMPUTED_VALUE"""),"podklady@cncenter.cz")</f>
        <v>podklady@cncenter.cz</v>
      </c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 t="str">
        <f ca="1">IFERROR(__xludf.DUMMYFUNCTION("""COMPUTED_VALUE"""),"cross-device")</f>
        <v>cross-device</v>
      </c>
      <c r="AO434" s="3"/>
      <c r="AP434" s="3"/>
      <c r="AQ434" s="3"/>
      <c r="AR434" s="3"/>
      <c r="AS434" s="3"/>
      <c r="AT434" s="3"/>
      <c r="AU434" s="3" t="str">
        <f ca="1">IFERROR(__xludf.DUMMYFUNCTION("""COMPUTED_VALUE"""),"cílený nativní rectangle cross-device")</f>
        <v>cílený nativní rectangle cross-device</v>
      </c>
    </row>
    <row r="435" spans="1:47" x14ac:dyDescent="0.3">
      <c r="A435" s="3">
        <f ca="1"/>
        <v>2346826</v>
      </c>
      <c r="B435" s="3" t="str">
        <f ca="1"/>
        <v>CZECH NEWS CENTER a. s.</v>
      </c>
      <c r="C435" s="3" t="str">
        <f ca="1">IFERROR(__xludf.DUMMYFUNCTION("""COMPUTED_VALUE"""),"Doupě")</f>
        <v>Doupě</v>
      </c>
      <c r="D435" s="4" t="str">
        <f ca="1">IFERROR(__xludf.DUMMYFUNCTION("""COMPUTED_VALUE"""),"https://doupe.zive.cz")</f>
        <v>https://doupe.zive.cz</v>
      </c>
      <c r="E435" s="3" t="str">
        <f ca="1">IFERROR(__xludf.DUMMYFUNCTION("""COMPUTED_VALUE"""),"celý web")</f>
        <v>celý web</v>
      </c>
      <c r="F435" s="4" t="str">
        <f ca="1">IFERROR(__xludf.DUMMYFUNCTION("""COMPUTED_VALUE"""),"https://doupe.zive.cz")</f>
        <v>https://doupe.zive.cz</v>
      </c>
      <c r="G435" s="3" t="str">
        <f ca="1">IFERROR(__xludf.DUMMYFUNCTION("""COMPUTED_VALUE"""),"cílený outstream mid season")</f>
        <v>cílený outstream mid season</v>
      </c>
      <c r="H435" s="3">
        <f ca="1">IFERROR(__xludf.DUMMYFUNCTION("""COMPUTED_VALUE"""),7)</f>
        <v>7</v>
      </c>
      <c r="I435" s="5">
        <f ca="1">IFERROR(__xludf.DUMMYFUNCTION("""COMPUTED_VALUE"""),1000)</f>
        <v>1000</v>
      </c>
      <c r="J435" s="5">
        <f ca="1">IFERROR(__xludf.DUMMYFUNCTION("""COMPUTED_VALUE"""),420)</f>
        <v>420</v>
      </c>
      <c r="K435" s="3"/>
      <c r="L435" s="3" t="str">
        <f ca="1">IFERROR(__xludf.DUMMYFUNCTION("""COMPUTED_VALUE"""),"Cost per period")</f>
        <v>Cost per period</v>
      </c>
      <c r="M435" s="3"/>
      <c r="N435" s="3"/>
      <c r="O435" s="3" t="str">
        <f ca="1">IFERROR(__xludf.DUMMYFUNCTION("""COMPUTED_VALUE"""),"1280")</f>
        <v>1280</v>
      </c>
      <c r="P435" s="3" t="str">
        <f ca="1">IFERROR(__xludf.DUMMYFUNCTION("""COMPUTED_VALUE"""),"720")</f>
        <v>720</v>
      </c>
      <c r="Q435" s="3" t="str">
        <f ca="1">IFERROR(__xludf.DUMMYFUNCTION("""COMPUTED_VALUE"""),"16:9")</f>
        <v>16:9</v>
      </c>
      <c r="R435" s="3"/>
      <c r="S435" s="3" t="str">
        <f ca="1">IFERROR(__xludf.DUMMYFUNCTION("""COMPUTED_VALUE"""),"100")</f>
        <v>100</v>
      </c>
      <c r="T435" s="3"/>
      <c r="U435" s="3" t="str">
        <f ca="1">IFERROR(__xludf.DUMMYFUNCTION("""COMPUTED_VALUE"""),"videospot")</f>
        <v>videospot</v>
      </c>
      <c r="V435" s="3"/>
      <c r="W435" s="4" t="str">
        <f ca="1">IFERROR(__xludf.DUMMYFUNCTION("""COMPUTED_VALUE"""),"https://reklama.cncenter.cz/Online/Outstream")</f>
        <v>https://reklama.cncenter.cz/Online/Outstream</v>
      </c>
      <c r="X435" s="3"/>
      <c r="Y435" s="3"/>
      <c r="Z435" s="3" t="str">
        <f ca="1">IFERROR(__xludf.DUMMYFUNCTION("""COMPUTED_VALUE"""),"podklady@cncenter.cz")</f>
        <v>podklady@cncenter.cz</v>
      </c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 t="str">
        <f ca="1">IFERROR(__xludf.DUMMYFUNCTION("""COMPUTED_VALUE"""),"cross-device")</f>
        <v>cross-device</v>
      </c>
      <c r="AO435" s="3"/>
      <c r="AP435" s="3"/>
      <c r="AQ435" s="3"/>
      <c r="AR435" s="3"/>
      <c r="AS435" s="3"/>
      <c r="AT435" s="3"/>
      <c r="AU435" s="3" t="str">
        <f ca="1">IFERROR(__xludf.DUMMYFUNCTION("""COMPUTED_VALUE"""),"cílený outstream")</f>
        <v>cílený outstream</v>
      </c>
    </row>
    <row r="436" spans="1:47" x14ac:dyDescent="0.3">
      <c r="A436" s="3">
        <f ca="1"/>
        <v>2346826</v>
      </c>
      <c r="B436" s="3" t="str">
        <f ca="1"/>
        <v>CZECH NEWS CENTER a. s.</v>
      </c>
      <c r="C436" s="3" t="str">
        <f ca="1">IFERROR(__xludf.DUMMYFUNCTION("""COMPUTED_VALUE"""),"Doupě")</f>
        <v>Doupě</v>
      </c>
      <c r="D436" s="4" t="str">
        <f ca="1">IFERROR(__xludf.DUMMYFUNCTION("""COMPUTED_VALUE"""),"https://doupe.zive.cz")</f>
        <v>https://doupe.zive.cz</v>
      </c>
      <c r="E436" s="3" t="str">
        <f ca="1">IFERROR(__xludf.DUMMYFUNCTION("""COMPUTED_VALUE"""),"celý web")</f>
        <v>celý web</v>
      </c>
      <c r="F436" s="4" t="str">
        <f ca="1">IFERROR(__xludf.DUMMYFUNCTION("""COMPUTED_VALUE"""),"https://doupe.zive.cz")</f>
        <v>https://doupe.zive.cz</v>
      </c>
      <c r="G436" s="3" t="str">
        <f ca="1">IFERROR(__xludf.DUMMYFUNCTION("""COMPUTED_VALUE"""),"dokoupení proma o 2 týdny - 10 000 PV *** mid season")</f>
        <v>dokoupení proma o 2 týdny - 10 000 PV *** mid season</v>
      </c>
      <c r="H436" s="3">
        <f ca="1">IFERROR(__xludf.DUMMYFUNCTION("""COMPUTED_VALUE"""),1)</f>
        <v>1</v>
      </c>
      <c r="I436" s="5">
        <f ca="1">IFERROR(__xludf.DUMMYFUNCTION("""COMPUTED_VALUE"""),1)</f>
        <v>1</v>
      </c>
      <c r="J436" s="5">
        <f ca="1">IFERROR(__xludf.DUMMYFUNCTION("""COMPUTED_VALUE"""),60000)</f>
        <v>60000</v>
      </c>
      <c r="K436" s="3"/>
      <c r="L436" s="3" t="str">
        <f ca="1">IFERROR(__xludf.DUMMYFUNCTION("""COMPUTED_VALUE"""),"Cost per instance")</f>
        <v>Cost per instance</v>
      </c>
      <c r="M436" s="3"/>
      <c r="N436" s="3"/>
      <c r="O436" s="3"/>
      <c r="P436" s="3"/>
      <c r="Q436" s="3"/>
      <c r="R436" s="3"/>
      <c r="S436" s="3" t="str">
        <f ca="1">IFERROR(__xludf.DUMMYFUNCTION("""COMPUTED_VALUE"""),"100")</f>
        <v>100</v>
      </c>
      <c r="T436" s="3"/>
      <c r="U436" s="3" t="str">
        <f ca="1">IFERROR(__xludf.DUMMYFUNCTION("""COMPUTED_VALUE"""),"microsite")</f>
        <v>microsite</v>
      </c>
      <c r="V436" s="3"/>
      <c r="W436" s="3"/>
      <c r="X436" s="3"/>
      <c r="Y436" s="3"/>
      <c r="Z436" s="3" t="str">
        <f ca="1">IFERROR(__xludf.DUMMYFUNCTION("""COMPUTED_VALUE"""),"podklady@cncenter.cz")</f>
        <v>podklady@cncenter.cz</v>
      </c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 t="str">
        <f ca="1">IFERROR(__xludf.DUMMYFUNCTION("""COMPUTED_VALUE"""),"cross-device")</f>
        <v>cross-device</v>
      </c>
      <c r="AO436" s="3"/>
      <c r="AP436" s="3"/>
      <c r="AQ436" s="3"/>
      <c r="AR436" s="3"/>
      <c r="AS436" s="3"/>
      <c r="AT436" s="3"/>
      <c r="AU436" s="3" t="str">
        <f ca="1">IFERROR(__xludf.DUMMYFUNCTION("""COMPUTED_VALUE"""),"dokoupení proma o 2 týdny - 10 000 PV ***")</f>
        <v>dokoupení proma o 2 týdny - 10 000 PV ***</v>
      </c>
    </row>
    <row r="437" spans="1:47" x14ac:dyDescent="0.3">
      <c r="A437" s="3">
        <f ca="1"/>
        <v>2346826</v>
      </c>
      <c r="B437" s="3" t="str">
        <f ca="1"/>
        <v>CZECH NEWS CENTER a. s.</v>
      </c>
      <c r="C437" s="3" t="str">
        <f ca="1">IFERROR(__xludf.DUMMYFUNCTION("""COMPUTED_VALUE"""),"Doupě")</f>
        <v>Doupě</v>
      </c>
      <c r="D437" s="4" t="str">
        <f ca="1">IFERROR(__xludf.DUMMYFUNCTION("""COMPUTED_VALUE"""),"https://doupe.zive.cz")</f>
        <v>https://doupe.zive.cz</v>
      </c>
      <c r="E437" s="3" t="str">
        <f ca="1">IFERROR(__xludf.DUMMYFUNCTION("""COMPUTED_VALUE"""),"celý web")</f>
        <v>celý web</v>
      </c>
      <c r="F437" s="4" t="str">
        <f ca="1">IFERROR(__xludf.DUMMYFUNCTION("""COMPUTED_VALUE"""),"https://doupe.zive.cz")</f>
        <v>https://doupe.zive.cz</v>
      </c>
      <c r="G437" s="3" t="str">
        <f ca="1">IFERROR(__xludf.DUMMYFUNCTION("""COMPUTED_VALUE"""),"double skyscraper mid season")</f>
        <v>double skyscraper mid season</v>
      </c>
      <c r="H437" s="3">
        <f ca="1">IFERROR(__xludf.DUMMYFUNCTION("""COMPUTED_VALUE"""),7)</f>
        <v>7</v>
      </c>
      <c r="I437" s="5">
        <f ca="1">IFERROR(__xludf.DUMMYFUNCTION("""COMPUTED_VALUE"""),1000)</f>
        <v>1000</v>
      </c>
      <c r="J437" s="5">
        <f ca="1">IFERROR(__xludf.DUMMYFUNCTION("""COMPUTED_VALUE"""),270)</f>
        <v>270</v>
      </c>
      <c r="K437" s="3"/>
      <c r="L437" s="3" t="str">
        <f ca="1">IFERROR(__xludf.DUMMYFUNCTION("""COMPUTED_VALUE"""),"Cost per period")</f>
        <v>Cost per period</v>
      </c>
      <c r="M437" s="3"/>
      <c r="N437" s="3"/>
      <c r="O437" s="3" t="str">
        <f ca="1">IFERROR(__xludf.DUMMYFUNCTION("""COMPUTED_VALUE"""),"300")</f>
        <v>300</v>
      </c>
      <c r="P437" s="3" t="str">
        <f ca="1">IFERROR(__xludf.DUMMYFUNCTION("""COMPUTED_VALUE"""),"600")</f>
        <v>600</v>
      </c>
      <c r="Q437" s="3" t="str">
        <f ca="1">IFERROR(__xludf.DUMMYFUNCTION("""COMPUTED_VALUE"""),"300x600")</f>
        <v>300x600</v>
      </c>
      <c r="R437" s="3"/>
      <c r="S437" s="3" t="str">
        <f ca="1">IFERROR(__xludf.DUMMYFUNCTION("""COMPUTED_VALUE"""),"100 (200 - HTML5)")</f>
        <v>100 (200 - HTML5)</v>
      </c>
      <c r="T437" s="3"/>
      <c r="U437" s="3" t="str">
        <f ca="1">IFERROR(__xludf.DUMMYFUNCTION("""COMPUTED_VALUE"""),"banner standard")</f>
        <v>banner standard</v>
      </c>
      <c r="V437" s="3"/>
      <c r="W437" s="4" t="str">
        <f ca="1">IFERROR(__xludf.DUMMYFUNCTION("""COMPUTED_VALUE"""),"https://reklama.cncenter.cz/Online/double-skyscraper")</f>
        <v>https://reklama.cncenter.cz/Online/double-skyscraper</v>
      </c>
      <c r="X437" s="3"/>
      <c r="Y437" s="3"/>
      <c r="Z437" s="3" t="str">
        <f ca="1">IFERROR(__xludf.DUMMYFUNCTION("""COMPUTED_VALUE"""),"podklady@cncenter.cz")</f>
        <v>podklady@cncenter.cz</v>
      </c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 t="str">
        <f ca="1">IFERROR(__xludf.DUMMYFUNCTION("""COMPUTED_VALUE"""),"desktop")</f>
        <v>desktop</v>
      </c>
      <c r="AO437" s="3"/>
      <c r="AP437" s="3"/>
      <c r="AQ437" s="3"/>
      <c r="AR437" s="3"/>
      <c r="AS437" s="3"/>
      <c r="AT437" s="3"/>
      <c r="AU437" s="3" t="str">
        <f ca="1">IFERROR(__xludf.DUMMYFUNCTION("""COMPUTED_VALUE"""),"double skyscraper")</f>
        <v>double skyscraper</v>
      </c>
    </row>
    <row r="438" spans="1:47" x14ac:dyDescent="0.3">
      <c r="A438" s="3">
        <f ca="1"/>
        <v>2346826</v>
      </c>
      <c r="B438" s="3" t="str">
        <f ca="1"/>
        <v>CZECH NEWS CENTER a. s.</v>
      </c>
      <c r="C438" s="3" t="str">
        <f ca="1">IFERROR(__xludf.DUMMYFUNCTION("""COMPUTED_VALUE"""),"Doupě")</f>
        <v>Doupě</v>
      </c>
      <c r="D438" s="4" t="str">
        <f ca="1">IFERROR(__xludf.DUMMYFUNCTION("""COMPUTED_VALUE"""),"https://doupe.zive.cz")</f>
        <v>https://doupe.zive.cz</v>
      </c>
      <c r="E438" s="3" t="str">
        <f ca="1">IFERROR(__xludf.DUMMYFUNCTION("""COMPUTED_VALUE"""),"celý web")</f>
        <v>celý web</v>
      </c>
      <c r="F438" s="4" t="str">
        <f ca="1">IFERROR(__xludf.DUMMYFUNCTION("""COMPUTED_VALUE"""),"https://doupe.zive.cz")</f>
        <v>https://doupe.zive.cz</v>
      </c>
      <c r="G438" s="3" t="str">
        <f ca="1">IFERROR(__xludf.DUMMYFUNCTION("""COMPUTED_VALUE"""),"mobilní interscroller mid season")</f>
        <v>mobilní interscroller mid season</v>
      </c>
      <c r="H438" s="3">
        <f ca="1">IFERROR(__xludf.DUMMYFUNCTION("""COMPUTED_VALUE"""),7)</f>
        <v>7</v>
      </c>
      <c r="I438" s="5">
        <f ca="1">IFERROR(__xludf.DUMMYFUNCTION("""COMPUTED_VALUE"""),1000)</f>
        <v>1000</v>
      </c>
      <c r="J438" s="5">
        <f ca="1">IFERROR(__xludf.DUMMYFUNCTION("""COMPUTED_VALUE"""),350)</f>
        <v>350</v>
      </c>
      <c r="K438" s="3"/>
      <c r="L438" s="3" t="str">
        <f ca="1">IFERROR(__xludf.DUMMYFUNCTION("""COMPUTED_VALUE"""),"Cost per period")</f>
        <v>Cost per period</v>
      </c>
      <c r="M438" s="3"/>
      <c r="N438" s="3"/>
      <c r="O438" s="3" t="str">
        <f ca="1">IFERROR(__xludf.DUMMYFUNCTION("""COMPUTED_VALUE"""),"600")</f>
        <v>600</v>
      </c>
      <c r="P438" s="3" t="str">
        <f ca="1">IFERROR(__xludf.DUMMYFUNCTION("""COMPUTED_VALUE"""),"1080")</f>
        <v>1080</v>
      </c>
      <c r="Q438" s="3" t="str">
        <f ca="1">IFERROR(__xludf.DUMMYFUNCTION("""COMPUTED_VALUE"""),"600x1080")</f>
        <v>600x1080</v>
      </c>
      <c r="R438" s="3"/>
      <c r="S438" s="3" t="str">
        <f ca="1">IFERROR(__xludf.DUMMYFUNCTION("""COMPUTED_VALUE"""),"200")</f>
        <v>200</v>
      </c>
      <c r="T438" s="3"/>
      <c r="U438" s="3" t="str">
        <f ca="1">IFERROR(__xludf.DUMMYFUNCTION("""COMPUTED_VALUE"""),"banner standard")</f>
        <v>banner standard</v>
      </c>
      <c r="V438" s="3"/>
      <c r="W438" s="4" t="str">
        <f ca="1">IFERROR(__xludf.DUMMYFUNCTION("""COMPUTED_VALUE"""),"https://reklama.cncenter.cz/Online/mobilni-interscroller")</f>
        <v>https://reklama.cncenter.cz/Online/mobilni-interscroller</v>
      </c>
      <c r="X438" s="3"/>
      <c r="Y438" s="3"/>
      <c r="Z438" s="3" t="str">
        <f ca="1">IFERROR(__xludf.DUMMYFUNCTION("""COMPUTED_VALUE"""),"podklady@cncenter.cz")</f>
        <v>podklady@cncenter.cz</v>
      </c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 t="str">
        <f ca="1">IFERROR(__xludf.DUMMYFUNCTION("""COMPUTED_VALUE"""),"mobile")</f>
        <v>mobile</v>
      </c>
      <c r="AO438" s="3"/>
      <c r="AP438" s="3"/>
      <c r="AQ438" s="3"/>
      <c r="AR438" s="3"/>
      <c r="AS438" s="3"/>
      <c r="AT438" s="3"/>
      <c r="AU438" s="3" t="str">
        <f ca="1">IFERROR(__xludf.DUMMYFUNCTION("""COMPUTED_VALUE"""),"mobilní interscroller")</f>
        <v>mobilní interscroller</v>
      </c>
    </row>
    <row r="439" spans="1:47" x14ac:dyDescent="0.3">
      <c r="A439" s="3">
        <f ca="1"/>
        <v>2346826</v>
      </c>
      <c r="B439" s="3" t="str">
        <f ca="1"/>
        <v>CZECH NEWS CENTER a. s.</v>
      </c>
      <c r="C439" s="3" t="str">
        <f ca="1">IFERROR(__xludf.DUMMYFUNCTION("""COMPUTED_VALUE"""),"Doupě")</f>
        <v>Doupě</v>
      </c>
      <c r="D439" s="4" t="str">
        <f ca="1">IFERROR(__xludf.DUMMYFUNCTION("""COMPUTED_VALUE"""),"https://doupe.zive.cz")</f>
        <v>https://doupe.zive.cz</v>
      </c>
      <c r="E439" s="3" t="str">
        <f ca="1">IFERROR(__xludf.DUMMYFUNCTION("""COMPUTED_VALUE"""),"celý web")</f>
        <v>celý web</v>
      </c>
      <c r="F439" s="4" t="str">
        <f ca="1">IFERROR(__xludf.DUMMYFUNCTION("""COMPUTED_VALUE"""),"https://doupe.zive.cz")</f>
        <v>https://doupe.zive.cz</v>
      </c>
      <c r="G439" s="3" t="str">
        <f ca="1">IFERROR(__xludf.DUMMYFUNCTION("""COMPUTED_VALUE"""),"mobilní slide-up mid season")</f>
        <v>mobilní slide-up mid season</v>
      </c>
      <c r="H439" s="3">
        <f ca="1">IFERROR(__xludf.DUMMYFUNCTION("""COMPUTED_VALUE"""),7)</f>
        <v>7</v>
      </c>
      <c r="I439" s="5">
        <f ca="1">IFERROR(__xludf.DUMMYFUNCTION("""COMPUTED_VALUE"""),1000)</f>
        <v>1000</v>
      </c>
      <c r="J439" s="5">
        <f ca="1">IFERROR(__xludf.DUMMYFUNCTION("""COMPUTED_VALUE"""),720)</f>
        <v>720</v>
      </c>
      <c r="K439" s="3"/>
      <c r="L439" s="3" t="str">
        <f ca="1">IFERROR(__xludf.DUMMYFUNCTION("""COMPUTED_VALUE"""),"Cost per period")</f>
        <v>Cost per period</v>
      </c>
      <c r="M439" s="3"/>
      <c r="N439" s="3"/>
      <c r="O439" s="3" t="str">
        <f ca="1">IFERROR(__xludf.DUMMYFUNCTION("""COMPUTED_VALUE"""),"300")</f>
        <v>300</v>
      </c>
      <c r="P439" s="3" t="str">
        <f ca="1">IFERROR(__xludf.DUMMYFUNCTION("""COMPUTED_VALUE"""),"120")</f>
        <v>120</v>
      </c>
      <c r="Q439" s="3" t="str">
        <f ca="1">IFERROR(__xludf.DUMMYFUNCTION("""COMPUTED_VALUE"""),"300x120")</f>
        <v>300x120</v>
      </c>
      <c r="R439" s="3"/>
      <c r="S439" s="3" t="str">
        <f ca="1">IFERROR(__xludf.DUMMYFUNCTION("""COMPUTED_VALUE"""),"100")</f>
        <v>100</v>
      </c>
      <c r="T439" s="3"/>
      <c r="U439" s="3" t="str">
        <f ca="1">IFERROR(__xludf.DUMMYFUNCTION("""COMPUTED_VALUE"""),"banner standard")</f>
        <v>banner standard</v>
      </c>
      <c r="V439" s="3"/>
      <c r="W439" s="4" t="str">
        <f ca="1">IFERROR(__xludf.DUMMYFUNCTION("""COMPUTED_VALUE"""),"https://reklama.cncenter.cz/Online/mobilni-slide-up")</f>
        <v>https://reklama.cncenter.cz/Online/mobilni-slide-up</v>
      </c>
      <c r="X439" s="3"/>
      <c r="Y439" s="3"/>
      <c r="Z439" s="3" t="str">
        <f ca="1">IFERROR(__xludf.DUMMYFUNCTION("""COMPUTED_VALUE"""),"podklady@cncenter.cz")</f>
        <v>podklady@cncenter.cz</v>
      </c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 t="str">
        <f ca="1">IFERROR(__xludf.DUMMYFUNCTION("""COMPUTED_VALUE"""),"mobile")</f>
        <v>mobile</v>
      </c>
      <c r="AO439" s="3"/>
      <c r="AP439" s="3"/>
      <c r="AQ439" s="3"/>
      <c r="AR439" s="3"/>
      <c r="AS439" s="3"/>
      <c r="AT439" s="3"/>
      <c r="AU439" s="3" t="str">
        <f ca="1">IFERROR(__xludf.DUMMYFUNCTION("""COMPUTED_VALUE"""),"mobilní slide-up")</f>
        <v>mobilní slide-up</v>
      </c>
    </row>
    <row r="440" spans="1:47" x14ac:dyDescent="0.3">
      <c r="A440" s="3">
        <f ca="1"/>
        <v>2346826</v>
      </c>
      <c r="B440" s="3" t="str">
        <f ca="1"/>
        <v>CZECH NEWS CENTER a. s.</v>
      </c>
      <c r="C440" s="3" t="str">
        <f ca="1">IFERROR(__xludf.DUMMYFUNCTION("""COMPUTED_VALUE"""),"Doupě")</f>
        <v>Doupě</v>
      </c>
      <c r="D440" s="4" t="str">
        <f ca="1">IFERROR(__xludf.DUMMYFUNCTION("""COMPUTED_VALUE"""),"https://doupe.zive.cz")</f>
        <v>https://doupe.zive.cz</v>
      </c>
      <c r="E440" s="3" t="str">
        <f ca="1">IFERROR(__xludf.DUMMYFUNCTION("""COMPUTED_VALUE"""),"celý web")</f>
        <v>celý web</v>
      </c>
      <c r="F440" s="4" t="str">
        <f ca="1">IFERROR(__xludf.DUMMYFUNCTION("""COMPUTED_VALUE"""),"https://doupe.zive.cz")</f>
        <v>https://doupe.zive.cz</v>
      </c>
      <c r="G440" s="3" t="str">
        <f ca="1">IFERROR(__xludf.DUMMYFUNCTION("""COMPUTED_VALUE"""),"mobilní viněta mid season")</f>
        <v>mobilní viněta mid season</v>
      </c>
      <c r="H440" s="3">
        <f ca="1">IFERROR(__xludf.DUMMYFUNCTION("""COMPUTED_VALUE"""),7)</f>
        <v>7</v>
      </c>
      <c r="I440" s="5">
        <f ca="1">IFERROR(__xludf.DUMMYFUNCTION("""COMPUTED_VALUE"""),1000)</f>
        <v>1000</v>
      </c>
      <c r="J440" s="5">
        <f ca="1">IFERROR(__xludf.DUMMYFUNCTION("""COMPUTED_VALUE"""),1240)</f>
        <v>1240</v>
      </c>
      <c r="K440" s="3"/>
      <c r="L440" s="3" t="str">
        <f ca="1">IFERROR(__xludf.DUMMYFUNCTION("""COMPUTED_VALUE"""),"Cost per period")</f>
        <v>Cost per period</v>
      </c>
      <c r="M440" s="3"/>
      <c r="N440" s="3"/>
      <c r="O440" s="3" t="str">
        <f ca="1">IFERROR(__xludf.DUMMYFUNCTION("""COMPUTED_VALUE"""),"600")</f>
        <v>600</v>
      </c>
      <c r="P440" s="3" t="str">
        <f ca="1">IFERROR(__xludf.DUMMYFUNCTION("""COMPUTED_VALUE"""),"800")</f>
        <v>800</v>
      </c>
      <c r="Q440" s="3" t="str">
        <f ca="1">IFERROR(__xludf.DUMMYFUNCTION("""COMPUTED_VALUE"""),"300x250 nebo 600x800")</f>
        <v>300x250 nebo 600x800</v>
      </c>
      <c r="R440" s="3"/>
      <c r="S440" s="3" t="str">
        <f ca="1">IFERROR(__xludf.DUMMYFUNCTION("""COMPUTED_VALUE"""),"100")</f>
        <v>100</v>
      </c>
      <c r="T440" s="3"/>
      <c r="U440" s="3" t="str">
        <f ca="1">IFERROR(__xludf.DUMMYFUNCTION("""COMPUTED_VALUE"""),"banner standard")</f>
        <v>banner standard</v>
      </c>
      <c r="V440" s="3"/>
      <c r="W440" s="4" t="str">
        <f ca="1">IFERROR(__xludf.DUMMYFUNCTION("""COMPUTED_VALUE"""),"https://reklama.cncenter.cz/Online/mobilni-vineta")</f>
        <v>https://reklama.cncenter.cz/Online/mobilni-vineta</v>
      </c>
      <c r="X440" s="3"/>
      <c r="Y440" s="3"/>
      <c r="Z440" s="3" t="str">
        <f ca="1">IFERROR(__xludf.DUMMYFUNCTION("""COMPUTED_VALUE"""),"podklady@cncenter.cz")</f>
        <v>podklady@cncenter.cz</v>
      </c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 t="str">
        <f ca="1">IFERROR(__xludf.DUMMYFUNCTION("""COMPUTED_VALUE"""),"mobile")</f>
        <v>mobile</v>
      </c>
      <c r="AO440" s="3"/>
      <c r="AP440" s="3"/>
      <c r="AQ440" s="3"/>
      <c r="AR440" s="3"/>
      <c r="AS440" s="3"/>
      <c r="AT440" s="3"/>
      <c r="AU440" s="3" t="str">
        <f ca="1">IFERROR(__xludf.DUMMYFUNCTION("""COMPUTED_VALUE"""),"mobilní viněta")</f>
        <v>mobilní viněta</v>
      </c>
    </row>
    <row r="441" spans="1:47" x14ac:dyDescent="0.3">
      <c r="A441" s="3">
        <f ca="1"/>
        <v>2346826</v>
      </c>
      <c r="B441" s="3" t="str">
        <f ca="1"/>
        <v>CZECH NEWS CENTER a. s.</v>
      </c>
      <c r="C441" s="3" t="str">
        <f ca="1">IFERROR(__xludf.DUMMYFUNCTION("""COMPUTED_VALUE"""),"Doupě")</f>
        <v>Doupě</v>
      </c>
      <c r="D441" s="4" t="str">
        <f ca="1">IFERROR(__xludf.DUMMYFUNCTION("""COMPUTED_VALUE"""),"https://doupe.zive.cz")</f>
        <v>https://doupe.zive.cz</v>
      </c>
      <c r="E441" s="3" t="str">
        <f ca="1">IFERROR(__xludf.DUMMYFUNCTION("""COMPUTED_VALUE"""),"celý web")</f>
        <v>celý web</v>
      </c>
      <c r="F441" s="4" t="str">
        <f ca="1">IFERROR(__xludf.DUMMYFUNCTION("""COMPUTED_VALUE"""),"https://doupe.zive.cz")</f>
        <v>https://doupe.zive.cz</v>
      </c>
      <c r="G441" s="3" t="str">
        <f ca="1">IFERROR(__xludf.DUMMYFUNCTION("""COMPUTED_VALUE"""),"Native Standard mid season")</f>
        <v>Native Standard mid season</v>
      </c>
      <c r="H441" s="3">
        <f ca="1">IFERROR(__xludf.DUMMYFUNCTION("""COMPUTED_VALUE"""),1)</f>
        <v>1</v>
      </c>
      <c r="I441" s="5">
        <f ca="1">IFERROR(__xludf.DUMMYFUNCTION("""COMPUTED_VALUE"""),1)</f>
        <v>1</v>
      </c>
      <c r="J441" s="5">
        <f ca="1">IFERROR(__xludf.DUMMYFUNCTION("""COMPUTED_VALUE"""),330000)</f>
        <v>330000</v>
      </c>
      <c r="K441" s="3"/>
      <c r="L441" s="3" t="str">
        <f ca="1">IFERROR(__xludf.DUMMYFUNCTION("""COMPUTED_VALUE"""),"Cost per instance")</f>
        <v>Cost per instance</v>
      </c>
      <c r="M441" s="3"/>
      <c r="N441" s="3"/>
      <c r="O441" s="3"/>
      <c r="P441" s="3"/>
      <c r="Q441" s="3"/>
      <c r="R441" s="3"/>
      <c r="S441" s="3" t="str">
        <f ca="1">IFERROR(__xludf.DUMMYFUNCTION("""COMPUTED_VALUE"""),"100")</f>
        <v>100</v>
      </c>
      <c r="T441" s="3"/>
      <c r="U441" s="3" t="str">
        <f ca="1">IFERROR(__xludf.DUMMYFUNCTION("""COMPUTED_VALUE"""),"microsite")</f>
        <v>microsite</v>
      </c>
      <c r="V441" s="3"/>
      <c r="W441" s="3"/>
      <c r="X441" s="3"/>
      <c r="Y441" s="3"/>
      <c r="Z441" s="3" t="str">
        <f ca="1">IFERROR(__xludf.DUMMYFUNCTION("""COMPUTED_VALUE"""),"podklady@cncenter.cz")</f>
        <v>podklady@cncenter.cz</v>
      </c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 t="str">
        <f ca="1">IFERROR(__xludf.DUMMYFUNCTION("""COMPUTED_VALUE"""),"cross-device")</f>
        <v>cross-device</v>
      </c>
      <c r="AO441" s="3"/>
      <c r="AP441" s="3"/>
      <c r="AQ441" s="3"/>
      <c r="AR441" s="3"/>
      <c r="AS441" s="3"/>
      <c r="AT441" s="3"/>
      <c r="AU441" s="3" t="str">
        <f ca="1">IFERROR(__xludf.DUMMYFUNCTION("""COMPUTED_VALUE"""),"Native Standard")</f>
        <v>Native Standard</v>
      </c>
    </row>
    <row r="442" spans="1:47" x14ac:dyDescent="0.3">
      <c r="A442" s="3">
        <f ca="1"/>
        <v>2346826</v>
      </c>
      <c r="B442" s="3" t="str">
        <f ca="1"/>
        <v>CZECH NEWS CENTER a. s.</v>
      </c>
      <c r="C442" s="3" t="str">
        <f ca="1">IFERROR(__xludf.DUMMYFUNCTION("""COMPUTED_VALUE"""),"Doupě")</f>
        <v>Doupě</v>
      </c>
      <c r="D442" s="4" t="str">
        <f ca="1">IFERROR(__xludf.DUMMYFUNCTION("""COMPUTED_VALUE"""),"https://doupe.zive.cz")</f>
        <v>https://doupe.zive.cz</v>
      </c>
      <c r="E442" s="3" t="str">
        <f ca="1">IFERROR(__xludf.DUMMYFUNCTION("""COMPUTED_VALUE"""),"celý web")</f>
        <v>celý web</v>
      </c>
      <c r="F442" s="4" t="str">
        <f ca="1">IFERROR(__xludf.DUMMYFUNCTION("""COMPUTED_VALUE"""),"https://doupe.zive.cz")</f>
        <v>https://doupe.zive.cz</v>
      </c>
      <c r="G442" s="3" t="str">
        <f ca="1">IFERROR(__xludf.DUMMYFUNCTION("""COMPUTED_VALUE"""),"nativní rectangle cross-device mid season")</f>
        <v>nativní rectangle cross-device mid season</v>
      </c>
      <c r="H442" s="3">
        <f ca="1">IFERROR(__xludf.DUMMYFUNCTION("""COMPUTED_VALUE"""),7)</f>
        <v>7</v>
      </c>
      <c r="I442" s="5">
        <f ca="1">IFERROR(__xludf.DUMMYFUNCTION("""COMPUTED_VALUE"""),1000)</f>
        <v>1000</v>
      </c>
      <c r="J442" s="5">
        <f ca="1">IFERROR(__xludf.DUMMYFUNCTION("""COMPUTED_VALUE"""),280)</f>
        <v>280</v>
      </c>
      <c r="K442" s="3"/>
      <c r="L442" s="3" t="str">
        <f ca="1">IFERROR(__xludf.DUMMYFUNCTION("""COMPUTED_VALUE"""),"Cost per period")</f>
        <v>Cost per period</v>
      </c>
      <c r="M442" s="3"/>
      <c r="N442" s="3"/>
      <c r="O442" s="3" t="str">
        <f ca="1">IFERROR(__xludf.DUMMYFUNCTION("""COMPUTED_VALUE"""),"640")</f>
        <v>640</v>
      </c>
      <c r="P442" s="3" t="str">
        <f ca="1">IFERROR(__xludf.DUMMYFUNCTION("""COMPUTED_VALUE"""),"335, 640")</f>
        <v>335, 640</v>
      </c>
      <c r="Q442" s="3" t="str">
        <f ca="1">IFERROR(__xludf.DUMMYFUNCTION("""COMPUTED_VALUE"""),"640x640 a 640x335 + text + logo")</f>
        <v>640x640 a 640x335 + text + logo</v>
      </c>
      <c r="R442" s="3"/>
      <c r="S442" s="3" t="str">
        <f ca="1">IFERROR(__xludf.DUMMYFUNCTION("""COMPUTED_VALUE"""),"45")</f>
        <v>45</v>
      </c>
      <c r="T442" s="3"/>
      <c r="U442" s="3" t="str">
        <f ca="1">IFERROR(__xludf.DUMMYFUNCTION("""COMPUTED_VALUE"""),"nativní reklama")</f>
        <v>nativní reklama</v>
      </c>
      <c r="V442" s="3"/>
      <c r="W442" s="4" t="str">
        <f ca="1">IFERROR(__xludf.DUMMYFUNCTION("""COMPUTED_VALUE"""),"https://reklama.cncenter.cz/Online/nativni-rectangle-cross-device")</f>
        <v>https://reklama.cncenter.cz/Online/nativni-rectangle-cross-device</v>
      </c>
      <c r="X442" s="3"/>
      <c r="Y442" s="3"/>
      <c r="Z442" s="3" t="str">
        <f ca="1">IFERROR(__xludf.DUMMYFUNCTION("""COMPUTED_VALUE"""),"podklady@cncenter.cz")</f>
        <v>podklady@cncenter.cz</v>
      </c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 t="str">
        <f ca="1">IFERROR(__xludf.DUMMYFUNCTION("""COMPUTED_VALUE"""),"cross-device")</f>
        <v>cross-device</v>
      </c>
      <c r="AO442" s="3"/>
      <c r="AP442" s="3"/>
      <c r="AQ442" s="3"/>
      <c r="AR442" s="3"/>
      <c r="AS442" s="3"/>
      <c r="AT442" s="3"/>
      <c r="AU442" s="3" t="str">
        <f ca="1">IFERROR(__xludf.DUMMYFUNCTION("""COMPUTED_VALUE"""),"nativní rectangle cross-device")</f>
        <v>nativní rectangle cross-device</v>
      </c>
    </row>
    <row r="443" spans="1:47" x14ac:dyDescent="0.3">
      <c r="A443" s="3">
        <f ca="1"/>
        <v>2346826</v>
      </c>
      <c r="B443" s="3" t="str">
        <f ca="1"/>
        <v>CZECH NEWS CENTER a. s.</v>
      </c>
      <c r="C443" s="3" t="str">
        <f ca="1">IFERROR(__xludf.DUMMYFUNCTION("""COMPUTED_VALUE"""),"Doupě")</f>
        <v>Doupě</v>
      </c>
      <c r="D443" s="4" t="str">
        <f ca="1">IFERROR(__xludf.DUMMYFUNCTION("""COMPUTED_VALUE"""),"https://doupe.zive.cz")</f>
        <v>https://doupe.zive.cz</v>
      </c>
      <c r="E443" s="3" t="str">
        <f ca="1">IFERROR(__xludf.DUMMYFUNCTION("""COMPUTED_VALUE"""),"celý web")</f>
        <v>celý web</v>
      </c>
      <c r="F443" s="4" t="str">
        <f ca="1">IFERROR(__xludf.DUMMYFUNCTION("""COMPUTED_VALUE"""),"https://doupe.zive.cz")</f>
        <v>https://doupe.zive.cz</v>
      </c>
      <c r="G443" s="3" t="str">
        <f ca="1">IFERROR(__xludf.DUMMYFUNCTION("""COMPUTED_VALUE"""),"outstream mid season")</f>
        <v>outstream mid season</v>
      </c>
      <c r="H443" s="3">
        <f ca="1">IFERROR(__xludf.DUMMYFUNCTION("""COMPUTED_VALUE"""),7)</f>
        <v>7</v>
      </c>
      <c r="I443" s="5">
        <f ca="1">IFERROR(__xludf.DUMMYFUNCTION("""COMPUTED_VALUE"""),1000)</f>
        <v>1000</v>
      </c>
      <c r="J443" s="5">
        <f ca="1">IFERROR(__xludf.DUMMYFUNCTION("""COMPUTED_VALUE"""),350)</f>
        <v>350</v>
      </c>
      <c r="K443" s="3"/>
      <c r="L443" s="3" t="str">
        <f ca="1">IFERROR(__xludf.DUMMYFUNCTION("""COMPUTED_VALUE"""),"Cost per period")</f>
        <v>Cost per period</v>
      </c>
      <c r="M443" s="3"/>
      <c r="N443" s="3"/>
      <c r="O443" s="3" t="str">
        <f ca="1">IFERROR(__xludf.DUMMYFUNCTION("""COMPUTED_VALUE"""),"1280")</f>
        <v>1280</v>
      </c>
      <c r="P443" s="3" t="str">
        <f ca="1">IFERROR(__xludf.DUMMYFUNCTION("""COMPUTED_VALUE"""),"720")</f>
        <v>720</v>
      </c>
      <c r="Q443" s="3" t="str">
        <f ca="1">IFERROR(__xludf.DUMMYFUNCTION("""COMPUTED_VALUE"""),"16:9")</f>
        <v>16:9</v>
      </c>
      <c r="R443" s="3"/>
      <c r="S443" s="3" t="str">
        <f ca="1">IFERROR(__xludf.DUMMYFUNCTION("""COMPUTED_VALUE"""),"100")</f>
        <v>100</v>
      </c>
      <c r="T443" s="3"/>
      <c r="U443" s="3" t="str">
        <f ca="1">IFERROR(__xludf.DUMMYFUNCTION("""COMPUTED_VALUE"""),"videospot")</f>
        <v>videospot</v>
      </c>
      <c r="V443" s="3"/>
      <c r="W443" s="4" t="str">
        <f ca="1">IFERROR(__xludf.DUMMYFUNCTION("""COMPUTED_VALUE"""),"https://reklama.cncenter.cz/Online/Outstream")</f>
        <v>https://reklama.cncenter.cz/Online/Outstream</v>
      </c>
      <c r="X443" s="3"/>
      <c r="Y443" s="3"/>
      <c r="Z443" s="3" t="str">
        <f ca="1">IFERROR(__xludf.DUMMYFUNCTION("""COMPUTED_VALUE"""),"podklady@cncenter.cz")</f>
        <v>podklady@cncenter.cz</v>
      </c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 t="str">
        <f ca="1">IFERROR(__xludf.DUMMYFUNCTION("""COMPUTED_VALUE"""),"cross-device")</f>
        <v>cross-device</v>
      </c>
      <c r="AO443" s="3"/>
      <c r="AP443" s="3"/>
      <c r="AQ443" s="3"/>
      <c r="AR443" s="3"/>
      <c r="AS443" s="3"/>
      <c r="AT443" s="3"/>
      <c r="AU443" s="3" t="str">
        <f ca="1">IFERROR(__xludf.DUMMYFUNCTION("""COMPUTED_VALUE"""),"outstream")</f>
        <v>outstream</v>
      </c>
    </row>
    <row r="444" spans="1:47" x14ac:dyDescent="0.3">
      <c r="A444" s="3">
        <f ca="1"/>
        <v>2346826</v>
      </c>
      <c r="B444" s="3" t="str">
        <f ca="1"/>
        <v>CZECH NEWS CENTER a. s.</v>
      </c>
      <c r="C444" s="3" t="str">
        <f ca="1">IFERROR(__xludf.DUMMYFUNCTION("""COMPUTED_VALUE"""),"Doupě")</f>
        <v>Doupě</v>
      </c>
      <c r="D444" s="4" t="str">
        <f ca="1">IFERROR(__xludf.DUMMYFUNCTION("""COMPUTED_VALUE"""),"https://doupe.zive.cz")</f>
        <v>https://doupe.zive.cz</v>
      </c>
      <c r="E444" s="3" t="str">
        <f ca="1">IFERROR(__xludf.DUMMYFUNCTION("""COMPUTED_VALUE"""),"celý web")</f>
        <v>celý web</v>
      </c>
      <c r="F444" s="4" t="str">
        <f ca="1">IFERROR(__xludf.DUMMYFUNCTION("""COMPUTED_VALUE"""),"https://doupe.zive.cz")</f>
        <v>https://doupe.zive.cz</v>
      </c>
      <c r="G444" s="3" t="str">
        <f ca="1">IFERROR(__xludf.DUMMYFUNCTION("""COMPUTED_VALUE"""),"PR článek mid season")</f>
        <v>PR článek mid season</v>
      </c>
      <c r="H444" s="3">
        <f ca="1">IFERROR(__xludf.DUMMYFUNCTION("""COMPUTED_VALUE"""),1)</f>
        <v>1</v>
      </c>
      <c r="I444" s="5">
        <f ca="1">IFERROR(__xludf.DUMMYFUNCTION("""COMPUTED_VALUE"""),1)</f>
        <v>1</v>
      </c>
      <c r="J444" s="5">
        <f ca="1">IFERROR(__xludf.DUMMYFUNCTION("""COMPUTED_VALUE"""),20000)</f>
        <v>20000</v>
      </c>
      <c r="K444" s="3"/>
      <c r="L444" s="3" t="str">
        <f ca="1">IFERROR(__xludf.DUMMYFUNCTION("""COMPUTED_VALUE"""),"Cost per instance")</f>
        <v>Cost per instance</v>
      </c>
      <c r="M444" s="3"/>
      <c r="N444" s="3"/>
      <c r="O444" s="3"/>
      <c r="P444" s="3"/>
      <c r="Q444" s="3"/>
      <c r="R444" s="3"/>
      <c r="S444" s="3" t="str">
        <f ca="1">IFERROR(__xludf.DUMMYFUNCTION("""COMPUTED_VALUE"""),"100")</f>
        <v>100</v>
      </c>
      <c r="T444" s="3"/>
      <c r="U444" s="3" t="str">
        <f ca="1">IFERROR(__xludf.DUMMYFUNCTION("""COMPUTED_VALUE"""),"pr článek")</f>
        <v>pr článek</v>
      </c>
      <c r="V444" s="3"/>
      <c r="W444" s="4" t="str">
        <f ca="1">IFERROR(__xludf.DUMMYFUNCTION("""COMPUTED_VALUE"""),"https://reklama.cncenter.cz/?ads=PR%2520%25C4%258Dl%25C3%25A1nky")</f>
        <v>https://reklama.cncenter.cz/?ads=PR%2520%25C4%258Dl%25C3%25A1nky</v>
      </c>
      <c r="X444" s="3"/>
      <c r="Y444" s="3"/>
      <c r="Z444" s="3" t="str">
        <f ca="1">IFERROR(__xludf.DUMMYFUNCTION("""COMPUTED_VALUE"""),"podklady@cncenter.cz")</f>
        <v>podklady@cncenter.cz</v>
      </c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 t="str">
        <f ca="1">IFERROR(__xludf.DUMMYFUNCTION("""COMPUTED_VALUE"""),"cross-device")</f>
        <v>cross-device</v>
      </c>
      <c r="AO444" s="3"/>
      <c r="AP444" s="3"/>
      <c r="AQ444" s="3"/>
      <c r="AR444" s="3"/>
      <c r="AS444" s="3"/>
      <c r="AT444" s="3"/>
      <c r="AU444" s="3" t="str">
        <f ca="1">IFERROR(__xludf.DUMMYFUNCTION("""COMPUTED_VALUE"""),"PR článek")</f>
        <v>PR článek</v>
      </c>
    </row>
    <row r="445" spans="1:47" x14ac:dyDescent="0.3">
      <c r="A445" s="3">
        <f ca="1"/>
        <v>2346826</v>
      </c>
      <c r="B445" s="3" t="str">
        <f ca="1"/>
        <v>CZECH NEWS CENTER a. s.</v>
      </c>
      <c r="C445" s="3" t="str">
        <f ca="1">IFERROR(__xludf.DUMMYFUNCTION("""COMPUTED_VALUE"""),"Doupě")</f>
        <v>Doupě</v>
      </c>
      <c r="D445" s="4" t="str">
        <f ca="1">IFERROR(__xludf.DUMMYFUNCTION("""COMPUTED_VALUE"""),"https://doupe.zive.cz")</f>
        <v>https://doupe.zive.cz</v>
      </c>
      <c r="E445" s="3" t="str">
        <f ca="1">IFERROR(__xludf.DUMMYFUNCTION("""COMPUTED_VALUE"""),"celý web")</f>
        <v>celý web</v>
      </c>
      <c r="F445" s="4" t="str">
        <f ca="1">IFERROR(__xludf.DUMMYFUNCTION("""COMPUTED_VALUE"""),"https://doupe.zive.cz")</f>
        <v>https://doupe.zive.cz</v>
      </c>
      <c r="G445" s="3" t="str">
        <f ca="1">IFERROR(__xludf.DUMMYFUNCTION("""COMPUTED_VALUE"""),"Prodloužení existující microsite, bez úprav mid season")</f>
        <v>Prodloužení existující microsite, bez úprav mid season</v>
      </c>
      <c r="H445" s="3">
        <f ca="1">IFERROR(__xludf.DUMMYFUNCTION("""COMPUTED_VALUE"""),1)</f>
        <v>1</v>
      </c>
      <c r="I445" s="5">
        <f ca="1">IFERROR(__xludf.DUMMYFUNCTION("""COMPUTED_VALUE"""),1)</f>
        <v>1</v>
      </c>
      <c r="J445" s="5">
        <f ca="1">IFERROR(__xludf.DUMMYFUNCTION("""COMPUTED_VALUE"""),15000)</f>
        <v>15000</v>
      </c>
      <c r="K445" s="3"/>
      <c r="L445" s="3" t="str">
        <f ca="1">IFERROR(__xludf.DUMMYFUNCTION("""COMPUTED_VALUE"""),"Cost per instance")</f>
        <v>Cost per instance</v>
      </c>
      <c r="M445" s="3"/>
      <c r="N445" s="3"/>
      <c r="O445" s="3"/>
      <c r="P445" s="3"/>
      <c r="Q445" s="3"/>
      <c r="R445" s="3"/>
      <c r="S445" s="3" t="str">
        <f ca="1">IFERROR(__xludf.DUMMYFUNCTION("""COMPUTED_VALUE"""),"100")</f>
        <v>100</v>
      </c>
      <c r="T445" s="3"/>
      <c r="U445" s="3" t="str">
        <f ca="1">IFERROR(__xludf.DUMMYFUNCTION("""COMPUTED_VALUE"""),"microsite")</f>
        <v>microsite</v>
      </c>
      <c r="V445" s="3"/>
      <c r="W445" s="3"/>
      <c r="X445" s="3"/>
      <c r="Y445" s="3"/>
      <c r="Z445" s="3" t="str">
        <f ca="1">IFERROR(__xludf.DUMMYFUNCTION("""COMPUTED_VALUE"""),"podklady@cncenter.cz")</f>
        <v>podklady@cncenter.cz</v>
      </c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 t="str">
        <f ca="1">IFERROR(__xludf.DUMMYFUNCTION("""COMPUTED_VALUE"""),"cross-device")</f>
        <v>cross-device</v>
      </c>
      <c r="AO445" s="3"/>
      <c r="AP445" s="3"/>
      <c r="AQ445" s="3"/>
      <c r="AR445" s="3"/>
      <c r="AS445" s="3"/>
      <c r="AT445" s="3"/>
      <c r="AU445" s="3" t="str">
        <f ca="1">IFERROR(__xludf.DUMMYFUNCTION("""COMPUTED_VALUE"""),"Prodloužení existující microsite, bez úprav")</f>
        <v>Prodloužení existující microsite, bez úprav</v>
      </c>
    </row>
    <row r="446" spans="1:47" x14ac:dyDescent="0.3">
      <c r="A446" s="3">
        <f ca="1"/>
        <v>2346826</v>
      </c>
      <c r="B446" s="3" t="str">
        <f ca="1"/>
        <v>CZECH NEWS CENTER a. s.</v>
      </c>
      <c r="C446" s="3" t="str">
        <f ca="1">IFERROR(__xludf.DUMMYFUNCTION("""COMPUTED_VALUE"""),"Doupě")</f>
        <v>Doupě</v>
      </c>
      <c r="D446" s="4" t="str">
        <f ca="1">IFERROR(__xludf.DUMMYFUNCTION("""COMPUTED_VALUE"""),"https://doupe.zive.cz")</f>
        <v>https://doupe.zive.cz</v>
      </c>
      <c r="E446" s="3" t="str">
        <f ca="1">IFERROR(__xludf.DUMMYFUNCTION("""COMPUTED_VALUE"""),"celý web")</f>
        <v>celý web</v>
      </c>
      <c r="F446" s="4" t="str">
        <f ca="1">IFERROR(__xludf.DUMMYFUNCTION("""COMPUTED_VALUE"""),"https://doupe.zive.cz")</f>
        <v>https://doupe.zive.cz</v>
      </c>
      <c r="G446" s="3" t="str">
        <f ca="1">IFERROR(__xludf.DUMMYFUNCTION("""COMPUTED_VALUE"""),"Prodloužení existující microsite, bez úprav mid season")</f>
        <v>Prodloužení existující microsite, bez úprav mid season</v>
      </c>
      <c r="H446" s="3">
        <f ca="1">IFERROR(__xludf.DUMMYFUNCTION("""COMPUTED_VALUE"""),1)</f>
        <v>1</v>
      </c>
      <c r="I446" s="5">
        <f ca="1">IFERROR(__xludf.DUMMYFUNCTION("""COMPUTED_VALUE"""),1)</f>
        <v>1</v>
      </c>
      <c r="J446" s="5">
        <f ca="1">IFERROR(__xludf.DUMMYFUNCTION("""COMPUTED_VALUE"""),15000)</f>
        <v>15000</v>
      </c>
      <c r="K446" s="3"/>
      <c r="L446" s="3" t="str">
        <f ca="1">IFERROR(__xludf.DUMMYFUNCTION("""COMPUTED_VALUE"""),"Cost per instance")</f>
        <v>Cost per instance</v>
      </c>
      <c r="M446" s="3"/>
      <c r="N446" s="3"/>
      <c r="O446" s="3"/>
      <c r="P446" s="3"/>
      <c r="Q446" s="3"/>
      <c r="R446" s="3"/>
      <c r="S446" s="3" t="str">
        <f ca="1">IFERROR(__xludf.DUMMYFUNCTION("""COMPUTED_VALUE"""),"100")</f>
        <v>100</v>
      </c>
      <c r="T446" s="3"/>
      <c r="U446" s="3" t="str">
        <f ca="1">IFERROR(__xludf.DUMMYFUNCTION("""COMPUTED_VALUE"""),"microsite")</f>
        <v>microsite</v>
      </c>
      <c r="V446" s="3"/>
      <c r="W446" s="3"/>
      <c r="X446" s="3"/>
      <c r="Y446" s="3"/>
      <c r="Z446" s="3" t="str">
        <f ca="1">IFERROR(__xludf.DUMMYFUNCTION("""COMPUTED_VALUE"""),"podklady@cncenter.cz")</f>
        <v>podklady@cncenter.cz</v>
      </c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 t="str">
        <f ca="1">IFERROR(__xludf.DUMMYFUNCTION("""COMPUTED_VALUE"""),"cross-device")</f>
        <v>cross-device</v>
      </c>
      <c r="AO446" s="3"/>
      <c r="AP446" s="3"/>
      <c r="AQ446" s="3"/>
      <c r="AR446" s="3"/>
      <c r="AS446" s="3"/>
      <c r="AT446" s="3"/>
      <c r="AU446" s="3" t="str">
        <f ca="1">IFERROR(__xludf.DUMMYFUNCTION("""COMPUTED_VALUE"""),"Prodloužení existující microsite, bez úprav")</f>
        <v>Prodloužení existující microsite, bez úprav</v>
      </c>
    </row>
    <row r="447" spans="1:47" x14ac:dyDescent="0.3">
      <c r="A447" s="3">
        <f ca="1"/>
        <v>2346826</v>
      </c>
      <c r="B447" s="3" t="str">
        <f ca="1"/>
        <v>CZECH NEWS CENTER a. s.</v>
      </c>
      <c r="C447" s="3" t="str">
        <f ca="1">IFERROR(__xludf.DUMMYFUNCTION("""COMPUTED_VALUE"""),"Doupě")</f>
        <v>Doupě</v>
      </c>
      <c r="D447" s="4" t="str">
        <f ca="1">IFERROR(__xludf.DUMMYFUNCTION("""COMPUTED_VALUE"""),"https://doupe.zive.cz")</f>
        <v>https://doupe.zive.cz</v>
      </c>
      <c r="E447" s="3" t="str">
        <f ca="1">IFERROR(__xludf.DUMMYFUNCTION("""COMPUTED_VALUE"""),"celý web")</f>
        <v>celý web</v>
      </c>
      <c r="F447" s="4" t="str">
        <f ca="1">IFERROR(__xludf.DUMMYFUNCTION("""COMPUTED_VALUE"""),"https://doupe.zive.cz")</f>
        <v>https://doupe.zive.cz</v>
      </c>
      <c r="G447" s="3" t="str">
        <f ca="1">IFERROR(__xludf.DUMMYFUNCTION("""COMPUTED_VALUE"""),"Prodloužení existující microsite, bez úprav mid season")</f>
        <v>Prodloužení existující microsite, bez úprav mid season</v>
      </c>
      <c r="H447" s="3">
        <f ca="1">IFERROR(__xludf.DUMMYFUNCTION("""COMPUTED_VALUE"""),1)</f>
        <v>1</v>
      </c>
      <c r="I447" s="5">
        <f ca="1">IFERROR(__xludf.DUMMYFUNCTION("""COMPUTED_VALUE"""),1)</f>
        <v>1</v>
      </c>
      <c r="J447" s="5">
        <f ca="1">IFERROR(__xludf.DUMMYFUNCTION("""COMPUTED_VALUE"""),15000)</f>
        <v>15000</v>
      </c>
      <c r="K447" s="3"/>
      <c r="L447" s="3" t="str">
        <f ca="1">IFERROR(__xludf.DUMMYFUNCTION("""COMPUTED_VALUE"""),"Cost per instance")</f>
        <v>Cost per instance</v>
      </c>
      <c r="M447" s="3"/>
      <c r="N447" s="3"/>
      <c r="O447" s="3"/>
      <c r="P447" s="3"/>
      <c r="Q447" s="3"/>
      <c r="R447" s="3"/>
      <c r="S447" s="3" t="str">
        <f ca="1">IFERROR(__xludf.DUMMYFUNCTION("""COMPUTED_VALUE"""),"100")</f>
        <v>100</v>
      </c>
      <c r="T447" s="3"/>
      <c r="U447" s="3" t="str">
        <f ca="1">IFERROR(__xludf.DUMMYFUNCTION("""COMPUTED_VALUE"""),"microsite")</f>
        <v>microsite</v>
      </c>
      <c r="V447" s="3"/>
      <c r="W447" s="3"/>
      <c r="X447" s="3"/>
      <c r="Y447" s="3"/>
      <c r="Z447" s="3" t="str">
        <f ca="1">IFERROR(__xludf.DUMMYFUNCTION("""COMPUTED_VALUE"""),"podklady@cncenter.cz")</f>
        <v>podklady@cncenter.cz</v>
      </c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 t="str">
        <f ca="1">IFERROR(__xludf.DUMMYFUNCTION("""COMPUTED_VALUE"""),"cross-device")</f>
        <v>cross-device</v>
      </c>
      <c r="AO447" s="3"/>
      <c r="AP447" s="3"/>
      <c r="AQ447" s="3"/>
      <c r="AR447" s="3"/>
      <c r="AS447" s="3"/>
      <c r="AT447" s="3"/>
      <c r="AU447" s="3" t="str">
        <f ca="1">IFERROR(__xludf.DUMMYFUNCTION("""COMPUTED_VALUE"""),"Prodloužení existující microsite, bez úprav")</f>
        <v>Prodloužení existující microsite, bez úprav</v>
      </c>
    </row>
    <row r="448" spans="1:47" x14ac:dyDescent="0.3">
      <c r="A448" s="3">
        <f ca="1"/>
        <v>2346826</v>
      </c>
      <c r="B448" s="3" t="str">
        <f ca="1"/>
        <v>CZECH NEWS CENTER a. s.</v>
      </c>
      <c r="C448" s="3" t="str">
        <f ca="1">IFERROR(__xludf.DUMMYFUNCTION("""COMPUTED_VALUE"""),"Dáma")</f>
        <v>Dáma</v>
      </c>
      <c r="D448" s="4" t="str">
        <f ca="1">IFERROR(__xludf.DUMMYFUNCTION("""COMPUTED_VALUE"""),"https://dama.cz")</f>
        <v>https://dama.cz</v>
      </c>
      <c r="E448" s="3" t="str">
        <f ca="1">IFERROR(__xludf.DUMMYFUNCTION("""COMPUTED_VALUE"""),"celý web")</f>
        <v>celý web</v>
      </c>
      <c r="F448" s="4" t="str">
        <f ca="1">IFERROR(__xludf.DUMMYFUNCTION("""COMPUTED_VALUE"""),"https://dama.cz")</f>
        <v>https://dama.cz</v>
      </c>
      <c r="G448" s="3" t="str">
        <f ca="1">IFERROR(__xludf.DUMMYFUNCTION("""COMPUTED_VALUE"""),"Advertorial mid season")</f>
        <v>Advertorial mid season</v>
      </c>
      <c r="H448" s="3">
        <f ca="1">IFERROR(__xludf.DUMMYFUNCTION("""COMPUTED_VALUE"""),1)</f>
        <v>1</v>
      </c>
      <c r="I448" s="5">
        <f ca="1">IFERROR(__xludf.DUMMYFUNCTION("""COMPUTED_VALUE"""),1)</f>
        <v>1</v>
      </c>
      <c r="J448" s="5">
        <f ca="1">IFERROR(__xludf.DUMMYFUNCTION("""COMPUTED_VALUE"""),90000)</f>
        <v>90000</v>
      </c>
      <c r="K448" s="3"/>
      <c r="L448" s="3" t="str">
        <f ca="1">IFERROR(__xludf.DUMMYFUNCTION("""COMPUTED_VALUE"""),"Cost per instance")</f>
        <v>Cost per instance</v>
      </c>
      <c r="M448" s="3"/>
      <c r="N448" s="3"/>
      <c r="O448" s="3"/>
      <c r="P448" s="3"/>
      <c r="Q448" s="3"/>
      <c r="R448" s="3"/>
      <c r="S448" s="3" t="str">
        <f ca="1">IFERROR(__xludf.DUMMYFUNCTION("""COMPUTED_VALUE"""),"100")</f>
        <v>100</v>
      </c>
      <c r="T448" s="3"/>
      <c r="U448" s="3" t="str">
        <f ca="1">IFERROR(__xludf.DUMMYFUNCTION("""COMPUTED_VALUE"""),"pr článek")</f>
        <v>pr článek</v>
      </c>
      <c r="V448" s="3"/>
      <c r="W448" s="3"/>
      <c r="X448" s="3"/>
      <c r="Y448" s="3"/>
      <c r="Z448" s="3" t="str">
        <f ca="1">IFERROR(__xludf.DUMMYFUNCTION("""COMPUTED_VALUE"""),"podklady@cncenter.cz")</f>
        <v>podklady@cncenter.cz</v>
      </c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 t="str">
        <f ca="1">IFERROR(__xludf.DUMMYFUNCTION("""COMPUTED_VALUE"""),"cross-device")</f>
        <v>cross-device</v>
      </c>
      <c r="AO448" s="3"/>
      <c r="AP448" s="3"/>
      <c r="AQ448" s="3"/>
      <c r="AR448" s="3"/>
      <c r="AS448" s="3"/>
      <c r="AT448" s="3"/>
      <c r="AU448" s="3" t="str">
        <f ca="1">IFERROR(__xludf.DUMMYFUNCTION("""COMPUTED_VALUE"""),"Advertorial")</f>
        <v>Advertorial</v>
      </c>
    </row>
    <row r="449" spans="1:47" x14ac:dyDescent="0.3">
      <c r="A449" s="3">
        <f ca="1"/>
        <v>2346826</v>
      </c>
      <c r="B449" s="3" t="str">
        <f ca="1"/>
        <v>CZECH NEWS CENTER a. s.</v>
      </c>
      <c r="C449" s="3" t="str">
        <f ca="1">IFERROR(__xludf.DUMMYFUNCTION("""COMPUTED_VALUE"""),"Dáma")</f>
        <v>Dáma</v>
      </c>
      <c r="D449" s="4" t="str">
        <f ca="1">IFERROR(__xludf.DUMMYFUNCTION("""COMPUTED_VALUE"""),"https://dama.cz")</f>
        <v>https://dama.cz</v>
      </c>
      <c r="E449" s="3" t="str">
        <f ca="1">IFERROR(__xludf.DUMMYFUNCTION("""COMPUTED_VALUE"""),"celý web")</f>
        <v>celý web</v>
      </c>
      <c r="F449" s="4" t="str">
        <f ca="1">IFERROR(__xludf.DUMMYFUNCTION("""COMPUTED_VALUE"""),"https://dama.cz")</f>
        <v>https://dama.cz</v>
      </c>
      <c r="G449" s="3" t="str">
        <f ca="1">IFERROR(__xludf.DUMMYFUNCTION("""COMPUTED_VALUE"""),"billboard bottom mid season")</f>
        <v>billboard bottom mid season</v>
      </c>
      <c r="H449" s="3">
        <f ca="1">IFERROR(__xludf.DUMMYFUNCTION("""COMPUTED_VALUE"""),7)</f>
        <v>7</v>
      </c>
      <c r="I449" s="5">
        <f ca="1">IFERROR(__xludf.DUMMYFUNCTION("""COMPUTED_VALUE"""),1000)</f>
        <v>1000</v>
      </c>
      <c r="J449" s="5">
        <f ca="1">IFERROR(__xludf.DUMMYFUNCTION("""COMPUTED_VALUE"""),340)</f>
        <v>340</v>
      </c>
      <c r="K449" s="3"/>
      <c r="L449" s="3" t="str">
        <f ca="1">IFERROR(__xludf.DUMMYFUNCTION("""COMPUTED_VALUE"""),"Cost per period")</f>
        <v>Cost per period</v>
      </c>
      <c r="M449" s="3"/>
      <c r="N449" s="3"/>
      <c r="O449" s="3" t="str">
        <f ca="1">IFERROR(__xludf.DUMMYFUNCTION("""COMPUTED_VALUE"""),"970")</f>
        <v>970</v>
      </c>
      <c r="P449" s="3" t="str">
        <f ca="1">IFERROR(__xludf.DUMMYFUNCTION("""COMPUTED_VALUE"""),"250")</f>
        <v>250</v>
      </c>
      <c r="Q449" s="3" t="str">
        <f ca="1">IFERROR(__xludf.DUMMYFUNCTION("""COMPUTED_VALUE"""),"970x250")</f>
        <v>970x250</v>
      </c>
      <c r="R449" s="3"/>
      <c r="S449" s="3" t="str">
        <f ca="1">IFERROR(__xludf.DUMMYFUNCTION("""COMPUTED_VALUE"""),"100 (200 - HTML5)")</f>
        <v>100 (200 - HTML5)</v>
      </c>
      <c r="T449" s="3"/>
      <c r="U449" s="3" t="str">
        <f ca="1">IFERROR(__xludf.DUMMYFUNCTION("""COMPUTED_VALUE"""),"banner standard")</f>
        <v>banner standard</v>
      </c>
      <c r="V449" s="3"/>
      <c r="W449" s="4" t="str">
        <f ca="1">IFERROR(__xludf.DUMMYFUNCTION("""COMPUTED_VALUE"""),"https://reklama.cncenter.cz/Online/billboard-bottom")</f>
        <v>https://reklama.cncenter.cz/Online/billboard-bottom</v>
      </c>
      <c r="X449" s="3"/>
      <c r="Y449" s="3"/>
      <c r="Z449" s="3" t="str">
        <f ca="1">IFERROR(__xludf.DUMMYFUNCTION("""COMPUTED_VALUE"""),"podklady@cncenter.cz")</f>
        <v>podklady@cncenter.cz</v>
      </c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 t="str">
        <f ca="1">IFERROR(__xludf.DUMMYFUNCTION("""COMPUTED_VALUE"""),"desktop")</f>
        <v>desktop</v>
      </c>
      <c r="AO449" s="3"/>
      <c r="AP449" s="3"/>
      <c r="AQ449" s="3"/>
      <c r="AR449" s="3"/>
      <c r="AS449" s="3"/>
      <c r="AT449" s="3"/>
      <c r="AU449" s="3" t="str">
        <f ca="1">IFERROR(__xludf.DUMMYFUNCTION("""COMPUTED_VALUE"""),"billboard bottom")</f>
        <v>billboard bottom</v>
      </c>
    </row>
    <row r="450" spans="1:47" x14ac:dyDescent="0.3">
      <c r="A450" s="3">
        <f ca="1"/>
        <v>2346826</v>
      </c>
      <c r="B450" s="3" t="str">
        <f ca="1"/>
        <v>CZECH NEWS CENTER a. s.</v>
      </c>
      <c r="C450" s="3" t="str">
        <f ca="1">IFERROR(__xludf.DUMMYFUNCTION("""COMPUTED_VALUE"""),"Dáma")</f>
        <v>Dáma</v>
      </c>
      <c r="D450" s="4" t="str">
        <f ca="1">IFERROR(__xludf.DUMMYFUNCTION("""COMPUTED_VALUE"""),"https://dama.cz")</f>
        <v>https://dama.cz</v>
      </c>
      <c r="E450" s="3" t="str">
        <f ca="1">IFERROR(__xludf.DUMMYFUNCTION("""COMPUTED_VALUE"""),"celý web")</f>
        <v>celý web</v>
      </c>
      <c r="F450" s="4" t="str">
        <f ca="1">IFERROR(__xludf.DUMMYFUNCTION("""COMPUTED_VALUE"""),"https://dama.cz")</f>
        <v>https://dama.cz</v>
      </c>
      <c r="G450" s="3" t="str">
        <f ca="1">IFERROR(__xludf.DUMMYFUNCTION("""COMPUTED_VALUE"""),"branding cross-device mid season")</f>
        <v>branding cross-device mid season</v>
      </c>
      <c r="H450" s="3">
        <f ca="1">IFERROR(__xludf.DUMMYFUNCTION("""COMPUTED_VALUE"""),7)</f>
        <v>7</v>
      </c>
      <c r="I450" s="5">
        <f ca="1">IFERROR(__xludf.DUMMYFUNCTION("""COMPUTED_VALUE"""),1000)</f>
        <v>1000</v>
      </c>
      <c r="J450" s="5">
        <f ca="1">IFERROR(__xludf.DUMMYFUNCTION("""COMPUTED_VALUE"""),420)</f>
        <v>420</v>
      </c>
      <c r="K450" s="3"/>
      <c r="L450" s="3" t="str">
        <f ca="1">IFERROR(__xludf.DUMMYFUNCTION("""COMPUTED_VALUE"""),"Cost per period")</f>
        <v>Cost per period</v>
      </c>
      <c r="M450" s="3"/>
      <c r="N450" s="3"/>
      <c r="O450" s="3" t="str">
        <f ca="1">IFERROR(__xludf.DUMMYFUNCTION("""COMPUTED_VALUE"""),"2000")</f>
        <v>2000</v>
      </c>
      <c r="P450" s="3" t="str">
        <f ca="1">IFERROR(__xludf.DUMMYFUNCTION("""COMPUTED_VALUE"""),"1400")</f>
        <v>1400</v>
      </c>
      <c r="Q450" s="3" t="str">
        <f ca="1">IFERROR(__xludf.DUMMYFUNCTION("""COMPUTED_VALUE"""),"2000x1400 + 600x1080")</f>
        <v>2000x1400 + 600x1080</v>
      </c>
      <c r="R450" s="3"/>
      <c r="S450" s="3" t="str">
        <f ca="1">IFERROR(__xludf.DUMMYFUNCTION("""COMPUTED_VALUE"""),"500 (600 - HTLM5)")</f>
        <v>500 (600 - HTLM5)</v>
      </c>
      <c r="T450" s="3"/>
      <c r="U450" s="3" t="str">
        <f ca="1">IFERROR(__xludf.DUMMYFUNCTION("""COMPUTED_VALUE"""),"banner standard")</f>
        <v>banner standard</v>
      </c>
      <c r="V450" s="3"/>
      <c r="W450" s="4" t="str">
        <f ca="1">IFERROR(__xludf.DUMMYFUNCTION("""COMPUTED_VALUE"""),"https://reklama.cncenter.cz/Online/branding-cross-device")</f>
        <v>https://reklama.cncenter.cz/Online/branding-cross-device</v>
      </c>
      <c r="X450" s="3"/>
      <c r="Y450" s="3"/>
      <c r="Z450" s="3" t="str">
        <f ca="1">IFERROR(__xludf.DUMMYFUNCTION("""COMPUTED_VALUE"""),"podklady@cncenter.cz")</f>
        <v>podklady@cncenter.cz</v>
      </c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 t="str">
        <f ca="1">IFERROR(__xludf.DUMMYFUNCTION("""COMPUTED_VALUE"""),"cross-device")</f>
        <v>cross-device</v>
      </c>
      <c r="AO450" s="3"/>
      <c r="AP450" s="3"/>
      <c r="AQ450" s="3"/>
      <c r="AR450" s="3"/>
      <c r="AS450" s="3"/>
      <c r="AT450" s="3"/>
      <c r="AU450" s="3" t="str">
        <f ca="1">IFERROR(__xludf.DUMMYFUNCTION("""COMPUTED_VALUE"""),"branding cross-device")</f>
        <v>branding cross-device</v>
      </c>
    </row>
    <row r="451" spans="1:47" x14ac:dyDescent="0.3">
      <c r="A451" s="3">
        <f ca="1"/>
        <v>2346826</v>
      </c>
      <c r="B451" s="3" t="str">
        <f ca="1"/>
        <v>CZECH NEWS CENTER a. s.</v>
      </c>
      <c r="C451" s="3" t="str">
        <f ca="1">IFERROR(__xludf.DUMMYFUNCTION("""COMPUTED_VALUE"""),"Dáma")</f>
        <v>Dáma</v>
      </c>
      <c r="D451" s="4" t="str">
        <f ca="1">IFERROR(__xludf.DUMMYFUNCTION("""COMPUTED_VALUE"""),"https://dama.cz")</f>
        <v>https://dama.cz</v>
      </c>
      <c r="E451" s="3" t="str">
        <f ca="1">IFERROR(__xludf.DUMMYFUNCTION("""COMPUTED_VALUE"""),"celý web")</f>
        <v>celý web</v>
      </c>
      <c r="F451" s="4" t="str">
        <f ca="1">IFERROR(__xludf.DUMMYFUNCTION("""COMPUTED_VALUE"""),"https://dama.cz")</f>
        <v>https://dama.cz</v>
      </c>
      <c r="G451" s="3" t="str">
        <f ca="1">IFERROR(__xludf.DUMMYFUNCTION("""COMPUTED_VALUE"""),"branding mid season")</f>
        <v>branding mid season</v>
      </c>
      <c r="H451" s="3">
        <f ca="1">IFERROR(__xludf.DUMMYFUNCTION("""COMPUTED_VALUE"""),7)</f>
        <v>7</v>
      </c>
      <c r="I451" s="5">
        <f ca="1">IFERROR(__xludf.DUMMYFUNCTION("""COMPUTED_VALUE"""),1000)</f>
        <v>1000</v>
      </c>
      <c r="J451" s="5">
        <f ca="1">IFERROR(__xludf.DUMMYFUNCTION("""COMPUTED_VALUE"""),690)</f>
        <v>690</v>
      </c>
      <c r="K451" s="3"/>
      <c r="L451" s="3" t="str">
        <f ca="1">IFERROR(__xludf.DUMMYFUNCTION("""COMPUTED_VALUE"""),"Cost per period")</f>
        <v>Cost per period</v>
      </c>
      <c r="M451" s="3"/>
      <c r="N451" s="3"/>
      <c r="O451" s="3" t="str">
        <f ca="1">IFERROR(__xludf.DUMMYFUNCTION("""COMPUTED_VALUE"""),"2000")</f>
        <v>2000</v>
      </c>
      <c r="P451" s="3" t="str">
        <f ca="1">IFERROR(__xludf.DUMMYFUNCTION("""COMPUTED_VALUE"""),"1400")</f>
        <v>1400</v>
      </c>
      <c r="Q451" s="3" t="str">
        <f ca="1">IFERROR(__xludf.DUMMYFUNCTION("""COMPUTED_VALUE"""),"2000x1400")</f>
        <v>2000x1400</v>
      </c>
      <c r="R451" s="3"/>
      <c r="S451" s="3" t="str">
        <f ca="1">IFERROR(__xludf.DUMMYFUNCTION("""COMPUTED_VALUE"""),"500 + 200 (600+200 HTML5)")</f>
        <v>500 + 200 (600+200 HTML5)</v>
      </c>
      <c r="T451" s="3"/>
      <c r="U451" s="3" t="str">
        <f ca="1">IFERROR(__xludf.DUMMYFUNCTION("""COMPUTED_VALUE"""),"banner standard")</f>
        <v>banner standard</v>
      </c>
      <c r="V451" s="3"/>
      <c r="W451" s="4" t="str">
        <f ca="1">IFERROR(__xludf.DUMMYFUNCTION("""COMPUTED_VALUE"""),"https://reklama.cncenter.cz/Online/branding")</f>
        <v>https://reklama.cncenter.cz/Online/branding</v>
      </c>
      <c r="X451" s="3"/>
      <c r="Y451" s="3"/>
      <c r="Z451" s="3" t="str">
        <f ca="1">IFERROR(__xludf.DUMMYFUNCTION("""COMPUTED_VALUE"""),"podklady@cncenter.cz")</f>
        <v>podklady@cncenter.cz</v>
      </c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 t="str">
        <f ca="1">IFERROR(__xludf.DUMMYFUNCTION("""COMPUTED_VALUE"""),"desktop")</f>
        <v>desktop</v>
      </c>
      <c r="AO451" s="3"/>
      <c r="AP451" s="3"/>
      <c r="AQ451" s="3"/>
      <c r="AR451" s="3"/>
      <c r="AS451" s="3"/>
      <c r="AT451" s="3"/>
      <c r="AU451" s="3" t="str">
        <f ca="1">IFERROR(__xludf.DUMMYFUNCTION("""COMPUTED_VALUE"""),"branding")</f>
        <v>branding</v>
      </c>
    </row>
    <row r="452" spans="1:47" x14ac:dyDescent="0.3">
      <c r="A452" s="3">
        <f ca="1"/>
        <v>2346826</v>
      </c>
      <c r="B452" s="3" t="str">
        <f ca="1"/>
        <v>CZECH NEWS CENTER a. s.</v>
      </c>
      <c r="C452" s="3" t="str">
        <f ca="1">IFERROR(__xludf.DUMMYFUNCTION("""COMPUTED_VALUE"""),"Dáma")</f>
        <v>Dáma</v>
      </c>
      <c r="D452" s="4" t="str">
        <f ca="1">IFERROR(__xludf.DUMMYFUNCTION("""COMPUTED_VALUE"""),"https://dama.cz")</f>
        <v>https://dama.cz</v>
      </c>
      <c r="E452" s="3" t="str">
        <f ca="1">IFERROR(__xludf.DUMMYFUNCTION("""COMPUTED_VALUE"""),"celý web")</f>
        <v>celý web</v>
      </c>
      <c r="F452" s="4" t="str">
        <f ca="1">IFERROR(__xludf.DUMMYFUNCTION("""COMPUTED_VALUE"""),"https://dama.cz")</f>
        <v>https://dama.cz</v>
      </c>
      <c r="G452" s="3" t="str">
        <f ca="1">IFERROR(__xludf.DUMMYFUNCTION("""COMPUTED_VALUE"""),"cílený billboard bottom mid season")</f>
        <v>cílený billboard bottom mid season</v>
      </c>
      <c r="H452" s="3">
        <f ca="1">IFERROR(__xludf.DUMMYFUNCTION("""COMPUTED_VALUE"""),7)</f>
        <v>7</v>
      </c>
      <c r="I452" s="5">
        <f ca="1">IFERROR(__xludf.DUMMYFUNCTION("""COMPUTED_VALUE"""),1000)</f>
        <v>1000</v>
      </c>
      <c r="J452" s="5">
        <f ca="1">IFERROR(__xludf.DUMMYFUNCTION("""COMPUTED_VALUE"""),408)</f>
        <v>408</v>
      </c>
      <c r="K452" s="3"/>
      <c r="L452" s="3" t="str">
        <f ca="1">IFERROR(__xludf.DUMMYFUNCTION("""COMPUTED_VALUE"""),"Cost per period")</f>
        <v>Cost per period</v>
      </c>
      <c r="M452" s="3"/>
      <c r="N452" s="3"/>
      <c r="O452" s="3" t="str">
        <f ca="1">IFERROR(__xludf.DUMMYFUNCTION("""COMPUTED_VALUE"""),"970")</f>
        <v>970</v>
      </c>
      <c r="P452" s="3" t="str">
        <f ca="1">IFERROR(__xludf.DUMMYFUNCTION("""COMPUTED_VALUE"""),"250")</f>
        <v>250</v>
      </c>
      <c r="Q452" s="3" t="str">
        <f ca="1">IFERROR(__xludf.DUMMYFUNCTION("""COMPUTED_VALUE"""),"970x250")</f>
        <v>970x250</v>
      </c>
      <c r="R452" s="3"/>
      <c r="S452" s="3" t="str">
        <f ca="1">IFERROR(__xludf.DUMMYFUNCTION("""COMPUTED_VALUE"""),"100 (200 - HTML5)")</f>
        <v>100 (200 - HTML5)</v>
      </c>
      <c r="T452" s="3"/>
      <c r="U452" s="3" t="str">
        <f ca="1">IFERROR(__xludf.DUMMYFUNCTION("""COMPUTED_VALUE"""),"banner standard")</f>
        <v>banner standard</v>
      </c>
      <c r="V452" s="3"/>
      <c r="W452" s="4" t="str">
        <f ca="1">IFERROR(__xludf.DUMMYFUNCTION("""COMPUTED_VALUE"""),"https://reklama.cncenter.cz/Online/billboard-bottom")</f>
        <v>https://reklama.cncenter.cz/Online/billboard-bottom</v>
      </c>
      <c r="X452" s="3"/>
      <c r="Y452" s="3"/>
      <c r="Z452" s="3" t="str">
        <f ca="1">IFERROR(__xludf.DUMMYFUNCTION("""COMPUTED_VALUE"""),"podklady@cncenter.cz")</f>
        <v>podklady@cncenter.cz</v>
      </c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 t="str">
        <f ca="1">IFERROR(__xludf.DUMMYFUNCTION("""COMPUTED_VALUE"""),"desktop")</f>
        <v>desktop</v>
      </c>
      <c r="AO452" s="3"/>
      <c r="AP452" s="3"/>
      <c r="AQ452" s="3"/>
      <c r="AR452" s="3"/>
      <c r="AS452" s="3"/>
      <c r="AT452" s="3"/>
      <c r="AU452" s="3" t="str">
        <f ca="1">IFERROR(__xludf.DUMMYFUNCTION("""COMPUTED_VALUE"""),"cílený billboard bottom")</f>
        <v>cílený billboard bottom</v>
      </c>
    </row>
    <row r="453" spans="1:47" x14ac:dyDescent="0.3">
      <c r="A453" s="3">
        <f ca="1"/>
        <v>2346826</v>
      </c>
      <c r="B453" s="3" t="str">
        <f ca="1"/>
        <v>CZECH NEWS CENTER a. s.</v>
      </c>
      <c r="C453" s="3" t="str">
        <f ca="1">IFERROR(__xludf.DUMMYFUNCTION("""COMPUTED_VALUE"""),"Dáma")</f>
        <v>Dáma</v>
      </c>
      <c r="D453" s="4" t="str">
        <f ca="1">IFERROR(__xludf.DUMMYFUNCTION("""COMPUTED_VALUE"""),"https://dama.cz")</f>
        <v>https://dama.cz</v>
      </c>
      <c r="E453" s="3" t="str">
        <f ca="1">IFERROR(__xludf.DUMMYFUNCTION("""COMPUTED_VALUE"""),"celý web")</f>
        <v>celý web</v>
      </c>
      <c r="F453" s="4" t="str">
        <f ca="1">IFERROR(__xludf.DUMMYFUNCTION("""COMPUTED_VALUE"""),"https://dama.cz")</f>
        <v>https://dama.cz</v>
      </c>
      <c r="G453" s="3" t="str">
        <f ca="1">IFERROR(__xludf.DUMMYFUNCTION("""COMPUTED_VALUE"""),"cílený branding cross-device mid season")</f>
        <v>cílený branding cross-device mid season</v>
      </c>
      <c r="H453" s="3">
        <f ca="1">IFERROR(__xludf.DUMMYFUNCTION("""COMPUTED_VALUE"""),7)</f>
        <v>7</v>
      </c>
      <c r="I453" s="5">
        <f ca="1">IFERROR(__xludf.DUMMYFUNCTION("""COMPUTED_VALUE"""),1000)</f>
        <v>1000</v>
      </c>
      <c r="J453" s="5">
        <f ca="1">IFERROR(__xludf.DUMMYFUNCTION("""COMPUTED_VALUE"""),504)</f>
        <v>504</v>
      </c>
      <c r="K453" s="3"/>
      <c r="L453" s="3" t="str">
        <f ca="1">IFERROR(__xludf.DUMMYFUNCTION("""COMPUTED_VALUE"""),"Cost per period")</f>
        <v>Cost per period</v>
      </c>
      <c r="M453" s="3"/>
      <c r="N453" s="3"/>
      <c r="O453" s="3" t="str">
        <f ca="1">IFERROR(__xludf.DUMMYFUNCTION("""COMPUTED_VALUE"""),"2000")</f>
        <v>2000</v>
      </c>
      <c r="P453" s="3" t="str">
        <f ca="1">IFERROR(__xludf.DUMMYFUNCTION("""COMPUTED_VALUE"""),"1400")</f>
        <v>1400</v>
      </c>
      <c r="Q453" s="3" t="str">
        <f ca="1">IFERROR(__xludf.DUMMYFUNCTION("""COMPUTED_VALUE"""),"2000x1400 + 600x1080")</f>
        <v>2000x1400 + 600x1080</v>
      </c>
      <c r="R453" s="3"/>
      <c r="S453" s="3" t="str">
        <f ca="1">IFERROR(__xludf.DUMMYFUNCTION("""COMPUTED_VALUE"""),"500 (600 - HTLM5)")</f>
        <v>500 (600 - HTLM5)</v>
      </c>
      <c r="T453" s="3"/>
      <c r="U453" s="3" t="str">
        <f ca="1">IFERROR(__xludf.DUMMYFUNCTION("""COMPUTED_VALUE"""),"banner standard")</f>
        <v>banner standard</v>
      </c>
      <c r="V453" s="3"/>
      <c r="W453" s="4" t="str">
        <f ca="1">IFERROR(__xludf.DUMMYFUNCTION("""COMPUTED_VALUE"""),"https://reklama.cncenter.cz/Online/branding-cross-device")</f>
        <v>https://reklama.cncenter.cz/Online/branding-cross-device</v>
      </c>
      <c r="X453" s="3"/>
      <c r="Y453" s="3"/>
      <c r="Z453" s="3" t="str">
        <f ca="1">IFERROR(__xludf.DUMMYFUNCTION("""COMPUTED_VALUE"""),"podklady@cncenter.cz")</f>
        <v>podklady@cncenter.cz</v>
      </c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 t="str">
        <f ca="1">IFERROR(__xludf.DUMMYFUNCTION("""COMPUTED_VALUE"""),"cross-device")</f>
        <v>cross-device</v>
      </c>
      <c r="AO453" s="3"/>
      <c r="AP453" s="3"/>
      <c r="AQ453" s="3"/>
      <c r="AR453" s="3"/>
      <c r="AS453" s="3"/>
      <c r="AT453" s="3"/>
      <c r="AU453" s="3" t="str">
        <f ca="1">IFERROR(__xludf.DUMMYFUNCTION("""COMPUTED_VALUE"""),"cílený branding cross-device")</f>
        <v>cílený branding cross-device</v>
      </c>
    </row>
    <row r="454" spans="1:47" x14ac:dyDescent="0.3">
      <c r="A454" s="3">
        <f ca="1"/>
        <v>2346826</v>
      </c>
      <c r="B454" s="3" t="str">
        <f ca="1"/>
        <v>CZECH NEWS CENTER a. s.</v>
      </c>
      <c r="C454" s="3" t="str">
        <f ca="1">IFERROR(__xludf.DUMMYFUNCTION("""COMPUTED_VALUE"""),"Dáma")</f>
        <v>Dáma</v>
      </c>
      <c r="D454" s="4" t="str">
        <f ca="1">IFERROR(__xludf.DUMMYFUNCTION("""COMPUTED_VALUE"""),"https://dama.cz")</f>
        <v>https://dama.cz</v>
      </c>
      <c r="E454" s="3" t="str">
        <f ca="1">IFERROR(__xludf.DUMMYFUNCTION("""COMPUTED_VALUE"""),"celý web")</f>
        <v>celý web</v>
      </c>
      <c r="F454" s="4" t="str">
        <f ca="1">IFERROR(__xludf.DUMMYFUNCTION("""COMPUTED_VALUE"""),"https://dama.cz")</f>
        <v>https://dama.cz</v>
      </c>
      <c r="G454" s="3" t="str">
        <f ca="1">IFERROR(__xludf.DUMMYFUNCTION("""COMPUTED_VALUE"""),"cílený branding mid season")</f>
        <v>cílený branding mid season</v>
      </c>
      <c r="H454" s="3">
        <f ca="1">IFERROR(__xludf.DUMMYFUNCTION("""COMPUTED_VALUE"""),7)</f>
        <v>7</v>
      </c>
      <c r="I454" s="5">
        <f ca="1">IFERROR(__xludf.DUMMYFUNCTION("""COMPUTED_VALUE"""),1000)</f>
        <v>1000</v>
      </c>
      <c r="J454" s="5">
        <f ca="1">IFERROR(__xludf.DUMMYFUNCTION("""COMPUTED_VALUE"""),828)</f>
        <v>828</v>
      </c>
      <c r="K454" s="3"/>
      <c r="L454" s="3" t="str">
        <f ca="1">IFERROR(__xludf.DUMMYFUNCTION("""COMPUTED_VALUE"""),"Cost per period")</f>
        <v>Cost per period</v>
      </c>
      <c r="M454" s="3"/>
      <c r="N454" s="3"/>
      <c r="O454" s="3" t="str">
        <f ca="1">IFERROR(__xludf.DUMMYFUNCTION("""COMPUTED_VALUE"""),"2000")</f>
        <v>2000</v>
      </c>
      <c r="P454" s="3" t="str">
        <f ca="1">IFERROR(__xludf.DUMMYFUNCTION("""COMPUTED_VALUE"""),"1400")</f>
        <v>1400</v>
      </c>
      <c r="Q454" s="3" t="str">
        <f ca="1">IFERROR(__xludf.DUMMYFUNCTION("""COMPUTED_VALUE"""),"2000x1400")</f>
        <v>2000x1400</v>
      </c>
      <c r="R454" s="3"/>
      <c r="S454" s="3" t="str">
        <f ca="1">IFERROR(__xludf.DUMMYFUNCTION("""COMPUTED_VALUE"""),"500 + 200 (600+200 HTML5)")</f>
        <v>500 + 200 (600+200 HTML5)</v>
      </c>
      <c r="T454" s="3"/>
      <c r="U454" s="3" t="str">
        <f ca="1">IFERROR(__xludf.DUMMYFUNCTION("""COMPUTED_VALUE"""),"banner standard")</f>
        <v>banner standard</v>
      </c>
      <c r="V454" s="3"/>
      <c r="W454" s="4" t="str">
        <f ca="1">IFERROR(__xludf.DUMMYFUNCTION("""COMPUTED_VALUE"""),"https://reklama.cncenter.cz/Online/branding")</f>
        <v>https://reklama.cncenter.cz/Online/branding</v>
      </c>
      <c r="X454" s="3"/>
      <c r="Y454" s="3"/>
      <c r="Z454" s="3" t="str">
        <f ca="1">IFERROR(__xludf.DUMMYFUNCTION("""COMPUTED_VALUE"""),"podklady@cncenter.cz")</f>
        <v>podklady@cncenter.cz</v>
      </c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 t="str">
        <f ca="1">IFERROR(__xludf.DUMMYFUNCTION("""COMPUTED_VALUE"""),"desktop")</f>
        <v>desktop</v>
      </c>
      <c r="AO454" s="3"/>
      <c r="AP454" s="3"/>
      <c r="AQ454" s="3"/>
      <c r="AR454" s="3"/>
      <c r="AS454" s="3"/>
      <c r="AT454" s="3"/>
      <c r="AU454" s="3" t="str">
        <f ca="1">IFERROR(__xludf.DUMMYFUNCTION("""COMPUTED_VALUE"""),"cílený branding")</f>
        <v>cílený branding</v>
      </c>
    </row>
    <row r="455" spans="1:47" x14ac:dyDescent="0.3">
      <c r="A455" s="3">
        <f ca="1"/>
        <v>2346826</v>
      </c>
      <c r="B455" s="3" t="str">
        <f ca="1"/>
        <v>CZECH NEWS CENTER a. s.</v>
      </c>
      <c r="C455" s="3" t="str">
        <f ca="1">IFERROR(__xludf.DUMMYFUNCTION("""COMPUTED_VALUE"""),"Dáma")</f>
        <v>Dáma</v>
      </c>
      <c r="D455" s="4" t="str">
        <f ca="1">IFERROR(__xludf.DUMMYFUNCTION("""COMPUTED_VALUE"""),"https://dama.cz")</f>
        <v>https://dama.cz</v>
      </c>
      <c r="E455" s="3" t="str">
        <f ca="1">IFERROR(__xludf.DUMMYFUNCTION("""COMPUTED_VALUE"""),"celý web")</f>
        <v>celý web</v>
      </c>
      <c r="F455" s="4" t="str">
        <f ca="1">IFERROR(__xludf.DUMMYFUNCTION("""COMPUTED_VALUE"""),"https://dama.cz")</f>
        <v>https://dama.cz</v>
      </c>
      <c r="G455" s="3" t="str">
        <f ca="1">IFERROR(__xludf.DUMMYFUNCTION("""COMPUTED_VALUE"""),"cílený double skyscraper mid season")</f>
        <v>cílený double skyscraper mid season</v>
      </c>
      <c r="H455" s="3">
        <f ca="1">IFERROR(__xludf.DUMMYFUNCTION("""COMPUTED_VALUE"""),7)</f>
        <v>7</v>
      </c>
      <c r="I455" s="5">
        <f ca="1">IFERROR(__xludf.DUMMYFUNCTION("""COMPUTED_VALUE"""),1000)</f>
        <v>1000</v>
      </c>
      <c r="J455" s="5">
        <f ca="1">IFERROR(__xludf.DUMMYFUNCTION("""COMPUTED_VALUE"""),324)</f>
        <v>324</v>
      </c>
      <c r="K455" s="3"/>
      <c r="L455" s="3" t="str">
        <f ca="1">IFERROR(__xludf.DUMMYFUNCTION("""COMPUTED_VALUE"""),"Cost per period")</f>
        <v>Cost per period</v>
      </c>
      <c r="M455" s="3"/>
      <c r="N455" s="3"/>
      <c r="O455" s="3" t="str">
        <f ca="1">IFERROR(__xludf.DUMMYFUNCTION("""COMPUTED_VALUE"""),"300")</f>
        <v>300</v>
      </c>
      <c r="P455" s="3" t="str">
        <f ca="1">IFERROR(__xludf.DUMMYFUNCTION("""COMPUTED_VALUE"""),"600")</f>
        <v>600</v>
      </c>
      <c r="Q455" s="3" t="str">
        <f ca="1">IFERROR(__xludf.DUMMYFUNCTION("""COMPUTED_VALUE"""),"300x600")</f>
        <v>300x600</v>
      </c>
      <c r="R455" s="3"/>
      <c r="S455" s="3" t="str">
        <f ca="1">IFERROR(__xludf.DUMMYFUNCTION("""COMPUTED_VALUE"""),"100 (200 - HTML5)")</f>
        <v>100 (200 - HTML5)</v>
      </c>
      <c r="T455" s="3"/>
      <c r="U455" s="3" t="str">
        <f ca="1">IFERROR(__xludf.DUMMYFUNCTION("""COMPUTED_VALUE"""),"banner standard")</f>
        <v>banner standard</v>
      </c>
      <c r="V455" s="3"/>
      <c r="W455" s="4" t="str">
        <f ca="1">IFERROR(__xludf.DUMMYFUNCTION("""COMPUTED_VALUE"""),"https://reklama.cncenter.cz/Online/double-skyscraper")</f>
        <v>https://reklama.cncenter.cz/Online/double-skyscraper</v>
      </c>
      <c r="X455" s="3"/>
      <c r="Y455" s="3"/>
      <c r="Z455" s="3" t="str">
        <f ca="1">IFERROR(__xludf.DUMMYFUNCTION("""COMPUTED_VALUE"""),"podklady@cncenter.cz")</f>
        <v>podklady@cncenter.cz</v>
      </c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 t="str">
        <f ca="1">IFERROR(__xludf.DUMMYFUNCTION("""COMPUTED_VALUE"""),"desktop")</f>
        <v>desktop</v>
      </c>
      <c r="AO455" s="3"/>
      <c r="AP455" s="3"/>
      <c r="AQ455" s="3"/>
      <c r="AR455" s="3"/>
      <c r="AS455" s="3"/>
      <c r="AT455" s="3"/>
      <c r="AU455" s="3" t="str">
        <f ca="1">IFERROR(__xludf.DUMMYFUNCTION("""COMPUTED_VALUE"""),"cílený double skyscraper")</f>
        <v>cílený double skyscraper</v>
      </c>
    </row>
    <row r="456" spans="1:47" x14ac:dyDescent="0.3">
      <c r="A456" s="3">
        <f ca="1"/>
        <v>2346826</v>
      </c>
      <c r="B456" s="3" t="str">
        <f ca="1"/>
        <v>CZECH NEWS CENTER a. s.</v>
      </c>
      <c r="C456" s="3" t="str">
        <f ca="1">IFERROR(__xludf.DUMMYFUNCTION("""COMPUTED_VALUE"""),"Dáma")</f>
        <v>Dáma</v>
      </c>
      <c r="D456" s="4" t="str">
        <f ca="1">IFERROR(__xludf.DUMMYFUNCTION("""COMPUTED_VALUE"""),"https://dama.cz")</f>
        <v>https://dama.cz</v>
      </c>
      <c r="E456" s="3" t="str">
        <f ca="1">IFERROR(__xludf.DUMMYFUNCTION("""COMPUTED_VALUE"""),"celý web")</f>
        <v>celý web</v>
      </c>
      <c r="F456" s="4" t="str">
        <f ca="1">IFERROR(__xludf.DUMMYFUNCTION("""COMPUTED_VALUE"""),"https://dama.cz")</f>
        <v>https://dama.cz</v>
      </c>
      <c r="G456" s="3" t="str">
        <f ca="1">IFERROR(__xludf.DUMMYFUNCTION("""COMPUTED_VALUE"""),"cílený mini videospot - max. 30 sec. mid season")</f>
        <v>cílený mini videospot - max. 30 sec. mid season</v>
      </c>
      <c r="H456" s="3">
        <f ca="1">IFERROR(__xludf.DUMMYFUNCTION("""COMPUTED_VALUE"""),7)</f>
        <v>7</v>
      </c>
      <c r="I456" s="5">
        <f ca="1">IFERROR(__xludf.DUMMYFUNCTION("""COMPUTED_VALUE"""),1000)</f>
        <v>1000</v>
      </c>
      <c r="J456" s="5">
        <f ca="1">IFERROR(__xludf.DUMMYFUNCTION("""COMPUTED_VALUE"""),240)</f>
        <v>240</v>
      </c>
      <c r="K456" s="3"/>
      <c r="L456" s="3" t="str">
        <f ca="1">IFERROR(__xludf.DUMMYFUNCTION("""COMPUTED_VALUE"""),"Cost per period")</f>
        <v>Cost per period</v>
      </c>
      <c r="M456" s="3"/>
      <c r="N456" s="3"/>
      <c r="O456" s="3"/>
      <c r="P456" s="3"/>
      <c r="Q456" s="3" t="str">
        <f ca="1">IFERROR(__xludf.DUMMYFUNCTION("""COMPUTED_VALUE"""),"16:9 / umístění po domluvě dle možností")</f>
        <v>16:9 / umístění po domluvě dle možností</v>
      </c>
      <c r="R456" s="3" t="str">
        <f ca="1">IFERROR(__xludf.DUMMYFUNCTION("""COMPUTED_VALUE"""),"přeskočení po 7 sekundách")</f>
        <v>přeskočení po 7 sekundách</v>
      </c>
      <c r="S456" s="3" t="str">
        <f ca="1">IFERROR(__xludf.DUMMYFUNCTION("""COMPUTED_VALUE"""),"100")</f>
        <v>100</v>
      </c>
      <c r="T456" s="3"/>
      <c r="U456" s="3" t="str">
        <f ca="1">IFERROR(__xludf.DUMMYFUNCTION("""COMPUTED_VALUE"""),"videospot")</f>
        <v>videospot</v>
      </c>
      <c r="V456" s="3"/>
      <c r="W456" s="4" t="str">
        <f ca="1">IFERROR(__xludf.DUMMYFUNCTION("""COMPUTED_VALUE"""),"https://reklama.cncenter.cz/Online/Videospot")</f>
        <v>https://reklama.cncenter.cz/Online/Videospot</v>
      </c>
      <c r="X456" s="3"/>
      <c r="Y456" s="3"/>
      <c r="Z456" s="3" t="str">
        <f ca="1">IFERROR(__xludf.DUMMYFUNCTION("""COMPUTED_VALUE"""),"podklady@cncenter.cz")</f>
        <v>podklady@cncenter.cz</v>
      </c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 t="str">
        <f ca="1">IFERROR(__xludf.DUMMYFUNCTION("""COMPUTED_VALUE"""),"desktop")</f>
        <v>desktop</v>
      </c>
      <c r="AO456" s="3"/>
      <c r="AP456" s="3"/>
      <c r="AQ456" s="3"/>
      <c r="AR456" s="3"/>
      <c r="AS456" s="3"/>
      <c r="AT456" s="3"/>
      <c r="AU456" s="3" t="str">
        <f ca="1">IFERROR(__xludf.DUMMYFUNCTION("""COMPUTED_VALUE"""),"cílený mini videospot - max. 30 sec.")</f>
        <v>cílený mini videospot - max. 30 sec.</v>
      </c>
    </row>
    <row r="457" spans="1:47" x14ac:dyDescent="0.3">
      <c r="A457" s="3">
        <f ca="1"/>
        <v>2346826</v>
      </c>
      <c r="B457" s="3" t="str">
        <f ca="1"/>
        <v>CZECH NEWS CENTER a. s.</v>
      </c>
      <c r="C457" s="3" t="str">
        <f ca="1">IFERROR(__xludf.DUMMYFUNCTION("""COMPUTED_VALUE"""),"Dáma")</f>
        <v>Dáma</v>
      </c>
      <c r="D457" s="4" t="str">
        <f ca="1">IFERROR(__xludf.DUMMYFUNCTION("""COMPUTED_VALUE"""),"https://dama.cz")</f>
        <v>https://dama.cz</v>
      </c>
      <c r="E457" s="3" t="str">
        <f ca="1">IFERROR(__xludf.DUMMYFUNCTION("""COMPUTED_VALUE"""),"celý web")</f>
        <v>celý web</v>
      </c>
      <c r="F457" s="4" t="str">
        <f ca="1">IFERROR(__xludf.DUMMYFUNCTION("""COMPUTED_VALUE"""),"https://dama.cz")</f>
        <v>https://dama.cz</v>
      </c>
      <c r="G457" s="3" t="str">
        <f ca="1">IFERROR(__xludf.DUMMYFUNCTION("""COMPUTED_VALUE"""),"cílený mobilní interscroller mid season")</f>
        <v>cílený mobilní interscroller mid season</v>
      </c>
      <c r="H457" s="3">
        <f ca="1">IFERROR(__xludf.DUMMYFUNCTION("""COMPUTED_VALUE"""),7)</f>
        <v>7</v>
      </c>
      <c r="I457" s="5">
        <f ca="1">IFERROR(__xludf.DUMMYFUNCTION("""COMPUTED_VALUE"""),1000)</f>
        <v>1000</v>
      </c>
      <c r="J457" s="5">
        <f ca="1">IFERROR(__xludf.DUMMYFUNCTION("""COMPUTED_VALUE"""),420)</f>
        <v>420</v>
      </c>
      <c r="K457" s="3"/>
      <c r="L457" s="3" t="str">
        <f ca="1">IFERROR(__xludf.DUMMYFUNCTION("""COMPUTED_VALUE"""),"Cost per period")</f>
        <v>Cost per period</v>
      </c>
      <c r="M457" s="3"/>
      <c r="N457" s="3"/>
      <c r="O457" s="3" t="str">
        <f ca="1">IFERROR(__xludf.DUMMYFUNCTION("""COMPUTED_VALUE"""),"600")</f>
        <v>600</v>
      </c>
      <c r="P457" s="3" t="str">
        <f ca="1">IFERROR(__xludf.DUMMYFUNCTION("""COMPUTED_VALUE"""),"1080")</f>
        <v>1080</v>
      </c>
      <c r="Q457" s="3" t="str">
        <f ca="1">IFERROR(__xludf.DUMMYFUNCTION("""COMPUTED_VALUE"""),"600x1080")</f>
        <v>600x1080</v>
      </c>
      <c r="R457" s="3"/>
      <c r="S457" s="3" t="str">
        <f ca="1">IFERROR(__xludf.DUMMYFUNCTION("""COMPUTED_VALUE"""),"200")</f>
        <v>200</v>
      </c>
      <c r="T457" s="3"/>
      <c r="U457" s="3" t="str">
        <f ca="1">IFERROR(__xludf.DUMMYFUNCTION("""COMPUTED_VALUE"""),"banner standard")</f>
        <v>banner standard</v>
      </c>
      <c r="V457" s="3"/>
      <c r="W457" s="4" t="str">
        <f ca="1">IFERROR(__xludf.DUMMYFUNCTION("""COMPUTED_VALUE"""),"https://reklama.cncenter.cz/Online/mobilni-interscroller")</f>
        <v>https://reklama.cncenter.cz/Online/mobilni-interscroller</v>
      </c>
      <c r="X457" s="3"/>
      <c r="Y457" s="3"/>
      <c r="Z457" s="3" t="str">
        <f ca="1">IFERROR(__xludf.DUMMYFUNCTION("""COMPUTED_VALUE"""),"podklady@cncenter.cz")</f>
        <v>podklady@cncenter.cz</v>
      </c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 t="str">
        <f ca="1">IFERROR(__xludf.DUMMYFUNCTION("""COMPUTED_VALUE"""),"mobile")</f>
        <v>mobile</v>
      </c>
      <c r="AO457" s="3"/>
      <c r="AP457" s="3"/>
      <c r="AQ457" s="3"/>
      <c r="AR457" s="3"/>
      <c r="AS457" s="3"/>
      <c r="AT457" s="3"/>
      <c r="AU457" s="3" t="str">
        <f ca="1">IFERROR(__xludf.DUMMYFUNCTION("""COMPUTED_VALUE"""),"cílený mobilní interscroller")</f>
        <v>cílený mobilní interscroller</v>
      </c>
    </row>
    <row r="458" spans="1:47" x14ac:dyDescent="0.3">
      <c r="A458" s="3">
        <f ca="1"/>
        <v>2346826</v>
      </c>
      <c r="B458" s="3" t="str">
        <f ca="1"/>
        <v>CZECH NEWS CENTER a. s.</v>
      </c>
      <c r="C458" s="3" t="str">
        <f ca="1">IFERROR(__xludf.DUMMYFUNCTION("""COMPUTED_VALUE"""),"Dáma")</f>
        <v>Dáma</v>
      </c>
      <c r="D458" s="4" t="str">
        <f ca="1">IFERROR(__xludf.DUMMYFUNCTION("""COMPUTED_VALUE"""),"https://dama.cz")</f>
        <v>https://dama.cz</v>
      </c>
      <c r="E458" s="3" t="str">
        <f ca="1">IFERROR(__xludf.DUMMYFUNCTION("""COMPUTED_VALUE"""),"celý web")</f>
        <v>celý web</v>
      </c>
      <c r="F458" s="4" t="str">
        <f ca="1">IFERROR(__xludf.DUMMYFUNCTION("""COMPUTED_VALUE"""),"https://dama.cz")</f>
        <v>https://dama.cz</v>
      </c>
      <c r="G458" s="3" t="str">
        <f ca="1">IFERROR(__xludf.DUMMYFUNCTION("""COMPUTED_VALUE"""),"cílený mobilní slide-up mid season")</f>
        <v>cílený mobilní slide-up mid season</v>
      </c>
      <c r="H458" s="3">
        <f ca="1">IFERROR(__xludf.DUMMYFUNCTION("""COMPUTED_VALUE"""),7)</f>
        <v>7</v>
      </c>
      <c r="I458" s="5">
        <f ca="1">IFERROR(__xludf.DUMMYFUNCTION("""COMPUTED_VALUE"""),1000)</f>
        <v>1000</v>
      </c>
      <c r="J458" s="5">
        <f ca="1">IFERROR(__xludf.DUMMYFUNCTION("""COMPUTED_VALUE"""),864)</f>
        <v>864</v>
      </c>
      <c r="K458" s="3"/>
      <c r="L458" s="3" t="str">
        <f ca="1">IFERROR(__xludf.DUMMYFUNCTION("""COMPUTED_VALUE"""),"Cost per period")</f>
        <v>Cost per period</v>
      </c>
      <c r="M458" s="3"/>
      <c r="N458" s="3"/>
      <c r="O458" s="3" t="str">
        <f ca="1">IFERROR(__xludf.DUMMYFUNCTION("""COMPUTED_VALUE"""),"300")</f>
        <v>300</v>
      </c>
      <c r="P458" s="3" t="str">
        <f ca="1">IFERROR(__xludf.DUMMYFUNCTION("""COMPUTED_VALUE"""),"120")</f>
        <v>120</v>
      </c>
      <c r="Q458" s="3" t="str">
        <f ca="1">IFERROR(__xludf.DUMMYFUNCTION("""COMPUTED_VALUE"""),"300x120")</f>
        <v>300x120</v>
      </c>
      <c r="R458" s="3"/>
      <c r="S458" s="3" t="str">
        <f ca="1">IFERROR(__xludf.DUMMYFUNCTION("""COMPUTED_VALUE"""),"100")</f>
        <v>100</v>
      </c>
      <c r="T458" s="3"/>
      <c r="U458" s="3" t="str">
        <f ca="1">IFERROR(__xludf.DUMMYFUNCTION("""COMPUTED_VALUE"""),"banner standard")</f>
        <v>banner standard</v>
      </c>
      <c r="V458" s="3"/>
      <c r="W458" s="4" t="str">
        <f ca="1">IFERROR(__xludf.DUMMYFUNCTION("""COMPUTED_VALUE"""),"https://reklama.cncenter.cz/Online/mobilni-slide-up")</f>
        <v>https://reklama.cncenter.cz/Online/mobilni-slide-up</v>
      </c>
      <c r="X458" s="3"/>
      <c r="Y458" s="3"/>
      <c r="Z458" s="3" t="str">
        <f ca="1">IFERROR(__xludf.DUMMYFUNCTION("""COMPUTED_VALUE"""),"podklady@cncenter.cz")</f>
        <v>podklady@cncenter.cz</v>
      </c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 t="str">
        <f ca="1">IFERROR(__xludf.DUMMYFUNCTION("""COMPUTED_VALUE"""),"mobile")</f>
        <v>mobile</v>
      </c>
      <c r="AO458" s="3"/>
      <c r="AP458" s="3"/>
      <c r="AQ458" s="3"/>
      <c r="AR458" s="3"/>
      <c r="AS458" s="3"/>
      <c r="AT458" s="3"/>
      <c r="AU458" s="3" t="str">
        <f ca="1">IFERROR(__xludf.DUMMYFUNCTION("""COMPUTED_VALUE"""),"cílený mobilní slide-up")</f>
        <v>cílený mobilní slide-up</v>
      </c>
    </row>
    <row r="459" spans="1:47" x14ac:dyDescent="0.3">
      <c r="A459" s="3">
        <f ca="1"/>
        <v>2346826</v>
      </c>
      <c r="B459" s="3" t="str">
        <f ca="1"/>
        <v>CZECH NEWS CENTER a. s.</v>
      </c>
      <c r="C459" s="3" t="str">
        <f ca="1">IFERROR(__xludf.DUMMYFUNCTION("""COMPUTED_VALUE"""),"Dáma")</f>
        <v>Dáma</v>
      </c>
      <c r="D459" s="4" t="str">
        <f ca="1">IFERROR(__xludf.DUMMYFUNCTION("""COMPUTED_VALUE"""),"https://dama.cz")</f>
        <v>https://dama.cz</v>
      </c>
      <c r="E459" s="3" t="str">
        <f ca="1">IFERROR(__xludf.DUMMYFUNCTION("""COMPUTED_VALUE"""),"celý web")</f>
        <v>celý web</v>
      </c>
      <c r="F459" s="4" t="str">
        <f ca="1">IFERROR(__xludf.DUMMYFUNCTION("""COMPUTED_VALUE"""),"https://dama.cz")</f>
        <v>https://dama.cz</v>
      </c>
      <c r="G459" s="3" t="str">
        <f ca="1">IFERROR(__xludf.DUMMYFUNCTION("""COMPUTED_VALUE"""),"cílený mobilní viněta mid season")</f>
        <v>cílený mobilní viněta mid season</v>
      </c>
      <c r="H459" s="3">
        <f ca="1">IFERROR(__xludf.DUMMYFUNCTION("""COMPUTED_VALUE"""),7)</f>
        <v>7</v>
      </c>
      <c r="I459" s="5">
        <f ca="1">IFERROR(__xludf.DUMMYFUNCTION("""COMPUTED_VALUE"""),1000)</f>
        <v>1000</v>
      </c>
      <c r="J459" s="5">
        <f ca="1">IFERROR(__xludf.DUMMYFUNCTION("""COMPUTED_VALUE"""),1488)</f>
        <v>1488</v>
      </c>
      <c r="K459" s="3"/>
      <c r="L459" s="3" t="str">
        <f ca="1">IFERROR(__xludf.DUMMYFUNCTION("""COMPUTED_VALUE"""),"Cost per period")</f>
        <v>Cost per period</v>
      </c>
      <c r="M459" s="3"/>
      <c r="N459" s="3"/>
      <c r="O459" s="3" t="str">
        <f ca="1">IFERROR(__xludf.DUMMYFUNCTION("""COMPUTED_VALUE"""),"600")</f>
        <v>600</v>
      </c>
      <c r="P459" s="3" t="str">
        <f ca="1">IFERROR(__xludf.DUMMYFUNCTION("""COMPUTED_VALUE"""),"800")</f>
        <v>800</v>
      </c>
      <c r="Q459" s="3" t="str">
        <f ca="1">IFERROR(__xludf.DUMMYFUNCTION("""COMPUTED_VALUE"""),"300x250 nebo 600x800")</f>
        <v>300x250 nebo 600x800</v>
      </c>
      <c r="R459" s="3"/>
      <c r="S459" s="3" t="str">
        <f ca="1">IFERROR(__xludf.DUMMYFUNCTION("""COMPUTED_VALUE"""),"100")</f>
        <v>100</v>
      </c>
      <c r="T459" s="3"/>
      <c r="U459" s="3" t="str">
        <f ca="1">IFERROR(__xludf.DUMMYFUNCTION("""COMPUTED_VALUE"""),"banner standard")</f>
        <v>banner standard</v>
      </c>
      <c r="V459" s="3"/>
      <c r="W459" s="4" t="str">
        <f ca="1">IFERROR(__xludf.DUMMYFUNCTION("""COMPUTED_VALUE"""),"https://reklama.cncenter.cz/Online/mobilni-vineta")</f>
        <v>https://reklama.cncenter.cz/Online/mobilni-vineta</v>
      </c>
      <c r="X459" s="3"/>
      <c r="Y459" s="3"/>
      <c r="Z459" s="3" t="str">
        <f ca="1">IFERROR(__xludf.DUMMYFUNCTION("""COMPUTED_VALUE"""),"podklady@cncenter.cz")</f>
        <v>podklady@cncenter.cz</v>
      </c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 t="str">
        <f ca="1">IFERROR(__xludf.DUMMYFUNCTION("""COMPUTED_VALUE"""),"mobile")</f>
        <v>mobile</v>
      </c>
      <c r="AO459" s="3"/>
      <c r="AP459" s="3"/>
      <c r="AQ459" s="3"/>
      <c r="AR459" s="3"/>
      <c r="AS459" s="3"/>
      <c r="AT459" s="3"/>
      <c r="AU459" s="3" t="str">
        <f ca="1">IFERROR(__xludf.DUMMYFUNCTION("""COMPUTED_VALUE"""),"cílený mobilní viněta")</f>
        <v>cílený mobilní viněta</v>
      </c>
    </row>
    <row r="460" spans="1:47" x14ac:dyDescent="0.3">
      <c r="A460" s="3">
        <f ca="1"/>
        <v>2346826</v>
      </c>
      <c r="B460" s="3" t="str">
        <f ca="1"/>
        <v>CZECH NEWS CENTER a. s.</v>
      </c>
      <c r="C460" s="3" t="str">
        <f ca="1">IFERROR(__xludf.DUMMYFUNCTION("""COMPUTED_VALUE"""),"Dáma")</f>
        <v>Dáma</v>
      </c>
      <c r="D460" s="4" t="str">
        <f ca="1">IFERROR(__xludf.DUMMYFUNCTION("""COMPUTED_VALUE"""),"https://dama.cz")</f>
        <v>https://dama.cz</v>
      </c>
      <c r="E460" s="3" t="str">
        <f ca="1">IFERROR(__xludf.DUMMYFUNCTION("""COMPUTED_VALUE"""),"celý web")</f>
        <v>celý web</v>
      </c>
      <c r="F460" s="4" t="str">
        <f ca="1">IFERROR(__xludf.DUMMYFUNCTION("""COMPUTED_VALUE"""),"https://dama.cz")</f>
        <v>https://dama.cz</v>
      </c>
      <c r="G460" s="3" t="str">
        <f ca="1">IFERROR(__xludf.DUMMYFUNCTION("""COMPUTED_VALUE"""),"cílený nativní pr premium mid season")</f>
        <v>cílený nativní pr premium mid season</v>
      </c>
      <c r="H460" s="3">
        <f ca="1">IFERROR(__xludf.DUMMYFUNCTION("""COMPUTED_VALUE"""),7)</f>
        <v>7</v>
      </c>
      <c r="I460" s="5">
        <f ca="1">IFERROR(__xludf.DUMMYFUNCTION("""COMPUTED_VALUE"""),1000)</f>
        <v>1000</v>
      </c>
      <c r="J460" s="5">
        <f ca="1">IFERROR(__xludf.DUMMYFUNCTION("""COMPUTED_VALUE"""),168)</f>
        <v>168</v>
      </c>
      <c r="K460" s="3"/>
      <c r="L460" s="3" t="str">
        <f ca="1">IFERROR(__xludf.DUMMYFUNCTION("""COMPUTED_VALUE"""),"Cost per period")</f>
        <v>Cost per period</v>
      </c>
      <c r="M460" s="3"/>
      <c r="N460" s="3"/>
      <c r="O460" s="3" t="str">
        <f ca="1">IFERROR(__xludf.DUMMYFUNCTION("""COMPUTED_VALUE"""),"640")</f>
        <v>640</v>
      </c>
      <c r="P460" s="3" t="str">
        <f ca="1">IFERROR(__xludf.DUMMYFUNCTION("""COMPUTED_VALUE"""),"335, 640")</f>
        <v>335, 640</v>
      </c>
      <c r="Q460" s="3" t="str">
        <f ca="1">IFERROR(__xludf.DUMMYFUNCTION("""COMPUTED_VALUE"""),"640x640 a 640x335 + text + logo")</f>
        <v>640x640 a 640x335 + text + logo</v>
      </c>
      <c r="R460" s="3" t="str">
        <f ca="1">IFERROR(__xludf.DUMMYFUNCTION("""COMPUTED_VALUE"""),"detailní specifikace na URL odkaze")</f>
        <v>detailní specifikace na URL odkaze</v>
      </c>
      <c r="S460" s="3" t="str">
        <f ca="1">IFERROR(__xludf.DUMMYFUNCTION("""COMPUTED_VALUE"""),"100")</f>
        <v>100</v>
      </c>
      <c r="T460" s="3"/>
      <c r="U460" s="3" t="str">
        <f ca="1">IFERROR(__xludf.DUMMYFUNCTION("""COMPUTED_VALUE"""),"nativní reklama")</f>
        <v>nativní reklama</v>
      </c>
      <c r="V460" s="3"/>
      <c r="W460" s="4" t="str">
        <f ca="1">IFERROR(__xludf.DUMMYFUNCTION("""COMPUTED_VALUE"""),"https://reklama.cncenter.cz/Online/nativni-PR-premium")</f>
        <v>https://reklama.cncenter.cz/Online/nativni-PR-premium</v>
      </c>
      <c r="X460" s="3"/>
      <c r="Y460" s="3"/>
      <c r="Z460" s="3" t="str">
        <f ca="1">IFERROR(__xludf.DUMMYFUNCTION("""COMPUTED_VALUE"""),"podklady@cncenter.cz")</f>
        <v>podklady@cncenter.cz</v>
      </c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 t="str">
        <f ca="1">IFERROR(__xludf.DUMMYFUNCTION("""COMPUTED_VALUE"""),"cross-device")</f>
        <v>cross-device</v>
      </c>
      <c r="AO460" s="3"/>
      <c r="AP460" s="3"/>
      <c r="AQ460" s="3"/>
      <c r="AR460" s="3"/>
      <c r="AS460" s="3"/>
      <c r="AT460" s="3"/>
      <c r="AU460" s="3" t="str">
        <f ca="1">IFERROR(__xludf.DUMMYFUNCTION("""COMPUTED_VALUE"""),"cílený nativní pr premium")</f>
        <v>cílený nativní pr premium</v>
      </c>
    </row>
    <row r="461" spans="1:47" x14ac:dyDescent="0.3">
      <c r="A461" s="3">
        <f ca="1"/>
        <v>2346826</v>
      </c>
      <c r="B461" s="3" t="str">
        <f ca="1"/>
        <v>CZECH NEWS CENTER a. s.</v>
      </c>
      <c r="C461" s="3" t="str">
        <f ca="1">IFERROR(__xludf.DUMMYFUNCTION("""COMPUTED_VALUE"""),"Dáma")</f>
        <v>Dáma</v>
      </c>
      <c r="D461" s="4" t="str">
        <f ca="1">IFERROR(__xludf.DUMMYFUNCTION("""COMPUTED_VALUE"""),"https://dama.cz")</f>
        <v>https://dama.cz</v>
      </c>
      <c r="E461" s="3" t="str">
        <f ca="1">IFERROR(__xludf.DUMMYFUNCTION("""COMPUTED_VALUE"""),"celý web")</f>
        <v>celý web</v>
      </c>
      <c r="F461" s="4" t="str">
        <f ca="1">IFERROR(__xludf.DUMMYFUNCTION("""COMPUTED_VALUE"""),"https://dama.cz")</f>
        <v>https://dama.cz</v>
      </c>
      <c r="G461" s="3" t="str">
        <f ca="1">IFERROR(__xludf.DUMMYFUNCTION("""COMPUTED_VALUE"""),"cílený nativní rectangle cross-device mid season")</f>
        <v>cílený nativní rectangle cross-device mid season</v>
      </c>
      <c r="H461" s="3">
        <f ca="1">IFERROR(__xludf.DUMMYFUNCTION("""COMPUTED_VALUE"""),7)</f>
        <v>7</v>
      </c>
      <c r="I461" s="5">
        <f ca="1">IFERROR(__xludf.DUMMYFUNCTION("""COMPUTED_VALUE"""),1000)</f>
        <v>1000</v>
      </c>
      <c r="J461" s="5">
        <f ca="1">IFERROR(__xludf.DUMMYFUNCTION("""COMPUTED_VALUE"""),336)</f>
        <v>336</v>
      </c>
      <c r="K461" s="3"/>
      <c r="L461" s="3" t="str">
        <f ca="1">IFERROR(__xludf.DUMMYFUNCTION("""COMPUTED_VALUE"""),"Cost per period")</f>
        <v>Cost per period</v>
      </c>
      <c r="M461" s="3"/>
      <c r="N461" s="3"/>
      <c r="O461" s="3" t="str">
        <f ca="1">IFERROR(__xludf.DUMMYFUNCTION("""COMPUTED_VALUE"""),"640")</f>
        <v>640</v>
      </c>
      <c r="P461" s="3" t="str">
        <f ca="1">IFERROR(__xludf.DUMMYFUNCTION("""COMPUTED_VALUE"""),"335, 640")</f>
        <v>335, 640</v>
      </c>
      <c r="Q461" s="3" t="str">
        <f ca="1">IFERROR(__xludf.DUMMYFUNCTION("""COMPUTED_VALUE"""),"640x640 a 640x335 + text + logo")</f>
        <v>640x640 a 640x335 + text + logo</v>
      </c>
      <c r="R461" s="3"/>
      <c r="S461" s="3" t="str">
        <f ca="1">IFERROR(__xludf.DUMMYFUNCTION("""COMPUTED_VALUE"""),"45")</f>
        <v>45</v>
      </c>
      <c r="T461" s="3"/>
      <c r="U461" s="3" t="str">
        <f ca="1">IFERROR(__xludf.DUMMYFUNCTION("""COMPUTED_VALUE"""),"nativní reklama")</f>
        <v>nativní reklama</v>
      </c>
      <c r="V461" s="3"/>
      <c r="W461" s="4" t="str">
        <f ca="1">IFERROR(__xludf.DUMMYFUNCTION("""COMPUTED_VALUE"""),"https://reklama.cncenter.cz/Online/nativni-rectangle-cross-device")</f>
        <v>https://reklama.cncenter.cz/Online/nativni-rectangle-cross-device</v>
      </c>
      <c r="X461" s="3"/>
      <c r="Y461" s="3"/>
      <c r="Z461" s="3" t="str">
        <f ca="1">IFERROR(__xludf.DUMMYFUNCTION("""COMPUTED_VALUE"""),"podklady@cncenter.cz")</f>
        <v>podklady@cncenter.cz</v>
      </c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 t="str">
        <f ca="1">IFERROR(__xludf.DUMMYFUNCTION("""COMPUTED_VALUE"""),"cross-device")</f>
        <v>cross-device</v>
      </c>
      <c r="AO461" s="3"/>
      <c r="AP461" s="3"/>
      <c r="AQ461" s="3"/>
      <c r="AR461" s="3"/>
      <c r="AS461" s="3"/>
      <c r="AT461" s="3"/>
      <c r="AU461" s="3" t="str">
        <f ca="1">IFERROR(__xludf.DUMMYFUNCTION("""COMPUTED_VALUE"""),"cílený nativní rectangle cross-device")</f>
        <v>cílený nativní rectangle cross-device</v>
      </c>
    </row>
    <row r="462" spans="1:47" x14ac:dyDescent="0.3">
      <c r="A462" s="3">
        <f ca="1"/>
        <v>2346826</v>
      </c>
      <c r="B462" s="3" t="str">
        <f ca="1"/>
        <v>CZECH NEWS CENTER a. s.</v>
      </c>
      <c r="C462" s="3" t="str">
        <f ca="1">IFERROR(__xludf.DUMMYFUNCTION("""COMPUTED_VALUE"""),"Dáma")</f>
        <v>Dáma</v>
      </c>
      <c r="D462" s="4" t="str">
        <f ca="1">IFERROR(__xludf.DUMMYFUNCTION("""COMPUTED_VALUE"""),"https://dama.cz")</f>
        <v>https://dama.cz</v>
      </c>
      <c r="E462" s="3" t="str">
        <f ca="1">IFERROR(__xludf.DUMMYFUNCTION("""COMPUTED_VALUE"""),"celý web")</f>
        <v>celý web</v>
      </c>
      <c r="F462" s="4" t="str">
        <f ca="1">IFERROR(__xludf.DUMMYFUNCTION("""COMPUTED_VALUE"""),"https://dama.cz")</f>
        <v>https://dama.cz</v>
      </c>
      <c r="G462" s="3" t="str">
        <f ca="1">IFERROR(__xludf.DUMMYFUNCTION("""COMPUTED_VALUE"""),"cílený outstream mid season")</f>
        <v>cílený outstream mid season</v>
      </c>
      <c r="H462" s="3">
        <f ca="1">IFERROR(__xludf.DUMMYFUNCTION("""COMPUTED_VALUE"""),7)</f>
        <v>7</v>
      </c>
      <c r="I462" s="5">
        <f ca="1">IFERROR(__xludf.DUMMYFUNCTION("""COMPUTED_VALUE"""),1000)</f>
        <v>1000</v>
      </c>
      <c r="J462" s="5">
        <f ca="1">IFERROR(__xludf.DUMMYFUNCTION("""COMPUTED_VALUE"""),420)</f>
        <v>420</v>
      </c>
      <c r="K462" s="3"/>
      <c r="L462" s="3" t="str">
        <f ca="1">IFERROR(__xludf.DUMMYFUNCTION("""COMPUTED_VALUE"""),"Cost per period")</f>
        <v>Cost per period</v>
      </c>
      <c r="M462" s="3"/>
      <c r="N462" s="3"/>
      <c r="O462" s="3" t="str">
        <f ca="1">IFERROR(__xludf.DUMMYFUNCTION("""COMPUTED_VALUE"""),"1280")</f>
        <v>1280</v>
      </c>
      <c r="P462" s="3" t="str">
        <f ca="1">IFERROR(__xludf.DUMMYFUNCTION("""COMPUTED_VALUE"""),"720")</f>
        <v>720</v>
      </c>
      <c r="Q462" s="3" t="str">
        <f ca="1">IFERROR(__xludf.DUMMYFUNCTION("""COMPUTED_VALUE"""),"16:9")</f>
        <v>16:9</v>
      </c>
      <c r="R462" s="3"/>
      <c r="S462" s="3" t="str">
        <f ca="1">IFERROR(__xludf.DUMMYFUNCTION("""COMPUTED_VALUE"""),"100")</f>
        <v>100</v>
      </c>
      <c r="T462" s="3"/>
      <c r="U462" s="3" t="str">
        <f ca="1">IFERROR(__xludf.DUMMYFUNCTION("""COMPUTED_VALUE"""),"videospot")</f>
        <v>videospot</v>
      </c>
      <c r="V462" s="3"/>
      <c r="W462" s="4" t="str">
        <f ca="1">IFERROR(__xludf.DUMMYFUNCTION("""COMPUTED_VALUE"""),"https://reklama.cncenter.cz/Online/Outstream")</f>
        <v>https://reklama.cncenter.cz/Online/Outstream</v>
      </c>
      <c r="X462" s="3"/>
      <c r="Y462" s="3"/>
      <c r="Z462" s="3" t="str">
        <f ca="1">IFERROR(__xludf.DUMMYFUNCTION("""COMPUTED_VALUE"""),"podklady@cncenter.cz")</f>
        <v>podklady@cncenter.cz</v>
      </c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 t="str">
        <f ca="1">IFERROR(__xludf.DUMMYFUNCTION("""COMPUTED_VALUE"""),"cross-device")</f>
        <v>cross-device</v>
      </c>
      <c r="AO462" s="3"/>
      <c r="AP462" s="3"/>
      <c r="AQ462" s="3"/>
      <c r="AR462" s="3"/>
      <c r="AS462" s="3"/>
      <c r="AT462" s="3"/>
      <c r="AU462" s="3" t="str">
        <f ca="1">IFERROR(__xludf.DUMMYFUNCTION("""COMPUTED_VALUE"""),"cílený outstream")</f>
        <v>cílený outstream</v>
      </c>
    </row>
    <row r="463" spans="1:47" x14ac:dyDescent="0.3">
      <c r="A463" s="3">
        <f ca="1"/>
        <v>2346826</v>
      </c>
      <c r="B463" s="3" t="str">
        <f ca="1"/>
        <v>CZECH NEWS CENTER a. s.</v>
      </c>
      <c r="C463" s="3" t="str">
        <f ca="1">IFERROR(__xludf.DUMMYFUNCTION("""COMPUTED_VALUE"""),"Dáma")</f>
        <v>Dáma</v>
      </c>
      <c r="D463" s="4" t="str">
        <f ca="1">IFERROR(__xludf.DUMMYFUNCTION("""COMPUTED_VALUE"""),"https://dama.cz")</f>
        <v>https://dama.cz</v>
      </c>
      <c r="E463" s="3" t="str">
        <f ca="1">IFERROR(__xludf.DUMMYFUNCTION("""COMPUTED_VALUE"""),"celý web")</f>
        <v>celý web</v>
      </c>
      <c r="F463" s="4" t="str">
        <f ca="1">IFERROR(__xludf.DUMMYFUNCTION("""COMPUTED_VALUE"""),"https://dama.cz")</f>
        <v>https://dama.cz</v>
      </c>
      <c r="G463" s="3" t="str">
        <f ca="1">IFERROR(__xludf.DUMMYFUNCTION("""COMPUTED_VALUE"""),"cílený videospot - max. 30 sec. / bumper mid season")</f>
        <v>cílený videospot - max. 30 sec. / bumper mid season</v>
      </c>
      <c r="H463" s="3">
        <f ca="1">IFERROR(__xludf.DUMMYFUNCTION("""COMPUTED_VALUE"""),7)</f>
        <v>7</v>
      </c>
      <c r="I463" s="5">
        <f ca="1">IFERROR(__xludf.DUMMYFUNCTION("""COMPUTED_VALUE"""),1000)</f>
        <v>1000</v>
      </c>
      <c r="J463" s="5">
        <f ca="1">IFERROR(__xludf.DUMMYFUNCTION("""COMPUTED_VALUE"""),1248)</f>
        <v>1248</v>
      </c>
      <c r="K463" s="3"/>
      <c r="L463" s="3" t="str">
        <f ca="1">IFERROR(__xludf.DUMMYFUNCTION("""COMPUTED_VALUE"""),"Cost per period")</f>
        <v>Cost per period</v>
      </c>
      <c r="M463" s="3"/>
      <c r="N463" s="3"/>
      <c r="O463" s="3" t="str">
        <f ca="1">IFERROR(__xludf.DUMMYFUNCTION("""COMPUTED_VALUE"""),"1280")</f>
        <v>1280</v>
      </c>
      <c r="P463" s="3" t="str">
        <f ca="1">IFERROR(__xludf.DUMMYFUNCTION("""COMPUTED_VALUE"""),"720")</f>
        <v>720</v>
      </c>
      <c r="Q463" s="3" t="str">
        <f ca="1">IFERROR(__xludf.DUMMYFUNCTION("""COMPUTED_VALUE"""),"16:9 / umístění po domluvě dle možností")</f>
        <v>16:9 / umístění po domluvě dle možností</v>
      </c>
      <c r="R463" s="3" t="str">
        <f ca="1">IFERROR(__xludf.DUMMYFUNCTION("""COMPUTED_VALUE"""),"přeskočení po 7 sekundách")</f>
        <v>přeskočení po 7 sekundách</v>
      </c>
      <c r="S463" s="3" t="str">
        <f ca="1">IFERROR(__xludf.DUMMYFUNCTION("""COMPUTED_VALUE"""),"100")</f>
        <v>100</v>
      </c>
      <c r="T463" s="3"/>
      <c r="U463" s="3" t="str">
        <f ca="1">IFERROR(__xludf.DUMMYFUNCTION("""COMPUTED_VALUE"""),"videospot")</f>
        <v>videospot</v>
      </c>
      <c r="V463" s="3"/>
      <c r="W463" s="4" t="str">
        <f ca="1">IFERROR(__xludf.DUMMYFUNCTION("""COMPUTED_VALUE"""),"https://reklama.cncenter.cz/Online/Bumper")</f>
        <v>https://reklama.cncenter.cz/Online/Bumper</v>
      </c>
      <c r="X463" s="3"/>
      <c r="Y463" s="3"/>
      <c r="Z463" s="3" t="str">
        <f ca="1">IFERROR(__xludf.DUMMYFUNCTION("""COMPUTED_VALUE"""),"podklady@cncenter.cz")</f>
        <v>podklady@cncenter.cz</v>
      </c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 t="str">
        <f ca="1">IFERROR(__xludf.DUMMYFUNCTION("""COMPUTED_VALUE"""),"cross-device")</f>
        <v>cross-device</v>
      </c>
      <c r="AO463" s="3"/>
      <c r="AP463" s="3"/>
      <c r="AQ463" s="3"/>
      <c r="AR463" s="3"/>
      <c r="AS463" s="3"/>
      <c r="AT463" s="3"/>
      <c r="AU463" s="3" t="str">
        <f ca="1">IFERROR(__xludf.DUMMYFUNCTION("""COMPUTED_VALUE"""),"cílený videospot - max. 30 sec. / bumper")</f>
        <v>cílený videospot - max. 30 sec. / bumper</v>
      </c>
    </row>
    <row r="464" spans="1:47" x14ac:dyDescent="0.3">
      <c r="A464" s="3">
        <f ca="1"/>
        <v>2346826</v>
      </c>
      <c r="B464" s="3" t="str">
        <f ca="1"/>
        <v>CZECH NEWS CENTER a. s.</v>
      </c>
      <c r="C464" s="3" t="str">
        <f ca="1">IFERROR(__xludf.DUMMYFUNCTION("""COMPUTED_VALUE"""),"Dáma")</f>
        <v>Dáma</v>
      </c>
      <c r="D464" s="4" t="str">
        <f ca="1">IFERROR(__xludf.DUMMYFUNCTION("""COMPUTED_VALUE"""),"https://dama.cz")</f>
        <v>https://dama.cz</v>
      </c>
      <c r="E464" s="3" t="str">
        <f ca="1">IFERROR(__xludf.DUMMYFUNCTION("""COMPUTED_VALUE"""),"celý web")</f>
        <v>celý web</v>
      </c>
      <c r="F464" s="4" t="str">
        <f ca="1">IFERROR(__xludf.DUMMYFUNCTION("""COMPUTED_VALUE"""),"https://dama.cz")</f>
        <v>https://dama.cz</v>
      </c>
      <c r="G464" s="3" t="str">
        <f ca="1">IFERROR(__xludf.DUMMYFUNCTION("""COMPUTED_VALUE"""),"dokoupení proma o 2 týdny - 10 000 PV *** mid season")</f>
        <v>dokoupení proma o 2 týdny - 10 000 PV *** mid season</v>
      </c>
      <c r="H464" s="3">
        <f ca="1">IFERROR(__xludf.DUMMYFUNCTION("""COMPUTED_VALUE"""),1)</f>
        <v>1</v>
      </c>
      <c r="I464" s="5">
        <f ca="1">IFERROR(__xludf.DUMMYFUNCTION("""COMPUTED_VALUE"""),1)</f>
        <v>1</v>
      </c>
      <c r="J464" s="5">
        <f ca="1">IFERROR(__xludf.DUMMYFUNCTION("""COMPUTED_VALUE"""),60000)</f>
        <v>60000</v>
      </c>
      <c r="K464" s="3"/>
      <c r="L464" s="3" t="str">
        <f ca="1">IFERROR(__xludf.DUMMYFUNCTION("""COMPUTED_VALUE"""),"Cost per instance")</f>
        <v>Cost per instance</v>
      </c>
      <c r="M464" s="3"/>
      <c r="N464" s="3"/>
      <c r="O464" s="3"/>
      <c r="P464" s="3"/>
      <c r="Q464" s="3"/>
      <c r="R464" s="3"/>
      <c r="S464" s="3" t="str">
        <f ca="1">IFERROR(__xludf.DUMMYFUNCTION("""COMPUTED_VALUE"""),"100")</f>
        <v>100</v>
      </c>
      <c r="T464" s="3"/>
      <c r="U464" s="3" t="str">
        <f ca="1">IFERROR(__xludf.DUMMYFUNCTION("""COMPUTED_VALUE"""),"microsite")</f>
        <v>microsite</v>
      </c>
      <c r="V464" s="3"/>
      <c r="W464" s="3"/>
      <c r="X464" s="3"/>
      <c r="Y464" s="3"/>
      <c r="Z464" s="3" t="str">
        <f ca="1">IFERROR(__xludf.DUMMYFUNCTION("""COMPUTED_VALUE"""),"podklady@cncenter.cz")</f>
        <v>podklady@cncenter.cz</v>
      </c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 t="str">
        <f ca="1">IFERROR(__xludf.DUMMYFUNCTION("""COMPUTED_VALUE"""),"cross-device")</f>
        <v>cross-device</v>
      </c>
      <c r="AO464" s="3"/>
      <c r="AP464" s="3"/>
      <c r="AQ464" s="3"/>
      <c r="AR464" s="3"/>
      <c r="AS464" s="3"/>
      <c r="AT464" s="3"/>
      <c r="AU464" s="3" t="str">
        <f ca="1">IFERROR(__xludf.DUMMYFUNCTION("""COMPUTED_VALUE"""),"dokoupení proma o 2 týdny - 10 000 PV ***")</f>
        <v>dokoupení proma o 2 týdny - 10 000 PV ***</v>
      </c>
    </row>
    <row r="465" spans="1:47" x14ac:dyDescent="0.3">
      <c r="A465" s="3">
        <f ca="1"/>
        <v>2346826</v>
      </c>
      <c r="B465" s="3" t="str">
        <f ca="1"/>
        <v>CZECH NEWS CENTER a. s.</v>
      </c>
      <c r="C465" s="3" t="str">
        <f ca="1">IFERROR(__xludf.DUMMYFUNCTION("""COMPUTED_VALUE"""),"Dáma")</f>
        <v>Dáma</v>
      </c>
      <c r="D465" s="4" t="str">
        <f ca="1">IFERROR(__xludf.DUMMYFUNCTION("""COMPUTED_VALUE"""),"https://dama.cz")</f>
        <v>https://dama.cz</v>
      </c>
      <c r="E465" s="3" t="str">
        <f ca="1">IFERROR(__xludf.DUMMYFUNCTION("""COMPUTED_VALUE"""),"celý web")</f>
        <v>celý web</v>
      </c>
      <c r="F465" s="4" t="str">
        <f ca="1">IFERROR(__xludf.DUMMYFUNCTION("""COMPUTED_VALUE"""),"https://dama.cz")</f>
        <v>https://dama.cz</v>
      </c>
      <c r="G465" s="3" t="str">
        <f ca="1">IFERROR(__xludf.DUMMYFUNCTION("""COMPUTED_VALUE"""),"double skyscraper mid season")</f>
        <v>double skyscraper mid season</v>
      </c>
      <c r="H465" s="3">
        <f ca="1">IFERROR(__xludf.DUMMYFUNCTION("""COMPUTED_VALUE"""),7)</f>
        <v>7</v>
      </c>
      <c r="I465" s="5">
        <f ca="1">IFERROR(__xludf.DUMMYFUNCTION("""COMPUTED_VALUE"""),1000)</f>
        <v>1000</v>
      </c>
      <c r="J465" s="5">
        <f ca="1">IFERROR(__xludf.DUMMYFUNCTION("""COMPUTED_VALUE"""),270)</f>
        <v>270</v>
      </c>
      <c r="K465" s="3"/>
      <c r="L465" s="3" t="str">
        <f ca="1">IFERROR(__xludf.DUMMYFUNCTION("""COMPUTED_VALUE"""),"Cost per period")</f>
        <v>Cost per period</v>
      </c>
      <c r="M465" s="3"/>
      <c r="N465" s="3"/>
      <c r="O465" s="3" t="str">
        <f ca="1">IFERROR(__xludf.DUMMYFUNCTION("""COMPUTED_VALUE"""),"300")</f>
        <v>300</v>
      </c>
      <c r="P465" s="3" t="str">
        <f ca="1">IFERROR(__xludf.DUMMYFUNCTION("""COMPUTED_VALUE"""),"600")</f>
        <v>600</v>
      </c>
      <c r="Q465" s="3" t="str">
        <f ca="1">IFERROR(__xludf.DUMMYFUNCTION("""COMPUTED_VALUE"""),"300x600")</f>
        <v>300x600</v>
      </c>
      <c r="R465" s="3"/>
      <c r="S465" s="3" t="str">
        <f ca="1">IFERROR(__xludf.DUMMYFUNCTION("""COMPUTED_VALUE"""),"100 (200 - HTML5)")</f>
        <v>100 (200 - HTML5)</v>
      </c>
      <c r="T465" s="3"/>
      <c r="U465" s="3" t="str">
        <f ca="1">IFERROR(__xludf.DUMMYFUNCTION("""COMPUTED_VALUE"""),"banner standard")</f>
        <v>banner standard</v>
      </c>
      <c r="V465" s="3"/>
      <c r="W465" s="4" t="str">
        <f ca="1">IFERROR(__xludf.DUMMYFUNCTION("""COMPUTED_VALUE"""),"https://reklama.cncenter.cz/Online/double-skyscraper")</f>
        <v>https://reklama.cncenter.cz/Online/double-skyscraper</v>
      </c>
      <c r="X465" s="3"/>
      <c r="Y465" s="3"/>
      <c r="Z465" s="3" t="str">
        <f ca="1">IFERROR(__xludf.DUMMYFUNCTION("""COMPUTED_VALUE"""),"podklady@cncenter.cz")</f>
        <v>podklady@cncenter.cz</v>
      </c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 t="str">
        <f ca="1">IFERROR(__xludf.DUMMYFUNCTION("""COMPUTED_VALUE"""),"desktop")</f>
        <v>desktop</v>
      </c>
      <c r="AO465" s="3"/>
      <c r="AP465" s="3"/>
      <c r="AQ465" s="3"/>
      <c r="AR465" s="3"/>
      <c r="AS465" s="3"/>
      <c r="AT465" s="3"/>
      <c r="AU465" s="3" t="str">
        <f ca="1">IFERROR(__xludf.DUMMYFUNCTION("""COMPUTED_VALUE"""),"double skyscraper")</f>
        <v>double skyscraper</v>
      </c>
    </row>
    <row r="466" spans="1:47" x14ac:dyDescent="0.3">
      <c r="A466" s="3">
        <f ca="1"/>
        <v>2346826</v>
      </c>
      <c r="B466" s="3" t="str">
        <f ca="1"/>
        <v>CZECH NEWS CENTER a. s.</v>
      </c>
      <c r="C466" s="3" t="str">
        <f ca="1">IFERROR(__xludf.DUMMYFUNCTION("""COMPUTED_VALUE"""),"Dáma")</f>
        <v>Dáma</v>
      </c>
      <c r="D466" s="4" t="str">
        <f ca="1">IFERROR(__xludf.DUMMYFUNCTION("""COMPUTED_VALUE"""),"https://dama.cz")</f>
        <v>https://dama.cz</v>
      </c>
      <c r="E466" s="3" t="str">
        <f ca="1">IFERROR(__xludf.DUMMYFUNCTION("""COMPUTED_VALUE"""),"celý web")</f>
        <v>celý web</v>
      </c>
      <c r="F466" s="4" t="str">
        <f ca="1">IFERROR(__xludf.DUMMYFUNCTION("""COMPUTED_VALUE"""),"https://dama.cz")</f>
        <v>https://dama.cz</v>
      </c>
      <c r="G466" s="3" t="str">
        <f ca="1">IFERROR(__xludf.DUMMYFUNCTION("""COMPUTED_VALUE"""),"mini videospot - max. 30 sec. mid season")</f>
        <v>mini videospot - max. 30 sec. mid season</v>
      </c>
      <c r="H466" s="3">
        <f ca="1">IFERROR(__xludf.DUMMYFUNCTION("""COMPUTED_VALUE"""),7)</f>
        <v>7</v>
      </c>
      <c r="I466" s="5">
        <f ca="1">IFERROR(__xludf.DUMMYFUNCTION("""COMPUTED_VALUE"""),1000)</f>
        <v>1000</v>
      </c>
      <c r="J466" s="5">
        <f ca="1">IFERROR(__xludf.DUMMYFUNCTION("""COMPUTED_VALUE"""),200)</f>
        <v>200</v>
      </c>
      <c r="K466" s="3"/>
      <c r="L466" s="3" t="str">
        <f ca="1">IFERROR(__xludf.DUMMYFUNCTION("""COMPUTED_VALUE"""),"Cost per period")</f>
        <v>Cost per period</v>
      </c>
      <c r="M466" s="3"/>
      <c r="N466" s="3"/>
      <c r="O466" s="3"/>
      <c r="P466" s="3"/>
      <c r="Q466" s="3" t="str">
        <f ca="1">IFERROR(__xludf.DUMMYFUNCTION("""COMPUTED_VALUE"""),"16:9 / umístění po domluvě dle možností")</f>
        <v>16:9 / umístění po domluvě dle možností</v>
      </c>
      <c r="R466" s="3" t="str">
        <f ca="1">IFERROR(__xludf.DUMMYFUNCTION("""COMPUTED_VALUE"""),"přeskočení po 7 sekundách")</f>
        <v>přeskočení po 7 sekundách</v>
      </c>
      <c r="S466" s="3" t="str">
        <f ca="1">IFERROR(__xludf.DUMMYFUNCTION("""COMPUTED_VALUE"""),"100")</f>
        <v>100</v>
      </c>
      <c r="T466" s="3"/>
      <c r="U466" s="3" t="str">
        <f ca="1">IFERROR(__xludf.DUMMYFUNCTION("""COMPUTED_VALUE"""),"videospot")</f>
        <v>videospot</v>
      </c>
      <c r="V466" s="3"/>
      <c r="W466" s="4" t="str">
        <f ca="1">IFERROR(__xludf.DUMMYFUNCTION("""COMPUTED_VALUE"""),"https://reklama.cncenter.cz/Online/Videospot")</f>
        <v>https://reklama.cncenter.cz/Online/Videospot</v>
      </c>
      <c r="X466" s="3"/>
      <c r="Y466" s="3"/>
      <c r="Z466" s="3" t="str">
        <f ca="1">IFERROR(__xludf.DUMMYFUNCTION("""COMPUTED_VALUE"""),"podklady@cncenter.cz")</f>
        <v>podklady@cncenter.cz</v>
      </c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 t="str">
        <f ca="1">IFERROR(__xludf.DUMMYFUNCTION("""COMPUTED_VALUE"""),"desktop")</f>
        <v>desktop</v>
      </c>
      <c r="AO466" s="3"/>
      <c r="AP466" s="3"/>
      <c r="AQ466" s="3"/>
      <c r="AR466" s="3"/>
      <c r="AS466" s="3"/>
      <c r="AT466" s="3"/>
      <c r="AU466" s="3" t="str">
        <f ca="1">IFERROR(__xludf.DUMMYFUNCTION("""COMPUTED_VALUE"""),"mini videospot - max. 30 sec.")</f>
        <v>mini videospot - max. 30 sec.</v>
      </c>
    </row>
    <row r="467" spans="1:47" x14ac:dyDescent="0.3">
      <c r="A467" s="3">
        <f ca="1"/>
        <v>2346826</v>
      </c>
      <c r="B467" s="3" t="str">
        <f ca="1"/>
        <v>CZECH NEWS CENTER a. s.</v>
      </c>
      <c r="C467" s="3" t="str">
        <f ca="1">IFERROR(__xludf.DUMMYFUNCTION("""COMPUTED_VALUE"""),"Dáma")</f>
        <v>Dáma</v>
      </c>
      <c r="D467" s="4" t="str">
        <f ca="1">IFERROR(__xludf.DUMMYFUNCTION("""COMPUTED_VALUE"""),"https://dama.cz")</f>
        <v>https://dama.cz</v>
      </c>
      <c r="E467" s="3" t="str">
        <f ca="1">IFERROR(__xludf.DUMMYFUNCTION("""COMPUTED_VALUE"""),"celý web")</f>
        <v>celý web</v>
      </c>
      <c r="F467" s="4" t="str">
        <f ca="1">IFERROR(__xludf.DUMMYFUNCTION("""COMPUTED_VALUE"""),"https://dama.cz")</f>
        <v>https://dama.cz</v>
      </c>
      <c r="G467" s="3" t="str">
        <f ca="1">IFERROR(__xludf.DUMMYFUNCTION("""COMPUTED_VALUE"""),"mobilní interscroller mid season")</f>
        <v>mobilní interscroller mid season</v>
      </c>
      <c r="H467" s="3">
        <f ca="1">IFERROR(__xludf.DUMMYFUNCTION("""COMPUTED_VALUE"""),7)</f>
        <v>7</v>
      </c>
      <c r="I467" s="5">
        <f ca="1">IFERROR(__xludf.DUMMYFUNCTION("""COMPUTED_VALUE"""),1000)</f>
        <v>1000</v>
      </c>
      <c r="J467" s="5">
        <f ca="1">IFERROR(__xludf.DUMMYFUNCTION("""COMPUTED_VALUE"""),350)</f>
        <v>350</v>
      </c>
      <c r="K467" s="3"/>
      <c r="L467" s="3" t="str">
        <f ca="1">IFERROR(__xludf.DUMMYFUNCTION("""COMPUTED_VALUE"""),"Cost per period")</f>
        <v>Cost per period</v>
      </c>
      <c r="M467" s="3"/>
      <c r="N467" s="3"/>
      <c r="O467" s="3" t="str">
        <f ca="1">IFERROR(__xludf.DUMMYFUNCTION("""COMPUTED_VALUE"""),"600")</f>
        <v>600</v>
      </c>
      <c r="P467" s="3" t="str">
        <f ca="1">IFERROR(__xludf.DUMMYFUNCTION("""COMPUTED_VALUE"""),"1080")</f>
        <v>1080</v>
      </c>
      <c r="Q467" s="3" t="str">
        <f ca="1">IFERROR(__xludf.DUMMYFUNCTION("""COMPUTED_VALUE"""),"600x1080")</f>
        <v>600x1080</v>
      </c>
      <c r="R467" s="3"/>
      <c r="S467" s="3" t="str">
        <f ca="1">IFERROR(__xludf.DUMMYFUNCTION("""COMPUTED_VALUE"""),"200")</f>
        <v>200</v>
      </c>
      <c r="T467" s="3"/>
      <c r="U467" s="3" t="str">
        <f ca="1">IFERROR(__xludf.DUMMYFUNCTION("""COMPUTED_VALUE"""),"banner standard")</f>
        <v>banner standard</v>
      </c>
      <c r="V467" s="3"/>
      <c r="W467" s="4" t="str">
        <f ca="1">IFERROR(__xludf.DUMMYFUNCTION("""COMPUTED_VALUE"""),"https://reklama.cncenter.cz/Online/mobilni-interscroller")</f>
        <v>https://reklama.cncenter.cz/Online/mobilni-interscroller</v>
      </c>
      <c r="X467" s="3"/>
      <c r="Y467" s="3"/>
      <c r="Z467" s="3" t="str">
        <f ca="1">IFERROR(__xludf.DUMMYFUNCTION("""COMPUTED_VALUE"""),"podklady@cncenter.cz")</f>
        <v>podklady@cncenter.cz</v>
      </c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 t="str">
        <f ca="1">IFERROR(__xludf.DUMMYFUNCTION("""COMPUTED_VALUE"""),"mobile")</f>
        <v>mobile</v>
      </c>
      <c r="AO467" s="3"/>
      <c r="AP467" s="3"/>
      <c r="AQ467" s="3"/>
      <c r="AR467" s="3"/>
      <c r="AS467" s="3"/>
      <c r="AT467" s="3"/>
      <c r="AU467" s="3" t="str">
        <f ca="1">IFERROR(__xludf.DUMMYFUNCTION("""COMPUTED_VALUE"""),"mobilní interscroller")</f>
        <v>mobilní interscroller</v>
      </c>
    </row>
    <row r="468" spans="1:47" x14ac:dyDescent="0.3">
      <c r="A468" s="3">
        <f ca="1"/>
        <v>2346826</v>
      </c>
      <c r="B468" s="3" t="str">
        <f ca="1"/>
        <v>CZECH NEWS CENTER a. s.</v>
      </c>
      <c r="C468" s="3" t="str">
        <f ca="1">IFERROR(__xludf.DUMMYFUNCTION("""COMPUTED_VALUE"""),"Dáma")</f>
        <v>Dáma</v>
      </c>
      <c r="D468" s="4" t="str">
        <f ca="1">IFERROR(__xludf.DUMMYFUNCTION("""COMPUTED_VALUE"""),"https://dama.cz")</f>
        <v>https://dama.cz</v>
      </c>
      <c r="E468" s="3" t="str">
        <f ca="1">IFERROR(__xludf.DUMMYFUNCTION("""COMPUTED_VALUE"""),"celý web")</f>
        <v>celý web</v>
      </c>
      <c r="F468" s="4" t="str">
        <f ca="1">IFERROR(__xludf.DUMMYFUNCTION("""COMPUTED_VALUE"""),"https://dama.cz")</f>
        <v>https://dama.cz</v>
      </c>
      <c r="G468" s="3" t="str">
        <f ca="1">IFERROR(__xludf.DUMMYFUNCTION("""COMPUTED_VALUE"""),"mobilní slide-up mid season")</f>
        <v>mobilní slide-up mid season</v>
      </c>
      <c r="H468" s="3">
        <f ca="1">IFERROR(__xludf.DUMMYFUNCTION("""COMPUTED_VALUE"""),7)</f>
        <v>7</v>
      </c>
      <c r="I468" s="5">
        <f ca="1">IFERROR(__xludf.DUMMYFUNCTION("""COMPUTED_VALUE"""),1000)</f>
        <v>1000</v>
      </c>
      <c r="J468" s="5">
        <f ca="1">IFERROR(__xludf.DUMMYFUNCTION("""COMPUTED_VALUE"""),720)</f>
        <v>720</v>
      </c>
      <c r="K468" s="3"/>
      <c r="L468" s="3" t="str">
        <f ca="1">IFERROR(__xludf.DUMMYFUNCTION("""COMPUTED_VALUE"""),"Cost per period")</f>
        <v>Cost per period</v>
      </c>
      <c r="M468" s="3"/>
      <c r="N468" s="3"/>
      <c r="O468" s="3" t="str">
        <f ca="1">IFERROR(__xludf.DUMMYFUNCTION("""COMPUTED_VALUE"""),"300")</f>
        <v>300</v>
      </c>
      <c r="P468" s="3" t="str">
        <f ca="1">IFERROR(__xludf.DUMMYFUNCTION("""COMPUTED_VALUE"""),"120")</f>
        <v>120</v>
      </c>
      <c r="Q468" s="3" t="str">
        <f ca="1">IFERROR(__xludf.DUMMYFUNCTION("""COMPUTED_VALUE"""),"300x120")</f>
        <v>300x120</v>
      </c>
      <c r="R468" s="3"/>
      <c r="S468" s="3" t="str">
        <f ca="1">IFERROR(__xludf.DUMMYFUNCTION("""COMPUTED_VALUE"""),"100")</f>
        <v>100</v>
      </c>
      <c r="T468" s="3"/>
      <c r="U468" s="3" t="str">
        <f ca="1">IFERROR(__xludf.DUMMYFUNCTION("""COMPUTED_VALUE"""),"banner standard")</f>
        <v>banner standard</v>
      </c>
      <c r="V468" s="3"/>
      <c r="W468" s="4" t="str">
        <f ca="1">IFERROR(__xludf.DUMMYFUNCTION("""COMPUTED_VALUE"""),"https://reklama.cncenter.cz/Online/mobilni-slide-up")</f>
        <v>https://reklama.cncenter.cz/Online/mobilni-slide-up</v>
      </c>
      <c r="X468" s="3"/>
      <c r="Y468" s="3"/>
      <c r="Z468" s="3" t="str">
        <f ca="1">IFERROR(__xludf.DUMMYFUNCTION("""COMPUTED_VALUE"""),"podklady@cncenter.cz")</f>
        <v>podklady@cncenter.cz</v>
      </c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 t="str">
        <f ca="1">IFERROR(__xludf.DUMMYFUNCTION("""COMPUTED_VALUE"""),"mobile")</f>
        <v>mobile</v>
      </c>
      <c r="AO468" s="3"/>
      <c r="AP468" s="3"/>
      <c r="AQ468" s="3"/>
      <c r="AR468" s="3"/>
      <c r="AS468" s="3"/>
      <c r="AT468" s="3"/>
      <c r="AU468" s="3" t="str">
        <f ca="1">IFERROR(__xludf.DUMMYFUNCTION("""COMPUTED_VALUE"""),"mobilní slide-up")</f>
        <v>mobilní slide-up</v>
      </c>
    </row>
    <row r="469" spans="1:47" x14ac:dyDescent="0.3">
      <c r="A469" s="3">
        <f ca="1"/>
        <v>2346826</v>
      </c>
      <c r="B469" s="3" t="str">
        <f ca="1"/>
        <v>CZECH NEWS CENTER a. s.</v>
      </c>
      <c r="C469" s="3" t="str">
        <f ca="1">IFERROR(__xludf.DUMMYFUNCTION("""COMPUTED_VALUE"""),"Dáma")</f>
        <v>Dáma</v>
      </c>
      <c r="D469" s="4" t="str">
        <f ca="1">IFERROR(__xludf.DUMMYFUNCTION("""COMPUTED_VALUE"""),"https://dama.cz")</f>
        <v>https://dama.cz</v>
      </c>
      <c r="E469" s="3" t="str">
        <f ca="1">IFERROR(__xludf.DUMMYFUNCTION("""COMPUTED_VALUE"""),"celý web")</f>
        <v>celý web</v>
      </c>
      <c r="F469" s="4" t="str">
        <f ca="1">IFERROR(__xludf.DUMMYFUNCTION("""COMPUTED_VALUE"""),"https://dama.cz")</f>
        <v>https://dama.cz</v>
      </c>
      <c r="G469" s="3" t="str">
        <f ca="1">IFERROR(__xludf.DUMMYFUNCTION("""COMPUTED_VALUE"""),"mobilní viněta mid season")</f>
        <v>mobilní viněta mid season</v>
      </c>
      <c r="H469" s="3">
        <f ca="1">IFERROR(__xludf.DUMMYFUNCTION("""COMPUTED_VALUE"""),7)</f>
        <v>7</v>
      </c>
      <c r="I469" s="5">
        <f ca="1">IFERROR(__xludf.DUMMYFUNCTION("""COMPUTED_VALUE"""),1000)</f>
        <v>1000</v>
      </c>
      <c r="J469" s="5">
        <f ca="1">IFERROR(__xludf.DUMMYFUNCTION("""COMPUTED_VALUE"""),1240)</f>
        <v>1240</v>
      </c>
      <c r="K469" s="3"/>
      <c r="L469" s="3" t="str">
        <f ca="1">IFERROR(__xludf.DUMMYFUNCTION("""COMPUTED_VALUE"""),"Cost per period")</f>
        <v>Cost per period</v>
      </c>
      <c r="M469" s="3"/>
      <c r="N469" s="3"/>
      <c r="O469" s="3" t="str">
        <f ca="1">IFERROR(__xludf.DUMMYFUNCTION("""COMPUTED_VALUE"""),"600")</f>
        <v>600</v>
      </c>
      <c r="P469" s="3" t="str">
        <f ca="1">IFERROR(__xludf.DUMMYFUNCTION("""COMPUTED_VALUE"""),"800")</f>
        <v>800</v>
      </c>
      <c r="Q469" s="3" t="str">
        <f ca="1">IFERROR(__xludf.DUMMYFUNCTION("""COMPUTED_VALUE"""),"300x250 nebo 600x800")</f>
        <v>300x250 nebo 600x800</v>
      </c>
      <c r="R469" s="3"/>
      <c r="S469" s="3" t="str">
        <f ca="1">IFERROR(__xludf.DUMMYFUNCTION("""COMPUTED_VALUE"""),"100")</f>
        <v>100</v>
      </c>
      <c r="T469" s="3"/>
      <c r="U469" s="3" t="str">
        <f ca="1">IFERROR(__xludf.DUMMYFUNCTION("""COMPUTED_VALUE"""),"banner standard")</f>
        <v>banner standard</v>
      </c>
      <c r="V469" s="3"/>
      <c r="W469" s="4" t="str">
        <f ca="1">IFERROR(__xludf.DUMMYFUNCTION("""COMPUTED_VALUE"""),"https://reklama.cncenter.cz/Online/mobilni-vineta")</f>
        <v>https://reklama.cncenter.cz/Online/mobilni-vineta</v>
      </c>
      <c r="X469" s="3"/>
      <c r="Y469" s="3"/>
      <c r="Z469" s="3" t="str">
        <f ca="1">IFERROR(__xludf.DUMMYFUNCTION("""COMPUTED_VALUE"""),"podklady@cncenter.cz")</f>
        <v>podklady@cncenter.cz</v>
      </c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 t="str">
        <f ca="1">IFERROR(__xludf.DUMMYFUNCTION("""COMPUTED_VALUE"""),"mobile")</f>
        <v>mobile</v>
      </c>
      <c r="AO469" s="3"/>
      <c r="AP469" s="3"/>
      <c r="AQ469" s="3"/>
      <c r="AR469" s="3"/>
      <c r="AS469" s="3"/>
      <c r="AT469" s="3"/>
      <c r="AU469" s="3" t="str">
        <f ca="1">IFERROR(__xludf.DUMMYFUNCTION("""COMPUTED_VALUE"""),"mobilní viněta")</f>
        <v>mobilní viněta</v>
      </c>
    </row>
    <row r="470" spans="1:47" x14ac:dyDescent="0.3">
      <c r="A470" s="3">
        <f ca="1"/>
        <v>2346826</v>
      </c>
      <c r="B470" s="3" t="str">
        <f ca="1"/>
        <v>CZECH NEWS CENTER a. s.</v>
      </c>
      <c r="C470" s="3" t="str">
        <f ca="1">IFERROR(__xludf.DUMMYFUNCTION("""COMPUTED_VALUE"""),"Dáma")</f>
        <v>Dáma</v>
      </c>
      <c r="D470" s="4" t="str">
        <f ca="1">IFERROR(__xludf.DUMMYFUNCTION("""COMPUTED_VALUE"""),"https://dama.cz")</f>
        <v>https://dama.cz</v>
      </c>
      <c r="E470" s="3" t="str">
        <f ca="1">IFERROR(__xludf.DUMMYFUNCTION("""COMPUTED_VALUE"""),"celý web")</f>
        <v>celý web</v>
      </c>
      <c r="F470" s="4" t="str">
        <f ca="1">IFERROR(__xludf.DUMMYFUNCTION("""COMPUTED_VALUE"""),"https://dama.cz")</f>
        <v>https://dama.cz</v>
      </c>
      <c r="G470" s="3" t="str">
        <f ca="1">IFERROR(__xludf.DUMMYFUNCTION("""COMPUTED_VALUE"""),"Native Standard mid season")</f>
        <v>Native Standard mid season</v>
      </c>
      <c r="H470" s="3">
        <f ca="1">IFERROR(__xludf.DUMMYFUNCTION("""COMPUTED_VALUE"""),1)</f>
        <v>1</v>
      </c>
      <c r="I470" s="5">
        <f ca="1">IFERROR(__xludf.DUMMYFUNCTION("""COMPUTED_VALUE"""),1)</f>
        <v>1</v>
      </c>
      <c r="J470" s="5">
        <f ca="1">IFERROR(__xludf.DUMMYFUNCTION("""COMPUTED_VALUE"""),330000)</f>
        <v>330000</v>
      </c>
      <c r="K470" s="3"/>
      <c r="L470" s="3" t="str">
        <f ca="1">IFERROR(__xludf.DUMMYFUNCTION("""COMPUTED_VALUE"""),"Cost per instance")</f>
        <v>Cost per instance</v>
      </c>
      <c r="M470" s="3"/>
      <c r="N470" s="3"/>
      <c r="O470" s="3"/>
      <c r="P470" s="3"/>
      <c r="Q470" s="3"/>
      <c r="R470" s="3"/>
      <c r="S470" s="3" t="str">
        <f ca="1">IFERROR(__xludf.DUMMYFUNCTION("""COMPUTED_VALUE"""),"100")</f>
        <v>100</v>
      </c>
      <c r="T470" s="3"/>
      <c r="U470" s="3" t="str">
        <f ca="1">IFERROR(__xludf.DUMMYFUNCTION("""COMPUTED_VALUE"""),"microsite")</f>
        <v>microsite</v>
      </c>
      <c r="V470" s="3"/>
      <c r="W470" s="3"/>
      <c r="X470" s="3"/>
      <c r="Y470" s="3"/>
      <c r="Z470" s="3" t="str">
        <f ca="1">IFERROR(__xludf.DUMMYFUNCTION("""COMPUTED_VALUE"""),"podklady@cncenter.cz")</f>
        <v>podklady@cncenter.cz</v>
      </c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 t="str">
        <f ca="1">IFERROR(__xludf.DUMMYFUNCTION("""COMPUTED_VALUE"""),"cross-device")</f>
        <v>cross-device</v>
      </c>
      <c r="AO470" s="3"/>
      <c r="AP470" s="3"/>
      <c r="AQ470" s="3"/>
      <c r="AR470" s="3"/>
      <c r="AS470" s="3"/>
      <c r="AT470" s="3"/>
      <c r="AU470" s="3" t="str">
        <f ca="1">IFERROR(__xludf.DUMMYFUNCTION("""COMPUTED_VALUE"""),"Native Standard")</f>
        <v>Native Standard</v>
      </c>
    </row>
    <row r="471" spans="1:47" x14ac:dyDescent="0.3">
      <c r="A471" s="3">
        <f ca="1"/>
        <v>2346826</v>
      </c>
      <c r="B471" s="3" t="str">
        <f ca="1"/>
        <v>CZECH NEWS CENTER a. s.</v>
      </c>
      <c r="C471" s="3" t="str">
        <f ca="1">IFERROR(__xludf.DUMMYFUNCTION("""COMPUTED_VALUE"""),"Dáma")</f>
        <v>Dáma</v>
      </c>
      <c r="D471" s="4" t="str">
        <f ca="1">IFERROR(__xludf.DUMMYFUNCTION("""COMPUTED_VALUE"""),"https://dama.cz")</f>
        <v>https://dama.cz</v>
      </c>
      <c r="E471" s="3" t="str">
        <f ca="1">IFERROR(__xludf.DUMMYFUNCTION("""COMPUTED_VALUE"""),"celý web")</f>
        <v>celý web</v>
      </c>
      <c r="F471" s="4" t="str">
        <f ca="1">IFERROR(__xludf.DUMMYFUNCTION("""COMPUTED_VALUE"""),"https://dama.cz")</f>
        <v>https://dama.cz</v>
      </c>
      <c r="G471" s="3" t="str">
        <f ca="1">IFERROR(__xludf.DUMMYFUNCTION("""COMPUTED_VALUE"""),"nativní pr premium mid season")</f>
        <v>nativní pr premium mid season</v>
      </c>
      <c r="H471" s="3">
        <f ca="1">IFERROR(__xludf.DUMMYFUNCTION("""COMPUTED_VALUE"""),7)</f>
        <v>7</v>
      </c>
      <c r="I471" s="5">
        <f ca="1">IFERROR(__xludf.DUMMYFUNCTION("""COMPUTED_VALUE"""),1000)</f>
        <v>1000</v>
      </c>
      <c r="J471" s="5">
        <f ca="1">IFERROR(__xludf.DUMMYFUNCTION("""COMPUTED_VALUE"""),140)</f>
        <v>140</v>
      </c>
      <c r="K471" s="3"/>
      <c r="L471" s="3" t="str">
        <f ca="1">IFERROR(__xludf.DUMMYFUNCTION("""COMPUTED_VALUE"""),"Cost per period")</f>
        <v>Cost per period</v>
      </c>
      <c r="M471" s="3"/>
      <c r="N471" s="3"/>
      <c r="O471" s="3" t="str">
        <f ca="1">IFERROR(__xludf.DUMMYFUNCTION("""COMPUTED_VALUE"""),"640")</f>
        <v>640</v>
      </c>
      <c r="P471" s="3" t="str">
        <f ca="1">IFERROR(__xludf.DUMMYFUNCTION("""COMPUTED_VALUE"""),"335, 640")</f>
        <v>335, 640</v>
      </c>
      <c r="Q471" s="3" t="str">
        <f ca="1">IFERROR(__xludf.DUMMYFUNCTION("""COMPUTED_VALUE"""),"640x640 a 640x335 + text + logo")</f>
        <v>640x640 a 640x335 + text + logo</v>
      </c>
      <c r="R471" s="3" t="str">
        <f ca="1">IFERROR(__xludf.DUMMYFUNCTION("""COMPUTED_VALUE"""),"detailní specifikace na URL odkaze")</f>
        <v>detailní specifikace na URL odkaze</v>
      </c>
      <c r="S471" s="3" t="str">
        <f ca="1">IFERROR(__xludf.DUMMYFUNCTION("""COMPUTED_VALUE"""),"100")</f>
        <v>100</v>
      </c>
      <c r="T471" s="3"/>
      <c r="U471" s="3" t="str">
        <f ca="1">IFERROR(__xludf.DUMMYFUNCTION("""COMPUTED_VALUE"""),"nativní reklama")</f>
        <v>nativní reklama</v>
      </c>
      <c r="V471" s="3"/>
      <c r="W471" s="4" t="str">
        <f ca="1">IFERROR(__xludf.DUMMYFUNCTION("""COMPUTED_VALUE"""),"https://reklama.cncenter.cz/Online/nativni-PR-premium")</f>
        <v>https://reklama.cncenter.cz/Online/nativni-PR-premium</v>
      </c>
      <c r="X471" s="3"/>
      <c r="Y471" s="3"/>
      <c r="Z471" s="3" t="str">
        <f ca="1">IFERROR(__xludf.DUMMYFUNCTION("""COMPUTED_VALUE"""),"podklady@cncenter.cz")</f>
        <v>podklady@cncenter.cz</v>
      </c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 t="str">
        <f ca="1">IFERROR(__xludf.DUMMYFUNCTION("""COMPUTED_VALUE"""),"cross-device")</f>
        <v>cross-device</v>
      </c>
      <c r="AO471" s="3"/>
      <c r="AP471" s="3"/>
      <c r="AQ471" s="3"/>
      <c r="AR471" s="3"/>
      <c r="AS471" s="3"/>
      <c r="AT471" s="3"/>
      <c r="AU471" s="3" t="str">
        <f ca="1">IFERROR(__xludf.DUMMYFUNCTION("""COMPUTED_VALUE"""),"nativní pr premium")</f>
        <v>nativní pr premium</v>
      </c>
    </row>
    <row r="472" spans="1:47" x14ac:dyDescent="0.3">
      <c r="A472" s="3">
        <f ca="1"/>
        <v>2346826</v>
      </c>
      <c r="B472" s="3" t="str">
        <f ca="1"/>
        <v>CZECH NEWS CENTER a. s.</v>
      </c>
      <c r="C472" s="3" t="str">
        <f ca="1">IFERROR(__xludf.DUMMYFUNCTION("""COMPUTED_VALUE"""),"Dáma")</f>
        <v>Dáma</v>
      </c>
      <c r="D472" s="4" t="str">
        <f ca="1">IFERROR(__xludf.DUMMYFUNCTION("""COMPUTED_VALUE"""),"https://dama.cz")</f>
        <v>https://dama.cz</v>
      </c>
      <c r="E472" s="3" t="str">
        <f ca="1">IFERROR(__xludf.DUMMYFUNCTION("""COMPUTED_VALUE"""),"celý web")</f>
        <v>celý web</v>
      </c>
      <c r="F472" s="4" t="str">
        <f ca="1">IFERROR(__xludf.DUMMYFUNCTION("""COMPUTED_VALUE"""),"https://dama.cz")</f>
        <v>https://dama.cz</v>
      </c>
      <c r="G472" s="3" t="str">
        <f ca="1">IFERROR(__xludf.DUMMYFUNCTION("""COMPUTED_VALUE"""),"nativní rectangle cross-device mid season")</f>
        <v>nativní rectangle cross-device mid season</v>
      </c>
      <c r="H472" s="3">
        <f ca="1">IFERROR(__xludf.DUMMYFUNCTION("""COMPUTED_VALUE"""),7)</f>
        <v>7</v>
      </c>
      <c r="I472" s="5">
        <f ca="1">IFERROR(__xludf.DUMMYFUNCTION("""COMPUTED_VALUE"""),1000)</f>
        <v>1000</v>
      </c>
      <c r="J472" s="5">
        <f ca="1">IFERROR(__xludf.DUMMYFUNCTION("""COMPUTED_VALUE"""),280)</f>
        <v>280</v>
      </c>
      <c r="K472" s="3"/>
      <c r="L472" s="3" t="str">
        <f ca="1">IFERROR(__xludf.DUMMYFUNCTION("""COMPUTED_VALUE"""),"Cost per period")</f>
        <v>Cost per period</v>
      </c>
      <c r="M472" s="3"/>
      <c r="N472" s="3"/>
      <c r="O472" s="3" t="str">
        <f ca="1">IFERROR(__xludf.DUMMYFUNCTION("""COMPUTED_VALUE"""),"640")</f>
        <v>640</v>
      </c>
      <c r="P472" s="3" t="str">
        <f ca="1">IFERROR(__xludf.DUMMYFUNCTION("""COMPUTED_VALUE"""),"335, 640")</f>
        <v>335, 640</v>
      </c>
      <c r="Q472" s="3" t="str">
        <f ca="1">IFERROR(__xludf.DUMMYFUNCTION("""COMPUTED_VALUE"""),"640x640 a 640x335 + text + logo")</f>
        <v>640x640 a 640x335 + text + logo</v>
      </c>
      <c r="R472" s="3"/>
      <c r="S472" s="3" t="str">
        <f ca="1">IFERROR(__xludf.DUMMYFUNCTION("""COMPUTED_VALUE"""),"45")</f>
        <v>45</v>
      </c>
      <c r="T472" s="3"/>
      <c r="U472" s="3" t="str">
        <f ca="1">IFERROR(__xludf.DUMMYFUNCTION("""COMPUTED_VALUE"""),"nativní reklama")</f>
        <v>nativní reklama</v>
      </c>
      <c r="V472" s="3"/>
      <c r="W472" s="4" t="str">
        <f ca="1">IFERROR(__xludf.DUMMYFUNCTION("""COMPUTED_VALUE"""),"https://reklama.cncenter.cz/Online/nativni-rectangle-cross-device")</f>
        <v>https://reklama.cncenter.cz/Online/nativni-rectangle-cross-device</v>
      </c>
      <c r="X472" s="3"/>
      <c r="Y472" s="3"/>
      <c r="Z472" s="3" t="str">
        <f ca="1">IFERROR(__xludf.DUMMYFUNCTION("""COMPUTED_VALUE"""),"podklady@cncenter.cz")</f>
        <v>podklady@cncenter.cz</v>
      </c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 t="str">
        <f ca="1">IFERROR(__xludf.DUMMYFUNCTION("""COMPUTED_VALUE"""),"cross-device")</f>
        <v>cross-device</v>
      </c>
      <c r="AO472" s="3"/>
      <c r="AP472" s="3"/>
      <c r="AQ472" s="3"/>
      <c r="AR472" s="3"/>
      <c r="AS472" s="3"/>
      <c r="AT472" s="3"/>
      <c r="AU472" s="3" t="str">
        <f ca="1">IFERROR(__xludf.DUMMYFUNCTION("""COMPUTED_VALUE"""),"nativní rectangle cross-device")</f>
        <v>nativní rectangle cross-device</v>
      </c>
    </row>
    <row r="473" spans="1:47" x14ac:dyDescent="0.3">
      <c r="A473" s="3">
        <f ca="1"/>
        <v>2346826</v>
      </c>
      <c r="B473" s="3" t="str">
        <f ca="1"/>
        <v>CZECH NEWS CENTER a. s.</v>
      </c>
      <c r="C473" s="3" t="str">
        <f ca="1">IFERROR(__xludf.DUMMYFUNCTION("""COMPUTED_VALUE"""),"Dáma")</f>
        <v>Dáma</v>
      </c>
      <c r="D473" s="4" t="str">
        <f ca="1">IFERROR(__xludf.DUMMYFUNCTION("""COMPUTED_VALUE"""),"https://dama.cz")</f>
        <v>https://dama.cz</v>
      </c>
      <c r="E473" s="3" t="str">
        <f ca="1">IFERROR(__xludf.DUMMYFUNCTION("""COMPUTED_VALUE"""),"celý web")</f>
        <v>celý web</v>
      </c>
      <c r="F473" s="4" t="str">
        <f ca="1">IFERROR(__xludf.DUMMYFUNCTION("""COMPUTED_VALUE"""),"https://dama.cz")</f>
        <v>https://dama.cz</v>
      </c>
      <c r="G473" s="3" t="str">
        <f ca="1">IFERROR(__xludf.DUMMYFUNCTION("""COMPUTED_VALUE"""),"outstream mid season")</f>
        <v>outstream mid season</v>
      </c>
      <c r="H473" s="3">
        <f ca="1">IFERROR(__xludf.DUMMYFUNCTION("""COMPUTED_VALUE"""),7)</f>
        <v>7</v>
      </c>
      <c r="I473" s="5">
        <f ca="1">IFERROR(__xludf.DUMMYFUNCTION("""COMPUTED_VALUE"""),1000)</f>
        <v>1000</v>
      </c>
      <c r="J473" s="5">
        <f ca="1">IFERROR(__xludf.DUMMYFUNCTION("""COMPUTED_VALUE"""),350)</f>
        <v>350</v>
      </c>
      <c r="K473" s="3"/>
      <c r="L473" s="3" t="str">
        <f ca="1">IFERROR(__xludf.DUMMYFUNCTION("""COMPUTED_VALUE"""),"Cost per period")</f>
        <v>Cost per period</v>
      </c>
      <c r="M473" s="3"/>
      <c r="N473" s="3"/>
      <c r="O473" s="3" t="str">
        <f ca="1">IFERROR(__xludf.DUMMYFUNCTION("""COMPUTED_VALUE"""),"1280")</f>
        <v>1280</v>
      </c>
      <c r="P473" s="3" t="str">
        <f ca="1">IFERROR(__xludf.DUMMYFUNCTION("""COMPUTED_VALUE"""),"720")</f>
        <v>720</v>
      </c>
      <c r="Q473" s="3" t="str">
        <f ca="1">IFERROR(__xludf.DUMMYFUNCTION("""COMPUTED_VALUE"""),"16:9")</f>
        <v>16:9</v>
      </c>
      <c r="R473" s="3"/>
      <c r="S473" s="3" t="str">
        <f ca="1">IFERROR(__xludf.DUMMYFUNCTION("""COMPUTED_VALUE"""),"100")</f>
        <v>100</v>
      </c>
      <c r="T473" s="3"/>
      <c r="U473" s="3" t="str">
        <f ca="1">IFERROR(__xludf.DUMMYFUNCTION("""COMPUTED_VALUE"""),"videospot")</f>
        <v>videospot</v>
      </c>
      <c r="V473" s="3"/>
      <c r="W473" s="4" t="str">
        <f ca="1">IFERROR(__xludf.DUMMYFUNCTION("""COMPUTED_VALUE"""),"https://reklama.cncenter.cz/Online/Outstream")</f>
        <v>https://reklama.cncenter.cz/Online/Outstream</v>
      </c>
      <c r="X473" s="3"/>
      <c r="Y473" s="3"/>
      <c r="Z473" s="3" t="str">
        <f ca="1">IFERROR(__xludf.DUMMYFUNCTION("""COMPUTED_VALUE"""),"podklady@cncenter.cz")</f>
        <v>podklady@cncenter.cz</v>
      </c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 t="str">
        <f ca="1">IFERROR(__xludf.DUMMYFUNCTION("""COMPUTED_VALUE"""),"cross-device")</f>
        <v>cross-device</v>
      </c>
      <c r="AO473" s="3"/>
      <c r="AP473" s="3"/>
      <c r="AQ473" s="3"/>
      <c r="AR473" s="3"/>
      <c r="AS473" s="3"/>
      <c r="AT473" s="3"/>
      <c r="AU473" s="3" t="str">
        <f ca="1">IFERROR(__xludf.DUMMYFUNCTION("""COMPUTED_VALUE"""),"outstream")</f>
        <v>outstream</v>
      </c>
    </row>
    <row r="474" spans="1:47" x14ac:dyDescent="0.3">
      <c r="A474" s="3">
        <f ca="1"/>
        <v>2346826</v>
      </c>
      <c r="B474" s="3" t="str">
        <f ca="1"/>
        <v>CZECH NEWS CENTER a. s.</v>
      </c>
      <c r="C474" s="3" t="str">
        <f ca="1">IFERROR(__xludf.DUMMYFUNCTION("""COMPUTED_VALUE"""),"Dáma")</f>
        <v>Dáma</v>
      </c>
      <c r="D474" s="4" t="str">
        <f ca="1">IFERROR(__xludf.DUMMYFUNCTION("""COMPUTED_VALUE"""),"https://dama.cz")</f>
        <v>https://dama.cz</v>
      </c>
      <c r="E474" s="3" t="str">
        <f ca="1">IFERROR(__xludf.DUMMYFUNCTION("""COMPUTED_VALUE"""),"celý web")</f>
        <v>celý web</v>
      </c>
      <c r="F474" s="4" t="str">
        <f ca="1">IFERROR(__xludf.DUMMYFUNCTION("""COMPUTED_VALUE"""),"https://dama.cz")</f>
        <v>https://dama.cz</v>
      </c>
      <c r="G474" s="3" t="str">
        <f ca="1">IFERROR(__xludf.DUMMYFUNCTION("""COMPUTED_VALUE"""),"PR článek mid season")</f>
        <v>PR článek mid season</v>
      </c>
      <c r="H474" s="3">
        <f ca="1">IFERROR(__xludf.DUMMYFUNCTION("""COMPUTED_VALUE"""),1)</f>
        <v>1</v>
      </c>
      <c r="I474" s="5">
        <f ca="1">IFERROR(__xludf.DUMMYFUNCTION("""COMPUTED_VALUE"""),1)</f>
        <v>1</v>
      </c>
      <c r="J474" s="5">
        <f ca="1">IFERROR(__xludf.DUMMYFUNCTION("""COMPUTED_VALUE"""),20000)</f>
        <v>20000</v>
      </c>
      <c r="K474" s="3"/>
      <c r="L474" s="3" t="str">
        <f ca="1">IFERROR(__xludf.DUMMYFUNCTION("""COMPUTED_VALUE"""),"Cost per instance")</f>
        <v>Cost per instance</v>
      </c>
      <c r="M474" s="3"/>
      <c r="N474" s="3"/>
      <c r="O474" s="3"/>
      <c r="P474" s="3"/>
      <c r="Q474" s="3"/>
      <c r="R474" s="3"/>
      <c r="S474" s="3" t="str">
        <f ca="1">IFERROR(__xludf.DUMMYFUNCTION("""COMPUTED_VALUE"""),"100")</f>
        <v>100</v>
      </c>
      <c r="T474" s="3"/>
      <c r="U474" s="3" t="str">
        <f ca="1">IFERROR(__xludf.DUMMYFUNCTION("""COMPUTED_VALUE"""),"pr článek")</f>
        <v>pr článek</v>
      </c>
      <c r="V474" s="3"/>
      <c r="W474" s="4" t="str">
        <f ca="1">IFERROR(__xludf.DUMMYFUNCTION("""COMPUTED_VALUE"""),"https://reklama.cncenter.cz/?ads=PR%2520%25C4%258Dl%25C3%25A1nky")</f>
        <v>https://reklama.cncenter.cz/?ads=PR%2520%25C4%258Dl%25C3%25A1nky</v>
      </c>
      <c r="X474" s="3"/>
      <c r="Y474" s="3"/>
      <c r="Z474" s="3" t="str">
        <f ca="1">IFERROR(__xludf.DUMMYFUNCTION("""COMPUTED_VALUE"""),"podklady@cncenter.cz")</f>
        <v>podklady@cncenter.cz</v>
      </c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 t="str">
        <f ca="1">IFERROR(__xludf.DUMMYFUNCTION("""COMPUTED_VALUE"""),"cross-device")</f>
        <v>cross-device</v>
      </c>
      <c r="AO474" s="3"/>
      <c r="AP474" s="3"/>
      <c r="AQ474" s="3"/>
      <c r="AR474" s="3"/>
      <c r="AS474" s="3"/>
      <c r="AT474" s="3"/>
      <c r="AU474" s="3" t="str">
        <f ca="1">IFERROR(__xludf.DUMMYFUNCTION("""COMPUTED_VALUE"""),"PR článek")</f>
        <v>PR článek</v>
      </c>
    </row>
    <row r="475" spans="1:47" x14ac:dyDescent="0.3">
      <c r="A475" s="3">
        <f ca="1"/>
        <v>2346826</v>
      </c>
      <c r="B475" s="3" t="str">
        <f ca="1"/>
        <v>CZECH NEWS CENTER a. s.</v>
      </c>
      <c r="C475" s="3" t="str">
        <f ca="1">IFERROR(__xludf.DUMMYFUNCTION("""COMPUTED_VALUE"""),"Dáma")</f>
        <v>Dáma</v>
      </c>
      <c r="D475" s="4" t="str">
        <f ca="1">IFERROR(__xludf.DUMMYFUNCTION("""COMPUTED_VALUE"""),"https://dama.cz")</f>
        <v>https://dama.cz</v>
      </c>
      <c r="E475" s="3" t="str">
        <f ca="1">IFERROR(__xludf.DUMMYFUNCTION("""COMPUTED_VALUE"""),"celý web")</f>
        <v>celý web</v>
      </c>
      <c r="F475" s="4" t="str">
        <f ca="1">IFERROR(__xludf.DUMMYFUNCTION("""COMPUTED_VALUE"""),"https://dama.cz")</f>
        <v>https://dama.cz</v>
      </c>
      <c r="G475" s="3" t="str">
        <f ca="1">IFERROR(__xludf.DUMMYFUNCTION("""COMPUTED_VALUE"""),"Prodloužení existující microsite, bez úprav mid season")</f>
        <v>Prodloužení existující microsite, bez úprav mid season</v>
      </c>
      <c r="H475" s="3">
        <f ca="1">IFERROR(__xludf.DUMMYFUNCTION("""COMPUTED_VALUE"""),1)</f>
        <v>1</v>
      </c>
      <c r="I475" s="5">
        <f ca="1">IFERROR(__xludf.DUMMYFUNCTION("""COMPUTED_VALUE"""),1)</f>
        <v>1</v>
      </c>
      <c r="J475" s="5">
        <f ca="1">IFERROR(__xludf.DUMMYFUNCTION("""COMPUTED_VALUE"""),15000)</f>
        <v>15000</v>
      </c>
      <c r="K475" s="3"/>
      <c r="L475" s="3" t="str">
        <f ca="1">IFERROR(__xludf.DUMMYFUNCTION("""COMPUTED_VALUE"""),"Cost per instance")</f>
        <v>Cost per instance</v>
      </c>
      <c r="M475" s="3"/>
      <c r="N475" s="3"/>
      <c r="O475" s="3"/>
      <c r="P475" s="3"/>
      <c r="Q475" s="3"/>
      <c r="R475" s="3"/>
      <c r="S475" s="3" t="str">
        <f ca="1">IFERROR(__xludf.DUMMYFUNCTION("""COMPUTED_VALUE"""),"100")</f>
        <v>100</v>
      </c>
      <c r="T475" s="3"/>
      <c r="U475" s="3" t="str">
        <f ca="1">IFERROR(__xludf.DUMMYFUNCTION("""COMPUTED_VALUE"""),"microsite")</f>
        <v>microsite</v>
      </c>
      <c r="V475" s="3"/>
      <c r="W475" s="3"/>
      <c r="X475" s="3"/>
      <c r="Y475" s="3"/>
      <c r="Z475" s="3" t="str">
        <f ca="1">IFERROR(__xludf.DUMMYFUNCTION("""COMPUTED_VALUE"""),"podklady@cncenter.cz")</f>
        <v>podklady@cncenter.cz</v>
      </c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 t="str">
        <f ca="1">IFERROR(__xludf.DUMMYFUNCTION("""COMPUTED_VALUE"""),"cross-device")</f>
        <v>cross-device</v>
      </c>
      <c r="AO475" s="3"/>
      <c r="AP475" s="3"/>
      <c r="AQ475" s="3"/>
      <c r="AR475" s="3"/>
      <c r="AS475" s="3"/>
      <c r="AT475" s="3"/>
      <c r="AU475" s="3" t="str">
        <f ca="1">IFERROR(__xludf.DUMMYFUNCTION("""COMPUTED_VALUE"""),"Prodloužení existující microsite, bez úprav")</f>
        <v>Prodloužení existující microsite, bez úprav</v>
      </c>
    </row>
    <row r="476" spans="1:47" x14ac:dyDescent="0.3">
      <c r="A476" s="3">
        <f ca="1"/>
        <v>2346826</v>
      </c>
      <c r="B476" s="3" t="str">
        <f ca="1"/>
        <v>CZECH NEWS CENTER a. s.</v>
      </c>
      <c r="C476" s="3" t="str">
        <f ca="1">IFERROR(__xludf.DUMMYFUNCTION("""COMPUTED_VALUE"""),"Dáma")</f>
        <v>Dáma</v>
      </c>
      <c r="D476" s="4" t="str">
        <f ca="1">IFERROR(__xludf.DUMMYFUNCTION("""COMPUTED_VALUE"""),"https://dama.cz")</f>
        <v>https://dama.cz</v>
      </c>
      <c r="E476" s="3" t="str">
        <f ca="1">IFERROR(__xludf.DUMMYFUNCTION("""COMPUTED_VALUE"""),"celý web")</f>
        <v>celý web</v>
      </c>
      <c r="F476" s="4" t="str">
        <f ca="1">IFERROR(__xludf.DUMMYFUNCTION("""COMPUTED_VALUE"""),"https://dama.cz")</f>
        <v>https://dama.cz</v>
      </c>
      <c r="G476" s="3" t="str">
        <f ca="1">IFERROR(__xludf.DUMMYFUNCTION("""COMPUTED_VALUE"""),"Prodloužení existující microsite, bez úprav mid season")</f>
        <v>Prodloužení existující microsite, bez úprav mid season</v>
      </c>
      <c r="H476" s="3">
        <f ca="1">IFERROR(__xludf.DUMMYFUNCTION("""COMPUTED_VALUE"""),1)</f>
        <v>1</v>
      </c>
      <c r="I476" s="5">
        <f ca="1">IFERROR(__xludf.DUMMYFUNCTION("""COMPUTED_VALUE"""),1)</f>
        <v>1</v>
      </c>
      <c r="J476" s="5">
        <f ca="1">IFERROR(__xludf.DUMMYFUNCTION("""COMPUTED_VALUE"""),15000)</f>
        <v>15000</v>
      </c>
      <c r="K476" s="3"/>
      <c r="L476" s="3" t="str">
        <f ca="1">IFERROR(__xludf.DUMMYFUNCTION("""COMPUTED_VALUE"""),"Cost per instance")</f>
        <v>Cost per instance</v>
      </c>
      <c r="M476" s="3"/>
      <c r="N476" s="3"/>
      <c r="O476" s="3"/>
      <c r="P476" s="3"/>
      <c r="Q476" s="3"/>
      <c r="R476" s="3"/>
      <c r="S476" s="3" t="str">
        <f ca="1">IFERROR(__xludf.DUMMYFUNCTION("""COMPUTED_VALUE"""),"100")</f>
        <v>100</v>
      </c>
      <c r="T476" s="3"/>
      <c r="U476" s="3" t="str">
        <f ca="1">IFERROR(__xludf.DUMMYFUNCTION("""COMPUTED_VALUE"""),"microsite")</f>
        <v>microsite</v>
      </c>
      <c r="V476" s="3"/>
      <c r="W476" s="3"/>
      <c r="X476" s="3"/>
      <c r="Y476" s="3"/>
      <c r="Z476" s="3" t="str">
        <f ca="1">IFERROR(__xludf.DUMMYFUNCTION("""COMPUTED_VALUE"""),"podklady@cncenter.cz")</f>
        <v>podklady@cncenter.cz</v>
      </c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 t="str">
        <f ca="1">IFERROR(__xludf.DUMMYFUNCTION("""COMPUTED_VALUE"""),"cross-device")</f>
        <v>cross-device</v>
      </c>
      <c r="AO476" s="3"/>
      <c r="AP476" s="3"/>
      <c r="AQ476" s="3"/>
      <c r="AR476" s="3"/>
      <c r="AS476" s="3"/>
      <c r="AT476" s="3"/>
      <c r="AU476" s="3" t="str">
        <f ca="1">IFERROR(__xludf.DUMMYFUNCTION("""COMPUTED_VALUE"""),"Prodloužení existující microsite, bez úprav")</f>
        <v>Prodloužení existující microsite, bez úprav</v>
      </c>
    </row>
    <row r="477" spans="1:47" x14ac:dyDescent="0.3">
      <c r="A477" s="3">
        <f ca="1"/>
        <v>2346826</v>
      </c>
      <c r="B477" s="3" t="str">
        <f ca="1"/>
        <v>CZECH NEWS CENTER a. s.</v>
      </c>
      <c r="C477" s="3" t="str">
        <f ca="1">IFERROR(__xludf.DUMMYFUNCTION("""COMPUTED_VALUE"""),"Dáma")</f>
        <v>Dáma</v>
      </c>
      <c r="D477" s="4" t="str">
        <f ca="1">IFERROR(__xludf.DUMMYFUNCTION("""COMPUTED_VALUE"""),"https://dama.cz")</f>
        <v>https://dama.cz</v>
      </c>
      <c r="E477" s="3" t="str">
        <f ca="1">IFERROR(__xludf.DUMMYFUNCTION("""COMPUTED_VALUE"""),"celý web")</f>
        <v>celý web</v>
      </c>
      <c r="F477" s="4" t="str">
        <f ca="1">IFERROR(__xludf.DUMMYFUNCTION("""COMPUTED_VALUE"""),"https://dama.cz")</f>
        <v>https://dama.cz</v>
      </c>
      <c r="G477" s="3" t="str">
        <f ca="1">IFERROR(__xludf.DUMMYFUNCTION("""COMPUTED_VALUE"""),"Prodloužení existující microsite, bez úprav mid season")</f>
        <v>Prodloužení existující microsite, bez úprav mid season</v>
      </c>
      <c r="H477" s="3">
        <f ca="1">IFERROR(__xludf.DUMMYFUNCTION("""COMPUTED_VALUE"""),1)</f>
        <v>1</v>
      </c>
      <c r="I477" s="5">
        <f ca="1">IFERROR(__xludf.DUMMYFUNCTION("""COMPUTED_VALUE"""),1)</f>
        <v>1</v>
      </c>
      <c r="J477" s="5">
        <f ca="1">IFERROR(__xludf.DUMMYFUNCTION("""COMPUTED_VALUE"""),15000)</f>
        <v>15000</v>
      </c>
      <c r="K477" s="3"/>
      <c r="L477" s="3" t="str">
        <f ca="1">IFERROR(__xludf.DUMMYFUNCTION("""COMPUTED_VALUE"""),"Cost per instance")</f>
        <v>Cost per instance</v>
      </c>
      <c r="M477" s="3"/>
      <c r="N477" s="3"/>
      <c r="O477" s="3"/>
      <c r="P477" s="3"/>
      <c r="Q477" s="3"/>
      <c r="R477" s="3"/>
      <c r="S477" s="3" t="str">
        <f ca="1">IFERROR(__xludf.DUMMYFUNCTION("""COMPUTED_VALUE"""),"100")</f>
        <v>100</v>
      </c>
      <c r="T477" s="3"/>
      <c r="U477" s="3" t="str">
        <f ca="1">IFERROR(__xludf.DUMMYFUNCTION("""COMPUTED_VALUE"""),"microsite")</f>
        <v>microsite</v>
      </c>
      <c r="V477" s="3"/>
      <c r="W477" s="3"/>
      <c r="X477" s="3"/>
      <c r="Y477" s="3"/>
      <c r="Z477" s="3" t="str">
        <f ca="1">IFERROR(__xludf.DUMMYFUNCTION("""COMPUTED_VALUE"""),"podklady@cncenter.cz")</f>
        <v>podklady@cncenter.cz</v>
      </c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 t="str">
        <f ca="1">IFERROR(__xludf.DUMMYFUNCTION("""COMPUTED_VALUE"""),"cross-device")</f>
        <v>cross-device</v>
      </c>
      <c r="AO477" s="3"/>
      <c r="AP477" s="3"/>
      <c r="AQ477" s="3"/>
      <c r="AR477" s="3"/>
      <c r="AS477" s="3"/>
      <c r="AT477" s="3"/>
      <c r="AU477" s="3" t="str">
        <f ca="1">IFERROR(__xludf.DUMMYFUNCTION("""COMPUTED_VALUE"""),"Prodloužení existující microsite, bez úprav")</f>
        <v>Prodloužení existující microsite, bez úprav</v>
      </c>
    </row>
    <row r="478" spans="1:47" x14ac:dyDescent="0.3">
      <c r="A478" s="3">
        <f ca="1"/>
        <v>2346826</v>
      </c>
      <c r="B478" s="3" t="str">
        <f ca="1"/>
        <v>CZECH NEWS CENTER a. s.</v>
      </c>
      <c r="C478" s="3" t="str">
        <f ca="1">IFERROR(__xludf.DUMMYFUNCTION("""COMPUTED_VALUE"""),"Dáma")</f>
        <v>Dáma</v>
      </c>
      <c r="D478" s="4" t="str">
        <f ca="1">IFERROR(__xludf.DUMMYFUNCTION("""COMPUTED_VALUE"""),"https://dama.cz")</f>
        <v>https://dama.cz</v>
      </c>
      <c r="E478" s="3" t="str">
        <f ca="1">IFERROR(__xludf.DUMMYFUNCTION("""COMPUTED_VALUE"""),"celý web")</f>
        <v>celý web</v>
      </c>
      <c r="F478" s="4" t="str">
        <f ca="1">IFERROR(__xludf.DUMMYFUNCTION("""COMPUTED_VALUE"""),"https://dama.cz")</f>
        <v>https://dama.cz</v>
      </c>
      <c r="G478" s="3" t="str">
        <f ca="1">IFERROR(__xludf.DUMMYFUNCTION("""COMPUTED_VALUE"""),"videospot - max. 30 sec. / bumper mid season")</f>
        <v>videospot - max. 30 sec. / bumper mid season</v>
      </c>
      <c r="H478" s="3">
        <f ca="1">IFERROR(__xludf.DUMMYFUNCTION("""COMPUTED_VALUE"""),7)</f>
        <v>7</v>
      </c>
      <c r="I478" s="5">
        <f ca="1">IFERROR(__xludf.DUMMYFUNCTION("""COMPUTED_VALUE"""),1000)</f>
        <v>1000</v>
      </c>
      <c r="J478" s="5">
        <f ca="1">IFERROR(__xludf.DUMMYFUNCTION("""COMPUTED_VALUE"""),1040)</f>
        <v>1040</v>
      </c>
      <c r="K478" s="3"/>
      <c r="L478" s="3" t="str">
        <f ca="1">IFERROR(__xludf.DUMMYFUNCTION("""COMPUTED_VALUE"""),"Cost per period")</f>
        <v>Cost per period</v>
      </c>
      <c r="M478" s="3"/>
      <c r="N478" s="3"/>
      <c r="O478" s="3" t="str">
        <f ca="1">IFERROR(__xludf.DUMMYFUNCTION("""COMPUTED_VALUE"""),"1280")</f>
        <v>1280</v>
      </c>
      <c r="P478" s="3" t="str">
        <f ca="1">IFERROR(__xludf.DUMMYFUNCTION("""COMPUTED_VALUE"""),"720")</f>
        <v>720</v>
      </c>
      <c r="Q478" s="3" t="str">
        <f ca="1">IFERROR(__xludf.DUMMYFUNCTION("""COMPUTED_VALUE"""),"16:9 / umístění po domluvě dle možností")</f>
        <v>16:9 / umístění po domluvě dle možností</v>
      </c>
      <c r="R478" s="3" t="str">
        <f ca="1">IFERROR(__xludf.DUMMYFUNCTION("""COMPUTED_VALUE"""),"přeskočení po 7 sekundách")</f>
        <v>přeskočení po 7 sekundách</v>
      </c>
      <c r="S478" s="3" t="str">
        <f ca="1">IFERROR(__xludf.DUMMYFUNCTION("""COMPUTED_VALUE"""),"100")</f>
        <v>100</v>
      </c>
      <c r="T478" s="3"/>
      <c r="U478" s="3" t="str">
        <f ca="1">IFERROR(__xludf.DUMMYFUNCTION("""COMPUTED_VALUE"""),"videospot")</f>
        <v>videospot</v>
      </c>
      <c r="V478" s="3"/>
      <c r="W478" s="4" t="str">
        <f ca="1">IFERROR(__xludf.DUMMYFUNCTION("""COMPUTED_VALUE"""),"https://reklama.cncenter.cz/Online/Bumper")</f>
        <v>https://reklama.cncenter.cz/Online/Bumper</v>
      </c>
      <c r="X478" s="3"/>
      <c r="Y478" s="3"/>
      <c r="Z478" s="3" t="str">
        <f ca="1">IFERROR(__xludf.DUMMYFUNCTION("""COMPUTED_VALUE"""),"podklady@cncenter.cz")</f>
        <v>podklady@cncenter.cz</v>
      </c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 t="str">
        <f ca="1">IFERROR(__xludf.DUMMYFUNCTION("""COMPUTED_VALUE"""),"cross-device")</f>
        <v>cross-device</v>
      </c>
      <c r="AO478" s="3"/>
      <c r="AP478" s="3"/>
      <c r="AQ478" s="3"/>
      <c r="AR478" s="3"/>
      <c r="AS478" s="3"/>
      <c r="AT478" s="3"/>
      <c r="AU478" s="3" t="str">
        <f ca="1">IFERROR(__xludf.DUMMYFUNCTION("""COMPUTED_VALUE"""),"videospot - max. 30 sec. / bumper")</f>
        <v>videospot - max. 30 sec. / bumper</v>
      </c>
    </row>
    <row r="479" spans="1:47" x14ac:dyDescent="0.3">
      <c r="A479" s="3">
        <f ca="1"/>
        <v>2346826</v>
      </c>
      <c r="B479" s="3" t="str">
        <f ca="1"/>
        <v>CZECH NEWS CENTER a. s.</v>
      </c>
      <c r="C479" s="3" t="str">
        <f ca="1">IFERROR(__xludf.DUMMYFUNCTION("""COMPUTED_VALUE"""),"E15")</f>
        <v>E15</v>
      </c>
      <c r="D479" s="3" t="str">
        <f ca="1">IFERROR(__xludf.DUMMYFUNCTION("""COMPUTED_VALUE"""),"https://e15.cz, https://finexpert.cz, https://www.e15.cz/formen")</f>
        <v>https://e15.cz, https://finexpert.cz, https://www.e15.cz/formen</v>
      </c>
      <c r="E479" s="3" t="str">
        <f ca="1">IFERROR(__xludf.DUMMYFUNCTION("""COMPUTED_VALUE"""),"celý web")</f>
        <v>celý web</v>
      </c>
      <c r="F479" s="3" t="str">
        <f ca="1">IFERROR(__xludf.DUMMYFUNCTION("""COMPUTED_VALUE"""),"https://e15.cz, https://finexpert.cz, https://www.e15.cz/formen")</f>
        <v>https://e15.cz, https://finexpert.cz, https://www.e15.cz/formen</v>
      </c>
      <c r="G479" s="3" t="str">
        <f ca="1">IFERROR(__xludf.DUMMYFUNCTION("""COMPUTED_VALUE"""),"Advertorial mid season")</f>
        <v>Advertorial mid season</v>
      </c>
      <c r="H479" s="3">
        <f ca="1">IFERROR(__xludf.DUMMYFUNCTION("""COMPUTED_VALUE"""),1)</f>
        <v>1</v>
      </c>
      <c r="I479" s="5">
        <f ca="1">IFERROR(__xludf.DUMMYFUNCTION("""COMPUTED_VALUE"""),1)</f>
        <v>1</v>
      </c>
      <c r="J479" s="5">
        <f ca="1">IFERROR(__xludf.DUMMYFUNCTION("""COMPUTED_VALUE"""),90000)</f>
        <v>90000</v>
      </c>
      <c r="K479" s="3"/>
      <c r="L479" s="3" t="str">
        <f ca="1">IFERROR(__xludf.DUMMYFUNCTION("""COMPUTED_VALUE"""),"Cost per instance")</f>
        <v>Cost per instance</v>
      </c>
      <c r="M479" s="3"/>
      <c r="N479" s="3"/>
      <c r="O479" s="3"/>
      <c r="P479" s="3"/>
      <c r="Q479" s="3"/>
      <c r="R479" s="3"/>
      <c r="S479" s="3" t="str">
        <f ca="1">IFERROR(__xludf.DUMMYFUNCTION("""COMPUTED_VALUE"""),"100")</f>
        <v>100</v>
      </c>
      <c r="T479" s="3"/>
      <c r="U479" s="3" t="str">
        <f ca="1">IFERROR(__xludf.DUMMYFUNCTION("""COMPUTED_VALUE"""),"pr článek")</f>
        <v>pr článek</v>
      </c>
      <c r="V479" s="3"/>
      <c r="W479" s="3"/>
      <c r="X479" s="3"/>
      <c r="Y479" s="3"/>
      <c r="Z479" s="3" t="str">
        <f ca="1">IFERROR(__xludf.DUMMYFUNCTION("""COMPUTED_VALUE"""),"podklady@cncenter.cz")</f>
        <v>podklady@cncenter.cz</v>
      </c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 t="str">
        <f ca="1">IFERROR(__xludf.DUMMYFUNCTION("""COMPUTED_VALUE"""),"cross-device")</f>
        <v>cross-device</v>
      </c>
      <c r="AO479" s="3"/>
      <c r="AP479" s="3"/>
      <c r="AQ479" s="3"/>
      <c r="AR479" s="3"/>
      <c r="AS479" s="3"/>
      <c r="AT479" s="3"/>
      <c r="AU479" s="3" t="str">
        <f ca="1">IFERROR(__xludf.DUMMYFUNCTION("""COMPUTED_VALUE"""),"Advertorial")</f>
        <v>Advertorial</v>
      </c>
    </row>
    <row r="480" spans="1:47" x14ac:dyDescent="0.3">
      <c r="A480" s="3">
        <f ca="1"/>
        <v>2346826</v>
      </c>
      <c r="B480" s="3" t="str">
        <f ca="1"/>
        <v>CZECH NEWS CENTER a. s.</v>
      </c>
      <c r="C480" s="3" t="str">
        <f ca="1">IFERROR(__xludf.DUMMYFUNCTION("""COMPUTED_VALUE"""),"E15")</f>
        <v>E15</v>
      </c>
      <c r="D480" s="3" t="str">
        <f ca="1">IFERROR(__xludf.DUMMYFUNCTION("""COMPUTED_VALUE"""),"https://e15.cz, https://finexpert.cz, https://www.e15.cz/formen")</f>
        <v>https://e15.cz, https://finexpert.cz, https://www.e15.cz/formen</v>
      </c>
      <c r="E480" s="3" t="str">
        <f ca="1">IFERROR(__xludf.DUMMYFUNCTION("""COMPUTED_VALUE"""),"celý web")</f>
        <v>celý web</v>
      </c>
      <c r="F480" s="3" t="str">
        <f ca="1">IFERROR(__xludf.DUMMYFUNCTION("""COMPUTED_VALUE"""),"https://e15.cz, https://finexpert.cz, https://www.e15.cz/formen")</f>
        <v>https://e15.cz, https://finexpert.cz, https://www.e15.cz/formen</v>
      </c>
      <c r="G480" s="3" t="str">
        <f ca="1">IFERROR(__xludf.DUMMYFUNCTION("""COMPUTED_VALUE"""),"billboard bottom mid season")</f>
        <v>billboard bottom mid season</v>
      </c>
      <c r="H480" s="3">
        <f ca="1">IFERROR(__xludf.DUMMYFUNCTION("""COMPUTED_VALUE"""),7)</f>
        <v>7</v>
      </c>
      <c r="I480" s="5">
        <f ca="1">IFERROR(__xludf.DUMMYFUNCTION("""COMPUTED_VALUE"""),1000)</f>
        <v>1000</v>
      </c>
      <c r="J480" s="5">
        <f ca="1">IFERROR(__xludf.DUMMYFUNCTION("""COMPUTED_VALUE"""),480)</f>
        <v>480</v>
      </c>
      <c r="K480" s="3"/>
      <c r="L480" s="3" t="str">
        <f ca="1">IFERROR(__xludf.DUMMYFUNCTION("""COMPUTED_VALUE"""),"Cost per period")</f>
        <v>Cost per period</v>
      </c>
      <c r="M480" s="3"/>
      <c r="N480" s="3"/>
      <c r="O480" s="3" t="str">
        <f ca="1">IFERROR(__xludf.DUMMYFUNCTION("""COMPUTED_VALUE"""),"970")</f>
        <v>970</v>
      </c>
      <c r="P480" s="3" t="str">
        <f ca="1">IFERROR(__xludf.DUMMYFUNCTION("""COMPUTED_VALUE"""),"250")</f>
        <v>250</v>
      </c>
      <c r="Q480" s="3" t="str">
        <f ca="1">IFERROR(__xludf.DUMMYFUNCTION("""COMPUTED_VALUE"""),"970x250")</f>
        <v>970x250</v>
      </c>
      <c r="R480" s="3"/>
      <c r="S480" s="3" t="str">
        <f ca="1">IFERROR(__xludf.DUMMYFUNCTION("""COMPUTED_VALUE"""),"100 (200 - HTML5)")</f>
        <v>100 (200 - HTML5)</v>
      </c>
      <c r="T480" s="3"/>
      <c r="U480" s="3" t="str">
        <f ca="1">IFERROR(__xludf.DUMMYFUNCTION("""COMPUTED_VALUE"""),"banner standard")</f>
        <v>banner standard</v>
      </c>
      <c r="V480" s="3"/>
      <c r="W480" s="4" t="str">
        <f ca="1">IFERROR(__xludf.DUMMYFUNCTION("""COMPUTED_VALUE"""),"https://reklama.cncenter.cz/Online/billboard-bottom")</f>
        <v>https://reklama.cncenter.cz/Online/billboard-bottom</v>
      </c>
      <c r="X480" s="3"/>
      <c r="Y480" s="3"/>
      <c r="Z480" s="3" t="str">
        <f ca="1">IFERROR(__xludf.DUMMYFUNCTION("""COMPUTED_VALUE"""),"podklady@cncenter.cz")</f>
        <v>podklady@cncenter.cz</v>
      </c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 t="str">
        <f ca="1">IFERROR(__xludf.DUMMYFUNCTION("""COMPUTED_VALUE"""),"desktop")</f>
        <v>desktop</v>
      </c>
      <c r="AO480" s="3"/>
      <c r="AP480" s="3"/>
      <c r="AQ480" s="3"/>
      <c r="AR480" s="3"/>
      <c r="AS480" s="3"/>
      <c r="AT480" s="3"/>
      <c r="AU480" s="3" t="str">
        <f ca="1">IFERROR(__xludf.DUMMYFUNCTION("""COMPUTED_VALUE"""),"billboard bottom")</f>
        <v>billboard bottom</v>
      </c>
    </row>
    <row r="481" spans="1:47" x14ac:dyDescent="0.3">
      <c r="A481" s="3">
        <f ca="1"/>
        <v>2346826</v>
      </c>
      <c r="B481" s="3" t="str">
        <f ca="1"/>
        <v>CZECH NEWS CENTER a. s.</v>
      </c>
      <c r="C481" s="3" t="str">
        <f ca="1">IFERROR(__xludf.DUMMYFUNCTION("""COMPUTED_VALUE"""),"E15")</f>
        <v>E15</v>
      </c>
      <c r="D481" s="3" t="str">
        <f ca="1">IFERROR(__xludf.DUMMYFUNCTION("""COMPUTED_VALUE"""),"https://e15.cz, https://finexpert.cz, https://www.e15.cz/formen")</f>
        <v>https://e15.cz, https://finexpert.cz, https://www.e15.cz/formen</v>
      </c>
      <c r="E481" s="3" t="str">
        <f ca="1">IFERROR(__xludf.DUMMYFUNCTION("""COMPUTED_VALUE"""),"celý web")</f>
        <v>celý web</v>
      </c>
      <c r="F481" s="3" t="str">
        <f ca="1">IFERROR(__xludf.DUMMYFUNCTION("""COMPUTED_VALUE"""),"https://e15.cz, https://finexpert.cz, https://www.e15.cz/formen")</f>
        <v>https://e15.cz, https://finexpert.cz, https://www.e15.cz/formen</v>
      </c>
      <c r="G481" s="3" t="str">
        <f ca="1">IFERROR(__xludf.DUMMYFUNCTION("""COMPUTED_VALUE"""),"branding cross-device mid season")</f>
        <v>branding cross-device mid season</v>
      </c>
      <c r="H481" s="3">
        <f ca="1">IFERROR(__xludf.DUMMYFUNCTION("""COMPUTED_VALUE"""),7)</f>
        <v>7</v>
      </c>
      <c r="I481" s="5">
        <f ca="1">IFERROR(__xludf.DUMMYFUNCTION("""COMPUTED_VALUE"""),1000)</f>
        <v>1000</v>
      </c>
      <c r="J481" s="5">
        <f ca="1">IFERROR(__xludf.DUMMYFUNCTION("""COMPUTED_VALUE"""),560)</f>
        <v>560</v>
      </c>
      <c r="K481" s="3"/>
      <c r="L481" s="3" t="str">
        <f ca="1">IFERROR(__xludf.DUMMYFUNCTION("""COMPUTED_VALUE"""),"Cost per period")</f>
        <v>Cost per period</v>
      </c>
      <c r="M481" s="3"/>
      <c r="N481" s="3"/>
      <c r="O481" s="3" t="str">
        <f ca="1">IFERROR(__xludf.DUMMYFUNCTION("""COMPUTED_VALUE"""),"2000")</f>
        <v>2000</v>
      </c>
      <c r="P481" s="3" t="str">
        <f ca="1">IFERROR(__xludf.DUMMYFUNCTION("""COMPUTED_VALUE"""),"1400")</f>
        <v>1400</v>
      </c>
      <c r="Q481" s="3" t="str">
        <f ca="1">IFERROR(__xludf.DUMMYFUNCTION("""COMPUTED_VALUE"""),"2000x1400 + 600x1080")</f>
        <v>2000x1400 + 600x1080</v>
      </c>
      <c r="R481" s="3"/>
      <c r="S481" s="3" t="str">
        <f ca="1">IFERROR(__xludf.DUMMYFUNCTION("""COMPUTED_VALUE"""),"500 (600 - HTLM5)")</f>
        <v>500 (600 - HTLM5)</v>
      </c>
      <c r="T481" s="3"/>
      <c r="U481" s="3" t="str">
        <f ca="1">IFERROR(__xludf.DUMMYFUNCTION("""COMPUTED_VALUE"""),"banner standard")</f>
        <v>banner standard</v>
      </c>
      <c r="V481" s="3"/>
      <c r="W481" s="4" t="str">
        <f ca="1">IFERROR(__xludf.DUMMYFUNCTION("""COMPUTED_VALUE"""),"https://reklama.cncenter.cz/Online/branding-cross-device")</f>
        <v>https://reklama.cncenter.cz/Online/branding-cross-device</v>
      </c>
      <c r="X481" s="3"/>
      <c r="Y481" s="3"/>
      <c r="Z481" s="3" t="str">
        <f ca="1">IFERROR(__xludf.DUMMYFUNCTION("""COMPUTED_VALUE"""),"podklady@cncenter.cz")</f>
        <v>podklady@cncenter.cz</v>
      </c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 t="str">
        <f ca="1">IFERROR(__xludf.DUMMYFUNCTION("""COMPUTED_VALUE"""),"cross-device")</f>
        <v>cross-device</v>
      </c>
      <c r="AO481" s="3"/>
      <c r="AP481" s="3"/>
      <c r="AQ481" s="3"/>
      <c r="AR481" s="3"/>
      <c r="AS481" s="3"/>
      <c r="AT481" s="3"/>
      <c r="AU481" s="3" t="str">
        <f ca="1">IFERROR(__xludf.DUMMYFUNCTION("""COMPUTED_VALUE"""),"branding cross-device")</f>
        <v>branding cross-device</v>
      </c>
    </row>
    <row r="482" spans="1:47" x14ac:dyDescent="0.3">
      <c r="A482" s="3">
        <f ca="1"/>
        <v>2346826</v>
      </c>
      <c r="B482" s="3" t="str">
        <f ca="1"/>
        <v>CZECH NEWS CENTER a. s.</v>
      </c>
      <c r="C482" s="3" t="str">
        <f ca="1">IFERROR(__xludf.DUMMYFUNCTION("""COMPUTED_VALUE"""),"E15")</f>
        <v>E15</v>
      </c>
      <c r="D482" s="3" t="str">
        <f ca="1">IFERROR(__xludf.DUMMYFUNCTION("""COMPUTED_VALUE"""),"https://e15.cz, https://finexpert.cz, https://www.e15.cz/formen")</f>
        <v>https://e15.cz, https://finexpert.cz, https://www.e15.cz/formen</v>
      </c>
      <c r="E482" s="3" t="str">
        <f ca="1">IFERROR(__xludf.DUMMYFUNCTION("""COMPUTED_VALUE"""),"celý web")</f>
        <v>celý web</v>
      </c>
      <c r="F482" s="3" t="str">
        <f ca="1">IFERROR(__xludf.DUMMYFUNCTION("""COMPUTED_VALUE"""),"https://e15.cz, https://finexpert.cz, https://www.e15.cz/formen")</f>
        <v>https://e15.cz, https://finexpert.cz, https://www.e15.cz/formen</v>
      </c>
      <c r="G482" s="3" t="str">
        <f ca="1">IFERROR(__xludf.DUMMYFUNCTION("""COMPUTED_VALUE"""),"branding mid season")</f>
        <v>branding mid season</v>
      </c>
      <c r="H482" s="3">
        <f ca="1">IFERROR(__xludf.DUMMYFUNCTION("""COMPUTED_VALUE"""),7)</f>
        <v>7</v>
      </c>
      <c r="I482" s="5">
        <f ca="1">IFERROR(__xludf.DUMMYFUNCTION("""COMPUTED_VALUE"""),1000)</f>
        <v>1000</v>
      </c>
      <c r="J482" s="5">
        <f ca="1">IFERROR(__xludf.DUMMYFUNCTION("""COMPUTED_VALUE"""),840)</f>
        <v>840</v>
      </c>
      <c r="K482" s="3"/>
      <c r="L482" s="3" t="str">
        <f ca="1">IFERROR(__xludf.DUMMYFUNCTION("""COMPUTED_VALUE"""),"Cost per period")</f>
        <v>Cost per period</v>
      </c>
      <c r="M482" s="3"/>
      <c r="N482" s="3"/>
      <c r="O482" s="3" t="str">
        <f ca="1">IFERROR(__xludf.DUMMYFUNCTION("""COMPUTED_VALUE"""),"2000")</f>
        <v>2000</v>
      </c>
      <c r="P482" s="3" t="str">
        <f ca="1">IFERROR(__xludf.DUMMYFUNCTION("""COMPUTED_VALUE"""),"1400")</f>
        <v>1400</v>
      </c>
      <c r="Q482" s="3" t="str">
        <f ca="1">IFERROR(__xludf.DUMMYFUNCTION("""COMPUTED_VALUE"""),"2000x1400")</f>
        <v>2000x1400</v>
      </c>
      <c r="R482" s="3"/>
      <c r="S482" s="3" t="str">
        <f ca="1">IFERROR(__xludf.DUMMYFUNCTION("""COMPUTED_VALUE"""),"500 + 200 (600+200 HTML5)")</f>
        <v>500 + 200 (600+200 HTML5)</v>
      </c>
      <c r="T482" s="3"/>
      <c r="U482" s="3" t="str">
        <f ca="1">IFERROR(__xludf.DUMMYFUNCTION("""COMPUTED_VALUE"""),"banner standard")</f>
        <v>banner standard</v>
      </c>
      <c r="V482" s="3"/>
      <c r="W482" s="4" t="str">
        <f ca="1">IFERROR(__xludf.DUMMYFUNCTION("""COMPUTED_VALUE"""),"https://reklama.cncenter.cz/Online/branding")</f>
        <v>https://reklama.cncenter.cz/Online/branding</v>
      </c>
      <c r="X482" s="3"/>
      <c r="Y482" s="3"/>
      <c r="Z482" s="3" t="str">
        <f ca="1">IFERROR(__xludf.DUMMYFUNCTION("""COMPUTED_VALUE"""),"podklady@cncenter.cz")</f>
        <v>podklady@cncenter.cz</v>
      </c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 t="str">
        <f ca="1">IFERROR(__xludf.DUMMYFUNCTION("""COMPUTED_VALUE"""),"desktop")</f>
        <v>desktop</v>
      </c>
      <c r="AO482" s="3"/>
      <c r="AP482" s="3"/>
      <c r="AQ482" s="3"/>
      <c r="AR482" s="3"/>
      <c r="AS482" s="3"/>
      <c r="AT482" s="3"/>
      <c r="AU482" s="3" t="str">
        <f ca="1">IFERROR(__xludf.DUMMYFUNCTION("""COMPUTED_VALUE"""),"branding")</f>
        <v>branding</v>
      </c>
    </row>
    <row r="483" spans="1:47" x14ac:dyDescent="0.3">
      <c r="A483" s="3">
        <f ca="1"/>
        <v>2346826</v>
      </c>
      <c r="B483" s="3" t="str">
        <f ca="1"/>
        <v>CZECH NEWS CENTER a. s.</v>
      </c>
      <c r="C483" s="3" t="str">
        <f ca="1">IFERROR(__xludf.DUMMYFUNCTION("""COMPUTED_VALUE"""),"E15")</f>
        <v>E15</v>
      </c>
      <c r="D483" s="3" t="str">
        <f ca="1">IFERROR(__xludf.DUMMYFUNCTION("""COMPUTED_VALUE"""),"https://e15.cz, https://finexpert.cz, https://www.e15.cz/formen")</f>
        <v>https://e15.cz, https://finexpert.cz, https://www.e15.cz/formen</v>
      </c>
      <c r="E483" s="3" t="str">
        <f ca="1">IFERROR(__xludf.DUMMYFUNCTION("""COMPUTED_VALUE"""),"celý web")</f>
        <v>celý web</v>
      </c>
      <c r="F483" s="3" t="str">
        <f ca="1">IFERROR(__xludf.DUMMYFUNCTION("""COMPUTED_VALUE"""),"https://e15.cz, https://finexpert.cz, https://www.e15.cz/formen")</f>
        <v>https://e15.cz, https://finexpert.cz, https://www.e15.cz/formen</v>
      </c>
      <c r="G483" s="3" t="str">
        <f ca="1">IFERROR(__xludf.DUMMYFUNCTION("""COMPUTED_VALUE"""),"cílený billboard bottom mid season")</f>
        <v>cílený billboard bottom mid season</v>
      </c>
      <c r="H483" s="3">
        <f ca="1">IFERROR(__xludf.DUMMYFUNCTION("""COMPUTED_VALUE"""),7)</f>
        <v>7</v>
      </c>
      <c r="I483" s="5">
        <f ca="1">IFERROR(__xludf.DUMMYFUNCTION("""COMPUTED_VALUE"""),1000)</f>
        <v>1000</v>
      </c>
      <c r="J483" s="5">
        <f ca="1">IFERROR(__xludf.DUMMYFUNCTION("""COMPUTED_VALUE"""),576)</f>
        <v>576</v>
      </c>
      <c r="K483" s="3"/>
      <c r="L483" s="3" t="str">
        <f ca="1">IFERROR(__xludf.DUMMYFUNCTION("""COMPUTED_VALUE"""),"Cost per period")</f>
        <v>Cost per period</v>
      </c>
      <c r="M483" s="3"/>
      <c r="N483" s="3"/>
      <c r="O483" s="3" t="str">
        <f ca="1">IFERROR(__xludf.DUMMYFUNCTION("""COMPUTED_VALUE"""),"970")</f>
        <v>970</v>
      </c>
      <c r="P483" s="3" t="str">
        <f ca="1">IFERROR(__xludf.DUMMYFUNCTION("""COMPUTED_VALUE"""),"250")</f>
        <v>250</v>
      </c>
      <c r="Q483" s="3" t="str">
        <f ca="1">IFERROR(__xludf.DUMMYFUNCTION("""COMPUTED_VALUE"""),"970x250")</f>
        <v>970x250</v>
      </c>
      <c r="R483" s="3"/>
      <c r="S483" s="3" t="str">
        <f ca="1">IFERROR(__xludf.DUMMYFUNCTION("""COMPUTED_VALUE"""),"100 (200 - HTML5)")</f>
        <v>100 (200 - HTML5)</v>
      </c>
      <c r="T483" s="3"/>
      <c r="U483" s="3" t="str">
        <f ca="1">IFERROR(__xludf.DUMMYFUNCTION("""COMPUTED_VALUE"""),"banner standard")</f>
        <v>banner standard</v>
      </c>
      <c r="V483" s="3"/>
      <c r="W483" s="4" t="str">
        <f ca="1">IFERROR(__xludf.DUMMYFUNCTION("""COMPUTED_VALUE"""),"https://reklama.cncenter.cz/Online/billboard-bottom")</f>
        <v>https://reklama.cncenter.cz/Online/billboard-bottom</v>
      </c>
      <c r="X483" s="3"/>
      <c r="Y483" s="3"/>
      <c r="Z483" s="3" t="str">
        <f ca="1">IFERROR(__xludf.DUMMYFUNCTION("""COMPUTED_VALUE"""),"podklady@cncenter.cz")</f>
        <v>podklady@cncenter.cz</v>
      </c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 t="str">
        <f ca="1">IFERROR(__xludf.DUMMYFUNCTION("""COMPUTED_VALUE"""),"desktop")</f>
        <v>desktop</v>
      </c>
      <c r="AO483" s="3"/>
      <c r="AP483" s="3"/>
      <c r="AQ483" s="3"/>
      <c r="AR483" s="3"/>
      <c r="AS483" s="3"/>
      <c r="AT483" s="3"/>
      <c r="AU483" s="3" t="str">
        <f ca="1">IFERROR(__xludf.DUMMYFUNCTION("""COMPUTED_VALUE"""),"cílený billboard bottom")</f>
        <v>cílený billboard bottom</v>
      </c>
    </row>
    <row r="484" spans="1:47" x14ac:dyDescent="0.3">
      <c r="A484" s="3">
        <f ca="1"/>
        <v>2346826</v>
      </c>
      <c r="B484" s="3" t="str">
        <f ca="1"/>
        <v>CZECH NEWS CENTER a. s.</v>
      </c>
      <c r="C484" s="3" t="str">
        <f ca="1">IFERROR(__xludf.DUMMYFUNCTION("""COMPUTED_VALUE"""),"E15")</f>
        <v>E15</v>
      </c>
      <c r="D484" s="3" t="str">
        <f ca="1">IFERROR(__xludf.DUMMYFUNCTION("""COMPUTED_VALUE"""),"https://e15.cz, https://finexpert.cz, https://www.e15.cz/formen")</f>
        <v>https://e15.cz, https://finexpert.cz, https://www.e15.cz/formen</v>
      </c>
      <c r="E484" s="3" t="str">
        <f ca="1">IFERROR(__xludf.DUMMYFUNCTION("""COMPUTED_VALUE"""),"celý web")</f>
        <v>celý web</v>
      </c>
      <c r="F484" s="3" t="str">
        <f ca="1">IFERROR(__xludf.DUMMYFUNCTION("""COMPUTED_VALUE"""),"https://e15.cz, https://finexpert.cz, https://www.e15.cz/formen")</f>
        <v>https://e15.cz, https://finexpert.cz, https://www.e15.cz/formen</v>
      </c>
      <c r="G484" s="3" t="str">
        <f ca="1">IFERROR(__xludf.DUMMYFUNCTION("""COMPUTED_VALUE"""),"cílený branding cross-device mid season")</f>
        <v>cílený branding cross-device mid season</v>
      </c>
      <c r="H484" s="3">
        <f ca="1">IFERROR(__xludf.DUMMYFUNCTION("""COMPUTED_VALUE"""),7)</f>
        <v>7</v>
      </c>
      <c r="I484" s="5">
        <f ca="1">IFERROR(__xludf.DUMMYFUNCTION("""COMPUTED_VALUE"""),1000)</f>
        <v>1000</v>
      </c>
      <c r="J484" s="5">
        <f ca="1">IFERROR(__xludf.DUMMYFUNCTION("""COMPUTED_VALUE"""),672)</f>
        <v>672</v>
      </c>
      <c r="K484" s="3"/>
      <c r="L484" s="3" t="str">
        <f ca="1">IFERROR(__xludf.DUMMYFUNCTION("""COMPUTED_VALUE"""),"Cost per period")</f>
        <v>Cost per period</v>
      </c>
      <c r="M484" s="3"/>
      <c r="N484" s="3"/>
      <c r="O484" s="3" t="str">
        <f ca="1">IFERROR(__xludf.DUMMYFUNCTION("""COMPUTED_VALUE"""),"2000")</f>
        <v>2000</v>
      </c>
      <c r="P484" s="3" t="str">
        <f ca="1">IFERROR(__xludf.DUMMYFUNCTION("""COMPUTED_VALUE"""),"1400")</f>
        <v>1400</v>
      </c>
      <c r="Q484" s="3" t="str">
        <f ca="1">IFERROR(__xludf.DUMMYFUNCTION("""COMPUTED_VALUE"""),"2000x1400 + 600x1080")</f>
        <v>2000x1400 + 600x1080</v>
      </c>
      <c r="R484" s="3"/>
      <c r="S484" s="3" t="str">
        <f ca="1">IFERROR(__xludf.DUMMYFUNCTION("""COMPUTED_VALUE"""),"500 (600 - HTLM5)")</f>
        <v>500 (600 - HTLM5)</v>
      </c>
      <c r="T484" s="3"/>
      <c r="U484" s="3" t="str">
        <f ca="1">IFERROR(__xludf.DUMMYFUNCTION("""COMPUTED_VALUE"""),"banner standard")</f>
        <v>banner standard</v>
      </c>
      <c r="V484" s="3"/>
      <c r="W484" s="4" t="str">
        <f ca="1">IFERROR(__xludf.DUMMYFUNCTION("""COMPUTED_VALUE"""),"https://reklama.cncenter.cz/Online/branding-cross-device")</f>
        <v>https://reklama.cncenter.cz/Online/branding-cross-device</v>
      </c>
      <c r="X484" s="3"/>
      <c r="Y484" s="3"/>
      <c r="Z484" s="3" t="str">
        <f ca="1">IFERROR(__xludf.DUMMYFUNCTION("""COMPUTED_VALUE"""),"podklady@cncenter.cz")</f>
        <v>podklady@cncenter.cz</v>
      </c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 t="str">
        <f ca="1">IFERROR(__xludf.DUMMYFUNCTION("""COMPUTED_VALUE"""),"cross-device")</f>
        <v>cross-device</v>
      </c>
      <c r="AO484" s="3"/>
      <c r="AP484" s="3"/>
      <c r="AQ484" s="3"/>
      <c r="AR484" s="3"/>
      <c r="AS484" s="3"/>
      <c r="AT484" s="3"/>
      <c r="AU484" s="3" t="str">
        <f ca="1">IFERROR(__xludf.DUMMYFUNCTION("""COMPUTED_VALUE"""),"cílený branding cross-device")</f>
        <v>cílený branding cross-device</v>
      </c>
    </row>
    <row r="485" spans="1:47" x14ac:dyDescent="0.3">
      <c r="A485" s="3">
        <f ca="1"/>
        <v>2346826</v>
      </c>
      <c r="B485" s="3" t="str">
        <f ca="1"/>
        <v>CZECH NEWS CENTER a. s.</v>
      </c>
      <c r="C485" s="3" t="str">
        <f ca="1">IFERROR(__xludf.DUMMYFUNCTION("""COMPUTED_VALUE"""),"E15")</f>
        <v>E15</v>
      </c>
      <c r="D485" s="3" t="str">
        <f ca="1">IFERROR(__xludf.DUMMYFUNCTION("""COMPUTED_VALUE"""),"https://e15.cz, https://finexpert.cz, https://www.e15.cz/formen")</f>
        <v>https://e15.cz, https://finexpert.cz, https://www.e15.cz/formen</v>
      </c>
      <c r="E485" s="3" t="str">
        <f ca="1">IFERROR(__xludf.DUMMYFUNCTION("""COMPUTED_VALUE"""),"celý web")</f>
        <v>celý web</v>
      </c>
      <c r="F485" s="3" t="str">
        <f ca="1">IFERROR(__xludf.DUMMYFUNCTION("""COMPUTED_VALUE"""),"https://e15.cz, https://finexpert.cz, https://www.e15.cz/formen")</f>
        <v>https://e15.cz, https://finexpert.cz, https://www.e15.cz/formen</v>
      </c>
      <c r="G485" s="3" t="str">
        <f ca="1">IFERROR(__xludf.DUMMYFUNCTION("""COMPUTED_VALUE"""),"cílený branding mid season")</f>
        <v>cílený branding mid season</v>
      </c>
      <c r="H485" s="3">
        <f ca="1">IFERROR(__xludf.DUMMYFUNCTION("""COMPUTED_VALUE"""),7)</f>
        <v>7</v>
      </c>
      <c r="I485" s="5">
        <f ca="1">IFERROR(__xludf.DUMMYFUNCTION("""COMPUTED_VALUE"""),1000)</f>
        <v>1000</v>
      </c>
      <c r="J485" s="5">
        <f ca="1">IFERROR(__xludf.DUMMYFUNCTION("""COMPUTED_VALUE"""),1008)</f>
        <v>1008</v>
      </c>
      <c r="K485" s="3"/>
      <c r="L485" s="3" t="str">
        <f ca="1">IFERROR(__xludf.DUMMYFUNCTION("""COMPUTED_VALUE"""),"Cost per period")</f>
        <v>Cost per period</v>
      </c>
      <c r="M485" s="3"/>
      <c r="N485" s="3"/>
      <c r="O485" s="3" t="str">
        <f ca="1">IFERROR(__xludf.DUMMYFUNCTION("""COMPUTED_VALUE"""),"2000")</f>
        <v>2000</v>
      </c>
      <c r="P485" s="3" t="str">
        <f ca="1">IFERROR(__xludf.DUMMYFUNCTION("""COMPUTED_VALUE"""),"1400")</f>
        <v>1400</v>
      </c>
      <c r="Q485" s="3" t="str">
        <f ca="1">IFERROR(__xludf.DUMMYFUNCTION("""COMPUTED_VALUE"""),"2000x1400")</f>
        <v>2000x1400</v>
      </c>
      <c r="R485" s="3"/>
      <c r="S485" s="3" t="str">
        <f ca="1">IFERROR(__xludf.DUMMYFUNCTION("""COMPUTED_VALUE"""),"500 + 200 (600+200 HTML5)")</f>
        <v>500 + 200 (600+200 HTML5)</v>
      </c>
      <c r="T485" s="3"/>
      <c r="U485" s="3" t="str">
        <f ca="1">IFERROR(__xludf.DUMMYFUNCTION("""COMPUTED_VALUE"""),"banner standard")</f>
        <v>banner standard</v>
      </c>
      <c r="V485" s="3"/>
      <c r="W485" s="4" t="str">
        <f ca="1">IFERROR(__xludf.DUMMYFUNCTION("""COMPUTED_VALUE"""),"https://reklama.cncenter.cz/Online/branding")</f>
        <v>https://reklama.cncenter.cz/Online/branding</v>
      </c>
      <c r="X485" s="3"/>
      <c r="Y485" s="3"/>
      <c r="Z485" s="3" t="str">
        <f ca="1">IFERROR(__xludf.DUMMYFUNCTION("""COMPUTED_VALUE"""),"podklady@cncenter.cz")</f>
        <v>podklady@cncenter.cz</v>
      </c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 t="str">
        <f ca="1">IFERROR(__xludf.DUMMYFUNCTION("""COMPUTED_VALUE"""),"desktop")</f>
        <v>desktop</v>
      </c>
      <c r="AO485" s="3"/>
      <c r="AP485" s="3"/>
      <c r="AQ485" s="3"/>
      <c r="AR485" s="3"/>
      <c r="AS485" s="3"/>
      <c r="AT485" s="3"/>
      <c r="AU485" s="3" t="str">
        <f ca="1">IFERROR(__xludf.DUMMYFUNCTION("""COMPUTED_VALUE"""),"cílený branding")</f>
        <v>cílený branding</v>
      </c>
    </row>
    <row r="486" spans="1:47" x14ac:dyDescent="0.3">
      <c r="A486" s="3">
        <f ca="1"/>
        <v>2346826</v>
      </c>
      <c r="B486" s="3" t="str">
        <f ca="1"/>
        <v>CZECH NEWS CENTER a. s.</v>
      </c>
      <c r="C486" s="3" t="str">
        <f ca="1">IFERROR(__xludf.DUMMYFUNCTION("""COMPUTED_VALUE"""),"E15")</f>
        <v>E15</v>
      </c>
      <c r="D486" s="3" t="str">
        <f ca="1">IFERROR(__xludf.DUMMYFUNCTION("""COMPUTED_VALUE"""),"https://e15.cz, https://finexpert.cz, https://www.e15.cz/formen")</f>
        <v>https://e15.cz, https://finexpert.cz, https://www.e15.cz/formen</v>
      </c>
      <c r="E486" s="3" t="str">
        <f ca="1">IFERROR(__xludf.DUMMYFUNCTION("""COMPUTED_VALUE"""),"celý web")</f>
        <v>celý web</v>
      </c>
      <c r="F486" s="3" t="str">
        <f ca="1">IFERROR(__xludf.DUMMYFUNCTION("""COMPUTED_VALUE"""),"https://e15.cz, https://finexpert.cz, https://www.e15.cz/formen")</f>
        <v>https://e15.cz, https://finexpert.cz, https://www.e15.cz/formen</v>
      </c>
      <c r="G486" s="3" t="str">
        <f ca="1">IFERROR(__xludf.DUMMYFUNCTION("""COMPUTED_VALUE"""),"cílený double skyscraper mid season")</f>
        <v>cílený double skyscraper mid season</v>
      </c>
      <c r="H486" s="3">
        <f ca="1">IFERROR(__xludf.DUMMYFUNCTION("""COMPUTED_VALUE"""),7)</f>
        <v>7</v>
      </c>
      <c r="I486" s="5">
        <f ca="1">IFERROR(__xludf.DUMMYFUNCTION("""COMPUTED_VALUE"""),1000)</f>
        <v>1000</v>
      </c>
      <c r="J486" s="5">
        <f ca="1">IFERROR(__xludf.DUMMYFUNCTION("""COMPUTED_VALUE"""),420)</f>
        <v>420</v>
      </c>
      <c r="K486" s="3"/>
      <c r="L486" s="3" t="str">
        <f ca="1">IFERROR(__xludf.DUMMYFUNCTION("""COMPUTED_VALUE"""),"Cost per period")</f>
        <v>Cost per period</v>
      </c>
      <c r="M486" s="3"/>
      <c r="N486" s="3"/>
      <c r="O486" s="3" t="str">
        <f ca="1">IFERROR(__xludf.DUMMYFUNCTION("""COMPUTED_VALUE"""),"300")</f>
        <v>300</v>
      </c>
      <c r="P486" s="3" t="str">
        <f ca="1">IFERROR(__xludf.DUMMYFUNCTION("""COMPUTED_VALUE"""),"600")</f>
        <v>600</v>
      </c>
      <c r="Q486" s="3" t="str">
        <f ca="1">IFERROR(__xludf.DUMMYFUNCTION("""COMPUTED_VALUE"""),"300x600")</f>
        <v>300x600</v>
      </c>
      <c r="R486" s="3"/>
      <c r="S486" s="3" t="str">
        <f ca="1">IFERROR(__xludf.DUMMYFUNCTION("""COMPUTED_VALUE"""),"100 (200 - HTML5)")</f>
        <v>100 (200 - HTML5)</v>
      </c>
      <c r="T486" s="3"/>
      <c r="U486" s="3" t="str">
        <f ca="1">IFERROR(__xludf.DUMMYFUNCTION("""COMPUTED_VALUE"""),"banner standard")</f>
        <v>banner standard</v>
      </c>
      <c r="V486" s="3"/>
      <c r="W486" s="4" t="str">
        <f ca="1">IFERROR(__xludf.DUMMYFUNCTION("""COMPUTED_VALUE"""),"https://reklama.cncenter.cz/Online/double-skyscraper")</f>
        <v>https://reklama.cncenter.cz/Online/double-skyscraper</v>
      </c>
      <c r="X486" s="3"/>
      <c r="Y486" s="3"/>
      <c r="Z486" s="3" t="str">
        <f ca="1">IFERROR(__xludf.DUMMYFUNCTION("""COMPUTED_VALUE"""),"podklady@cncenter.cz")</f>
        <v>podklady@cncenter.cz</v>
      </c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 t="str">
        <f ca="1">IFERROR(__xludf.DUMMYFUNCTION("""COMPUTED_VALUE"""),"desktop")</f>
        <v>desktop</v>
      </c>
      <c r="AO486" s="3"/>
      <c r="AP486" s="3"/>
      <c r="AQ486" s="3"/>
      <c r="AR486" s="3"/>
      <c r="AS486" s="3"/>
      <c r="AT486" s="3"/>
      <c r="AU486" s="3" t="str">
        <f ca="1">IFERROR(__xludf.DUMMYFUNCTION("""COMPUTED_VALUE"""),"cílený double skyscraper")</f>
        <v>cílený double skyscraper</v>
      </c>
    </row>
    <row r="487" spans="1:47" x14ac:dyDescent="0.3">
      <c r="A487" s="3">
        <f ca="1"/>
        <v>2346826</v>
      </c>
      <c r="B487" s="3" t="str">
        <f ca="1"/>
        <v>CZECH NEWS CENTER a. s.</v>
      </c>
      <c r="C487" s="3" t="str">
        <f ca="1">IFERROR(__xludf.DUMMYFUNCTION("""COMPUTED_VALUE"""),"E15")</f>
        <v>E15</v>
      </c>
      <c r="D487" s="3" t="str">
        <f ca="1">IFERROR(__xludf.DUMMYFUNCTION("""COMPUTED_VALUE"""),"https://e15.cz, https://finexpert.cz, https://www.e15.cz/formen")</f>
        <v>https://e15.cz, https://finexpert.cz, https://www.e15.cz/formen</v>
      </c>
      <c r="E487" s="3" t="str">
        <f ca="1">IFERROR(__xludf.DUMMYFUNCTION("""COMPUTED_VALUE"""),"celý web")</f>
        <v>celý web</v>
      </c>
      <c r="F487" s="3" t="str">
        <f ca="1">IFERROR(__xludf.DUMMYFUNCTION("""COMPUTED_VALUE"""),"https://e15.cz, https://finexpert.cz, https://www.e15.cz/formen")</f>
        <v>https://e15.cz, https://finexpert.cz, https://www.e15.cz/formen</v>
      </c>
      <c r="G487" s="3" t="str">
        <f ca="1">IFERROR(__xludf.DUMMYFUNCTION("""COMPUTED_VALUE"""),"cílený mini videospot - max. 30 sec. mid season")</f>
        <v>cílený mini videospot - max. 30 sec. mid season</v>
      </c>
      <c r="H487" s="3">
        <f ca="1">IFERROR(__xludf.DUMMYFUNCTION("""COMPUTED_VALUE"""),7)</f>
        <v>7</v>
      </c>
      <c r="I487" s="5">
        <f ca="1">IFERROR(__xludf.DUMMYFUNCTION("""COMPUTED_VALUE"""),1000)</f>
        <v>1000</v>
      </c>
      <c r="J487" s="5">
        <f ca="1">IFERROR(__xludf.DUMMYFUNCTION("""COMPUTED_VALUE"""),408)</f>
        <v>408</v>
      </c>
      <c r="K487" s="3"/>
      <c r="L487" s="3" t="str">
        <f ca="1">IFERROR(__xludf.DUMMYFUNCTION("""COMPUTED_VALUE"""),"Cost per period")</f>
        <v>Cost per period</v>
      </c>
      <c r="M487" s="3"/>
      <c r="N487" s="3"/>
      <c r="O487" s="3"/>
      <c r="P487" s="3"/>
      <c r="Q487" s="3" t="str">
        <f ca="1">IFERROR(__xludf.DUMMYFUNCTION("""COMPUTED_VALUE"""),"16:9 / umístění po domluvě dle možností")</f>
        <v>16:9 / umístění po domluvě dle možností</v>
      </c>
      <c r="R487" s="3" t="str">
        <f ca="1">IFERROR(__xludf.DUMMYFUNCTION("""COMPUTED_VALUE"""),"přeskočení po 7 sekundách")</f>
        <v>přeskočení po 7 sekundách</v>
      </c>
      <c r="S487" s="3" t="str">
        <f ca="1">IFERROR(__xludf.DUMMYFUNCTION("""COMPUTED_VALUE"""),"100")</f>
        <v>100</v>
      </c>
      <c r="T487" s="3"/>
      <c r="U487" s="3" t="str">
        <f ca="1">IFERROR(__xludf.DUMMYFUNCTION("""COMPUTED_VALUE"""),"videospot")</f>
        <v>videospot</v>
      </c>
      <c r="V487" s="3"/>
      <c r="W487" s="4" t="str">
        <f ca="1">IFERROR(__xludf.DUMMYFUNCTION("""COMPUTED_VALUE"""),"https://reklama.cncenter.cz/Online/Videospot")</f>
        <v>https://reklama.cncenter.cz/Online/Videospot</v>
      </c>
      <c r="X487" s="3"/>
      <c r="Y487" s="3"/>
      <c r="Z487" s="3" t="str">
        <f ca="1">IFERROR(__xludf.DUMMYFUNCTION("""COMPUTED_VALUE"""),"podklady@cncenter.cz")</f>
        <v>podklady@cncenter.cz</v>
      </c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 t="str">
        <f ca="1">IFERROR(__xludf.DUMMYFUNCTION("""COMPUTED_VALUE"""),"desktop")</f>
        <v>desktop</v>
      </c>
      <c r="AO487" s="3"/>
      <c r="AP487" s="3"/>
      <c r="AQ487" s="3"/>
      <c r="AR487" s="3"/>
      <c r="AS487" s="3"/>
      <c r="AT487" s="3"/>
      <c r="AU487" s="3" t="str">
        <f ca="1">IFERROR(__xludf.DUMMYFUNCTION("""COMPUTED_VALUE"""),"cílený mini videospot - max. 30 sec.")</f>
        <v>cílený mini videospot - max. 30 sec.</v>
      </c>
    </row>
    <row r="488" spans="1:47" x14ac:dyDescent="0.3">
      <c r="A488" s="3">
        <f ca="1"/>
        <v>2346826</v>
      </c>
      <c r="B488" s="3" t="str">
        <f ca="1"/>
        <v>CZECH NEWS CENTER a. s.</v>
      </c>
      <c r="C488" s="3" t="str">
        <f ca="1">IFERROR(__xludf.DUMMYFUNCTION("""COMPUTED_VALUE"""),"E15")</f>
        <v>E15</v>
      </c>
      <c r="D488" s="3" t="str">
        <f ca="1">IFERROR(__xludf.DUMMYFUNCTION("""COMPUTED_VALUE"""),"https://e15.cz, https://finexpert.cz, https://www.e15.cz/formen")</f>
        <v>https://e15.cz, https://finexpert.cz, https://www.e15.cz/formen</v>
      </c>
      <c r="E488" s="3" t="str">
        <f ca="1">IFERROR(__xludf.DUMMYFUNCTION("""COMPUTED_VALUE"""),"celý web")</f>
        <v>celý web</v>
      </c>
      <c r="F488" s="3" t="str">
        <f ca="1">IFERROR(__xludf.DUMMYFUNCTION("""COMPUTED_VALUE"""),"https://e15.cz, https://finexpert.cz, https://www.e15.cz/formen")</f>
        <v>https://e15.cz, https://finexpert.cz, https://www.e15.cz/formen</v>
      </c>
      <c r="G488" s="3" t="str">
        <f ca="1">IFERROR(__xludf.DUMMYFUNCTION("""COMPUTED_VALUE"""),"cílený mobilní interscroller mid season")</f>
        <v>cílený mobilní interscroller mid season</v>
      </c>
      <c r="H488" s="3">
        <f ca="1">IFERROR(__xludf.DUMMYFUNCTION("""COMPUTED_VALUE"""),7)</f>
        <v>7</v>
      </c>
      <c r="I488" s="5">
        <f ca="1">IFERROR(__xludf.DUMMYFUNCTION("""COMPUTED_VALUE"""),1000)</f>
        <v>1000</v>
      </c>
      <c r="J488" s="5">
        <f ca="1">IFERROR(__xludf.DUMMYFUNCTION("""COMPUTED_VALUE"""),504)</f>
        <v>504</v>
      </c>
      <c r="K488" s="3"/>
      <c r="L488" s="3" t="str">
        <f ca="1">IFERROR(__xludf.DUMMYFUNCTION("""COMPUTED_VALUE"""),"Cost per period")</f>
        <v>Cost per period</v>
      </c>
      <c r="M488" s="3"/>
      <c r="N488" s="3"/>
      <c r="O488" s="3" t="str">
        <f ca="1">IFERROR(__xludf.DUMMYFUNCTION("""COMPUTED_VALUE"""),"600")</f>
        <v>600</v>
      </c>
      <c r="P488" s="3" t="str">
        <f ca="1">IFERROR(__xludf.DUMMYFUNCTION("""COMPUTED_VALUE"""),"1080")</f>
        <v>1080</v>
      </c>
      <c r="Q488" s="3" t="str">
        <f ca="1">IFERROR(__xludf.DUMMYFUNCTION("""COMPUTED_VALUE"""),"600x1080")</f>
        <v>600x1080</v>
      </c>
      <c r="R488" s="3"/>
      <c r="S488" s="3" t="str">
        <f ca="1">IFERROR(__xludf.DUMMYFUNCTION("""COMPUTED_VALUE"""),"200")</f>
        <v>200</v>
      </c>
      <c r="T488" s="3"/>
      <c r="U488" s="3" t="str">
        <f ca="1">IFERROR(__xludf.DUMMYFUNCTION("""COMPUTED_VALUE"""),"banner standard")</f>
        <v>banner standard</v>
      </c>
      <c r="V488" s="3"/>
      <c r="W488" s="4" t="str">
        <f ca="1">IFERROR(__xludf.DUMMYFUNCTION("""COMPUTED_VALUE"""),"https://reklama.cncenter.cz/Online/mobilni-interscroller")</f>
        <v>https://reklama.cncenter.cz/Online/mobilni-interscroller</v>
      </c>
      <c r="X488" s="3"/>
      <c r="Y488" s="3"/>
      <c r="Z488" s="3" t="str">
        <f ca="1">IFERROR(__xludf.DUMMYFUNCTION("""COMPUTED_VALUE"""),"podklady@cncenter.cz")</f>
        <v>podklady@cncenter.cz</v>
      </c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 t="str">
        <f ca="1">IFERROR(__xludf.DUMMYFUNCTION("""COMPUTED_VALUE"""),"mobile")</f>
        <v>mobile</v>
      </c>
      <c r="AO488" s="3"/>
      <c r="AP488" s="3"/>
      <c r="AQ488" s="3"/>
      <c r="AR488" s="3"/>
      <c r="AS488" s="3"/>
      <c r="AT488" s="3"/>
      <c r="AU488" s="3" t="str">
        <f ca="1">IFERROR(__xludf.DUMMYFUNCTION("""COMPUTED_VALUE"""),"cílený mobilní interscroller")</f>
        <v>cílený mobilní interscroller</v>
      </c>
    </row>
    <row r="489" spans="1:47" x14ac:dyDescent="0.3">
      <c r="A489" s="3">
        <f ca="1"/>
        <v>2346826</v>
      </c>
      <c r="B489" s="3" t="str">
        <f ca="1"/>
        <v>CZECH NEWS CENTER a. s.</v>
      </c>
      <c r="C489" s="3" t="str">
        <f ca="1">IFERROR(__xludf.DUMMYFUNCTION("""COMPUTED_VALUE"""),"E15")</f>
        <v>E15</v>
      </c>
      <c r="D489" s="3" t="str">
        <f ca="1">IFERROR(__xludf.DUMMYFUNCTION("""COMPUTED_VALUE"""),"https://e15.cz, https://finexpert.cz, https://www.e15.cz/formen")</f>
        <v>https://e15.cz, https://finexpert.cz, https://www.e15.cz/formen</v>
      </c>
      <c r="E489" s="3" t="str">
        <f ca="1">IFERROR(__xludf.DUMMYFUNCTION("""COMPUTED_VALUE"""),"celý web")</f>
        <v>celý web</v>
      </c>
      <c r="F489" s="3" t="str">
        <f ca="1">IFERROR(__xludf.DUMMYFUNCTION("""COMPUTED_VALUE"""),"https://e15.cz, https://finexpert.cz, https://www.e15.cz/formen")</f>
        <v>https://e15.cz, https://finexpert.cz, https://www.e15.cz/formen</v>
      </c>
      <c r="G489" s="3" t="str">
        <f ca="1">IFERROR(__xludf.DUMMYFUNCTION("""COMPUTED_VALUE"""),"cílený mobilní slide-up mid season")</f>
        <v>cílený mobilní slide-up mid season</v>
      </c>
      <c r="H489" s="3">
        <f ca="1">IFERROR(__xludf.DUMMYFUNCTION("""COMPUTED_VALUE"""),7)</f>
        <v>7</v>
      </c>
      <c r="I489" s="5">
        <f ca="1">IFERROR(__xludf.DUMMYFUNCTION("""COMPUTED_VALUE"""),1000)</f>
        <v>1000</v>
      </c>
      <c r="J489" s="5">
        <f ca="1">IFERROR(__xludf.DUMMYFUNCTION("""COMPUTED_VALUE"""),1164)</f>
        <v>1164</v>
      </c>
      <c r="K489" s="3"/>
      <c r="L489" s="3" t="str">
        <f ca="1">IFERROR(__xludf.DUMMYFUNCTION("""COMPUTED_VALUE"""),"Cost per period")</f>
        <v>Cost per period</v>
      </c>
      <c r="M489" s="3"/>
      <c r="N489" s="3"/>
      <c r="O489" s="3" t="str">
        <f ca="1">IFERROR(__xludf.DUMMYFUNCTION("""COMPUTED_VALUE"""),"300")</f>
        <v>300</v>
      </c>
      <c r="P489" s="3" t="str">
        <f ca="1">IFERROR(__xludf.DUMMYFUNCTION("""COMPUTED_VALUE"""),"120")</f>
        <v>120</v>
      </c>
      <c r="Q489" s="3" t="str">
        <f ca="1">IFERROR(__xludf.DUMMYFUNCTION("""COMPUTED_VALUE"""),"300x120")</f>
        <v>300x120</v>
      </c>
      <c r="R489" s="3"/>
      <c r="S489" s="3" t="str">
        <f ca="1">IFERROR(__xludf.DUMMYFUNCTION("""COMPUTED_VALUE"""),"100")</f>
        <v>100</v>
      </c>
      <c r="T489" s="3"/>
      <c r="U489" s="3" t="str">
        <f ca="1">IFERROR(__xludf.DUMMYFUNCTION("""COMPUTED_VALUE"""),"banner standard")</f>
        <v>banner standard</v>
      </c>
      <c r="V489" s="3"/>
      <c r="W489" s="4" t="str">
        <f ca="1">IFERROR(__xludf.DUMMYFUNCTION("""COMPUTED_VALUE"""),"https://reklama.cncenter.cz/Online/mobilni-slide-up")</f>
        <v>https://reklama.cncenter.cz/Online/mobilni-slide-up</v>
      </c>
      <c r="X489" s="3"/>
      <c r="Y489" s="3"/>
      <c r="Z489" s="3" t="str">
        <f ca="1">IFERROR(__xludf.DUMMYFUNCTION("""COMPUTED_VALUE"""),"podklady@cncenter.cz")</f>
        <v>podklady@cncenter.cz</v>
      </c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 t="str">
        <f ca="1">IFERROR(__xludf.DUMMYFUNCTION("""COMPUTED_VALUE"""),"mobile")</f>
        <v>mobile</v>
      </c>
      <c r="AO489" s="3"/>
      <c r="AP489" s="3"/>
      <c r="AQ489" s="3"/>
      <c r="AR489" s="3"/>
      <c r="AS489" s="3"/>
      <c r="AT489" s="3"/>
      <c r="AU489" s="3" t="str">
        <f ca="1">IFERROR(__xludf.DUMMYFUNCTION("""COMPUTED_VALUE"""),"cílený mobilní slide-up")</f>
        <v>cílený mobilní slide-up</v>
      </c>
    </row>
    <row r="490" spans="1:47" x14ac:dyDescent="0.3">
      <c r="A490" s="3">
        <f ca="1"/>
        <v>2346826</v>
      </c>
      <c r="B490" s="3" t="str">
        <f ca="1"/>
        <v>CZECH NEWS CENTER a. s.</v>
      </c>
      <c r="C490" s="3" t="str">
        <f ca="1">IFERROR(__xludf.DUMMYFUNCTION("""COMPUTED_VALUE"""),"E15")</f>
        <v>E15</v>
      </c>
      <c r="D490" s="3" t="str">
        <f ca="1">IFERROR(__xludf.DUMMYFUNCTION("""COMPUTED_VALUE"""),"https://e15.cz, https://finexpert.cz, https://www.e15.cz/formen")</f>
        <v>https://e15.cz, https://finexpert.cz, https://www.e15.cz/formen</v>
      </c>
      <c r="E490" s="3" t="str">
        <f ca="1">IFERROR(__xludf.DUMMYFUNCTION("""COMPUTED_VALUE"""),"celý web")</f>
        <v>celý web</v>
      </c>
      <c r="F490" s="3" t="str">
        <f ca="1">IFERROR(__xludf.DUMMYFUNCTION("""COMPUTED_VALUE"""),"https://e15.cz, https://finexpert.cz, https://www.e15.cz/formen")</f>
        <v>https://e15.cz, https://finexpert.cz, https://www.e15.cz/formen</v>
      </c>
      <c r="G490" s="3" t="str">
        <f ca="1">IFERROR(__xludf.DUMMYFUNCTION("""COMPUTED_VALUE"""),"cílený mobilní viněta mid season")</f>
        <v>cílený mobilní viněta mid season</v>
      </c>
      <c r="H490" s="3">
        <f ca="1">IFERROR(__xludf.DUMMYFUNCTION("""COMPUTED_VALUE"""),7)</f>
        <v>7</v>
      </c>
      <c r="I490" s="5">
        <f ca="1">IFERROR(__xludf.DUMMYFUNCTION("""COMPUTED_VALUE"""),1000)</f>
        <v>1000</v>
      </c>
      <c r="J490" s="5">
        <f ca="1">IFERROR(__xludf.DUMMYFUNCTION("""COMPUTED_VALUE"""),1212)</f>
        <v>1212</v>
      </c>
      <c r="K490" s="3"/>
      <c r="L490" s="3" t="str">
        <f ca="1">IFERROR(__xludf.DUMMYFUNCTION("""COMPUTED_VALUE"""),"Cost per period")</f>
        <v>Cost per period</v>
      </c>
      <c r="M490" s="3"/>
      <c r="N490" s="3"/>
      <c r="O490" s="3" t="str">
        <f ca="1">IFERROR(__xludf.DUMMYFUNCTION("""COMPUTED_VALUE"""),"600")</f>
        <v>600</v>
      </c>
      <c r="P490" s="3" t="str">
        <f ca="1">IFERROR(__xludf.DUMMYFUNCTION("""COMPUTED_VALUE"""),"800")</f>
        <v>800</v>
      </c>
      <c r="Q490" s="3" t="str">
        <f ca="1">IFERROR(__xludf.DUMMYFUNCTION("""COMPUTED_VALUE"""),"300x250 nebo 600x800")</f>
        <v>300x250 nebo 600x800</v>
      </c>
      <c r="R490" s="3"/>
      <c r="S490" s="3" t="str">
        <f ca="1">IFERROR(__xludf.DUMMYFUNCTION("""COMPUTED_VALUE"""),"100")</f>
        <v>100</v>
      </c>
      <c r="T490" s="3"/>
      <c r="U490" s="3" t="str">
        <f ca="1">IFERROR(__xludf.DUMMYFUNCTION("""COMPUTED_VALUE"""),"banner standard")</f>
        <v>banner standard</v>
      </c>
      <c r="V490" s="3"/>
      <c r="W490" s="4" t="str">
        <f ca="1">IFERROR(__xludf.DUMMYFUNCTION("""COMPUTED_VALUE"""),"https://reklama.cncenter.cz/Online/mobilni-vineta")</f>
        <v>https://reklama.cncenter.cz/Online/mobilni-vineta</v>
      </c>
      <c r="X490" s="3"/>
      <c r="Y490" s="3"/>
      <c r="Z490" s="3" t="str">
        <f ca="1">IFERROR(__xludf.DUMMYFUNCTION("""COMPUTED_VALUE"""),"podklady@cncenter.cz")</f>
        <v>podklady@cncenter.cz</v>
      </c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 t="str">
        <f ca="1">IFERROR(__xludf.DUMMYFUNCTION("""COMPUTED_VALUE"""),"mobile")</f>
        <v>mobile</v>
      </c>
      <c r="AO490" s="3"/>
      <c r="AP490" s="3"/>
      <c r="AQ490" s="3"/>
      <c r="AR490" s="3"/>
      <c r="AS490" s="3"/>
      <c r="AT490" s="3"/>
      <c r="AU490" s="3" t="str">
        <f ca="1">IFERROR(__xludf.DUMMYFUNCTION("""COMPUTED_VALUE"""),"cílený mobilní viněta")</f>
        <v>cílený mobilní viněta</v>
      </c>
    </row>
    <row r="491" spans="1:47" x14ac:dyDescent="0.3">
      <c r="A491" s="3">
        <f ca="1"/>
        <v>2346826</v>
      </c>
      <c r="B491" s="3" t="str">
        <f ca="1"/>
        <v>CZECH NEWS CENTER a. s.</v>
      </c>
      <c r="C491" s="3" t="str">
        <f ca="1">IFERROR(__xludf.DUMMYFUNCTION("""COMPUTED_VALUE"""),"E15")</f>
        <v>E15</v>
      </c>
      <c r="D491" s="3" t="str">
        <f ca="1">IFERROR(__xludf.DUMMYFUNCTION("""COMPUTED_VALUE"""),"https://e15.cz, https://finexpert.cz, https://www.e15.cz/formen")</f>
        <v>https://e15.cz, https://finexpert.cz, https://www.e15.cz/formen</v>
      </c>
      <c r="E491" s="3" t="str">
        <f ca="1">IFERROR(__xludf.DUMMYFUNCTION("""COMPUTED_VALUE"""),"celý web")</f>
        <v>celý web</v>
      </c>
      <c r="F491" s="3" t="str">
        <f ca="1">IFERROR(__xludf.DUMMYFUNCTION("""COMPUTED_VALUE"""),"https://e15.cz, https://finexpert.cz, https://www.e15.cz/formen")</f>
        <v>https://e15.cz, https://finexpert.cz, https://www.e15.cz/formen</v>
      </c>
      <c r="G491" s="3" t="str">
        <f ca="1">IFERROR(__xludf.DUMMYFUNCTION("""COMPUTED_VALUE"""),"cílený nativní rectangle cross-device mid season")</f>
        <v>cílený nativní rectangle cross-device mid season</v>
      </c>
      <c r="H491" s="3">
        <f ca="1">IFERROR(__xludf.DUMMYFUNCTION("""COMPUTED_VALUE"""),7)</f>
        <v>7</v>
      </c>
      <c r="I491" s="5">
        <f ca="1">IFERROR(__xludf.DUMMYFUNCTION("""COMPUTED_VALUE"""),1000)</f>
        <v>1000</v>
      </c>
      <c r="J491" s="5">
        <f ca="1">IFERROR(__xludf.DUMMYFUNCTION("""COMPUTED_VALUE"""),444)</f>
        <v>444</v>
      </c>
      <c r="K491" s="3"/>
      <c r="L491" s="3" t="str">
        <f ca="1">IFERROR(__xludf.DUMMYFUNCTION("""COMPUTED_VALUE"""),"Cost per period")</f>
        <v>Cost per period</v>
      </c>
      <c r="M491" s="3"/>
      <c r="N491" s="3"/>
      <c r="O491" s="3" t="str">
        <f ca="1">IFERROR(__xludf.DUMMYFUNCTION("""COMPUTED_VALUE"""),"640")</f>
        <v>640</v>
      </c>
      <c r="P491" s="3" t="str">
        <f ca="1">IFERROR(__xludf.DUMMYFUNCTION("""COMPUTED_VALUE"""),"335, 640")</f>
        <v>335, 640</v>
      </c>
      <c r="Q491" s="3" t="str">
        <f ca="1">IFERROR(__xludf.DUMMYFUNCTION("""COMPUTED_VALUE"""),"640x640 a 640x335 + text + logo")</f>
        <v>640x640 a 640x335 + text + logo</v>
      </c>
      <c r="R491" s="3"/>
      <c r="S491" s="3" t="str">
        <f ca="1">IFERROR(__xludf.DUMMYFUNCTION("""COMPUTED_VALUE"""),"45")</f>
        <v>45</v>
      </c>
      <c r="T491" s="3"/>
      <c r="U491" s="3" t="str">
        <f ca="1">IFERROR(__xludf.DUMMYFUNCTION("""COMPUTED_VALUE"""),"nativní reklama")</f>
        <v>nativní reklama</v>
      </c>
      <c r="V491" s="3"/>
      <c r="W491" s="4" t="str">
        <f ca="1">IFERROR(__xludf.DUMMYFUNCTION("""COMPUTED_VALUE"""),"https://reklama.cncenter.cz/Online/nativni-rectangle-cross-device")</f>
        <v>https://reklama.cncenter.cz/Online/nativni-rectangle-cross-device</v>
      </c>
      <c r="X491" s="3"/>
      <c r="Y491" s="3"/>
      <c r="Z491" s="3" t="str">
        <f ca="1">IFERROR(__xludf.DUMMYFUNCTION("""COMPUTED_VALUE"""),"podklady@cncenter.cz")</f>
        <v>podklady@cncenter.cz</v>
      </c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 t="str">
        <f ca="1">IFERROR(__xludf.DUMMYFUNCTION("""COMPUTED_VALUE"""),"cross-device")</f>
        <v>cross-device</v>
      </c>
      <c r="AO491" s="3"/>
      <c r="AP491" s="3"/>
      <c r="AQ491" s="3"/>
      <c r="AR491" s="3"/>
      <c r="AS491" s="3"/>
      <c r="AT491" s="3"/>
      <c r="AU491" s="3" t="str">
        <f ca="1">IFERROR(__xludf.DUMMYFUNCTION("""COMPUTED_VALUE"""),"cílený nativní rectangle cross-device")</f>
        <v>cílený nativní rectangle cross-device</v>
      </c>
    </row>
    <row r="492" spans="1:47" x14ac:dyDescent="0.3">
      <c r="A492" s="3">
        <f ca="1"/>
        <v>2346826</v>
      </c>
      <c r="B492" s="3" t="str">
        <f ca="1"/>
        <v>CZECH NEWS CENTER a. s.</v>
      </c>
      <c r="C492" s="3" t="str">
        <f ca="1">IFERROR(__xludf.DUMMYFUNCTION("""COMPUTED_VALUE"""),"E15")</f>
        <v>E15</v>
      </c>
      <c r="D492" s="3" t="str">
        <f ca="1">IFERROR(__xludf.DUMMYFUNCTION("""COMPUTED_VALUE"""),"https://e15.cz, https://finexpert.cz, https://www.e15.cz/formen")</f>
        <v>https://e15.cz, https://finexpert.cz, https://www.e15.cz/formen</v>
      </c>
      <c r="E492" s="3" t="str">
        <f ca="1">IFERROR(__xludf.DUMMYFUNCTION("""COMPUTED_VALUE"""),"celý web")</f>
        <v>celý web</v>
      </c>
      <c r="F492" s="3" t="str">
        <f ca="1">IFERROR(__xludf.DUMMYFUNCTION("""COMPUTED_VALUE"""),"https://e15.cz, https://finexpert.cz, https://www.e15.cz/formen")</f>
        <v>https://e15.cz, https://finexpert.cz, https://www.e15.cz/formen</v>
      </c>
      <c r="G492" s="3" t="str">
        <f ca="1">IFERROR(__xludf.DUMMYFUNCTION("""COMPUTED_VALUE"""),"cílený outstream mid season")</f>
        <v>cílený outstream mid season</v>
      </c>
      <c r="H492" s="3">
        <f ca="1">IFERROR(__xludf.DUMMYFUNCTION("""COMPUTED_VALUE"""),7)</f>
        <v>7</v>
      </c>
      <c r="I492" s="5">
        <f ca="1">IFERROR(__xludf.DUMMYFUNCTION("""COMPUTED_VALUE"""),1000)</f>
        <v>1000</v>
      </c>
      <c r="J492" s="5">
        <f ca="1">IFERROR(__xludf.DUMMYFUNCTION("""COMPUTED_VALUE"""),504)</f>
        <v>504</v>
      </c>
      <c r="K492" s="3"/>
      <c r="L492" s="3" t="str">
        <f ca="1">IFERROR(__xludf.DUMMYFUNCTION("""COMPUTED_VALUE"""),"Cost per period")</f>
        <v>Cost per period</v>
      </c>
      <c r="M492" s="3"/>
      <c r="N492" s="3"/>
      <c r="O492" s="3" t="str">
        <f ca="1">IFERROR(__xludf.DUMMYFUNCTION("""COMPUTED_VALUE"""),"1280")</f>
        <v>1280</v>
      </c>
      <c r="P492" s="3" t="str">
        <f ca="1">IFERROR(__xludf.DUMMYFUNCTION("""COMPUTED_VALUE"""),"720")</f>
        <v>720</v>
      </c>
      <c r="Q492" s="3" t="str">
        <f ca="1">IFERROR(__xludf.DUMMYFUNCTION("""COMPUTED_VALUE"""),"16:9")</f>
        <v>16:9</v>
      </c>
      <c r="R492" s="3"/>
      <c r="S492" s="3" t="str">
        <f ca="1">IFERROR(__xludf.DUMMYFUNCTION("""COMPUTED_VALUE"""),"100")</f>
        <v>100</v>
      </c>
      <c r="T492" s="3"/>
      <c r="U492" s="3" t="str">
        <f ca="1">IFERROR(__xludf.DUMMYFUNCTION("""COMPUTED_VALUE"""),"videospot")</f>
        <v>videospot</v>
      </c>
      <c r="V492" s="3"/>
      <c r="W492" s="4" t="str">
        <f ca="1">IFERROR(__xludf.DUMMYFUNCTION("""COMPUTED_VALUE"""),"https://reklama.cncenter.cz/Online/Outstream")</f>
        <v>https://reklama.cncenter.cz/Online/Outstream</v>
      </c>
      <c r="X492" s="3"/>
      <c r="Y492" s="3"/>
      <c r="Z492" s="3" t="str">
        <f ca="1">IFERROR(__xludf.DUMMYFUNCTION("""COMPUTED_VALUE"""),"podklady@cncenter.cz")</f>
        <v>podklady@cncenter.cz</v>
      </c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 t="str">
        <f ca="1">IFERROR(__xludf.DUMMYFUNCTION("""COMPUTED_VALUE"""),"cross-device")</f>
        <v>cross-device</v>
      </c>
      <c r="AO492" s="3"/>
      <c r="AP492" s="3"/>
      <c r="AQ492" s="3"/>
      <c r="AR492" s="3"/>
      <c r="AS492" s="3"/>
      <c r="AT492" s="3"/>
      <c r="AU492" s="3" t="str">
        <f ca="1">IFERROR(__xludf.DUMMYFUNCTION("""COMPUTED_VALUE"""),"cílený outstream")</f>
        <v>cílený outstream</v>
      </c>
    </row>
    <row r="493" spans="1:47" x14ac:dyDescent="0.3">
      <c r="A493" s="3">
        <f ca="1"/>
        <v>2346826</v>
      </c>
      <c r="B493" s="3" t="str">
        <f ca="1"/>
        <v>CZECH NEWS CENTER a. s.</v>
      </c>
      <c r="C493" s="3" t="str">
        <f ca="1">IFERROR(__xludf.DUMMYFUNCTION("""COMPUTED_VALUE"""),"E15")</f>
        <v>E15</v>
      </c>
      <c r="D493" s="3" t="str">
        <f ca="1">IFERROR(__xludf.DUMMYFUNCTION("""COMPUTED_VALUE"""),"https://e15.cz, https://finexpert.cz, https://www.e15.cz/formen")</f>
        <v>https://e15.cz, https://finexpert.cz, https://www.e15.cz/formen</v>
      </c>
      <c r="E493" s="3" t="str">
        <f ca="1">IFERROR(__xludf.DUMMYFUNCTION("""COMPUTED_VALUE"""),"celý web")</f>
        <v>celý web</v>
      </c>
      <c r="F493" s="3" t="str">
        <f ca="1">IFERROR(__xludf.DUMMYFUNCTION("""COMPUTED_VALUE"""),"https://e15.cz, https://finexpert.cz, https://www.e15.cz/formen")</f>
        <v>https://e15.cz, https://finexpert.cz, https://www.e15.cz/formen</v>
      </c>
      <c r="G493" s="3" t="str">
        <f ca="1">IFERROR(__xludf.DUMMYFUNCTION("""COMPUTED_VALUE"""),"cílený videospot - max. 30 sec. / bumper mid season")</f>
        <v>cílený videospot - max. 30 sec. / bumper mid season</v>
      </c>
      <c r="H493" s="3">
        <f ca="1">IFERROR(__xludf.DUMMYFUNCTION("""COMPUTED_VALUE"""),7)</f>
        <v>7</v>
      </c>
      <c r="I493" s="5">
        <f ca="1">IFERROR(__xludf.DUMMYFUNCTION("""COMPUTED_VALUE"""),1000)</f>
        <v>1000</v>
      </c>
      <c r="J493" s="5">
        <f ca="1">IFERROR(__xludf.DUMMYFUNCTION("""COMPUTED_VALUE"""),1788)</f>
        <v>1788</v>
      </c>
      <c r="K493" s="3"/>
      <c r="L493" s="3" t="str">
        <f ca="1">IFERROR(__xludf.DUMMYFUNCTION("""COMPUTED_VALUE"""),"Cost per period")</f>
        <v>Cost per period</v>
      </c>
      <c r="M493" s="3"/>
      <c r="N493" s="3"/>
      <c r="O493" s="3" t="str">
        <f ca="1">IFERROR(__xludf.DUMMYFUNCTION("""COMPUTED_VALUE"""),"1280")</f>
        <v>1280</v>
      </c>
      <c r="P493" s="3" t="str">
        <f ca="1">IFERROR(__xludf.DUMMYFUNCTION("""COMPUTED_VALUE"""),"720")</f>
        <v>720</v>
      </c>
      <c r="Q493" s="3" t="str">
        <f ca="1">IFERROR(__xludf.DUMMYFUNCTION("""COMPUTED_VALUE"""),"16:9 / umístění po domluvě dle možností")</f>
        <v>16:9 / umístění po domluvě dle možností</v>
      </c>
      <c r="R493" s="3" t="str">
        <f ca="1">IFERROR(__xludf.DUMMYFUNCTION("""COMPUTED_VALUE"""),"přeskočení po 7 sekundách")</f>
        <v>přeskočení po 7 sekundách</v>
      </c>
      <c r="S493" s="3" t="str">
        <f ca="1">IFERROR(__xludf.DUMMYFUNCTION("""COMPUTED_VALUE"""),"100")</f>
        <v>100</v>
      </c>
      <c r="T493" s="3"/>
      <c r="U493" s="3" t="str">
        <f ca="1">IFERROR(__xludf.DUMMYFUNCTION("""COMPUTED_VALUE"""),"videospot")</f>
        <v>videospot</v>
      </c>
      <c r="V493" s="3"/>
      <c r="W493" s="4" t="str">
        <f ca="1">IFERROR(__xludf.DUMMYFUNCTION("""COMPUTED_VALUE"""),"https://reklama.cncenter.cz/Online/Bumper")</f>
        <v>https://reklama.cncenter.cz/Online/Bumper</v>
      </c>
      <c r="X493" s="3"/>
      <c r="Y493" s="3"/>
      <c r="Z493" s="3" t="str">
        <f ca="1">IFERROR(__xludf.DUMMYFUNCTION("""COMPUTED_VALUE"""),"podklady@cncenter.cz")</f>
        <v>podklady@cncenter.cz</v>
      </c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 t="str">
        <f ca="1">IFERROR(__xludf.DUMMYFUNCTION("""COMPUTED_VALUE"""),"cross-device")</f>
        <v>cross-device</v>
      </c>
      <c r="AO493" s="3"/>
      <c r="AP493" s="3"/>
      <c r="AQ493" s="3"/>
      <c r="AR493" s="3"/>
      <c r="AS493" s="3"/>
      <c r="AT493" s="3"/>
      <c r="AU493" s="3" t="str">
        <f ca="1">IFERROR(__xludf.DUMMYFUNCTION("""COMPUTED_VALUE"""),"cílený videospot - max. 30 sec. / bumper")</f>
        <v>cílený videospot - max. 30 sec. / bumper</v>
      </c>
    </row>
    <row r="494" spans="1:47" x14ac:dyDescent="0.3">
      <c r="A494" s="3">
        <f ca="1"/>
        <v>2346826</v>
      </c>
      <c r="B494" s="3" t="str">
        <f ca="1"/>
        <v>CZECH NEWS CENTER a. s.</v>
      </c>
      <c r="C494" s="3" t="str">
        <f ca="1">IFERROR(__xludf.DUMMYFUNCTION("""COMPUTED_VALUE"""),"E15")</f>
        <v>E15</v>
      </c>
      <c r="D494" s="3" t="str">
        <f ca="1">IFERROR(__xludf.DUMMYFUNCTION("""COMPUTED_VALUE"""),"https://e15.cz, https://finexpert.cz, https://www.e15.cz/formen")</f>
        <v>https://e15.cz, https://finexpert.cz, https://www.e15.cz/formen</v>
      </c>
      <c r="E494" s="3" t="str">
        <f ca="1">IFERROR(__xludf.DUMMYFUNCTION("""COMPUTED_VALUE"""),"celý web")</f>
        <v>celý web</v>
      </c>
      <c r="F494" s="3" t="str">
        <f ca="1">IFERROR(__xludf.DUMMYFUNCTION("""COMPUTED_VALUE"""),"https://e15.cz, https://finexpert.cz, https://www.e15.cz/formen")</f>
        <v>https://e15.cz, https://finexpert.cz, https://www.e15.cz/formen</v>
      </c>
      <c r="G494" s="3" t="str">
        <f ca="1">IFERROR(__xludf.DUMMYFUNCTION("""COMPUTED_VALUE"""),"dokoupení proma o 2 týdny - 10 000 PV *** mid season")</f>
        <v>dokoupení proma o 2 týdny - 10 000 PV *** mid season</v>
      </c>
      <c r="H494" s="3">
        <f ca="1">IFERROR(__xludf.DUMMYFUNCTION("""COMPUTED_VALUE"""),1)</f>
        <v>1</v>
      </c>
      <c r="I494" s="5">
        <f ca="1">IFERROR(__xludf.DUMMYFUNCTION("""COMPUTED_VALUE"""),1)</f>
        <v>1</v>
      </c>
      <c r="J494" s="5">
        <f ca="1">IFERROR(__xludf.DUMMYFUNCTION("""COMPUTED_VALUE"""),60000)</f>
        <v>60000</v>
      </c>
      <c r="K494" s="3"/>
      <c r="L494" s="3" t="str">
        <f ca="1">IFERROR(__xludf.DUMMYFUNCTION("""COMPUTED_VALUE"""),"Cost per instance")</f>
        <v>Cost per instance</v>
      </c>
      <c r="M494" s="3"/>
      <c r="N494" s="3"/>
      <c r="O494" s="3"/>
      <c r="P494" s="3"/>
      <c r="Q494" s="3"/>
      <c r="R494" s="3"/>
      <c r="S494" s="3" t="str">
        <f ca="1">IFERROR(__xludf.DUMMYFUNCTION("""COMPUTED_VALUE"""),"100")</f>
        <v>100</v>
      </c>
      <c r="T494" s="3"/>
      <c r="U494" s="3" t="str">
        <f ca="1">IFERROR(__xludf.DUMMYFUNCTION("""COMPUTED_VALUE"""),"microsite")</f>
        <v>microsite</v>
      </c>
      <c r="V494" s="3"/>
      <c r="W494" s="3"/>
      <c r="X494" s="3"/>
      <c r="Y494" s="3"/>
      <c r="Z494" s="3" t="str">
        <f ca="1">IFERROR(__xludf.DUMMYFUNCTION("""COMPUTED_VALUE"""),"podklady@cncenter.cz")</f>
        <v>podklady@cncenter.cz</v>
      </c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 t="str">
        <f ca="1">IFERROR(__xludf.DUMMYFUNCTION("""COMPUTED_VALUE"""),"cross-device")</f>
        <v>cross-device</v>
      </c>
      <c r="AO494" s="3"/>
      <c r="AP494" s="3"/>
      <c r="AQ494" s="3"/>
      <c r="AR494" s="3"/>
      <c r="AS494" s="3"/>
      <c r="AT494" s="3"/>
      <c r="AU494" s="3" t="str">
        <f ca="1">IFERROR(__xludf.DUMMYFUNCTION("""COMPUTED_VALUE"""),"dokoupení proma o 2 týdny - 10 000 PV ***")</f>
        <v>dokoupení proma o 2 týdny - 10 000 PV ***</v>
      </c>
    </row>
    <row r="495" spans="1:47" x14ac:dyDescent="0.3">
      <c r="A495" s="3">
        <f ca="1"/>
        <v>2346826</v>
      </c>
      <c r="B495" s="3" t="str">
        <f ca="1"/>
        <v>CZECH NEWS CENTER a. s.</v>
      </c>
      <c r="C495" s="3" t="str">
        <f ca="1">IFERROR(__xludf.DUMMYFUNCTION("""COMPUTED_VALUE"""),"E15")</f>
        <v>E15</v>
      </c>
      <c r="D495" s="3" t="str">
        <f ca="1">IFERROR(__xludf.DUMMYFUNCTION("""COMPUTED_VALUE"""),"https://e15.cz, https://finexpert.cz, https://www.e15.cz/formen")</f>
        <v>https://e15.cz, https://finexpert.cz, https://www.e15.cz/formen</v>
      </c>
      <c r="E495" s="3" t="str">
        <f ca="1">IFERROR(__xludf.DUMMYFUNCTION("""COMPUTED_VALUE"""),"celý web")</f>
        <v>celý web</v>
      </c>
      <c r="F495" s="3" t="str">
        <f ca="1">IFERROR(__xludf.DUMMYFUNCTION("""COMPUTED_VALUE"""),"https://e15.cz, https://finexpert.cz, https://www.e15.cz/formen")</f>
        <v>https://e15.cz, https://finexpert.cz, https://www.e15.cz/formen</v>
      </c>
      <c r="G495" s="3" t="str">
        <f ca="1">IFERROR(__xludf.DUMMYFUNCTION("""COMPUTED_VALUE"""),"double skyscraper mid season")</f>
        <v>double skyscraper mid season</v>
      </c>
      <c r="H495" s="3">
        <f ca="1">IFERROR(__xludf.DUMMYFUNCTION("""COMPUTED_VALUE"""),7)</f>
        <v>7</v>
      </c>
      <c r="I495" s="5">
        <f ca="1">IFERROR(__xludf.DUMMYFUNCTION("""COMPUTED_VALUE"""),1000)</f>
        <v>1000</v>
      </c>
      <c r="J495" s="5">
        <f ca="1">IFERROR(__xludf.DUMMYFUNCTION("""COMPUTED_VALUE"""),350)</f>
        <v>350</v>
      </c>
      <c r="K495" s="3"/>
      <c r="L495" s="3" t="str">
        <f ca="1">IFERROR(__xludf.DUMMYFUNCTION("""COMPUTED_VALUE"""),"Cost per period")</f>
        <v>Cost per period</v>
      </c>
      <c r="M495" s="3"/>
      <c r="N495" s="3"/>
      <c r="O495" s="3" t="str">
        <f ca="1">IFERROR(__xludf.DUMMYFUNCTION("""COMPUTED_VALUE"""),"300")</f>
        <v>300</v>
      </c>
      <c r="P495" s="3" t="str">
        <f ca="1">IFERROR(__xludf.DUMMYFUNCTION("""COMPUTED_VALUE"""),"600")</f>
        <v>600</v>
      </c>
      <c r="Q495" s="3" t="str">
        <f ca="1">IFERROR(__xludf.DUMMYFUNCTION("""COMPUTED_VALUE"""),"300x600")</f>
        <v>300x600</v>
      </c>
      <c r="R495" s="3"/>
      <c r="S495" s="3" t="str">
        <f ca="1">IFERROR(__xludf.DUMMYFUNCTION("""COMPUTED_VALUE"""),"100 (200 - HTML5)")</f>
        <v>100 (200 - HTML5)</v>
      </c>
      <c r="T495" s="3"/>
      <c r="U495" s="3" t="str">
        <f ca="1">IFERROR(__xludf.DUMMYFUNCTION("""COMPUTED_VALUE"""),"banner standard")</f>
        <v>banner standard</v>
      </c>
      <c r="V495" s="3"/>
      <c r="W495" s="4" t="str">
        <f ca="1">IFERROR(__xludf.DUMMYFUNCTION("""COMPUTED_VALUE"""),"https://reklama.cncenter.cz/Online/double-skyscraper")</f>
        <v>https://reklama.cncenter.cz/Online/double-skyscraper</v>
      </c>
      <c r="X495" s="3"/>
      <c r="Y495" s="3"/>
      <c r="Z495" s="3" t="str">
        <f ca="1">IFERROR(__xludf.DUMMYFUNCTION("""COMPUTED_VALUE"""),"podklady@cncenter.cz")</f>
        <v>podklady@cncenter.cz</v>
      </c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 t="str">
        <f ca="1">IFERROR(__xludf.DUMMYFUNCTION("""COMPUTED_VALUE"""),"desktop")</f>
        <v>desktop</v>
      </c>
      <c r="AO495" s="3"/>
      <c r="AP495" s="3"/>
      <c r="AQ495" s="3"/>
      <c r="AR495" s="3"/>
      <c r="AS495" s="3"/>
      <c r="AT495" s="3"/>
      <c r="AU495" s="3" t="str">
        <f ca="1">IFERROR(__xludf.DUMMYFUNCTION("""COMPUTED_VALUE"""),"double skyscraper")</f>
        <v>double skyscraper</v>
      </c>
    </row>
    <row r="496" spans="1:47" x14ac:dyDescent="0.3">
      <c r="A496" s="3">
        <f ca="1"/>
        <v>2346826</v>
      </c>
      <c r="B496" s="3" t="str">
        <f ca="1"/>
        <v>CZECH NEWS CENTER a. s.</v>
      </c>
      <c r="C496" s="3" t="str">
        <f ca="1">IFERROR(__xludf.DUMMYFUNCTION("""COMPUTED_VALUE"""),"E15")</f>
        <v>E15</v>
      </c>
      <c r="D496" s="3" t="str">
        <f ca="1">IFERROR(__xludf.DUMMYFUNCTION("""COMPUTED_VALUE"""),"https://e15.cz, https://finexpert.cz, https://www.e15.cz/formen")</f>
        <v>https://e15.cz, https://finexpert.cz, https://www.e15.cz/formen</v>
      </c>
      <c r="E496" s="3" t="str">
        <f ca="1">IFERROR(__xludf.DUMMYFUNCTION("""COMPUTED_VALUE"""),"celý web")</f>
        <v>celý web</v>
      </c>
      <c r="F496" s="3" t="str">
        <f ca="1">IFERROR(__xludf.DUMMYFUNCTION("""COMPUTED_VALUE"""),"https://e15.cz, https://finexpert.cz, https://www.e15.cz/formen")</f>
        <v>https://e15.cz, https://finexpert.cz, https://www.e15.cz/formen</v>
      </c>
      <c r="G496" s="3" t="str">
        <f ca="1">IFERROR(__xludf.DUMMYFUNCTION("""COMPUTED_VALUE"""),"mini videospot - max. 30 sec. mid season")</f>
        <v>mini videospot - max. 30 sec. mid season</v>
      </c>
      <c r="H496" s="3">
        <f ca="1">IFERROR(__xludf.DUMMYFUNCTION("""COMPUTED_VALUE"""),7)</f>
        <v>7</v>
      </c>
      <c r="I496" s="5">
        <f ca="1">IFERROR(__xludf.DUMMYFUNCTION("""COMPUTED_VALUE"""),1000)</f>
        <v>1000</v>
      </c>
      <c r="J496" s="5">
        <f ca="1">IFERROR(__xludf.DUMMYFUNCTION("""COMPUTED_VALUE"""),340)</f>
        <v>340</v>
      </c>
      <c r="K496" s="3"/>
      <c r="L496" s="3" t="str">
        <f ca="1">IFERROR(__xludf.DUMMYFUNCTION("""COMPUTED_VALUE"""),"Cost per period")</f>
        <v>Cost per period</v>
      </c>
      <c r="M496" s="3"/>
      <c r="N496" s="3"/>
      <c r="O496" s="3"/>
      <c r="P496" s="3"/>
      <c r="Q496" s="3" t="str">
        <f ca="1">IFERROR(__xludf.DUMMYFUNCTION("""COMPUTED_VALUE"""),"16:9 / umístění po domluvě dle možností")</f>
        <v>16:9 / umístění po domluvě dle možností</v>
      </c>
      <c r="R496" s="3" t="str">
        <f ca="1">IFERROR(__xludf.DUMMYFUNCTION("""COMPUTED_VALUE"""),"přeskočení po 7 sekundách")</f>
        <v>přeskočení po 7 sekundách</v>
      </c>
      <c r="S496" s="3" t="str">
        <f ca="1">IFERROR(__xludf.DUMMYFUNCTION("""COMPUTED_VALUE"""),"100")</f>
        <v>100</v>
      </c>
      <c r="T496" s="3"/>
      <c r="U496" s="3" t="str">
        <f ca="1">IFERROR(__xludf.DUMMYFUNCTION("""COMPUTED_VALUE"""),"videospot")</f>
        <v>videospot</v>
      </c>
      <c r="V496" s="3"/>
      <c r="W496" s="4" t="str">
        <f ca="1">IFERROR(__xludf.DUMMYFUNCTION("""COMPUTED_VALUE"""),"https://reklama.cncenter.cz/Online/Videospot")</f>
        <v>https://reklama.cncenter.cz/Online/Videospot</v>
      </c>
      <c r="X496" s="3"/>
      <c r="Y496" s="3"/>
      <c r="Z496" s="3" t="str">
        <f ca="1">IFERROR(__xludf.DUMMYFUNCTION("""COMPUTED_VALUE"""),"podklady@cncenter.cz")</f>
        <v>podklady@cncenter.cz</v>
      </c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 t="str">
        <f ca="1">IFERROR(__xludf.DUMMYFUNCTION("""COMPUTED_VALUE"""),"desktop")</f>
        <v>desktop</v>
      </c>
      <c r="AO496" s="3"/>
      <c r="AP496" s="3"/>
      <c r="AQ496" s="3"/>
      <c r="AR496" s="3"/>
      <c r="AS496" s="3"/>
      <c r="AT496" s="3"/>
      <c r="AU496" s="3" t="str">
        <f ca="1">IFERROR(__xludf.DUMMYFUNCTION("""COMPUTED_VALUE"""),"mini videospot - max. 30 sec.")</f>
        <v>mini videospot - max. 30 sec.</v>
      </c>
    </row>
    <row r="497" spans="1:47" x14ac:dyDescent="0.3">
      <c r="A497" s="3">
        <f ca="1"/>
        <v>2346826</v>
      </c>
      <c r="B497" s="3" t="str">
        <f ca="1"/>
        <v>CZECH NEWS CENTER a. s.</v>
      </c>
      <c r="C497" s="3" t="str">
        <f ca="1">IFERROR(__xludf.DUMMYFUNCTION("""COMPUTED_VALUE"""),"E15")</f>
        <v>E15</v>
      </c>
      <c r="D497" s="3" t="str">
        <f ca="1">IFERROR(__xludf.DUMMYFUNCTION("""COMPUTED_VALUE"""),"https://e15.cz, https://finexpert.cz, https://www.e15.cz/formen")</f>
        <v>https://e15.cz, https://finexpert.cz, https://www.e15.cz/formen</v>
      </c>
      <c r="E497" s="3" t="str">
        <f ca="1">IFERROR(__xludf.DUMMYFUNCTION("""COMPUTED_VALUE"""),"celý web")</f>
        <v>celý web</v>
      </c>
      <c r="F497" s="3" t="str">
        <f ca="1">IFERROR(__xludf.DUMMYFUNCTION("""COMPUTED_VALUE"""),"https://e15.cz, https://finexpert.cz, https://www.e15.cz/formen")</f>
        <v>https://e15.cz, https://finexpert.cz, https://www.e15.cz/formen</v>
      </c>
      <c r="G497" s="3" t="str">
        <f ca="1">IFERROR(__xludf.DUMMYFUNCTION("""COMPUTED_VALUE"""),"mobilní interscroller mid season")</f>
        <v>mobilní interscroller mid season</v>
      </c>
      <c r="H497" s="3">
        <f ca="1">IFERROR(__xludf.DUMMYFUNCTION("""COMPUTED_VALUE"""),7)</f>
        <v>7</v>
      </c>
      <c r="I497" s="5">
        <f ca="1">IFERROR(__xludf.DUMMYFUNCTION("""COMPUTED_VALUE"""),1000)</f>
        <v>1000</v>
      </c>
      <c r="J497" s="5">
        <f ca="1">IFERROR(__xludf.DUMMYFUNCTION("""COMPUTED_VALUE"""),420)</f>
        <v>420</v>
      </c>
      <c r="K497" s="3"/>
      <c r="L497" s="3" t="str">
        <f ca="1">IFERROR(__xludf.DUMMYFUNCTION("""COMPUTED_VALUE"""),"Cost per period")</f>
        <v>Cost per period</v>
      </c>
      <c r="M497" s="3"/>
      <c r="N497" s="3"/>
      <c r="O497" s="3" t="str">
        <f ca="1">IFERROR(__xludf.DUMMYFUNCTION("""COMPUTED_VALUE"""),"600")</f>
        <v>600</v>
      </c>
      <c r="P497" s="3" t="str">
        <f ca="1">IFERROR(__xludf.DUMMYFUNCTION("""COMPUTED_VALUE"""),"1080")</f>
        <v>1080</v>
      </c>
      <c r="Q497" s="3" t="str">
        <f ca="1">IFERROR(__xludf.DUMMYFUNCTION("""COMPUTED_VALUE"""),"600x1080")</f>
        <v>600x1080</v>
      </c>
      <c r="R497" s="3"/>
      <c r="S497" s="3" t="str">
        <f ca="1">IFERROR(__xludf.DUMMYFUNCTION("""COMPUTED_VALUE"""),"200")</f>
        <v>200</v>
      </c>
      <c r="T497" s="3"/>
      <c r="U497" s="3" t="str">
        <f ca="1">IFERROR(__xludf.DUMMYFUNCTION("""COMPUTED_VALUE"""),"banner standard")</f>
        <v>banner standard</v>
      </c>
      <c r="V497" s="3"/>
      <c r="W497" s="4" t="str">
        <f ca="1">IFERROR(__xludf.DUMMYFUNCTION("""COMPUTED_VALUE"""),"https://reklama.cncenter.cz/Online/mobilni-interscroller")</f>
        <v>https://reklama.cncenter.cz/Online/mobilni-interscroller</v>
      </c>
      <c r="X497" s="3"/>
      <c r="Y497" s="3"/>
      <c r="Z497" s="3" t="str">
        <f ca="1">IFERROR(__xludf.DUMMYFUNCTION("""COMPUTED_VALUE"""),"podklady@cncenter.cz")</f>
        <v>podklady@cncenter.cz</v>
      </c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 t="str">
        <f ca="1">IFERROR(__xludf.DUMMYFUNCTION("""COMPUTED_VALUE"""),"mobile")</f>
        <v>mobile</v>
      </c>
      <c r="AO497" s="3"/>
      <c r="AP497" s="3"/>
      <c r="AQ497" s="3"/>
      <c r="AR497" s="3"/>
      <c r="AS497" s="3"/>
      <c r="AT497" s="3"/>
      <c r="AU497" s="3" t="str">
        <f ca="1">IFERROR(__xludf.DUMMYFUNCTION("""COMPUTED_VALUE"""),"mobilní interscroller")</f>
        <v>mobilní interscroller</v>
      </c>
    </row>
    <row r="498" spans="1:47" x14ac:dyDescent="0.3">
      <c r="A498" s="3">
        <f ca="1"/>
        <v>2346826</v>
      </c>
      <c r="B498" s="3" t="str">
        <f ca="1"/>
        <v>CZECH NEWS CENTER a. s.</v>
      </c>
      <c r="C498" s="3" t="str">
        <f ca="1">IFERROR(__xludf.DUMMYFUNCTION("""COMPUTED_VALUE"""),"E15")</f>
        <v>E15</v>
      </c>
      <c r="D498" s="3" t="str">
        <f ca="1">IFERROR(__xludf.DUMMYFUNCTION("""COMPUTED_VALUE"""),"https://e15.cz, https://finexpert.cz, https://www.e15.cz/formen")</f>
        <v>https://e15.cz, https://finexpert.cz, https://www.e15.cz/formen</v>
      </c>
      <c r="E498" s="3" t="str">
        <f ca="1">IFERROR(__xludf.DUMMYFUNCTION("""COMPUTED_VALUE"""),"celý web")</f>
        <v>celý web</v>
      </c>
      <c r="F498" s="3" t="str">
        <f ca="1">IFERROR(__xludf.DUMMYFUNCTION("""COMPUTED_VALUE"""),"https://e15.cz, https://finexpert.cz, https://www.e15.cz/formen")</f>
        <v>https://e15.cz, https://finexpert.cz, https://www.e15.cz/formen</v>
      </c>
      <c r="G498" s="3" t="str">
        <f ca="1">IFERROR(__xludf.DUMMYFUNCTION("""COMPUTED_VALUE"""),"mobilní slide-up mid season")</f>
        <v>mobilní slide-up mid season</v>
      </c>
      <c r="H498" s="3">
        <f ca="1">IFERROR(__xludf.DUMMYFUNCTION("""COMPUTED_VALUE"""),7)</f>
        <v>7</v>
      </c>
      <c r="I498" s="5">
        <f ca="1">IFERROR(__xludf.DUMMYFUNCTION("""COMPUTED_VALUE"""),1000)</f>
        <v>1000</v>
      </c>
      <c r="J498" s="5">
        <f ca="1">IFERROR(__xludf.DUMMYFUNCTION("""COMPUTED_VALUE"""),970)</f>
        <v>970</v>
      </c>
      <c r="K498" s="3"/>
      <c r="L498" s="3" t="str">
        <f ca="1">IFERROR(__xludf.DUMMYFUNCTION("""COMPUTED_VALUE"""),"Cost per period")</f>
        <v>Cost per period</v>
      </c>
      <c r="M498" s="3"/>
      <c r="N498" s="3"/>
      <c r="O498" s="3" t="str">
        <f ca="1">IFERROR(__xludf.DUMMYFUNCTION("""COMPUTED_VALUE"""),"300")</f>
        <v>300</v>
      </c>
      <c r="P498" s="3" t="str">
        <f ca="1">IFERROR(__xludf.DUMMYFUNCTION("""COMPUTED_VALUE"""),"120")</f>
        <v>120</v>
      </c>
      <c r="Q498" s="3" t="str">
        <f ca="1">IFERROR(__xludf.DUMMYFUNCTION("""COMPUTED_VALUE"""),"300x120")</f>
        <v>300x120</v>
      </c>
      <c r="R498" s="3"/>
      <c r="S498" s="3" t="str">
        <f ca="1">IFERROR(__xludf.DUMMYFUNCTION("""COMPUTED_VALUE"""),"100")</f>
        <v>100</v>
      </c>
      <c r="T498" s="3"/>
      <c r="U498" s="3" t="str">
        <f ca="1">IFERROR(__xludf.DUMMYFUNCTION("""COMPUTED_VALUE"""),"banner standard")</f>
        <v>banner standard</v>
      </c>
      <c r="V498" s="3"/>
      <c r="W498" s="4" t="str">
        <f ca="1">IFERROR(__xludf.DUMMYFUNCTION("""COMPUTED_VALUE"""),"https://reklama.cncenter.cz/Online/mobilni-slide-up")</f>
        <v>https://reklama.cncenter.cz/Online/mobilni-slide-up</v>
      </c>
      <c r="X498" s="3"/>
      <c r="Y498" s="3"/>
      <c r="Z498" s="3" t="str">
        <f ca="1">IFERROR(__xludf.DUMMYFUNCTION("""COMPUTED_VALUE"""),"podklady@cncenter.cz")</f>
        <v>podklady@cncenter.cz</v>
      </c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 t="str">
        <f ca="1">IFERROR(__xludf.DUMMYFUNCTION("""COMPUTED_VALUE"""),"mobile")</f>
        <v>mobile</v>
      </c>
      <c r="AO498" s="3"/>
      <c r="AP498" s="3"/>
      <c r="AQ498" s="3"/>
      <c r="AR498" s="3"/>
      <c r="AS498" s="3"/>
      <c r="AT498" s="3"/>
      <c r="AU498" s="3" t="str">
        <f ca="1">IFERROR(__xludf.DUMMYFUNCTION("""COMPUTED_VALUE"""),"mobilní slide-up")</f>
        <v>mobilní slide-up</v>
      </c>
    </row>
    <row r="499" spans="1:47" x14ac:dyDescent="0.3">
      <c r="A499" s="3">
        <f ca="1"/>
        <v>2346826</v>
      </c>
      <c r="B499" s="3" t="str">
        <f ca="1"/>
        <v>CZECH NEWS CENTER a. s.</v>
      </c>
      <c r="C499" s="3" t="str">
        <f ca="1">IFERROR(__xludf.DUMMYFUNCTION("""COMPUTED_VALUE"""),"E15")</f>
        <v>E15</v>
      </c>
      <c r="D499" s="3" t="str">
        <f ca="1">IFERROR(__xludf.DUMMYFUNCTION("""COMPUTED_VALUE"""),"https://e15.cz, https://finexpert.cz, https://www.e15.cz/formen")</f>
        <v>https://e15.cz, https://finexpert.cz, https://www.e15.cz/formen</v>
      </c>
      <c r="E499" s="3" t="str">
        <f ca="1">IFERROR(__xludf.DUMMYFUNCTION("""COMPUTED_VALUE"""),"celý web")</f>
        <v>celý web</v>
      </c>
      <c r="F499" s="3" t="str">
        <f ca="1">IFERROR(__xludf.DUMMYFUNCTION("""COMPUTED_VALUE"""),"https://e15.cz, https://finexpert.cz, https://www.e15.cz/formen")</f>
        <v>https://e15.cz, https://finexpert.cz, https://www.e15.cz/formen</v>
      </c>
      <c r="G499" s="3" t="str">
        <f ca="1">IFERROR(__xludf.DUMMYFUNCTION("""COMPUTED_VALUE"""),"mobilní viněta mid season")</f>
        <v>mobilní viněta mid season</v>
      </c>
      <c r="H499" s="3">
        <f ca="1">IFERROR(__xludf.DUMMYFUNCTION("""COMPUTED_VALUE"""),7)</f>
        <v>7</v>
      </c>
      <c r="I499" s="5">
        <f ca="1">IFERROR(__xludf.DUMMYFUNCTION("""COMPUTED_VALUE"""),1000)</f>
        <v>1000</v>
      </c>
      <c r="J499" s="5">
        <f ca="1">IFERROR(__xludf.DUMMYFUNCTION("""COMPUTED_VALUE"""),1010)</f>
        <v>1010</v>
      </c>
      <c r="K499" s="3"/>
      <c r="L499" s="3" t="str">
        <f ca="1">IFERROR(__xludf.DUMMYFUNCTION("""COMPUTED_VALUE"""),"Cost per period")</f>
        <v>Cost per period</v>
      </c>
      <c r="M499" s="3"/>
      <c r="N499" s="3"/>
      <c r="O499" s="3" t="str">
        <f ca="1">IFERROR(__xludf.DUMMYFUNCTION("""COMPUTED_VALUE"""),"600")</f>
        <v>600</v>
      </c>
      <c r="P499" s="3" t="str">
        <f ca="1">IFERROR(__xludf.DUMMYFUNCTION("""COMPUTED_VALUE"""),"800")</f>
        <v>800</v>
      </c>
      <c r="Q499" s="3" t="str">
        <f ca="1">IFERROR(__xludf.DUMMYFUNCTION("""COMPUTED_VALUE"""),"300x250 nebo 600x800")</f>
        <v>300x250 nebo 600x800</v>
      </c>
      <c r="R499" s="3"/>
      <c r="S499" s="3" t="str">
        <f ca="1">IFERROR(__xludf.DUMMYFUNCTION("""COMPUTED_VALUE"""),"100")</f>
        <v>100</v>
      </c>
      <c r="T499" s="3"/>
      <c r="U499" s="3" t="str">
        <f ca="1">IFERROR(__xludf.DUMMYFUNCTION("""COMPUTED_VALUE"""),"banner standard")</f>
        <v>banner standard</v>
      </c>
      <c r="V499" s="3"/>
      <c r="W499" s="4" t="str">
        <f ca="1">IFERROR(__xludf.DUMMYFUNCTION("""COMPUTED_VALUE"""),"https://reklama.cncenter.cz/Online/mobilni-vineta")</f>
        <v>https://reklama.cncenter.cz/Online/mobilni-vineta</v>
      </c>
      <c r="X499" s="3"/>
      <c r="Y499" s="3"/>
      <c r="Z499" s="3" t="str">
        <f ca="1">IFERROR(__xludf.DUMMYFUNCTION("""COMPUTED_VALUE"""),"podklady@cncenter.cz")</f>
        <v>podklady@cncenter.cz</v>
      </c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 t="str">
        <f ca="1">IFERROR(__xludf.DUMMYFUNCTION("""COMPUTED_VALUE"""),"mobile")</f>
        <v>mobile</v>
      </c>
      <c r="AO499" s="3"/>
      <c r="AP499" s="3"/>
      <c r="AQ499" s="3"/>
      <c r="AR499" s="3"/>
      <c r="AS499" s="3"/>
      <c r="AT499" s="3"/>
      <c r="AU499" s="3" t="str">
        <f ca="1">IFERROR(__xludf.DUMMYFUNCTION("""COMPUTED_VALUE"""),"mobilní viněta")</f>
        <v>mobilní viněta</v>
      </c>
    </row>
    <row r="500" spans="1:47" x14ac:dyDescent="0.3">
      <c r="A500" s="3">
        <f ca="1"/>
        <v>2346826</v>
      </c>
      <c r="B500" s="3" t="str">
        <f ca="1"/>
        <v>CZECH NEWS CENTER a. s.</v>
      </c>
      <c r="C500" s="3" t="str">
        <f ca="1">IFERROR(__xludf.DUMMYFUNCTION("""COMPUTED_VALUE"""),"E15")</f>
        <v>E15</v>
      </c>
      <c r="D500" s="3" t="str">
        <f ca="1">IFERROR(__xludf.DUMMYFUNCTION("""COMPUTED_VALUE"""),"https://e15.cz, https://finexpert.cz, https://www.e15.cz/formen")</f>
        <v>https://e15.cz, https://finexpert.cz, https://www.e15.cz/formen</v>
      </c>
      <c r="E500" s="3" t="str">
        <f ca="1">IFERROR(__xludf.DUMMYFUNCTION("""COMPUTED_VALUE"""),"celý web")</f>
        <v>celý web</v>
      </c>
      <c r="F500" s="3" t="str">
        <f ca="1">IFERROR(__xludf.DUMMYFUNCTION("""COMPUTED_VALUE"""),"https://e15.cz, https://finexpert.cz, https://www.e15.cz/formen")</f>
        <v>https://e15.cz, https://finexpert.cz, https://www.e15.cz/formen</v>
      </c>
      <c r="G500" s="3" t="str">
        <f ca="1">IFERROR(__xludf.DUMMYFUNCTION("""COMPUTED_VALUE"""),"Native Standard mid season")</f>
        <v>Native Standard mid season</v>
      </c>
      <c r="H500" s="3">
        <f ca="1">IFERROR(__xludf.DUMMYFUNCTION("""COMPUTED_VALUE"""),1)</f>
        <v>1</v>
      </c>
      <c r="I500" s="5">
        <f ca="1">IFERROR(__xludf.DUMMYFUNCTION("""COMPUTED_VALUE"""),1)</f>
        <v>1</v>
      </c>
      <c r="J500" s="5">
        <f ca="1">IFERROR(__xludf.DUMMYFUNCTION("""COMPUTED_VALUE"""),330000)</f>
        <v>330000</v>
      </c>
      <c r="K500" s="3"/>
      <c r="L500" s="3" t="str">
        <f ca="1">IFERROR(__xludf.DUMMYFUNCTION("""COMPUTED_VALUE"""),"Cost per instance")</f>
        <v>Cost per instance</v>
      </c>
      <c r="M500" s="3"/>
      <c r="N500" s="3"/>
      <c r="O500" s="3"/>
      <c r="P500" s="3"/>
      <c r="Q500" s="3"/>
      <c r="R500" s="3"/>
      <c r="S500" s="3" t="str">
        <f ca="1">IFERROR(__xludf.DUMMYFUNCTION("""COMPUTED_VALUE"""),"100")</f>
        <v>100</v>
      </c>
      <c r="T500" s="3"/>
      <c r="U500" s="3" t="str">
        <f ca="1">IFERROR(__xludf.DUMMYFUNCTION("""COMPUTED_VALUE"""),"microsite")</f>
        <v>microsite</v>
      </c>
      <c r="V500" s="3"/>
      <c r="W500" s="3"/>
      <c r="X500" s="3"/>
      <c r="Y500" s="3"/>
      <c r="Z500" s="3" t="str">
        <f ca="1">IFERROR(__xludf.DUMMYFUNCTION("""COMPUTED_VALUE"""),"podklady@cncenter.cz")</f>
        <v>podklady@cncenter.cz</v>
      </c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 t="str">
        <f ca="1">IFERROR(__xludf.DUMMYFUNCTION("""COMPUTED_VALUE"""),"cross-device")</f>
        <v>cross-device</v>
      </c>
      <c r="AO500" s="3"/>
      <c r="AP500" s="3"/>
      <c r="AQ500" s="3"/>
      <c r="AR500" s="3"/>
      <c r="AS500" s="3"/>
      <c r="AT500" s="3"/>
      <c r="AU500" s="3" t="str">
        <f ca="1">IFERROR(__xludf.DUMMYFUNCTION("""COMPUTED_VALUE"""),"Native Standard")</f>
        <v>Native Standard</v>
      </c>
    </row>
    <row r="501" spans="1:47" x14ac:dyDescent="0.3">
      <c r="A501" s="3">
        <f ca="1"/>
        <v>2346826</v>
      </c>
      <c r="B501" s="3" t="str">
        <f ca="1"/>
        <v>CZECH NEWS CENTER a. s.</v>
      </c>
      <c r="C501" s="3" t="str">
        <f ca="1">IFERROR(__xludf.DUMMYFUNCTION("""COMPUTED_VALUE"""),"E15")</f>
        <v>E15</v>
      </c>
      <c r="D501" s="3" t="str">
        <f ca="1">IFERROR(__xludf.DUMMYFUNCTION("""COMPUTED_VALUE"""),"https://e15.cz, https://finexpert.cz, https://www.e15.cz/formen")</f>
        <v>https://e15.cz, https://finexpert.cz, https://www.e15.cz/formen</v>
      </c>
      <c r="E501" s="3" t="str">
        <f ca="1">IFERROR(__xludf.DUMMYFUNCTION("""COMPUTED_VALUE"""),"celý web")</f>
        <v>celý web</v>
      </c>
      <c r="F501" s="3" t="str">
        <f ca="1">IFERROR(__xludf.DUMMYFUNCTION("""COMPUTED_VALUE"""),"https://e15.cz, https://finexpert.cz, https://www.e15.cz/formen")</f>
        <v>https://e15.cz, https://finexpert.cz, https://www.e15.cz/formen</v>
      </c>
      <c r="G501" s="3" t="str">
        <f ca="1">IFERROR(__xludf.DUMMYFUNCTION("""COMPUTED_VALUE"""),"nativní rectangle cross-device mid season")</f>
        <v>nativní rectangle cross-device mid season</v>
      </c>
      <c r="H501" s="3">
        <f ca="1">IFERROR(__xludf.DUMMYFUNCTION("""COMPUTED_VALUE"""),7)</f>
        <v>7</v>
      </c>
      <c r="I501" s="5">
        <f ca="1">IFERROR(__xludf.DUMMYFUNCTION("""COMPUTED_VALUE"""),1000)</f>
        <v>1000</v>
      </c>
      <c r="J501" s="5">
        <f ca="1">IFERROR(__xludf.DUMMYFUNCTION("""COMPUTED_VALUE"""),370)</f>
        <v>370</v>
      </c>
      <c r="K501" s="3"/>
      <c r="L501" s="3" t="str">
        <f ca="1">IFERROR(__xludf.DUMMYFUNCTION("""COMPUTED_VALUE"""),"Cost per period")</f>
        <v>Cost per period</v>
      </c>
      <c r="M501" s="3"/>
      <c r="N501" s="3"/>
      <c r="O501" s="3" t="str">
        <f ca="1">IFERROR(__xludf.DUMMYFUNCTION("""COMPUTED_VALUE"""),"640")</f>
        <v>640</v>
      </c>
      <c r="P501" s="3" t="str">
        <f ca="1">IFERROR(__xludf.DUMMYFUNCTION("""COMPUTED_VALUE"""),"335, 640")</f>
        <v>335, 640</v>
      </c>
      <c r="Q501" s="3" t="str">
        <f ca="1">IFERROR(__xludf.DUMMYFUNCTION("""COMPUTED_VALUE"""),"640x640 a 640x335 + text + logo")</f>
        <v>640x640 a 640x335 + text + logo</v>
      </c>
      <c r="R501" s="3"/>
      <c r="S501" s="3" t="str">
        <f ca="1">IFERROR(__xludf.DUMMYFUNCTION("""COMPUTED_VALUE"""),"45")</f>
        <v>45</v>
      </c>
      <c r="T501" s="3"/>
      <c r="U501" s="3" t="str">
        <f ca="1">IFERROR(__xludf.DUMMYFUNCTION("""COMPUTED_VALUE"""),"nativní reklama")</f>
        <v>nativní reklama</v>
      </c>
      <c r="V501" s="3"/>
      <c r="W501" s="4" t="str">
        <f ca="1">IFERROR(__xludf.DUMMYFUNCTION("""COMPUTED_VALUE"""),"https://reklama.cncenter.cz/Online/nativni-rectangle-cross-device")</f>
        <v>https://reklama.cncenter.cz/Online/nativni-rectangle-cross-device</v>
      </c>
      <c r="X501" s="3"/>
      <c r="Y501" s="3"/>
      <c r="Z501" s="3" t="str">
        <f ca="1">IFERROR(__xludf.DUMMYFUNCTION("""COMPUTED_VALUE"""),"podklady@cncenter.cz")</f>
        <v>podklady@cncenter.cz</v>
      </c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 t="str">
        <f ca="1">IFERROR(__xludf.DUMMYFUNCTION("""COMPUTED_VALUE"""),"cross-device")</f>
        <v>cross-device</v>
      </c>
      <c r="AO501" s="3"/>
      <c r="AP501" s="3"/>
      <c r="AQ501" s="3"/>
      <c r="AR501" s="3"/>
      <c r="AS501" s="3"/>
      <c r="AT501" s="3"/>
      <c r="AU501" s="3" t="str">
        <f ca="1">IFERROR(__xludf.DUMMYFUNCTION("""COMPUTED_VALUE"""),"nativní rectangle cross-device")</f>
        <v>nativní rectangle cross-device</v>
      </c>
    </row>
    <row r="502" spans="1:47" x14ac:dyDescent="0.3">
      <c r="A502" s="3">
        <f ca="1"/>
        <v>2346826</v>
      </c>
      <c r="B502" s="3" t="str">
        <f ca="1"/>
        <v>CZECH NEWS CENTER a. s.</v>
      </c>
      <c r="C502" s="3" t="str">
        <f ca="1">IFERROR(__xludf.DUMMYFUNCTION("""COMPUTED_VALUE"""),"E15")</f>
        <v>E15</v>
      </c>
      <c r="D502" s="3" t="str">
        <f ca="1">IFERROR(__xludf.DUMMYFUNCTION("""COMPUTED_VALUE"""),"https://e15.cz, https://finexpert.cz, https://www.e15.cz/formen")</f>
        <v>https://e15.cz, https://finexpert.cz, https://www.e15.cz/formen</v>
      </c>
      <c r="E502" s="3" t="str">
        <f ca="1">IFERROR(__xludf.DUMMYFUNCTION("""COMPUTED_VALUE"""),"celý web")</f>
        <v>celý web</v>
      </c>
      <c r="F502" s="3" t="str">
        <f ca="1">IFERROR(__xludf.DUMMYFUNCTION("""COMPUTED_VALUE"""),"https://e15.cz, https://finexpert.cz, https://www.e15.cz/formen")</f>
        <v>https://e15.cz, https://finexpert.cz, https://www.e15.cz/formen</v>
      </c>
      <c r="G502" s="3" t="str">
        <f ca="1">IFERROR(__xludf.DUMMYFUNCTION("""COMPUTED_VALUE"""),"outstream mid season")</f>
        <v>outstream mid season</v>
      </c>
      <c r="H502" s="3">
        <f ca="1">IFERROR(__xludf.DUMMYFUNCTION("""COMPUTED_VALUE"""),7)</f>
        <v>7</v>
      </c>
      <c r="I502" s="5">
        <f ca="1">IFERROR(__xludf.DUMMYFUNCTION("""COMPUTED_VALUE"""),1000)</f>
        <v>1000</v>
      </c>
      <c r="J502" s="5">
        <f ca="1">IFERROR(__xludf.DUMMYFUNCTION("""COMPUTED_VALUE"""),420)</f>
        <v>420</v>
      </c>
      <c r="K502" s="3"/>
      <c r="L502" s="3" t="str">
        <f ca="1">IFERROR(__xludf.DUMMYFUNCTION("""COMPUTED_VALUE"""),"Cost per period")</f>
        <v>Cost per period</v>
      </c>
      <c r="M502" s="3"/>
      <c r="N502" s="3"/>
      <c r="O502" s="3" t="str">
        <f ca="1">IFERROR(__xludf.DUMMYFUNCTION("""COMPUTED_VALUE"""),"1280")</f>
        <v>1280</v>
      </c>
      <c r="P502" s="3" t="str">
        <f ca="1">IFERROR(__xludf.DUMMYFUNCTION("""COMPUTED_VALUE"""),"720")</f>
        <v>720</v>
      </c>
      <c r="Q502" s="3" t="str">
        <f ca="1">IFERROR(__xludf.DUMMYFUNCTION("""COMPUTED_VALUE"""),"16:9")</f>
        <v>16:9</v>
      </c>
      <c r="R502" s="3"/>
      <c r="S502" s="3" t="str">
        <f ca="1">IFERROR(__xludf.DUMMYFUNCTION("""COMPUTED_VALUE"""),"100")</f>
        <v>100</v>
      </c>
      <c r="T502" s="3"/>
      <c r="U502" s="3" t="str">
        <f ca="1">IFERROR(__xludf.DUMMYFUNCTION("""COMPUTED_VALUE"""),"videospot")</f>
        <v>videospot</v>
      </c>
      <c r="V502" s="3"/>
      <c r="W502" s="4" t="str">
        <f ca="1">IFERROR(__xludf.DUMMYFUNCTION("""COMPUTED_VALUE"""),"https://reklama.cncenter.cz/Online/Outstream")</f>
        <v>https://reklama.cncenter.cz/Online/Outstream</v>
      </c>
      <c r="X502" s="3"/>
      <c r="Y502" s="3"/>
      <c r="Z502" s="3" t="str">
        <f ca="1">IFERROR(__xludf.DUMMYFUNCTION("""COMPUTED_VALUE"""),"podklady@cncenter.cz")</f>
        <v>podklady@cncenter.cz</v>
      </c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 t="str">
        <f ca="1">IFERROR(__xludf.DUMMYFUNCTION("""COMPUTED_VALUE"""),"cross-device")</f>
        <v>cross-device</v>
      </c>
      <c r="AO502" s="3"/>
      <c r="AP502" s="3"/>
      <c r="AQ502" s="3"/>
      <c r="AR502" s="3"/>
      <c r="AS502" s="3"/>
      <c r="AT502" s="3"/>
      <c r="AU502" s="3" t="str">
        <f ca="1">IFERROR(__xludf.DUMMYFUNCTION("""COMPUTED_VALUE"""),"outstream")</f>
        <v>outstream</v>
      </c>
    </row>
    <row r="503" spans="1:47" x14ac:dyDescent="0.3">
      <c r="A503" s="3">
        <f ca="1"/>
        <v>2346826</v>
      </c>
      <c r="B503" s="3" t="str">
        <f ca="1"/>
        <v>CZECH NEWS CENTER a. s.</v>
      </c>
      <c r="C503" s="3" t="str">
        <f ca="1">IFERROR(__xludf.DUMMYFUNCTION("""COMPUTED_VALUE"""),"E15")</f>
        <v>E15</v>
      </c>
      <c r="D503" s="3" t="str">
        <f ca="1">IFERROR(__xludf.DUMMYFUNCTION("""COMPUTED_VALUE"""),"https://e15.cz, https://finexpert.cz, https://www.e15.cz/formen")</f>
        <v>https://e15.cz, https://finexpert.cz, https://www.e15.cz/formen</v>
      </c>
      <c r="E503" s="3" t="str">
        <f ca="1">IFERROR(__xludf.DUMMYFUNCTION("""COMPUTED_VALUE"""),"celý web")</f>
        <v>celý web</v>
      </c>
      <c r="F503" s="3" t="str">
        <f ca="1">IFERROR(__xludf.DUMMYFUNCTION("""COMPUTED_VALUE"""),"https://e15.cz, https://finexpert.cz, https://www.e15.cz/formen")</f>
        <v>https://e15.cz, https://finexpert.cz, https://www.e15.cz/formen</v>
      </c>
      <c r="G503" s="3" t="str">
        <f ca="1">IFERROR(__xludf.DUMMYFUNCTION("""COMPUTED_VALUE"""),"PR chat mid season")</f>
        <v>PR chat mid season</v>
      </c>
      <c r="H503" s="3">
        <f ca="1">IFERROR(__xludf.DUMMYFUNCTION("""COMPUTED_VALUE"""),1)</f>
        <v>1</v>
      </c>
      <c r="I503" s="5">
        <f ca="1">IFERROR(__xludf.DUMMYFUNCTION("""COMPUTED_VALUE"""),1)</f>
        <v>1</v>
      </c>
      <c r="J503" s="5">
        <f ca="1">IFERROR(__xludf.DUMMYFUNCTION("""COMPUTED_VALUE"""),50000)</f>
        <v>50000</v>
      </c>
      <c r="K503" s="3"/>
      <c r="L503" s="3" t="str">
        <f ca="1">IFERROR(__xludf.DUMMYFUNCTION("""COMPUTED_VALUE"""),"Cost per instance")</f>
        <v>Cost per instance</v>
      </c>
      <c r="M503" s="3"/>
      <c r="N503" s="3"/>
      <c r="O503" s="3"/>
      <c r="P503" s="3"/>
      <c r="Q503" s="3"/>
      <c r="R503" s="3"/>
      <c r="S503" s="3" t="str">
        <f ca="1">IFERROR(__xludf.DUMMYFUNCTION("""COMPUTED_VALUE"""),"100")</f>
        <v>100</v>
      </c>
      <c r="T503" s="3"/>
      <c r="U503" s="3" t="str">
        <f ca="1">IFERROR(__xludf.DUMMYFUNCTION("""COMPUTED_VALUE"""),"pr článek")</f>
        <v>pr článek</v>
      </c>
      <c r="V503" s="3"/>
      <c r="W503" s="3"/>
      <c r="X503" s="3"/>
      <c r="Y503" s="3"/>
      <c r="Z503" s="3" t="str">
        <f ca="1">IFERROR(__xludf.DUMMYFUNCTION("""COMPUTED_VALUE"""),"podklady@cncenter.cz")</f>
        <v>podklady@cncenter.cz</v>
      </c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 t="str">
        <f ca="1">IFERROR(__xludf.DUMMYFUNCTION("""COMPUTED_VALUE"""),"cross-device")</f>
        <v>cross-device</v>
      </c>
      <c r="AO503" s="3"/>
      <c r="AP503" s="3"/>
      <c r="AQ503" s="3"/>
      <c r="AR503" s="3"/>
      <c r="AS503" s="3"/>
      <c r="AT503" s="3"/>
      <c r="AU503" s="3" t="str">
        <f ca="1">IFERROR(__xludf.DUMMYFUNCTION("""COMPUTED_VALUE"""),"PR chat")</f>
        <v>PR chat</v>
      </c>
    </row>
    <row r="504" spans="1:47" x14ac:dyDescent="0.3">
      <c r="A504" s="3">
        <f ca="1"/>
        <v>2346826</v>
      </c>
      <c r="B504" s="3" t="str">
        <f ca="1"/>
        <v>CZECH NEWS CENTER a. s.</v>
      </c>
      <c r="C504" s="3" t="str">
        <f ca="1">IFERROR(__xludf.DUMMYFUNCTION("""COMPUTED_VALUE"""),"E15")</f>
        <v>E15</v>
      </c>
      <c r="D504" s="3" t="str">
        <f ca="1">IFERROR(__xludf.DUMMYFUNCTION("""COMPUTED_VALUE"""),"https://e15.cz, https://finexpert.cz, https://www.e15.cz/formen")</f>
        <v>https://e15.cz, https://finexpert.cz, https://www.e15.cz/formen</v>
      </c>
      <c r="E504" s="3" t="str">
        <f ca="1">IFERROR(__xludf.DUMMYFUNCTION("""COMPUTED_VALUE"""),"celý web")</f>
        <v>celý web</v>
      </c>
      <c r="F504" s="3" t="str">
        <f ca="1">IFERROR(__xludf.DUMMYFUNCTION("""COMPUTED_VALUE"""),"https://e15.cz, https://finexpert.cz, https://www.e15.cz/formen")</f>
        <v>https://e15.cz, https://finexpert.cz, https://www.e15.cz/formen</v>
      </c>
      <c r="G504" s="3" t="str">
        <f ca="1">IFERROR(__xludf.DUMMYFUNCTION("""COMPUTED_VALUE"""),"PR článek mid season")</f>
        <v>PR článek mid season</v>
      </c>
      <c r="H504" s="3">
        <f ca="1">IFERROR(__xludf.DUMMYFUNCTION("""COMPUTED_VALUE"""),1)</f>
        <v>1</v>
      </c>
      <c r="I504" s="5">
        <f ca="1">IFERROR(__xludf.DUMMYFUNCTION("""COMPUTED_VALUE"""),1)</f>
        <v>1</v>
      </c>
      <c r="J504" s="5">
        <f ca="1">IFERROR(__xludf.DUMMYFUNCTION("""COMPUTED_VALUE"""),50000)</f>
        <v>50000</v>
      </c>
      <c r="K504" s="3"/>
      <c r="L504" s="3" t="str">
        <f ca="1">IFERROR(__xludf.DUMMYFUNCTION("""COMPUTED_VALUE"""),"Cost per instance")</f>
        <v>Cost per instance</v>
      </c>
      <c r="M504" s="3"/>
      <c r="N504" s="3"/>
      <c r="O504" s="3"/>
      <c r="P504" s="3"/>
      <c r="Q504" s="3"/>
      <c r="R504" s="3"/>
      <c r="S504" s="3" t="str">
        <f ca="1">IFERROR(__xludf.DUMMYFUNCTION("""COMPUTED_VALUE"""),"100")</f>
        <v>100</v>
      </c>
      <c r="T504" s="3"/>
      <c r="U504" s="3" t="str">
        <f ca="1">IFERROR(__xludf.DUMMYFUNCTION("""COMPUTED_VALUE"""),"pr článek")</f>
        <v>pr článek</v>
      </c>
      <c r="V504" s="3"/>
      <c r="W504" s="4" t="str">
        <f ca="1">IFERROR(__xludf.DUMMYFUNCTION("""COMPUTED_VALUE"""),"https://reklama.cncenter.cz/?ads=PR%2520%25C4%258Dl%25C3%25A1nky")</f>
        <v>https://reklama.cncenter.cz/?ads=PR%2520%25C4%258Dl%25C3%25A1nky</v>
      </c>
      <c r="X504" s="3"/>
      <c r="Y504" s="3"/>
      <c r="Z504" s="3" t="str">
        <f ca="1">IFERROR(__xludf.DUMMYFUNCTION("""COMPUTED_VALUE"""),"podklady@cncenter.cz")</f>
        <v>podklady@cncenter.cz</v>
      </c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 t="str">
        <f ca="1">IFERROR(__xludf.DUMMYFUNCTION("""COMPUTED_VALUE"""),"cross-device")</f>
        <v>cross-device</v>
      </c>
      <c r="AO504" s="3"/>
      <c r="AP504" s="3"/>
      <c r="AQ504" s="3"/>
      <c r="AR504" s="3"/>
      <c r="AS504" s="3"/>
      <c r="AT504" s="3"/>
      <c r="AU504" s="3" t="str">
        <f ca="1">IFERROR(__xludf.DUMMYFUNCTION("""COMPUTED_VALUE"""),"PR článek")</f>
        <v>PR článek</v>
      </c>
    </row>
    <row r="505" spans="1:47" x14ac:dyDescent="0.3">
      <c r="A505" s="3">
        <f ca="1"/>
        <v>2346826</v>
      </c>
      <c r="B505" s="3" t="str">
        <f ca="1"/>
        <v>CZECH NEWS CENTER a. s.</v>
      </c>
      <c r="C505" s="3" t="str">
        <f ca="1">IFERROR(__xludf.DUMMYFUNCTION("""COMPUTED_VALUE"""),"E15")</f>
        <v>E15</v>
      </c>
      <c r="D505" s="3" t="str">
        <f ca="1">IFERROR(__xludf.DUMMYFUNCTION("""COMPUTED_VALUE"""),"https://e15.cz, https://finexpert.cz, https://www.e15.cz/formen")</f>
        <v>https://e15.cz, https://finexpert.cz, https://www.e15.cz/formen</v>
      </c>
      <c r="E505" s="3" t="str">
        <f ca="1">IFERROR(__xludf.DUMMYFUNCTION("""COMPUTED_VALUE"""),"celý web")</f>
        <v>celý web</v>
      </c>
      <c r="F505" s="3" t="str">
        <f ca="1">IFERROR(__xludf.DUMMYFUNCTION("""COMPUTED_VALUE"""),"https://e15.cz, https://finexpert.cz, https://www.e15.cz/formen")</f>
        <v>https://e15.cz, https://finexpert.cz, https://www.e15.cz/formen</v>
      </c>
      <c r="G505" s="3" t="str">
        <f ca="1">IFERROR(__xludf.DUMMYFUNCTION("""COMPUTED_VALUE"""),"Prodloužení existující microsite, bez úprav mid season")</f>
        <v>Prodloužení existující microsite, bez úprav mid season</v>
      </c>
      <c r="H505" s="3">
        <f ca="1">IFERROR(__xludf.DUMMYFUNCTION("""COMPUTED_VALUE"""),1)</f>
        <v>1</v>
      </c>
      <c r="I505" s="5">
        <f ca="1">IFERROR(__xludf.DUMMYFUNCTION("""COMPUTED_VALUE"""),1)</f>
        <v>1</v>
      </c>
      <c r="J505" s="5">
        <f ca="1">IFERROR(__xludf.DUMMYFUNCTION("""COMPUTED_VALUE"""),15000)</f>
        <v>15000</v>
      </c>
      <c r="K505" s="3"/>
      <c r="L505" s="3" t="str">
        <f ca="1">IFERROR(__xludf.DUMMYFUNCTION("""COMPUTED_VALUE"""),"Cost per instance")</f>
        <v>Cost per instance</v>
      </c>
      <c r="M505" s="3"/>
      <c r="N505" s="3"/>
      <c r="O505" s="3"/>
      <c r="P505" s="3"/>
      <c r="Q505" s="3"/>
      <c r="R505" s="3"/>
      <c r="S505" s="3" t="str">
        <f ca="1">IFERROR(__xludf.DUMMYFUNCTION("""COMPUTED_VALUE"""),"100")</f>
        <v>100</v>
      </c>
      <c r="T505" s="3"/>
      <c r="U505" s="3" t="str">
        <f ca="1">IFERROR(__xludf.DUMMYFUNCTION("""COMPUTED_VALUE"""),"microsite")</f>
        <v>microsite</v>
      </c>
      <c r="V505" s="3"/>
      <c r="W505" s="3"/>
      <c r="X505" s="3"/>
      <c r="Y505" s="3"/>
      <c r="Z505" s="3" t="str">
        <f ca="1">IFERROR(__xludf.DUMMYFUNCTION("""COMPUTED_VALUE"""),"podklady@cncenter.cz")</f>
        <v>podklady@cncenter.cz</v>
      </c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 t="str">
        <f ca="1">IFERROR(__xludf.DUMMYFUNCTION("""COMPUTED_VALUE"""),"cross-device")</f>
        <v>cross-device</v>
      </c>
      <c r="AO505" s="3"/>
      <c r="AP505" s="3"/>
      <c r="AQ505" s="3"/>
      <c r="AR505" s="3"/>
      <c r="AS505" s="3"/>
      <c r="AT505" s="3"/>
      <c r="AU505" s="3" t="str">
        <f ca="1">IFERROR(__xludf.DUMMYFUNCTION("""COMPUTED_VALUE"""),"Prodloužení existující microsite, bez úprav")</f>
        <v>Prodloužení existující microsite, bez úprav</v>
      </c>
    </row>
    <row r="506" spans="1:47" x14ac:dyDescent="0.3">
      <c r="A506" s="3">
        <f ca="1"/>
        <v>2346826</v>
      </c>
      <c r="B506" s="3" t="str">
        <f ca="1"/>
        <v>CZECH NEWS CENTER a. s.</v>
      </c>
      <c r="C506" s="3" t="str">
        <f ca="1">IFERROR(__xludf.DUMMYFUNCTION("""COMPUTED_VALUE"""),"E15")</f>
        <v>E15</v>
      </c>
      <c r="D506" s="3" t="str">
        <f ca="1">IFERROR(__xludf.DUMMYFUNCTION("""COMPUTED_VALUE"""),"https://e15.cz, https://finexpert.cz, https://www.e15.cz/formen")</f>
        <v>https://e15.cz, https://finexpert.cz, https://www.e15.cz/formen</v>
      </c>
      <c r="E506" s="3" t="str">
        <f ca="1">IFERROR(__xludf.DUMMYFUNCTION("""COMPUTED_VALUE"""),"celý web")</f>
        <v>celý web</v>
      </c>
      <c r="F506" s="3" t="str">
        <f ca="1">IFERROR(__xludf.DUMMYFUNCTION("""COMPUTED_VALUE"""),"https://e15.cz, https://finexpert.cz, https://www.e15.cz/formen")</f>
        <v>https://e15.cz, https://finexpert.cz, https://www.e15.cz/formen</v>
      </c>
      <c r="G506" s="3" t="str">
        <f ca="1">IFERROR(__xludf.DUMMYFUNCTION("""COMPUTED_VALUE"""),"Prodloužení existující microsite, bez úprav mid season")</f>
        <v>Prodloužení existující microsite, bez úprav mid season</v>
      </c>
      <c r="H506" s="3">
        <f ca="1">IFERROR(__xludf.DUMMYFUNCTION("""COMPUTED_VALUE"""),1)</f>
        <v>1</v>
      </c>
      <c r="I506" s="5">
        <f ca="1">IFERROR(__xludf.DUMMYFUNCTION("""COMPUTED_VALUE"""),1)</f>
        <v>1</v>
      </c>
      <c r="J506" s="5">
        <f ca="1">IFERROR(__xludf.DUMMYFUNCTION("""COMPUTED_VALUE"""),15000)</f>
        <v>15000</v>
      </c>
      <c r="K506" s="3"/>
      <c r="L506" s="3" t="str">
        <f ca="1">IFERROR(__xludf.DUMMYFUNCTION("""COMPUTED_VALUE"""),"Cost per instance")</f>
        <v>Cost per instance</v>
      </c>
      <c r="M506" s="3"/>
      <c r="N506" s="3"/>
      <c r="O506" s="3"/>
      <c r="P506" s="3"/>
      <c r="Q506" s="3"/>
      <c r="R506" s="3"/>
      <c r="S506" s="3" t="str">
        <f ca="1">IFERROR(__xludf.DUMMYFUNCTION("""COMPUTED_VALUE"""),"100")</f>
        <v>100</v>
      </c>
      <c r="T506" s="3"/>
      <c r="U506" s="3" t="str">
        <f ca="1">IFERROR(__xludf.DUMMYFUNCTION("""COMPUTED_VALUE"""),"microsite")</f>
        <v>microsite</v>
      </c>
      <c r="V506" s="3"/>
      <c r="W506" s="3"/>
      <c r="X506" s="3"/>
      <c r="Y506" s="3"/>
      <c r="Z506" s="3" t="str">
        <f ca="1">IFERROR(__xludf.DUMMYFUNCTION("""COMPUTED_VALUE"""),"podklady@cncenter.cz")</f>
        <v>podklady@cncenter.cz</v>
      </c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 t="str">
        <f ca="1">IFERROR(__xludf.DUMMYFUNCTION("""COMPUTED_VALUE"""),"cross-device")</f>
        <v>cross-device</v>
      </c>
      <c r="AO506" s="3"/>
      <c r="AP506" s="3"/>
      <c r="AQ506" s="3"/>
      <c r="AR506" s="3"/>
      <c r="AS506" s="3"/>
      <c r="AT506" s="3"/>
      <c r="AU506" s="3" t="str">
        <f ca="1">IFERROR(__xludf.DUMMYFUNCTION("""COMPUTED_VALUE"""),"Prodloužení existující microsite, bez úprav")</f>
        <v>Prodloužení existující microsite, bez úprav</v>
      </c>
    </row>
    <row r="507" spans="1:47" x14ac:dyDescent="0.3">
      <c r="A507" s="3">
        <f ca="1"/>
        <v>2346826</v>
      </c>
      <c r="B507" s="3" t="str">
        <f ca="1"/>
        <v>CZECH NEWS CENTER a. s.</v>
      </c>
      <c r="C507" s="3" t="str">
        <f ca="1">IFERROR(__xludf.DUMMYFUNCTION("""COMPUTED_VALUE"""),"E15")</f>
        <v>E15</v>
      </c>
      <c r="D507" s="3" t="str">
        <f ca="1">IFERROR(__xludf.DUMMYFUNCTION("""COMPUTED_VALUE"""),"https://e15.cz, https://finexpert.cz, https://www.e15.cz/formen")</f>
        <v>https://e15.cz, https://finexpert.cz, https://www.e15.cz/formen</v>
      </c>
      <c r="E507" s="3" t="str">
        <f ca="1">IFERROR(__xludf.DUMMYFUNCTION("""COMPUTED_VALUE"""),"celý web")</f>
        <v>celý web</v>
      </c>
      <c r="F507" s="3" t="str">
        <f ca="1">IFERROR(__xludf.DUMMYFUNCTION("""COMPUTED_VALUE"""),"https://e15.cz, https://finexpert.cz, https://www.e15.cz/formen")</f>
        <v>https://e15.cz, https://finexpert.cz, https://www.e15.cz/formen</v>
      </c>
      <c r="G507" s="3" t="str">
        <f ca="1">IFERROR(__xludf.DUMMYFUNCTION("""COMPUTED_VALUE"""),"Prodloužení existující microsite, bez úprav mid season")</f>
        <v>Prodloužení existující microsite, bez úprav mid season</v>
      </c>
      <c r="H507" s="3">
        <f ca="1">IFERROR(__xludf.DUMMYFUNCTION("""COMPUTED_VALUE"""),1)</f>
        <v>1</v>
      </c>
      <c r="I507" s="5">
        <f ca="1">IFERROR(__xludf.DUMMYFUNCTION("""COMPUTED_VALUE"""),1)</f>
        <v>1</v>
      </c>
      <c r="J507" s="5">
        <f ca="1">IFERROR(__xludf.DUMMYFUNCTION("""COMPUTED_VALUE"""),15000)</f>
        <v>15000</v>
      </c>
      <c r="K507" s="3"/>
      <c r="L507" s="3" t="str">
        <f ca="1">IFERROR(__xludf.DUMMYFUNCTION("""COMPUTED_VALUE"""),"Cost per instance")</f>
        <v>Cost per instance</v>
      </c>
      <c r="M507" s="3"/>
      <c r="N507" s="3"/>
      <c r="O507" s="3"/>
      <c r="P507" s="3"/>
      <c r="Q507" s="3"/>
      <c r="R507" s="3"/>
      <c r="S507" s="3" t="str">
        <f ca="1">IFERROR(__xludf.DUMMYFUNCTION("""COMPUTED_VALUE"""),"100")</f>
        <v>100</v>
      </c>
      <c r="T507" s="3"/>
      <c r="U507" s="3" t="str">
        <f ca="1">IFERROR(__xludf.DUMMYFUNCTION("""COMPUTED_VALUE"""),"microsite")</f>
        <v>microsite</v>
      </c>
      <c r="V507" s="3"/>
      <c r="W507" s="3"/>
      <c r="X507" s="3"/>
      <c r="Y507" s="3"/>
      <c r="Z507" s="3" t="str">
        <f ca="1">IFERROR(__xludf.DUMMYFUNCTION("""COMPUTED_VALUE"""),"podklady@cncenter.cz")</f>
        <v>podklady@cncenter.cz</v>
      </c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 t="str">
        <f ca="1">IFERROR(__xludf.DUMMYFUNCTION("""COMPUTED_VALUE"""),"cross-device")</f>
        <v>cross-device</v>
      </c>
      <c r="AO507" s="3"/>
      <c r="AP507" s="3"/>
      <c r="AQ507" s="3"/>
      <c r="AR507" s="3"/>
      <c r="AS507" s="3"/>
      <c r="AT507" s="3"/>
      <c r="AU507" s="3" t="str">
        <f ca="1">IFERROR(__xludf.DUMMYFUNCTION("""COMPUTED_VALUE"""),"Prodloužení existující microsite, bez úprav")</f>
        <v>Prodloužení existující microsite, bez úprav</v>
      </c>
    </row>
    <row r="508" spans="1:47" x14ac:dyDescent="0.3">
      <c r="A508" s="3">
        <f ca="1"/>
        <v>2346826</v>
      </c>
      <c r="B508" s="3" t="str">
        <f ca="1"/>
        <v>CZECH NEWS CENTER a. s.</v>
      </c>
      <c r="C508" s="3" t="str">
        <f ca="1">IFERROR(__xludf.DUMMYFUNCTION("""COMPUTED_VALUE"""),"E15")</f>
        <v>E15</v>
      </c>
      <c r="D508" s="3" t="str">
        <f ca="1">IFERROR(__xludf.DUMMYFUNCTION("""COMPUTED_VALUE"""),"https://e15.cz, https://finexpert.cz, https://www.e15.cz/formen")</f>
        <v>https://e15.cz, https://finexpert.cz, https://www.e15.cz/formen</v>
      </c>
      <c r="E508" s="3" t="str">
        <f ca="1">IFERROR(__xludf.DUMMYFUNCTION("""COMPUTED_VALUE"""),"celý web")</f>
        <v>celý web</v>
      </c>
      <c r="F508" s="3" t="str">
        <f ca="1">IFERROR(__xludf.DUMMYFUNCTION("""COMPUTED_VALUE"""),"https://e15.cz, https://finexpert.cz, https://www.e15.cz/formen")</f>
        <v>https://e15.cz, https://finexpert.cz, https://www.e15.cz/formen</v>
      </c>
      <c r="G508" s="3" t="str">
        <f ca="1">IFERROR(__xludf.DUMMYFUNCTION("""COMPUTED_VALUE"""),"videospot - max. 30 sec. / bumper mid season")</f>
        <v>videospot - max. 30 sec. / bumper mid season</v>
      </c>
      <c r="H508" s="3">
        <f ca="1">IFERROR(__xludf.DUMMYFUNCTION("""COMPUTED_VALUE"""),7)</f>
        <v>7</v>
      </c>
      <c r="I508" s="5">
        <f ca="1">IFERROR(__xludf.DUMMYFUNCTION("""COMPUTED_VALUE"""),1000)</f>
        <v>1000</v>
      </c>
      <c r="J508" s="5">
        <f ca="1">IFERROR(__xludf.DUMMYFUNCTION("""COMPUTED_VALUE"""),1490)</f>
        <v>1490</v>
      </c>
      <c r="K508" s="3"/>
      <c r="L508" s="3" t="str">
        <f ca="1">IFERROR(__xludf.DUMMYFUNCTION("""COMPUTED_VALUE"""),"Cost per period")</f>
        <v>Cost per period</v>
      </c>
      <c r="M508" s="3"/>
      <c r="N508" s="3"/>
      <c r="O508" s="3" t="str">
        <f ca="1">IFERROR(__xludf.DUMMYFUNCTION("""COMPUTED_VALUE"""),"1280")</f>
        <v>1280</v>
      </c>
      <c r="P508" s="3" t="str">
        <f ca="1">IFERROR(__xludf.DUMMYFUNCTION("""COMPUTED_VALUE"""),"720")</f>
        <v>720</v>
      </c>
      <c r="Q508" s="3" t="str">
        <f ca="1">IFERROR(__xludf.DUMMYFUNCTION("""COMPUTED_VALUE"""),"16:9 / umístění po domluvě dle možností")</f>
        <v>16:9 / umístění po domluvě dle možností</v>
      </c>
      <c r="R508" s="3" t="str">
        <f ca="1">IFERROR(__xludf.DUMMYFUNCTION("""COMPUTED_VALUE"""),"přeskočení po 7 sekundách")</f>
        <v>přeskočení po 7 sekundách</v>
      </c>
      <c r="S508" s="3" t="str">
        <f ca="1">IFERROR(__xludf.DUMMYFUNCTION("""COMPUTED_VALUE"""),"100")</f>
        <v>100</v>
      </c>
      <c r="T508" s="3"/>
      <c r="U508" s="3" t="str">
        <f ca="1">IFERROR(__xludf.DUMMYFUNCTION("""COMPUTED_VALUE"""),"videospot")</f>
        <v>videospot</v>
      </c>
      <c r="V508" s="3"/>
      <c r="W508" s="4" t="str">
        <f ca="1">IFERROR(__xludf.DUMMYFUNCTION("""COMPUTED_VALUE"""),"https://reklama.cncenter.cz/Online/Bumper")</f>
        <v>https://reklama.cncenter.cz/Online/Bumper</v>
      </c>
      <c r="X508" s="3"/>
      <c r="Y508" s="3"/>
      <c r="Z508" s="3" t="str">
        <f ca="1">IFERROR(__xludf.DUMMYFUNCTION("""COMPUTED_VALUE"""),"podklady@cncenter.cz")</f>
        <v>podklady@cncenter.cz</v>
      </c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 t="str">
        <f ca="1">IFERROR(__xludf.DUMMYFUNCTION("""COMPUTED_VALUE"""),"cross-device")</f>
        <v>cross-device</v>
      </c>
      <c r="AO508" s="3"/>
      <c r="AP508" s="3"/>
      <c r="AQ508" s="3"/>
      <c r="AR508" s="3"/>
      <c r="AS508" s="3"/>
      <c r="AT508" s="3"/>
      <c r="AU508" s="3" t="str">
        <f ca="1">IFERROR(__xludf.DUMMYFUNCTION("""COMPUTED_VALUE"""),"videospot - max. 30 sec. / bumper")</f>
        <v>videospot - max. 30 sec. / bumper</v>
      </c>
    </row>
    <row r="509" spans="1:47" x14ac:dyDescent="0.3">
      <c r="A509" s="3">
        <f ca="1"/>
        <v>2346826</v>
      </c>
      <c r="B509" s="3" t="str">
        <f ca="1"/>
        <v>CZECH NEWS CENTER a. s.</v>
      </c>
      <c r="C509" s="3" t="str">
        <f ca="1">IFERROR(__xludf.DUMMYFUNCTION("""COMPUTED_VALUE"""),"Evropa2")</f>
        <v>Evropa2</v>
      </c>
      <c r="D509" s="4" t="str">
        <f ca="1">IFERROR(__xludf.DUMMYFUNCTION("""COMPUTED_VALUE"""),"https://evropa2.cz")</f>
        <v>https://evropa2.cz</v>
      </c>
      <c r="E509" s="3" t="str">
        <f ca="1">IFERROR(__xludf.DUMMYFUNCTION("""COMPUTED_VALUE"""),"celý web")</f>
        <v>celý web</v>
      </c>
      <c r="F509" s="4" t="str">
        <f ca="1">IFERROR(__xludf.DUMMYFUNCTION("""COMPUTED_VALUE"""),"https://evropa2.cz")</f>
        <v>https://evropa2.cz</v>
      </c>
      <c r="G509" s="3" t="str">
        <f ca="1">IFERROR(__xludf.DUMMYFUNCTION("""COMPUTED_VALUE"""),"branding cross-device mid season")</f>
        <v>branding cross-device mid season</v>
      </c>
      <c r="H509" s="3">
        <f ca="1">IFERROR(__xludf.DUMMYFUNCTION("""COMPUTED_VALUE"""),7)</f>
        <v>7</v>
      </c>
      <c r="I509" s="5">
        <f ca="1">IFERROR(__xludf.DUMMYFUNCTION("""COMPUTED_VALUE"""),1000)</f>
        <v>1000</v>
      </c>
      <c r="J509" s="5">
        <f ca="1">IFERROR(__xludf.DUMMYFUNCTION("""COMPUTED_VALUE"""),420)</f>
        <v>420</v>
      </c>
      <c r="K509" s="3"/>
      <c r="L509" s="3" t="str">
        <f ca="1">IFERROR(__xludf.DUMMYFUNCTION("""COMPUTED_VALUE"""),"Cost per period")</f>
        <v>Cost per period</v>
      </c>
      <c r="M509" s="3"/>
      <c r="N509" s="3"/>
      <c r="O509" s="3" t="str">
        <f ca="1">IFERROR(__xludf.DUMMYFUNCTION("""COMPUTED_VALUE"""),"2000")</f>
        <v>2000</v>
      </c>
      <c r="P509" s="3" t="str">
        <f ca="1">IFERROR(__xludf.DUMMYFUNCTION("""COMPUTED_VALUE"""),"1400")</f>
        <v>1400</v>
      </c>
      <c r="Q509" s="3" t="str">
        <f ca="1">IFERROR(__xludf.DUMMYFUNCTION("""COMPUTED_VALUE"""),"2000x1400 + 600x1080")</f>
        <v>2000x1400 + 600x1080</v>
      </c>
      <c r="R509" s="3"/>
      <c r="S509" s="3" t="str">
        <f ca="1">IFERROR(__xludf.DUMMYFUNCTION("""COMPUTED_VALUE"""),"500 (600 - HTLM5)")</f>
        <v>500 (600 - HTLM5)</v>
      </c>
      <c r="T509" s="3"/>
      <c r="U509" s="3" t="str">
        <f ca="1">IFERROR(__xludf.DUMMYFUNCTION("""COMPUTED_VALUE"""),"banner standard")</f>
        <v>banner standard</v>
      </c>
      <c r="V509" s="3"/>
      <c r="W509" s="4" t="str">
        <f ca="1">IFERROR(__xludf.DUMMYFUNCTION("""COMPUTED_VALUE"""),"https://reklama.cncenter.cz/Online/branding-cross-device")</f>
        <v>https://reklama.cncenter.cz/Online/branding-cross-device</v>
      </c>
      <c r="X509" s="3"/>
      <c r="Y509" s="3"/>
      <c r="Z509" s="3" t="str">
        <f ca="1">IFERROR(__xludf.DUMMYFUNCTION("""COMPUTED_VALUE"""),"podklady@cncenter.cz")</f>
        <v>podklady@cncenter.cz</v>
      </c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 t="str">
        <f ca="1">IFERROR(__xludf.DUMMYFUNCTION("""COMPUTED_VALUE"""),"cross-device")</f>
        <v>cross-device</v>
      </c>
      <c r="AO509" s="3"/>
      <c r="AP509" s="3"/>
      <c r="AQ509" s="3"/>
      <c r="AR509" s="3"/>
      <c r="AS509" s="3"/>
      <c r="AT509" s="3"/>
      <c r="AU509" s="3" t="str">
        <f ca="1">IFERROR(__xludf.DUMMYFUNCTION("""COMPUTED_VALUE"""),"branding cross-device")</f>
        <v>branding cross-device</v>
      </c>
    </row>
    <row r="510" spans="1:47" x14ac:dyDescent="0.3">
      <c r="A510" s="3">
        <f ca="1"/>
        <v>2346826</v>
      </c>
      <c r="B510" s="3" t="str">
        <f ca="1"/>
        <v>CZECH NEWS CENTER a. s.</v>
      </c>
      <c r="C510" s="3" t="str">
        <f ca="1">IFERROR(__xludf.DUMMYFUNCTION("""COMPUTED_VALUE"""),"Evropa2")</f>
        <v>Evropa2</v>
      </c>
      <c r="D510" s="4" t="str">
        <f ca="1">IFERROR(__xludf.DUMMYFUNCTION("""COMPUTED_VALUE"""),"https://evropa2.cz")</f>
        <v>https://evropa2.cz</v>
      </c>
      <c r="E510" s="3" t="str">
        <f ca="1">IFERROR(__xludf.DUMMYFUNCTION("""COMPUTED_VALUE"""),"celý web")</f>
        <v>celý web</v>
      </c>
      <c r="F510" s="4" t="str">
        <f ca="1">IFERROR(__xludf.DUMMYFUNCTION("""COMPUTED_VALUE"""),"https://evropa2.cz")</f>
        <v>https://evropa2.cz</v>
      </c>
      <c r="G510" s="3" t="str">
        <f ca="1">IFERROR(__xludf.DUMMYFUNCTION("""COMPUTED_VALUE"""),"branding mid season")</f>
        <v>branding mid season</v>
      </c>
      <c r="H510" s="3">
        <f ca="1">IFERROR(__xludf.DUMMYFUNCTION("""COMPUTED_VALUE"""),7)</f>
        <v>7</v>
      </c>
      <c r="I510" s="5">
        <f ca="1">IFERROR(__xludf.DUMMYFUNCTION("""COMPUTED_VALUE"""),1000)</f>
        <v>1000</v>
      </c>
      <c r="J510" s="5">
        <f ca="1">IFERROR(__xludf.DUMMYFUNCTION("""COMPUTED_VALUE"""),690)</f>
        <v>690</v>
      </c>
      <c r="K510" s="3"/>
      <c r="L510" s="3" t="str">
        <f ca="1">IFERROR(__xludf.DUMMYFUNCTION("""COMPUTED_VALUE"""),"Cost per period")</f>
        <v>Cost per period</v>
      </c>
      <c r="M510" s="3"/>
      <c r="N510" s="3"/>
      <c r="O510" s="3" t="str">
        <f ca="1">IFERROR(__xludf.DUMMYFUNCTION("""COMPUTED_VALUE"""),"2000")</f>
        <v>2000</v>
      </c>
      <c r="P510" s="3" t="str">
        <f ca="1">IFERROR(__xludf.DUMMYFUNCTION("""COMPUTED_VALUE"""),"1400")</f>
        <v>1400</v>
      </c>
      <c r="Q510" s="3" t="str">
        <f ca="1">IFERROR(__xludf.DUMMYFUNCTION("""COMPUTED_VALUE"""),"2000x1400")</f>
        <v>2000x1400</v>
      </c>
      <c r="R510" s="3"/>
      <c r="S510" s="3" t="str">
        <f ca="1">IFERROR(__xludf.DUMMYFUNCTION("""COMPUTED_VALUE"""),"500 + 200 (600+200 HTML5)")</f>
        <v>500 + 200 (600+200 HTML5)</v>
      </c>
      <c r="T510" s="3"/>
      <c r="U510" s="3" t="str">
        <f ca="1">IFERROR(__xludf.DUMMYFUNCTION("""COMPUTED_VALUE"""),"banner standard")</f>
        <v>banner standard</v>
      </c>
      <c r="V510" s="3"/>
      <c r="W510" s="4" t="str">
        <f ca="1">IFERROR(__xludf.DUMMYFUNCTION("""COMPUTED_VALUE"""),"https://reklama.cncenter.cz/Online/branding")</f>
        <v>https://reklama.cncenter.cz/Online/branding</v>
      </c>
      <c r="X510" s="3"/>
      <c r="Y510" s="3"/>
      <c r="Z510" s="3" t="str">
        <f ca="1">IFERROR(__xludf.DUMMYFUNCTION("""COMPUTED_VALUE"""),"podklady@cncenter.cz")</f>
        <v>podklady@cncenter.cz</v>
      </c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 t="str">
        <f ca="1">IFERROR(__xludf.DUMMYFUNCTION("""COMPUTED_VALUE"""),"desktop")</f>
        <v>desktop</v>
      </c>
      <c r="AO510" s="3"/>
      <c r="AP510" s="3"/>
      <c r="AQ510" s="3"/>
      <c r="AR510" s="3"/>
      <c r="AS510" s="3"/>
      <c r="AT510" s="3"/>
      <c r="AU510" s="3" t="str">
        <f ca="1">IFERROR(__xludf.DUMMYFUNCTION("""COMPUTED_VALUE"""),"branding")</f>
        <v>branding</v>
      </c>
    </row>
    <row r="511" spans="1:47" x14ac:dyDescent="0.3">
      <c r="A511" s="3">
        <f ca="1"/>
        <v>2346826</v>
      </c>
      <c r="B511" s="3" t="str">
        <f ca="1"/>
        <v>CZECH NEWS CENTER a. s.</v>
      </c>
      <c r="C511" s="3" t="str">
        <f ca="1">IFERROR(__xludf.DUMMYFUNCTION("""COMPUTED_VALUE"""),"Evropa2")</f>
        <v>Evropa2</v>
      </c>
      <c r="D511" s="4" t="str">
        <f ca="1">IFERROR(__xludf.DUMMYFUNCTION("""COMPUTED_VALUE"""),"https://evropa2.cz")</f>
        <v>https://evropa2.cz</v>
      </c>
      <c r="E511" s="3" t="str">
        <f ca="1">IFERROR(__xludf.DUMMYFUNCTION("""COMPUTED_VALUE"""),"celý web")</f>
        <v>celý web</v>
      </c>
      <c r="F511" s="4" t="str">
        <f ca="1">IFERROR(__xludf.DUMMYFUNCTION("""COMPUTED_VALUE"""),"https://evropa2.cz")</f>
        <v>https://evropa2.cz</v>
      </c>
      <c r="G511" s="3" t="str">
        <f ca="1">IFERROR(__xludf.DUMMYFUNCTION("""COMPUTED_VALUE"""),"cílený branding cross-device mid season")</f>
        <v>cílený branding cross-device mid season</v>
      </c>
      <c r="H511" s="3">
        <f ca="1">IFERROR(__xludf.DUMMYFUNCTION("""COMPUTED_VALUE"""),7)</f>
        <v>7</v>
      </c>
      <c r="I511" s="5">
        <f ca="1">IFERROR(__xludf.DUMMYFUNCTION("""COMPUTED_VALUE"""),1000)</f>
        <v>1000</v>
      </c>
      <c r="J511" s="5">
        <f ca="1">IFERROR(__xludf.DUMMYFUNCTION("""COMPUTED_VALUE"""),504)</f>
        <v>504</v>
      </c>
      <c r="K511" s="3"/>
      <c r="L511" s="3" t="str">
        <f ca="1">IFERROR(__xludf.DUMMYFUNCTION("""COMPUTED_VALUE"""),"Cost per period")</f>
        <v>Cost per period</v>
      </c>
      <c r="M511" s="3"/>
      <c r="N511" s="3"/>
      <c r="O511" s="3" t="str">
        <f ca="1">IFERROR(__xludf.DUMMYFUNCTION("""COMPUTED_VALUE"""),"2000")</f>
        <v>2000</v>
      </c>
      <c r="P511" s="3" t="str">
        <f ca="1">IFERROR(__xludf.DUMMYFUNCTION("""COMPUTED_VALUE"""),"1400")</f>
        <v>1400</v>
      </c>
      <c r="Q511" s="3" t="str">
        <f ca="1">IFERROR(__xludf.DUMMYFUNCTION("""COMPUTED_VALUE"""),"2000x1400 + 600x1080")</f>
        <v>2000x1400 + 600x1080</v>
      </c>
      <c r="R511" s="3"/>
      <c r="S511" s="3" t="str">
        <f ca="1">IFERROR(__xludf.DUMMYFUNCTION("""COMPUTED_VALUE"""),"500 (600 - HTLM5)")</f>
        <v>500 (600 - HTLM5)</v>
      </c>
      <c r="T511" s="3"/>
      <c r="U511" s="3" t="str">
        <f ca="1">IFERROR(__xludf.DUMMYFUNCTION("""COMPUTED_VALUE"""),"banner standard")</f>
        <v>banner standard</v>
      </c>
      <c r="V511" s="3"/>
      <c r="W511" s="4" t="str">
        <f ca="1">IFERROR(__xludf.DUMMYFUNCTION("""COMPUTED_VALUE"""),"https://reklama.cncenter.cz/Online/branding-cross-device")</f>
        <v>https://reklama.cncenter.cz/Online/branding-cross-device</v>
      </c>
      <c r="X511" s="3"/>
      <c r="Y511" s="3"/>
      <c r="Z511" s="3" t="str">
        <f ca="1">IFERROR(__xludf.DUMMYFUNCTION("""COMPUTED_VALUE"""),"podklady@cncenter.cz")</f>
        <v>podklady@cncenter.cz</v>
      </c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 t="str">
        <f ca="1">IFERROR(__xludf.DUMMYFUNCTION("""COMPUTED_VALUE"""),"cross-device")</f>
        <v>cross-device</v>
      </c>
      <c r="AO511" s="3"/>
      <c r="AP511" s="3"/>
      <c r="AQ511" s="3"/>
      <c r="AR511" s="3"/>
      <c r="AS511" s="3"/>
      <c r="AT511" s="3"/>
      <c r="AU511" s="3" t="str">
        <f ca="1">IFERROR(__xludf.DUMMYFUNCTION("""COMPUTED_VALUE"""),"cílený branding cross-device")</f>
        <v>cílený branding cross-device</v>
      </c>
    </row>
    <row r="512" spans="1:47" x14ac:dyDescent="0.3">
      <c r="A512" s="3">
        <f ca="1"/>
        <v>2346826</v>
      </c>
      <c r="B512" s="3" t="str">
        <f ca="1"/>
        <v>CZECH NEWS CENTER a. s.</v>
      </c>
      <c r="C512" s="3" t="str">
        <f ca="1">IFERROR(__xludf.DUMMYFUNCTION("""COMPUTED_VALUE"""),"Evropa2")</f>
        <v>Evropa2</v>
      </c>
      <c r="D512" s="4" t="str">
        <f ca="1">IFERROR(__xludf.DUMMYFUNCTION("""COMPUTED_VALUE"""),"https://evropa2.cz")</f>
        <v>https://evropa2.cz</v>
      </c>
      <c r="E512" s="3" t="str">
        <f ca="1">IFERROR(__xludf.DUMMYFUNCTION("""COMPUTED_VALUE"""),"celý web")</f>
        <v>celý web</v>
      </c>
      <c r="F512" s="4" t="str">
        <f ca="1">IFERROR(__xludf.DUMMYFUNCTION("""COMPUTED_VALUE"""),"https://evropa2.cz")</f>
        <v>https://evropa2.cz</v>
      </c>
      <c r="G512" s="3" t="str">
        <f ca="1">IFERROR(__xludf.DUMMYFUNCTION("""COMPUTED_VALUE"""),"cílený branding mid season")</f>
        <v>cílený branding mid season</v>
      </c>
      <c r="H512" s="3">
        <f ca="1">IFERROR(__xludf.DUMMYFUNCTION("""COMPUTED_VALUE"""),7)</f>
        <v>7</v>
      </c>
      <c r="I512" s="5">
        <f ca="1">IFERROR(__xludf.DUMMYFUNCTION("""COMPUTED_VALUE"""),1000)</f>
        <v>1000</v>
      </c>
      <c r="J512" s="5">
        <f ca="1">IFERROR(__xludf.DUMMYFUNCTION("""COMPUTED_VALUE"""),828)</f>
        <v>828</v>
      </c>
      <c r="K512" s="3"/>
      <c r="L512" s="3" t="str">
        <f ca="1">IFERROR(__xludf.DUMMYFUNCTION("""COMPUTED_VALUE"""),"Cost per period")</f>
        <v>Cost per period</v>
      </c>
      <c r="M512" s="3"/>
      <c r="N512" s="3"/>
      <c r="O512" s="3" t="str">
        <f ca="1">IFERROR(__xludf.DUMMYFUNCTION("""COMPUTED_VALUE"""),"2000")</f>
        <v>2000</v>
      </c>
      <c r="P512" s="3" t="str">
        <f ca="1">IFERROR(__xludf.DUMMYFUNCTION("""COMPUTED_VALUE"""),"1400")</f>
        <v>1400</v>
      </c>
      <c r="Q512" s="3" t="str">
        <f ca="1">IFERROR(__xludf.DUMMYFUNCTION("""COMPUTED_VALUE"""),"2000x1400")</f>
        <v>2000x1400</v>
      </c>
      <c r="R512" s="3"/>
      <c r="S512" s="3" t="str">
        <f ca="1">IFERROR(__xludf.DUMMYFUNCTION("""COMPUTED_VALUE"""),"500 + 200 (600+200 HTML5)")</f>
        <v>500 + 200 (600+200 HTML5)</v>
      </c>
      <c r="T512" s="3"/>
      <c r="U512" s="3" t="str">
        <f ca="1">IFERROR(__xludf.DUMMYFUNCTION("""COMPUTED_VALUE"""),"banner standard")</f>
        <v>banner standard</v>
      </c>
      <c r="V512" s="3"/>
      <c r="W512" s="4" t="str">
        <f ca="1">IFERROR(__xludf.DUMMYFUNCTION("""COMPUTED_VALUE"""),"https://reklama.cncenter.cz/Online/branding")</f>
        <v>https://reklama.cncenter.cz/Online/branding</v>
      </c>
      <c r="X512" s="3"/>
      <c r="Y512" s="3"/>
      <c r="Z512" s="3" t="str">
        <f ca="1">IFERROR(__xludf.DUMMYFUNCTION("""COMPUTED_VALUE"""),"podklady@cncenter.cz")</f>
        <v>podklady@cncenter.cz</v>
      </c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 t="str">
        <f ca="1">IFERROR(__xludf.DUMMYFUNCTION("""COMPUTED_VALUE"""),"desktop")</f>
        <v>desktop</v>
      </c>
      <c r="AO512" s="3"/>
      <c r="AP512" s="3"/>
      <c r="AQ512" s="3"/>
      <c r="AR512" s="3"/>
      <c r="AS512" s="3"/>
      <c r="AT512" s="3"/>
      <c r="AU512" s="3" t="str">
        <f ca="1">IFERROR(__xludf.DUMMYFUNCTION("""COMPUTED_VALUE"""),"cílený branding")</f>
        <v>cílený branding</v>
      </c>
    </row>
    <row r="513" spans="1:47" x14ac:dyDescent="0.3">
      <c r="A513" s="3">
        <f ca="1"/>
        <v>2346826</v>
      </c>
      <c r="B513" s="3" t="str">
        <f ca="1"/>
        <v>CZECH NEWS CENTER a. s.</v>
      </c>
      <c r="C513" s="3" t="str">
        <f ca="1">IFERROR(__xludf.DUMMYFUNCTION("""COMPUTED_VALUE"""),"Evropa2")</f>
        <v>Evropa2</v>
      </c>
      <c r="D513" s="4" t="str">
        <f ca="1">IFERROR(__xludf.DUMMYFUNCTION("""COMPUTED_VALUE"""),"https://evropa2.cz")</f>
        <v>https://evropa2.cz</v>
      </c>
      <c r="E513" s="3" t="str">
        <f ca="1">IFERROR(__xludf.DUMMYFUNCTION("""COMPUTED_VALUE"""),"celý web")</f>
        <v>celý web</v>
      </c>
      <c r="F513" s="4" t="str">
        <f ca="1">IFERROR(__xludf.DUMMYFUNCTION("""COMPUTED_VALUE"""),"https://evropa2.cz")</f>
        <v>https://evropa2.cz</v>
      </c>
      <c r="G513" s="3" t="str">
        <f ca="1">IFERROR(__xludf.DUMMYFUNCTION("""COMPUTED_VALUE"""),"cílený double skyscraper mid season")</f>
        <v>cílený double skyscraper mid season</v>
      </c>
      <c r="H513" s="3">
        <f ca="1">IFERROR(__xludf.DUMMYFUNCTION("""COMPUTED_VALUE"""),7)</f>
        <v>7</v>
      </c>
      <c r="I513" s="5">
        <f ca="1">IFERROR(__xludf.DUMMYFUNCTION("""COMPUTED_VALUE"""),1000)</f>
        <v>1000</v>
      </c>
      <c r="J513" s="5">
        <f ca="1">IFERROR(__xludf.DUMMYFUNCTION("""COMPUTED_VALUE"""),324)</f>
        <v>324</v>
      </c>
      <c r="K513" s="3"/>
      <c r="L513" s="3" t="str">
        <f ca="1">IFERROR(__xludf.DUMMYFUNCTION("""COMPUTED_VALUE"""),"Cost per period")</f>
        <v>Cost per period</v>
      </c>
      <c r="M513" s="3"/>
      <c r="N513" s="3"/>
      <c r="O513" s="3" t="str">
        <f ca="1">IFERROR(__xludf.DUMMYFUNCTION("""COMPUTED_VALUE"""),"300")</f>
        <v>300</v>
      </c>
      <c r="P513" s="3" t="str">
        <f ca="1">IFERROR(__xludf.DUMMYFUNCTION("""COMPUTED_VALUE"""),"600")</f>
        <v>600</v>
      </c>
      <c r="Q513" s="3" t="str">
        <f ca="1">IFERROR(__xludf.DUMMYFUNCTION("""COMPUTED_VALUE"""),"300x600")</f>
        <v>300x600</v>
      </c>
      <c r="R513" s="3"/>
      <c r="S513" s="3" t="str">
        <f ca="1">IFERROR(__xludf.DUMMYFUNCTION("""COMPUTED_VALUE"""),"100 (200 - HTML5)")</f>
        <v>100 (200 - HTML5)</v>
      </c>
      <c r="T513" s="3"/>
      <c r="U513" s="3" t="str">
        <f ca="1">IFERROR(__xludf.DUMMYFUNCTION("""COMPUTED_VALUE"""),"banner standard")</f>
        <v>banner standard</v>
      </c>
      <c r="V513" s="3"/>
      <c r="W513" s="4" t="str">
        <f ca="1">IFERROR(__xludf.DUMMYFUNCTION("""COMPUTED_VALUE"""),"https://reklama.cncenter.cz/Online/double-skyscraper")</f>
        <v>https://reklama.cncenter.cz/Online/double-skyscraper</v>
      </c>
      <c r="X513" s="3"/>
      <c r="Y513" s="3"/>
      <c r="Z513" s="3" t="str">
        <f ca="1">IFERROR(__xludf.DUMMYFUNCTION("""COMPUTED_VALUE"""),"podklady@cncenter.cz")</f>
        <v>podklady@cncenter.cz</v>
      </c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 t="str">
        <f ca="1">IFERROR(__xludf.DUMMYFUNCTION("""COMPUTED_VALUE"""),"desktop")</f>
        <v>desktop</v>
      </c>
      <c r="AO513" s="3"/>
      <c r="AP513" s="3"/>
      <c r="AQ513" s="3"/>
      <c r="AR513" s="3"/>
      <c r="AS513" s="3"/>
      <c r="AT513" s="3"/>
      <c r="AU513" s="3" t="str">
        <f ca="1">IFERROR(__xludf.DUMMYFUNCTION("""COMPUTED_VALUE"""),"cílený double skyscraper")</f>
        <v>cílený double skyscraper</v>
      </c>
    </row>
    <row r="514" spans="1:47" x14ac:dyDescent="0.3">
      <c r="A514" s="3">
        <f ca="1"/>
        <v>2346826</v>
      </c>
      <c r="B514" s="3" t="str">
        <f ca="1"/>
        <v>CZECH NEWS CENTER a. s.</v>
      </c>
      <c r="C514" s="3" t="str">
        <f ca="1">IFERROR(__xludf.DUMMYFUNCTION("""COMPUTED_VALUE"""),"Evropa2")</f>
        <v>Evropa2</v>
      </c>
      <c r="D514" s="4" t="str">
        <f ca="1">IFERROR(__xludf.DUMMYFUNCTION("""COMPUTED_VALUE"""),"https://evropa2.cz")</f>
        <v>https://evropa2.cz</v>
      </c>
      <c r="E514" s="3" t="str">
        <f ca="1">IFERROR(__xludf.DUMMYFUNCTION("""COMPUTED_VALUE"""),"celý web")</f>
        <v>celý web</v>
      </c>
      <c r="F514" s="4" t="str">
        <f ca="1">IFERROR(__xludf.DUMMYFUNCTION("""COMPUTED_VALUE"""),"https://evropa2.cz")</f>
        <v>https://evropa2.cz</v>
      </c>
      <c r="G514" s="3" t="str">
        <f ca="1">IFERROR(__xludf.DUMMYFUNCTION("""COMPUTED_VALUE"""),"cílený mini videospot - max. 30 sec. mid season")</f>
        <v>cílený mini videospot - max. 30 sec. mid season</v>
      </c>
      <c r="H514" s="3">
        <f ca="1">IFERROR(__xludf.DUMMYFUNCTION("""COMPUTED_VALUE"""),7)</f>
        <v>7</v>
      </c>
      <c r="I514" s="5">
        <f ca="1">IFERROR(__xludf.DUMMYFUNCTION("""COMPUTED_VALUE"""),1000)</f>
        <v>1000</v>
      </c>
      <c r="J514" s="5">
        <f ca="1">IFERROR(__xludf.DUMMYFUNCTION("""COMPUTED_VALUE"""),240)</f>
        <v>240</v>
      </c>
      <c r="K514" s="3"/>
      <c r="L514" s="3" t="str">
        <f ca="1">IFERROR(__xludf.DUMMYFUNCTION("""COMPUTED_VALUE"""),"Cost per period")</f>
        <v>Cost per period</v>
      </c>
      <c r="M514" s="3"/>
      <c r="N514" s="3"/>
      <c r="O514" s="3"/>
      <c r="P514" s="3"/>
      <c r="Q514" s="3" t="str">
        <f ca="1">IFERROR(__xludf.DUMMYFUNCTION("""COMPUTED_VALUE"""),"16:9 / umístění po domluvě dle možností")</f>
        <v>16:9 / umístění po domluvě dle možností</v>
      </c>
      <c r="R514" s="3" t="str">
        <f ca="1">IFERROR(__xludf.DUMMYFUNCTION("""COMPUTED_VALUE"""),"přeskočení po 7 sekundách")</f>
        <v>přeskočení po 7 sekundách</v>
      </c>
      <c r="S514" s="3" t="str">
        <f ca="1">IFERROR(__xludf.DUMMYFUNCTION("""COMPUTED_VALUE"""),"100")</f>
        <v>100</v>
      </c>
      <c r="T514" s="3"/>
      <c r="U514" s="3" t="str">
        <f ca="1">IFERROR(__xludf.DUMMYFUNCTION("""COMPUTED_VALUE"""),"videospot")</f>
        <v>videospot</v>
      </c>
      <c r="V514" s="3"/>
      <c r="W514" s="4" t="str">
        <f ca="1">IFERROR(__xludf.DUMMYFUNCTION("""COMPUTED_VALUE"""),"https://reklama.cncenter.cz/Online/Videospot")</f>
        <v>https://reklama.cncenter.cz/Online/Videospot</v>
      </c>
      <c r="X514" s="3"/>
      <c r="Y514" s="3"/>
      <c r="Z514" s="3" t="str">
        <f ca="1">IFERROR(__xludf.DUMMYFUNCTION("""COMPUTED_VALUE"""),"podklady@cncenter.cz")</f>
        <v>podklady@cncenter.cz</v>
      </c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 t="str">
        <f ca="1">IFERROR(__xludf.DUMMYFUNCTION("""COMPUTED_VALUE"""),"desktop")</f>
        <v>desktop</v>
      </c>
      <c r="AO514" s="3"/>
      <c r="AP514" s="3"/>
      <c r="AQ514" s="3"/>
      <c r="AR514" s="3"/>
      <c r="AS514" s="3"/>
      <c r="AT514" s="3"/>
      <c r="AU514" s="3" t="str">
        <f ca="1">IFERROR(__xludf.DUMMYFUNCTION("""COMPUTED_VALUE"""),"cílený mini videospot - max. 30 sec.")</f>
        <v>cílený mini videospot - max. 30 sec.</v>
      </c>
    </row>
    <row r="515" spans="1:47" x14ac:dyDescent="0.3">
      <c r="A515" s="3">
        <f ca="1"/>
        <v>2346826</v>
      </c>
      <c r="B515" s="3" t="str">
        <f ca="1"/>
        <v>CZECH NEWS CENTER a. s.</v>
      </c>
      <c r="C515" s="3" t="str">
        <f ca="1">IFERROR(__xludf.DUMMYFUNCTION("""COMPUTED_VALUE"""),"Evropa2")</f>
        <v>Evropa2</v>
      </c>
      <c r="D515" s="4" t="str">
        <f ca="1">IFERROR(__xludf.DUMMYFUNCTION("""COMPUTED_VALUE"""),"https://evropa2.cz")</f>
        <v>https://evropa2.cz</v>
      </c>
      <c r="E515" s="3" t="str">
        <f ca="1">IFERROR(__xludf.DUMMYFUNCTION("""COMPUTED_VALUE"""),"celý web")</f>
        <v>celý web</v>
      </c>
      <c r="F515" s="4" t="str">
        <f ca="1">IFERROR(__xludf.DUMMYFUNCTION("""COMPUTED_VALUE"""),"https://evropa2.cz")</f>
        <v>https://evropa2.cz</v>
      </c>
      <c r="G515" s="3" t="str">
        <f ca="1">IFERROR(__xludf.DUMMYFUNCTION("""COMPUTED_VALUE"""),"cílený mobilní interscroller mid season")</f>
        <v>cílený mobilní interscroller mid season</v>
      </c>
      <c r="H515" s="3">
        <f ca="1">IFERROR(__xludf.DUMMYFUNCTION("""COMPUTED_VALUE"""),7)</f>
        <v>7</v>
      </c>
      <c r="I515" s="5">
        <f ca="1">IFERROR(__xludf.DUMMYFUNCTION("""COMPUTED_VALUE"""),1000)</f>
        <v>1000</v>
      </c>
      <c r="J515" s="5">
        <f ca="1">IFERROR(__xludf.DUMMYFUNCTION("""COMPUTED_VALUE"""),420)</f>
        <v>420</v>
      </c>
      <c r="K515" s="3"/>
      <c r="L515" s="3" t="str">
        <f ca="1">IFERROR(__xludf.DUMMYFUNCTION("""COMPUTED_VALUE"""),"Cost per period")</f>
        <v>Cost per period</v>
      </c>
      <c r="M515" s="3"/>
      <c r="N515" s="3"/>
      <c r="O515" s="3" t="str">
        <f ca="1">IFERROR(__xludf.DUMMYFUNCTION("""COMPUTED_VALUE"""),"600")</f>
        <v>600</v>
      </c>
      <c r="P515" s="3" t="str">
        <f ca="1">IFERROR(__xludf.DUMMYFUNCTION("""COMPUTED_VALUE"""),"1080")</f>
        <v>1080</v>
      </c>
      <c r="Q515" s="3" t="str">
        <f ca="1">IFERROR(__xludf.DUMMYFUNCTION("""COMPUTED_VALUE"""),"600x1080")</f>
        <v>600x1080</v>
      </c>
      <c r="R515" s="3"/>
      <c r="S515" s="3" t="str">
        <f ca="1">IFERROR(__xludf.DUMMYFUNCTION("""COMPUTED_VALUE"""),"200")</f>
        <v>200</v>
      </c>
      <c r="T515" s="3"/>
      <c r="U515" s="3" t="str">
        <f ca="1">IFERROR(__xludf.DUMMYFUNCTION("""COMPUTED_VALUE"""),"banner standard")</f>
        <v>banner standard</v>
      </c>
      <c r="V515" s="3"/>
      <c r="W515" s="4" t="str">
        <f ca="1">IFERROR(__xludf.DUMMYFUNCTION("""COMPUTED_VALUE"""),"https://reklama.cncenter.cz/Online/mobilni-interscroller")</f>
        <v>https://reklama.cncenter.cz/Online/mobilni-interscroller</v>
      </c>
      <c r="X515" s="3"/>
      <c r="Y515" s="3"/>
      <c r="Z515" s="3" t="str">
        <f ca="1">IFERROR(__xludf.DUMMYFUNCTION("""COMPUTED_VALUE"""),"podklady@cncenter.cz")</f>
        <v>podklady@cncenter.cz</v>
      </c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 t="str">
        <f ca="1">IFERROR(__xludf.DUMMYFUNCTION("""COMPUTED_VALUE"""),"mobile")</f>
        <v>mobile</v>
      </c>
      <c r="AO515" s="3"/>
      <c r="AP515" s="3"/>
      <c r="AQ515" s="3"/>
      <c r="AR515" s="3"/>
      <c r="AS515" s="3"/>
      <c r="AT515" s="3"/>
      <c r="AU515" s="3" t="str">
        <f ca="1">IFERROR(__xludf.DUMMYFUNCTION("""COMPUTED_VALUE"""),"cílený mobilní interscroller")</f>
        <v>cílený mobilní interscroller</v>
      </c>
    </row>
    <row r="516" spans="1:47" x14ac:dyDescent="0.3">
      <c r="A516" s="3">
        <f ca="1"/>
        <v>2346826</v>
      </c>
      <c r="B516" s="3" t="str">
        <f ca="1"/>
        <v>CZECH NEWS CENTER a. s.</v>
      </c>
      <c r="C516" s="3" t="str">
        <f ca="1">IFERROR(__xludf.DUMMYFUNCTION("""COMPUTED_VALUE"""),"Evropa2")</f>
        <v>Evropa2</v>
      </c>
      <c r="D516" s="4" t="str">
        <f ca="1">IFERROR(__xludf.DUMMYFUNCTION("""COMPUTED_VALUE"""),"https://evropa2.cz")</f>
        <v>https://evropa2.cz</v>
      </c>
      <c r="E516" s="3" t="str">
        <f ca="1">IFERROR(__xludf.DUMMYFUNCTION("""COMPUTED_VALUE"""),"celý web")</f>
        <v>celý web</v>
      </c>
      <c r="F516" s="4" t="str">
        <f ca="1">IFERROR(__xludf.DUMMYFUNCTION("""COMPUTED_VALUE"""),"https://evropa2.cz")</f>
        <v>https://evropa2.cz</v>
      </c>
      <c r="G516" s="3" t="str">
        <f ca="1">IFERROR(__xludf.DUMMYFUNCTION("""COMPUTED_VALUE"""),"cílený mobilní slide-up mid season")</f>
        <v>cílený mobilní slide-up mid season</v>
      </c>
      <c r="H516" s="3">
        <f ca="1">IFERROR(__xludf.DUMMYFUNCTION("""COMPUTED_VALUE"""),7)</f>
        <v>7</v>
      </c>
      <c r="I516" s="5">
        <f ca="1">IFERROR(__xludf.DUMMYFUNCTION("""COMPUTED_VALUE"""),1000)</f>
        <v>1000</v>
      </c>
      <c r="J516" s="5">
        <f ca="1">IFERROR(__xludf.DUMMYFUNCTION("""COMPUTED_VALUE"""),864)</f>
        <v>864</v>
      </c>
      <c r="K516" s="3"/>
      <c r="L516" s="3" t="str">
        <f ca="1">IFERROR(__xludf.DUMMYFUNCTION("""COMPUTED_VALUE"""),"Cost per period")</f>
        <v>Cost per period</v>
      </c>
      <c r="M516" s="3"/>
      <c r="N516" s="3"/>
      <c r="O516" s="3" t="str">
        <f ca="1">IFERROR(__xludf.DUMMYFUNCTION("""COMPUTED_VALUE"""),"300")</f>
        <v>300</v>
      </c>
      <c r="P516" s="3" t="str">
        <f ca="1">IFERROR(__xludf.DUMMYFUNCTION("""COMPUTED_VALUE"""),"120")</f>
        <v>120</v>
      </c>
      <c r="Q516" s="3" t="str">
        <f ca="1">IFERROR(__xludf.DUMMYFUNCTION("""COMPUTED_VALUE"""),"300x120")</f>
        <v>300x120</v>
      </c>
      <c r="R516" s="3"/>
      <c r="S516" s="3" t="str">
        <f ca="1">IFERROR(__xludf.DUMMYFUNCTION("""COMPUTED_VALUE"""),"100")</f>
        <v>100</v>
      </c>
      <c r="T516" s="3"/>
      <c r="U516" s="3" t="str">
        <f ca="1">IFERROR(__xludf.DUMMYFUNCTION("""COMPUTED_VALUE"""),"banner standard")</f>
        <v>banner standard</v>
      </c>
      <c r="V516" s="3"/>
      <c r="W516" s="4" t="str">
        <f ca="1">IFERROR(__xludf.DUMMYFUNCTION("""COMPUTED_VALUE"""),"https://reklama.cncenter.cz/Online/mobilni-slide-up")</f>
        <v>https://reklama.cncenter.cz/Online/mobilni-slide-up</v>
      </c>
      <c r="X516" s="3"/>
      <c r="Y516" s="3"/>
      <c r="Z516" s="3" t="str">
        <f ca="1">IFERROR(__xludf.DUMMYFUNCTION("""COMPUTED_VALUE"""),"podklady@cncenter.cz")</f>
        <v>podklady@cncenter.cz</v>
      </c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 t="str">
        <f ca="1">IFERROR(__xludf.DUMMYFUNCTION("""COMPUTED_VALUE"""),"mobile")</f>
        <v>mobile</v>
      </c>
      <c r="AO516" s="3"/>
      <c r="AP516" s="3"/>
      <c r="AQ516" s="3"/>
      <c r="AR516" s="3"/>
      <c r="AS516" s="3"/>
      <c r="AT516" s="3"/>
      <c r="AU516" s="3" t="str">
        <f ca="1">IFERROR(__xludf.DUMMYFUNCTION("""COMPUTED_VALUE"""),"cílený mobilní slide-up")</f>
        <v>cílený mobilní slide-up</v>
      </c>
    </row>
    <row r="517" spans="1:47" x14ac:dyDescent="0.3">
      <c r="A517" s="3">
        <f ca="1"/>
        <v>2346826</v>
      </c>
      <c r="B517" s="3" t="str">
        <f ca="1"/>
        <v>CZECH NEWS CENTER a. s.</v>
      </c>
      <c r="C517" s="3" t="str">
        <f ca="1">IFERROR(__xludf.DUMMYFUNCTION("""COMPUTED_VALUE"""),"Evropa2")</f>
        <v>Evropa2</v>
      </c>
      <c r="D517" s="4" t="str">
        <f ca="1">IFERROR(__xludf.DUMMYFUNCTION("""COMPUTED_VALUE"""),"https://evropa2.cz")</f>
        <v>https://evropa2.cz</v>
      </c>
      <c r="E517" s="3" t="str">
        <f ca="1">IFERROR(__xludf.DUMMYFUNCTION("""COMPUTED_VALUE"""),"celý web")</f>
        <v>celý web</v>
      </c>
      <c r="F517" s="4" t="str">
        <f ca="1">IFERROR(__xludf.DUMMYFUNCTION("""COMPUTED_VALUE"""),"https://evropa2.cz")</f>
        <v>https://evropa2.cz</v>
      </c>
      <c r="G517" s="3" t="str">
        <f ca="1">IFERROR(__xludf.DUMMYFUNCTION("""COMPUTED_VALUE"""),"cílený mobilní viněta mid season")</f>
        <v>cílený mobilní viněta mid season</v>
      </c>
      <c r="H517" s="3">
        <f ca="1">IFERROR(__xludf.DUMMYFUNCTION("""COMPUTED_VALUE"""),7)</f>
        <v>7</v>
      </c>
      <c r="I517" s="5">
        <f ca="1">IFERROR(__xludf.DUMMYFUNCTION("""COMPUTED_VALUE"""),1000)</f>
        <v>1000</v>
      </c>
      <c r="J517" s="5">
        <f ca="1">IFERROR(__xludf.DUMMYFUNCTION("""COMPUTED_VALUE"""),1488)</f>
        <v>1488</v>
      </c>
      <c r="K517" s="3"/>
      <c r="L517" s="3" t="str">
        <f ca="1">IFERROR(__xludf.DUMMYFUNCTION("""COMPUTED_VALUE"""),"Cost per period")</f>
        <v>Cost per period</v>
      </c>
      <c r="M517" s="3"/>
      <c r="N517" s="3"/>
      <c r="O517" s="3" t="str">
        <f ca="1">IFERROR(__xludf.DUMMYFUNCTION("""COMPUTED_VALUE"""),"600")</f>
        <v>600</v>
      </c>
      <c r="P517" s="3" t="str">
        <f ca="1">IFERROR(__xludf.DUMMYFUNCTION("""COMPUTED_VALUE"""),"800")</f>
        <v>800</v>
      </c>
      <c r="Q517" s="3" t="str">
        <f ca="1">IFERROR(__xludf.DUMMYFUNCTION("""COMPUTED_VALUE"""),"300x250 nebo 600x800")</f>
        <v>300x250 nebo 600x800</v>
      </c>
      <c r="R517" s="3"/>
      <c r="S517" s="3" t="str">
        <f ca="1">IFERROR(__xludf.DUMMYFUNCTION("""COMPUTED_VALUE"""),"100")</f>
        <v>100</v>
      </c>
      <c r="T517" s="3"/>
      <c r="U517" s="3" t="str">
        <f ca="1">IFERROR(__xludf.DUMMYFUNCTION("""COMPUTED_VALUE"""),"banner standard")</f>
        <v>banner standard</v>
      </c>
      <c r="V517" s="3"/>
      <c r="W517" s="4" t="str">
        <f ca="1">IFERROR(__xludf.DUMMYFUNCTION("""COMPUTED_VALUE"""),"https://reklama.cncenter.cz/Online/mobilni-vineta")</f>
        <v>https://reklama.cncenter.cz/Online/mobilni-vineta</v>
      </c>
      <c r="X517" s="3"/>
      <c r="Y517" s="3"/>
      <c r="Z517" s="3" t="str">
        <f ca="1">IFERROR(__xludf.DUMMYFUNCTION("""COMPUTED_VALUE"""),"podklady@cncenter.cz")</f>
        <v>podklady@cncenter.cz</v>
      </c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 t="str">
        <f ca="1">IFERROR(__xludf.DUMMYFUNCTION("""COMPUTED_VALUE"""),"mobile")</f>
        <v>mobile</v>
      </c>
      <c r="AO517" s="3"/>
      <c r="AP517" s="3"/>
      <c r="AQ517" s="3"/>
      <c r="AR517" s="3"/>
      <c r="AS517" s="3"/>
      <c r="AT517" s="3"/>
      <c r="AU517" s="3" t="str">
        <f ca="1">IFERROR(__xludf.DUMMYFUNCTION("""COMPUTED_VALUE"""),"cílený mobilní viněta")</f>
        <v>cílený mobilní viněta</v>
      </c>
    </row>
    <row r="518" spans="1:47" x14ac:dyDescent="0.3">
      <c r="A518" s="3">
        <f ca="1"/>
        <v>2346826</v>
      </c>
      <c r="B518" s="3" t="str">
        <f ca="1"/>
        <v>CZECH NEWS CENTER a. s.</v>
      </c>
      <c r="C518" s="3" t="str">
        <f ca="1">IFERROR(__xludf.DUMMYFUNCTION("""COMPUTED_VALUE"""),"Evropa2")</f>
        <v>Evropa2</v>
      </c>
      <c r="D518" s="4" t="str">
        <f ca="1">IFERROR(__xludf.DUMMYFUNCTION("""COMPUTED_VALUE"""),"https://evropa2.cz")</f>
        <v>https://evropa2.cz</v>
      </c>
      <c r="E518" s="3" t="str">
        <f ca="1">IFERROR(__xludf.DUMMYFUNCTION("""COMPUTED_VALUE"""),"celý web")</f>
        <v>celý web</v>
      </c>
      <c r="F518" s="4" t="str">
        <f ca="1">IFERROR(__xludf.DUMMYFUNCTION("""COMPUTED_VALUE"""),"https://evropa2.cz")</f>
        <v>https://evropa2.cz</v>
      </c>
      <c r="G518" s="3" t="str">
        <f ca="1">IFERROR(__xludf.DUMMYFUNCTION("""COMPUTED_VALUE"""),"cílený nativní rectangle cross-device mid season")</f>
        <v>cílený nativní rectangle cross-device mid season</v>
      </c>
      <c r="H518" s="3">
        <f ca="1">IFERROR(__xludf.DUMMYFUNCTION("""COMPUTED_VALUE"""),7)</f>
        <v>7</v>
      </c>
      <c r="I518" s="5">
        <f ca="1">IFERROR(__xludf.DUMMYFUNCTION("""COMPUTED_VALUE"""),1000)</f>
        <v>1000</v>
      </c>
      <c r="J518" s="5">
        <f ca="1">IFERROR(__xludf.DUMMYFUNCTION("""COMPUTED_VALUE"""),336)</f>
        <v>336</v>
      </c>
      <c r="K518" s="3"/>
      <c r="L518" s="3" t="str">
        <f ca="1">IFERROR(__xludf.DUMMYFUNCTION("""COMPUTED_VALUE"""),"Cost per period")</f>
        <v>Cost per period</v>
      </c>
      <c r="M518" s="3"/>
      <c r="N518" s="3"/>
      <c r="O518" s="3" t="str">
        <f ca="1">IFERROR(__xludf.DUMMYFUNCTION("""COMPUTED_VALUE"""),"640")</f>
        <v>640</v>
      </c>
      <c r="P518" s="3" t="str">
        <f ca="1">IFERROR(__xludf.DUMMYFUNCTION("""COMPUTED_VALUE"""),"335, 640")</f>
        <v>335, 640</v>
      </c>
      <c r="Q518" s="3" t="str">
        <f ca="1">IFERROR(__xludf.DUMMYFUNCTION("""COMPUTED_VALUE"""),"640x640 a 640x335 + text + logo")</f>
        <v>640x640 a 640x335 + text + logo</v>
      </c>
      <c r="R518" s="3"/>
      <c r="S518" s="3" t="str">
        <f ca="1">IFERROR(__xludf.DUMMYFUNCTION("""COMPUTED_VALUE"""),"45")</f>
        <v>45</v>
      </c>
      <c r="T518" s="3"/>
      <c r="U518" s="3" t="str">
        <f ca="1">IFERROR(__xludf.DUMMYFUNCTION("""COMPUTED_VALUE"""),"nativní reklama")</f>
        <v>nativní reklama</v>
      </c>
      <c r="V518" s="3"/>
      <c r="W518" s="4" t="str">
        <f ca="1">IFERROR(__xludf.DUMMYFUNCTION("""COMPUTED_VALUE"""),"https://reklama.cncenter.cz/Online/nativni-rectangle-cross-device")</f>
        <v>https://reklama.cncenter.cz/Online/nativni-rectangle-cross-device</v>
      </c>
      <c r="X518" s="3"/>
      <c r="Y518" s="3"/>
      <c r="Z518" s="3" t="str">
        <f ca="1">IFERROR(__xludf.DUMMYFUNCTION("""COMPUTED_VALUE"""),"podklady@cncenter.cz")</f>
        <v>podklady@cncenter.cz</v>
      </c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 t="str">
        <f ca="1">IFERROR(__xludf.DUMMYFUNCTION("""COMPUTED_VALUE"""),"cross-device")</f>
        <v>cross-device</v>
      </c>
      <c r="AO518" s="3"/>
      <c r="AP518" s="3"/>
      <c r="AQ518" s="3"/>
      <c r="AR518" s="3"/>
      <c r="AS518" s="3"/>
      <c r="AT518" s="3"/>
      <c r="AU518" s="3" t="str">
        <f ca="1">IFERROR(__xludf.DUMMYFUNCTION("""COMPUTED_VALUE"""),"cílený nativní rectangle cross-device")</f>
        <v>cílený nativní rectangle cross-device</v>
      </c>
    </row>
    <row r="519" spans="1:47" x14ac:dyDescent="0.3">
      <c r="A519" s="3">
        <f ca="1"/>
        <v>2346826</v>
      </c>
      <c r="B519" s="3" t="str">
        <f ca="1"/>
        <v>CZECH NEWS CENTER a. s.</v>
      </c>
      <c r="C519" s="3" t="str">
        <f ca="1">IFERROR(__xludf.DUMMYFUNCTION("""COMPUTED_VALUE"""),"Evropa2")</f>
        <v>Evropa2</v>
      </c>
      <c r="D519" s="4" t="str">
        <f ca="1">IFERROR(__xludf.DUMMYFUNCTION("""COMPUTED_VALUE"""),"https://evropa2.cz")</f>
        <v>https://evropa2.cz</v>
      </c>
      <c r="E519" s="3" t="str">
        <f ca="1">IFERROR(__xludf.DUMMYFUNCTION("""COMPUTED_VALUE"""),"celý web")</f>
        <v>celý web</v>
      </c>
      <c r="F519" s="4" t="str">
        <f ca="1">IFERROR(__xludf.DUMMYFUNCTION("""COMPUTED_VALUE"""),"https://evropa2.cz")</f>
        <v>https://evropa2.cz</v>
      </c>
      <c r="G519" s="3" t="str">
        <f ca="1">IFERROR(__xludf.DUMMYFUNCTION("""COMPUTED_VALUE"""),"cílený videospot - max. 30 sec. / bumper mid season")</f>
        <v>cílený videospot - max. 30 sec. / bumper mid season</v>
      </c>
      <c r="H519" s="3">
        <f ca="1">IFERROR(__xludf.DUMMYFUNCTION("""COMPUTED_VALUE"""),7)</f>
        <v>7</v>
      </c>
      <c r="I519" s="5">
        <f ca="1">IFERROR(__xludf.DUMMYFUNCTION("""COMPUTED_VALUE"""),1000)</f>
        <v>1000</v>
      </c>
      <c r="J519" s="5">
        <f ca="1">IFERROR(__xludf.DUMMYFUNCTION("""COMPUTED_VALUE"""),1248)</f>
        <v>1248</v>
      </c>
      <c r="K519" s="3"/>
      <c r="L519" s="3" t="str">
        <f ca="1">IFERROR(__xludf.DUMMYFUNCTION("""COMPUTED_VALUE"""),"Cost per period")</f>
        <v>Cost per period</v>
      </c>
      <c r="M519" s="3"/>
      <c r="N519" s="3"/>
      <c r="O519" s="3" t="str">
        <f ca="1">IFERROR(__xludf.DUMMYFUNCTION("""COMPUTED_VALUE"""),"1280")</f>
        <v>1280</v>
      </c>
      <c r="P519" s="3" t="str">
        <f ca="1">IFERROR(__xludf.DUMMYFUNCTION("""COMPUTED_VALUE"""),"720")</f>
        <v>720</v>
      </c>
      <c r="Q519" s="3" t="str">
        <f ca="1">IFERROR(__xludf.DUMMYFUNCTION("""COMPUTED_VALUE"""),"16:9 / umístění po domluvě dle možností")</f>
        <v>16:9 / umístění po domluvě dle možností</v>
      </c>
      <c r="R519" s="3" t="str">
        <f ca="1">IFERROR(__xludf.DUMMYFUNCTION("""COMPUTED_VALUE"""),"přeskočení po 7 sekundách")</f>
        <v>přeskočení po 7 sekundách</v>
      </c>
      <c r="S519" s="3" t="str">
        <f ca="1">IFERROR(__xludf.DUMMYFUNCTION("""COMPUTED_VALUE"""),"100")</f>
        <v>100</v>
      </c>
      <c r="T519" s="3"/>
      <c r="U519" s="3" t="str">
        <f ca="1">IFERROR(__xludf.DUMMYFUNCTION("""COMPUTED_VALUE"""),"videospot")</f>
        <v>videospot</v>
      </c>
      <c r="V519" s="3"/>
      <c r="W519" s="4" t="str">
        <f ca="1">IFERROR(__xludf.DUMMYFUNCTION("""COMPUTED_VALUE"""),"https://reklama.cncenter.cz/Online/Bumper")</f>
        <v>https://reklama.cncenter.cz/Online/Bumper</v>
      </c>
      <c r="X519" s="3"/>
      <c r="Y519" s="3"/>
      <c r="Z519" s="3" t="str">
        <f ca="1">IFERROR(__xludf.DUMMYFUNCTION("""COMPUTED_VALUE"""),"podklady@cncenter.cz")</f>
        <v>podklady@cncenter.cz</v>
      </c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 t="str">
        <f ca="1">IFERROR(__xludf.DUMMYFUNCTION("""COMPUTED_VALUE"""),"cross-device")</f>
        <v>cross-device</v>
      </c>
      <c r="AO519" s="3"/>
      <c r="AP519" s="3"/>
      <c r="AQ519" s="3"/>
      <c r="AR519" s="3"/>
      <c r="AS519" s="3"/>
      <c r="AT519" s="3"/>
      <c r="AU519" s="3" t="str">
        <f ca="1">IFERROR(__xludf.DUMMYFUNCTION("""COMPUTED_VALUE"""),"cílený videospot - max. 30 sec. / bumper")</f>
        <v>cílený videospot - max. 30 sec. / bumper</v>
      </c>
    </row>
    <row r="520" spans="1:47" x14ac:dyDescent="0.3">
      <c r="A520" s="3">
        <f ca="1"/>
        <v>2346826</v>
      </c>
      <c r="B520" s="3" t="str">
        <f ca="1"/>
        <v>CZECH NEWS CENTER a. s.</v>
      </c>
      <c r="C520" s="3" t="str">
        <f ca="1">IFERROR(__xludf.DUMMYFUNCTION("""COMPUTED_VALUE"""),"Evropa2")</f>
        <v>Evropa2</v>
      </c>
      <c r="D520" s="4" t="str">
        <f ca="1">IFERROR(__xludf.DUMMYFUNCTION("""COMPUTED_VALUE"""),"https://evropa2.cz")</f>
        <v>https://evropa2.cz</v>
      </c>
      <c r="E520" s="3" t="str">
        <f ca="1">IFERROR(__xludf.DUMMYFUNCTION("""COMPUTED_VALUE"""),"celý web")</f>
        <v>celý web</v>
      </c>
      <c r="F520" s="4" t="str">
        <f ca="1">IFERROR(__xludf.DUMMYFUNCTION("""COMPUTED_VALUE"""),"https://evropa2.cz")</f>
        <v>https://evropa2.cz</v>
      </c>
      <c r="G520" s="3" t="str">
        <f ca="1">IFERROR(__xludf.DUMMYFUNCTION("""COMPUTED_VALUE"""),"double skyscraper mid season")</f>
        <v>double skyscraper mid season</v>
      </c>
      <c r="H520" s="3">
        <f ca="1">IFERROR(__xludf.DUMMYFUNCTION("""COMPUTED_VALUE"""),7)</f>
        <v>7</v>
      </c>
      <c r="I520" s="5">
        <f ca="1">IFERROR(__xludf.DUMMYFUNCTION("""COMPUTED_VALUE"""),1000)</f>
        <v>1000</v>
      </c>
      <c r="J520" s="5">
        <f ca="1">IFERROR(__xludf.DUMMYFUNCTION("""COMPUTED_VALUE"""),270)</f>
        <v>270</v>
      </c>
      <c r="K520" s="3"/>
      <c r="L520" s="3" t="str">
        <f ca="1">IFERROR(__xludf.DUMMYFUNCTION("""COMPUTED_VALUE"""),"Cost per period")</f>
        <v>Cost per period</v>
      </c>
      <c r="M520" s="3"/>
      <c r="N520" s="3"/>
      <c r="O520" s="3" t="str">
        <f ca="1">IFERROR(__xludf.DUMMYFUNCTION("""COMPUTED_VALUE"""),"300")</f>
        <v>300</v>
      </c>
      <c r="P520" s="3" t="str">
        <f ca="1">IFERROR(__xludf.DUMMYFUNCTION("""COMPUTED_VALUE"""),"600")</f>
        <v>600</v>
      </c>
      <c r="Q520" s="3" t="str">
        <f ca="1">IFERROR(__xludf.DUMMYFUNCTION("""COMPUTED_VALUE"""),"300x600")</f>
        <v>300x600</v>
      </c>
      <c r="R520" s="3"/>
      <c r="S520" s="3" t="str">
        <f ca="1">IFERROR(__xludf.DUMMYFUNCTION("""COMPUTED_VALUE"""),"100 (200 - HTML5)")</f>
        <v>100 (200 - HTML5)</v>
      </c>
      <c r="T520" s="3"/>
      <c r="U520" s="3" t="str">
        <f ca="1">IFERROR(__xludf.DUMMYFUNCTION("""COMPUTED_VALUE"""),"banner standard")</f>
        <v>banner standard</v>
      </c>
      <c r="V520" s="3"/>
      <c r="W520" s="4" t="str">
        <f ca="1">IFERROR(__xludf.DUMMYFUNCTION("""COMPUTED_VALUE"""),"https://reklama.cncenter.cz/Online/double-skyscraper")</f>
        <v>https://reklama.cncenter.cz/Online/double-skyscraper</v>
      </c>
      <c r="X520" s="3"/>
      <c r="Y520" s="3"/>
      <c r="Z520" s="3" t="str">
        <f ca="1">IFERROR(__xludf.DUMMYFUNCTION("""COMPUTED_VALUE"""),"podklady@cncenter.cz")</f>
        <v>podklady@cncenter.cz</v>
      </c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 t="str">
        <f ca="1">IFERROR(__xludf.DUMMYFUNCTION("""COMPUTED_VALUE"""),"desktop")</f>
        <v>desktop</v>
      </c>
      <c r="AO520" s="3"/>
      <c r="AP520" s="3"/>
      <c r="AQ520" s="3"/>
      <c r="AR520" s="3"/>
      <c r="AS520" s="3"/>
      <c r="AT520" s="3"/>
      <c r="AU520" s="3" t="str">
        <f ca="1">IFERROR(__xludf.DUMMYFUNCTION("""COMPUTED_VALUE"""),"double skyscraper")</f>
        <v>double skyscraper</v>
      </c>
    </row>
    <row r="521" spans="1:47" x14ac:dyDescent="0.3">
      <c r="A521" s="3">
        <f ca="1"/>
        <v>2346826</v>
      </c>
      <c r="B521" s="3" t="str">
        <f ca="1"/>
        <v>CZECH NEWS CENTER a. s.</v>
      </c>
      <c r="C521" s="3" t="str">
        <f ca="1">IFERROR(__xludf.DUMMYFUNCTION("""COMPUTED_VALUE"""),"Evropa2")</f>
        <v>Evropa2</v>
      </c>
      <c r="D521" s="4" t="str">
        <f ca="1">IFERROR(__xludf.DUMMYFUNCTION("""COMPUTED_VALUE"""),"https://evropa2.cz")</f>
        <v>https://evropa2.cz</v>
      </c>
      <c r="E521" s="3" t="str">
        <f ca="1">IFERROR(__xludf.DUMMYFUNCTION("""COMPUTED_VALUE"""),"celý web")</f>
        <v>celý web</v>
      </c>
      <c r="F521" s="4" t="str">
        <f ca="1">IFERROR(__xludf.DUMMYFUNCTION("""COMPUTED_VALUE"""),"https://evropa2.cz")</f>
        <v>https://evropa2.cz</v>
      </c>
      <c r="G521" s="3" t="str">
        <f ca="1">IFERROR(__xludf.DUMMYFUNCTION("""COMPUTED_VALUE"""),"mini videospot - max. 30 sec. mid season")</f>
        <v>mini videospot - max. 30 sec. mid season</v>
      </c>
      <c r="H521" s="3">
        <f ca="1">IFERROR(__xludf.DUMMYFUNCTION("""COMPUTED_VALUE"""),7)</f>
        <v>7</v>
      </c>
      <c r="I521" s="5">
        <f ca="1">IFERROR(__xludf.DUMMYFUNCTION("""COMPUTED_VALUE"""),1000)</f>
        <v>1000</v>
      </c>
      <c r="J521" s="5">
        <f ca="1">IFERROR(__xludf.DUMMYFUNCTION("""COMPUTED_VALUE"""),200)</f>
        <v>200</v>
      </c>
      <c r="K521" s="3"/>
      <c r="L521" s="3" t="str">
        <f ca="1">IFERROR(__xludf.DUMMYFUNCTION("""COMPUTED_VALUE"""),"Cost per period")</f>
        <v>Cost per period</v>
      </c>
      <c r="M521" s="3"/>
      <c r="N521" s="3"/>
      <c r="O521" s="3"/>
      <c r="P521" s="3"/>
      <c r="Q521" s="3" t="str">
        <f ca="1">IFERROR(__xludf.DUMMYFUNCTION("""COMPUTED_VALUE"""),"16:9 / umístění po domluvě dle možností")</f>
        <v>16:9 / umístění po domluvě dle možností</v>
      </c>
      <c r="R521" s="3" t="str">
        <f ca="1">IFERROR(__xludf.DUMMYFUNCTION("""COMPUTED_VALUE"""),"přeskočení po 7 sekundách")</f>
        <v>přeskočení po 7 sekundách</v>
      </c>
      <c r="S521" s="3" t="str">
        <f ca="1">IFERROR(__xludf.DUMMYFUNCTION("""COMPUTED_VALUE"""),"100")</f>
        <v>100</v>
      </c>
      <c r="T521" s="3"/>
      <c r="U521" s="3" t="str">
        <f ca="1">IFERROR(__xludf.DUMMYFUNCTION("""COMPUTED_VALUE"""),"videospot")</f>
        <v>videospot</v>
      </c>
      <c r="V521" s="3"/>
      <c r="W521" s="4" t="str">
        <f ca="1">IFERROR(__xludf.DUMMYFUNCTION("""COMPUTED_VALUE"""),"https://reklama.cncenter.cz/Online/Videospot")</f>
        <v>https://reklama.cncenter.cz/Online/Videospot</v>
      </c>
      <c r="X521" s="3"/>
      <c r="Y521" s="3"/>
      <c r="Z521" s="3" t="str">
        <f ca="1">IFERROR(__xludf.DUMMYFUNCTION("""COMPUTED_VALUE"""),"podklady@cncenter.cz")</f>
        <v>podklady@cncenter.cz</v>
      </c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 t="str">
        <f ca="1">IFERROR(__xludf.DUMMYFUNCTION("""COMPUTED_VALUE"""),"desktop")</f>
        <v>desktop</v>
      </c>
      <c r="AO521" s="3"/>
      <c r="AP521" s="3"/>
      <c r="AQ521" s="3"/>
      <c r="AR521" s="3"/>
      <c r="AS521" s="3"/>
      <c r="AT521" s="3"/>
      <c r="AU521" s="3" t="str">
        <f ca="1">IFERROR(__xludf.DUMMYFUNCTION("""COMPUTED_VALUE"""),"mini videospot - max. 30 sec.")</f>
        <v>mini videospot - max. 30 sec.</v>
      </c>
    </row>
    <row r="522" spans="1:47" x14ac:dyDescent="0.3">
      <c r="A522" s="3">
        <f ca="1"/>
        <v>2346826</v>
      </c>
      <c r="B522" s="3" t="str">
        <f ca="1"/>
        <v>CZECH NEWS CENTER a. s.</v>
      </c>
      <c r="C522" s="3" t="str">
        <f ca="1">IFERROR(__xludf.DUMMYFUNCTION("""COMPUTED_VALUE"""),"Evropa2")</f>
        <v>Evropa2</v>
      </c>
      <c r="D522" s="4" t="str">
        <f ca="1">IFERROR(__xludf.DUMMYFUNCTION("""COMPUTED_VALUE"""),"https://evropa2.cz")</f>
        <v>https://evropa2.cz</v>
      </c>
      <c r="E522" s="3" t="str">
        <f ca="1">IFERROR(__xludf.DUMMYFUNCTION("""COMPUTED_VALUE"""),"celý web")</f>
        <v>celý web</v>
      </c>
      <c r="F522" s="4" t="str">
        <f ca="1">IFERROR(__xludf.DUMMYFUNCTION("""COMPUTED_VALUE"""),"https://evropa2.cz")</f>
        <v>https://evropa2.cz</v>
      </c>
      <c r="G522" s="3" t="str">
        <f ca="1">IFERROR(__xludf.DUMMYFUNCTION("""COMPUTED_VALUE"""),"mobilní interscroller mid season")</f>
        <v>mobilní interscroller mid season</v>
      </c>
      <c r="H522" s="3">
        <f ca="1">IFERROR(__xludf.DUMMYFUNCTION("""COMPUTED_VALUE"""),7)</f>
        <v>7</v>
      </c>
      <c r="I522" s="5">
        <f ca="1">IFERROR(__xludf.DUMMYFUNCTION("""COMPUTED_VALUE"""),1000)</f>
        <v>1000</v>
      </c>
      <c r="J522" s="5">
        <f ca="1">IFERROR(__xludf.DUMMYFUNCTION("""COMPUTED_VALUE"""),350)</f>
        <v>350</v>
      </c>
      <c r="K522" s="3"/>
      <c r="L522" s="3" t="str">
        <f ca="1">IFERROR(__xludf.DUMMYFUNCTION("""COMPUTED_VALUE"""),"Cost per period")</f>
        <v>Cost per period</v>
      </c>
      <c r="M522" s="3"/>
      <c r="N522" s="3"/>
      <c r="O522" s="3" t="str">
        <f ca="1">IFERROR(__xludf.DUMMYFUNCTION("""COMPUTED_VALUE"""),"600")</f>
        <v>600</v>
      </c>
      <c r="P522" s="3" t="str">
        <f ca="1">IFERROR(__xludf.DUMMYFUNCTION("""COMPUTED_VALUE"""),"1080")</f>
        <v>1080</v>
      </c>
      <c r="Q522" s="3" t="str">
        <f ca="1">IFERROR(__xludf.DUMMYFUNCTION("""COMPUTED_VALUE"""),"600x1080")</f>
        <v>600x1080</v>
      </c>
      <c r="R522" s="3"/>
      <c r="S522" s="3" t="str">
        <f ca="1">IFERROR(__xludf.DUMMYFUNCTION("""COMPUTED_VALUE"""),"200")</f>
        <v>200</v>
      </c>
      <c r="T522" s="3"/>
      <c r="U522" s="3" t="str">
        <f ca="1">IFERROR(__xludf.DUMMYFUNCTION("""COMPUTED_VALUE"""),"banner standard")</f>
        <v>banner standard</v>
      </c>
      <c r="V522" s="3"/>
      <c r="W522" s="4" t="str">
        <f ca="1">IFERROR(__xludf.DUMMYFUNCTION("""COMPUTED_VALUE"""),"https://reklama.cncenter.cz/Online/mobilni-interscroller")</f>
        <v>https://reklama.cncenter.cz/Online/mobilni-interscroller</v>
      </c>
      <c r="X522" s="3"/>
      <c r="Y522" s="3"/>
      <c r="Z522" s="3" t="str">
        <f ca="1">IFERROR(__xludf.DUMMYFUNCTION("""COMPUTED_VALUE"""),"podklady@cncenter.cz")</f>
        <v>podklady@cncenter.cz</v>
      </c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 t="str">
        <f ca="1">IFERROR(__xludf.DUMMYFUNCTION("""COMPUTED_VALUE"""),"mobile")</f>
        <v>mobile</v>
      </c>
      <c r="AO522" s="3"/>
      <c r="AP522" s="3"/>
      <c r="AQ522" s="3"/>
      <c r="AR522" s="3"/>
      <c r="AS522" s="3"/>
      <c r="AT522" s="3"/>
      <c r="AU522" s="3" t="str">
        <f ca="1">IFERROR(__xludf.DUMMYFUNCTION("""COMPUTED_VALUE"""),"mobilní interscroller")</f>
        <v>mobilní interscroller</v>
      </c>
    </row>
    <row r="523" spans="1:47" x14ac:dyDescent="0.3">
      <c r="A523" s="3">
        <f ca="1"/>
        <v>2346826</v>
      </c>
      <c r="B523" s="3" t="str">
        <f ca="1"/>
        <v>CZECH NEWS CENTER a. s.</v>
      </c>
      <c r="C523" s="3" t="str">
        <f ca="1">IFERROR(__xludf.DUMMYFUNCTION("""COMPUTED_VALUE"""),"Evropa2")</f>
        <v>Evropa2</v>
      </c>
      <c r="D523" s="4" t="str">
        <f ca="1">IFERROR(__xludf.DUMMYFUNCTION("""COMPUTED_VALUE"""),"https://evropa2.cz")</f>
        <v>https://evropa2.cz</v>
      </c>
      <c r="E523" s="3" t="str">
        <f ca="1">IFERROR(__xludf.DUMMYFUNCTION("""COMPUTED_VALUE"""),"celý web")</f>
        <v>celý web</v>
      </c>
      <c r="F523" s="4" t="str">
        <f ca="1">IFERROR(__xludf.DUMMYFUNCTION("""COMPUTED_VALUE"""),"https://evropa2.cz")</f>
        <v>https://evropa2.cz</v>
      </c>
      <c r="G523" s="3" t="str">
        <f ca="1">IFERROR(__xludf.DUMMYFUNCTION("""COMPUTED_VALUE"""),"mobilní slide-up mid season")</f>
        <v>mobilní slide-up mid season</v>
      </c>
      <c r="H523" s="3">
        <f ca="1">IFERROR(__xludf.DUMMYFUNCTION("""COMPUTED_VALUE"""),7)</f>
        <v>7</v>
      </c>
      <c r="I523" s="5">
        <f ca="1">IFERROR(__xludf.DUMMYFUNCTION("""COMPUTED_VALUE"""),1000)</f>
        <v>1000</v>
      </c>
      <c r="J523" s="5">
        <f ca="1">IFERROR(__xludf.DUMMYFUNCTION("""COMPUTED_VALUE"""),720)</f>
        <v>720</v>
      </c>
      <c r="K523" s="3"/>
      <c r="L523" s="3" t="str">
        <f ca="1">IFERROR(__xludf.DUMMYFUNCTION("""COMPUTED_VALUE"""),"Cost per period")</f>
        <v>Cost per period</v>
      </c>
      <c r="M523" s="3"/>
      <c r="N523" s="3"/>
      <c r="O523" s="3" t="str">
        <f ca="1">IFERROR(__xludf.DUMMYFUNCTION("""COMPUTED_VALUE"""),"300")</f>
        <v>300</v>
      </c>
      <c r="P523" s="3" t="str">
        <f ca="1">IFERROR(__xludf.DUMMYFUNCTION("""COMPUTED_VALUE"""),"120")</f>
        <v>120</v>
      </c>
      <c r="Q523" s="3" t="str">
        <f ca="1">IFERROR(__xludf.DUMMYFUNCTION("""COMPUTED_VALUE"""),"300x120")</f>
        <v>300x120</v>
      </c>
      <c r="R523" s="3"/>
      <c r="S523" s="3" t="str">
        <f ca="1">IFERROR(__xludf.DUMMYFUNCTION("""COMPUTED_VALUE"""),"100")</f>
        <v>100</v>
      </c>
      <c r="T523" s="3"/>
      <c r="U523" s="3" t="str">
        <f ca="1">IFERROR(__xludf.DUMMYFUNCTION("""COMPUTED_VALUE"""),"banner standard")</f>
        <v>banner standard</v>
      </c>
      <c r="V523" s="3"/>
      <c r="W523" s="4" t="str">
        <f ca="1">IFERROR(__xludf.DUMMYFUNCTION("""COMPUTED_VALUE"""),"https://reklama.cncenter.cz/Online/mobilni-slide-up")</f>
        <v>https://reklama.cncenter.cz/Online/mobilni-slide-up</v>
      </c>
      <c r="X523" s="3"/>
      <c r="Y523" s="3"/>
      <c r="Z523" s="3" t="str">
        <f ca="1">IFERROR(__xludf.DUMMYFUNCTION("""COMPUTED_VALUE"""),"podklady@cncenter.cz")</f>
        <v>podklady@cncenter.cz</v>
      </c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 t="str">
        <f ca="1">IFERROR(__xludf.DUMMYFUNCTION("""COMPUTED_VALUE"""),"mobile")</f>
        <v>mobile</v>
      </c>
      <c r="AO523" s="3"/>
      <c r="AP523" s="3"/>
      <c r="AQ523" s="3"/>
      <c r="AR523" s="3"/>
      <c r="AS523" s="3"/>
      <c r="AT523" s="3"/>
      <c r="AU523" s="3" t="str">
        <f ca="1">IFERROR(__xludf.DUMMYFUNCTION("""COMPUTED_VALUE"""),"mobilní slide-up")</f>
        <v>mobilní slide-up</v>
      </c>
    </row>
    <row r="524" spans="1:47" x14ac:dyDescent="0.3">
      <c r="A524" s="3">
        <f ca="1"/>
        <v>2346826</v>
      </c>
      <c r="B524" s="3" t="str">
        <f ca="1"/>
        <v>CZECH NEWS CENTER a. s.</v>
      </c>
      <c r="C524" s="3" t="str">
        <f ca="1">IFERROR(__xludf.DUMMYFUNCTION("""COMPUTED_VALUE"""),"Evropa2")</f>
        <v>Evropa2</v>
      </c>
      <c r="D524" s="4" t="str">
        <f ca="1">IFERROR(__xludf.DUMMYFUNCTION("""COMPUTED_VALUE"""),"https://evropa2.cz")</f>
        <v>https://evropa2.cz</v>
      </c>
      <c r="E524" s="3" t="str">
        <f ca="1">IFERROR(__xludf.DUMMYFUNCTION("""COMPUTED_VALUE"""),"celý web")</f>
        <v>celý web</v>
      </c>
      <c r="F524" s="4" t="str">
        <f ca="1">IFERROR(__xludf.DUMMYFUNCTION("""COMPUTED_VALUE"""),"https://evropa2.cz")</f>
        <v>https://evropa2.cz</v>
      </c>
      <c r="G524" s="3" t="str">
        <f ca="1">IFERROR(__xludf.DUMMYFUNCTION("""COMPUTED_VALUE"""),"mobilní viněta mid season")</f>
        <v>mobilní viněta mid season</v>
      </c>
      <c r="H524" s="3">
        <f ca="1">IFERROR(__xludf.DUMMYFUNCTION("""COMPUTED_VALUE"""),7)</f>
        <v>7</v>
      </c>
      <c r="I524" s="5">
        <f ca="1">IFERROR(__xludf.DUMMYFUNCTION("""COMPUTED_VALUE"""),1000)</f>
        <v>1000</v>
      </c>
      <c r="J524" s="5">
        <f ca="1">IFERROR(__xludf.DUMMYFUNCTION("""COMPUTED_VALUE"""),1240)</f>
        <v>1240</v>
      </c>
      <c r="K524" s="3"/>
      <c r="L524" s="3" t="str">
        <f ca="1">IFERROR(__xludf.DUMMYFUNCTION("""COMPUTED_VALUE"""),"Cost per period")</f>
        <v>Cost per period</v>
      </c>
      <c r="M524" s="3"/>
      <c r="N524" s="3"/>
      <c r="O524" s="3" t="str">
        <f ca="1">IFERROR(__xludf.DUMMYFUNCTION("""COMPUTED_VALUE"""),"600")</f>
        <v>600</v>
      </c>
      <c r="P524" s="3" t="str">
        <f ca="1">IFERROR(__xludf.DUMMYFUNCTION("""COMPUTED_VALUE"""),"800")</f>
        <v>800</v>
      </c>
      <c r="Q524" s="3" t="str">
        <f ca="1">IFERROR(__xludf.DUMMYFUNCTION("""COMPUTED_VALUE"""),"300x250 nebo 600x800")</f>
        <v>300x250 nebo 600x800</v>
      </c>
      <c r="R524" s="3"/>
      <c r="S524" s="3" t="str">
        <f ca="1">IFERROR(__xludf.DUMMYFUNCTION("""COMPUTED_VALUE"""),"100")</f>
        <v>100</v>
      </c>
      <c r="T524" s="3"/>
      <c r="U524" s="3" t="str">
        <f ca="1">IFERROR(__xludf.DUMMYFUNCTION("""COMPUTED_VALUE"""),"banner standard")</f>
        <v>banner standard</v>
      </c>
      <c r="V524" s="3"/>
      <c r="W524" s="4" t="str">
        <f ca="1">IFERROR(__xludf.DUMMYFUNCTION("""COMPUTED_VALUE"""),"https://reklama.cncenter.cz/Online/mobilni-vineta")</f>
        <v>https://reklama.cncenter.cz/Online/mobilni-vineta</v>
      </c>
      <c r="X524" s="3"/>
      <c r="Y524" s="3"/>
      <c r="Z524" s="3" t="str">
        <f ca="1">IFERROR(__xludf.DUMMYFUNCTION("""COMPUTED_VALUE"""),"podklady@cncenter.cz")</f>
        <v>podklady@cncenter.cz</v>
      </c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 t="str">
        <f ca="1">IFERROR(__xludf.DUMMYFUNCTION("""COMPUTED_VALUE"""),"mobile")</f>
        <v>mobile</v>
      </c>
      <c r="AO524" s="3"/>
      <c r="AP524" s="3"/>
      <c r="AQ524" s="3"/>
      <c r="AR524" s="3"/>
      <c r="AS524" s="3"/>
      <c r="AT524" s="3"/>
      <c r="AU524" s="3" t="str">
        <f ca="1">IFERROR(__xludf.DUMMYFUNCTION("""COMPUTED_VALUE"""),"mobilní viněta")</f>
        <v>mobilní viněta</v>
      </c>
    </row>
    <row r="525" spans="1:47" x14ac:dyDescent="0.3">
      <c r="A525" s="3">
        <f ca="1"/>
        <v>2346826</v>
      </c>
      <c r="B525" s="3" t="str">
        <f ca="1"/>
        <v>CZECH NEWS CENTER a. s.</v>
      </c>
      <c r="C525" s="3" t="str">
        <f ca="1">IFERROR(__xludf.DUMMYFUNCTION("""COMPUTED_VALUE"""),"Evropa2")</f>
        <v>Evropa2</v>
      </c>
      <c r="D525" s="4" t="str">
        <f ca="1">IFERROR(__xludf.DUMMYFUNCTION("""COMPUTED_VALUE"""),"https://evropa2.cz")</f>
        <v>https://evropa2.cz</v>
      </c>
      <c r="E525" s="3" t="str">
        <f ca="1">IFERROR(__xludf.DUMMYFUNCTION("""COMPUTED_VALUE"""),"celý web")</f>
        <v>celý web</v>
      </c>
      <c r="F525" s="4" t="str">
        <f ca="1">IFERROR(__xludf.DUMMYFUNCTION("""COMPUTED_VALUE"""),"https://evropa2.cz")</f>
        <v>https://evropa2.cz</v>
      </c>
      <c r="G525" s="3" t="str">
        <f ca="1">IFERROR(__xludf.DUMMYFUNCTION("""COMPUTED_VALUE"""),"nativní rectangle cross-device mid season")</f>
        <v>nativní rectangle cross-device mid season</v>
      </c>
      <c r="H525" s="3">
        <f ca="1">IFERROR(__xludf.DUMMYFUNCTION("""COMPUTED_VALUE"""),7)</f>
        <v>7</v>
      </c>
      <c r="I525" s="5">
        <f ca="1">IFERROR(__xludf.DUMMYFUNCTION("""COMPUTED_VALUE"""),1000)</f>
        <v>1000</v>
      </c>
      <c r="J525" s="5">
        <f ca="1">IFERROR(__xludf.DUMMYFUNCTION("""COMPUTED_VALUE"""),280)</f>
        <v>280</v>
      </c>
      <c r="K525" s="3"/>
      <c r="L525" s="3" t="str">
        <f ca="1">IFERROR(__xludf.DUMMYFUNCTION("""COMPUTED_VALUE"""),"Cost per period")</f>
        <v>Cost per period</v>
      </c>
      <c r="M525" s="3"/>
      <c r="N525" s="3"/>
      <c r="O525" s="3" t="str">
        <f ca="1">IFERROR(__xludf.DUMMYFUNCTION("""COMPUTED_VALUE"""),"640")</f>
        <v>640</v>
      </c>
      <c r="P525" s="3" t="str">
        <f ca="1">IFERROR(__xludf.DUMMYFUNCTION("""COMPUTED_VALUE"""),"335, 640")</f>
        <v>335, 640</v>
      </c>
      <c r="Q525" s="3" t="str">
        <f ca="1">IFERROR(__xludf.DUMMYFUNCTION("""COMPUTED_VALUE"""),"640x640 a 640x335 + text + logo")</f>
        <v>640x640 a 640x335 + text + logo</v>
      </c>
      <c r="R525" s="3"/>
      <c r="S525" s="3" t="str">
        <f ca="1">IFERROR(__xludf.DUMMYFUNCTION("""COMPUTED_VALUE"""),"45")</f>
        <v>45</v>
      </c>
      <c r="T525" s="3"/>
      <c r="U525" s="3" t="str">
        <f ca="1">IFERROR(__xludf.DUMMYFUNCTION("""COMPUTED_VALUE"""),"nativní reklama")</f>
        <v>nativní reklama</v>
      </c>
      <c r="V525" s="3"/>
      <c r="W525" s="4" t="str">
        <f ca="1">IFERROR(__xludf.DUMMYFUNCTION("""COMPUTED_VALUE"""),"https://reklama.cncenter.cz/Online/nativni-rectangle-cross-device")</f>
        <v>https://reklama.cncenter.cz/Online/nativni-rectangle-cross-device</v>
      </c>
      <c r="X525" s="3"/>
      <c r="Y525" s="3"/>
      <c r="Z525" s="3" t="str">
        <f ca="1">IFERROR(__xludf.DUMMYFUNCTION("""COMPUTED_VALUE"""),"podklady@cncenter.cz")</f>
        <v>podklady@cncenter.cz</v>
      </c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 t="str">
        <f ca="1">IFERROR(__xludf.DUMMYFUNCTION("""COMPUTED_VALUE"""),"cross-device")</f>
        <v>cross-device</v>
      </c>
      <c r="AO525" s="3"/>
      <c r="AP525" s="3"/>
      <c r="AQ525" s="3"/>
      <c r="AR525" s="3"/>
      <c r="AS525" s="3"/>
      <c r="AT525" s="3"/>
      <c r="AU525" s="3" t="str">
        <f ca="1">IFERROR(__xludf.DUMMYFUNCTION("""COMPUTED_VALUE"""),"nativní rectangle cross-device")</f>
        <v>nativní rectangle cross-device</v>
      </c>
    </row>
    <row r="526" spans="1:47" x14ac:dyDescent="0.3">
      <c r="A526" s="3">
        <f ca="1"/>
        <v>2346826</v>
      </c>
      <c r="B526" s="3" t="str">
        <f ca="1"/>
        <v>CZECH NEWS CENTER a. s.</v>
      </c>
      <c r="C526" s="3" t="str">
        <f ca="1">IFERROR(__xludf.DUMMYFUNCTION("""COMPUTED_VALUE"""),"Evropa2")</f>
        <v>Evropa2</v>
      </c>
      <c r="D526" s="4" t="str">
        <f ca="1">IFERROR(__xludf.DUMMYFUNCTION("""COMPUTED_VALUE"""),"https://evropa2.cz")</f>
        <v>https://evropa2.cz</v>
      </c>
      <c r="E526" s="3" t="str">
        <f ca="1">IFERROR(__xludf.DUMMYFUNCTION("""COMPUTED_VALUE"""),"celý web")</f>
        <v>celý web</v>
      </c>
      <c r="F526" s="4" t="str">
        <f ca="1">IFERROR(__xludf.DUMMYFUNCTION("""COMPUTED_VALUE"""),"https://evropa2.cz")</f>
        <v>https://evropa2.cz</v>
      </c>
      <c r="G526" s="3" t="str">
        <f ca="1">IFERROR(__xludf.DUMMYFUNCTION("""COMPUTED_VALUE"""),"videospot - max. 30 sec. / bumper mid season")</f>
        <v>videospot - max. 30 sec. / bumper mid season</v>
      </c>
      <c r="H526" s="3">
        <f ca="1">IFERROR(__xludf.DUMMYFUNCTION("""COMPUTED_VALUE"""),7)</f>
        <v>7</v>
      </c>
      <c r="I526" s="5">
        <f ca="1">IFERROR(__xludf.DUMMYFUNCTION("""COMPUTED_VALUE"""),1000)</f>
        <v>1000</v>
      </c>
      <c r="J526" s="5">
        <f ca="1">IFERROR(__xludf.DUMMYFUNCTION("""COMPUTED_VALUE"""),1040)</f>
        <v>1040</v>
      </c>
      <c r="K526" s="3"/>
      <c r="L526" s="3" t="str">
        <f ca="1">IFERROR(__xludf.DUMMYFUNCTION("""COMPUTED_VALUE"""),"Cost per period")</f>
        <v>Cost per period</v>
      </c>
      <c r="M526" s="3"/>
      <c r="N526" s="3"/>
      <c r="O526" s="3" t="str">
        <f ca="1">IFERROR(__xludf.DUMMYFUNCTION("""COMPUTED_VALUE"""),"1280")</f>
        <v>1280</v>
      </c>
      <c r="P526" s="3" t="str">
        <f ca="1">IFERROR(__xludf.DUMMYFUNCTION("""COMPUTED_VALUE"""),"720")</f>
        <v>720</v>
      </c>
      <c r="Q526" s="3" t="str">
        <f ca="1">IFERROR(__xludf.DUMMYFUNCTION("""COMPUTED_VALUE"""),"16:9 / umístění po domluvě dle možností")</f>
        <v>16:9 / umístění po domluvě dle možností</v>
      </c>
      <c r="R526" s="3" t="str">
        <f ca="1">IFERROR(__xludf.DUMMYFUNCTION("""COMPUTED_VALUE"""),"přeskočení po 7 sekundách")</f>
        <v>přeskočení po 7 sekundách</v>
      </c>
      <c r="S526" s="3" t="str">
        <f ca="1">IFERROR(__xludf.DUMMYFUNCTION("""COMPUTED_VALUE"""),"100")</f>
        <v>100</v>
      </c>
      <c r="T526" s="3"/>
      <c r="U526" s="3" t="str">
        <f ca="1">IFERROR(__xludf.DUMMYFUNCTION("""COMPUTED_VALUE"""),"videospot")</f>
        <v>videospot</v>
      </c>
      <c r="V526" s="3"/>
      <c r="W526" s="4" t="str">
        <f ca="1">IFERROR(__xludf.DUMMYFUNCTION("""COMPUTED_VALUE"""),"https://reklama.cncenter.cz/Online/Bumper")</f>
        <v>https://reklama.cncenter.cz/Online/Bumper</v>
      </c>
      <c r="X526" s="3"/>
      <c r="Y526" s="3"/>
      <c r="Z526" s="3" t="str">
        <f ca="1">IFERROR(__xludf.DUMMYFUNCTION("""COMPUTED_VALUE"""),"podklady@cncenter.cz")</f>
        <v>podklady@cncenter.cz</v>
      </c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 t="str">
        <f ca="1">IFERROR(__xludf.DUMMYFUNCTION("""COMPUTED_VALUE"""),"cross-device")</f>
        <v>cross-device</v>
      </c>
      <c r="AO526" s="3"/>
      <c r="AP526" s="3"/>
      <c r="AQ526" s="3"/>
      <c r="AR526" s="3"/>
      <c r="AS526" s="3"/>
      <c r="AT526" s="3"/>
      <c r="AU526" s="3" t="str">
        <f ca="1">IFERROR(__xludf.DUMMYFUNCTION("""COMPUTED_VALUE"""),"videospot - max. 30 sec. / bumper")</f>
        <v>videospot - max. 30 sec. / bumper</v>
      </c>
    </row>
    <row r="527" spans="1:47" x14ac:dyDescent="0.3">
      <c r="A527" s="3">
        <f ca="1"/>
        <v>2346826</v>
      </c>
      <c r="B527" s="3" t="str">
        <f ca="1"/>
        <v>CZECH NEWS CENTER a. s.</v>
      </c>
      <c r="C527" s="3" t="str">
        <f ca="1">IFERROR(__xludf.DUMMYFUNCTION("""COMPUTED_VALUE"""),"F1 sport")</f>
        <v>F1 sport</v>
      </c>
      <c r="D527" s="4" t="str">
        <f ca="1">IFERROR(__xludf.DUMMYFUNCTION("""COMPUTED_VALUE"""),"https://f1sport.auto.cz")</f>
        <v>https://f1sport.auto.cz</v>
      </c>
      <c r="E527" s="3" t="str">
        <f ca="1">IFERROR(__xludf.DUMMYFUNCTION("""COMPUTED_VALUE"""),"celý web")</f>
        <v>celý web</v>
      </c>
      <c r="F527" s="4" t="str">
        <f ca="1">IFERROR(__xludf.DUMMYFUNCTION("""COMPUTED_VALUE"""),"https://f1sport.auto.cz")</f>
        <v>https://f1sport.auto.cz</v>
      </c>
      <c r="G527" s="3" t="str">
        <f ca="1">IFERROR(__xludf.DUMMYFUNCTION("""COMPUTED_VALUE"""),"Advertorial mid season")</f>
        <v>Advertorial mid season</v>
      </c>
      <c r="H527" s="3">
        <f ca="1">IFERROR(__xludf.DUMMYFUNCTION("""COMPUTED_VALUE"""),1)</f>
        <v>1</v>
      </c>
      <c r="I527" s="5">
        <f ca="1">IFERROR(__xludf.DUMMYFUNCTION("""COMPUTED_VALUE"""),1)</f>
        <v>1</v>
      </c>
      <c r="J527" s="5">
        <f ca="1">IFERROR(__xludf.DUMMYFUNCTION("""COMPUTED_VALUE"""),90000)</f>
        <v>90000</v>
      </c>
      <c r="K527" s="3"/>
      <c r="L527" s="3" t="str">
        <f ca="1">IFERROR(__xludf.DUMMYFUNCTION("""COMPUTED_VALUE"""),"Cost per instance")</f>
        <v>Cost per instance</v>
      </c>
      <c r="M527" s="3"/>
      <c r="N527" s="3"/>
      <c r="O527" s="3"/>
      <c r="P527" s="3"/>
      <c r="Q527" s="3"/>
      <c r="R527" s="3"/>
      <c r="S527" s="3" t="str">
        <f ca="1">IFERROR(__xludf.DUMMYFUNCTION("""COMPUTED_VALUE"""),"100")</f>
        <v>100</v>
      </c>
      <c r="T527" s="3"/>
      <c r="U527" s="3" t="str">
        <f ca="1">IFERROR(__xludf.DUMMYFUNCTION("""COMPUTED_VALUE"""),"pr článek")</f>
        <v>pr článek</v>
      </c>
      <c r="V527" s="3"/>
      <c r="W527" s="3"/>
      <c r="X527" s="3"/>
      <c r="Y527" s="3"/>
      <c r="Z527" s="3" t="str">
        <f ca="1">IFERROR(__xludf.DUMMYFUNCTION("""COMPUTED_VALUE"""),"podklady@cncenter.cz")</f>
        <v>podklady@cncenter.cz</v>
      </c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 t="str">
        <f ca="1">IFERROR(__xludf.DUMMYFUNCTION("""COMPUTED_VALUE"""),"cross-device")</f>
        <v>cross-device</v>
      </c>
      <c r="AO527" s="3"/>
      <c r="AP527" s="3"/>
      <c r="AQ527" s="3"/>
      <c r="AR527" s="3"/>
      <c r="AS527" s="3"/>
      <c r="AT527" s="3"/>
      <c r="AU527" s="3" t="str">
        <f ca="1">IFERROR(__xludf.DUMMYFUNCTION("""COMPUTED_VALUE"""),"Advertorial")</f>
        <v>Advertorial</v>
      </c>
    </row>
    <row r="528" spans="1:47" x14ac:dyDescent="0.3">
      <c r="A528" s="3">
        <f ca="1"/>
        <v>2346826</v>
      </c>
      <c r="B528" s="3" t="str">
        <f ca="1"/>
        <v>CZECH NEWS CENTER a. s.</v>
      </c>
      <c r="C528" s="3" t="str">
        <f ca="1">IFERROR(__xludf.DUMMYFUNCTION("""COMPUTED_VALUE"""),"F1 sport")</f>
        <v>F1 sport</v>
      </c>
      <c r="D528" s="4" t="str">
        <f ca="1">IFERROR(__xludf.DUMMYFUNCTION("""COMPUTED_VALUE"""),"https://f1sport.auto.cz")</f>
        <v>https://f1sport.auto.cz</v>
      </c>
      <c r="E528" s="3" t="str">
        <f ca="1">IFERROR(__xludf.DUMMYFUNCTION("""COMPUTED_VALUE"""),"celý web")</f>
        <v>celý web</v>
      </c>
      <c r="F528" s="4" t="str">
        <f ca="1">IFERROR(__xludf.DUMMYFUNCTION("""COMPUTED_VALUE"""),"https://f1sport.auto.cz")</f>
        <v>https://f1sport.auto.cz</v>
      </c>
      <c r="G528" s="3" t="str">
        <f ca="1">IFERROR(__xludf.DUMMYFUNCTION("""COMPUTED_VALUE"""),"billboard bottom mid season")</f>
        <v>billboard bottom mid season</v>
      </c>
      <c r="H528" s="3">
        <f ca="1">IFERROR(__xludf.DUMMYFUNCTION("""COMPUTED_VALUE"""),7)</f>
        <v>7</v>
      </c>
      <c r="I528" s="5">
        <f ca="1">IFERROR(__xludf.DUMMYFUNCTION("""COMPUTED_VALUE"""),1000)</f>
        <v>1000</v>
      </c>
      <c r="J528" s="5">
        <f ca="1">IFERROR(__xludf.DUMMYFUNCTION("""COMPUTED_VALUE"""),340)</f>
        <v>340</v>
      </c>
      <c r="K528" s="3"/>
      <c r="L528" s="3" t="str">
        <f ca="1">IFERROR(__xludf.DUMMYFUNCTION("""COMPUTED_VALUE"""),"Cost per period")</f>
        <v>Cost per period</v>
      </c>
      <c r="M528" s="3"/>
      <c r="N528" s="3"/>
      <c r="O528" s="3" t="str">
        <f ca="1">IFERROR(__xludf.DUMMYFUNCTION("""COMPUTED_VALUE"""),"970")</f>
        <v>970</v>
      </c>
      <c r="P528" s="3" t="str">
        <f ca="1">IFERROR(__xludf.DUMMYFUNCTION("""COMPUTED_VALUE"""),"250")</f>
        <v>250</v>
      </c>
      <c r="Q528" s="3" t="str">
        <f ca="1">IFERROR(__xludf.DUMMYFUNCTION("""COMPUTED_VALUE"""),"970x250")</f>
        <v>970x250</v>
      </c>
      <c r="R528" s="3"/>
      <c r="S528" s="3" t="str">
        <f ca="1">IFERROR(__xludf.DUMMYFUNCTION("""COMPUTED_VALUE"""),"100 (200 - HTML5)")</f>
        <v>100 (200 - HTML5)</v>
      </c>
      <c r="T528" s="3"/>
      <c r="U528" s="3" t="str">
        <f ca="1">IFERROR(__xludf.DUMMYFUNCTION("""COMPUTED_VALUE"""),"banner standard")</f>
        <v>banner standard</v>
      </c>
      <c r="V528" s="3"/>
      <c r="W528" s="4" t="str">
        <f ca="1">IFERROR(__xludf.DUMMYFUNCTION("""COMPUTED_VALUE"""),"https://reklama.cncenter.cz/Online/billboard-bottom")</f>
        <v>https://reklama.cncenter.cz/Online/billboard-bottom</v>
      </c>
      <c r="X528" s="3"/>
      <c r="Y528" s="3"/>
      <c r="Z528" s="3" t="str">
        <f ca="1">IFERROR(__xludf.DUMMYFUNCTION("""COMPUTED_VALUE"""),"podklady@cncenter.cz")</f>
        <v>podklady@cncenter.cz</v>
      </c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 t="str">
        <f ca="1">IFERROR(__xludf.DUMMYFUNCTION("""COMPUTED_VALUE"""),"desktop")</f>
        <v>desktop</v>
      </c>
      <c r="AO528" s="3"/>
      <c r="AP528" s="3"/>
      <c r="AQ528" s="3"/>
      <c r="AR528" s="3"/>
      <c r="AS528" s="3"/>
      <c r="AT528" s="3"/>
      <c r="AU528" s="3" t="str">
        <f ca="1">IFERROR(__xludf.DUMMYFUNCTION("""COMPUTED_VALUE"""),"billboard bottom")</f>
        <v>billboard bottom</v>
      </c>
    </row>
    <row r="529" spans="1:47" x14ac:dyDescent="0.3">
      <c r="A529" s="3">
        <f ca="1"/>
        <v>2346826</v>
      </c>
      <c r="B529" s="3" t="str">
        <f ca="1"/>
        <v>CZECH NEWS CENTER a. s.</v>
      </c>
      <c r="C529" s="3" t="str">
        <f ca="1">IFERROR(__xludf.DUMMYFUNCTION("""COMPUTED_VALUE"""),"F1 sport")</f>
        <v>F1 sport</v>
      </c>
      <c r="D529" s="4" t="str">
        <f ca="1">IFERROR(__xludf.DUMMYFUNCTION("""COMPUTED_VALUE"""),"https://f1sport.auto.cz")</f>
        <v>https://f1sport.auto.cz</v>
      </c>
      <c r="E529" s="3" t="str">
        <f ca="1">IFERROR(__xludf.DUMMYFUNCTION("""COMPUTED_VALUE"""),"celý web")</f>
        <v>celý web</v>
      </c>
      <c r="F529" s="4" t="str">
        <f ca="1">IFERROR(__xludf.DUMMYFUNCTION("""COMPUTED_VALUE"""),"https://f1sport.auto.cz")</f>
        <v>https://f1sport.auto.cz</v>
      </c>
      <c r="G529" s="3" t="str">
        <f ca="1">IFERROR(__xludf.DUMMYFUNCTION("""COMPUTED_VALUE"""),"branding cross-device mid season")</f>
        <v>branding cross-device mid season</v>
      </c>
      <c r="H529" s="3">
        <f ca="1">IFERROR(__xludf.DUMMYFUNCTION("""COMPUTED_VALUE"""),7)</f>
        <v>7</v>
      </c>
      <c r="I529" s="5">
        <f ca="1">IFERROR(__xludf.DUMMYFUNCTION("""COMPUTED_VALUE"""),1000)</f>
        <v>1000</v>
      </c>
      <c r="J529" s="5">
        <f ca="1">IFERROR(__xludf.DUMMYFUNCTION("""COMPUTED_VALUE"""),420)</f>
        <v>420</v>
      </c>
      <c r="K529" s="3"/>
      <c r="L529" s="3" t="str">
        <f ca="1">IFERROR(__xludf.DUMMYFUNCTION("""COMPUTED_VALUE"""),"Cost per period")</f>
        <v>Cost per period</v>
      </c>
      <c r="M529" s="3"/>
      <c r="N529" s="3"/>
      <c r="O529" s="3" t="str">
        <f ca="1">IFERROR(__xludf.DUMMYFUNCTION("""COMPUTED_VALUE"""),"2000")</f>
        <v>2000</v>
      </c>
      <c r="P529" s="3" t="str">
        <f ca="1">IFERROR(__xludf.DUMMYFUNCTION("""COMPUTED_VALUE"""),"1400")</f>
        <v>1400</v>
      </c>
      <c r="Q529" s="3" t="str">
        <f ca="1">IFERROR(__xludf.DUMMYFUNCTION("""COMPUTED_VALUE"""),"2000x1400 + 600x1080")</f>
        <v>2000x1400 + 600x1080</v>
      </c>
      <c r="R529" s="3"/>
      <c r="S529" s="3" t="str">
        <f ca="1">IFERROR(__xludf.DUMMYFUNCTION("""COMPUTED_VALUE"""),"500 (600 - HTLM5)")</f>
        <v>500 (600 - HTLM5)</v>
      </c>
      <c r="T529" s="3"/>
      <c r="U529" s="3" t="str">
        <f ca="1">IFERROR(__xludf.DUMMYFUNCTION("""COMPUTED_VALUE"""),"banner standard")</f>
        <v>banner standard</v>
      </c>
      <c r="V529" s="3"/>
      <c r="W529" s="4" t="str">
        <f ca="1">IFERROR(__xludf.DUMMYFUNCTION("""COMPUTED_VALUE"""),"https://reklama.cncenter.cz/Online/branding-cross-device")</f>
        <v>https://reklama.cncenter.cz/Online/branding-cross-device</v>
      </c>
      <c r="X529" s="3"/>
      <c r="Y529" s="3"/>
      <c r="Z529" s="3" t="str">
        <f ca="1">IFERROR(__xludf.DUMMYFUNCTION("""COMPUTED_VALUE"""),"podklady@cncenter.cz")</f>
        <v>podklady@cncenter.cz</v>
      </c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 t="str">
        <f ca="1">IFERROR(__xludf.DUMMYFUNCTION("""COMPUTED_VALUE"""),"cross-device")</f>
        <v>cross-device</v>
      </c>
      <c r="AO529" s="3"/>
      <c r="AP529" s="3"/>
      <c r="AQ529" s="3"/>
      <c r="AR529" s="3"/>
      <c r="AS529" s="3"/>
      <c r="AT529" s="3"/>
      <c r="AU529" s="3" t="str">
        <f ca="1">IFERROR(__xludf.DUMMYFUNCTION("""COMPUTED_VALUE"""),"branding cross-device")</f>
        <v>branding cross-device</v>
      </c>
    </row>
    <row r="530" spans="1:47" x14ac:dyDescent="0.3">
      <c r="A530" s="3">
        <f ca="1"/>
        <v>2346826</v>
      </c>
      <c r="B530" s="3" t="str">
        <f ca="1"/>
        <v>CZECH NEWS CENTER a. s.</v>
      </c>
      <c r="C530" s="3" t="str">
        <f ca="1">IFERROR(__xludf.DUMMYFUNCTION("""COMPUTED_VALUE"""),"F1 sport")</f>
        <v>F1 sport</v>
      </c>
      <c r="D530" s="4" t="str">
        <f ca="1">IFERROR(__xludf.DUMMYFUNCTION("""COMPUTED_VALUE"""),"https://f1sport.auto.cz")</f>
        <v>https://f1sport.auto.cz</v>
      </c>
      <c r="E530" s="3" t="str">
        <f ca="1">IFERROR(__xludf.DUMMYFUNCTION("""COMPUTED_VALUE"""),"celý web")</f>
        <v>celý web</v>
      </c>
      <c r="F530" s="4" t="str">
        <f ca="1">IFERROR(__xludf.DUMMYFUNCTION("""COMPUTED_VALUE"""),"https://f1sport.auto.cz")</f>
        <v>https://f1sport.auto.cz</v>
      </c>
      <c r="G530" s="3" t="str">
        <f ca="1">IFERROR(__xludf.DUMMYFUNCTION("""COMPUTED_VALUE"""),"branding mid season")</f>
        <v>branding mid season</v>
      </c>
      <c r="H530" s="3">
        <f ca="1">IFERROR(__xludf.DUMMYFUNCTION("""COMPUTED_VALUE"""),7)</f>
        <v>7</v>
      </c>
      <c r="I530" s="5">
        <f ca="1">IFERROR(__xludf.DUMMYFUNCTION("""COMPUTED_VALUE"""),1000)</f>
        <v>1000</v>
      </c>
      <c r="J530" s="5">
        <f ca="1">IFERROR(__xludf.DUMMYFUNCTION("""COMPUTED_VALUE"""),690)</f>
        <v>690</v>
      </c>
      <c r="K530" s="3"/>
      <c r="L530" s="3" t="str">
        <f ca="1">IFERROR(__xludf.DUMMYFUNCTION("""COMPUTED_VALUE"""),"Cost per period")</f>
        <v>Cost per period</v>
      </c>
      <c r="M530" s="3"/>
      <c r="N530" s="3"/>
      <c r="O530" s="3" t="str">
        <f ca="1">IFERROR(__xludf.DUMMYFUNCTION("""COMPUTED_VALUE"""),"2000")</f>
        <v>2000</v>
      </c>
      <c r="P530" s="3" t="str">
        <f ca="1">IFERROR(__xludf.DUMMYFUNCTION("""COMPUTED_VALUE"""),"1400")</f>
        <v>1400</v>
      </c>
      <c r="Q530" s="3" t="str">
        <f ca="1">IFERROR(__xludf.DUMMYFUNCTION("""COMPUTED_VALUE"""),"2000x1400")</f>
        <v>2000x1400</v>
      </c>
      <c r="R530" s="3"/>
      <c r="S530" s="3" t="str">
        <f ca="1">IFERROR(__xludf.DUMMYFUNCTION("""COMPUTED_VALUE"""),"500 + 200 (600+200 HTML5)")</f>
        <v>500 + 200 (600+200 HTML5)</v>
      </c>
      <c r="T530" s="3"/>
      <c r="U530" s="3" t="str">
        <f ca="1">IFERROR(__xludf.DUMMYFUNCTION("""COMPUTED_VALUE"""),"banner standard")</f>
        <v>banner standard</v>
      </c>
      <c r="V530" s="3"/>
      <c r="W530" s="4" t="str">
        <f ca="1">IFERROR(__xludf.DUMMYFUNCTION("""COMPUTED_VALUE"""),"https://reklama.cncenter.cz/Online/branding")</f>
        <v>https://reklama.cncenter.cz/Online/branding</v>
      </c>
      <c r="X530" s="3"/>
      <c r="Y530" s="3"/>
      <c r="Z530" s="3" t="str">
        <f ca="1">IFERROR(__xludf.DUMMYFUNCTION("""COMPUTED_VALUE"""),"podklady@cncenter.cz")</f>
        <v>podklady@cncenter.cz</v>
      </c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 t="str">
        <f ca="1">IFERROR(__xludf.DUMMYFUNCTION("""COMPUTED_VALUE"""),"desktop")</f>
        <v>desktop</v>
      </c>
      <c r="AO530" s="3"/>
      <c r="AP530" s="3"/>
      <c r="AQ530" s="3"/>
      <c r="AR530" s="3"/>
      <c r="AS530" s="3"/>
      <c r="AT530" s="3"/>
      <c r="AU530" s="3" t="str">
        <f ca="1">IFERROR(__xludf.DUMMYFUNCTION("""COMPUTED_VALUE"""),"branding")</f>
        <v>branding</v>
      </c>
    </row>
    <row r="531" spans="1:47" x14ac:dyDescent="0.3">
      <c r="A531" s="3">
        <f ca="1"/>
        <v>2346826</v>
      </c>
      <c r="B531" s="3" t="str">
        <f ca="1"/>
        <v>CZECH NEWS CENTER a. s.</v>
      </c>
      <c r="C531" s="3" t="str">
        <f ca="1">IFERROR(__xludf.DUMMYFUNCTION("""COMPUTED_VALUE"""),"F1 sport")</f>
        <v>F1 sport</v>
      </c>
      <c r="D531" s="4" t="str">
        <f ca="1">IFERROR(__xludf.DUMMYFUNCTION("""COMPUTED_VALUE"""),"https://f1sport.auto.cz")</f>
        <v>https://f1sport.auto.cz</v>
      </c>
      <c r="E531" s="3" t="str">
        <f ca="1">IFERROR(__xludf.DUMMYFUNCTION("""COMPUTED_VALUE"""),"celý web")</f>
        <v>celý web</v>
      </c>
      <c r="F531" s="4" t="str">
        <f ca="1">IFERROR(__xludf.DUMMYFUNCTION("""COMPUTED_VALUE"""),"https://f1sport.auto.cz")</f>
        <v>https://f1sport.auto.cz</v>
      </c>
      <c r="G531" s="3" t="str">
        <f ca="1">IFERROR(__xludf.DUMMYFUNCTION("""COMPUTED_VALUE"""),"cílený billboard bottom mid season")</f>
        <v>cílený billboard bottom mid season</v>
      </c>
      <c r="H531" s="3">
        <f ca="1">IFERROR(__xludf.DUMMYFUNCTION("""COMPUTED_VALUE"""),7)</f>
        <v>7</v>
      </c>
      <c r="I531" s="5">
        <f ca="1">IFERROR(__xludf.DUMMYFUNCTION("""COMPUTED_VALUE"""),1000)</f>
        <v>1000</v>
      </c>
      <c r="J531" s="5">
        <f ca="1">IFERROR(__xludf.DUMMYFUNCTION("""COMPUTED_VALUE"""),408)</f>
        <v>408</v>
      </c>
      <c r="K531" s="3"/>
      <c r="L531" s="3" t="str">
        <f ca="1">IFERROR(__xludf.DUMMYFUNCTION("""COMPUTED_VALUE"""),"Cost per period")</f>
        <v>Cost per period</v>
      </c>
      <c r="M531" s="3"/>
      <c r="N531" s="3"/>
      <c r="O531" s="3" t="str">
        <f ca="1">IFERROR(__xludf.DUMMYFUNCTION("""COMPUTED_VALUE"""),"970")</f>
        <v>970</v>
      </c>
      <c r="P531" s="3" t="str">
        <f ca="1">IFERROR(__xludf.DUMMYFUNCTION("""COMPUTED_VALUE"""),"250")</f>
        <v>250</v>
      </c>
      <c r="Q531" s="3" t="str">
        <f ca="1">IFERROR(__xludf.DUMMYFUNCTION("""COMPUTED_VALUE"""),"970x250")</f>
        <v>970x250</v>
      </c>
      <c r="R531" s="3"/>
      <c r="S531" s="3" t="str">
        <f ca="1">IFERROR(__xludf.DUMMYFUNCTION("""COMPUTED_VALUE"""),"100 (200 - HTML5)")</f>
        <v>100 (200 - HTML5)</v>
      </c>
      <c r="T531" s="3"/>
      <c r="U531" s="3" t="str">
        <f ca="1">IFERROR(__xludf.DUMMYFUNCTION("""COMPUTED_VALUE"""),"banner standard")</f>
        <v>banner standard</v>
      </c>
      <c r="V531" s="3"/>
      <c r="W531" s="4" t="str">
        <f ca="1">IFERROR(__xludf.DUMMYFUNCTION("""COMPUTED_VALUE"""),"https://reklama.cncenter.cz/Online/billboard-bottom")</f>
        <v>https://reklama.cncenter.cz/Online/billboard-bottom</v>
      </c>
      <c r="X531" s="3"/>
      <c r="Y531" s="3"/>
      <c r="Z531" s="3" t="str">
        <f ca="1">IFERROR(__xludf.DUMMYFUNCTION("""COMPUTED_VALUE"""),"podklady@cncenter.cz")</f>
        <v>podklady@cncenter.cz</v>
      </c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 t="str">
        <f ca="1">IFERROR(__xludf.DUMMYFUNCTION("""COMPUTED_VALUE"""),"desktop")</f>
        <v>desktop</v>
      </c>
      <c r="AO531" s="3"/>
      <c r="AP531" s="3"/>
      <c r="AQ531" s="3"/>
      <c r="AR531" s="3"/>
      <c r="AS531" s="3"/>
      <c r="AT531" s="3"/>
      <c r="AU531" s="3" t="str">
        <f ca="1">IFERROR(__xludf.DUMMYFUNCTION("""COMPUTED_VALUE"""),"cílený billboard bottom")</f>
        <v>cílený billboard bottom</v>
      </c>
    </row>
    <row r="532" spans="1:47" x14ac:dyDescent="0.3">
      <c r="A532" s="3">
        <f ca="1"/>
        <v>2346826</v>
      </c>
      <c r="B532" s="3" t="str">
        <f ca="1"/>
        <v>CZECH NEWS CENTER a. s.</v>
      </c>
      <c r="C532" s="3" t="str">
        <f ca="1">IFERROR(__xludf.DUMMYFUNCTION("""COMPUTED_VALUE"""),"F1 sport")</f>
        <v>F1 sport</v>
      </c>
      <c r="D532" s="4" t="str">
        <f ca="1">IFERROR(__xludf.DUMMYFUNCTION("""COMPUTED_VALUE"""),"https://f1sport.auto.cz")</f>
        <v>https://f1sport.auto.cz</v>
      </c>
      <c r="E532" s="3" t="str">
        <f ca="1">IFERROR(__xludf.DUMMYFUNCTION("""COMPUTED_VALUE"""),"celý web")</f>
        <v>celý web</v>
      </c>
      <c r="F532" s="4" t="str">
        <f ca="1">IFERROR(__xludf.DUMMYFUNCTION("""COMPUTED_VALUE"""),"https://f1sport.auto.cz")</f>
        <v>https://f1sport.auto.cz</v>
      </c>
      <c r="G532" s="3" t="str">
        <f ca="1">IFERROR(__xludf.DUMMYFUNCTION("""COMPUTED_VALUE"""),"cílený branding cross-device mid season")</f>
        <v>cílený branding cross-device mid season</v>
      </c>
      <c r="H532" s="3">
        <f ca="1">IFERROR(__xludf.DUMMYFUNCTION("""COMPUTED_VALUE"""),7)</f>
        <v>7</v>
      </c>
      <c r="I532" s="5">
        <f ca="1">IFERROR(__xludf.DUMMYFUNCTION("""COMPUTED_VALUE"""),1000)</f>
        <v>1000</v>
      </c>
      <c r="J532" s="5">
        <f ca="1">IFERROR(__xludf.DUMMYFUNCTION("""COMPUTED_VALUE"""),504)</f>
        <v>504</v>
      </c>
      <c r="K532" s="3"/>
      <c r="L532" s="3" t="str">
        <f ca="1">IFERROR(__xludf.DUMMYFUNCTION("""COMPUTED_VALUE"""),"Cost per period")</f>
        <v>Cost per period</v>
      </c>
      <c r="M532" s="3"/>
      <c r="N532" s="3"/>
      <c r="O532" s="3" t="str">
        <f ca="1">IFERROR(__xludf.DUMMYFUNCTION("""COMPUTED_VALUE"""),"2000")</f>
        <v>2000</v>
      </c>
      <c r="P532" s="3" t="str">
        <f ca="1">IFERROR(__xludf.DUMMYFUNCTION("""COMPUTED_VALUE"""),"1400")</f>
        <v>1400</v>
      </c>
      <c r="Q532" s="3" t="str">
        <f ca="1">IFERROR(__xludf.DUMMYFUNCTION("""COMPUTED_VALUE"""),"2000x1400 + 600x1080")</f>
        <v>2000x1400 + 600x1080</v>
      </c>
      <c r="R532" s="3"/>
      <c r="S532" s="3" t="str">
        <f ca="1">IFERROR(__xludf.DUMMYFUNCTION("""COMPUTED_VALUE"""),"500 (600 - HTLM5)")</f>
        <v>500 (600 - HTLM5)</v>
      </c>
      <c r="T532" s="3"/>
      <c r="U532" s="3" t="str">
        <f ca="1">IFERROR(__xludf.DUMMYFUNCTION("""COMPUTED_VALUE"""),"banner standard")</f>
        <v>banner standard</v>
      </c>
      <c r="V532" s="3"/>
      <c r="W532" s="4" t="str">
        <f ca="1">IFERROR(__xludf.DUMMYFUNCTION("""COMPUTED_VALUE"""),"https://reklama.cncenter.cz/Online/branding-cross-device")</f>
        <v>https://reklama.cncenter.cz/Online/branding-cross-device</v>
      </c>
      <c r="X532" s="3"/>
      <c r="Y532" s="3"/>
      <c r="Z532" s="3" t="str">
        <f ca="1">IFERROR(__xludf.DUMMYFUNCTION("""COMPUTED_VALUE"""),"podklady@cncenter.cz")</f>
        <v>podklady@cncenter.cz</v>
      </c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 t="str">
        <f ca="1">IFERROR(__xludf.DUMMYFUNCTION("""COMPUTED_VALUE"""),"cross-device")</f>
        <v>cross-device</v>
      </c>
      <c r="AO532" s="3"/>
      <c r="AP532" s="3"/>
      <c r="AQ532" s="3"/>
      <c r="AR532" s="3"/>
      <c r="AS532" s="3"/>
      <c r="AT532" s="3"/>
      <c r="AU532" s="3" t="str">
        <f ca="1">IFERROR(__xludf.DUMMYFUNCTION("""COMPUTED_VALUE"""),"cílený branding cross-device")</f>
        <v>cílený branding cross-device</v>
      </c>
    </row>
    <row r="533" spans="1:47" x14ac:dyDescent="0.3">
      <c r="A533" s="3">
        <f ca="1"/>
        <v>2346826</v>
      </c>
      <c r="B533" s="3" t="str">
        <f ca="1"/>
        <v>CZECH NEWS CENTER a. s.</v>
      </c>
      <c r="C533" s="3" t="str">
        <f ca="1">IFERROR(__xludf.DUMMYFUNCTION("""COMPUTED_VALUE"""),"F1 sport")</f>
        <v>F1 sport</v>
      </c>
      <c r="D533" s="4" t="str">
        <f ca="1">IFERROR(__xludf.DUMMYFUNCTION("""COMPUTED_VALUE"""),"https://f1sport.auto.cz")</f>
        <v>https://f1sport.auto.cz</v>
      </c>
      <c r="E533" s="3" t="str">
        <f ca="1">IFERROR(__xludf.DUMMYFUNCTION("""COMPUTED_VALUE"""),"celý web")</f>
        <v>celý web</v>
      </c>
      <c r="F533" s="4" t="str">
        <f ca="1">IFERROR(__xludf.DUMMYFUNCTION("""COMPUTED_VALUE"""),"https://f1sport.auto.cz")</f>
        <v>https://f1sport.auto.cz</v>
      </c>
      <c r="G533" s="3" t="str">
        <f ca="1">IFERROR(__xludf.DUMMYFUNCTION("""COMPUTED_VALUE"""),"cílený branding mid season")</f>
        <v>cílený branding mid season</v>
      </c>
      <c r="H533" s="3">
        <f ca="1">IFERROR(__xludf.DUMMYFUNCTION("""COMPUTED_VALUE"""),7)</f>
        <v>7</v>
      </c>
      <c r="I533" s="5">
        <f ca="1">IFERROR(__xludf.DUMMYFUNCTION("""COMPUTED_VALUE"""),1000)</f>
        <v>1000</v>
      </c>
      <c r="J533" s="5">
        <f ca="1">IFERROR(__xludf.DUMMYFUNCTION("""COMPUTED_VALUE"""),828)</f>
        <v>828</v>
      </c>
      <c r="K533" s="3"/>
      <c r="L533" s="3" t="str">
        <f ca="1">IFERROR(__xludf.DUMMYFUNCTION("""COMPUTED_VALUE"""),"Cost per period")</f>
        <v>Cost per period</v>
      </c>
      <c r="M533" s="3"/>
      <c r="N533" s="3"/>
      <c r="O533" s="3" t="str">
        <f ca="1">IFERROR(__xludf.DUMMYFUNCTION("""COMPUTED_VALUE"""),"2000")</f>
        <v>2000</v>
      </c>
      <c r="P533" s="3" t="str">
        <f ca="1">IFERROR(__xludf.DUMMYFUNCTION("""COMPUTED_VALUE"""),"1400")</f>
        <v>1400</v>
      </c>
      <c r="Q533" s="3" t="str">
        <f ca="1">IFERROR(__xludf.DUMMYFUNCTION("""COMPUTED_VALUE"""),"2000x1400")</f>
        <v>2000x1400</v>
      </c>
      <c r="R533" s="3"/>
      <c r="S533" s="3" t="str">
        <f ca="1">IFERROR(__xludf.DUMMYFUNCTION("""COMPUTED_VALUE"""),"500 + 200 (600+200 HTML5)")</f>
        <v>500 + 200 (600+200 HTML5)</v>
      </c>
      <c r="T533" s="3"/>
      <c r="U533" s="3" t="str">
        <f ca="1">IFERROR(__xludf.DUMMYFUNCTION("""COMPUTED_VALUE"""),"banner standard")</f>
        <v>banner standard</v>
      </c>
      <c r="V533" s="3"/>
      <c r="W533" s="4" t="str">
        <f ca="1">IFERROR(__xludf.DUMMYFUNCTION("""COMPUTED_VALUE"""),"https://reklama.cncenter.cz/Online/branding")</f>
        <v>https://reklama.cncenter.cz/Online/branding</v>
      </c>
      <c r="X533" s="3"/>
      <c r="Y533" s="3"/>
      <c r="Z533" s="3" t="str">
        <f ca="1">IFERROR(__xludf.DUMMYFUNCTION("""COMPUTED_VALUE"""),"podklady@cncenter.cz")</f>
        <v>podklady@cncenter.cz</v>
      </c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 t="str">
        <f ca="1">IFERROR(__xludf.DUMMYFUNCTION("""COMPUTED_VALUE"""),"desktop")</f>
        <v>desktop</v>
      </c>
      <c r="AO533" s="3"/>
      <c r="AP533" s="3"/>
      <c r="AQ533" s="3"/>
      <c r="AR533" s="3"/>
      <c r="AS533" s="3"/>
      <c r="AT533" s="3"/>
      <c r="AU533" s="3" t="str">
        <f ca="1">IFERROR(__xludf.DUMMYFUNCTION("""COMPUTED_VALUE"""),"cílený branding")</f>
        <v>cílený branding</v>
      </c>
    </row>
    <row r="534" spans="1:47" x14ac:dyDescent="0.3">
      <c r="A534" s="3">
        <f ca="1"/>
        <v>2346826</v>
      </c>
      <c r="B534" s="3" t="str">
        <f ca="1"/>
        <v>CZECH NEWS CENTER a. s.</v>
      </c>
      <c r="C534" s="3" t="str">
        <f ca="1">IFERROR(__xludf.DUMMYFUNCTION("""COMPUTED_VALUE"""),"F1 sport")</f>
        <v>F1 sport</v>
      </c>
      <c r="D534" s="4" t="str">
        <f ca="1">IFERROR(__xludf.DUMMYFUNCTION("""COMPUTED_VALUE"""),"https://f1sport.auto.cz")</f>
        <v>https://f1sport.auto.cz</v>
      </c>
      <c r="E534" s="3" t="str">
        <f ca="1">IFERROR(__xludf.DUMMYFUNCTION("""COMPUTED_VALUE"""),"celý web")</f>
        <v>celý web</v>
      </c>
      <c r="F534" s="4" t="str">
        <f ca="1">IFERROR(__xludf.DUMMYFUNCTION("""COMPUTED_VALUE"""),"https://f1sport.auto.cz")</f>
        <v>https://f1sport.auto.cz</v>
      </c>
      <c r="G534" s="3" t="str">
        <f ca="1">IFERROR(__xludf.DUMMYFUNCTION("""COMPUTED_VALUE"""),"cílený double skyscraper mid season")</f>
        <v>cílený double skyscraper mid season</v>
      </c>
      <c r="H534" s="3">
        <f ca="1">IFERROR(__xludf.DUMMYFUNCTION("""COMPUTED_VALUE"""),7)</f>
        <v>7</v>
      </c>
      <c r="I534" s="5">
        <f ca="1">IFERROR(__xludf.DUMMYFUNCTION("""COMPUTED_VALUE"""),1000)</f>
        <v>1000</v>
      </c>
      <c r="J534" s="5">
        <f ca="1">IFERROR(__xludf.DUMMYFUNCTION("""COMPUTED_VALUE"""),324)</f>
        <v>324</v>
      </c>
      <c r="K534" s="3"/>
      <c r="L534" s="3" t="str">
        <f ca="1">IFERROR(__xludf.DUMMYFUNCTION("""COMPUTED_VALUE"""),"Cost per period")</f>
        <v>Cost per period</v>
      </c>
      <c r="M534" s="3"/>
      <c r="N534" s="3"/>
      <c r="O534" s="3" t="str">
        <f ca="1">IFERROR(__xludf.DUMMYFUNCTION("""COMPUTED_VALUE"""),"300")</f>
        <v>300</v>
      </c>
      <c r="P534" s="3" t="str">
        <f ca="1">IFERROR(__xludf.DUMMYFUNCTION("""COMPUTED_VALUE"""),"600")</f>
        <v>600</v>
      </c>
      <c r="Q534" s="3" t="str">
        <f ca="1">IFERROR(__xludf.DUMMYFUNCTION("""COMPUTED_VALUE"""),"300x600")</f>
        <v>300x600</v>
      </c>
      <c r="R534" s="3"/>
      <c r="S534" s="3" t="str">
        <f ca="1">IFERROR(__xludf.DUMMYFUNCTION("""COMPUTED_VALUE"""),"100 (200 - HTML5)")</f>
        <v>100 (200 - HTML5)</v>
      </c>
      <c r="T534" s="3"/>
      <c r="U534" s="3" t="str">
        <f ca="1">IFERROR(__xludf.DUMMYFUNCTION("""COMPUTED_VALUE"""),"banner standard")</f>
        <v>banner standard</v>
      </c>
      <c r="V534" s="3"/>
      <c r="W534" s="4" t="str">
        <f ca="1">IFERROR(__xludf.DUMMYFUNCTION("""COMPUTED_VALUE"""),"https://reklama.cncenter.cz/Online/double-skyscraper")</f>
        <v>https://reklama.cncenter.cz/Online/double-skyscraper</v>
      </c>
      <c r="X534" s="3"/>
      <c r="Y534" s="3"/>
      <c r="Z534" s="3" t="str">
        <f ca="1">IFERROR(__xludf.DUMMYFUNCTION("""COMPUTED_VALUE"""),"podklady@cncenter.cz")</f>
        <v>podklady@cncenter.cz</v>
      </c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 t="str">
        <f ca="1">IFERROR(__xludf.DUMMYFUNCTION("""COMPUTED_VALUE"""),"desktop")</f>
        <v>desktop</v>
      </c>
      <c r="AO534" s="3"/>
      <c r="AP534" s="3"/>
      <c r="AQ534" s="3"/>
      <c r="AR534" s="3"/>
      <c r="AS534" s="3"/>
      <c r="AT534" s="3"/>
      <c r="AU534" s="3" t="str">
        <f ca="1">IFERROR(__xludf.DUMMYFUNCTION("""COMPUTED_VALUE"""),"cílený double skyscraper")</f>
        <v>cílený double skyscraper</v>
      </c>
    </row>
    <row r="535" spans="1:47" x14ac:dyDescent="0.3">
      <c r="A535" s="3">
        <f ca="1"/>
        <v>2346826</v>
      </c>
      <c r="B535" s="3" t="str">
        <f ca="1"/>
        <v>CZECH NEWS CENTER a. s.</v>
      </c>
      <c r="C535" s="3" t="str">
        <f ca="1">IFERROR(__xludf.DUMMYFUNCTION("""COMPUTED_VALUE"""),"F1 sport")</f>
        <v>F1 sport</v>
      </c>
      <c r="D535" s="4" t="str">
        <f ca="1">IFERROR(__xludf.DUMMYFUNCTION("""COMPUTED_VALUE"""),"https://f1sport.auto.cz")</f>
        <v>https://f1sport.auto.cz</v>
      </c>
      <c r="E535" s="3" t="str">
        <f ca="1">IFERROR(__xludf.DUMMYFUNCTION("""COMPUTED_VALUE"""),"celý web")</f>
        <v>celý web</v>
      </c>
      <c r="F535" s="4" t="str">
        <f ca="1">IFERROR(__xludf.DUMMYFUNCTION("""COMPUTED_VALUE"""),"https://f1sport.auto.cz")</f>
        <v>https://f1sport.auto.cz</v>
      </c>
      <c r="G535" s="3" t="str">
        <f ca="1">IFERROR(__xludf.DUMMYFUNCTION("""COMPUTED_VALUE"""),"cílený mobilní interscroller mid season")</f>
        <v>cílený mobilní interscroller mid season</v>
      </c>
      <c r="H535" s="3">
        <f ca="1">IFERROR(__xludf.DUMMYFUNCTION("""COMPUTED_VALUE"""),7)</f>
        <v>7</v>
      </c>
      <c r="I535" s="5">
        <f ca="1">IFERROR(__xludf.DUMMYFUNCTION("""COMPUTED_VALUE"""),1000)</f>
        <v>1000</v>
      </c>
      <c r="J535" s="5">
        <f ca="1">IFERROR(__xludf.DUMMYFUNCTION("""COMPUTED_VALUE"""),420)</f>
        <v>420</v>
      </c>
      <c r="K535" s="3"/>
      <c r="L535" s="3" t="str">
        <f ca="1">IFERROR(__xludf.DUMMYFUNCTION("""COMPUTED_VALUE"""),"Cost per period")</f>
        <v>Cost per period</v>
      </c>
      <c r="M535" s="3"/>
      <c r="N535" s="3"/>
      <c r="O535" s="3" t="str">
        <f ca="1">IFERROR(__xludf.DUMMYFUNCTION("""COMPUTED_VALUE"""),"600")</f>
        <v>600</v>
      </c>
      <c r="P535" s="3" t="str">
        <f ca="1">IFERROR(__xludf.DUMMYFUNCTION("""COMPUTED_VALUE"""),"1080")</f>
        <v>1080</v>
      </c>
      <c r="Q535" s="3" t="str">
        <f ca="1">IFERROR(__xludf.DUMMYFUNCTION("""COMPUTED_VALUE"""),"600x1080")</f>
        <v>600x1080</v>
      </c>
      <c r="R535" s="3"/>
      <c r="S535" s="3" t="str">
        <f ca="1">IFERROR(__xludf.DUMMYFUNCTION("""COMPUTED_VALUE"""),"200")</f>
        <v>200</v>
      </c>
      <c r="T535" s="3"/>
      <c r="U535" s="3" t="str">
        <f ca="1">IFERROR(__xludf.DUMMYFUNCTION("""COMPUTED_VALUE"""),"banner standard")</f>
        <v>banner standard</v>
      </c>
      <c r="V535" s="3"/>
      <c r="W535" s="4" t="str">
        <f ca="1">IFERROR(__xludf.DUMMYFUNCTION("""COMPUTED_VALUE"""),"https://reklama.cncenter.cz/Online/mobilni-interscroller")</f>
        <v>https://reklama.cncenter.cz/Online/mobilni-interscroller</v>
      </c>
      <c r="X535" s="3"/>
      <c r="Y535" s="3"/>
      <c r="Z535" s="3" t="str">
        <f ca="1">IFERROR(__xludf.DUMMYFUNCTION("""COMPUTED_VALUE"""),"podklady@cncenter.cz")</f>
        <v>podklady@cncenter.cz</v>
      </c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 t="str">
        <f ca="1">IFERROR(__xludf.DUMMYFUNCTION("""COMPUTED_VALUE"""),"mobile")</f>
        <v>mobile</v>
      </c>
      <c r="AO535" s="3"/>
      <c r="AP535" s="3"/>
      <c r="AQ535" s="3"/>
      <c r="AR535" s="3"/>
      <c r="AS535" s="3"/>
      <c r="AT535" s="3"/>
      <c r="AU535" s="3" t="str">
        <f ca="1">IFERROR(__xludf.DUMMYFUNCTION("""COMPUTED_VALUE"""),"cílený mobilní interscroller")</f>
        <v>cílený mobilní interscroller</v>
      </c>
    </row>
    <row r="536" spans="1:47" x14ac:dyDescent="0.3">
      <c r="A536" s="3">
        <f ca="1"/>
        <v>2346826</v>
      </c>
      <c r="B536" s="3" t="str">
        <f ca="1"/>
        <v>CZECH NEWS CENTER a. s.</v>
      </c>
      <c r="C536" s="3" t="str">
        <f ca="1">IFERROR(__xludf.DUMMYFUNCTION("""COMPUTED_VALUE"""),"F1 sport")</f>
        <v>F1 sport</v>
      </c>
      <c r="D536" s="4" t="str">
        <f ca="1">IFERROR(__xludf.DUMMYFUNCTION("""COMPUTED_VALUE"""),"https://f1sport.auto.cz")</f>
        <v>https://f1sport.auto.cz</v>
      </c>
      <c r="E536" s="3" t="str">
        <f ca="1">IFERROR(__xludf.DUMMYFUNCTION("""COMPUTED_VALUE"""),"celý web")</f>
        <v>celý web</v>
      </c>
      <c r="F536" s="4" t="str">
        <f ca="1">IFERROR(__xludf.DUMMYFUNCTION("""COMPUTED_VALUE"""),"https://f1sport.auto.cz")</f>
        <v>https://f1sport.auto.cz</v>
      </c>
      <c r="G536" s="3" t="str">
        <f ca="1">IFERROR(__xludf.DUMMYFUNCTION("""COMPUTED_VALUE"""),"cílený mobilní slide-up mid season")</f>
        <v>cílený mobilní slide-up mid season</v>
      </c>
      <c r="H536" s="3">
        <f ca="1">IFERROR(__xludf.DUMMYFUNCTION("""COMPUTED_VALUE"""),7)</f>
        <v>7</v>
      </c>
      <c r="I536" s="5">
        <f ca="1">IFERROR(__xludf.DUMMYFUNCTION("""COMPUTED_VALUE"""),1000)</f>
        <v>1000</v>
      </c>
      <c r="J536" s="5">
        <f ca="1">IFERROR(__xludf.DUMMYFUNCTION("""COMPUTED_VALUE"""),864)</f>
        <v>864</v>
      </c>
      <c r="K536" s="3"/>
      <c r="L536" s="3" t="str">
        <f ca="1">IFERROR(__xludf.DUMMYFUNCTION("""COMPUTED_VALUE"""),"Cost per period")</f>
        <v>Cost per period</v>
      </c>
      <c r="M536" s="3"/>
      <c r="N536" s="3"/>
      <c r="O536" s="3" t="str">
        <f ca="1">IFERROR(__xludf.DUMMYFUNCTION("""COMPUTED_VALUE"""),"300")</f>
        <v>300</v>
      </c>
      <c r="P536" s="3" t="str">
        <f ca="1">IFERROR(__xludf.DUMMYFUNCTION("""COMPUTED_VALUE"""),"120")</f>
        <v>120</v>
      </c>
      <c r="Q536" s="3" t="str">
        <f ca="1">IFERROR(__xludf.DUMMYFUNCTION("""COMPUTED_VALUE"""),"300x120")</f>
        <v>300x120</v>
      </c>
      <c r="R536" s="3"/>
      <c r="S536" s="3" t="str">
        <f ca="1">IFERROR(__xludf.DUMMYFUNCTION("""COMPUTED_VALUE"""),"100")</f>
        <v>100</v>
      </c>
      <c r="T536" s="3"/>
      <c r="U536" s="3" t="str">
        <f ca="1">IFERROR(__xludf.DUMMYFUNCTION("""COMPUTED_VALUE"""),"banner standard")</f>
        <v>banner standard</v>
      </c>
      <c r="V536" s="3"/>
      <c r="W536" s="4" t="str">
        <f ca="1">IFERROR(__xludf.DUMMYFUNCTION("""COMPUTED_VALUE"""),"https://reklama.cncenter.cz/Online/mobilni-slide-up")</f>
        <v>https://reklama.cncenter.cz/Online/mobilni-slide-up</v>
      </c>
      <c r="X536" s="3"/>
      <c r="Y536" s="3"/>
      <c r="Z536" s="3" t="str">
        <f ca="1">IFERROR(__xludf.DUMMYFUNCTION("""COMPUTED_VALUE"""),"podklady@cncenter.cz")</f>
        <v>podklady@cncenter.cz</v>
      </c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 t="str">
        <f ca="1">IFERROR(__xludf.DUMMYFUNCTION("""COMPUTED_VALUE"""),"mobile")</f>
        <v>mobile</v>
      </c>
      <c r="AO536" s="3"/>
      <c r="AP536" s="3"/>
      <c r="AQ536" s="3"/>
      <c r="AR536" s="3"/>
      <c r="AS536" s="3"/>
      <c r="AT536" s="3"/>
      <c r="AU536" s="3" t="str">
        <f ca="1">IFERROR(__xludf.DUMMYFUNCTION("""COMPUTED_VALUE"""),"cílený mobilní slide-up")</f>
        <v>cílený mobilní slide-up</v>
      </c>
    </row>
    <row r="537" spans="1:47" x14ac:dyDescent="0.3">
      <c r="A537" s="3">
        <f ca="1"/>
        <v>2346826</v>
      </c>
      <c r="B537" s="3" t="str">
        <f ca="1"/>
        <v>CZECH NEWS CENTER a. s.</v>
      </c>
      <c r="C537" s="3" t="str">
        <f ca="1">IFERROR(__xludf.DUMMYFUNCTION("""COMPUTED_VALUE"""),"F1 sport")</f>
        <v>F1 sport</v>
      </c>
      <c r="D537" s="4" t="str">
        <f ca="1">IFERROR(__xludf.DUMMYFUNCTION("""COMPUTED_VALUE"""),"https://f1sport.auto.cz")</f>
        <v>https://f1sport.auto.cz</v>
      </c>
      <c r="E537" s="3" t="str">
        <f ca="1">IFERROR(__xludf.DUMMYFUNCTION("""COMPUTED_VALUE"""),"celý web")</f>
        <v>celý web</v>
      </c>
      <c r="F537" s="4" t="str">
        <f ca="1">IFERROR(__xludf.DUMMYFUNCTION("""COMPUTED_VALUE"""),"https://f1sport.auto.cz")</f>
        <v>https://f1sport.auto.cz</v>
      </c>
      <c r="G537" s="3" t="str">
        <f ca="1">IFERROR(__xludf.DUMMYFUNCTION("""COMPUTED_VALUE"""),"cílený mobilní viněta mid season")</f>
        <v>cílený mobilní viněta mid season</v>
      </c>
      <c r="H537" s="3">
        <f ca="1">IFERROR(__xludf.DUMMYFUNCTION("""COMPUTED_VALUE"""),7)</f>
        <v>7</v>
      </c>
      <c r="I537" s="5">
        <f ca="1">IFERROR(__xludf.DUMMYFUNCTION("""COMPUTED_VALUE"""),1000)</f>
        <v>1000</v>
      </c>
      <c r="J537" s="5">
        <f ca="1">IFERROR(__xludf.DUMMYFUNCTION("""COMPUTED_VALUE"""),1488)</f>
        <v>1488</v>
      </c>
      <c r="K537" s="3"/>
      <c r="L537" s="3" t="str">
        <f ca="1">IFERROR(__xludf.DUMMYFUNCTION("""COMPUTED_VALUE"""),"Cost per period")</f>
        <v>Cost per period</v>
      </c>
      <c r="M537" s="3"/>
      <c r="N537" s="3"/>
      <c r="O537" s="3" t="str">
        <f ca="1">IFERROR(__xludf.DUMMYFUNCTION("""COMPUTED_VALUE"""),"600")</f>
        <v>600</v>
      </c>
      <c r="P537" s="3" t="str">
        <f ca="1">IFERROR(__xludf.DUMMYFUNCTION("""COMPUTED_VALUE"""),"800")</f>
        <v>800</v>
      </c>
      <c r="Q537" s="3" t="str">
        <f ca="1">IFERROR(__xludf.DUMMYFUNCTION("""COMPUTED_VALUE"""),"300x250 nebo 600x800")</f>
        <v>300x250 nebo 600x800</v>
      </c>
      <c r="R537" s="3"/>
      <c r="S537" s="3" t="str">
        <f ca="1">IFERROR(__xludf.DUMMYFUNCTION("""COMPUTED_VALUE"""),"100")</f>
        <v>100</v>
      </c>
      <c r="T537" s="3"/>
      <c r="U537" s="3" t="str">
        <f ca="1">IFERROR(__xludf.DUMMYFUNCTION("""COMPUTED_VALUE"""),"banner standard")</f>
        <v>banner standard</v>
      </c>
      <c r="V537" s="3"/>
      <c r="W537" s="4" t="str">
        <f ca="1">IFERROR(__xludf.DUMMYFUNCTION("""COMPUTED_VALUE"""),"https://reklama.cncenter.cz/Online/mobilni-vineta")</f>
        <v>https://reklama.cncenter.cz/Online/mobilni-vineta</v>
      </c>
      <c r="X537" s="3"/>
      <c r="Y537" s="3"/>
      <c r="Z537" s="3" t="str">
        <f ca="1">IFERROR(__xludf.DUMMYFUNCTION("""COMPUTED_VALUE"""),"podklady@cncenter.cz")</f>
        <v>podklady@cncenter.cz</v>
      </c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 t="str">
        <f ca="1">IFERROR(__xludf.DUMMYFUNCTION("""COMPUTED_VALUE"""),"mobile")</f>
        <v>mobile</v>
      </c>
      <c r="AO537" s="3"/>
      <c r="AP537" s="3"/>
      <c r="AQ537" s="3"/>
      <c r="AR537" s="3"/>
      <c r="AS537" s="3"/>
      <c r="AT537" s="3"/>
      <c r="AU537" s="3" t="str">
        <f ca="1">IFERROR(__xludf.DUMMYFUNCTION("""COMPUTED_VALUE"""),"cílený mobilní viněta")</f>
        <v>cílený mobilní viněta</v>
      </c>
    </row>
    <row r="538" spans="1:47" x14ac:dyDescent="0.3">
      <c r="A538" s="3">
        <f ca="1"/>
        <v>2346826</v>
      </c>
      <c r="B538" s="3" t="str">
        <f ca="1"/>
        <v>CZECH NEWS CENTER a. s.</v>
      </c>
      <c r="C538" s="3" t="str">
        <f ca="1">IFERROR(__xludf.DUMMYFUNCTION("""COMPUTED_VALUE"""),"F1 sport")</f>
        <v>F1 sport</v>
      </c>
      <c r="D538" s="4" t="str">
        <f ca="1">IFERROR(__xludf.DUMMYFUNCTION("""COMPUTED_VALUE"""),"https://f1sport.auto.cz")</f>
        <v>https://f1sport.auto.cz</v>
      </c>
      <c r="E538" s="3" t="str">
        <f ca="1">IFERROR(__xludf.DUMMYFUNCTION("""COMPUTED_VALUE"""),"celý web")</f>
        <v>celý web</v>
      </c>
      <c r="F538" s="4" t="str">
        <f ca="1">IFERROR(__xludf.DUMMYFUNCTION("""COMPUTED_VALUE"""),"https://f1sport.auto.cz")</f>
        <v>https://f1sport.auto.cz</v>
      </c>
      <c r="G538" s="3" t="str">
        <f ca="1">IFERROR(__xludf.DUMMYFUNCTION("""COMPUTED_VALUE"""),"cílený nativní rectangle cross-device mid season")</f>
        <v>cílený nativní rectangle cross-device mid season</v>
      </c>
      <c r="H538" s="3">
        <f ca="1">IFERROR(__xludf.DUMMYFUNCTION("""COMPUTED_VALUE"""),7)</f>
        <v>7</v>
      </c>
      <c r="I538" s="5">
        <f ca="1">IFERROR(__xludf.DUMMYFUNCTION("""COMPUTED_VALUE"""),1000)</f>
        <v>1000</v>
      </c>
      <c r="J538" s="5">
        <f ca="1">IFERROR(__xludf.DUMMYFUNCTION("""COMPUTED_VALUE"""),336)</f>
        <v>336</v>
      </c>
      <c r="K538" s="3"/>
      <c r="L538" s="3" t="str">
        <f ca="1">IFERROR(__xludf.DUMMYFUNCTION("""COMPUTED_VALUE"""),"Cost per period")</f>
        <v>Cost per period</v>
      </c>
      <c r="M538" s="3"/>
      <c r="N538" s="3"/>
      <c r="O538" s="3" t="str">
        <f ca="1">IFERROR(__xludf.DUMMYFUNCTION("""COMPUTED_VALUE"""),"640")</f>
        <v>640</v>
      </c>
      <c r="P538" s="3" t="str">
        <f ca="1">IFERROR(__xludf.DUMMYFUNCTION("""COMPUTED_VALUE"""),"335, 640")</f>
        <v>335, 640</v>
      </c>
      <c r="Q538" s="3" t="str">
        <f ca="1">IFERROR(__xludf.DUMMYFUNCTION("""COMPUTED_VALUE"""),"640x640 a 640x335 + text + logo")</f>
        <v>640x640 a 640x335 + text + logo</v>
      </c>
      <c r="R538" s="3"/>
      <c r="S538" s="3" t="str">
        <f ca="1">IFERROR(__xludf.DUMMYFUNCTION("""COMPUTED_VALUE"""),"45")</f>
        <v>45</v>
      </c>
      <c r="T538" s="3"/>
      <c r="U538" s="3" t="str">
        <f ca="1">IFERROR(__xludf.DUMMYFUNCTION("""COMPUTED_VALUE"""),"nativní reklama")</f>
        <v>nativní reklama</v>
      </c>
      <c r="V538" s="3"/>
      <c r="W538" s="4" t="str">
        <f ca="1">IFERROR(__xludf.DUMMYFUNCTION("""COMPUTED_VALUE"""),"https://reklama.cncenter.cz/Online/nativni-rectangle-cross-device")</f>
        <v>https://reklama.cncenter.cz/Online/nativni-rectangle-cross-device</v>
      </c>
      <c r="X538" s="3"/>
      <c r="Y538" s="3"/>
      <c r="Z538" s="3" t="str">
        <f ca="1">IFERROR(__xludf.DUMMYFUNCTION("""COMPUTED_VALUE"""),"podklady@cncenter.cz")</f>
        <v>podklady@cncenter.cz</v>
      </c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 t="str">
        <f ca="1">IFERROR(__xludf.DUMMYFUNCTION("""COMPUTED_VALUE"""),"cross-device")</f>
        <v>cross-device</v>
      </c>
      <c r="AO538" s="3"/>
      <c r="AP538" s="3"/>
      <c r="AQ538" s="3"/>
      <c r="AR538" s="3"/>
      <c r="AS538" s="3"/>
      <c r="AT538" s="3"/>
      <c r="AU538" s="3" t="str">
        <f ca="1">IFERROR(__xludf.DUMMYFUNCTION("""COMPUTED_VALUE"""),"cílený nativní rectangle cross-device")</f>
        <v>cílený nativní rectangle cross-device</v>
      </c>
    </row>
    <row r="539" spans="1:47" x14ac:dyDescent="0.3">
      <c r="A539" s="3">
        <f ca="1"/>
        <v>2346826</v>
      </c>
      <c r="B539" s="3" t="str">
        <f ca="1"/>
        <v>CZECH NEWS CENTER a. s.</v>
      </c>
      <c r="C539" s="3" t="str">
        <f ca="1">IFERROR(__xludf.DUMMYFUNCTION("""COMPUTED_VALUE"""),"F1 sport")</f>
        <v>F1 sport</v>
      </c>
      <c r="D539" s="4" t="str">
        <f ca="1">IFERROR(__xludf.DUMMYFUNCTION("""COMPUTED_VALUE"""),"https://f1sport.auto.cz")</f>
        <v>https://f1sport.auto.cz</v>
      </c>
      <c r="E539" s="3" t="str">
        <f ca="1">IFERROR(__xludf.DUMMYFUNCTION("""COMPUTED_VALUE"""),"celý web")</f>
        <v>celý web</v>
      </c>
      <c r="F539" s="4" t="str">
        <f ca="1">IFERROR(__xludf.DUMMYFUNCTION("""COMPUTED_VALUE"""),"https://f1sport.auto.cz")</f>
        <v>https://f1sport.auto.cz</v>
      </c>
      <c r="G539" s="3" t="str">
        <f ca="1">IFERROR(__xludf.DUMMYFUNCTION("""COMPUTED_VALUE"""),"cílený outstream mid season")</f>
        <v>cílený outstream mid season</v>
      </c>
      <c r="H539" s="3">
        <f ca="1">IFERROR(__xludf.DUMMYFUNCTION("""COMPUTED_VALUE"""),7)</f>
        <v>7</v>
      </c>
      <c r="I539" s="5">
        <f ca="1">IFERROR(__xludf.DUMMYFUNCTION("""COMPUTED_VALUE"""),1000)</f>
        <v>1000</v>
      </c>
      <c r="J539" s="5">
        <f ca="1">IFERROR(__xludf.DUMMYFUNCTION("""COMPUTED_VALUE"""),420)</f>
        <v>420</v>
      </c>
      <c r="K539" s="3"/>
      <c r="L539" s="3" t="str">
        <f ca="1">IFERROR(__xludf.DUMMYFUNCTION("""COMPUTED_VALUE"""),"Cost per period")</f>
        <v>Cost per period</v>
      </c>
      <c r="M539" s="3"/>
      <c r="N539" s="3"/>
      <c r="O539" s="3" t="str">
        <f ca="1">IFERROR(__xludf.DUMMYFUNCTION("""COMPUTED_VALUE"""),"1280")</f>
        <v>1280</v>
      </c>
      <c r="P539" s="3" t="str">
        <f ca="1">IFERROR(__xludf.DUMMYFUNCTION("""COMPUTED_VALUE"""),"720")</f>
        <v>720</v>
      </c>
      <c r="Q539" s="3" t="str">
        <f ca="1">IFERROR(__xludf.DUMMYFUNCTION("""COMPUTED_VALUE"""),"16:9")</f>
        <v>16:9</v>
      </c>
      <c r="R539" s="3"/>
      <c r="S539" s="3" t="str">
        <f ca="1">IFERROR(__xludf.DUMMYFUNCTION("""COMPUTED_VALUE"""),"100")</f>
        <v>100</v>
      </c>
      <c r="T539" s="3"/>
      <c r="U539" s="3" t="str">
        <f ca="1">IFERROR(__xludf.DUMMYFUNCTION("""COMPUTED_VALUE"""),"videospot")</f>
        <v>videospot</v>
      </c>
      <c r="V539" s="3"/>
      <c r="W539" s="4" t="str">
        <f ca="1">IFERROR(__xludf.DUMMYFUNCTION("""COMPUTED_VALUE"""),"https://reklama.cncenter.cz/Online/Outstream")</f>
        <v>https://reklama.cncenter.cz/Online/Outstream</v>
      </c>
      <c r="X539" s="3"/>
      <c r="Y539" s="3"/>
      <c r="Z539" s="3" t="str">
        <f ca="1">IFERROR(__xludf.DUMMYFUNCTION("""COMPUTED_VALUE"""),"podklady@cncenter.cz")</f>
        <v>podklady@cncenter.cz</v>
      </c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 t="str">
        <f ca="1">IFERROR(__xludf.DUMMYFUNCTION("""COMPUTED_VALUE"""),"cross-device")</f>
        <v>cross-device</v>
      </c>
      <c r="AO539" s="3"/>
      <c r="AP539" s="3"/>
      <c r="AQ539" s="3"/>
      <c r="AR539" s="3"/>
      <c r="AS539" s="3"/>
      <c r="AT539" s="3"/>
      <c r="AU539" s="3" t="str">
        <f ca="1">IFERROR(__xludf.DUMMYFUNCTION("""COMPUTED_VALUE"""),"cílený outstream")</f>
        <v>cílený outstream</v>
      </c>
    </row>
    <row r="540" spans="1:47" x14ac:dyDescent="0.3">
      <c r="A540" s="3">
        <f ca="1"/>
        <v>2346826</v>
      </c>
      <c r="B540" s="3" t="str">
        <f ca="1"/>
        <v>CZECH NEWS CENTER a. s.</v>
      </c>
      <c r="C540" s="3" t="str">
        <f ca="1">IFERROR(__xludf.DUMMYFUNCTION("""COMPUTED_VALUE"""),"F1 sport")</f>
        <v>F1 sport</v>
      </c>
      <c r="D540" s="4" t="str">
        <f ca="1">IFERROR(__xludf.DUMMYFUNCTION("""COMPUTED_VALUE"""),"https://f1sport.auto.cz")</f>
        <v>https://f1sport.auto.cz</v>
      </c>
      <c r="E540" s="3" t="str">
        <f ca="1">IFERROR(__xludf.DUMMYFUNCTION("""COMPUTED_VALUE"""),"celý web")</f>
        <v>celý web</v>
      </c>
      <c r="F540" s="4" t="str">
        <f ca="1">IFERROR(__xludf.DUMMYFUNCTION("""COMPUTED_VALUE"""),"https://f1sport.auto.cz")</f>
        <v>https://f1sport.auto.cz</v>
      </c>
      <c r="G540" s="3" t="str">
        <f ca="1">IFERROR(__xludf.DUMMYFUNCTION("""COMPUTED_VALUE"""),"dokoupení proma o 2 týdny - 10 000 PV *** mid season")</f>
        <v>dokoupení proma o 2 týdny - 10 000 PV *** mid season</v>
      </c>
      <c r="H540" s="3">
        <f ca="1">IFERROR(__xludf.DUMMYFUNCTION("""COMPUTED_VALUE"""),1)</f>
        <v>1</v>
      </c>
      <c r="I540" s="5">
        <f ca="1">IFERROR(__xludf.DUMMYFUNCTION("""COMPUTED_VALUE"""),1)</f>
        <v>1</v>
      </c>
      <c r="J540" s="5">
        <f ca="1">IFERROR(__xludf.DUMMYFUNCTION("""COMPUTED_VALUE"""),60000)</f>
        <v>60000</v>
      </c>
      <c r="K540" s="3"/>
      <c r="L540" s="3" t="str">
        <f ca="1">IFERROR(__xludf.DUMMYFUNCTION("""COMPUTED_VALUE"""),"Cost per instance")</f>
        <v>Cost per instance</v>
      </c>
      <c r="M540" s="3"/>
      <c r="N540" s="3"/>
      <c r="O540" s="3"/>
      <c r="P540" s="3"/>
      <c r="Q540" s="3"/>
      <c r="R540" s="3"/>
      <c r="S540" s="3" t="str">
        <f ca="1">IFERROR(__xludf.DUMMYFUNCTION("""COMPUTED_VALUE"""),"100")</f>
        <v>100</v>
      </c>
      <c r="T540" s="3"/>
      <c r="U540" s="3" t="str">
        <f ca="1">IFERROR(__xludf.DUMMYFUNCTION("""COMPUTED_VALUE"""),"microsite")</f>
        <v>microsite</v>
      </c>
      <c r="V540" s="3"/>
      <c r="W540" s="3"/>
      <c r="X540" s="3"/>
      <c r="Y540" s="3"/>
      <c r="Z540" s="3" t="str">
        <f ca="1">IFERROR(__xludf.DUMMYFUNCTION("""COMPUTED_VALUE"""),"podklady@cncenter.cz")</f>
        <v>podklady@cncenter.cz</v>
      </c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 t="str">
        <f ca="1">IFERROR(__xludf.DUMMYFUNCTION("""COMPUTED_VALUE"""),"cross-device")</f>
        <v>cross-device</v>
      </c>
      <c r="AO540" s="3"/>
      <c r="AP540" s="3"/>
      <c r="AQ540" s="3"/>
      <c r="AR540" s="3"/>
      <c r="AS540" s="3"/>
      <c r="AT540" s="3"/>
      <c r="AU540" s="3" t="str">
        <f ca="1">IFERROR(__xludf.DUMMYFUNCTION("""COMPUTED_VALUE"""),"dokoupení proma o 2 týdny - 10 000 PV ***")</f>
        <v>dokoupení proma o 2 týdny - 10 000 PV ***</v>
      </c>
    </row>
    <row r="541" spans="1:47" x14ac:dyDescent="0.3">
      <c r="A541" s="3">
        <f ca="1"/>
        <v>2346826</v>
      </c>
      <c r="B541" s="3" t="str">
        <f ca="1"/>
        <v>CZECH NEWS CENTER a. s.</v>
      </c>
      <c r="C541" s="3" t="str">
        <f ca="1">IFERROR(__xludf.DUMMYFUNCTION("""COMPUTED_VALUE"""),"F1 sport")</f>
        <v>F1 sport</v>
      </c>
      <c r="D541" s="4" t="str">
        <f ca="1">IFERROR(__xludf.DUMMYFUNCTION("""COMPUTED_VALUE"""),"https://f1sport.auto.cz")</f>
        <v>https://f1sport.auto.cz</v>
      </c>
      <c r="E541" s="3" t="str">
        <f ca="1">IFERROR(__xludf.DUMMYFUNCTION("""COMPUTED_VALUE"""),"celý web")</f>
        <v>celý web</v>
      </c>
      <c r="F541" s="4" t="str">
        <f ca="1">IFERROR(__xludf.DUMMYFUNCTION("""COMPUTED_VALUE"""),"https://f1sport.auto.cz")</f>
        <v>https://f1sport.auto.cz</v>
      </c>
      <c r="G541" s="3" t="str">
        <f ca="1">IFERROR(__xludf.DUMMYFUNCTION("""COMPUTED_VALUE"""),"double skyscraper mid season")</f>
        <v>double skyscraper mid season</v>
      </c>
      <c r="H541" s="3">
        <f ca="1">IFERROR(__xludf.DUMMYFUNCTION("""COMPUTED_VALUE"""),7)</f>
        <v>7</v>
      </c>
      <c r="I541" s="5">
        <f ca="1">IFERROR(__xludf.DUMMYFUNCTION("""COMPUTED_VALUE"""),1000)</f>
        <v>1000</v>
      </c>
      <c r="J541" s="5">
        <f ca="1">IFERROR(__xludf.DUMMYFUNCTION("""COMPUTED_VALUE"""),270)</f>
        <v>270</v>
      </c>
      <c r="K541" s="3"/>
      <c r="L541" s="3" t="str">
        <f ca="1">IFERROR(__xludf.DUMMYFUNCTION("""COMPUTED_VALUE"""),"Cost per period")</f>
        <v>Cost per period</v>
      </c>
      <c r="M541" s="3"/>
      <c r="N541" s="3"/>
      <c r="O541" s="3" t="str">
        <f ca="1">IFERROR(__xludf.DUMMYFUNCTION("""COMPUTED_VALUE"""),"300")</f>
        <v>300</v>
      </c>
      <c r="P541" s="3" t="str">
        <f ca="1">IFERROR(__xludf.DUMMYFUNCTION("""COMPUTED_VALUE"""),"600")</f>
        <v>600</v>
      </c>
      <c r="Q541" s="3" t="str">
        <f ca="1">IFERROR(__xludf.DUMMYFUNCTION("""COMPUTED_VALUE"""),"300x600")</f>
        <v>300x600</v>
      </c>
      <c r="R541" s="3"/>
      <c r="S541" s="3" t="str">
        <f ca="1">IFERROR(__xludf.DUMMYFUNCTION("""COMPUTED_VALUE"""),"100 (200 - HTML5)")</f>
        <v>100 (200 - HTML5)</v>
      </c>
      <c r="T541" s="3"/>
      <c r="U541" s="3" t="str">
        <f ca="1">IFERROR(__xludf.DUMMYFUNCTION("""COMPUTED_VALUE"""),"banner standard")</f>
        <v>banner standard</v>
      </c>
      <c r="V541" s="3"/>
      <c r="W541" s="4" t="str">
        <f ca="1">IFERROR(__xludf.DUMMYFUNCTION("""COMPUTED_VALUE"""),"https://reklama.cncenter.cz/Online/double-skyscraper")</f>
        <v>https://reklama.cncenter.cz/Online/double-skyscraper</v>
      </c>
      <c r="X541" s="3"/>
      <c r="Y541" s="3"/>
      <c r="Z541" s="3" t="str">
        <f ca="1">IFERROR(__xludf.DUMMYFUNCTION("""COMPUTED_VALUE"""),"podklady@cncenter.cz")</f>
        <v>podklady@cncenter.cz</v>
      </c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 t="str">
        <f ca="1">IFERROR(__xludf.DUMMYFUNCTION("""COMPUTED_VALUE"""),"desktop")</f>
        <v>desktop</v>
      </c>
      <c r="AO541" s="3"/>
      <c r="AP541" s="3"/>
      <c r="AQ541" s="3"/>
      <c r="AR541" s="3"/>
      <c r="AS541" s="3"/>
      <c r="AT541" s="3"/>
      <c r="AU541" s="3" t="str">
        <f ca="1">IFERROR(__xludf.DUMMYFUNCTION("""COMPUTED_VALUE"""),"double skyscraper")</f>
        <v>double skyscraper</v>
      </c>
    </row>
    <row r="542" spans="1:47" x14ac:dyDescent="0.3">
      <c r="A542" s="3">
        <f ca="1"/>
        <v>2346826</v>
      </c>
      <c r="B542" s="3" t="str">
        <f ca="1"/>
        <v>CZECH NEWS CENTER a. s.</v>
      </c>
      <c r="C542" s="3" t="str">
        <f ca="1">IFERROR(__xludf.DUMMYFUNCTION("""COMPUTED_VALUE"""),"F1 sport")</f>
        <v>F1 sport</v>
      </c>
      <c r="D542" s="4" t="str">
        <f ca="1">IFERROR(__xludf.DUMMYFUNCTION("""COMPUTED_VALUE"""),"https://f1sport.auto.cz")</f>
        <v>https://f1sport.auto.cz</v>
      </c>
      <c r="E542" s="3" t="str">
        <f ca="1">IFERROR(__xludf.DUMMYFUNCTION("""COMPUTED_VALUE"""),"celý web")</f>
        <v>celý web</v>
      </c>
      <c r="F542" s="4" t="str">
        <f ca="1">IFERROR(__xludf.DUMMYFUNCTION("""COMPUTED_VALUE"""),"https://f1sport.auto.cz")</f>
        <v>https://f1sport.auto.cz</v>
      </c>
      <c r="G542" s="3" t="str">
        <f ca="1">IFERROR(__xludf.DUMMYFUNCTION("""COMPUTED_VALUE"""),"mobilní interscroller mid season")</f>
        <v>mobilní interscroller mid season</v>
      </c>
      <c r="H542" s="3">
        <f ca="1">IFERROR(__xludf.DUMMYFUNCTION("""COMPUTED_VALUE"""),7)</f>
        <v>7</v>
      </c>
      <c r="I542" s="5">
        <f ca="1">IFERROR(__xludf.DUMMYFUNCTION("""COMPUTED_VALUE"""),1000)</f>
        <v>1000</v>
      </c>
      <c r="J542" s="5">
        <f ca="1">IFERROR(__xludf.DUMMYFUNCTION("""COMPUTED_VALUE"""),350)</f>
        <v>350</v>
      </c>
      <c r="K542" s="3"/>
      <c r="L542" s="3" t="str">
        <f ca="1">IFERROR(__xludf.DUMMYFUNCTION("""COMPUTED_VALUE"""),"Cost per period")</f>
        <v>Cost per period</v>
      </c>
      <c r="M542" s="3"/>
      <c r="N542" s="3"/>
      <c r="O542" s="3" t="str">
        <f ca="1">IFERROR(__xludf.DUMMYFUNCTION("""COMPUTED_VALUE"""),"600")</f>
        <v>600</v>
      </c>
      <c r="P542" s="3" t="str">
        <f ca="1">IFERROR(__xludf.DUMMYFUNCTION("""COMPUTED_VALUE"""),"1080")</f>
        <v>1080</v>
      </c>
      <c r="Q542" s="3" t="str">
        <f ca="1">IFERROR(__xludf.DUMMYFUNCTION("""COMPUTED_VALUE"""),"600x1080")</f>
        <v>600x1080</v>
      </c>
      <c r="R542" s="3"/>
      <c r="S542" s="3" t="str">
        <f ca="1">IFERROR(__xludf.DUMMYFUNCTION("""COMPUTED_VALUE"""),"200")</f>
        <v>200</v>
      </c>
      <c r="T542" s="3"/>
      <c r="U542" s="3" t="str">
        <f ca="1">IFERROR(__xludf.DUMMYFUNCTION("""COMPUTED_VALUE"""),"banner standard")</f>
        <v>banner standard</v>
      </c>
      <c r="V542" s="3"/>
      <c r="W542" s="4" t="str">
        <f ca="1">IFERROR(__xludf.DUMMYFUNCTION("""COMPUTED_VALUE"""),"https://reklama.cncenter.cz/Online/mobilni-interscroller")</f>
        <v>https://reklama.cncenter.cz/Online/mobilni-interscroller</v>
      </c>
      <c r="X542" s="3"/>
      <c r="Y542" s="3"/>
      <c r="Z542" s="3" t="str">
        <f ca="1">IFERROR(__xludf.DUMMYFUNCTION("""COMPUTED_VALUE"""),"podklady@cncenter.cz")</f>
        <v>podklady@cncenter.cz</v>
      </c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 t="str">
        <f ca="1">IFERROR(__xludf.DUMMYFUNCTION("""COMPUTED_VALUE"""),"mobile")</f>
        <v>mobile</v>
      </c>
      <c r="AO542" s="3"/>
      <c r="AP542" s="3"/>
      <c r="AQ542" s="3"/>
      <c r="AR542" s="3"/>
      <c r="AS542" s="3"/>
      <c r="AT542" s="3"/>
      <c r="AU542" s="3" t="str">
        <f ca="1">IFERROR(__xludf.DUMMYFUNCTION("""COMPUTED_VALUE"""),"mobilní interscroller")</f>
        <v>mobilní interscroller</v>
      </c>
    </row>
    <row r="543" spans="1:47" x14ac:dyDescent="0.3">
      <c r="A543" s="3">
        <f ca="1"/>
        <v>2346826</v>
      </c>
      <c r="B543" s="3" t="str">
        <f ca="1"/>
        <v>CZECH NEWS CENTER a. s.</v>
      </c>
      <c r="C543" s="3" t="str">
        <f ca="1">IFERROR(__xludf.DUMMYFUNCTION("""COMPUTED_VALUE"""),"F1 sport")</f>
        <v>F1 sport</v>
      </c>
      <c r="D543" s="4" t="str">
        <f ca="1">IFERROR(__xludf.DUMMYFUNCTION("""COMPUTED_VALUE"""),"https://f1sport.auto.cz")</f>
        <v>https://f1sport.auto.cz</v>
      </c>
      <c r="E543" s="3" t="str">
        <f ca="1">IFERROR(__xludf.DUMMYFUNCTION("""COMPUTED_VALUE"""),"celý web")</f>
        <v>celý web</v>
      </c>
      <c r="F543" s="4" t="str">
        <f ca="1">IFERROR(__xludf.DUMMYFUNCTION("""COMPUTED_VALUE"""),"https://f1sport.auto.cz")</f>
        <v>https://f1sport.auto.cz</v>
      </c>
      <c r="G543" s="3" t="str">
        <f ca="1">IFERROR(__xludf.DUMMYFUNCTION("""COMPUTED_VALUE"""),"mobilní slide-up mid season")</f>
        <v>mobilní slide-up mid season</v>
      </c>
      <c r="H543" s="3">
        <f ca="1">IFERROR(__xludf.DUMMYFUNCTION("""COMPUTED_VALUE"""),7)</f>
        <v>7</v>
      </c>
      <c r="I543" s="5">
        <f ca="1">IFERROR(__xludf.DUMMYFUNCTION("""COMPUTED_VALUE"""),1000)</f>
        <v>1000</v>
      </c>
      <c r="J543" s="5">
        <f ca="1">IFERROR(__xludf.DUMMYFUNCTION("""COMPUTED_VALUE"""),720)</f>
        <v>720</v>
      </c>
      <c r="K543" s="3"/>
      <c r="L543" s="3" t="str">
        <f ca="1">IFERROR(__xludf.DUMMYFUNCTION("""COMPUTED_VALUE"""),"Cost per period")</f>
        <v>Cost per period</v>
      </c>
      <c r="M543" s="3"/>
      <c r="N543" s="3"/>
      <c r="O543" s="3" t="str">
        <f ca="1">IFERROR(__xludf.DUMMYFUNCTION("""COMPUTED_VALUE"""),"300")</f>
        <v>300</v>
      </c>
      <c r="P543" s="3" t="str">
        <f ca="1">IFERROR(__xludf.DUMMYFUNCTION("""COMPUTED_VALUE"""),"120")</f>
        <v>120</v>
      </c>
      <c r="Q543" s="3" t="str">
        <f ca="1">IFERROR(__xludf.DUMMYFUNCTION("""COMPUTED_VALUE"""),"300x120")</f>
        <v>300x120</v>
      </c>
      <c r="R543" s="3"/>
      <c r="S543" s="3" t="str">
        <f ca="1">IFERROR(__xludf.DUMMYFUNCTION("""COMPUTED_VALUE"""),"100")</f>
        <v>100</v>
      </c>
      <c r="T543" s="3"/>
      <c r="U543" s="3" t="str">
        <f ca="1">IFERROR(__xludf.DUMMYFUNCTION("""COMPUTED_VALUE"""),"banner standard")</f>
        <v>banner standard</v>
      </c>
      <c r="V543" s="3"/>
      <c r="W543" s="4" t="str">
        <f ca="1">IFERROR(__xludf.DUMMYFUNCTION("""COMPUTED_VALUE"""),"https://reklama.cncenter.cz/Online/mobilni-slide-up")</f>
        <v>https://reklama.cncenter.cz/Online/mobilni-slide-up</v>
      </c>
      <c r="X543" s="3"/>
      <c r="Y543" s="3"/>
      <c r="Z543" s="3" t="str">
        <f ca="1">IFERROR(__xludf.DUMMYFUNCTION("""COMPUTED_VALUE"""),"podklady@cncenter.cz")</f>
        <v>podklady@cncenter.cz</v>
      </c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 t="str">
        <f ca="1">IFERROR(__xludf.DUMMYFUNCTION("""COMPUTED_VALUE"""),"mobile")</f>
        <v>mobile</v>
      </c>
      <c r="AO543" s="3"/>
      <c r="AP543" s="3"/>
      <c r="AQ543" s="3"/>
      <c r="AR543" s="3"/>
      <c r="AS543" s="3"/>
      <c r="AT543" s="3"/>
      <c r="AU543" s="3" t="str">
        <f ca="1">IFERROR(__xludf.DUMMYFUNCTION("""COMPUTED_VALUE"""),"mobilní slide-up")</f>
        <v>mobilní slide-up</v>
      </c>
    </row>
    <row r="544" spans="1:47" x14ac:dyDescent="0.3">
      <c r="A544" s="3">
        <f ca="1"/>
        <v>2346826</v>
      </c>
      <c r="B544" s="3" t="str">
        <f ca="1"/>
        <v>CZECH NEWS CENTER a. s.</v>
      </c>
      <c r="C544" s="3" t="str">
        <f ca="1">IFERROR(__xludf.DUMMYFUNCTION("""COMPUTED_VALUE"""),"F1 sport")</f>
        <v>F1 sport</v>
      </c>
      <c r="D544" s="4" t="str">
        <f ca="1">IFERROR(__xludf.DUMMYFUNCTION("""COMPUTED_VALUE"""),"https://f1sport.auto.cz")</f>
        <v>https://f1sport.auto.cz</v>
      </c>
      <c r="E544" s="3" t="str">
        <f ca="1">IFERROR(__xludf.DUMMYFUNCTION("""COMPUTED_VALUE"""),"celý web")</f>
        <v>celý web</v>
      </c>
      <c r="F544" s="4" t="str">
        <f ca="1">IFERROR(__xludf.DUMMYFUNCTION("""COMPUTED_VALUE"""),"https://f1sport.auto.cz")</f>
        <v>https://f1sport.auto.cz</v>
      </c>
      <c r="G544" s="3" t="str">
        <f ca="1">IFERROR(__xludf.DUMMYFUNCTION("""COMPUTED_VALUE"""),"mobilní viněta mid season")</f>
        <v>mobilní viněta mid season</v>
      </c>
      <c r="H544" s="3">
        <f ca="1">IFERROR(__xludf.DUMMYFUNCTION("""COMPUTED_VALUE"""),7)</f>
        <v>7</v>
      </c>
      <c r="I544" s="5">
        <f ca="1">IFERROR(__xludf.DUMMYFUNCTION("""COMPUTED_VALUE"""),1000)</f>
        <v>1000</v>
      </c>
      <c r="J544" s="5">
        <f ca="1">IFERROR(__xludf.DUMMYFUNCTION("""COMPUTED_VALUE"""),1240)</f>
        <v>1240</v>
      </c>
      <c r="K544" s="3"/>
      <c r="L544" s="3" t="str">
        <f ca="1">IFERROR(__xludf.DUMMYFUNCTION("""COMPUTED_VALUE"""),"Cost per period")</f>
        <v>Cost per period</v>
      </c>
      <c r="M544" s="3"/>
      <c r="N544" s="3"/>
      <c r="O544" s="3" t="str">
        <f ca="1">IFERROR(__xludf.DUMMYFUNCTION("""COMPUTED_VALUE"""),"600")</f>
        <v>600</v>
      </c>
      <c r="P544" s="3" t="str">
        <f ca="1">IFERROR(__xludf.DUMMYFUNCTION("""COMPUTED_VALUE"""),"800")</f>
        <v>800</v>
      </c>
      <c r="Q544" s="3" t="str">
        <f ca="1">IFERROR(__xludf.DUMMYFUNCTION("""COMPUTED_VALUE"""),"300x250 nebo 600x800")</f>
        <v>300x250 nebo 600x800</v>
      </c>
      <c r="R544" s="3"/>
      <c r="S544" s="3" t="str">
        <f ca="1">IFERROR(__xludf.DUMMYFUNCTION("""COMPUTED_VALUE"""),"100")</f>
        <v>100</v>
      </c>
      <c r="T544" s="3"/>
      <c r="U544" s="3" t="str">
        <f ca="1">IFERROR(__xludf.DUMMYFUNCTION("""COMPUTED_VALUE"""),"banner standard")</f>
        <v>banner standard</v>
      </c>
      <c r="V544" s="3"/>
      <c r="W544" s="4" t="str">
        <f ca="1">IFERROR(__xludf.DUMMYFUNCTION("""COMPUTED_VALUE"""),"https://reklama.cncenter.cz/Online/mobilni-vineta")</f>
        <v>https://reklama.cncenter.cz/Online/mobilni-vineta</v>
      </c>
      <c r="X544" s="3"/>
      <c r="Y544" s="3"/>
      <c r="Z544" s="3" t="str">
        <f ca="1">IFERROR(__xludf.DUMMYFUNCTION("""COMPUTED_VALUE"""),"podklady@cncenter.cz")</f>
        <v>podklady@cncenter.cz</v>
      </c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 t="str">
        <f ca="1">IFERROR(__xludf.DUMMYFUNCTION("""COMPUTED_VALUE"""),"mobile")</f>
        <v>mobile</v>
      </c>
      <c r="AO544" s="3"/>
      <c r="AP544" s="3"/>
      <c r="AQ544" s="3"/>
      <c r="AR544" s="3"/>
      <c r="AS544" s="3"/>
      <c r="AT544" s="3"/>
      <c r="AU544" s="3" t="str">
        <f ca="1">IFERROR(__xludf.DUMMYFUNCTION("""COMPUTED_VALUE"""),"mobilní viněta")</f>
        <v>mobilní viněta</v>
      </c>
    </row>
    <row r="545" spans="1:47" x14ac:dyDescent="0.3">
      <c r="A545" s="3">
        <f ca="1"/>
        <v>2346826</v>
      </c>
      <c r="B545" s="3" t="str">
        <f ca="1"/>
        <v>CZECH NEWS CENTER a. s.</v>
      </c>
      <c r="C545" s="3" t="str">
        <f ca="1">IFERROR(__xludf.DUMMYFUNCTION("""COMPUTED_VALUE"""),"F1 sport")</f>
        <v>F1 sport</v>
      </c>
      <c r="D545" s="4" t="str">
        <f ca="1">IFERROR(__xludf.DUMMYFUNCTION("""COMPUTED_VALUE"""),"https://f1sport.auto.cz")</f>
        <v>https://f1sport.auto.cz</v>
      </c>
      <c r="E545" s="3" t="str">
        <f ca="1">IFERROR(__xludf.DUMMYFUNCTION("""COMPUTED_VALUE"""),"celý web")</f>
        <v>celý web</v>
      </c>
      <c r="F545" s="4" t="str">
        <f ca="1">IFERROR(__xludf.DUMMYFUNCTION("""COMPUTED_VALUE"""),"https://f1sport.auto.cz")</f>
        <v>https://f1sport.auto.cz</v>
      </c>
      <c r="G545" s="3" t="str">
        <f ca="1">IFERROR(__xludf.DUMMYFUNCTION("""COMPUTED_VALUE"""),"Native Standard mid season")</f>
        <v>Native Standard mid season</v>
      </c>
      <c r="H545" s="3">
        <f ca="1">IFERROR(__xludf.DUMMYFUNCTION("""COMPUTED_VALUE"""),1)</f>
        <v>1</v>
      </c>
      <c r="I545" s="5">
        <f ca="1">IFERROR(__xludf.DUMMYFUNCTION("""COMPUTED_VALUE"""),1)</f>
        <v>1</v>
      </c>
      <c r="J545" s="5">
        <f ca="1">IFERROR(__xludf.DUMMYFUNCTION("""COMPUTED_VALUE"""),330000)</f>
        <v>330000</v>
      </c>
      <c r="K545" s="3"/>
      <c r="L545" s="3" t="str">
        <f ca="1">IFERROR(__xludf.DUMMYFUNCTION("""COMPUTED_VALUE"""),"Cost per instance")</f>
        <v>Cost per instance</v>
      </c>
      <c r="M545" s="3"/>
      <c r="N545" s="3"/>
      <c r="O545" s="3"/>
      <c r="P545" s="3"/>
      <c r="Q545" s="3"/>
      <c r="R545" s="3"/>
      <c r="S545" s="3" t="str">
        <f ca="1">IFERROR(__xludf.DUMMYFUNCTION("""COMPUTED_VALUE"""),"100")</f>
        <v>100</v>
      </c>
      <c r="T545" s="3"/>
      <c r="U545" s="3" t="str">
        <f ca="1">IFERROR(__xludf.DUMMYFUNCTION("""COMPUTED_VALUE"""),"microsite")</f>
        <v>microsite</v>
      </c>
      <c r="V545" s="3"/>
      <c r="W545" s="3"/>
      <c r="X545" s="3"/>
      <c r="Y545" s="3"/>
      <c r="Z545" s="3" t="str">
        <f ca="1">IFERROR(__xludf.DUMMYFUNCTION("""COMPUTED_VALUE"""),"podklady@cncenter.cz")</f>
        <v>podklady@cncenter.cz</v>
      </c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 t="str">
        <f ca="1">IFERROR(__xludf.DUMMYFUNCTION("""COMPUTED_VALUE"""),"cross-device")</f>
        <v>cross-device</v>
      </c>
      <c r="AO545" s="3"/>
      <c r="AP545" s="3"/>
      <c r="AQ545" s="3"/>
      <c r="AR545" s="3"/>
      <c r="AS545" s="3"/>
      <c r="AT545" s="3"/>
      <c r="AU545" s="3" t="str">
        <f ca="1">IFERROR(__xludf.DUMMYFUNCTION("""COMPUTED_VALUE"""),"Native Standard")</f>
        <v>Native Standard</v>
      </c>
    </row>
    <row r="546" spans="1:47" x14ac:dyDescent="0.3">
      <c r="A546" s="3">
        <f ca="1"/>
        <v>2346826</v>
      </c>
      <c r="B546" s="3" t="str">
        <f ca="1"/>
        <v>CZECH NEWS CENTER a. s.</v>
      </c>
      <c r="C546" s="3" t="str">
        <f ca="1">IFERROR(__xludf.DUMMYFUNCTION("""COMPUTED_VALUE"""),"F1 sport")</f>
        <v>F1 sport</v>
      </c>
      <c r="D546" s="4" t="str">
        <f ca="1">IFERROR(__xludf.DUMMYFUNCTION("""COMPUTED_VALUE"""),"https://f1sport.auto.cz")</f>
        <v>https://f1sport.auto.cz</v>
      </c>
      <c r="E546" s="3" t="str">
        <f ca="1">IFERROR(__xludf.DUMMYFUNCTION("""COMPUTED_VALUE"""),"celý web")</f>
        <v>celý web</v>
      </c>
      <c r="F546" s="4" t="str">
        <f ca="1">IFERROR(__xludf.DUMMYFUNCTION("""COMPUTED_VALUE"""),"https://f1sport.auto.cz")</f>
        <v>https://f1sport.auto.cz</v>
      </c>
      <c r="G546" s="3" t="str">
        <f ca="1">IFERROR(__xludf.DUMMYFUNCTION("""COMPUTED_VALUE"""),"nativní rectangle cross-device mid season")</f>
        <v>nativní rectangle cross-device mid season</v>
      </c>
      <c r="H546" s="3">
        <f ca="1">IFERROR(__xludf.DUMMYFUNCTION("""COMPUTED_VALUE"""),7)</f>
        <v>7</v>
      </c>
      <c r="I546" s="5">
        <f ca="1">IFERROR(__xludf.DUMMYFUNCTION("""COMPUTED_VALUE"""),1000)</f>
        <v>1000</v>
      </c>
      <c r="J546" s="5">
        <f ca="1">IFERROR(__xludf.DUMMYFUNCTION("""COMPUTED_VALUE"""),280)</f>
        <v>280</v>
      </c>
      <c r="K546" s="3"/>
      <c r="L546" s="3" t="str">
        <f ca="1">IFERROR(__xludf.DUMMYFUNCTION("""COMPUTED_VALUE"""),"Cost per period")</f>
        <v>Cost per period</v>
      </c>
      <c r="M546" s="3"/>
      <c r="N546" s="3"/>
      <c r="O546" s="3" t="str">
        <f ca="1">IFERROR(__xludf.DUMMYFUNCTION("""COMPUTED_VALUE"""),"640")</f>
        <v>640</v>
      </c>
      <c r="P546" s="3" t="str">
        <f ca="1">IFERROR(__xludf.DUMMYFUNCTION("""COMPUTED_VALUE"""),"335, 640")</f>
        <v>335, 640</v>
      </c>
      <c r="Q546" s="3" t="str">
        <f ca="1">IFERROR(__xludf.DUMMYFUNCTION("""COMPUTED_VALUE"""),"640x640 a 640x335 + text + logo")</f>
        <v>640x640 a 640x335 + text + logo</v>
      </c>
      <c r="R546" s="3"/>
      <c r="S546" s="3" t="str">
        <f ca="1">IFERROR(__xludf.DUMMYFUNCTION("""COMPUTED_VALUE"""),"45")</f>
        <v>45</v>
      </c>
      <c r="T546" s="3"/>
      <c r="U546" s="3" t="str">
        <f ca="1">IFERROR(__xludf.DUMMYFUNCTION("""COMPUTED_VALUE"""),"nativní reklama")</f>
        <v>nativní reklama</v>
      </c>
      <c r="V546" s="3"/>
      <c r="W546" s="4" t="str">
        <f ca="1">IFERROR(__xludf.DUMMYFUNCTION("""COMPUTED_VALUE"""),"https://reklama.cncenter.cz/Online/nativni-rectangle-cross-device")</f>
        <v>https://reklama.cncenter.cz/Online/nativni-rectangle-cross-device</v>
      </c>
      <c r="X546" s="3"/>
      <c r="Y546" s="3"/>
      <c r="Z546" s="3" t="str">
        <f ca="1">IFERROR(__xludf.DUMMYFUNCTION("""COMPUTED_VALUE"""),"podklady@cncenter.cz")</f>
        <v>podklady@cncenter.cz</v>
      </c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 t="str">
        <f ca="1">IFERROR(__xludf.DUMMYFUNCTION("""COMPUTED_VALUE"""),"cross-device")</f>
        <v>cross-device</v>
      </c>
      <c r="AO546" s="3"/>
      <c r="AP546" s="3"/>
      <c r="AQ546" s="3"/>
      <c r="AR546" s="3"/>
      <c r="AS546" s="3"/>
      <c r="AT546" s="3"/>
      <c r="AU546" s="3" t="str">
        <f ca="1">IFERROR(__xludf.DUMMYFUNCTION("""COMPUTED_VALUE"""),"nativní rectangle cross-device")</f>
        <v>nativní rectangle cross-device</v>
      </c>
    </row>
    <row r="547" spans="1:47" x14ac:dyDescent="0.3">
      <c r="A547" s="3">
        <f ca="1"/>
        <v>2346826</v>
      </c>
      <c r="B547" s="3" t="str">
        <f ca="1"/>
        <v>CZECH NEWS CENTER a. s.</v>
      </c>
      <c r="C547" s="3" t="str">
        <f ca="1">IFERROR(__xludf.DUMMYFUNCTION("""COMPUTED_VALUE"""),"F1 sport")</f>
        <v>F1 sport</v>
      </c>
      <c r="D547" s="4" t="str">
        <f ca="1">IFERROR(__xludf.DUMMYFUNCTION("""COMPUTED_VALUE"""),"https://f1sport.auto.cz")</f>
        <v>https://f1sport.auto.cz</v>
      </c>
      <c r="E547" s="3" t="str">
        <f ca="1">IFERROR(__xludf.DUMMYFUNCTION("""COMPUTED_VALUE"""),"celý web")</f>
        <v>celý web</v>
      </c>
      <c r="F547" s="4" t="str">
        <f ca="1">IFERROR(__xludf.DUMMYFUNCTION("""COMPUTED_VALUE"""),"https://f1sport.auto.cz")</f>
        <v>https://f1sport.auto.cz</v>
      </c>
      <c r="G547" s="3" t="str">
        <f ca="1">IFERROR(__xludf.DUMMYFUNCTION("""COMPUTED_VALUE"""),"outstream mid season")</f>
        <v>outstream mid season</v>
      </c>
      <c r="H547" s="3">
        <f ca="1">IFERROR(__xludf.DUMMYFUNCTION("""COMPUTED_VALUE"""),7)</f>
        <v>7</v>
      </c>
      <c r="I547" s="5">
        <f ca="1">IFERROR(__xludf.DUMMYFUNCTION("""COMPUTED_VALUE"""),1000)</f>
        <v>1000</v>
      </c>
      <c r="J547" s="5">
        <f ca="1">IFERROR(__xludf.DUMMYFUNCTION("""COMPUTED_VALUE"""),350)</f>
        <v>350</v>
      </c>
      <c r="K547" s="3"/>
      <c r="L547" s="3" t="str">
        <f ca="1">IFERROR(__xludf.DUMMYFUNCTION("""COMPUTED_VALUE"""),"Cost per period")</f>
        <v>Cost per period</v>
      </c>
      <c r="M547" s="3"/>
      <c r="N547" s="3"/>
      <c r="O547" s="3" t="str">
        <f ca="1">IFERROR(__xludf.DUMMYFUNCTION("""COMPUTED_VALUE"""),"1280")</f>
        <v>1280</v>
      </c>
      <c r="P547" s="3" t="str">
        <f ca="1">IFERROR(__xludf.DUMMYFUNCTION("""COMPUTED_VALUE"""),"720")</f>
        <v>720</v>
      </c>
      <c r="Q547" s="3" t="str">
        <f ca="1">IFERROR(__xludf.DUMMYFUNCTION("""COMPUTED_VALUE"""),"16:9")</f>
        <v>16:9</v>
      </c>
      <c r="R547" s="3"/>
      <c r="S547" s="3" t="str">
        <f ca="1">IFERROR(__xludf.DUMMYFUNCTION("""COMPUTED_VALUE"""),"100")</f>
        <v>100</v>
      </c>
      <c r="T547" s="3"/>
      <c r="U547" s="3" t="str">
        <f ca="1">IFERROR(__xludf.DUMMYFUNCTION("""COMPUTED_VALUE"""),"videospot")</f>
        <v>videospot</v>
      </c>
      <c r="V547" s="3"/>
      <c r="W547" s="4" t="str">
        <f ca="1">IFERROR(__xludf.DUMMYFUNCTION("""COMPUTED_VALUE"""),"https://reklama.cncenter.cz/Online/Outstream")</f>
        <v>https://reklama.cncenter.cz/Online/Outstream</v>
      </c>
      <c r="X547" s="3"/>
      <c r="Y547" s="3"/>
      <c r="Z547" s="3" t="str">
        <f ca="1">IFERROR(__xludf.DUMMYFUNCTION("""COMPUTED_VALUE"""),"podklady@cncenter.cz")</f>
        <v>podklady@cncenter.cz</v>
      </c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 t="str">
        <f ca="1">IFERROR(__xludf.DUMMYFUNCTION("""COMPUTED_VALUE"""),"cross-device")</f>
        <v>cross-device</v>
      </c>
      <c r="AO547" s="3"/>
      <c r="AP547" s="3"/>
      <c r="AQ547" s="3"/>
      <c r="AR547" s="3"/>
      <c r="AS547" s="3"/>
      <c r="AT547" s="3"/>
      <c r="AU547" s="3" t="str">
        <f ca="1">IFERROR(__xludf.DUMMYFUNCTION("""COMPUTED_VALUE"""),"outstream")</f>
        <v>outstream</v>
      </c>
    </row>
    <row r="548" spans="1:47" x14ac:dyDescent="0.3">
      <c r="A548" s="3">
        <f ca="1"/>
        <v>2346826</v>
      </c>
      <c r="B548" s="3" t="str">
        <f ca="1"/>
        <v>CZECH NEWS CENTER a. s.</v>
      </c>
      <c r="C548" s="3" t="str">
        <f ca="1">IFERROR(__xludf.DUMMYFUNCTION("""COMPUTED_VALUE"""),"F1 sport")</f>
        <v>F1 sport</v>
      </c>
      <c r="D548" s="4" t="str">
        <f ca="1">IFERROR(__xludf.DUMMYFUNCTION("""COMPUTED_VALUE"""),"https://f1sport.auto.cz")</f>
        <v>https://f1sport.auto.cz</v>
      </c>
      <c r="E548" s="3" t="str">
        <f ca="1">IFERROR(__xludf.DUMMYFUNCTION("""COMPUTED_VALUE"""),"celý web")</f>
        <v>celý web</v>
      </c>
      <c r="F548" s="4" t="str">
        <f ca="1">IFERROR(__xludf.DUMMYFUNCTION("""COMPUTED_VALUE"""),"https://f1sport.auto.cz")</f>
        <v>https://f1sport.auto.cz</v>
      </c>
      <c r="G548" s="3" t="str">
        <f ca="1">IFERROR(__xludf.DUMMYFUNCTION("""COMPUTED_VALUE"""),"PR článek mid season")</f>
        <v>PR článek mid season</v>
      </c>
      <c r="H548" s="3">
        <f ca="1">IFERROR(__xludf.DUMMYFUNCTION("""COMPUTED_VALUE"""),1)</f>
        <v>1</v>
      </c>
      <c r="I548" s="5">
        <f ca="1">IFERROR(__xludf.DUMMYFUNCTION("""COMPUTED_VALUE"""),1)</f>
        <v>1</v>
      </c>
      <c r="J548" s="5">
        <f ca="1">IFERROR(__xludf.DUMMYFUNCTION("""COMPUTED_VALUE"""),30000)</f>
        <v>30000</v>
      </c>
      <c r="K548" s="3"/>
      <c r="L548" s="3" t="str">
        <f ca="1">IFERROR(__xludf.DUMMYFUNCTION("""COMPUTED_VALUE"""),"Cost per instance")</f>
        <v>Cost per instance</v>
      </c>
      <c r="M548" s="3"/>
      <c r="N548" s="3"/>
      <c r="O548" s="3"/>
      <c r="P548" s="3"/>
      <c r="Q548" s="3"/>
      <c r="R548" s="3"/>
      <c r="S548" s="3" t="str">
        <f ca="1">IFERROR(__xludf.DUMMYFUNCTION("""COMPUTED_VALUE"""),"100")</f>
        <v>100</v>
      </c>
      <c r="T548" s="3"/>
      <c r="U548" s="3" t="str">
        <f ca="1">IFERROR(__xludf.DUMMYFUNCTION("""COMPUTED_VALUE"""),"pr článek")</f>
        <v>pr článek</v>
      </c>
      <c r="V548" s="3"/>
      <c r="W548" s="4" t="str">
        <f ca="1">IFERROR(__xludf.DUMMYFUNCTION("""COMPUTED_VALUE"""),"https://reklama.cncenter.cz/?ads=PR%2520%25C4%258Dl%25C3%25A1nky")</f>
        <v>https://reklama.cncenter.cz/?ads=PR%2520%25C4%258Dl%25C3%25A1nky</v>
      </c>
      <c r="X548" s="3"/>
      <c r="Y548" s="3"/>
      <c r="Z548" s="3" t="str">
        <f ca="1">IFERROR(__xludf.DUMMYFUNCTION("""COMPUTED_VALUE"""),"podklady@cncenter.cz")</f>
        <v>podklady@cncenter.cz</v>
      </c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 t="str">
        <f ca="1">IFERROR(__xludf.DUMMYFUNCTION("""COMPUTED_VALUE"""),"cross-device")</f>
        <v>cross-device</v>
      </c>
      <c r="AO548" s="3"/>
      <c r="AP548" s="3"/>
      <c r="AQ548" s="3"/>
      <c r="AR548" s="3"/>
      <c r="AS548" s="3"/>
      <c r="AT548" s="3"/>
      <c r="AU548" s="3" t="str">
        <f ca="1">IFERROR(__xludf.DUMMYFUNCTION("""COMPUTED_VALUE"""),"PR článek")</f>
        <v>PR článek</v>
      </c>
    </row>
    <row r="549" spans="1:47" x14ac:dyDescent="0.3">
      <c r="A549" s="3">
        <f ca="1"/>
        <v>2346826</v>
      </c>
      <c r="B549" s="3" t="str">
        <f ca="1"/>
        <v>CZECH NEWS CENTER a. s.</v>
      </c>
      <c r="C549" s="3" t="str">
        <f ca="1">IFERROR(__xludf.DUMMYFUNCTION("""COMPUTED_VALUE"""),"F1 sport")</f>
        <v>F1 sport</v>
      </c>
      <c r="D549" s="4" t="str">
        <f ca="1">IFERROR(__xludf.DUMMYFUNCTION("""COMPUTED_VALUE"""),"https://f1sport.auto.cz")</f>
        <v>https://f1sport.auto.cz</v>
      </c>
      <c r="E549" s="3" t="str">
        <f ca="1">IFERROR(__xludf.DUMMYFUNCTION("""COMPUTED_VALUE"""),"celý web")</f>
        <v>celý web</v>
      </c>
      <c r="F549" s="4" t="str">
        <f ca="1">IFERROR(__xludf.DUMMYFUNCTION("""COMPUTED_VALUE"""),"https://f1sport.auto.cz")</f>
        <v>https://f1sport.auto.cz</v>
      </c>
      <c r="G549" s="3" t="str">
        <f ca="1">IFERROR(__xludf.DUMMYFUNCTION("""COMPUTED_VALUE"""),"Prodloužení existující microsite, bez úprav mid season")</f>
        <v>Prodloužení existující microsite, bez úprav mid season</v>
      </c>
      <c r="H549" s="3">
        <f ca="1">IFERROR(__xludf.DUMMYFUNCTION("""COMPUTED_VALUE"""),1)</f>
        <v>1</v>
      </c>
      <c r="I549" s="5">
        <f ca="1">IFERROR(__xludf.DUMMYFUNCTION("""COMPUTED_VALUE"""),1)</f>
        <v>1</v>
      </c>
      <c r="J549" s="5">
        <f ca="1">IFERROR(__xludf.DUMMYFUNCTION("""COMPUTED_VALUE"""),15000)</f>
        <v>15000</v>
      </c>
      <c r="K549" s="3"/>
      <c r="L549" s="3" t="str">
        <f ca="1">IFERROR(__xludf.DUMMYFUNCTION("""COMPUTED_VALUE"""),"Cost per instance")</f>
        <v>Cost per instance</v>
      </c>
      <c r="M549" s="3"/>
      <c r="N549" s="3"/>
      <c r="O549" s="3"/>
      <c r="P549" s="3"/>
      <c r="Q549" s="3"/>
      <c r="R549" s="3"/>
      <c r="S549" s="3" t="str">
        <f ca="1">IFERROR(__xludf.DUMMYFUNCTION("""COMPUTED_VALUE"""),"100")</f>
        <v>100</v>
      </c>
      <c r="T549" s="3"/>
      <c r="U549" s="3" t="str">
        <f ca="1">IFERROR(__xludf.DUMMYFUNCTION("""COMPUTED_VALUE"""),"microsite")</f>
        <v>microsite</v>
      </c>
      <c r="V549" s="3"/>
      <c r="W549" s="3"/>
      <c r="X549" s="3"/>
      <c r="Y549" s="3"/>
      <c r="Z549" s="3" t="str">
        <f ca="1">IFERROR(__xludf.DUMMYFUNCTION("""COMPUTED_VALUE"""),"podklady@cncenter.cz")</f>
        <v>podklady@cncenter.cz</v>
      </c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 t="str">
        <f ca="1">IFERROR(__xludf.DUMMYFUNCTION("""COMPUTED_VALUE"""),"cross-device")</f>
        <v>cross-device</v>
      </c>
      <c r="AO549" s="3"/>
      <c r="AP549" s="3"/>
      <c r="AQ549" s="3"/>
      <c r="AR549" s="3"/>
      <c r="AS549" s="3"/>
      <c r="AT549" s="3"/>
      <c r="AU549" s="3" t="str">
        <f ca="1">IFERROR(__xludf.DUMMYFUNCTION("""COMPUTED_VALUE"""),"Prodloužení existující microsite, bez úprav")</f>
        <v>Prodloužení existující microsite, bez úprav</v>
      </c>
    </row>
    <row r="550" spans="1:47" x14ac:dyDescent="0.3">
      <c r="A550" s="3">
        <f ca="1"/>
        <v>2346826</v>
      </c>
      <c r="B550" s="3" t="str">
        <f ca="1"/>
        <v>CZECH NEWS CENTER a. s.</v>
      </c>
      <c r="C550" s="3" t="str">
        <f ca="1">IFERROR(__xludf.DUMMYFUNCTION("""COMPUTED_VALUE"""),"F1 sport")</f>
        <v>F1 sport</v>
      </c>
      <c r="D550" s="4" t="str">
        <f ca="1">IFERROR(__xludf.DUMMYFUNCTION("""COMPUTED_VALUE"""),"https://f1sport.auto.cz")</f>
        <v>https://f1sport.auto.cz</v>
      </c>
      <c r="E550" s="3" t="str">
        <f ca="1">IFERROR(__xludf.DUMMYFUNCTION("""COMPUTED_VALUE"""),"celý web")</f>
        <v>celý web</v>
      </c>
      <c r="F550" s="4" t="str">
        <f ca="1">IFERROR(__xludf.DUMMYFUNCTION("""COMPUTED_VALUE"""),"https://f1sport.auto.cz")</f>
        <v>https://f1sport.auto.cz</v>
      </c>
      <c r="G550" s="3" t="str">
        <f ca="1">IFERROR(__xludf.DUMMYFUNCTION("""COMPUTED_VALUE"""),"Prodloužení existující microsite, bez úprav mid season")</f>
        <v>Prodloužení existující microsite, bez úprav mid season</v>
      </c>
      <c r="H550" s="3">
        <f ca="1">IFERROR(__xludf.DUMMYFUNCTION("""COMPUTED_VALUE"""),1)</f>
        <v>1</v>
      </c>
      <c r="I550" s="5">
        <f ca="1">IFERROR(__xludf.DUMMYFUNCTION("""COMPUTED_VALUE"""),1)</f>
        <v>1</v>
      </c>
      <c r="J550" s="5">
        <f ca="1">IFERROR(__xludf.DUMMYFUNCTION("""COMPUTED_VALUE"""),15000)</f>
        <v>15000</v>
      </c>
      <c r="K550" s="3"/>
      <c r="L550" s="3" t="str">
        <f ca="1">IFERROR(__xludf.DUMMYFUNCTION("""COMPUTED_VALUE"""),"Cost per instance")</f>
        <v>Cost per instance</v>
      </c>
      <c r="M550" s="3"/>
      <c r="N550" s="3"/>
      <c r="O550" s="3"/>
      <c r="P550" s="3"/>
      <c r="Q550" s="3"/>
      <c r="R550" s="3"/>
      <c r="S550" s="3" t="str">
        <f ca="1">IFERROR(__xludf.DUMMYFUNCTION("""COMPUTED_VALUE"""),"100")</f>
        <v>100</v>
      </c>
      <c r="T550" s="3"/>
      <c r="U550" s="3" t="str">
        <f ca="1">IFERROR(__xludf.DUMMYFUNCTION("""COMPUTED_VALUE"""),"microsite")</f>
        <v>microsite</v>
      </c>
      <c r="V550" s="3"/>
      <c r="W550" s="3"/>
      <c r="X550" s="3"/>
      <c r="Y550" s="3"/>
      <c r="Z550" s="3" t="str">
        <f ca="1">IFERROR(__xludf.DUMMYFUNCTION("""COMPUTED_VALUE"""),"podklady@cncenter.cz")</f>
        <v>podklady@cncenter.cz</v>
      </c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 t="str">
        <f ca="1">IFERROR(__xludf.DUMMYFUNCTION("""COMPUTED_VALUE"""),"cross-device")</f>
        <v>cross-device</v>
      </c>
      <c r="AO550" s="3"/>
      <c r="AP550" s="3"/>
      <c r="AQ550" s="3"/>
      <c r="AR550" s="3"/>
      <c r="AS550" s="3"/>
      <c r="AT550" s="3"/>
      <c r="AU550" s="3" t="str">
        <f ca="1">IFERROR(__xludf.DUMMYFUNCTION("""COMPUTED_VALUE"""),"Prodloužení existující microsite, bez úprav")</f>
        <v>Prodloužení existující microsite, bez úprav</v>
      </c>
    </row>
    <row r="551" spans="1:47" x14ac:dyDescent="0.3">
      <c r="A551" s="3">
        <f ca="1"/>
        <v>2346826</v>
      </c>
      <c r="B551" s="3" t="str">
        <f ca="1"/>
        <v>CZECH NEWS CENTER a. s.</v>
      </c>
      <c r="C551" s="3" t="str">
        <f ca="1">IFERROR(__xludf.DUMMYFUNCTION("""COMPUTED_VALUE"""),"F1 sport")</f>
        <v>F1 sport</v>
      </c>
      <c r="D551" s="4" t="str">
        <f ca="1">IFERROR(__xludf.DUMMYFUNCTION("""COMPUTED_VALUE"""),"https://f1sport.auto.cz")</f>
        <v>https://f1sport.auto.cz</v>
      </c>
      <c r="E551" s="3" t="str">
        <f ca="1">IFERROR(__xludf.DUMMYFUNCTION("""COMPUTED_VALUE"""),"celý web")</f>
        <v>celý web</v>
      </c>
      <c r="F551" s="4" t="str">
        <f ca="1">IFERROR(__xludf.DUMMYFUNCTION("""COMPUTED_VALUE"""),"https://f1sport.auto.cz")</f>
        <v>https://f1sport.auto.cz</v>
      </c>
      <c r="G551" s="3" t="str">
        <f ca="1">IFERROR(__xludf.DUMMYFUNCTION("""COMPUTED_VALUE"""),"Prodloužení existující microsite, bez úprav mid season")</f>
        <v>Prodloužení existující microsite, bez úprav mid season</v>
      </c>
      <c r="H551" s="3">
        <f ca="1">IFERROR(__xludf.DUMMYFUNCTION("""COMPUTED_VALUE"""),1)</f>
        <v>1</v>
      </c>
      <c r="I551" s="5">
        <f ca="1">IFERROR(__xludf.DUMMYFUNCTION("""COMPUTED_VALUE"""),1)</f>
        <v>1</v>
      </c>
      <c r="J551" s="5">
        <f ca="1">IFERROR(__xludf.DUMMYFUNCTION("""COMPUTED_VALUE"""),15000)</f>
        <v>15000</v>
      </c>
      <c r="K551" s="3"/>
      <c r="L551" s="3" t="str">
        <f ca="1">IFERROR(__xludf.DUMMYFUNCTION("""COMPUTED_VALUE"""),"Cost per instance")</f>
        <v>Cost per instance</v>
      </c>
      <c r="M551" s="3"/>
      <c r="N551" s="3"/>
      <c r="O551" s="3"/>
      <c r="P551" s="3"/>
      <c r="Q551" s="3"/>
      <c r="R551" s="3"/>
      <c r="S551" s="3" t="str">
        <f ca="1">IFERROR(__xludf.DUMMYFUNCTION("""COMPUTED_VALUE"""),"100")</f>
        <v>100</v>
      </c>
      <c r="T551" s="3"/>
      <c r="U551" s="3" t="str">
        <f ca="1">IFERROR(__xludf.DUMMYFUNCTION("""COMPUTED_VALUE"""),"microsite")</f>
        <v>microsite</v>
      </c>
      <c r="V551" s="3"/>
      <c r="W551" s="3"/>
      <c r="X551" s="3"/>
      <c r="Y551" s="3"/>
      <c r="Z551" s="3" t="str">
        <f ca="1">IFERROR(__xludf.DUMMYFUNCTION("""COMPUTED_VALUE"""),"podklady@cncenter.cz")</f>
        <v>podklady@cncenter.cz</v>
      </c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 t="str">
        <f ca="1">IFERROR(__xludf.DUMMYFUNCTION("""COMPUTED_VALUE"""),"cross-device")</f>
        <v>cross-device</v>
      </c>
      <c r="AO551" s="3"/>
      <c r="AP551" s="3"/>
      <c r="AQ551" s="3"/>
      <c r="AR551" s="3"/>
      <c r="AS551" s="3"/>
      <c r="AT551" s="3"/>
      <c r="AU551" s="3" t="str">
        <f ca="1">IFERROR(__xludf.DUMMYFUNCTION("""COMPUTED_VALUE"""),"Prodloužení existující microsite, bez úprav")</f>
        <v>Prodloužení existující microsite, bez úprav</v>
      </c>
    </row>
    <row r="552" spans="1:47" x14ac:dyDescent="0.3">
      <c r="A552" s="3">
        <f ca="1"/>
        <v>2346826</v>
      </c>
      <c r="B552" s="3" t="str">
        <f ca="1"/>
        <v>CZECH NEWS CENTER a. s.</v>
      </c>
      <c r="C552" s="3" t="str">
        <f ca="1">IFERROR(__xludf.DUMMYFUNCTION("""COMPUTED_VALUE"""),"Facebookový profil ABC")</f>
        <v>Facebookový profil ABC</v>
      </c>
      <c r="D552" s="4" t="str">
        <f ca="1">IFERROR(__xludf.DUMMYFUNCTION("""COMPUTED_VALUE"""),"www.facebook.com")</f>
        <v>www.facebook.com</v>
      </c>
      <c r="E552" s="3" t="str">
        <f ca="1">IFERROR(__xludf.DUMMYFUNCTION("""COMPUTED_VALUE"""),"FB stránka")</f>
        <v>FB stránka</v>
      </c>
      <c r="F552" s="4" t="str">
        <f ca="1">IFERROR(__xludf.DUMMYFUNCTION("""COMPUTED_VALUE"""),"www.facebook.com")</f>
        <v>www.facebook.com</v>
      </c>
      <c r="G552" s="3" t="str">
        <f ca="1">IFERROR(__xludf.DUMMYFUNCTION("""COMPUTED_VALUE"""),"facebook post mid season")</f>
        <v>facebook post mid season</v>
      </c>
      <c r="H552" s="3">
        <f ca="1">IFERROR(__xludf.DUMMYFUNCTION("""COMPUTED_VALUE"""),1)</f>
        <v>1</v>
      </c>
      <c r="I552" s="5">
        <f ca="1">IFERROR(__xludf.DUMMYFUNCTION("""COMPUTED_VALUE"""),1)</f>
        <v>1</v>
      </c>
      <c r="J552" s="5">
        <f ca="1">IFERROR(__xludf.DUMMYFUNCTION("""COMPUTED_VALUE"""),18000)</f>
        <v>18000</v>
      </c>
      <c r="K552" s="3"/>
      <c r="L552" s="3" t="str">
        <f ca="1">IFERROR(__xludf.DUMMYFUNCTION("""COMPUTED_VALUE"""),"Cost per instance")</f>
        <v>Cost per instance</v>
      </c>
      <c r="M552" s="3"/>
      <c r="N552" s="3"/>
      <c r="O552" s="3"/>
      <c r="P552" s="3"/>
      <c r="Q552" s="3"/>
      <c r="R552" s="3"/>
      <c r="S552" s="3" t="str">
        <f ca="1">IFERROR(__xludf.DUMMYFUNCTION("""COMPUTED_VALUE"""),"100")</f>
        <v>100</v>
      </c>
      <c r="T552" s="3"/>
      <c r="U552" s="3" t="str">
        <f ca="1">IFERROR(__xludf.DUMMYFUNCTION("""COMPUTED_VALUE"""),"SoMe facebook")</f>
        <v>SoMe facebook</v>
      </c>
      <c r="V552" s="3"/>
      <c r="W552" s="4" t="str">
        <f ca="1">IFERROR(__xludf.DUMMYFUNCTION("""COMPUTED_VALUE"""),"https://www.facebook.com/business/ads-guide/image/facebook-feed")</f>
        <v>https://www.facebook.com/business/ads-guide/image/facebook-feed</v>
      </c>
      <c r="X552" s="3"/>
      <c r="Y552" s="3"/>
      <c r="Z552" s="3" t="str">
        <f ca="1">IFERROR(__xludf.DUMMYFUNCTION("""COMPUTED_VALUE"""),"podklady@cncenter.cz")</f>
        <v>podklady@cncenter.cz</v>
      </c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 t="str">
        <f ca="1">IFERROR(__xludf.DUMMYFUNCTION("""COMPUTED_VALUE"""),"cross-device")</f>
        <v>cross-device</v>
      </c>
      <c r="AO552" s="3"/>
      <c r="AP552" s="3"/>
      <c r="AQ552" s="3"/>
      <c r="AR552" s="3"/>
      <c r="AS552" s="3"/>
      <c r="AT552" s="3"/>
      <c r="AU552" s="3" t="str">
        <f ca="1">IFERROR(__xludf.DUMMYFUNCTION("""COMPUTED_VALUE"""),"facebook post")</f>
        <v>facebook post</v>
      </c>
    </row>
    <row r="553" spans="1:47" x14ac:dyDescent="0.3">
      <c r="A553" s="3">
        <f ca="1"/>
        <v>2346826</v>
      </c>
      <c r="B553" s="3" t="str">
        <f ca="1"/>
        <v>CZECH NEWS CENTER a. s.</v>
      </c>
      <c r="C553" s="3" t="str">
        <f ca="1">IFERROR(__xludf.DUMMYFUNCTION("""COMPUTED_VALUE"""),"Facebookový profil Auto")</f>
        <v>Facebookový profil Auto</v>
      </c>
      <c r="D553" s="4" t="str">
        <f ca="1">IFERROR(__xludf.DUMMYFUNCTION("""COMPUTED_VALUE"""),"www.facebook.com")</f>
        <v>www.facebook.com</v>
      </c>
      <c r="E553" s="3" t="str">
        <f ca="1">IFERROR(__xludf.DUMMYFUNCTION("""COMPUTED_VALUE"""),"FB stránka")</f>
        <v>FB stránka</v>
      </c>
      <c r="F553" s="4" t="str">
        <f ca="1">IFERROR(__xludf.DUMMYFUNCTION("""COMPUTED_VALUE"""),"www.facebook.com")</f>
        <v>www.facebook.com</v>
      </c>
      <c r="G553" s="3" t="str">
        <f ca="1">IFERROR(__xludf.DUMMYFUNCTION("""COMPUTED_VALUE"""),"facebook post mid season")</f>
        <v>facebook post mid season</v>
      </c>
      <c r="H553" s="3">
        <f ca="1">IFERROR(__xludf.DUMMYFUNCTION("""COMPUTED_VALUE"""),1)</f>
        <v>1</v>
      </c>
      <c r="I553" s="5">
        <f ca="1">IFERROR(__xludf.DUMMYFUNCTION("""COMPUTED_VALUE"""),1)</f>
        <v>1</v>
      </c>
      <c r="J553" s="5">
        <f ca="1">IFERROR(__xludf.DUMMYFUNCTION("""COMPUTED_VALUE"""),23000)</f>
        <v>23000</v>
      </c>
      <c r="K553" s="3"/>
      <c r="L553" s="3" t="str">
        <f ca="1">IFERROR(__xludf.DUMMYFUNCTION("""COMPUTED_VALUE"""),"Cost per instance")</f>
        <v>Cost per instance</v>
      </c>
      <c r="M553" s="3"/>
      <c r="N553" s="3"/>
      <c r="O553" s="3"/>
      <c r="P553" s="3"/>
      <c r="Q553" s="3"/>
      <c r="R553" s="3"/>
      <c r="S553" s="3" t="str">
        <f ca="1">IFERROR(__xludf.DUMMYFUNCTION("""COMPUTED_VALUE"""),"100")</f>
        <v>100</v>
      </c>
      <c r="T553" s="3"/>
      <c r="U553" s="3" t="str">
        <f ca="1">IFERROR(__xludf.DUMMYFUNCTION("""COMPUTED_VALUE"""),"SoMe facebook")</f>
        <v>SoMe facebook</v>
      </c>
      <c r="V553" s="3"/>
      <c r="W553" s="4" t="str">
        <f ca="1">IFERROR(__xludf.DUMMYFUNCTION("""COMPUTED_VALUE"""),"https://www.facebook.com/business/ads-guide/image/facebook-feed")</f>
        <v>https://www.facebook.com/business/ads-guide/image/facebook-feed</v>
      </c>
      <c r="X553" s="3"/>
      <c r="Y553" s="3"/>
      <c r="Z553" s="3" t="str">
        <f ca="1">IFERROR(__xludf.DUMMYFUNCTION("""COMPUTED_VALUE"""),"podklady@cncenter.cz")</f>
        <v>podklady@cncenter.cz</v>
      </c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 t="str">
        <f ca="1">IFERROR(__xludf.DUMMYFUNCTION("""COMPUTED_VALUE"""),"cross-device")</f>
        <v>cross-device</v>
      </c>
      <c r="AO553" s="3"/>
      <c r="AP553" s="3"/>
      <c r="AQ553" s="3"/>
      <c r="AR553" s="3"/>
      <c r="AS553" s="3"/>
      <c r="AT553" s="3"/>
      <c r="AU553" s="3" t="str">
        <f ca="1">IFERROR(__xludf.DUMMYFUNCTION("""COMPUTED_VALUE"""),"facebook post")</f>
        <v>facebook post</v>
      </c>
    </row>
    <row r="554" spans="1:47" x14ac:dyDescent="0.3">
      <c r="A554" s="3">
        <f ca="1"/>
        <v>2346826</v>
      </c>
      <c r="B554" s="3" t="str">
        <f ca="1"/>
        <v>CZECH NEWS CENTER a. s.</v>
      </c>
      <c r="C554" s="3" t="str">
        <f ca="1">IFERROR(__xludf.DUMMYFUNCTION("""COMPUTED_VALUE"""),"Facebookový profil AutoTip")</f>
        <v>Facebookový profil AutoTip</v>
      </c>
      <c r="D554" s="4" t="str">
        <f ca="1">IFERROR(__xludf.DUMMYFUNCTION("""COMPUTED_VALUE"""),"www.facebook.com")</f>
        <v>www.facebook.com</v>
      </c>
      <c r="E554" s="3" t="str">
        <f ca="1">IFERROR(__xludf.DUMMYFUNCTION("""COMPUTED_VALUE"""),"FB stránka")</f>
        <v>FB stránka</v>
      </c>
      <c r="F554" s="4" t="str">
        <f ca="1">IFERROR(__xludf.DUMMYFUNCTION("""COMPUTED_VALUE"""),"www.facebook.com")</f>
        <v>www.facebook.com</v>
      </c>
      <c r="G554" s="3" t="str">
        <f ca="1">IFERROR(__xludf.DUMMYFUNCTION("""COMPUTED_VALUE"""),"facebook post mid season")</f>
        <v>facebook post mid season</v>
      </c>
      <c r="H554" s="3">
        <f ca="1">IFERROR(__xludf.DUMMYFUNCTION("""COMPUTED_VALUE"""),1)</f>
        <v>1</v>
      </c>
      <c r="I554" s="5">
        <f ca="1">IFERROR(__xludf.DUMMYFUNCTION("""COMPUTED_VALUE"""),1)</f>
        <v>1</v>
      </c>
      <c r="J554" s="5">
        <f ca="1">IFERROR(__xludf.DUMMYFUNCTION("""COMPUTED_VALUE"""),18000)</f>
        <v>18000</v>
      </c>
      <c r="K554" s="3"/>
      <c r="L554" s="3" t="str">
        <f ca="1">IFERROR(__xludf.DUMMYFUNCTION("""COMPUTED_VALUE"""),"Cost per instance")</f>
        <v>Cost per instance</v>
      </c>
      <c r="M554" s="3"/>
      <c r="N554" s="3"/>
      <c r="O554" s="3"/>
      <c r="P554" s="3"/>
      <c r="Q554" s="3"/>
      <c r="R554" s="3"/>
      <c r="S554" s="3" t="str">
        <f ca="1">IFERROR(__xludf.DUMMYFUNCTION("""COMPUTED_VALUE"""),"100")</f>
        <v>100</v>
      </c>
      <c r="T554" s="3"/>
      <c r="U554" s="3" t="str">
        <f ca="1">IFERROR(__xludf.DUMMYFUNCTION("""COMPUTED_VALUE"""),"SoMe facebook")</f>
        <v>SoMe facebook</v>
      </c>
      <c r="V554" s="3"/>
      <c r="W554" s="4" t="str">
        <f ca="1">IFERROR(__xludf.DUMMYFUNCTION("""COMPUTED_VALUE"""),"https://www.facebook.com/business/ads-guide/image/facebook-feed")</f>
        <v>https://www.facebook.com/business/ads-guide/image/facebook-feed</v>
      </c>
      <c r="X554" s="3"/>
      <c r="Y554" s="3"/>
      <c r="Z554" s="3" t="str">
        <f ca="1">IFERROR(__xludf.DUMMYFUNCTION("""COMPUTED_VALUE"""),"podklady@cncenter.cz")</f>
        <v>podklady@cncenter.cz</v>
      </c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 t="str">
        <f ca="1">IFERROR(__xludf.DUMMYFUNCTION("""COMPUTED_VALUE"""),"cross-device")</f>
        <v>cross-device</v>
      </c>
      <c r="AO554" s="3"/>
      <c r="AP554" s="3"/>
      <c r="AQ554" s="3"/>
      <c r="AR554" s="3"/>
      <c r="AS554" s="3"/>
      <c r="AT554" s="3"/>
      <c r="AU554" s="3" t="str">
        <f ca="1">IFERROR(__xludf.DUMMYFUNCTION("""COMPUTED_VALUE"""),"facebook post")</f>
        <v>facebook post</v>
      </c>
    </row>
    <row r="555" spans="1:47" x14ac:dyDescent="0.3">
      <c r="A555" s="3">
        <f ca="1"/>
        <v>2346826</v>
      </c>
      <c r="B555" s="3" t="str">
        <f ca="1"/>
        <v>CZECH NEWS CENTER a. s.</v>
      </c>
      <c r="C555" s="3" t="str">
        <f ca="1">IFERROR(__xludf.DUMMYFUNCTION("""COMPUTED_VALUE"""),"Facebookový profil Blesk")</f>
        <v>Facebookový profil Blesk</v>
      </c>
      <c r="D555" s="4" t="str">
        <f ca="1">IFERROR(__xludf.DUMMYFUNCTION("""COMPUTED_VALUE"""),"www.facebook.com")</f>
        <v>www.facebook.com</v>
      </c>
      <c r="E555" s="3" t="str">
        <f ca="1">IFERROR(__xludf.DUMMYFUNCTION("""COMPUTED_VALUE"""),"FB stránka")</f>
        <v>FB stránka</v>
      </c>
      <c r="F555" s="4" t="str">
        <f ca="1">IFERROR(__xludf.DUMMYFUNCTION("""COMPUTED_VALUE"""),"www.facebook.com")</f>
        <v>www.facebook.com</v>
      </c>
      <c r="G555" s="3" t="str">
        <f ca="1">IFERROR(__xludf.DUMMYFUNCTION("""COMPUTED_VALUE"""),"facebook post mid season")</f>
        <v>facebook post mid season</v>
      </c>
      <c r="H555" s="3">
        <f ca="1">IFERROR(__xludf.DUMMYFUNCTION("""COMPUTED_VALUE"""),1)</f>
        <v>1</v>
      </c>
      <c r="I555" s="5">
        <f ca="1">IFERROR(__xludf.DUMMYFUNCTION("""COMPUTED_VALUE"""),1)</f>
        <v>1</v>
      </c>
      <c r="J555" s="5">
        <f ca="1">IFERROR(__xludf.DUMMYFUNCTION("""COMPUTED_VALUE"""),23000)</f>
        <v>23000</v>
      </c>
      <c r="K555" s="3"/>
      <c r="L555" s="3" t="str">
        <f ca="1">IFERROR(__xludf.DUMMYFUNCTION("""COMPUTED_VALUE"""),"Cost per instance")</f>
        <v>Cost per instance</v>
      </c>
      <c r="M555" s="3"/>
      <c r="N555" s="3"/>
      <c r="O555" s="3"/>
      <c r="P555" s="3"/>
      <c r="Q555" s="3"/>
      <c r="R555" s="3"/>
      <c r="S555" s="3" t="str">
        <f ca="1">IFERROR(__xludf.DUMMYFUNCTION("""COMPUTED_VALUE"""),"100")</f>
        <v>100</v>
      </c>
      <c r="T555" s="3"/>
      <c r="U555" s="3" t="str">
        <f ca="1">IFERROR(__xludf.DUMMYFUNCTION("""COMPUTED_VALUE"""),"SoMe facebook")</f>
        <v>SoMe facebook</v>
      </c>
      <c r="V555" s="3"/>
      <c r="W555" s="4" t="str">
        <f ca="1">IFERROR(__xludf.DUMMYFUNCTION("""COMPUTED_VALUE"""),"https://www.facebook.com/business/ads-guide/image/facebook-feed")</f>
        <v>https://www.facebook.com/business/ads-guide/image/facebook-feed</v>
      </c>
      <c r="X555" s="3"/>
      <c r="Y555" s="3"/>
      <c r="Z555" s="3" t="str">
        <f ca="1">IFERROR(__xludf.DUMMYFUNCTION("""COMPUTED_VALUE"""),"podklady@cncenter.cz")</f>
        <v>podklady@cncenter.cz</v>
      </c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 t="str">
        <f ca="1">IFERROR(__xludf.DUMMYFUNCTION("""COMPUTED_VALUE"""),"cross-device")</f>
        <v>cross-device</v>
      </c>
      <c r="AO555" s="3"/>
      <c r="AP555" s="3"/>
      <c r="AQ555" s="3"/>
      <c r="AR555" s="3"/>
      <c r="AS555" s="3"/>
      <c r="AT555" s="3"/>
      <c r="AU555" s="3" t="str">
        <f ca="1">IFERROR(__xludf.DUMMYFUNCTION("""COMPUTED_VALUE"""),"facebook post")</f>
        <v>facebook post</v>
      </c>
    </row>
    <row r="556" spans="1:47" x14ac:dyDescent="0.3">
      <c r="A556" s="3">
        <f ca="1"/>
        <v>2346826</v>
      </c>
      <c r="B556" s="3" t="str">
        <f ca="1"/>
        <v>CZECH NEWS CENTER a. s.</v>
      </c>
      <c r="C556" s="3" t="str">
        <f ca="1">IFERROR(__xludf.DUMMYFUNCTION("""COMPUTED_VALUE"""),"Facebookový profil Blesk pro ženy")</f>
        <v>Facebookový profil Blesk pro ženy</v>
      </c>
      <c r="D556" s="4" t="str">
        <f ca="1">IFERROR(__xludf.DUMMYFUNCTION("""COMPUTED_VALUE"""),"www.facebook.com")</f>
        <v>www.facebook.com</v>
      </c>
      <c r="E556" s="3" t="str">
        <f ca="1">IFERROR(__xludf.DUMMYFUNCTION("""COMPUTED_VALUE"""),"FB stránka")</f>
        <v>FB stránka</v>
      </c>
      <c r="F556" s="4" t="str">
        <f ca="1">IFERROR(__xludf.DUMMYFUNCTION("""COMPUTED_VALUE"""),"www.facebook.com")</f>
        <v>www.facebook.com</v>
      </c>
      <c r="G556" s="3" t="str">
        <f ca="1">IFERROR(__xludf.DUMMYFUNCTION("""COMPUTED_VALUE"""),"facebook post mid season")</f>
        <v>facebook post mid season</v>
      </c>
      <c r="H556" s="3">
        <f ca="1">IFERROR(__xludf.DUMMYFUNCTION("""COMPUTED_VALUE"""),1)</f>
        <v>1</v>
      </c>
      <c r="I556" s="5">
        <f ca="1">IFERROR(__xludf.DUMMYFUNCTION("""COMPUTED_VALUE"""),1)</f>
        <v>1</v>
      </c>
      <c r="J556" s="5">
        <f ca="1">IFERROR(__xludf.DUMMYFUNCTION("""COMPUTED_VALUE"""),23000)</f>
        <v>23000</v>
      </c>
      <c r="K556" s="3"/>
      <c r="L556" s="3" t="str">
        <f ca="1">IFERROR(__xludf.DUMMYFUNCTION("""COMPUTED_VALUE"""),"Cost per instance")</f>
        <v>Cost per instance</v>
      </c>
      <c r="M556" s="3"/>
      <c r="N556" s="3"/>
      <c r="O556" s="3"/>
      <c r="P556" s="3"/>
      <c r="Q556" s="3"/>
      <c r="R556" s="3"/>
      <c r="S556" s="3" t="str">
        <f ca="1">IFERROR(__xludf.DUMMYFUNCTION("""COMPUTED_VALUE"""),"100")</f>
        <v>100</v>
      </c>
      <c r="T556" s="3"/>
      <c r="U556" s="3" t="str">
        <f ca="1">IFERROR(__xludf.DUMMYFUNCTION("""COMPUTED_VALUE"""),"SoMe facebook")</f>
        <v>SoMe facebook</v>
      </c>
      <c r="V556" s="3"/>
      <c r="W556" s="4" t="str">
        <f ca="1">IFERROR(__xludf.DUMMYFUNCTION("""COMPUTED_VALUE"""),"https://www.facebook.com/business/ads-guide/image/facebook-feed")</f>
        <v>https://www.facebook.com/business/ads-guide/image/facebook-feed</v>
      </c>
      <c r="X556" s="3"/>
      <c r="Y556" s="3"/>
      <c r="Z556" s="3" t="str">
        <f ca="1">IFERROR(__xludf.DUMMYFUNCTION("""COMPUTED_VALUE"""),"podklady@cncenter.cz")</f>
        <v>podklady@cncenter.cz</v>
      </c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 t="str">
        <f ca="1">IFERROR(__xludf.DUMMYFUNCTION("""COMPUTED_VALUE"""),"cross-device")</f>
        <v>cross-device</v>
      </c>
      <c r="AO556" s="3"/>
      <c r="AP556" s="3"/>
      <c r="AQ556" s="3"/>
      <c r="AR556" s="3"/>
      <c r="AS556" s="3"/>
      <c r="AT556" s="3"/>
      <c r="AU556" s="3" t="str">
        <f ca="1">IFERROR(__xludf.DUMMYFUNCTION("""COMPUTED_VALUE"""),"facebook post")</f>
        <v>facebook post</v>
      </c>
    </row>
    <row r="557" spans="1:47" x14ac:dyDescent="0.3">
      <c r="A557" s="3">
        <f ca="1"/>
        <v>2346826</v>
      </c>
      <c r="B557" s="3" t="str">
        <f ca="1"/>
        <v>CZECH NEWS CENTER a. s.</v>
      </c>
      <c r="C557" s="3" t="str">
        <f ca="1">IFERROR(__xludf.DUMMYFUNCTION("""COMPUTED_VALUE"""),"Facebookový profil Doupě")</f>
        <v>Facebookový profil Doupě</v>
      </c>
      <c r="D557" s="4" t="str">
        <f ca="1">IFERROR(__xludf.DUMMYFUNCTION("""COMPUTED_VALUE"""),"www.facebook.com")</f>
        <v>www.facebook.com</v>
      </c>
      <c r="E557" s="3" t="str">
        <f ca="1">IFERROR(__xludf.DUMMYFUNCTION("""COMPUTED_VALUE"""),"FB stránka")</f>
        <v>FB stránka</v>
      </c>
      <c r="F557" s="4" t="str">
        <f ca="1">IFERROR(__xludf.DUMMYFUNCTION("""COMPUTED_VALUE"""),"www.facebook.com")</f>
        <v>www.facebook.com</v>
      </c>
      <c r="G557" s="3" t="str">
        <f ca="1">IFERROR(__xludf.DUMMYFUNCTION("""COMPUTED_VALUE"""),"facebook post mid season")</f>
        <v>facebook post mid season</v>
      </c>
      <c r="H557" s="3">
        <f ca="1">IFERROR(__xludf.DUMMYFUNCTION("""COMPUTED_VALUE"""),1)</f>
        <v>1</v>
      </c>
      <c r="I557" s="5">
        <f ca="1">IFERROR(__xludf.DUMMYFUNCTION("""COMPUTED_VALUE"""),1)</f>
        <v>1</v>
      </c>
      <c r="J557" s="5">
        <f ca="1">IFERROR(__xludf.DUMMYFUNCTION("""COMPUTED_VALUE"""),18000)</f>
        <v>18000</v>
      </c>
      <c r="K557" s="3"/>
      <c r="L557" s="3" t="str">
        <f ca="1">IFERROR(__xludf.DUMMYFUNCTION("""COMPUTED_VALUE"""),"Cost per instance")</f>
        <v>Cost per instance</v>
      </c>
      <c r="M557" s="3"/>
      <c r="N557" s="3"/>
      <c r="O557" s="3"/>
      <c r="P557" s="3"/>
      <c r="Q557" s="3"/>
      <c r="R557" s="3"/>
      <c r="S557" s="3" t="str">
        <f ca="1">IFERROR(__xludf.DUMMYFUNCTION("""COMPUTED_VALUE"""),"100")</f>
        <v>100</v>
      </c>
      <c r="T557" s="3"/>
      <c r="U557" s="3" t="str">
        <f ca="1">IFERROR(__xludf.DUMMYFUNCTION("""COMPUTED_VALUE"""),"SoMe facebook")</f>
        <v>SoMe facebook</v>
      </c>
      <c r="V557" s="3"/>
      <c r="W557" s="4" t="str">
        <f ca="1">IFERROR(__xludf.DUMMYFUNCTION("""COMPUTED_VALUE"""),"https://www.facebook.com/business/ads-guide/image/facebook-feed")</f>
        <v>https://www.facebook.com/business/ads-guide/image/facebook-feed</v>
      </c>
      <c r="X557" s="3"/>
      <c r="Y557" s="3"/>
      <c r="Z557" s="3" t="str">
        <f ca="1">IFERROR(__xludf.DUMMYFUNCTION("""COMPUTED_VALUE"""),"podklady@cncenter.cz")</f>
        <v>podklady@cncenter.cz</v>
      </c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 t="str">
        <f ca="1">IFERROR(__xludf.DUMMYFUNCTION("""COMPUTED_VALUE"""),"cross-device")</f>
        <v>cross-device</v>
      </c>
      <c r="AO557" s="3"/>
      <c r="AP557" s="3"/>
      <c r="AQ557" s="3"/>
      <c r="AR557" s="3"/>
      <c r="AS557" s="3"/>
      <c r="AT557" s="3"/>
      <c r="AU557" s="3" t="str">
        <f ca="1">IFERROR(__xludf.DUMMYFUNCTION("""COMPUTED_VALUE"""),"facebook post")</f>
        <v>facebook post</v>
      </c>
    </row>
    <row r="558" spans="1:47" x14ac:dyDescent="0.3">
      <c r="A558" s="3">
        <f ca="1"/>
        <v>2346826</v>
      </c>
      <c r="B558" s="3" t="str">
        <f ca="1"/>
        <v>CZECH NEWS CENTER a. s.</v>
      </c>
      <c r="C558" s="3" t="str">
        <f ca="1">IFERROR(__xludf.DUMMYFUNCTION("""COMPUTED_VALUE"""),"Facebookový profil E15")</f>
        <v>Facebookový profil E15</v>
      </c>
      <c r="D558" s="4" t="str">
        <f ca="1">IFERROR(__xludf.DUMMYFUNCTION("""COMPUTED_VALUE"""),"www.facebook.com")</f>
        <v>www.facebook.com</v>
      </c>
      <c r="E558" s="3" t="str">
        <f ca="1">IFERROR(__xludf.DUMMYFUNCTION("""COMPUTED_VALUE"""),"FB stránka")</f>
        <v>FB stránka</v>
      </c>
      <c r="F558" s="4" t="str">
        <f ca="1">IFERROR(__xludf.DUMMYFUNCTION("""COMPUTED_VALUE"""),"www.facebook.com")</f>
        <v>www.facebook.com</v>
      </c>
      <c r="G558" s="3" t="str">
        <f ca="1">IFERROR(__xludf.DUMMYFUNCTION("""COMPUTED_VALUE"""),"facebook post mid season")</f>
        <v>facebook post mid season</v>
      </c>
      <c r="H558" s="3">
        <f ca="1">IFERROR(__xludf.DUMMYFUNCTION("""COMPUTED_VALUE"""),1)</f>
        <v>1</v>
      </c>
      <c r="I558" s="5">
        <f ca="1">IFERROR(__xludf.DUMMYFUNCTION("""COMPUTED_VALUE"""),1)</f>
        <v>1</v>
      </c>
      <c r="J558" s="5">
        <f ca="1">IFERROR(__xludf.DUMMYFUNCTION("""COMPUTED_VALUE"""),23000)</f>
        <v>23000</v>
      </c>
      <c r="K558" s="3"/>
      <c r="L558" s="3" t="str">
        <f ca="1">IFERROR(__xludf.DUMMYFUNCTION("""COMPUTED_VALUE"""),"Cost per instance")</f>
        <v>Cost per instance</v>
      </c>
      <c r="M558" s="3"/>
      <c r="N558" s="3"/>
      <c r="O558" s="3"/>
      <c r="P558" s="3"/>
      <c r="Q558" s="3"/>
      <c r="R558" s="3"/>
      <c r="S558" s="3" t="str">
        <f ca="1">IFERROR(__xludf.DUMMYFUNCTION("""COMPUTED_VALUE"""),"100")</f>
        <v>100</v>
      </c>
      <c r="T558" s="3"/>
      <c r="U558" s="3" t="str">
        <f ca="1">IFERROR(__xludf.DUMMYFUNCTION("""COMPUTED_VALUE"""),"SoMe facebook")</f>
        <v>SoMe facebook</v>
      </c>
      <c r="V558" s="3"/>
      <c r="W558" s="4" t="str">
        <f ca="1">IFERROR(__xludf.DUMMYFUNCTION("""COMPUTED_VALUE"""),"https://www.facebook.com/business/ads-guide/image/facebook-feed")</f>
        <v>https://www.facebook.com/business/ads-guide/image/facebook-feed</v>
      </c>
      <c r="X558" s="3"/>
      <c r="Y558" s="3"/>
      <c r="Z558" s="3" t="str">
        <f ca="1">IFERROR(__xludf.DUMMYFUNCTION("""COMPUTED_VALUE"""),"podklady@cncenter.cz")</f>
        <v>podklady@cncenter.cz</v>
      </c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 t="str">
        <f ca="1">IFERROR(__xludf.DUMMYFUNCTION("""COMPUTED_VALUE"""),"cross-device")</f>
        <v>cross-device</v>
      </c>
      <c r="AO558" s="3"/>
      <c r="AP558" s="3"/>
      <c r="AQ558" s="3"/>
      <c r="AR558" s="3"/>
      <c r="AS558" s="3"/>
      <c r="AT558" s="3"/>
      <c r="AU558" s="3" t="str">
        <f ca="1">IFERROR(__xludf.DUMMYFUNCTION("""COMPUTED_VALUE"""),"facebook post")</f>
        <v>facebook post</v>
      </c>
    </row>
    <row r="559" spans="1:47" x14ac:dyDescent="0.3">
      <c r="A559" s="3">
        <f ca="1"/>
        <v>2346826</v>
      </c>
      <c r="B559" s="3" t="str">
        <f ca="1"/>
        <v>CZECH NEWS CENTER a. s.</v>
      </c>
      <c r="C559" s="3" t="str">
        <f ca="1">IFERROR(__xludf.DUMMYFUNCTION("""COMPUTED_VALUE"""),"Facebookový profil Evropa 2")</f>
        <v>Facebookový profil Evropa 2</v>
      </c>
      <c r="D559" s="4" t="str">
        <f ca="1">IFERROR(__xludf.DUMMYFUNCTION("""COMPUTED_VALUE"""),"www.facebook.com")</f>
        <v>www.facebook.com</v>
      </c>
      <c r="E559" s="3" t="str">
        <f ca="1">IFERROR(__xludf.DUMMYFUNCTION("""COMPUTED_VALUE"""),"FB stránka")</f>
        <v>FB stránka</v>
      </c>
      <c r="F559" s="4" t="str">
        <f ca="1">IFERROR(__xludf.DUMMYFUNCTION("""COMPUTED_VALUE"""),"www.facebook.com")</f>
        <v>www.facebook.com</v>
      </c>
      <c r="G559" s="3" t="str">
        <f ca="1">IFERROR(__xludf.DUMMYFUNCTION("""COMPUTED_VALUE"""),"facebook post mid season")</f>
        <v>facebook post mid season</v>
      </c>
      <c r="H559" s="3">
        <f ca="1">IFERROR(__xludf.DUMMYFUNCTION("""COMPUTED_VALUE"""),1)</f>
        <v>1</v>
      </c>
      <c r="I559" s="5">
        <f ca="1">IFERROR(__xludf.DUMMYFUNCTION("""COMPUTED_VALUE"""),1)</f>
        <v>1</v>
      </c>
      <c r="J559" s="5">
        <f ca="1">IFERROR(__xludf.DUMMYFUNCTION("""COMPUTED_VALUE"""),225000)</f>
        <v>225000</v>
      </c>
      <c r="K559" s="3"/>
      <c r="L559" s="3" t="str">
        <f ca="1">IFERROR(__xludf.DUMMYFUNCTION("""COMPUTED_VALUE"""),"Cost per instance")</f>
        <v>Cost per instance</v>
      </c>
      <c r="M559" s="3"/>
      <c r="N559" s="3"/>
      <c r="O559" s="3"/>
      <c r="P559" s="3"/>
      <c r="Q559" s="3"/>
      <c r="R559" s="3"/>
      <c r="S559" s="3" t="str">
        <f ca="1">IFERROR(__xludf.DUMMYFUNCTION("""COMPUTED_VALUE"""),"100")</f>
        <v>100</v>
      </c>
      <c r="T559" s="3"/>
      <c r="U559" s="3" t="str">
        <f ca="1">IFERROR(__xludf.DUMMYFUNCTION("""COMPUTED_VALUE"""),"SoMe facebook")</f>
        <v>SoMe facebook</v>
      </c>
      <c r="V559" s="3"/>
      <c r="W559" s="4" t="str">
        <f ca="1">IFERROR(__xludf.DUMMYFUNCTION("""COMPUTED_VALUE"""),"https://www.facebook.com/business/ads-guide/image/facebook-feed")</f>
        <v>https://www.facebook.com/business/ads-guide/image/facebook-feed</v>
      </c>
      <c r="X559" s="3"/>
      <c r="Y559" s="3"/>
      <c r="Z559" s="3" t="str">
        <f ca="1">IFERROR(__xludf.DUMMYFUNCTION("""COMPUTED_VALUE"""),"podklady@cncenter.cz")</f>
        <v>podklady@cncenter.cz</v>
      </c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 t="str">
        <f ca="1">IFERROR(__xludf.DUMMYFUNCTION("""COMPUTED_VALUE"""),"cross-device")</f>
        <v>cross-device</v>
      </c>
      <c r="AO559" s="3"/>
      <c r="AP559" s="3"/>
      <c r="AQ559" s="3"/>
      <c r="AR559" s="3"/>
      <c r="AS559" s="3"/>
      <c r="AT559" s="3"/>
      <c r="AU559" s="3" t="str">
        <f ca="1">IFERROR(__xludf.DUMMYFUNCTION("""COMPUTED_VALUE"""),"facebook post")</f>
        <v>facebook post</v>
      </c>
    </row>
    <row r="560" spans="1:47" x14ac:dyDescent="0.3">
      <c r="A560" s="3">
        <f ca="1"/>
        <v>2346826</v>
      </c>
      <c r="B560" s="3" t="str">
        <f ca="1"/>
        <v>CZECH NEWS CENTER a. s.</v>
      </c>
      <c r="C560" s="3" t="str">
        <f ca="1">IFERROR(__xludf.DUMMYFUNCTION("""COMPUTED_VALUE"""),"Facebookový profil F.O.O.D.")</f>
        <v>Facebookový profil F.O.O.D.</v>
      </c>
      <c r="D560" s="4" t="str">
        <f ca="1">IFERROR(__xludf.DUMMYFUNCTION("""COMPUTED_VALUE"""),"www.facebook.com")</f>
        <v>www.facebook.com</v>
      </c>
      <c r="E560" s="3" t="str">
        <f ca="1">IFERROR(__xludf.DUMMYFUNCTION("""COMPUTED_VALUE"""),"FB stránka")</f>
        <v>FB stránka</v>
      </c>
      <c r="F560" s="4" t="str">
        <f ca="1">IFERROR(__xludf.DUMMYFUNCTION("""COMPUTED_VALUE"""),"www.facebook.com")</f>
        <v>www.facebook.com</v>
      </c>
      <c r="G560" s="3" t="str">
        <f ca="1">IFERROR(__xludf.DUMMYFUNCTION("""COMPUTED_VALUE"""),"facebook post mid season")</f>
        <v>facebook post mid season</v>
      </c>
      <c r="H560" s="3">
        <f ca="1">IFERROR(__xludf.DUMMYFUNCTION("""COMPUTED_VALUE"""),1)</f>
        <v>1</v>
      </c>
      <c r="I560" s="5">
        <f ca="1">IFERROR(__xludf.DUMMYFUNCTION("""COMPUTED_VALUE"""),1)</f>
        <v>1</v>
      </c>
      <c r="J560" s="5">
        <f ca="1">IFERROR(__xludf.DUMMYFUNCTION("""COMPUTED_VALUE"""),18000)</f>
        <v>18000</v>
      </c>
      <c r="K560" s="3"/>
      <c r="L560" s="3" t="str">
        <f ca="1">IFERROR(__xludf.DUMMYFUNCTION("""COMPUTED_VALUE"""),"Cost per instance")</f>
        <v>Cost per instance</v>
      </c>
      <c r="M560" s="3"/>
      <c r="N560" s="3"/>
      <c r="O560" s="3"/>
      <c r="P560" s="3"/>
      <c r="Q560" s="3"/>
      <c r="R560" s="3"/>
      <c r="S560" s="3" t="str">
        <f ca="1">IFERROR(__xludf.DUMMYFUNCTION("""COMPUTED_VALUE"""),"100")</f>
        <v>100</v>
      </c>
      <c r="T560" s="3"/>
      <c r="U560" s="3" t="str">
        <f ca="1">IFERROR(__xludf.DUMMYFUNCTION("""COMPUTED_VALUE"""),"SoMe facebook")</f>
        <v>SoMe facebook</v>
      </c>
      <c r="V560" s="3"/>
      <c r="W560" s="4" t="str">
        <f ca="1">IFERROR(__xludf.DUMMYFUNCTION("""COMPUTED_VALUE"""),"https://www.facebook.com/business/ads-guide/image/facebook-feed")</f>
        <v>https://www.facebook.com/business/ads-guide/image/facebook-feed</v>
      </c>
      <c r="X560" s="3"/>
      <c r="Y560" s="3"/>
      <c r="Z560" s="3" t="str">
        <f ca="1">IFERROR(__xludf.DUMMYFUNCTION("""COMPUTED_VALUE"""),"podklady@cncenter.cz")</f>
        <v>podklady@cncenter.cz</v>
      </c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 t="str">
        <f ca="1">IFERROR(__xludf.DUMMYFUNCTION("""COMPUTED_VALUE"""),"cross-device")</f>
        <v>cross-device</v>
      </c>
      <c r="AO560" s="3"/>
      <c r="AP560" s="3"/>
      <c r="AQ560" s="3"/>
      <c r="AR560" s="3"/>
      <c r="AS560" s="3"/>
      <c r="AT560" s="3"/>
      <c r="AU560" s="3" t="str">
        <f ca="1">IFERROR(__xludf.DUMMYFUNCTION("""COMPUTED_VALUE"""),"facebook post")</f>
        <v>facebook post</v>
      </c>
    </row>
    <row r="561" spans="1:47" x14ac:dyDescent="0.3">
      <c r="A561" s="3">
        <f ca="1"/>
        <v>2346826</v>
      </c>
      <c r="B561" s="3" t="str">
        <f ca="1"/>
        <v>CZECH NEWS CENTER a. s.</v>
      </c>
      <c r="C561" s="3" t="str">
        <f ca="1">IFERROR(__xludf.DUMMYFUNCTION("""COMPUTED_VALUE"""),"Facebookový profil Frekvence 1")</f>
        <v>Facebookový profil Frekvence 1</v>
      </c>
      <c r="D561" s="4" t="str">
        <f ca="1">IFERROR(__xludf.DUMMYFUNCTION("""COMPUTED_VALUE"""),"www.facebook.com")</f>
        <v>www.facebook.com</v>
      </c>
      <c r="E561" s="3" t="str">
        <f ca="1">IFERROR(__xludf.DUMMYFUNCTION("""COMPUTED_VALUE"""),"FB stránka")</f>
        <v>FB stránka</v>
      </c>
      <c r="F561" s="4" t="str">
        <f ca="1">IFERROR(__xludf.DUMMYFUNCTION("""COMPUTED_VALUE"""),"www.facebook.com")</f>
        <v>www.facebook.com</v>
      </c>
      <c r="G561" s="3" t="str">
        <f ca="1">IFERROR(__xludf.DUMMYFUNCTION("""COMPUTED_VALUE"""),"facebook post mid season")</f>
        <v>facebook post mid season</v>
      </c>
      <c r="H561" s="3">
        <f ca="1">IFERROR(__xludf.DUMMYFUNCTION("""COMPUTED_VALUE"""),1)</f>
        <v>1</v>
      </c>
      <c r="I561" s="5">
        <f ca="1">IFERROR(__xludf.DUMMYFUNCTION("""COMPUTED_VALUE"""),1)</f>
        <v>1</v>
      </c>
      <c r="J561" s="5">
        <f ca="1">IFERROR(__xludf.DUMMYFUNCTION("""COMPUTED_VALUE"""),225000)</f>
        <v>225000</v>
      </c>
      <c r="K561" s="3"/>
      <c r="L561" s="3" t="str">
        <f ca="1">IFERROR(__xludf.DUMMYFUNCTION("""COMPUTED_VALUE"""),"Cost per instance")</f>
        <v>Cost per instance</v>
      </c>
      <c r="M561" s="3"/>
      <c r="N561" s="3"/>
      <c r="O561" s="3"/>
      <c r="P561" s="3"/>
      <c r="Q561" s="3"/>
      <c r="R561" s="3"/>
      <c r="S561" s="3" t="str">
        <f ca="1">IFERROR(__xludf.DUMMYFUNCTION("""COMPUTED_VALUE"""),"100")</f>
        <v>100</v>
      </c>
      <c r="T561" s="3"/>
      <c r="U561" s="3" t="str">
        <f ca="1">IFERROR(__xludf.DUMMYFUNCTION("""COMPUTED_VALUE"""),"SoMe facebook")</f>
        <v>SoMe facebook</v>
      </c>
      <c r="V561" s="3"/>
      <c r="W561" s="4" t="str">
        <f ca="1">IFERROR(__xludf.DUMMYFUNCTION("""COMPUTED_VALUE"""),"https://www.facebook.com/business/ads-guide/image/facebook-feed")</f>
        <v>https://www.facebook.com/business/ads-guide/image/facebook-feed</v>
      </c>
      <c r="X561" s="3"/>
      <c r="Y561" s="3"/>
      <c r="Z561" s="3" t="str">
        <f ca="1">IFERROR(__xludf.DUMMYFUNCTION("""COMPUTED_VALUE"""),"podklady@cncenter.cz")</f>
        <v>podklady@cncenter.cz</v>
      </c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 t="str">
        <f ca="1">IFERROR(__xludf.DUMMYFUNCTION("""COMPUTED_VALUE"""),"cross-device")</f>
        <v>cross-device</v>
      </c>
      <c r="AO561" s="3"/>
      <c r="AP561" s="3"/>
      <c r="AQ561" s="3"/>
      <c r="AR561" s="3"/>
      <c r="AS561" s="3"/>
      <c r="AT561" s="3"/>
      <c r="AU561" s="3" t="str">
        <f ca="1">IFERROR(__xludf.DUMMYFUNCTION("""COMPUTED_VALUE"""),"facebook post")</f>
        <v>facebook post</v>
      </c>
    </row>
    <row r="562" spans="1:47" x14ac:dyDescent="0.3">
      <c r="A562" s="3">
        <f ca="1"/>
        <v>2346826</v>
      </c>
      <c r="B562" s="3" t="str">
        <f ca="1"/>
        <v>CZECH NEWS CENTER a. s.</v>
      </c>
      <c r="C562" s="3" t="str">
        <f ca="1">IFERROR(__xludf.DUMMYFUNCTION("""COMPUTED_VALUE"""),"Facebookový profil iSport")</f>
        <v>Facebookový profil iSport</v>
      </c>
      <c r="D562" s="4" t="str">
        <f ca="1">IFERROR(__xludf.DUMMYFUNCTION("""COMPUTED_VALUE"""),"www.facebook.com")</f>
        <v>www.facebook.com</v>
      </c>
      <c r="E562" s="3" t="str">
        <f ca="1">IFERROR(__xludf.DUMMYFUNCTION("""COMPUTED_VALUE"""),"FB stránka")</f>
        <v>FB stránka</v>
      </c>
      <c r="F562" s="4" t="str">
        <f ca="1">IFERROR(__xludf.DUMMYFUNCTION("""COMPUTED_VALUE"""),"www.facebook.com")</f>
        <v>www.facebook.com</v>
      </c>
      <c r="G562" s="3" t="str">
        <f ca="1">IFERROR(__xludf.DUMMYFUNCTION("""COMPUTED_VALUE"""),"facebook post mid season")</f>
        <v>facebook post mid season</v>
      </c>
      <c r="H562" s="3">
        <f ca="1">IFERROR(__xludf.DUMMYFUNCTION("""COMPUTED_VALUE"""),1)</f>
        <v>1</v>
      </c>
      <c r="I562" s="5">
        <f ca="1">IFERROR(__xludf.DUMMYFUNCTION("""COMPUTED_VALUE"""),1)</f>
        <v>1</v>
      </c>
      <c r="J562" s="5">
        <f ca="1">IFERROR(__xludf.DUMMYFUNCTION("""COMPUTED_VALUE"""),23000)</f>
        <v>23000</v>
      </c>
      <c r="K562" s="3"/>
      <c r="L562" s="3" t="str">
        <f ca="1">IFERROR(__xludf.DUMMYFUNCTION("""COMPUTED_VALUE"""),"Cost per instance")</f>
        <v>Cost per instance</v>
      </c>
      <c r="M562" s="3"/>
      <c r="N562" s="3"/>
      <c r="O562" s="3"/>
      <c r="P562" s="3"/>
      <c r="Q562" s="3"/>
      <c r="R562" s="3"/>
      <c r="S562" s="3" t="str">
        <f ca="1">IFERROR(__xludf.DUMMYFUNCTION("""COMPUTED_VALUE"""),"100")</f>
        <v>100</v>
      </c>
      <c r="T562" s="3"/>
      <c r="U562" s="3" t="str">
        <f ca="1">IFERROR(__xludf.DUMMYFUNCTION("""COMPUTED_VALUE"""),"SoMe facebook")</f>
        <v>SoMe facebook</v>
      </c>
      <c r="V562" s="3"/>
      <c r="W562" s="4" t="str">
        <f ca="1">IFERROR(__xludf.DUMMYFUNCTION("""COMPUTED_VALUE"""),"https://www.facebook.com/business/ads-guide/image/facebook-feed")</f>
        <v>https://www.facebook.com/business/ads-guide/image/facebook-feed</v>
      </c>
      <c r="X562" s="3"/>
      <c r="Y562" s="3"/>
      <c r="Z562" s="3" t="str">
        <f ca="1">IFERROR(__xludf.DUMMYFUNCTION("""COMPUTED_VALUE"""),"podklady@cncenter.cz")</f>
        <v>podklady@cncenter.cz</v>
      </c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 t="str">
        <f ca="1">IFERROR(__xludf.DUMMYFUNCTION("""COMPUTED_VALUE"""),"cross-device")</f>
        <v>cross-device</v>
      </c>
      <c r="AO562" s="3"/>
      <c r="AP562" s="3"/>
      <c r="AQ562" s="3"/>
      <c r="AR562" s="3"/>
      <c r="AS562" s="3"/>
      <c r="AT562" s="3"/>
      <c r="AU562" s="3" t="str">
        <f ca="1">IFERROR(__xludf.DUMMYFUNCTION("""COMPUTED_VALUE"""),"facebook post")</f>
        <v>facebook post</v>
      </c>
    </row>
    <row r="563" spans="1:47" x14ac:dyDescent="0.3">
      <c r="A563" s="3">
        <f ca="1"/>
        <v>2346826</v>
      </c>
      <c r="B563" s="3" t="str">
        <f ca="1"/>
        <v>CZECH NEWS CENTER a. s.</v>
      </c>
      <c r="C563" s="3" t="str">
        <f ca="1">IFERROR(__xludf.DUMMYFUNCTION("""COMPUTED_VALUE"""),"Facebookový profil iSport Life")</f>
        <v>Facebookový profil iSport Life</v>
      </c>
      <c r="D563" s="4" t="str">
        <f ca="1">IFERROR(__xludf.DUMMYFUNCTION("""COMPUTED_VALUE"""),"www.facebook.com")</f>
        <v>www.facebook.com</v>
      </c>
      <c r="E563" s="3" t="str">
        <f ca="1">IFERROR(__xludf.DUMMYFUNCTION("""COMPUTED_VALUE"""),"FB stránka")</f>
        <v>FB stránka</v>
      </c>
      <c r="F563" s="4" t="str">
        <f ca="1">IFERROR(__xludf.DUMMYFUNCTION("""COMPUTED_VALUE"""),"www.facebook.com")</f>
        <v>www.facebook.com</v>
      </c>
      <c r="G563" s="3" t="str">
        <f ca="1">IFERROR(__xludf.DUMMYFUNCTION("""COMPUTED_VALUE"""),"facebook post mid season")</f>
        <v>facebook post mid season</v>
      </c>
      <c r="H563" s="3">
        <f ca="1">IFERROR(__xludf.DUMMYFUNCTION("""COMPUTED_VALUE"""),1)</f>
        <v>1</v>
      </c>
      <c r="I563" s="5">
        <f ca="1">IFERROR(__xludf.DUMMYFUNCTION("""COMPUTED_VALUE"""),1)</f>
        <v>1</v>
      </c>
      <c r="J563" s="5">
        <f ca="1">IFERROR(__xludf.DUMMYFUNCTION("""COMPUTED_VALUE"""),23000)</f>
        <v>23000</v>
      </c>
      <c r="K563" s="3"/>
      <c r="L563" s="3" t="str">
        <f ca="1">IFERROR(__xludf.DUMMYFUNCTION("""COMPUTED_VALUE"""),"Cost per instance")</f>
        <v>Cost per instance</v>
      </c>
      <c r="M563" s="3"/>
      <c r="N563" s="3"/>
      <c r="O563" s="3"/>
      <c r="P563" s="3"/>
      <c r="Q563" s="3"/>
      <c r="R563" s="3"/>
      <c r="S563" s="3" t="str">
        <f ca="1">IFERROR(__xludf.DUMMYFUNCTION("""COMPUTED_VALUE"""),"100")</f>
        <v>100</v>
      </c>
      <c r="T563" s="3"/>
      <c r="U563" s="3" t="str">
        <f ca="1">IFERROR(__xludf.DUMMYFUNCTION("""COMPUTED_VALUE"""),"SoMe facebook")</f>
        <v>SoMe facebook</v>
      </c>
      <c r="V563" s="3"/>
      <c r="W563" s="4" t="str">
        <f ca="1">IFERROR(__xludf.DUMMYFUNCTION("""COMPUTED_VALUE"""),"https://www.facebook.com/business/ads-guide/image/facebook-feed")</f>
        <v>https://www.facebook.com/business/ads-guide/image/facebook-feed</v>
      </c>
      <c r="X563" s="3"/>
      <c r="Y563" s="3"/>
      <c r="Z563" s="3" t="str">
        <f ca="1">IFERROR(__xludf.DUMMYFUNCTION("""COMPUTED_VALUE"""),"podklady@cncenter.cz")</f>
        <v>podklady@cncenter.cz</v>
      </c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 t="str">
        <f ca="1">IFERROR(__xludf.DUMMYFUNCTION("""COMPUTED_VALUE"""),"cross-device")</f>
        <v>cross-device</v>
      </c>
      <c r="AO563" s="3"/>
      <c r="AP563" s="3"/>
      <c r="AQ563" s="3"/>
      <c r="AR563" s="3"/>
      <c r="AS563" s="3"/>
      <c r="AT563" s="3"/>
      <c r="AU563" s="3" t="str">
        <f ca="1">IFERROR(__xludf.DUMMYFUNCTION("""COMPUTED_VALUE"""),"facebook post")</f>
        <v>facebook post</v>
      </c>
    </row>
    <row r="564" spans="1:47" x14ac:dyDescent="0.3">
      <c r="A564" s="3">
        <f ca="1"/>
        <v>2346826</v>
      </c>
      <c r="B564" s="3" t="str">
        <f ca="1"/>
        <v>CZECH NEWS CENTER a. s.</v>
      </c>
      <c r="C564" s="3" t="str">
        <f ca="1">IFERROR(__xludf.DUMMYFUNCTION("""COMPUTED_VALUE"""),"Facebookový profil Lidé a Země")</f>
        <v>Facebookový profil Lidé a Země</v>
      </c>
      <c r="D564" s="4" t="str">
        <f ca="1">IFERROR(__xludf.DUMMYFUNCTION("""COMPUTED_VALUE"""),"www.facebook.com")</f>
        <v>www.facebook.com</v>
      </c>
      <c r="E564" s="3" t="str">
        <f ca="1">IFERROR(__xludf.DUMMYFUNCTION("""COMPUTED_VALUE"""),"FB stránka")</f>
        <v>FB stránka</v>
      </c>
      <c r="F564" s="4" t="str">
        <f ca="1">IFERROR(__xludf.DUMMYFUNCTION("""COMPUTED_VALUE"""),"www.facebook.com")</f>
        <v>www.facebook.com</v>
      </c>
      <c r="G564" s="3" t="str">
        <f ca="1">IFERROR(__xludf.DUMMYFUNCTION("""COMPUTED_VALUE"""),"facebook post mid season")</f>
        <v>facebook post mid season</v>
      </c>
      <c r="H564" s="3">
        <f ca="1">IFERROR(__xludf.DUMMYFUNCTION("""COMPUTED_VALUE"""),1)</f>
        <v>1</v>
      </c>
      <c r="I564" s="5">
        <f ca="1">IFERROR(__xludf.DUMMYFUNCTION("""COMPUTED_VALUE"""),1)</f>
        <v>1</v>
      </c>
      <c r="J564" s="5">
        <f ca="1">IFERROR(__xludf.DUMMYFUNCTION("""COMPUTED_VALUE"""),18000)</f>
        <v>18000</v>
      </c>
      <c r="K564" s="3"/>
      <c r="L564" s="3" t="str">
        <f ca="1">IFERROR(__xludf.DUMMYFUNCTION("""COMPUTED_VALUE"""),"Cost per instance")</f>
        <v>Cost per instance</v>
      </c>
      <c r="M564" s="3"/>
      <c r="N564" s="3"/>
      <c r="O564" s="3"/>
      <c r="P564" s="3"/>
      <c r="Q564" s="3"/>
      <c r="R564" s="3"/>
      <c r="S564" s="3" t="str">
        <f ca="1">IFERROR(__xludf.DUMMYFUNCTION("""COMPUTED_VALUE"""),"100")</f>
        <v>100</v>
      </c>
      <c r="T564" s="3"/>
      <c r="U564" s="3" t="str">
        <f ca="1">IFERROR(__xludf.DUMMYFUNCTION("""COMPUTED_VALUE"""),"SoMe facebook")</f>
        <v>SoMe facebook</v>
      </c>
      <c r="V564" s="3"/>
      <c r="W564" s="4" t="str">
        <f ca="1">IFERROR(__xludf.DUMMYFUNCTION("""COMPUTED_VALUE"""),"https://www.facebook.com/business/ads-guide/image/facebook-feed")</f>
        <v>https://www.facebook.com/business/ads-guide/image/facebook-feed</v>
      </c>
      <c r="X564" s="3"/>
      <c r="Y564" s="3"/>
      <c r="Z564" s="3" t="str">
        <f ca="1">IFERROR(__xludf.DUMMYFUNCTION("""COMPUTED_VALUE"""),"podklady@cncenter.cz")</f>
        <v>podklady@cncenter.cz</v>
      </c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 t="str">
        <f ca="1">IFERROR(__xludf.DUMMYFUNCTION("""COMPUTED_VALUE"""),"cross-device")</f>
        <v>cross-device</v>
      </c>
      <c r="AO564" s="3"/>
      <c r="AP564" s="3"/>
      <c r="AQ564" s="3"/>
      <c r="AR564" s="3"/>
      <c r="AS564" s="3"/>
      <c r="AT564" s="3"/>
      <c r="AU564" s="3" t="str">
        <f ca="1">IFERROR(__xludf.DUMMYFUNCTION("""COMPUTED_VALUE"""),"facebook post")</f>
        <v>facebook post</v>
      </c>
    </row>
    <row r="565" spans="1:47" x14ac:dyDescent="0.3">
      <c r="A565" s="3">
        <f ca="1"/>
        <v>2346826</v>
      </c>
      <c r="B565" s="3" t="str">
        <f ca="1"/>
        <v>CZECH NEWS CENTER a. s.</v>
      </c>
      <c r="C565" s="3" t="str">
        <f ca="1">IFERROR(__xludf.DUMMYFUNCTION("""COMPUTED_VALUE"""),"Facebookový profil Maminka")</f>
        <v>Facebookový profil Maminka</v>
      </c>
      <c r="D565" s="4" t="str">
        <f ca="1">IFERROR(__xludf.DUMMYFUNCTION("""COMPUTED_VALUE"""),"www.facebook.com")</f>
        <v>www.facebook.com</v>
      </c>
      <c r="E565" s="3" t="str">
        <f ca="1">IFERROR(__xludf.DUMMYFUNCTION("""COMPUTED_VALUE"""),"FB stránka")</f>
        <v>FB stránka</v>
      </c>
      <c r="F565" s="4" t="str">
        <f ca="1">IFERROR(__xludf.DUMMYFUNCTION("""COMPUTED_VALUE"""),"www.facebook.com")</f>
        <v>www.facebook.com</v>
      </c>
      <c r="G565" s="3" t="str">
        <f ca="1">IFERROR(__xludf.DUMMYFUNCTION("""COMPUTED_VALUE"""),"facebook post mid season")</f>
        <v>facebook post mid season</v>
      </c>
      <c r="H565" s="3">
        <f ca="1">IFERROR(__xludf.DUMMYFUNCTION("""COMPUTED_VALUE"""),1)</f>
        <v>1</v>
      </c>
      <c r="I565" s="5">
        <f ca="1">IFERROR(__xludf.DUMMYFUNCTION("""COMPUTED_VALUE"""),1)</f>
        <v>1</v>
      </c>
      <c r="J565" s="5">
        <f ca="1">IFERROR(__xludf.DUMMYFUNCTION("""COMPUTED_VALUE"""),23000)</f>
        <v>23000</v>
      </c>
      <c r="K565" s="3"/>
      <c r="L565" s="3" t="str">
        <f ca="1">IFERROR(__xludf.DUMMYFUNCTION("""COMPUTED_VALUE"""),"Cost per instance")</f>
        <v>Cost per instance</v>
      </c>
      <c r="M565" s="3"/>
      <c r="N565" s="3"/>
      <c r="O565" s="3"/>
      <c r="P565" s="3"/>
      <c r="Q565" s="3"/>
      <c r="R565" s="3"/>
      <c r="S565" s="3" t="str">
        <f ca="1">IFERROR(__xludf.DUMMYFUNCTION("""COMPUTED_VALUE"""),"100")</f>
        <v>100</v>
      </c>
      <c r="T565" s="3"/>
      <c r="U565" s="3" t="str">
        <f ca="1">IFERROR(__xludf.DUMMYFUNCTION("""COMPUTED_VALUE"""),"SoMe facebook")</f>
        <v>SoMe facebook</v>
      </c>
      <c r="V565" s="3"/>
      <c r="W565" s="4" t="str">
        <f ca="1">IFERROR(__xludf.DUMMYFUNCTION("""COMPUTED_VALUE"""),"https://www.facebook.com/business/ads-guide/image/facebook-feed")</f>
        <v>https://www.facebook.com/business/ads-guide/image/facebook-feed</v>
      </c>
      <c r="X565" s="3"/>
      <c r="Y565" s="3"/>
      <c r="Z565" s="3" t="str">
        <f ca="1">IFERROR(__xludf.DUMMYFUNCTION("""COMPUTED_VALUE"""),"podklady@cncenter.cz")</f>
        <v>podklady@cncenter.cz</v>
      </c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 t="str">
        <f ca="1">IFERROR(__xludf.DUMMYFUNCTION("""COMPUTED_VALUE"""),"cross-device")</f>
        <v>cross-device</v>
      </c>
      <c r="AO565" s="3"/>
      <c r="AP565" s="3"/>
      <c r="AQ565" s="3"/>
      <c r="AR565" s="3"/>
      <c r="AS565" s="3"/>
      <c r="AT565" s="3"/>
      <c r="AU565" s="3" t="str">
        <f ca="1">IFERROR(__xludf.DUMMYFUNCTION("""COMPUTED_VALUE"""),"facebook post")</f>
        <v>facebook post</v>
      </c>
    </row>
    <row r="566" spans="1:47" x14ac:dyDescent="0.3">
      <c r="A566" s="3">
        <f ca="1"/>
        <v>2346826</v>
      </c>
      <c r="B566" s="3" t="str">
        <f ca="1"/>
        <v>CZECH NEWS CENTER a. s.</v>
      </c>
      <c r="C566" s="3" t="str">
        <f ca="1">IFERROR(__xludf.DUMMYFUNCTION("""COMPUTED_VALUE"""),"Facebookový profil Mateřídouška")</f>
        <v>Facebookový profil Mateřídouška</v>
      </c>
      <c r="D566" s="4" t="str">
        <f ca="1">IFERROR(__xludf.DUMMYFUNCTION("""COMPUTED_VALUE"""),"www.facebook.com")</f>
        <v>www.facebook.com</v>
      </c>
      <c r="E566" s="3" t="str">
        <f ca="1">IFERROR(__xludf.DUMMYFUNCTION("""COMPUTED_VALUE"""),"FB stránka")</f>
        <v>FB stránka</v>
      </c>
      <c r="F566" s="4" t="str">
        <f ca="1">IFERROR(__xludf.DUMMYFUNCTION("""COMPUTED_VALUE"""),"www.facebook.com")</f>
        <v>www.facebook.com</v>
      </c>
      <c r="G566" s="3" t="str">
        <f ca="1">IFERROR(__xludf.DUMMYFUNCTION("""COMPUTED_VALUE"""),"facebook post mid season")</f>
        <v>facebook post mid season</v>
      </c>
      <c r="H566" s="3">
        <f ca="1">IFERROR(__xludf.DUMMYFUNCTION("""COMPUTED_VALUE"""),1)</f>
        <v>1</v>
      </c>
      <c r="I566" s="5">
        <f ca="1">IFERROR(__xludf.DUMMYFUNCTION("""COMPUTED_VALUE"""),1)</f>
        <v>1</v>
      </c>
      <c r="J566" s="5">
        <f ca="1">IFERROR(__xludf.DUMMYFUNCTION("""COMPUTED_VALUE"""),18000)</f>
        <v>18000</v>
      </c>
      <c r="K566" s="3"/>
      <c r="L566" s="3" t="str">
        <f ca="1">IFERROR(__xludf.DUMMYFUNCTION("""COMPUTED_VALUE"""),"Cost per instance")</f>
        <v>Cost per instance</v>
      </c>
      <c r="M566" s="3"/>
      <c r="N566" s="3"/>
      <c r="O566" s="3"/>
      <c r="P566" s="3"/>
      <c r="Q566" s="3"/>
      <c r="R566" s="3"/>
      <c r="S566" s="3" t="str">
        <f ca="1">IFERROR(__xludf.DUMMYFUNCTION("""COMPUTED_VALUE"""),"100")</f>
        <v>100</v>
      </c>
      <c r="T566" s="3"/>
      <c r="U566" s="3" t="str">
        <f ca="1">IFERROR(__xludf.DUMMYFUNCTION("""COMPUTED_VALUE"""),"SoMe facebook")</f>
        <v>SoMe facebook</v>
      </c>
      <c r="V566" s="3"/>
      <c r="W566" s="4" t="str">
        <f ca="1">IFERROR(__xludf.DUMMYFUNCTION("""COMPUTED_VALUE"""),"https://www.facebook.com/business/ads-guide/image/facebook-feed")</f>
        <v>https://www.facebook.com/business/ads-guide/image/facebook-feed</v>
      </c>
      <c r="X566" s="3"/>
      <c r="Y566" s="3"/>
      <c r="Z566" s="3" t="str">
        <f ca="1">IFERROR(__xludf.DUMMYFUNCTION("""COMPUTED_VALUE"""),"podklady@cncenter.cz")</f>
        <v>podklady@cncenter.cz</v>
      </c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 t="str">
        <f ca="1">IFERROR(__xludf.DUMMYFUNCTION("""COMPUTED_VALUE"""),"cross-device")</f>
        <v>cross-device</v>
      </c>
      <c r="AO566" s="3"/>
      <c r="AP566" s="3"/>
      <c r="AQ566" s="3"/>
      <c r="AR566" s="3"/>
      <c r="AS566" s="3"/>
      <c r="AT566" s="3"/>
      <c r="AU566" s="3" t="str">
        <f ca="1">IFERROR(__xludf.DUMMYFUNCTION("""COMPUTED_VALUE"""),"facebook post")</f>
        <v>facebook post</v>
      </c>
    </row>
    <row r="567" spans="1:47" x14ac:dyDescent="0.3">
      <c r="A567" s="3">
        <f ca="1"/>
        <v>2346826</v>
      </c>
      <c r="B567" s="3" t="str">
        <f ca="1"/>
        <v>CZECH NEWS CENTER a. s.</v>
      </c>
      <c r="C567" s="3" t="str">
        <f ca="1">IFERROR(__xludf.DUMMYFUNCTION("""COMPUTED_VALUE"""),"Facebookový profil Mimibazar")</f>
        <v>Facebookový profil Mimibazar</v>
      </c>
      <c r="D567" s="4" t="str">
        <f ca="1">IFERROR(__xludf.DUMMYFUNCTION("""COMPUTED_VALUE"""),"www.facebook.com")</f>
        <v>www.facebook.com</v>
      </c>
      <c r="E567" s="3" t="str">
        <f ca="1">IFERROR(__xludf.DUMMYFUNCTION("""COMPUTED_VALUE"""),"FB stránka")</f>
        <v>FB stránka</v>
      </c>
      <c r="F567" s="4" t="str">
        <f ca="1">IFERROR(__xludf.DUMMYFUNCTION("""COMPUTED_VALUE"""),"www.facebook.com")</f>
        <v>www.facebook.com</v>
      </c>
      <c r="G567" s="3" t="str">
        <f ca="1">IFERROR(__xludf.DUMMYFUNCTION("""COMPUTED_VALUE"""),"facebook post mid season")</f>
        <v>facebook post mid season</v>
      </c>
      <c r="H567" s="3">
        <f ca="1">IFERROR(__xludf.DUMMYFUNCTION("""COMPUTED_VALUE"""),1)</f>
        <v>1</v>
      </c>
      <c r="I567" s="5">
        <f ca="1">IFERROR(__xludf.DUMMYFUNCTION("""COMPUTED_VALUE"""),1)</f>
        <v>1</v>
      </c>
      <c r="J567" s="5">
        <f ca="1">IFERROR(__xludf.DUMMYFUNCTION("""COMPUTED_VALUE"""),23000)</f>
        <v>23000</v>
      </c>
      <c r="K567" s="3"/>
      <c r="L567" s="3" t="str">
        <f ca="1">IFERROR(__xludf.DUMMYFUNCTION("""COMPUTED_VALUE"""),"Cost per instance")</f>
        <v>Cost per instance</v>
      </c>
      <c r="M567" s="3"/>
      <c r="N567" s="3"/>
      <c r="O567" s="3"/>
      <c r="P567" s="3"/>
      <c r="Q567" s="3"/>
      <c r="R567" s="3"/>
      <c r="S567" s="3" t="str">
        <f ca="1">IFERROR(__xludf.DUMMYFUNCTION("""COMPUTED_VALUE"""),"100")</f>
        <v>100</v>
      </c>
      <c r="T567" s="3"/>
      <c r="U567" s="3" t="str">
        <f ca="1">IFERROR(__xludf.DUMMYFUNCTION("""COMPUTED_VALUE"""),"SoMe facebook")</f>
        <v>SoMe facebook</v>
      </c>
      <c r="V567" s="3"/>
      <c r="W567" s="4" t="str">
        <f ca="1">IFERROR(__xludf.DUMMYFUNCTION("""COMPUTED_VALUE"""),"https://www.facebook.com/business/ads-guide/image/facebook-feed")</f>
        <v>https://www.facebook.com/business/ads-guide/image/facebook-feed</v>
      </c>
      <c r="X567" s="3"/>
      <c r="Y567" s="3"/>
      <c r="Z567" s="3" t="str">
        <f ca="1">IFERROR(__xludf.DUMMYFUNCTION("""COMPUTED_VALUE"""),"podklady@cncenter.cz")</f>
        <v>podklady@cncenter.cz</v>
      </c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 t="str">
        <f ca="1">IFERROR(__xludf.DUMMYFUNCTION("""COMPUTED_VALUE"""),"cross-device")</f>
        <v>cross-device</v>
      </c>
      <c r="AO567" s="3"/>
      <c r="AP567" s="3"/>
      <c r="AQ567" s="3"/>
      <c r="AR567" s="3"/>
      <c r="AS567" s="3"/>
      <c r="AT567" s="3"/>
      <c r="AU567" s="3" t="str">
        <f ca="1">IFERROR(__xludf.DUMMYFUNCTION("""COMPUTED_VALUE"""),"facebook post")</f>
        <v>facebook post</v>
      </c>
    </row>
    <row r="568" spans="1:47" x14ac:dyDescent="0.3">
      <c r="A568" s="3">
        <f ca="1"/>
        <v>2346826</v>
      </c>
      <c r="B568" s="3" t="str">
        <f ca="1"/>
        <v>CZECH NEWS CENTER a. s.</v>
      </c>
      <c r="C568" s="3" t="str">
        <f ca="1">IFERROR(__xludf.DUMMYFUNCTION("""COMPUTED_VALUE"""),"Facebookový profil Mobilmania")</f>
        <v>Facebookový profil Mobilmania</v>
      </c>
      <c r="D568" s="4" t="str">
        <f ca="1">IFERROR(__xludf.DUMMYFUNCTION("""COMPUTED_VALUE"""),"www.facebook.com")</f>
        <v>www.facebook.com</v>
      </c>
      <c r="E568" s="3" t="str">
        <f ca="1">IFERROR(__xludf.DUMMYFUNCTION("""COMPUTED_VALUE"""),"FB stránka")</f>
        <v>FB stránka</v>
      </c>
      <c r="F568" s="4" t="str">
        <f ca="1">IFERROR(__xludf.DUMMYFUNCTION("""COMPUTED_VALUE"""),"www.facebook.com")</f>
        <v>www.facebook.com</v>
      </c>
      <c r="G568" s="3" t="str">
        <f ca="1">IFERROR(__xludf.DUMMYFUNCTION("""COMPUTED_VALUE"""),"facebook post mid season")</f>
        <v>facebook post mid season</v>
      </c>
      <c r="H568" s="3">
        <f ca="1">IFERROR(__xludf.DUMMYFUNCTION("""COMPUTED_VALUE"""),1)</f>
        <v>1</v>
      </c>
      <c r="I568" s="5">
        <f ca="1">IFERROR(__xludf.DUMMYFUNCTION("""COMPUTED_VALUE"""),1)</f>
        <v>1</v>
      </c>
      <c r="J568" s="5">
        <f ca="1">IFERROR(__xludf.DUMMYFUNCTION("""COMPUTED_VALUE"""),18000)</f>
        <v>18000</v>
      </c>
      <c r="K568" s="3"/>
      <c r="L568" s="3" t="str">
        <f ca="1">IFERROR(__xludf.DUMMYFUNCTION("""COMPUTED_VALUE"""),"Cost per instance")</f>
        <v>Cost per instance</v>
      </c>
      <c r="M568" s="3"/>
      <c r="N568" s="3"/>
      <c r="O568" s="3"/>
      <c r="P568" s="3"/>
      <c r="Q568" s="3"/>
      <c r="R568" s="3"/>
      <c r="S568" s="3" t="str">
        <f ca="1">IFERROR(__xludf.DUMMYFUNCTION("""COMPUTED_VALUE"""),"100")</f>
        <v>100</v>
      </c>
      <c r="T568" s="3"/>
      <c r="U568" s="3" t="str">
        <f ca="1">IFERROR(__xludf.DUMMYFUNCTION("""COMPUTED_VALUE"""),"SoMe facebook")</f>
        <v>SoMe facebook</v>
      </c>
      <c r="V568" s="3"/>
      <c r="W568" s="4" t="str">
        <f ca="1">IFERROR(__xludf.DUMMYFUNCTION("""COMPUTED_VALUE"""),"https://www.facebook.com/business/ads-guide/image/facebook-feed")</f>
        <v>https://www.facebook.com/business/ads-guide/image/facebook-feed</v>
      </c>
      <c r="X568" s="3"/>
      <c r="Y568" s="3"/>
      <c r="Z568" s="3" t="str">
        <f ca="1">IFERROR(__xludf.DUMMYFUNCTION("""COMPUTED_VALUE"""),"podklady@cncenter.cz")</f>
        <v>podklady@cncenter.cz</v>
      </c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 t="str">
        <f ca="1">IFERROR(__xludf.DUMMYFUNCTION("""COMPUTED_VALUE"""),"cross-device")</f>
        <v>cross-device</v>
      </c>
      <c r="AO568" s="3"/>
      <c r="AP568" s="3"/>
      <c r="AQ568" s="3"/>
      <c r="AR568" s="3"/>
      <c r="AS568" s="3"/>
      <c r="AT568" s="3"/>
      <c r="AU568" s="3" t="str">
        <f ca="1">IFERROR(__xludf.DUMMYFUNCTION("""COMPUTED_VALUE"""),"facebook post")</f>
        <v>facebook post</v>
      </c>
    </row>
    <row r="569" spans="1:47" x14ac:dyDescent="0.3">
      <c r="A569" s="3">
        <f ca="1"/>
        <v>2346826</v>
      </c>
      <c r="B569" s="3" t="str">
        <f ca="1"/>
        <v>CZECH NEWS CENTER a. s.</v>
      </c>
      <c r="C569" s="3" t="str">
        <f ca="1">IFERROR(__xludf.DUMMYFUNCTION("""COMPUTED_VALUE"""),"Facebookový profil Moje psychologie")</f>
        <v>Facebookový profil Moje psychologie</v>
      </c>
      <c r="D569" s="4" t="str">
        <f ca="1">IFERROR(__xludf.DUMMYFUNCTION("""COMPUTED_VALUE"""),"www.facebook.com")</f>
        <v>www.facebook.com</v>
      </c>
      <c r="E569" s="3" t="str">
        <f ca="1">IFERROR(__xludf.DUMMYFUNCTION("""COMPUTED_VALUE"""),"FB stránka")</f>
        <v>FB stránka</v>
      </c>
      <c r="F569" s="4" t="str">
        <f ca="1">IFERROR(__xludf.DUMMYFUNCTION("""COMPUTED_VALUE"""),"www.facebook.com")</f>
        <v>www.facebook.com</v>
      </c>
      <c r="G569" s="3" t="str">
        <f ca="1">IFERROR(__xludf.DUMMYFUNCTION("""COMPUTED_VALUE"""),"facebook post mid season")</f>
        <v>facebook post mid season</v>
      </c>
      <c r="H569" s="3">
        <f ca="1">IFERROR(__xludf.DUMMYFUNCTION("""COMPUTED_VALUE"""),1)</f>
        <v>1</v>
      </c>
      <c r="I569" s="5">
        <f ca="1">IFERROR(__xludf.DUMMYFUNCTION("""COMPUTED_VALUE"""),1)</f>
        <v>1</v>
      </c>
      <c r="J569" s="5">
        <f ca="1">IFERROR(__xludf.DUMMYFUNCTION("""COMPUTED_VALUE"""),18000)</f>
        <v>18000</v>
      </c>
      <c r="K569" s="3"/>
      <c r="L569" s="3" t="str">
        <f ca="1">IFERROR(__xludf.DUMMYFUNCTION("""COMPUTED_VALUE"""),"Cost per instance")</f>
        <v>Cost per instance</v>
      </c>
      <c r="M569" s="3"/>
      <c r="N569" s="3"/>
      <c r="O569" s="3"/>
      <c r="P569" s="3"/>
      <c r="Q569" s="3"/>
      <c r="R569" s="3"/>
      <c r="S569" s="3" t="str">
        <f ca="1">IFERROR(__xludf.DUMMYFUNCTION("""COMPUTED_VALUE"""),"100")</f>
        <v>100</v>
      </c>
      <c r="T569" s="3"/>
      <c r="U569" s="3" t="str">
        <f ca="1">IFERROR(__xludf.DUMMYFUNCTION("""COMPUTED_VALUE"""),"SoMe facebook")</f>
        <v>SoMe facebook</v>
      </c>
      <c r="V569" s="3"/>
      <c r="W569" s="4" t="str">
        <f ca="1">IFERROR(__xludf.DUMMYFUNCTION("""COMPUTED_VALUE"""),"https://www.facebook.com/business/ads-guide/image/facebook-feed")</f>
        <v>https://www.facebook.com/business/ads-guide/image/facebook-feed</v>
      </c>
      <c r="X569" s="3"/>
      <c r="Y569" s="3"/>
      <c r="Z569" s="3" t="str">
        <f ca="1">IFERROR(__xludf.DUMMYFUNCTION("""COMPUTED_VALUE"""),"podklady@cncenter.cz")</f>
        <v>podklady@cncenter.cz</v>
      </c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 t="str">
        <f ca="1">IFERROR(__xludf.DUMMYFUNCTION("""COMPUTED_VALUE"""),"cross-device")</f>
        <v>cross-device</v>
      </c>
      <c r="AO569" s="3"/>
      <c r="AP569" s="3"/>
      <c r="AQ569" s="3"/>
      <c r="AR569" s="3"/>
      <c r="AS569" s="3"/>
      <c r="AT569" s="3"/>
      <c r="AU569" s="3" t="str">
        <f ca="1">IFERROR(__xludf.DUMMYFUNCTION("""COMPUTED_VALUE"""),"facebook post")</f>
        <v>facebook post</v>
      </c>
    </row>
    <row r="570" spans="1:47" x14ac:dyDescent="0.3">
      <c r="A570" s="3">
        <f ca="1"/>
        <v>2346826</v>
      </c>
      <c r="B570" s="3" t="str">
        <f ca="1"/>
        <v>CZECH NEWS CENTER a. s.</v>
      </c>
      <c r="C570" s="3" t="str">
        <f ca="1">IFERROR(__xludf.DUMMYFUNCTION("""COMPUTED_VALUE"""),"Facebookový profil Recepty")</f>
        <v>Facebookový profil Recepty</v>
      </c>
      <c r="D570" s="4" t="str">
        <f ca="1">IFERROR(__xludf.DUMMYFUNCTION("""COMPUTED_VALUE"""),"www.facebook.com")</f>
        <v>www.facebook.com</v>
      </c>
      <c r="E570" s="3" t="str">
        <f ca="1">IFERROR(__xludf.DUMMYFUNCTION("""COMPUTED_VALUE"""),"FB stránka")</f>
        <v>FB stránka</v>
      </c>
      <c r="F570" s="4" t="str">
        <f ca="1">IFERROR(__xludf.DUMMYFUNCTION("""COMPUTED_VALUE"""),"www.facebook.com")</f>
        <v>www.facebook.com</v>
      </c>
      <c r="G570" s="3" t="str">
        <f ca="1">IFERROR(__xludf.DUMMYFUNCTION("""COMPUTED_VALUE"""),"facebook post mid season")</f>
        <v>facebook post mid season</v>
      </c>
      <c r="H570" s="3">
        <f ca="1">IFERROR(__xludf.DUMMYFUNCTION("""COMPUTED_VALUE"""),1)</f>
        <v>1</v>
      </c>
      <c r="I570" s="5">
        <f ca="1">IFERROR(__xludf.DUMMYFUNCTION("""COMPUTED_VALUE"""),1)</f>
        <v>1</v>
      </c>
      <c r="J570" s="5">
        <f ca="1">IFERROR(__xludf.DUMMYFUNCTION("""COMPUTED_VALUE"""),18000)</f>
        <v>18000</v>
      </c>
      <c r="K570" s="3"/>
      <c r="L570" s="3" t="str">
        <f ca="1">IFERROR(__xludf.DUMMYFUNCTION("""COMPUTED_VALUE"""),"Cost per instance")</f>
        <v>Cost per instance</v>
      </c>
      <c r="M570" s="3"/>
      <c r="N570" s="3"/>
      <c r="O570" s="3"/>
      <c r="P570" s="3"/>
      <c r="Q570" s="3"/>
      <c r="R570" s="3"/>
      <c r="S570" s="3" t="str">
        <f ca="1">IFERROR(__xludf.DUMMYFUNCTION("""COMPUTED_VALUE"""),"100")</f>
        <v>100</v>
      </c>
      <c r="T570" s="3"/>
      <c r="U570" s="3" t="str">
        <f ca="1">IFERROR(__xludf.DUMMYFUNCTION("""COMPUTED_VALUE"""),"SoMe facebook")</f>
        <v>SoMe facebook</v>
      </c>
      <c r="V570" s="3"/>
      <c r="W570" s="4" t="str">
        <f ca="1">IFERROR(__xludf.DUMMYFUNCTION("""COMPUTED_VALUE"""),"https://www.facebook.com/business/ads-guide/image/facebook-feed")</f>
        <v>https://www.facebook.com/business/ads-guide/image/facebook-feed</v>
      </c>
      <c r="X570" s="3"/>
      <c r="Y570" s="3"/>
      <c r="Z570" s="3" t="str">
        <f ca="1">IFERROR(__xludf.DUMMYFUNCTION("""COMPUTED_VALUE"""),"podklady@cncenter.cz")</f>
        <v>podklady@cncenter.cz</v>
      </c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 t="str">
        <f ca="1">IFERROR(__xludf.DUMMYFUNCTION("""COMPUTED_VALUE"""),"cross-device")</f>
        <v>cross-device</v>
      </c>
      <c r="AO570" s="3"/>
      <c r="AP570" s="3"/>
      <c r="AQ570" s="3"/>
      <c r="AR570" s="3"/>
      <c r="AS570" s="3"/>
      <c r="AT570" s="3"/>
      <c r="AU570" s="3" t="str">
        <f ca="1">IFERROR(__xludf.DUMMYFUNCTION("""COMPUTED_VALUE"""),"facebook post")</f>
        <v>facebook post</v>
      </c>
    </row>
    <row r="571" spans="1:47" x14ac:dyDescent="0.3">
      <c r="A571" s="3">
        <f ca="1"/>
        <v>2346826</v>
      </c>
      <c r="B571" s="3" t="str">
        <f ca="1"/>
        <v>CZECH NEWS CENTER a. s.</v>
      </c>
      <c r="C571" s="3" t="str">
        <f ca="1">IFERROR(__xludf.DUMMYFUNCTION("""COMPUTED_VALUE"""),"Facebookový profil Reflex")</f>
        <v>Facebookový profil Reflex</v>
      </c>
      <c r="D571" s="4" t="str">
        <f ca="1">IFERROR(__xludf.DUMMYFUNCTION("""COMPUTED_VALUE"""),"www.facebook.com")</f>
        <v>www.facebook.com</v>
      </c>
      <c r="E571" s="3" t="str">
        <f ca="1">IFERROR(__xludf.DUMMYFUNCTION("""COMPUTED_VALUE"""),"FB stránka")</f>
        <v>FB stránka</v>
      </c>
      <c r="F571" s="4" t="str">
        <f ca="1">IFERROR(__xludf.DUMMYFUNCTION("""COMPUTED_VALUE"""),"www.facebook.com")</f>
        <v>www.facebook.com</v>
      </c>
      <c r="G571" s="3" t="str">
        <f ca="1">IFERROR(__xludf.DUMMYFUNCTION("""COMPUTED_VALUE"""),"facebook post mid season")</f>
        <v>facebook post mid season</v>
      </c>
      <c r="H571" s="3">
        <f ca="1">IFERROR(__xludf.DUMMYFUNCTION("""COMPUTED_VALUE"""),1)</f>
        <v>1</v>
      </c>
      <c r="I571" s="5">
        <f ca="1">IFERROR(__xludf.DUMMYFUNCTION("""COMPUTED_VALUE"""),1)</f>
        <v>1</v>
      </c>
      <c r="J571" s="5">
        <f ca="1">IFERROR(__xludf.DUMMYFUNCTION("""COMPUTED_VALUE"""),23000)</f>
        <v>23000</v>
      </c>
      <c r="K571" s="3"/>
      <c r="L571" s="3" t="str">
        <f ca="1">IFERROR(__xludf.DUMMYFUNCTION("""COMPUTED_VALUE"""),"Cost per instance")</f>
        <v>Cost per instance</v>
      </c>
      <c r="M571" s="3"/>
      <c r="N571" s="3"/>
      <c r="O571" s="3"/>
      <c r="P571" s="3"/>
      <c r="Q571" s="3"/>
      <c r="R571" s="3"/>
      <c r="S571" s="3" t="str">
        <f ca="1">IFERROR(__xludf.DUMMYFUNCTION("""COMPUTED_VALUE"""),"100")</f>
        <v>100</v>
      </c>
      <c r="T571" s="3"/>
      <c r="U571" s="3" t="str">
        <f ca="1">IFERROR(__xludf.DUMMYFUNCTION("""COMPUTED_VALUE"""),"SoMe facebook")</f>
        <v>SoMe facebook</v>
      </c>
      <c r="V571" s="3"/>
      <c r="W571" s="4" t="str">
        <f ca="1">IFERROR(__xludf.DUMMYFUNCTION("""COMPUTED_VALUE"""),"https://www.facebook.com/business/ads-guide/image/facebook-feed")</f>
        <v>https://www.facebook.com/business/ads-guide/image/facebook-feed</v>
      </c>
      <c r="X571" s="3"/>
      <c r="Y571" s="3"/>
      <c r="Z571" s="3" t="str">
        <f ca="1">IFERROR(__xludf.DUMMYFUNCTION("""COMPUTED_VALUE"""),"podklady@cncenter.cz")</f>
        <v>podklady@cncenter.cz</v>
      </c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 t="str">
        <f ca="1">IFERROR(__xludf.DUMMYFUNCTION("""COMPUTED_VALUE"""),"cross-device")</f>
        <v>cross-device</v>
      </c>
      <c r="AO571" s="3"/>
      <c r="AP571" s="3"/>
      <c r="AQ571" s="3"/>
      <c r="AR571" s="3"/>
      <c r="AS571" s="3"/>
      <c r="AT571" s="3"/>
      <c r="AU571" s="3" t="str">
        <f ca="1">IFERROR(__xludf.DUMMYFUNCTION("""COMPUTED_VALUE"""),"facebook post")</f>
        <v>facebook post</v>
      </c>
    </row>
    <row r="572" spans="1:47" x14ac:dyDescent="0.3">
      <c r="A572" s="3">
        <f ca="1"/>
        <v>2346826</v>
      </c>
      <c r="B572" s="3" t="str">
        <f ca="1"/>
        <v>CZECH NEWS CENTER a. s.</v>
      </c>
      <c r="C572" s="3" t="str">
        <f ca="1">IFERROR(__xludf.DUMMYFUNCTION("""COMPUTED_VALUE"""),"Facebookový profil Sluníčko")</f>
        <v>Facebookový profil Sluníčko</v>
      </c>
      <c r="D572" s="4" t="str">
        <f ca="1">IFERROR(__xludf.DUMMYFUNCTION("""COMPUTED_VALUE"""),"www.facebook.com")</f>
        <v>www.facebook.com</v>
      </c>
      <c r="E572" s="3" t="str">
        <f ca="1">IFERROR(__xludf.DUMMYFUNCTION("""COMPUTED_VALUE"""),"FB stránka")</f>
        <v>FB stránka</v>
      </c>
      <c r="F572" s="4" t="str">
        <f ca="1">IFERROR(__xludf.DUMMYFUNCTION("""COMPUTED_VALUE"""),"www.facebook.com")</f>
        <v>www.facebook.com</v>
      </c>
      <c r="G572" s="3" t="str">
        <f ca="1">IFERROR(__xludf.DUMMYFUNCTION("""COMPUTED_VALUE"""),"facebook post mid season")</f>
        <v>facebook post mid season</v>
      </c>
      <c r="H572" s="3">
        <f ca="1">IFERROR(__xludf.DUMMYFUNCTION("""COMPUTED_VALUE"""),1)</f>
        <v>1</v>
      </c>
      <c r="I572" s="5">
        <f ca="1">IFERROR(__xludf.DUMMYFUNCTION("""COMPUTED_VALUE"""),1)</f>
        <v>1</v>
      </c>
      <c r="J572" s="5">
        <f ca="1">IFERROR(__xludf.DUMMYFUNCTION("""COMPUTED_VALUE"""),18000)</f>
        <v>18000</v>
      </c>
      <c r="K572" s="3"/>
      <c r="L572" s="3" t="str">
        <f ca="1">IFERROR(__xludf.DUMMYFUNCTION("""COMPUTED_VALUE"""),"Cost per instance")</f>
        <v>Cost per instance</v>
      </c>
      <c r="M572" s="3"/>
      <c r="N572" s="3"/>
      <c r="O572" s="3"/>
      <c r="P572" s="3"/>
      <c r="Q572" s="3"/>
      <c r="R572" s="3"/>
      <c r="S572" s="3" t="str">
        <f ca="1">IFERROR(__xludf.DUMMYFUNCTION("""COMPUTED_VALUE"""),"100")</f>
        <v>100</v>
      </c>
      <c r="T572" s="3"/>
      <c r="U572" s="3" t="str">
        <f ca="1">IFERROR(__xludf.DUMMYFUNCTION("""COMPUTED_VALUE"""),"SoMe facebook")</f>
        <v>SoMe facebook</v>
      </c>
      <c r="V572" s="3"/>
      <c r="W572" s="4" t="str">
        <f ca="1">IFERROR(__xludf.DUMMYFUNCTION("""COMPUTED_VALUE"""),"https://www.facebook.com/business/ads-guide/image/facebook-feed")</f>
        <v>https://www.facebook.com/business/ads-guide/image/facebook-feed</v>
      </c>
      <c r="X572" s="3"/>
      <c r="Y572" s="3"/>
      <c r="Z572" s="3" t="str">
        <f ca="1">IFERROR(__xludf.DUMMYFUNCTION("""COMPUTED_VALUE"""),"podklady@cncenter.cz")</f>
        <v>podklady@cncenter.cz</v>
      </c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 t="str">
        <f ca="1">IFERROR(__xludf.DUMMYFUNCTION("""COMPUTED_VALUE"""),"cross-device")</f>
        <v>cross-device</v>
      </c>
      <c r="AO572" s="3"/>
      <c r="AP572" s="3"/>
      <c r="AQ572" s="3"/>
      <c r="AR572" s="3"/>
      <c r="AS572" s="3"/>
      <c r="AT572" s="3"/>
      <c r="AU572" s="3" t="str">
        <f ca="1">IFERROR(__xludf.DUMMYFUNCTION("""COMPUTED_VALUE"""),"facebook post")</f>
        <v>facebook post</v>
      </c>
    </row>
    <row r="573" spans="1:47" x14ac:dyDescent="0.3">
      <c r="A573" s="3">
        <f ca="1"/>
        <v>2346826</v>
      </c>
      <c r="B573" s="3" t="str">
        <f ca="1"/>
        <v>CZECH NEWS CENTER a. s.</v>
      </c>
      <c r="C573" s="3" t="str">
        <f ca="1">IFERROR(__xludf.DUMMYFUNCTION("""COMPUTED_VALUE"""),"Facebookový profil Svět motorů")</f>
        <v>Facebookový profil Svět motorů</v>
      </c>
      <c r="D573" s="4" t="str">
        <f ca="1">IFERROR(__xludf.DUMMYFUNCTION("""COMPUTED_VALUE"""),"www.facebook.com")</f>
        <v>www.facebook.com</v>
      </c>
      <c r="E573" s="3" t="str">
        <f ca="1">IFERROR(__xludf.DUMMYFUNCTION("""COMPUTED_VALUE"""),"FB stránka")</f>
        <v>FB stránka</v>
      </c>
      <c r="F573" s="4" t="str">
        <f ca="1">IFERROR(__xludf.DUMMYFUNCTION("""COMPUTED_VALUE"""),"www.facebook.com")</f>
        <v>www.facebook.com</v>
      </c>
      <c r="G573" s="3" t="str">
        <f ca="1">IFERROR(__xludf.DUMMYFUNCTION("""COMPUTED_VALUE"""),"facebook post mid season")</f>
        <v>facebook post mid season</v>
      </c>
      <c r="H573" s="3">
        <f ca="1">IFERROR(__xludf.DUMMYFUNCTION("""COMPUTED_VALUE"""),1)</f>
        <v>1</v>
      </c>
      <c r="I573" s="5">
        <f ca="1">IFERROR(__xludf.DUMMYFUNCTION("""COMPUTED_VALUE"""),1)</f>
        <v>1</v>
      </c>
      <c r="J573" s="5">
        <f ca="1">IFERROR(__xludf.DUMMYFUNCTION("""COMPUTED_VALUE"""),18000)</f>
        <v>18000</v>
      </c>
      <c r="K573" s="3"/>
      <c r="L573" s="3" t="str">
        <f ca="1">IFERROR(__xludf.DUMMYFUNCTION("""COMPUTED_VALUE"""),"Cost per instance")</f>
        <v>Cost per instance</v>
      </c>
      <c r="M573" s="3"/>
      <c r="N573" s="3"/>
      <c r="O573" s="3"/>
      <c r="P573" s="3"/>
      <c r="Q573" s="3"/>
      <c r="R573" s="3"/>
      <c r="S573" s="3" t="str">
        <f ca="1">IFERROR(__xludf.DUMMYFUNCTION("""COMPUTED_VALUE"""),"100")</f>
        <v>100</v>
      </c>
      <c r="T573" s="3"/>
      <c r="U573" s="3" t="str">
        <f ca="1">IFERROR(__xludf.DUMMYFUNCTION("""COMPUTED_VALUE"""),"SoMe facebook")</f>
        <v>SoMe facebook</v>
      </c>
      <c r="V573" s="3"/>
      <c r="W573" s="4" t="str">
        <f ca="1">IFERROR(__xludf.DUMMYFUNCTION("""COMPUTED_VALUE"""),"https://www.facebook.com/business/ads-guide/image/facebook-feed")</f>
        <v>https://www.facebook.com/business/ads-guide/image/facebook-feed</v>
      </c>
      <c r="X573" s="3"/>
      <c r="Y573" s="3"/>
      <c r="Z573" s="3" t="str">
        <f ca="1">IFERROR(__xludf.DUMMYFUNCTION("""COMPUTED_VALUE"""),"podklady@cncenter.cz")</f>
        <v>podklady@cncenter.cz</v>
      </c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 t="str">
        <f ca="1">IFERROR(__xludf.DUMMYFUNCTION("""COMPUTED_VALUE"""),"cross-device")</f>
        <v>cross-device</v>
      </c>
      <c r="AO573" s="3"/>
      <c r="AP573" s="3"/>
      <c r="AQ573" s="3"/>
      <c r="AR573" s="3"/>
      <c r="AS573" s="3"/>
      <c r="AT573" s="3"/>
      <c r="AU573" s="3" t="str">
        <f ca="1">IFERROR(__xludf.DUMMYFUNCTION("""COMPUTED_VALUE"""),"facebook post")</f>
        <v>facebook post</v>
      </c>
    </row>
    <row r="574" spans="1:47" x14ac:dyDescent="0.3">
      <c r="A574" s="3">
        <f ca="1"/>
        <v>2346826</v>
      </c>
      <c r="B574" s="3" t="str">
        <f ca="1"/>
        <v>CZECH NEWS CENTER a. s.</v>
      </c>
      <c r="C574" s="3" t="str">
        <f ca="1">IFERROR(__xludf.DUMMYFUNCTION("""COMPUTED_VALUE"""),"Facebookový profil VTM")</f>
        <v>Facebookový profil VTM</v>
      </c>
      <c r="D574" s="4" t="str">
        <f ca="1">IFERROR(__xludf.DUMMYFUNCTION("""COMPUTED_VALUE"""),"www.facebook.com")</f>
        <v>www.facebook.com</v>
      </c>
      <c r="E574" s="3" t="str">
        <f ca="1">IFERROR(__xludf.DUMMYFUNCTION("""COMPUTED_VALUE"""),"FB stránka")</f>
        <v>FB stránka</v>
      </c>
      <c r="F574" s="4" t="str">
        <f ca="1">IFERROR(__xludf.DUMMYFUNCTION("""COMPUTED_VALUE"""),"www.facebook.com")</f>
        <v>www.facebook.com</v>
      </c>
      <c r="G574" s="3" t="str">
        <f ca="1">IFERROR(__xludf.DUMMYFUNCTION("""COMPUTED_VALUE"""),"facebook post mid season")</f>
        <v>facebook post mid season</v>
      </c>
      <c r="H574" s="3">
        <f ca="1">IFERROR(__xludf.DUMMYFUNCTION("""COMPUTED_VALUE"""),1)</f>
        <v>1</v>
      </c>
      <c r="I574" s="5">
        <f ca="1">IFERROR(__xludf.DUMMYFUNCTION("""COMPUTED_VALUE"""),1)</f>
        <v>1</v>
      </c>
      <c r="J574" s="5">
        <f ca="1">IFERROR(__xludf.DUMMYFUNCTION("""COMPUTED_VALUE"""),18000)</f>
        <v>18000</v>
      </c>
      <c r="K574" s="3"/>
      <c r="L574" s="3" t="str">
        <f ca="1">IFERROR(__xludf.DUMMYFUNCTION("""COMPUTED_VALUE"""),"Cost per instance")</f>
        <v>Cost per instance</v>
      </c>
      <c r="M574" s="3"/>
      <c r="N574" s="3"/>
      <c r="O574" s="3"/>
      <c r="P574" s="3"/>
      <c r="Q574" s="3"/>
      <c r="R574" s="3"/>
      <c r="S574" s="3" t="str">
        <f ca="1">IFERROR(__xludf.DUMMYFUNCTION("""COMPUTED_VALUE"""),"100")</f>
        <v>100</v>
      </c>
      <c r="T574" s="3"/>
      <c r="U574" s="3" t="str">
        <f ca="1">IFERROR(__xludf.DUMMYFUNCTION("""COMPUTED_VALUE"""),"SoMe facebook")</f>
        <v>SoMe facebook</v>
      </c>
      <c r="V574" s="3"/>
      <c r="W574" s="4" t="str">
        <f ca="1">IFERROR(__xludf.DUMMYFUNCTION("""COMPUTED_VALUE"""),"https://www.facebook.com/business/ads-guide/image/facebook-feed")</f>
        <v>https://www.facebook.com/business/ads-guide/image/facebook-feed</v>
      </c>
      <c r="X574" s="3"/>
      <c r="Y574" s="3"/>
      <c r="Z574" s="3" t="str">
        <f ca="1">IFERROR(__xludf.DUMMYFUNCTION("""COMPUTED_VALUE"""),"podklady@cncenter.cz")</f>
        <v>podklady@cncenter.cz</v>
      </c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 t="str">
        <f ca="1">IFERROR(__xludf.DUMMYFUNCTION("""COMPUTED_VALUE"""),"cross-device")</f>
        <v>cross-device</v>
      </c>
      <c r="AO574" s="3"/>
      <c r="AP574" s="3"/>
      <c r="AQ574" s="3"/>
      <c r="AR574" s="3"/>
      <c r="AS574" s="3"/>
      <c r="AT574" s="3"/>
      <c r="AU574" s="3" t="str">
        <f ca="1">IFERROR(__xludf.DUMMYFUNCTION("""COMPUTED_VALUE"""),"facebook post")</f>
        <v>facebook post</v>
      </c>
    </row>
    <row r="575" spans="1:47" x14ac:dyDescent="0.3">
      <c r="A575" s="3">
        <f ca="1"/>
        <v>2346826</v>
      </c>
      <c r="B575" s="3" t="str">
        <f ca="1"/>
        <v>CZECH NEWS CENTER a. s.</v>
      </c>
      <c r="C575" s="3" t="str">
        <f ca="1">IFERROR(__xludf.DUMMYFUNCTION("""COMPUTED_VALUE"""),"Facebookový profil Ženy")</f>
        <v>Facebookový profil Ženy</v>
      </c>
      <c r="D575" s="4" t="str">
        <f ca="1">IFERROR(__xludf.DUMMYFUNCTION("""COMPUTED_VALUE"""),"www.facebook.com")</f>
        <v>www.facebook.com</v>
      </c>
      <c r="E575" s="3" t="str">
        <f ca="1">IFERROR(__xludf.DUMMYFUNCTION("""COMPUTED_VALUE"""),"FB stránka")</f>
        <v>FB stránka</v>
      </c>
      <c r="F575" s="4" t="str">
        <f ca="1">IFERROR(__xludf.DUMMYFUNCTION("""COMPUTED_VALUE"""),"www.facebook.com")</f>
        <v>www.facebook.com</v>
      </c>
      <c r="G575" s="3" t="str">
        <f ca="1">IFERROR(__xludf.DUMMYFUNCTION("""COMPUTED_VALUE"""),"facebook post mid season")</f>
        <v>facebook post mid season</v>
      </c>
      <c r="H575" s="3">
        <f ca="1">IFERROR(__xludf.DUMMYFUNCTION("""COMPUTED_VALUE"""),1)</f>
        <v>1</v>
      </c>
      <c r="I575" s="5">
        <f ca="1">IFERROR(__xludf.DUMMYFUNCTION("""COMPUTED_VALUE"""),1)</f>
        <v>1</v>
      </c>
      <c r="J575" s="5">
        <f ca="1">IFERROR(__xludf.DUMMYFUNCTION("""COMPUTED_VALUE"""),18000)</f>
        <v>18000</v>
      </c>
      <c r="K575" s="3"/>
      <c r="L575" s="3" t="str">
        <f ca="1">IFERROR(__xludf.DUMMYFUNCTION("""COMPUTED_VALUE"""),"Cost per instance")</f>
        <v>Cost per instance</v>
      </c>
      <c r="M575" s="3"/>
      <c r="N575" s="3"/>
      <c r="O575" s="3"/>
      <c r="P575" s="3"/>
      <c r="Q575" s="3"/>
      <c r="R575" s="3"/>
      <c r="S575" s="3" t="str">
        <f ca="1">IFERROR(__xludf.DUMMYFUNCTION("""COMPUTED_VALUE"""),"100")</f>
        <v>100</v>
      </c>
      <c r="T575" s="3"/>
      <c r="U575" s="3" t="str">
        <f ca="1">IFERROR(__xludf.DUMMYFUNCTION("""COMPUTED_VALUE"""),"SoMe facebook")</f>
        <v>SoMe facebook</v>
      </c>
      <c r="V575" s="3"/>
      <c r="W575" s="4" t="str">
        <f ca="1">IFERROR(__xludf.DUMMYFUNCTION("""COMPUTED_VALUE"""),"https://www.facebook.com/business/ads-guide/image/facebook-feed")</f>
        <v>https://www.facebook.com/business/ads-guide/image/facebook-feed</v>
      </c>
      <c r="X575" s="3"/>
      <c r="Y575" s="3"/>
      <c r="Z575" s="3" t="str">
        <f ca="1">IFERROR(__xludf.DUMMYFUNCTION("""COMPUTED_VALUE"""),"podklady@cncenter.cz")</f>
        <v>podklady@cncenter.cz</v>
      </c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 t="str">
        <f ca="1">IFERROR(__xludf.DUMMYFUNCTION("""COMPUTED_VALUE"""),"cross-device")</f>
        <v>cross-device</v>
      </c>
      <c r="AO575" s="3"/>
      <c r="AP575" s="3"/>
      <c r="AQ575" s="3"/>
      <c r="AR575" s="3"/>
      <c r="AS575" s="3"/>
      <c r="AT575" s="3"/>
      <c r="AU575" s="3" t="str">
        <f ca="1">IFERROR(__xludf.DUMMYFUNCTION("""COMPUTED_VALUE"""),"facebook post")</f>
        <v>facebook post</v>
      </c>
    </row>
    <row r="576" spans="1:47" x14ac:dyDescent="0.3">
      <c r="A576" s="3">
        <f ca="1"/>
        <v>2346826</v>
      </c>
      <c r="B576" s="3" t="str">
        <f ca="1"/>
        <v>CZECH NEWS CENTER a. s.</v>
      </c>
      <c r="C576" s="3" t="str">
        <f ca="1">IFERROR(__xludf.DUMMYFUNCTION("""COMPUTED_VALUE"""),"Facebookový profil Živě")</f>
        <v>Facebookový profil Živě</v>
      </c>
      <c r="D576" s="4" t="str">
        <f ca="1">IFERROR(__xludf.DUMMYFUNCTION("""COMPUTED_VALUE"""),"www.facebook.com")</f>
        <v>www.facebook.com</v>
      </c>
      <c r="E576" s="3" t="str">
        <f ca="1">IFERROR(__xludf.DUMMYFUNCTION("""COMPUTED_VALUE"""),"FB stránka")</f>
        <v>FB stránka</v>
      </c>
      <c r="F576" s="4" t="str">
        <f ca="1">IFERROR(__xludf.DUMMYFUNCTION("""COMPUTED_VALUE"""),"www.facebook.com")</f>
        <v>www.facebook.com</v>
      </c>
      <c r="G576" s="3" t="str">
        <f ca="1">IFERROR(__xludf.DUMMYFUNCTION("""COMPUTED_VALUE"""),"facebook post mid season")</f>
        <v>facebook post mid season</v>
      </c>
      <c r="H576" s="3">
        <f ca="1">IFERROR(__xludf.DUMMYFUNCTION("""COMPUTED_VALUE"""),1)</f>
        <v>1</v>
      </c>
      <c r="I576" s="5">
        <f ca="1">IFERROR(__xludf.DUMMYFUNCTION("""COMPUTED_VALUE"""),1)</f>
        <v>1</v>
      </c>
      <c r="J576" s="5">
        <f ca="1">IFERROR(__xludf.DUMMYFUNCTION("""COMPUTED_VALUE"""),18000)</f>
        <v>18000</v>
      </c>
      <c r="K576" s="3"/>
      <c r="L576" s="3" t="str">
        <f ca="1">IFERROR(__xludf.DUMMYFUNCTION("""COMPUTED_VALUE"""),"Cost per instance")</f>
        <v>Cost per instance</v>
      </c>
      <c r="M576" s="3"/>
      <c r="N576" s="3"/>
      <c r="O576" s="3"/>
      <c r="P576" s="3"/>
      <c r="Q576" s="3"/>
      <c r="R576" s="3"/>
      <c r="S576" s="3" t="str">
        <f ca="1">IFERROR(__xludf.DUMMYFUNCTION("""COMPUTED_VALUE"""),"100")</f>
        <v>100</v>
      </c>
      <c r="T576" s="3"/>
      <c r="U576" s="3" t="str">
        <f ca="1">IFERROR(__xludf.DUMMYFUNCTION("""COMPUTED_VALUE"""),"SoMe facebook")</f>
        <v>SoMe facebook</v>
      </c>
      <c r="V576" s="3"/>
      <c r="W576" s="4" t="str">
        <f ca="1">IFERROR(__xludf.DUMMYFUNCTION("""COMPUTED_VALUE"""),"https://www.facebook.com/business/ads-guide/image/facebook-feed")</f>
        <v>https://www.facebook.com/business/ads-guide/image/facebook-feed</v>
      </c>
      <c r="X576" s="3"/>
      <c r="Y576" s="3"/>
      <c r="Z576" s="3" t="str">
        <f ca="1">IFERROR(__xludf.DUMMYFUNCTION("""COMPUTED_VALUE"""),"podklady@cncenter.cz")</f>
        <v>podklady@cncenter.cz</v>
      </c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 t="str">
        <f ca="1">IFERROR(__xludf.DUMMYFUNCTION("""COMPUTED_VALUE"""),"cross-device")</f>
        <v>cross-device</v>
      </c>
      <c r="AO576" s="3"/>
      <c r="AP576" s="3"/>
      <c r="AQ576" s="3"/>
      <c r="AR576" s="3"/>
      <c r="AS576" s="3"/>
      <c r="AT576" s="3"/>
      <c r="AU576" s="3" t="str">
        <f ca="1">IFERROR(__xludf.DUMMYFUNCTION("""COMPUTED_VALUE"""),"facebook post")</f>
        <v>facebook post</v>
      </c>
    </row>
    <row r="577" spans="1:47" x14ac:dyDescent="0.3">
      <c r="A577" s="3">
        <f ca="1"/>
        <v>2346826</v>
      </c>
      <c r="B577" s="3" t="str">
        <f ca="1"/>
        <v>CZECH NEWS CENTER a. s.</v>
      </c>
      <c r="C577" s="3" t="str">
        <f ca="1">IFERROR(__xludf.DUMMYFUNCTION("""COMPUTED_VALUE"""),"FinExpert")</f>
        <v>FinExpert</v>
      </c>
      <c r="D577" s="4" t="str">
        <f ca="1">IFERROR(__xludf.DUMMYFUNCTION("""COMPUTED_VALUE"""),"https://finexpert.cz")</f>
        <v>https://finexpert.cz</v>
      </c>
      <c r="E577" s="3" t="str">
        <f ca="1">IFERROR(__xludf.DUMMYFUNCTION("""COMPUTED_VALUE"""),"celý web")</f>
        <v>celý web</v>
      </c>
      <c r="F577" s="4" t="str">
        <f ca="1">IFERROR(__xludf.DUMMYFUNCTION("""COMPUTED_VALUE"""),"https://finexpert.cz")</f>
        <v>https://finexpert.cz</v>
      </c>
      <c r="G577" s="3" t="str">
        <f ca="1">IFERROR(__xludf.DUMMYFUNCTION("""COMPUTED_VALUE"""),"Advertorial mid season")</f>
        <v>Advertorial mid season</v>
      </c>
      <c r="H577" s="3">
        <f ca="1">IFERROR(__xludf.DUMMYFUNCTION("""COMPUTED_VALUE"""),1)</f>
        <v>1</v>
      </c>
      <c r="I577" s="5">
        <f ca="1">IFERROR(__xludf.DUMMYFUNCTION("""COMPUTED_VALUE"""),1)</f>
        <v>1</v>
      </c>
      <c r="J577" s="5">
        <f ca="1">IFERROR(__xludf.DUMMYFUNCTION("""COMPUTED_VALUE"""),90000)</f>
        <v>90000</v>
      </c>
      <c r="K577" s="3"/>
      <c r="L577" s="3" t="str">
        <f ca="1">IFERROR(__xludf.DUMMYFUNCTION("""COMPUTED_VALUE"""),"Cost per instance")</f>
        <v>Cost per instance</v>
      </c>
      <c r="M577" s="3"/>
      <c r="N577" s="3"/>
      <c r="O577" s="3"/>
      <c r="P577" s="3"/>
      <c r="Q577" s="3"/>
      <c r="R577" s="3"/>
      <c r="S577" s="3" t="str">
        <f ca="1">IFERROR(__xludf.DUMMYFUNCTION("""COMPUTED_VALUE"""),"100")</f>
        <v>100</v>
      </c>
      <c r="T577" s="3"/>
      <c r="U577" s="3" t="str">
        <f ca="1">IFERROR(__xludf.DUMMYFUNCTION("""COMPUTED_VALUE"""),"pr článek")</f>
        <v>pr článek</v>
      </c>
      <c r="V577" s="3"/>
      <c r="W577" s="3"/>
      <c r="X577" s="3"/>
      <c r="Y577" s="3"/>
      <c r="Z577" s="3" t="str">
        <f ca="1">IFERROR(__xludf.DUMMYFUNCTION("""COMPUTED_VALUE"""),"podklady@cncenter.cz")</f>
        <v>podklady@cncenter.cz</v>
      </c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 t="str">
        <f ca="1">IFERROR(__xludf.DUMMYFUNCTION("""COMPUTED_VALUE"""),"cross-device")</f>
        <v>cross-device</v>
      </c>
      <c r="AO577" s="3"/>
      <c r="AP577" s="3"/>
      <c r="AQ577" s="3"/>
      <c r="AR577" s="3"/>
      <c r="AS577" s="3"/>
      <c r="AT577" s="3"/>
      <c r="AU577" s="3" t="str">
        <f ca="1">IFERROR(__xludf.DUMMYFUNCTION("""COMPUTED_VALUE"""),"Advertorial")</f>
        <v>Advertorial</v>
      </c>
    </row>
    <row r="578" spans="1:47" x14ac:dyDescent="0.3">
      <c r="A578" s="3">
        <f ca="1"/>
        <v>2346826</v>
      </c>
      <c r="B578" s="3" t="str">
        <f ca="1"/>
        <v>CZECH NEWS CENTER a. s.</v>
      </c>
      <c r="C578" s="3" t="str">
        <f ca="1">IFERROR(__xludf.DUMMYFUNCTION("""COMPUTED_VALUE"""),"FinExpert")</f>
        <v>FinExpert</v>
      </c>
      <c r="D578" s="4" t="str">
        <f ca="1">IFERROR(__xludf.DUMMYFUNCTION("""COMPUTED_VALUE"""),"https://finexpert.cz")</f>
        <v>https://finexpert.cz</v>
      </c>
      <c r="E578" s="3" t="str">
        <f ca="1">IFERROR(__xludf.DUMMYFUNCTION("""COMPUTED_VALUE"""),"celý web")</f>
        <v>celý web</v>
      </c>
      <c r="F578" s="4" t="str">
        <f ca="1">IFERROR(__xludf.DUMMYFUNCTION("""COMPUTED_VALUE"""),"https://finexpert.cz")</f>
        <v>https://finexpert.cz</v>
      </c>
      <c r="G578" s="3" t="str">
        <f ca="1">IFERROR(__xludf.DUMMYFUNCTION("""COMPUTED_VALUE"""),"dokoupení proma o 2 týdny - 10 000 PV *** mid season")</f>
        <v>dokoupení proma o 2 týdny - 10 000 PV *** mid season</v>
      </c>
      <c r="H578" s="3">
        <f ca="1">IFERROR(__xludf.DUMMYFUNCTION("""COMPUTED_VALUE"""),1)</f>
        <v>1</v>
      </c>
      <c r="I578" s="5">
        <f ca="1">IFERROR(__xludf.DUMMYFUNCTION("""COMPUTED_VALUE"""),1)</f>
        <v>1</v>
      </c>
      <c r="J578" s="5">
        <f ca="1">IFERROR(__xludf.DUMMYFUNCTION("""COMPUTED_VALUE"""),60000)</f>
        <v>60000</v>
      </c>
      <c r="K578" s="3"/>
      <c r="L578" s="3" t="str">
        <f ca="1">IFERROR(__xludf.DUMMYFUNCTION("""COMPUTED_VALUE"""),"Cost per instance")</f>
        <v>Cost per instance</v>
      </c>
      <c r="M578" s="3"/>
      <c r="N578" s="3"/>
      <c r="O578" s="3"/>
      <c r="P578" s="3"/>
      <c r="Q578" s="3"/>
      <c r="R578" s="3"/>
      <c r="S578" s="3" t="str">
        <f ca="1">IFERROR(__xludf.DUMMYFUNCTION("""COMPUTED_VALUE"""),"100")</f>
        <v>100</v>
      </c>
      <c r="T578" s="3"/>
      <c r="U578" s="3" t="str">
        <f ca="1">IFERROR(__xludf.DUMMYFUNCTION("""COMPUTED_VALUE"""),"microsite")</f>
        <v>microsite</v>
      </c>
      <c r="V578" s="3"/>
      <c r="W578" s="3"/>
      <c r="X578" s="3"/>
      <c r="Y578" s="3"/>
      <c r="Z578" s="3" t="str">
        <f ca="1">IFERROR(__xludf.DUMMYFUNCTION("""COMPUTED_VALUE"""),"podklady@cncenter.cz")</f>
        <v>podklady@cncenter.cz</v>
      </c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 t="str">
        <f ca="1">IFERROR(__xludf.DUMMYFUNCTION("""COMPUTED_VALUE"""),"cross-device")</f>
        <v>cross-device</v>
      </c>
      <c r="AO578" s="3"/>
      <c r="AP578" s="3"/>
      <c r="AQ578" s="3"/>
      <c r="AR578" s="3"/>
      <c r="AS578" s="3"/>
      <c r="AT578" s="3"/>
      <c r="AU578" s="3" t="str">
        <f ca="1">IFERROR(__xludf.DUMMYFUNCTION("""COMPUTED_VALUE"""),"dokoupení proma o 2 týdny - 10 000 PV ***")</f>
        <v>dokoupení proma o 2 týdny - 10 000 PV ***</v>
      </c>
    </row>
    <row r="579" spans="1:47" x14ac:dyDescent="0.3">
      <c r="A579" s="3">
        <f ca="1"/>
        <v>2346826</v>
      </c>
      <c r="B579" s="3" t="str">
        <f ca="1"/>
        <v>CZECH NEWS CENTER a. s.</v>
      </c>
      <c r="C579" s="3" t="str">
        <f ca="1">IFERROR(__xludf.DUMMYFUNCTION("""COMPUTED_VALUE"""),"FinExpert")</f>
        <v>FinExpert</v>
      </c>
      <c r="D579" s="4" t="str">
        <f ca="1">IFERROR(__xludf.DUMMYFUNCTION("""COMPUTED_VALUE"""),"https://finexpert.cz")</f>
        <v>https://finexpert.cz</v>
      </c>
      <c r="E579" s="3" t="str">
        <f ca="1">IFERROR(__xludf.DUMMYFUNCTION("""COMPUTED_VALUE"""),"celý web")</f>
        <v>celý web</v>
      </c>
      <c r="F579" s="4" t="str">
        <f ca="1">IFERROR(__xludf.DUMMYFUNCTION("""COMPUTED_VALUE"""),"https://finexpert.cz")</f>
        <v>https://finexpert.cz</v>
      </c>
      <c r="G579" s="3" t="str">
        <f ca="1">IFERROR(__xludf.DUMMYFUNCTION("""COMPUTED_VALUE"""),"Native Standard mid season")</f>
        <v>Native Standard mid season</v>
      </c>
      <c r="H579" s="3">
        <f ca="1">IFERROR(__xludf.DUMMYFUNCTION("""COMPUTED_VALUE"""),1)</f>
        <v>1</v>
      </c>
      <c r="I579" s="5">
        <f ca="1">IFERROR(__xludf.DUMMYFUNCTION("""COMPUTED_VALUE"""),1)</f>
        <v>1</v>
      </c>
      <c r="J579" s="5">
        <f ca="1">IFERROR(__xludf.DUMMYFUNCTION("""COMPUTED_VALUE"""),330000)</f>
        <v>330000</v>
      </c>
      <c r="K579" s="3"/>
      <c r="L579" s="3" t="str">
        <f ca="1">IFERROR(__xludf.DUMMYFUNCTION("""COMPUTED_VALUE"""),"Cost per instance")</f>
        <v>Cost per instance</v>
      </c>
      <c r="M579" s="3"/>
      <c r="N579" s="3"/>
      <c r="O579" s="3"/>
      <c r="P579" s="3"/>
      <c r="Q579" s="3"/>
      <c r="R579" s="3"/>
      <c r="S579" s="3" t="str">
        <f ca="1">IFERROR(__xludf.DUMMYFUNCTION("""COMPUTED_VALUE"""),"100")</f>
        <v>100</v>
      </c>
      <c r="T579" s="3"/>
      <c r="U579" s="3" t="str">
        <f ca="1">IFERROR(__xludf.DUMMYFUNCTION("""COMPUTED_VALUE"""),"microsite")</f>
        <v>microsite</v>
      </c>
      <c r="V579" s="3"/>
      <c r="W579" s="3"/>
      <c r="X579" s="3"/>
      <c r="Y579" s="3"/>
      <c r="Z579" s="3" t="str">
        <f ca="1">IFERROR(__xludf.DUMMYFUNCTION("""COMPUTED_VALUE"""),"podklady@cncenter.cz")</f>
        <v>podklady@cncenter.cz</v>
      </c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 t="str">
        <f ca="1">IFERROR(__xludf.DUMMYFUNCTION("""COMPUTED_VALUE"""),"cross-device")</f>
        <v>cross-device</v>
      </c>
      <c r="AO579" s="3"/>
      <c r="AP579" s="3"/>
      <c r="AQ579" s="3"/>
      <c r="AR579" s="3"/>
      <c r="AS579" s="3"/>
      <c r="AT579" s="3"/>
      <c r="AU579" s="3" t="str">
        <f ca="1">IFERROR(__xludf.DUMMYFUNCTION("""COMPUTED_VALUE"""),"Native Standard")</f>
        <v>Native Standard</v>
      </c>
    </row>
    <row r="580" spans="1:47" x14ac:dyDescent="0.3">
      <c r="A580" s="3">
        <f ca="1"/>
        <v>2346826</v>
      </c>
      <c r="B580" s="3" t="str">
        <f ca="1"/>
        <v>CZECH NEWS CENTER a. s.</v>
      </c>
      <c r="C580" s="3" t="str">
        <f ca="1">IFERROR(__xludf.DUMMYFUNCTION("""COMPUTED_VALUE"""),"FinExpert")</f>
        <v>FinExpert</v>
      </c>
      <c r="D580" s="4" t="str">
        <f ca="1">IFERROR(__xludf.DUMMYFUNCTION("""COMPUTED_VALUE"""),"https://finexpert.cz")</f>
        <v>https://finexpert.cz</v>
      </c>
      <c r="E580" s="3" t="str">
        <f ca="1">IFERROR(__xludf.DUMMYFUNCTION("""COMPUTED_VALUE"""),"celý web")</f>
        <v>celý web</v>
      </c>
      <c r="F580" s="4" t="str">
        <f ca="1">IFERROR(__xludf.DUMMYFUNCTION("""COMPUTED_VALUE"""),"https://finexpert.cz")</f>
        <v>https://finexpert.cz</v>
      </c>
      <c r="G580" s="3" t="str">
        <f ca="1">IFERROR(__xludf.DUMMYFUNCTION("""COMPUTED_VALUE"""),"PR článek mid season")</f>
        <v>PR článek mid season</v>
      </c>
      <c r="H580" s="3">
        <f ca="1">IFERROR(__xludf.DUMMYFUNCTION("""COMPUTED_VALUE"""),1)</f>
        <v>1</v>
      </c>
      <c r="I580" s="5">
        <f ca="1">IFERROR(__xludf.DUMMYFUNCTION("""COMPUTED_VALUE"""),1)</f>
        <v>1</v>
      </c>
      <c r="J580" s="5">
        <f ca="1">IFERROR(__xludf.DUMMYFUNCTION("""COMPUTED_VALUE"""),20000)</f>
        <v>20000</v>
      </c>
      <c r="K580" s="3"/>
      <c r="L580" s="3" t="str">
        <f ca="1">IFERROR(__xludf.DUMMYFUNCTION("""COMPUTED_VALUE"""),"Cost per instance")</f>
        <v>Cost per instance</v>
      </c>
      <c r="M580" s="3"/>
      <c r="N580" s="3"/>
      <c r="O580" s="3"/>
      <c r="P580" s="3"/>
      <c r="Q580" s="3"/>
      <c r="R580" s="3"/>
      <c r="S580" s="3" t="str">
        <f ca="1">IFERROR(__xludf.DUMMYFUNCTION("""COMPUTED_VALUE"""),"100")</f>
        <v>100</v>
      </c>
      <c r="T580" s="3"/>
      <c r="U580" s="3" t="str">
        <f ca="1">IFERROR(__xludf.DUMMYFUNCTION("""COMPUTED_VALUE"""),"pr článek")</f>
        <v>pr článek</v>
      </c>
      <c r="V580" s="3"/>
      <c r="W580" s="4" t="str">
        <f ca="1">IFERROR(__xludf.DUMMYFUNCTION("""COMPUTED_VALUE"""),"https://reklama.cncenter.cz/?ads=PR%2520%25C4%258Dl%25C3%25A1nky")</f>
        <v>https://reklama.cncenter.cz/?ads=PR%2520%25C4%258Dl%25C3%25A1nky</v>
      </c>
      <c r="X580" s="3"/>
      <c r="Y580" s="3"/>
      <c r="Z580" s="3" t="str">
        <f ca="1">IFERROR(__xludf.DUMMYFUNCTION("""COMPUTED_VALUE"""),"podklady@cncenter.cz")</f>
        <v>podklady@cncenter.cz</v>
      </c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 t="str">
        <f ca="1">IFERROR(__xludf.DUMMYFUNCTION("""COMPUTED_VALUE"""),"cross-device")</f>
        <v>cross-device</v>
      </c>
      <c r="AO580" s="3"/>
      <c r="AP580" s="3"/>
      <c r="AQ580" s="3"/>
      <c r="AR580" s="3"/>
      <c r="AS580" s="3"/>
      <c r="AT580" s="3"/>
      <c r="AU580" s="3" t="str">
        <f ca="1">IFERROR(__xludf.DUMMYFUNCTION("""COMPUTED_VALUE"""),"PR článek")</f>
        <v>PR článek</v>
      </c>
    </row>
    <row r="581" spans="1:47" x14ac:dyDescent="0.3">
      <c r="A581" s="3">
        <f ca="1"/>
        <v>2346826</v>
      </c>
      <c r="B581" s="3" t="str">
        <f ca="1"/>
        <v>CZECH NEWS CENTER a. s.</v>
      </c>
      <c r="C581" s="3" t="str">
        <f ca="1">IFERROR(__xludf.DUMMYFUNCTION("""COMPUTED_VALUE"""),"FinExpert")</f>
        <v>FinExpert</v>
      </c>
      <c r="D581" s="4" t="str">
        <f ca="1">IFERROR(__xludf.DUMMYFUNCTION("""COMPUTED_VALUE"""),"https://finexpert.cz")</f>
        <v>https://finexpert.cz</v>
      </c>
      <c r="E581" s="3" t="str">
        <f ca="1">IFERROR(__xludf.DUMMYFUNCTION("""COMPUTED_VALUE"""),"celý web")</f>
        <v>celý web</v>
      </c>
      <c r="F581" s="4" t="str">
        <f ca="1">IFERROR(__xludf.DUMMYFUNCTION("""COMPUTED_VALUE"""),"https://finexpert.cz")</f>
        <v>https://finexpert.cz</v>
      </c>
      <c r="G581" s="3" t="str">
        <f ca="1">IFERROR(__xludf.DUMMYFUNCTION("""COMPUTED_VALUE"""),"Prodloužení existující microsite, bez úprav mid season")</f>
        <v>Prodloužení existující microsite, bez úprav mid season</v>
      </c>
      <c r="H581" s="3">
        <f ca="1">IFERROR(__xludf.DUMMYFUNCTION("""COMPUTED_VALUE"""),1)</f>
        <v>1</v>
      </c>
      <c r="I581" s="5">
        <f ca="1">IFERROR(__xludf.DUMMYFUNCTION("""COMPUTED_VALUE"""),1)</f>
        <v>1</v>
      </c>
      <c r="J581" s="5">
        <f ca="1">IFERROR(__xludf.DUMMYFUNCTION("""COMPUTED_VALUE"""),15000)</f>
        <v>15000</v>
      </c>
      <c r="K581" s="3"/>
      <c r="L581" s="3" t="str">
        <f ca="1">IFERROR(__xludf.DUMMYFUNCTION("""COMPUTED_VALUE"""),"Cost per instance")</f>
        <v>Cost per instance</v>
      </c>
      <c r="M581" s="3"/>
      <c r="N581" s="3"/>
      <c r="O581" s="3"/>
      <c r="P581" s="3"/>
      <c r="Q581" s="3"/>
      <c r="R581" s="3"/>
      <c r="S581" s="3" t="str">
        <f ca="1">IFERROR(__xludf.DUMMYFUNCTION("""COMPUTED_VALUE"""),"100")</f>
        <v>100</v>
      </c>
      <c r="T581" s="3"/>
      <c r="U581" s="3" t="str">
        <f ca="1">IFERROR(__xludf.DUMMYFUNCTION("""COMPUTED_VALUE"""),"microsite")</f>
        <v>microsite</v>
      </c>
      <c r="V581" s="3"/>
      <c r="W581" s="3"/>
      <c r="X581" s="3"/>
      <c r="Y581" s="3"/>
      <c r="Z581" s="3" t="str">
        <f ca="1">IFERROR(__xludf.DUMMYFUNCTION("""COMPUTED_VALUE"""),"podklady@cncenter.cz")</f>
        <v>podklady@cncenter.cz</v>
      </c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 t="str">
        <f ca="1">IFERROR(__xludf.DUMMYFUNCTION("""COMPUTED_VALUE"""),"cross-device")</f>
        <v>cross-device</v>
      </c>
      <c r="AO581" s="3"/>
      <c r="AP581" s="3"/>
      <c r="AQ581" s="3"/>
      <c r="AR581" s="3"/>
      <c r="AS581" s="3"/>
      <c r="AT581" s="3"/>
      <c r="AU581" s="3" t="str">
        <f ca="1">IFERROR(__xludf.DUMMYFUNCTION("""COMPUTED_VALUE"""),"Prodloužení existující microsite, bez úprav")</f>
        <v>Prodloužení existující microsite, bez úprav</v>
      </c>
    </row>
    <row r="582" spans="1:47" x14ac:dyDescent="0.3">
      <c r="A582" s="3">
        <f ca="1"/>
        <v>2346826</v>
      </c>
      <c r="B582" s="3" t="str">
        <f ca="1"/>
        <v>CZECH NEWS CENTER a. s.</v>
      </c>
      <c r="C582" s="3" t="str">
        <f ca="1">IFERROR(__xludf.DUMMYFUNCTION("""COMPUTED_VALUE"""),"FinExpert")</f>
        <v>FinExpert</v>
      </c>
      <c r="D582" s="4" t="str">
        <f ca="1">IFERROR(__xludf.DUMMYFUNCTION("""COMPUTED_VALUE"""),"https://finexpert.cz")</f>
        <v>https://finexpert.cz</v>
      </c>
      <c r="E582" s="3" t="str">
        <f ca="1">IFERROR(__xludf.DUMMYFUNCTION("""COMPUTED_VALUE"""),"celý web")</f>
        <v>celý web</v>
      </c>
      <c r="F582" s="4" t="str">
        <f ca="1">IFERROR(__xludf.DUMMYFUNCTION("""COMPUTED_VALUE"""),"https://finexpert.cz")</f>
        <v>https://finexpert.cz</v>
      </c>
      <c r="G582" s="3" t="str">
        <f ca="1">IFERROR(__xludf.DUMMYFUNCTION("""COMPUTED_VALUE"""),"Prodloužení existující microsite, bez úprav mid season")</f>
        <v>Prodloužení existující microsite, bez úprav mid season</v>
      </c>
      <c r="H582" s="3">
        <f ca="1">IFERROR(__xludf.DUMMYFUNCTION("""COMPUTED_VALUE"""),1)</f>
        <v>1</v>
      </c>
      <c r="I582" s="5">
        <f ca="1">IFERROR(__xludf.DUMMYFUNCTION("""COMPUTED_VALUE"""),1)</f>
        <v>1</v>
      </c>
      <c r="J582" s="5">
        <f ca="1">IFERROR(__xludf.DUMMYFUNCTION("""COMPUTED_VALUE"""),15000)</f>
        <v>15000</v>
      </c>
      <c r="K582" s="3"/>
      <c r="L582" s="3" t="str">
        <f ca="1">IFERROR(__xludf.DUMMYFUNCTION("""COMPUTED_VALUE"""),"Cost per instance")</f>
        <v>Cost per instance</v>
      </c>
      <c r="M582" s="3"/>
      <c r="N582" s="3"/>
      <c r="O582" s="3"/>
      <c r="P582" s="3"/>
      <c r="Q582" s="3"/>
      <c r="R582" s="3"/>
      <c r="S582" s="3" t="str">
        <f ca="1">IFERROR(__xludf.DUMMYFUNCTION("""COMPUTED_VALUE"""),"100")</f>
        <v>100</v>
      </c>
      <c r="T582" s="3"/>
      <c r="U582" s="3" t="str">
        <f ca="1">IFERROR(__xludf.DUMMYFUNCTION("""COMPUTED_VALUE"""),"microsite")</f>
        <v>microsite</v>
      </c>
      <c r="V582" s="3"/>
      <c r="W582" s="3"/>
      <c r="X582" s="3"/>
      <c r="Y582" s="3"/>
      <c r="Z582" s="3" t="str">
        <f ca="1">IFERROR(__xludf.DUMMYFUNCTION("""COMPUTED_VALUE"""),"podklady@cncenter.cz")</f>
        <v>podklady@cncenter.cz</v>
      </c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 t="str">
        <f ca="1">IFERROR(__xludf.DUMMYFUNCTION("""COMPUTED_VALUE"""),"cross-device")</f>
        <v>cross-device</v>
      </c>
      <c r="AO582" s="3"/>
      <c r="AP582" s="3"/>
      <c r="AQ582" s="3"/>
      <c r="AR582" s="3"/>
      <c r="AS582" s="3"/>
      <c r="AT582" s="3"/>
      <c r="AU582" s="3" t="str">
        <f ca="1">IFERROR(__xludf.DUMMYFUNCTION("""COMPUTED_VALUE"""),"Prodloužení existující microsite, bez úprav")</f>
        <v>Prodloužení existující microsite, bez úprav</v>
      </c>
    </row>
    <row r="583" spans="1:47" x14ac:dyDescent="0.3">
      <c r="A583" s="3">
        <f ca="1"/>
        <v>2346826</v>
      </c>
      <c r="B583" s="3" t="str">
        <f ca="1"/>
        <v>CZECH NEWS CENTER a. s.</v>
      </c>
      <c r="C583" s="3" t="str">
        <f ca="1">IFERROR(__xludf.DUMMYFUNCTION("""COMPUTED_VALUE"""),"FinExpert")</f>
        <v>FinExpert</v>
      </c>
      <c r="D583" s="4" t="str">
        <f ca="1">IFERROR(__xludf.DUMMYFUNCTION("""COMPUTED_VALUE"""),"https://finexpert.cz")</f>
        <v>https://finexpert.cz</v>
      </c>
      <c r="E583" s="3" t="str">
        <f ca="1">IFERROR(__xludf.DUMMYFUNCTION("""COMPUTED_VALUE"""),"celý web")</f>
        <v>celý web</v>
      </c>
      <c r="F583" s="4" t="str">
        <f ca="1">IFERROR(__xludf.DUMMYFUNCTION("""COMPUTED_VALUE"""),"https://finexpert.cz")</f>
        <v>https://finexpert.cz</v>
      </c>
      <c r="G583" s="3" t="str">
        <f ca="1">IFERROR(__xludf.DUMMYFUNCTION("""COMPUTED_VALUE"""),"Prodloužení existující microsite, bez úprav mid season")</f>
        <v>Prodloužení existující microsite, bez úprav mid season</v>
      </c>
      <c r="H583" s="3">
        <f ca="1">IFERROR(__xludf.DUMMYFUNCTION("""COMPUTED_VALUE"""),1)</f>
        <v>1</v>
      </c>
      <c r="I583" s="5">
        <f ca="1">IFERROR(__xludf.DUMMYFUNCTION("""COMPUTED_VALUE"""),1)</f>
        <v>1</v>
      </c>
      <c r="J583" s="5">
        <f ca="1">IFERROR(__xludf.DUMMYFUNCTION("""COMPUTED_VALUE"""),15000)</f>
        <v>15000</v>
      </c>
      <c r="K583" s="3"/>
      <c r="L583" s="3" t="str">
        <f ca="1">IFERROR(__xludf.DUMMYFUNCTION("""COMPUTED_VALUE"""),"Cost per instance")</f>
        <v>Cost per instance</v>
      </c>
      <c r="M583" s="3"/>
      <c r="N583" s="3"/>
      <c r="O583" s="3"/>
      <c r="P583" s="3"/>
      <c r="Q583" s="3"/>
      <c r="R583" s="3"/>
      <c r="S583" s="3" t="str">
        <f ca="1">IFERROR(__xludf.DUMMYFUNCTION("""COMPUTED_VALUE"""),"100")</f>
        <v>100</v>
      </c>
      <c r="T583" s="3"/>
      <c r="U583" s="3" t="str">
        <f ca="1">IFERROR(__xludf.DUMMYFUNCTION("""COMPUTED_VALUE"""),"microsite")</f>
        <v>microsite</v>
      </c>
      <c r="V583" s="3"/>
      <c r="W583" s="3"/>
      <c r="X583" s="3"/>
      <c r="Y583" s="3"/>
      <c r="Z583" s="3" t="str">
        <f ca="1">IFERROR(__xludf.DUMMYFUNCTION("""COMPUTED_VALUE"""),"podklady@cncenter.cz")</f>
        <v>podklady@cncenter.cz</v>
      </c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 t="str">
        <f ca="1">IFERROR(__xludf.DUMMYFUNCTION("""COMPUTED_VALUE"""),"cross-device")</f>
        <v>cross-device</v>
      </c>
      <c r="AO583" s="3"/>
      <c r="AP583" s="3"/>
      <c r="AQ583" s="3"/>
      <c r="AR583" s="3"/>
      <c r="AS583" s="3"/>
      <c r="AT583" s="3"/>
      <c r="AU583" s="3" t="str">
        <f ca="1">IFERROR(__xludf.DUMMYFUNCTION("""COMPUTED_VALUE"""),"Prodloužení existující microsite, bez úprav")</f>
        <v>Prodloužení existující microsite, bez úprav</v>
      </c>
    </row>
    <row r="584" spans="1:47" x14ac:dyDescent="0.3">
      <c r="A584" s="3">
        <f ca="1"/>
        <v>2346826</v>
      </c>
      <c r="B584" s="3" t="str">
        <f ca="1"/>
        <v>CZECH NEWS CENTER a. s.</v>
      </c>
      <c r="C584" s="3" t="str">
        <f ca="1">IFERROR(__xludf.DUMMYFUNCTION("""COMPUTED_VALUE"""),"Fitweb")</f>
        <v>Fitweb</v>
      </c>
      <c r="D584" s="4" t="str">
        <f ca="1">IFERROR(__xludf.DUMMYFUNCTION("""COMPUTED_VALUE"""),"https://fitweb.cz")</f>
        <v>https://fitweb.cz</v>
      </c>
      <c r="E584" s="3" t="str">
        <f ca="1">IFERROR(__xludf.DUMMYFUNCTION("""COMPUTED_VALUE"""),"celý web")</f>
        <v>celý web</v>
      </c>
      <c r="F584" s="4" t="str">
        <f ca="1">IFERROR(__xludf.DUMMYFUNCTION("""COMPUTED_VALUE"""),"https://fitweb.cz")</f>
        <v>https://fitweb.cz</v>
      </c>
      <c r="G584" s="3" t="str">
        <f ca="1">IFERROR(__xludf.DUMMYFUNCTION("""COMPUTED_VALUE"""),"billboard bottom mid season")</f>
        <v>billboard bottom mid season</v>
      </c>
      <c r="H584" s="3">
        <f ca="1">IFERROR(__xludf.DUMMYFUNCTION("""COMPUTED_VALUE"""),7)</f>
        <v>7</v>
      </c>
      <c r="I584" s="5">
        <f ca="1">IFERROR(__xludf.DUMMYFUNCTION("""COMPUTED_VALUE"""),1000)</f>
        <v>1000</v>
      </c>
      <c r="J584" s="5">
        <f ca="1">IFERROR(__xludf.DUMMYFUNCTION("""COMPUTED_VALUE"""),340)</f>
        <v>340</v>
      </c>
      <c r="K584" s="3"/>
      <c r="L584" s="3" t="str">
        <f ca="1">IFERROR(__xludf.DUMMYFUNCTION("""COMPUTED_VALUE"""),"Cost per period")</f>
        <v>Cost per period</v>
      </c>
      <c r="M584" s="3"/>
      <c r="N584" s="3"/>
      <c r="O584" s="3" t="str">
        <f ca="1">IFERROR(__xludf.DUMMYFUNCTION("""COMPUTED_VALUE"""),"970")</f>
        <v>970</v>
      </c>
      <c r="P584" s="3" t="str">
        <f ca="1">IFERROR(__xludf.DUMMYFUNCTION("""COMPUTED_VALUE"""),"250")</f>
        <v>250</v>
      </c>
      <c r="Q584" s="3" t="str">
        <f ca="1">IFERROR(__xludf.DUMMYFUNCTION("""COMPUTED_VALUE"""),"970x250")</f>
        <v>970x250</v>
      </c>
      <c r="R584" s="3"/>
      <c r="S584" s="3" t="str">
        <f ca="1">IFERROR(__xludf.DUMMYFUNCTION("""COMPUTED_VALUE"""),"100 (200 - HTML5)")</f>
        <v>100 (200 - HTML5)</v>
      </c>
      <c r="T584" s="3"/>
      <c r="U584" s="3" t="str">
        <f ca="1">IFERROR(__xludf.DUMMYFUNCTION("""COMPUTED_VALUE"""),"banner standard")</f>
        <v>banner standard</v>
      </c>
      <c r="V584" s="3"/>
      <c r="W584" s="4" t="str">
        <f ca="1">IFERROR(__xludf.DUMMYFUNCTION("""COMPUTED_VALUE"""),"https://reklama.cncenter.cz/Online/billboard-bottom")</f>
        <v>https://reklama.cncenter.cz/Online/billboard-bottom</v>
      </c>
      <c r="X584" s="3"/>
      <c r="Y584" s="3"/>
      <c r="Z584" s="3" t="str">
        <f ca="1">IFERROR(__xludf.DUMMYFUNCTION("""COMPUTED_VALUE"""),"podklady@cncenter.cz")</f>
        <v>podklady@cncenter.cz</v>
      </c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 t="str">
        <f ca="1">IFERROR(__xludf.DUMMYFUNCTION("""COMPUTED_VALUE"""),"desktop")</f>
        <v>desktop</v>
      </c>
      <c r="AO584" s="3"/>
      <c r="AP584" s="3"/>
      <c r="AQ584" s="3"/>
      <c r="AR584" s="3"/>
      <c r="AS584" s="3"/>
      <c r="AT584" s="3"/>
      <c r="AU584" s="3" t="str">
        <f ca="1">IFERROR(__xludf.DUMMYFUNCTION("""COMPUTED_VALUE"""),"billboard bottom")</f>
        <v>billboard bottom</v>
      </c>
    </row>
    <row r="585" spans="1:47" x14ac:dyDescent="0.3">
      <c r="A585" s="3">
        <f ca="1"/>
        <v>2346826</v>
      </c>
      <c r="B585" s="3" t="str">
        <f ca="1"/>
        <v>CZECH NEWS CENTER a. s.</v>
      </c>
      <c r="C585" s="3" t="str">
        <f ca="1">IFERROR(__xludf.DUMMYFUNCTION("""COMPUTED_VALUE"""),"Fitweb")</f>
        <v>Fitweb</v>
      </c>
      <c r="D585" s="4" t="str">
        <f ca="1">IFERROR(__xludf.DUMMYFUNCTION("""COMPUTED_VALUE"""),"https://fitweb.cz")</f>
        <v>https://fitweb.cz</v>
      </c>
      <c r="E585" s="3" t="str">
        <f ca="1">IFERROR(__xludf.DUMMYFUNCTION("""COMPUTED_VALUE"""),"celý web")</f>
        <v>celý web</v>
      </c>
      <c r="F585" s="4" t="str">
        <f ca="1">IFERROR(__xludf.DUMMYFUNCTION("""COMPUTED_VALUE"""),"https://fitweb.cz")</f>
        <v>https://fitweb.cz</v>
      </c>
      <c r="G585" s="3" t="str">
        <f ca="1">IFERROR(__xludf.DUMMYFUNCTION("""COMPUTED_VALUE"""),"branding cross-device mid season")</f>
        <v>branding cross-device mid season</v>
      </c>
      <c r="H585" s="3">
        <f ca="1">IFERROR(__xludf.DUMMYFUNCTION("""COMPUTED_VALUE"""),7)</f>
        <v>7</v>
      </c>
      <c r="I585" s="5">
        <f ca="1">IFERROR(__xludf.DUMMYFUNCTION("""COMPUTED_VALUE"""),1000)</f>
        <v>1000</v>
      </c>
      <c r="J585" s="5">
        <f ca="1">IFERROR(__xludf.DUMMYFUNCTION("""COMPUTED_VALUE"""),420)</f>
        <v>420</v>
      </c>
      <c r="K585" s="3"/>
      <c r="L585" s="3" t="str">
        <f ca="1">IFERROR(__xludf.DUMMYFUNCTION("""COMPUTED_VALUE"""),"Cost per period")</f>
        <v>Cost per period</v>
      </c>
      <c r="M585" s="3"/>
      <c r="N585" s="3"/>
      <c r="O585" s="3" t="str">
        <f ca="1">IFERROR(__xludf.DUMMYFUNCTION("""COMPUTED_VALUE"""),"2000")</f>
        <v>2000</v>
      </c>
      <c r="P585" s="3" t="str">
        <f ca="1">IFERROR(__xludf.DUMMYFUNCTION("""COMPUTED_VALUE"""),"1400")</f>
        <v>1400</v>
      </c>
      <c r="Q585" s="3" t="str">
        <f ca="1">IFERROR(__xludf.DUMMYFUNCTION("""COMPUTED_VALUE"""),"2000x1400 + 600x1080")</f>
        <v>2000x1400 + 600x1080</v>
      </c>
      <c r="R585" s="3"/>
      <c r="S585" s="3" t="str">
        <f ca="1">IFERROR(__xludf.DUMMYFUNCTION("""COMPUTED_VALUE"""),"500 (600 - HTLM5)")</f>
        <v>500 (600 - HTLM5)</v>
      </c>
      <c r="T585" s="3"/>
      <c r="U585" s="3" t="str">
        <f ca="1">IFERROR(__xludf.DUMMYFUNCTION("""COMPUTED_VALUE"""),"banner standard")</f>
        <v>banner standard</v>
      </c>
      <c r="V585" s="3"/>
      <c r="W585" s="4" t="str">
        <f ca="1">IFERROR(__xludf.DUMMYFUNCTION("""COMPUTED_VALUE"""),"https://reklama.cncenter.cz/Online/branding-cross-device")</f>
        <v>https://reklama.cncenter.cz/Online/branding-cross-device</v>
      </c>
      <c r="X585" s="3"/>
      <c r="Y585" s="3"/>
      <c r="Z585" s="3" t="str">
        <f ca="1">IFERROR(__xludf.DUMMYFUNCTION("""COMPUTED_VALUE"""),"podklady@cncenter.cz")</f>
        <v>podklady@cncenter.cz</v>
      </c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 t="str">
        <f ca="1">IFERROR(__xludf.DUMMYFUNCTION("""COMPUTED_VALUE"""),"cross-device")</f>
        <v>cross-device</v>
      </c>
      <c r="AO585" s="3"/>
      <c r="AP585" s="3"/>
      <c r="AQ585" s="3"/>
      <c r="AR585" s="3"/>
      <c r="AS585" s="3"/>
      <c r="AT585" s="3"/>
      <c r="AU585" s="3" t="str">
        <f ca="1">IFERROR(__xludf.DUMMYFUNCTION("""COMPUTED_VALUE"""),"branding cross-device")</f>
        <v>branding cross-device</v>
      </c>
    </row>
    <row r="586" spans="1:47" x14ac:dyDescent="0.3">
      <c r="A586" s="3">
        <f ca="1"/>
        <v>2346826</v>
      </c>
      <c r="B586" s="3" t="str">
        <f ca="1"/>
        <v>CZECH NEWS CENTER a. s.</v>
      </c>
      <c r="C586" s="3" t="str">
        <f ca="1">IFERROR(__xludf.DUMMYFUNCTION("""COMPUTED_VALUE"""),"Fitweb")</f>
        <v>Fitweb</v>
      </c>
      <c r="D586" s="4" t="str">
        <f ca="1">IFERROR(__xludf.DUMMYFUNCTION("""COMPUTED_VALUE"""),"https://fitweb.cz")</f>
        <v>https://fitweb.cz</v>
      </c>
      <c r="E586" s="3" t="str">
        <f ca="1">IFERROR(__xludf.DUMMYFUNCTION("""COMPUTED_VALUE"""),"celý web")</f>
        <v>celý web</v>
      </c>
      <c r="F586" s="4" t="str">
        <f ca="1">IFERROR(__xludf.DUMMYFUNCTION("""COMPUTED_VALUE"""),"https://fitweb.cz")</f>
        <v>https://fitweb.cz</v>
      </c>
      <c r="G586" s="3" t="str">
        <f ca="1">IFERROR(__xludf.DUMMYFUNCTION("""COMPUTED_VALUE"""),"branding mid season")</f>
        <v>branding mid season</v>
      </c>
      <c r="H586" s="3">
        <f ca="1">IFERROR(__xludf.DUMMYFUNCTION("""COMPUTED_VALUE"""),7)</f>
        <v>7</v>
      </c>
      <c r="I586" s="5">
        <f ca="1">IFERROR(__xludf.DUMMYFUNCTION("""COMPUTED_VALUE"""),1000)</f>
        <v>1000</v>
      </c>
      <c r="J586" s="5">
        <f ca="1">IFERROR(__xludf.DUMMYFUNCTION("""COMPUTED_VALUE"""),690)</f>
        <v>690</v>
      </c>
      <c r="K586" s="3"/>
      <c r="L586" s="3" t="str">
        <f ca="1">IFERROR(__xludf.DUMMYFUNCTION("""COMPUTED_VALUE"""),"Cost per period")</f>
        <v>Cost per period</v>
      </c>
      <c r="M586" s="3"/>
      <c r="N586" s="3"/>
      <c r="O586" s="3" t="str">
        <f ca="1">IFERROR(__xludf.DUMMYFUNCTION("""COMPUTED_VALUE"""),"2000")</f>
        <v>2000</v>
      </c>
      <c r="P586" s="3" t="str">
        <f ca="1">IFERROR(__xludf.DUMMYFUNCTION("""COMPUTED_VALUE"""),"1400")</f>
        <v>1400</v>
      </c>
      <c r="Q586" s="3" t="str">
        <f ca="1">IFERROR(__xludf.DUMMYFUNCTION("""COMPUTED_VALUE"""),"2000x1400")</f>
        <v>2000x1400</v>
      </c>
      <c r="R586" s="3"/>
      <c r="S586" s="3" t="str">
        <f ca="1">IFERROR(__xludf.DUMMYFUNCTION("""COMPUTED_VALUE"""),"500 + 200 (600+200 HTML5)")</f>
        <v>500 + 200 (600+200 HTML5)</v>
      </c>
      <c r="T586" s="3"/>
      <c r="U586" s="3" t="str">
        <f ca="1">IFERROR(__xludf.DUMMYFUNCTION("""COMPUTED_VALUE"""),"banner standard")</f>
        <v>banner standard</v>
      </c>
      <c r="V586" s="3"/>
      <c r="W586" s="4" t="str">
        <f ca="1">IFERROR(__xludf.DUMMYFUNCTION("""COMPUTED_VALUE"""),"https://reklama.cncenter.cz/Online/branding")</f>
        <v>https://reklama.cncenter.cz/Online/branding</v>
      </c>
      <c r="X586" s="3"/>
      <c r="Y586" s="3"/>
      <c r="Z586" s="3" t="str">
        <f ca="1">IFERROR(__xludf.DUMMYFUNCTION("""COMPUTED_VALUE"""),"podklady@cncenter.cz")</f>
        <v>podklady@cncenter.cz</v>
      </c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 t="str">
        <f ca="1">IFERROR(__xludf.DUMMYFUNCTION("""COMPUTED_VALUE"""),"desktop")</f>
        <v>desktop</v>
      </c>
      <c r="AO586" s="3"/>
      <c r="AP586" s="3"/>
      <c r="AQ586" s="3"/>
      <c r="AR586" s="3"/>
      <c r="AS586" s="3"/>
      <c r="AT586" s="3"/>
      <c r="AU586" s="3" t="str">
        <f ca="1">IFERROR(__xludf.DUMMYFUNCTION("""COMPUTED_VALUE"""),"branding")</f>
        <v>branding</v>
      </c>
    </row>
    <row r="587" spans="1:47" x14ac:dyDescent="0.3">
      <c r="A587" s="3">
        <f ca="1"/>
        <v>2346826</v>
      </c>
      <c r="B587" s="3" t="str">
        <f ca="1"/>
        <v>CZECH NEWS CENTER a. s.</v>
      </c>
      <c r="C587" s="3" t="str">
        <f ca="1">IFERROR(__xludf.DUMMYFUNCTION("""COMPUTED_VALUE"""),"Fitweb")</f>
        <v>Fitweb</v>
      </c>
      <c r="D587" s="4" t="str">
        <f ca="1">IFERROR(__xludf.DUMMYFUNCTION("""COMPUTED_VALUE"""),"https://fitweb.cz")</f>
        <v>https://fitweb.cz</v>
      </c>
      <c r="E587" s="3" t="str">
        <f ca="1">IFERROR(__xludf.DUMMYFUNCTION("""COMPUTED_VALUE"""),"celý web")</f>
        <v>celý web</v>
      </c>
      <c r="F587" s="4" t="str">
        <f ca="1">IFERROR(__xludf.DUMMYFUNCTION("""COMPUTED_VALUE"""),"https://fitweb.cz")</f>
        <v>https://fitweb.cz</v>
      </c>
      <c r="G587" s="3" t="str">
        <f ca="1">IFERROR(__xludf.DUMMYFUNCTION("""COMPUTED_VALUE"""),"cílený billboard bottom mid season")</f>
        <v>cílený billboard bottom mid season</v>
      </c>
      <c r="H587" s="3">
        <f ca="1">IFERROR(__xludf.DUMMYFUNCTION("""COMPUTED_VALUE"""),7)</f>
        <v>7</v>
      </c>
      <c r="I587" s="5">
        <f ca="1">IFERROR(__xludf.DUMMYFUNCTION("""COMPUTED_VALUE"""),1000)</f>
        <v>1000</v>
      </c>
      <c r="J587" s="5">
        <f ca="1">IFERROR(__xludf.DUMMYFUNCTION("""COMPUTED_VALUE"""),408)</f>
        <v>408</v>
      </c>
      <c r="K587" s="3"/>
      <c r="L587" s="3" t="str">
        <f ca="1">IFERROR(__xludf.DUMMYFUNCTION("""COMPUTED_VALUE"""),"Cost per period")</f>
        <v>Cost per period</v>
      </c>
      <c r="M587" s="3"/>
      <c r="N587" s="3"/>
      <c r="O587" s="3" t="str">
        <f ca="1">IFERROR(__xludf.DUMMYFUNCTION("""COMPUTED_VALUE"""),"970")</f>
        <v>970</v>
      </c>
      <c r="P587" s="3" t="str">
        <f ca="1">IFERROR(__xludf.DUMMYFUNCTION("""COMPUTED_VALUE"""),"250")</f>
        <v>250</v>
      </c>
      <c r="Q587" s="3" t="str">
        <f ca="1">IFERROR(__xludf.DUMMYFUNCTION("""COMPUTED_VALUE"""),"970x250")</f>
        <v>970x250</v>
      </c>
      <c r="R587" s="3"/>
      <c r="S587" s="3" t="str">
        <f ca="1">IFERROR(__xludf.DUMMYFUNCTION("""COMPUTED_VALUE"""),"100 (200 - HTML5)")</f>
        <v>100 (200 - HTML5)</v>
      </c>
      <c r="T587" s="3"/>
      <c r="U587" s="3" t="str">
        <f ca="1">IFERROR(__xludf.DUMMYFUNCTION("""COMPUTED_VALUE"""),"banner standard")</f>
        <v>banner standard</v>
      </c>
      <c r="V587" s="3"/>
      <c r="W587" s="4" t="str">
        <f ca="1">IFERROR(__xludf.DUMMYFUNCTION("""COMPUTED_VALUE"""),"https://reklama.cncenter.cz/Online/billboard-bottom")</f>
        <v>https://reklama.cncenter.cz/Online/billboard-bottom</v>
      </c>
      <c r="X587" s="3"/>
      <c r="Y587" s="3"/>
      <c r="Z587" s="3" t="str">
        <f ca="1">IFERROR(__xludf.DUMMYFUNCTION("""COMPUTED_VALUE"""),"podklady@cncenter.cz")</f>
        <v>podklady@cncenter.cz</v>
      </c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 t="str">
        <f ca="1">IFERROR(__xludf.DUMMYFUNCTION("""COMPUTED_VALUE"""),"desktop")</f>
        <v>desktop</v>
      </c>
      <c r="AO587" s="3"/>
      <c r="AP587" s="3"/>
      <c r="AQ587" s="3"/>
      <c r="AR587" s="3"/>
      <c r="AS587" s="3"/>
      <c r="AT587" s="3"/>
      <c r="AU587" s="3" t="str">
        <f ca="1">IFERROR(__xludf.DUMMYFUNCTION("""COMPUTED_VALUE"""),"cílený billboard bottom")</f>
        <v>cílený billboard bottom</v>
      </c>
    </row>
    <row r="588" spans="1:47" x14ac:dyDescent="0.3">
      <c r="A588" s="3">
        <f ca="1"/>
        <v>2346826</v>
      </c>
      <c r="B588" s="3" t="str">
        <f ca="1"/>
        <v>CZECH NEWS CENTER a. s.</v>
      </c>
      <c r="C588" s="3" t="str">
        <f ca="1">IFERROR(__xludf.DUMMYFUNCTION("""COMPUTED_VALUE"""),"Fitweb")</f>
        <v>Fitweb</v>
      </c>
      <c r="D588" s="4" t="str">
        <f ca="1">IFERROR(__xludf.DUMMYFUNCTION("""COMPUTED_VALUE"""),"https://fitweb.cz")</f>
        <v>https://fitweb.cz</v>
      </c>
      <c r="E588" s="3" t="str">
        <f ca="1">IFERROR(__xludf.DUMMYFUNCTION("""COMPUTED_VALUE"""),"celý web")</f>
        <v>celý web</v>
      </c>
      <c r="F588" s="4" t="str">
        <f ca="1">IFERROR(__xludf.DUMMYFUNCTION("""COMPUTED_VALUE"""),"https://fitweb.cz")</f>
        <v>https://fitweb.cz</v>
      </c>
      <c r="G588" s="3" t="str">
        <f ca="1">IFERROR(__xludf.DUMMYFUNCTION("""COMPUTED_VALUE"""),"cílený branding cross-device mid season")</f>
        <v>cílený branding cross-device mid season</v>
      </c>
      <c r="H588" s="3">
        <f ca="1">IFERROR(__xludf.DUMMYFUNCTION("""COMPUTED_VALUE"""),7)</f>
        <v>7</v>
      </c>
      <c r="I588" s="5">
        <f ca="1">IFERROR(__xludf.DUMMYFUNCTION("""COMPUTED_VALUE"""),1000)</f>
        <v>1000</v>
      </c>
      <c r="J588" s="5">
        <f ca="1">IFERROR(__xludf.DUMMYFUNCTION("""COMPUTED_VALUE"""),504)</f>
        <v>504</v>
      </c>
      <c r="K588" s="3"/>
      <c r="L588" s="3" t="str">
        <f ca="1">IFERROR(__xludf.DUMMYFUNCTION("""COMPUTED_VALUE"""),"Cost per period")</f>
        <v>Cost per period</v>
      </c>
      <c r="M588" s="3"/>
      <c r="N588" s="3"/>
      <c r="O588" s="3" t="str">
        <f ca="1">IFERROR(__xludf.DUMMYFUNCTION("""COMPUTED_VALUE"""),"2000")</f>
        <v>2000</v>
      </c>
      <c r="P588" s="3" t="str">
        <f ca="1">IFERROR(__xludf.DUMMYFUNCTION("""COMPUTED_VALUE"""),"1400")</f>
        <v>1400</v>
      </c>
      <c r="Q588" s="3" t="str">
        <f ca="1">IFERROR(__xludf.DUMMYFUNCTION("""COMPUTED_VALUE"""),"2000x1400 + 600x1080")</f>
        <v>2000x1400 + 600x1080</v>
      </c>
      <c r="R588" s="3"/>
      <c r="S588" s="3" t="str">
        <f ca="1">IFERROR(__xludf.DUMMYFUNCTION("""COMPUTED_VALUE"""),"500 (600 - HTLM5)")</f>
        <v>500 (600 - HTLM5)</v>
      </c>
      <c r="T588" s="3"/>
      <c r="U588" s="3" t="str">
        <f ca="1">IFERROR(__xludf.DUMMYFUNCTION("""COMPUTED_VALUE"""),"banner standard")</f>
        <v>banner standard</v>
      </c>
      <c r="V588" s="3"/>
      <c r="W588" s="4" t="str">
        <f ca="1">IFERROR(__xludf.DUMMYFUNCTION("""COMPUTED_VALUE"""),"https://reklama.cncenter.cz/Online/branding-cross-device")</f>
        <v>https://reklama.cncenter.cz/Online/branding-cross-device</v>
      </c>
      <c r="X588" s="3"/>
      <c r="Y588" s="3"/>
      <c r="Z588" s="3" t="str">
        <f ca="1">IFERROR(__xludf.DUMMYFUNCTION("""COMPUTED_VALUE"""),"podklady@cncenter.cz")</f>
        <v>podklady@cncenter.cz</v>
      </c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 t="str">
        <f ca="1">IFERROR(__xludf.DUMMYFUNCTION("""COMPUTED_VALUE"""),"cross-device")</f>
        <v>cross-device</v>
      </c>
      <c r="AO588" s="3"/>
      <c r="AP588" s="3"/>
      <c r="AQ588" s="3"/>
      <c r="AR588" s="3"/>
      <c r="AS588" s="3"/>
      <c r="AT588" s="3"/>
      <c r="AU588" s="3" t="str">
        <f ca="1">IFERROR(__xludf.DUMMYFUNCTION("""COMPUTED_VALUE"""),"cílený branding cross-device")</f>
        <v>cílený branding cross-device</v>
      </c>
    </row>
    <row r="589" spans="1:47" x14ac:dyDescent="0.3">
      <c r="A589" s="3">
        <f ca="1"/>
        <v>2346826</v>
      </c>
      <c r="B589" s="3" t="str">
        <f ca="1"/>
        <v>CZECH NEWS CENTER a. s.</v>
      </c>
      <c r="C589" s="3" t="str">
        <f ca="1">IFERROR(__xludf.DUMMYFUNCTION("""COMPUTED_VALUE"""),"Fitweb")</f>
        <v>Fitweb</v>
      </c>
      <c r="D589" s="4" t="str">
        <f ca="1">IFERROR(__xludf.DUMMYFUNCTION("""COMPUTED_VALUE"""),"https://fitweb.cz")</f>
        <v>https://fitweb.cz</v>
      </c>
      <c r="E589" s="3" t="str">
        <f ca="1">IFERROR(__xludf.DUMMYFUNCTION("""COMPUTED_VALUE"""),"celý web")</f>
        <v>celý web</v>
      </c>
      <c r="F589" s="4" t="str">
        <f ca="1">IFERROR(__xludf.DUMMYFUNCTION("""COMPUTED_VALUE"""),"https://fitweb.cz")</f>
        <v>https://fitweb.cz</v>
      </c>
      <c r="G589" s="3" t="str">
        <f ca="1">IFERROR(__xludf.DUMMYFUNCTION("""COMPUTED_VALUE"""),"cílený branding mid season")</f>
        <v>cílený branding mid season</v>
      </c>
      <c r="H589" s="3">
        <f ca="1">IFERROR(__xludf.DUMMYFUNCTION("""COMPUTED_VALUE"""),7)</f>
        <v>7</v>
      </c>
      <c r="I589" s="5">
        <f ca="1">IFERROR(__xludf.DUMMYFUNCTION("""COMPUTED_VALUE"""),1000)</f>
        <v>1000</v>
      </c>
      <c r="J589" s="5">
        <f ca="1">IFERROR(__xludf.DUMMYFUNCTION("""COMPUTED_VALUE"""),828)</f>
        <v>828</v>
      </c>
      <c r="K589" s="3"/>
      <c r="L589" s="3" t="str">
        <f ca="1">IFERROR(__xludf.DUMMYFUNCTION("""COMPUTED_VALUE"""),"Cost per period")</f>
        <v>Cost per period</v>
      </c>
      <c r="M589" s="3"/>
      <c r="N589" s="3"/>
      <c r="O589" s="3" t="str">
        <f ca="1">IFERROR(__xludf.DUMMYFUNCTION("""COMPUTED_VALUE"""),"2000")</f>
        <v>2000</v>
      </c>
      <c r="P589" s="3" t="str">
        <f ca="1">IFERROR(__xludf.DUMMYFUNCTION("""COMPUTED_VALUE"""),"1400")</f>
        <v>1400</v>
      </c>
      <c r="Q589" s="3" t="str">
        <f ca="1">IFERROR(__xludf.DUMMYFUNCTION("""COMPUTED_VALUE"""),"2000x1400")</f>
        <v>2000x1400</v>
      </c>
      <c r="R589" s="3"/>
      <c r="S589" s="3" t="str">
        <f ca="1">IFERROR(__xludf.DUMMYFUNCTION("""COMPUTED_VALUE"""),"500 + 200 (600+200 HTML5)")</f>
        <v>500 + 200 (600+200 HTML5)</v>
      </c>
      <c r="T589" s="3"/>
      <c r="U589" s="3" t="str">
        <f ca="1">IFERROR(__xludf.DUMMYFUNCTION("""COMPUTED_VALUE"""),"banner standard")</f>
        <v>banner standard</v>
      </c>
      <c r="V589" s="3"/>
      <c r="W589" s="4" t="str">
        <f ca="1">IFERROR(__xludf.DUMMYFUNCTION("""COMPUTED_VALUE"""),"https://reklama.cncenter.cz/Online/branding")</f>
        <v>https://reklama.cncenter.cz/Online/branding</v>
      </c>
      <c r="X589" s="3"/>
      <c r="Y589" s="3"/>
      <c r="Z589" s="3" t="str">
        <f ca="1">IFERROR(__xludf.DUMMYFUNCTION("""COMPUTED_VALUE"""),"podklady@cncenter.cz")</f>
        <v>podklady@cncenter.cz</v>
      </c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 t="str">
        <f ca="1">IFERROR(__xludf.DUMMYFUNCTION("""COMPUTED_VALUE"""),"desktop")</f>
        <v>desktop</v>
      </c>
      <c r="AO589" s="3"/>
      <c r="AP589" s="3"/>
      <c r="AQ589" s="3"/>
      <c r="AR589" s="3"/>
      <c r="AS589" s="3"/>
      <c r="AT589" s="3"/>
      <c r="AU589" s="3" t="str">
        <f ca="1">IFERROR(__xludf.DUMMYFUNCTION("""COMPUTED_VALUE"""),"cílený branding")</f>
        <v>cílený branding</v>
      </c>
    </row>
    <row r="590" spans="1:47" x14ac:dyDescent="0.3">
      <c r="A590" s="3">
        <f ca="1"/>
        <v>2346826</v>
      </c>
      <c r="B590" s="3" t="str">
        <f ca="1"/>
        <v>CZECH NEWS CENTER a. s.</v>
      </c>
      <c r="C590" s="3" t="str">
        <f ca="1">IFERROR(__xludf.DUMMYFUNCTION("""COMPUTED_VALUE"""),"Fitweb")</f>
        <v>Fitweb</v>
      </c>
      <c r="D590" s="4" t="str">
        <f ca="1">IFERROR(__xludf.DUMMYFUNCTION("""COMPUTED_VALUE"""),"https://fitweb.cz")</f>
        <v>https://fitweb.cz</v>
      </c>
      <c r="E590" s="3" t="str">
        <f ca="1">IFERROR(__xludf.DUMMYFUNCTION("""COMPUTED_VALUE"""),"celý web")</f>
        <v>celý web</v>
      </c>
      <c r="F590" s="4" t="str">
        <f ca="1">IFERROR(__xludf.DUMMYFUNCTION("""COMPUTED_VALUE"""),"https://fitweb.cz")</f>
        <v>https://fitweb.cz</v>
      </c>
      <c r="G590" s="3" t="str">
        <f ca="1">IFERROR(__xludf.DUMMYFUNCTION("""COMPUTED_VALUE"""),"cílený double skyscraper mid season")</f>
        <v>cílený double skyscraper mid season</v>
      </c>
      <c r="H590" s="3">
        <f ca="1">IFERROR(__xludf.DUMMYFUNCTION("""COMPUTED_VALUE"""),7)</f>
        <v>7</v>
      </c>
      <c r="I590" s="5">
        <f ca="1">IFERROR(__xludf.DUMMYFUNCTION("""COMPUTED_VALUE"""),1000)</f>
        <v>1000</v>
      </c>
      <c r="J590" s="5">
        <f ca="1">IFERROR(__xludf.DUMMYFUNCTION("""COMPUTED_VALUE"""),324)</f>
        <v>324</v>
      </c>
      <c r="K590" s="3"/>
      <c r="L590" s="3" t="str">
        <f ca="1">IFERROR(__xludf.DUMMYFUNCTION("""COMPUTED_VALUE"""),"Cost per period")</f>
        <v>Cost per period</v>
      </c>
      <c r="M590" s="3"/>
      <c r="N590" s="3"/>
      <c r="O590" s="3" t="str">
        <f ca="1">IFERROR(__xludf.DUMMYFUNCTION("""COMPUTED_VALUE"""),"300")</f>
        <v>300</v>
      </c>
      <c r="P590" s="3" t="str">
        <f ca="1">IFERROR(__xludf.DUMMYFUNCTION("""COMPUTED_VALUE"""),"600")</f>
        <v>600</v>
      </c>
      <c r="Q590" s="3" t="str">
        <f ca="1">IFERROR(__xludf.DUMMYFUNCTION("""COMPUTED_VALUE"""),"300x600")</f>
        <v>300x600</v>
      </c>
      <c r="R590" s="3"/>
      <c r="S590" s="3" t="str">
        <f ca="1">IFERROR(__xludf.DUMMYFUNCTION("""COMPUTED_VALUE"""),"100 (200 - HTML5)")</f>
        <v>100 (200 - HTML5)</v>
      </c>
      <c r="T590" s="3"/>
      <c r="U590" s="3" t="str">
        <f ca="1">IFERROR(__xludf.DUMMYFUNCTION("""COMPUTED_VALUE"""),"banner standard")</f>
        <v>banner standard</v>
      </c>
      <c r="V590" s="3"/>
      <c r="W590" s="4" t="str">
        <f ca="1">IFERROR(__xludf.DUMMYFUNCTION("""COMPUTED_VALUE"""),"https://reklama.cncenter.cz/Online/double-skyscraper")</f>
        <v>https://reklama.cncenter.cz/Online/double-skyscraper</v>
      </c>
      <c r="X590" s="3"/>
      <c r="Y590" s="3"/>
      <c r="Z590" s="3" t="str">
        <f ca="1">IFERROR(__xludf.DUMMYFUNCTION("""COMPUTED_VALUE"""),"podklady@cncenter.cz")</f>
        <v>podklady@cncenter.cz</v>
      </c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 t="str">
        <f ca="1">IFERROR(__xludf.DUMMYFUNCTION("""COMPUTED_VALUE"""),"desktop")</f>
        <v>desktop</v>
      </c>
      <c r="AO590" s="3"/>
      <c r="AP590" s="3"/>
      <c r="AQ590" s="3"/>
      <c r="AR590" s="3"/>
      <c r="AS590" s="3"/>
      <c r="AT590" s="3"/>
      <c r="AU590" s="3" t="str">
        <f ca="1">IFERROR(__xludf.DUMMYFUNCTION("""COMPUTED_VALUE"""),"cílený double skyscraper")</f>
        <v>cílený double skyscraper</v>
      </c>
    </row>
    <row r="591" spans="1:47" x14ac:dyDescent="0.3">
      <c r="A591" s="3">
        <f ca="1"/>
        <v>2346826</v>
      </c>
      <c r="B591" s="3" t="str">
        <f ca="1"/>
        <v>CZECH NEWS CENTER a. s.</v>
      </c>
      <c r="C591" s="3" t="str">
        <f ca="1">IFERROR(__xludf.DUMMYFUNCTION("""COMPUTED_VALUE"""),"Fitweb")</f>
        <v>Fitweb</v>
      </c>
      <c r="D591" s="4" t="str">
        <f ca="1">IFERROR(__xludf.DUMMYFUNCTION("""COMPUTED_VALUE"""),"https://fitweb.cz")</f>
        <v>https://fitweb.cz</v>
      </c>
      <c r="E591" s="3" t="str">
        <f ca="1">IFERROR(__xludf.DUMMYFUNCTION("""COMPUTED_VALUE"""),"celý web")</f>
        <v>celý web</v>
      </c>
      <c r="F591" s="4" t="str">
        <f ca="1">IFERROR(__xludf.DUMMYFUNCTION("""COMPUTED_VALUE"""),"https://fitweb.cz")</f>
        <v>https://fitweb.cz</v>
      </c>
      <c r="G591" s="3" t="str">
        <f ca="1">IFERROR(__xludf.DUMMYFUNCTION("""COMPUTED_VALUE"""),"cílený mobilní interscroller mid season")</f>
        <v>cílený mobilní interscroller mid season</v>
      </c>
      <c r="H591" s="3">
        <f ca="1">IFERROR(__xludf.DUMMYFUNCTION("""COMPUTED_VALUE"""),7)</f>
        <v>7</v>
      </c>
      <c r="I591" s="5">
        <f ca="1">IFERROR(__xludf.DUMMYFUNCTION("""COMPUTED_VALUE"""),1000)</f>
        <v>1000</v>
      </c>
      <c r="J591" s="5">
        <f ca="1">IFERROR(__xludf.DUMMYFUNCTION("""COMPUTED_VALUE"""),420)</f>
        <v>420</v>
      </c>
      <c r="K591" s="3"/>
      <c r="L591" s="3" t="str">
        <f ca="1">IFERROR(__xludf.DUMMYFUNCTION("""COMPUTED_VALUE"""),"Cost per period")</f>
        <v>Cost per period</v>
      </c>
      <c r="M591" s="3"/>
      <c r="N591" s="3"/>
      <c r="O591" s="3" t="str">
        <f ca="1">IFERROR(__xludf.DUMMYFUNCTION("""COMPUTED_VALUE"""),"600")</f>
        <v>600</v>
      </c>
      <c r="P591" s="3" t="str">
        <f ca="1">IFERROR(__xludf.DUMMYFUNCTION("""COMPUTED_VALUE"""),"1080")</f>
        <v>1080</v>
      </c>
      <c r="Q591" s="3" t="str">
        <f ca="1">IFERROR(__xludf.DUMMYFUNCTION("""COMPUTED_VALUE"""),"600x1080")</f>
        <v>600x1080</v>
      </c>
      <c r="R591" s="3"/>
      <c r="S591" s="3" t="str">
        <f ca="1">IFERROR(__xludf.DUMMYFUNCTION("""COMPUTED_VALUE"""),"200")</f>
        <v>200</v>
      </c>
      <c r="T591" s="3"/>
      <c r="U591" s="3" t="str">
        <f ca="1">IFERROR(__xludf.DUMMYFUNCTION("""COMPUTED_VALUE"""),"banner standard")</f>
        <v>banner standard</v>
      </c>
      <c r="V591" s="3"/>
      <c r="W591" s="4" t="str">
        <f ca="1">IFERROR(__xludf.DUMMYFUNCTION("""COMPUTED_VALUE"""),"https://reklama.cncenter.cz/Online/mobilni-interscroller")</f>
        <v>https://reklama.cncenter.cz/Online/mobilni-interscroller</v>
      </c>
      <c r="X591" s="3"/>
      <c r="Y591" s="3"/>
      <c r="Z591" s="3" t="str">
        <f ca="1">IFERROR(__xludf.DUMMYFUNCTION("""COMPUTED_VALUE"""),"podklady@cncenter.cz")</f>
        <v>podklady@cncenter.cz</v>
      </c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 t="str">
        <f ca="1">IFERROR(__xludf.DUMMYFUNCTION("""COMPUTED_VALUE"""),"mobile")</f>
        <v>mobile</v>
      </c>
      <c r="AO591" s="3"/>
      <c r="AP591" s="3"/>
      <c r="AQ591" s="3"/>
      <c r="AR591" s="3"/>
      <c r="AS591" s="3"/>
      <c r="AT591" s="3"/>
      <c r="AU591" s="3" t="str">
        <f ca="1">IFERROR(__xludf.DUMMYFUNCTION("""COMPUTED_VALUE"""),"cílený mobilní interscroller")</f>
        <v>cílený mobilní interscroller</v>
      </c>
    </row>
    <row r="592" spans="1:47" x14ac:dyDescent="0.3">
      <c r="A592" s="3">
        <f ca="1"/>
        <v>2346826</v>
      </c>
      <c r="B592" s="3" t="str">
        <f ca="1"/>
        <v>CZECH NEWS CENTER a. s.</v>
      </c>
      <c r="C592" s="3" t="str">
        <f ca="1">IFERROR(__xludf.DUMMYFUNCTION("""COMPUTED_VALUE"""),"Fitweb")</f>
        <v>Fitweb</v>
      </c>
      <c r="D592" s="4" t="str">
        <f ca="1">IFERROR(__xludf.DUMMYFUNCTION("""COMPUTED_VALUE"""),"https://fitweb.cz")</f>
        <v>https://fitweb.cz</v>
      </c>
      <c r="E592" s="3" t="str">
        <f ca="1">IFERROR(__xludf.DUMMYFUNCTION("""COMPUTED_VALUE"""),"celý web")</f>
        <v>celý web</v>
      </c>
      <c r="F592" s="4" t="str">
        <f ca="1">IFERROR(__xludf.DUMMYFUNCTION("""COMPUTED_VALUE"""),"https://fitweb.cz")</f>
        <v>https://fitweb.cz</v>
      </c>
      <c r="G592" s="3" t="str">
        <f ca="1">IFERROR(__xludf.DUMMYFUNCTION("""COMPUTED_VALUE"""),"cílený mobilní slide-up mid season")</f>
        <v>cílený mobilní slide-up mid season</v>
      </c>
      <c r="H592" s="3">
        <f ca="1">IFERROR(__xludf.DUMMYFUNCTION("""COMPUTED_VALUE"""),7)</f>
        <v>7</v>
      </c>
      <c r="I592" s="5">
        <f ca="1">IFERROR(__xludf.DUMMYFUNCTION("""COMPUTED_VALUE"""),1000)</f>
        <v>1000</v>
      </c>
      <c r="J592" s="5">
        <f ca="1">IFERROR(__xludf.DUMMYFUNCTION("""COMPUTED_VALUE"""),864)</f>
        <v>864</v>
      </c>
      <c r="K592" s="3"/>
      <c r="L592" s="3" t="str">
        <f ca="1">IFERROR(__xludf.DUMMYFUNCTION("""COMPUTED_VALUE"""),"Cost per period")</f>
        <v>Cost per period</v>
      </c>
      <c r="M592" s="3"/>
      <c r="N592" s="3"/>
      <c r="O592" s="3" t="str">
        <f ca="1">IFERROR(__xludf.DUMMYFUNCTION("""COMPUTED_VALUE"""),"300")</f>
        <v>300</v>
      </c>
      <c r="P592" s="3" t="str">
        <f ca="1">IFERROR(__xludf.DUMMYFUNCTION("""COMPUTED_VALUE"""),"120")</f>
        <v>120</v>
      </c>
      <c r="Q592" s="3" t="str">
        <f ca="1">IFERROR(__xludf.DUMMYFUNCTION("""COMPUTED_VALUE"""),"300x120")</f>
        <v>300x120</v>
      </c>
      <c r="R592" s="3"/>
      <c r="S592" s="3" t="str">
        <f ca="1">IFERROR(__xludf.DUMMYFUNCTION("""COMPUTED_VALUE"""),"100")</f>
        <v>100</v>
      </c>
      <c r="T592" s="3"/>
      <c r="U592" s="3" t="str">
        <f ca="1">IFERROR(__xludf.DUMMYFUNCTION("""COMPUTED_VALUE"""),"banner standard")</f>
        <v>banner standard</v>
      </c>
      <c r="V592" s="3"/>
      <c r="W592" s="4" t="str">
        <f ca="1">IFERROR(__xludf.DUMMYFUNCTION("""COMPUTED_VALUE"""),"https://reklama.cncenter.cz/Online/mobilni-slide-up")</f>
        <v>https://reklama.cncenter.cz/Online/mobilni-slide-up</v>
      </c>
      <c r="X592" s="3"/>
      <c r="Y592" s="3"/>
      <c r="Z592" s="3" t="str">
        <f ca="1">IFERROR(__xludf.DUMMYFUNCTION("""COMPUTED_VALUE"""),"podklady@cncenter.cz")</f>
        <v>podklady@cncenter.cz</v>
      </c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 t="str">
        <f ca="1">IFERROR(__xludf.DUMMYFUNCTION("""COMPUTED_VALUE"""),"mobile")</f>
        <v>mobile</v>
      </c>
      <c r="AO592" s="3"/>
      <c r="AP592" s="3"/>
      <c r="AQ592" s="3"/>
      <c r="AR592" s="3"/>
      <c r="AS592" s="3"/>
      <c r="AT592" s="3"/>
      <c r="AU592" s="3" t="str">
        <f ca="1">IFERROR(__xludf.DUMMYFUNCTION("""COMPUTED_VALUE"""),"cílený mobilní slide-up")</f>
        <v>cílený mobilní slide-up</v>
      </c>
    </row>
    <row r="593" spans="1:47" x14ac:dyDescent="0.3">
      <c r="A593" s="3">
        <f ca="1"/>
        <v>2346826</v>
      </c>
      <c r="B593" s="3" t="str">
        <f ca="1"/>
        <v>CZECH NEWS CENTER a. s.</v>
      </c>
      <c r="C593" s="3" t="str">
        <f ca="1">IFERROR(__xludf.DUMMYFUNCTION("""COMPUTED_VALUE"""),"Fitweb")</f>
        <v>Fitweb</v>
      </c>
      <c r="D593" s="4" t="str">
        <f ca="1">IFERROR(__xludf.DUMMYFUNCTION("""COMPUTED_VALUE"""),"https://fitweb.cz")</f>
        <v>https://fitweb.cz</v>
      </c>
      <c r="E593" s="3" t="str">
        <f ca="1">IFERROR(__xludf.DUMMYFUNCTION("""COMPUTED_VALUE"""),"celý web")</f>
        <v>celý web</v>
      </c>
      <c r="F593" s="4" t="str">
        <f ca="1">IFERROR(__xludf.DUMMYFUNCTION("""COMPUTED_VALUE"""),"https://fitweb.cz")</f>
        <v>https://fitweb.cz</v>
      </c>
      <c r="G593" s="3" t="str">
        <f ca="1">IFERROR(__xludf.DUMMYFUNCTION("""COMPUTED_VALUE"""),"cílený mobilní viněta mid season")</f>
        <v>cílený mobilní viněta mid season</v>
      </c>
      <c r="H593" s="3">
        <f ca="1">IFERROR(__xludf.DUMMYFUNCTION("""COMPUTED_VALUE"""),7)</f>
        <v>7</v>
      </c>
      <c r="I593" s="5">
        <f ca="1">IFERROR(__xludf.DUMMYFUNCTION("""COMPUTED_VALUE"""),1000)</f>
        <v>1000</v>
      </c>
      <c r="J593" s="5">
        <f ca="1">IFERROR(__xludf.DUMMYFUNCTION("""COMPUTED_VALUE"""),1488)</f>
        <v>1488</v>
      </c>
      <c r="K593" s="3"/>
      <c r="L593" s="3" t="str">
        <f ca="1">IFERROR(__xludf.DUMMYFUNCTION("""COMPUTED_VALUE"""),"Cost per period")</f>
        <v>Cost per period</v>
      </c>
      <c r="M593" s="3"/>
      <c r="N593" s="3"/>
      <c r="O593" s="3" t="str">
        <f ca="1">IFERROR(__xludf.DUMMYFUNCTION("""COMPUTED_VALUE"""),"600")</f>
        <v>600</v>
      </c>
      <c r="P593" s="3" t="str">
        <f ca="1">IFERROR(__xludf.DUMMYFUNCTION("""COMPUTED_VALUE"""),"800")</f>
        <v>800</v>
      </c>
      <c r="Q593" s="3" t="str">
        <f ca="1">IFERROR(__xludf.DUMMYFUNCTION("""COMPUTED_VALUE"""),"300x250 nebo 600x800")</f>
        <v>300x250 nebo 600x800</v>
      </c>
      <c r="R593" s="3"/>
      <c r="S593" s="3" t="str">
        <f ca="1">IFERROR(__xludf.DUMMYFUNCTION("""COMPUTED_VALUE"""),"100")</f>
        <v>100</v>
      </c>
      <c r="T593" s="3"/>
      <c r="U593" s="3" t="str">
        <f ca="1">IFERROR(__xludf.DUMMYFUNCTION("""COMPUTED_VALUE"""),"banner standard")</f>
        <v>banner standard</v>
      </c>
      <c r="V593" s="3"/>
      <c r="W593" s="4" t="str">
        <f ca="1">IFERROR(__xludf.DUMMYFUNCTION("""COMPUTED_VALUE"""),"https://reklama.cncenter.cz/Online/mobilni-vineta")</f>
        <v>https://reklama.cncenter.cz/Online/mobilni-vineta</v>
      </c>
      <c r="X593" s="3"/>
      <c r="Y593" s="3"/>
      <c r="Z593" s="3" t="str">
        <f ca="1">IFERROR(__xludf.DUMMYFUNCTION("""COMPUTED_VALUE"""),"podklady@cncenter.cz")</f>
        <v>podklady@cncenter.cz</v>
      </c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 t="str">
        <f ca="1">IFERROR(__xludf.DUMMYFUNCTION("""COMPUTED_VALUE"""),"mobile")</f>
        <v>mobile</v>
      </c>
      <c r="AO593" s="3"/>
      <c r="AP593" s="3"/>
      <c r="AQ593" s="3"/>
      <c r="AR593" s="3"/>
      <c r="AS593" s="3"/>
      <c r="AT593" s="3"/>
      <c r="AU593" s="3" t="str">
        <f ca="1">IFERROR(__xludf.DUMMYFUNCTION("""COMPUTED_VALUE"""),"cílený mobilní viněta")</f>
        <v>cílený mobilní viněta</v>
      </c>
    </row>
    <row r="594" spans="1:47" x14ac:dyDescent="0.3">
      <c r="A594" s="3">
        <f ca="1"/>
        <v>2346826</v>
      </c>
      <c r="B594" s="3" t="str">
        <f ca="1"/>
        <v>CZECH NEWS CENTER a. s.</v>
      </c>
      <c r="C594" s="3" t="str">
        <f ca="1">IFERROR(__xludf.DUMMYFUNCTION("""COMPUTED_VALUE"""),"Fitweb")</f>
        <v>Fitweb</v>
      </c>
      <c r="D594" s="4" t="str">
        <f ca="1">IFERROR(__xludf.DUMMYFUNCTION("""COMPUTED_VALUE"""),"https://fitweb.cz")</f>
        <v>https://fitweb.cz</v>
      </c>
      <c r="E594" s="3" t="str">
        <f ca="1">IFERROR(__xludf.DUMMYFUNCTION("""COMPUTED_VALUE"""),"celý web")</f>
        <v>celý web</v>
      </c>
      <c r="F594" s="4" t="str">
        <f ca="1">IFERROR(__xludf.DUMMYFUNCTION("""COMPUTED_VALUE"""),"https://fitweb.cz")</f>
        <v>https://fitweb.cz</v>
      </c>
      <c r="G594" s="3" t="str">
        <f ca="1">IFERROR(__xludf.DUMMYFUNCTION("""COMPUTED_VALUE"""),"cílený nativní rectangle cross-device mid season")</f>
        <v>cílený nativní rectangle cross-device mid season</v>
      </c>
      <c r="H594" s="3">
        <f ca="1">IFERROR(__xludf.DUMMYFUNCTION("""COMPUTED_VALUE"""),7)</f>
        <v>7</v>
      </c>
      <c r="I594" s="5">
        <f ca="1">IFERROR(__xludf.DUMMYFUNCTION("""COMPUTED_VALUE"""),1000)</f>
        <v>1000</v>
      </c>
      <c r="J594" s="5">
        <f ca="1">IFERROR(__xludf.DUMMYFUNCTION("""COMPUTED_VALUE"""),336)</f>
        <v>336</v>
      </c>
      <c r="K594" s="3"/>
      <c r="L594" s="3" t="str">
        <f ca="1">IFERROR(__xludf.DUMMYFUNCTION("""COMPUTED_VALUE"""),"Cost per period")</f>
        <v>Cost per period</v>
      </c>
      <c r="M594" s="3"/>
      <c r="N594" s="3"/>
      <c r="O594" s="3" t="str">
        <f ca="1">IFERROR(__xludf.DUMMYFUNCTION("""COMPUTED_VALUE"""),"640")</f>
        <v>640</v>
      </c>
      <c r="P594" s="3" t="str">
        <f ca="1">IFERROR(__xludf.DUMMYFUNCTION("""COMPUTED_VALUE"""),"335, 640")</f>
        <v>335, 640</v>
      </c>
      <c r="Q594" s="3" t="str">
        <f ca="1">IFERROR(__xludf.DUMMYFUNCTION("""COMPUTED_VALUE"""),"640x640 a 640x335 + text + logo")</f>
        <v>640x640 a 640x335 + text + logo</v>
      </c>
      <c r="R594" s="3"/>
      <c r="S594" s="3" t="str">
        <f ca="1">IFERROR(__xludf.DUMMYFUNCTION("""COMPUTED_VALUE"""),"45")</f>
        <v>45</v>
      </c>
      <c r="T594" s="3"/>
      <c r="U594" s="3" t="str">
        <f ca="1">IFERROR(__xludf.DUMMYFUNCTION("""COMPUTED_VALUE"""),"nativní reklama")</f>
        <v>nativní reklama</v>
      </c>
      <c r="V594" s="3"/>
      <c r="W594" s="4" t="str">
        <f ca="1">IFERROR(__xludf.DUMMYFUNCTION("""COMPUTED_VALUE"""),"https://reklama.cncenter.cz/Online/nativni-rectangle-cross-device")</f>
        <v>https://reklama.cncenter.cz/Online/nativni-rectangle-cross-device</v>
      </c>
      <c r="X594" s="3"/>
      <c r="Y594" s="3"/>
      <c r="Z594" s="3" t="str">
        <f ca="1">IFERROR(__xludf.DUMMYFUNCTION("""COMPUTED_VALUE"""),"podklady@cncenter.cz")</f>
        <v>podklady@cncenter.cz</v>
      </c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 t="str">
        <f ca="1">IFERROR(__xludf.DUMMYFUNCTION("""COMPUTED_VALUE"""),"cross-device")</f>
        <v>cross-device</v>
      </c>
      <c r="AO594" s="3"/>
      <c r="AP594" s="3"/>
      <c r="AQ594" s="3"/>
      <c r="AR594" s="3"/>
      <c r="AS594" s="3"/>
      <c r="AT594" s="3"/>
      <c r="AU594" s="3" t="str">
        <f ca="1">IFERROR(__xludf.DUMMYFUNCTION("""COMPUTED_VALUE"""),"cílený nativní rectangle cross-device")</f>
        <v>cílený nativní rectangle cross-device</v>
      </c>
    </row>
    <row r="595" spans="1:47" x14ac:dyDescent="0.3">
      <c r="A595" s="3">
        <f ca="1"/>
        <v>2346826</v>
      </c>
      <c r="B595" s="3" t="str">
        <f ca="1"/>
        <v>CZECH NEWS CENTER a. s.</v>
      </c>
      <c r="C595" s="3" t="str">
        <f ca="1">IFERROR(__xludf.DUMMYFUNCTION("""COMPUTED_VALUE"""),"Fitweb")</f>
        <v>Fitweb</v>
      </c>
      <c r="D595" s="4" t="str">
        <f ca="1">IFERROR(__xludf.DUMMYFUNCTION("""COMPUTED_VALUE"""),"https://fitweb.cz")</f>
        <v>https://fitweb.cz</v>
      </c>
      <c r="E595" s="3" t="str">
        <f ca="1">IFERROR(__xludf.DUMMYFUNCTION("""COMPUTED_VALUE"""),"celý web")</f>
        <v>celý web</v>
      </c>
      <c r="F595" s="4" t="str">
        <f ca="1">IFERROR(__xludf.DUMMYFUNCTION("""COMPUTED_VALUE"""),"https://fitweb.cz")</f>
        <v>https://fitweb.cz</v>
      </c>
      <c r="G595" s="3" t="str">
        <f ca="1">IFERROR(__xludf.DUMMYFUNCTION("""COMPUTED_VALUE"""),"cílený outstream mid season")</f>
        <v>cílený outstream mid season</v>
      </c>
      <c r="H595" s="3">
        <f ca="1">IFERROR(__xludf.DUMMYFUNCTION("""COMPUTED_VALUE"""),7)</f>
        <v>7</v>
      </c>
      <c r="I595" s="5">
        <f ca="1">IFERROR(__xludf.DUMMYFUNCTION("""COMPUTED_VALUE"""),1000)</f>
        <v>1000</v>
      </c>
      <c r="J595" s="5">
        <f ca="1">IFERROR(__xludf.DUMMYFUNCTION("""COMPUTED_VALUE"""),420)</f>
        <v>420</v>
      </c>
      <c r="K595" s="3"/>
      <c r="L595" s="3" t="str">
        <f ca="1">IFERROR(__xludf.DUMMYFUNCTION("""COMPUTED_VALUE"""),"Cost per period")</f>
        <v>Cost per period</v>
      </c>
      <c r="M595" s="3"/>
      <c r="N595" s="3"/>
      <c r="O595" s="3" t="str">
        <f ca="1">IFERROR(__xludf.DUMMYFUNCTION("""COMPUTED_VALUE"""),"1280")</f>
        <v>1280</v>
      </c>
      <c r="P595" s="3" t="str">
        <f ca="1">IFERROR(__xludf.DUMMYFUNCTION("""COMPUTED_VALUE"""),"720")</f>
        <v>720</v>
      </c>
      <c r="Q595" s="3" t="str">
        <f ca="1">IFERROR(__xludf.DUMMYFUNCTION("""COMPUTED_VALUE"""),"16:9")</f>
        <v>16:9</v>
      </c>
      <c r="R595" s="3"/>
      <c r="S595" s="3" t="str">
        <f ca="1">IFERROR(__xludf.DUMMYFUNCTION("""COMPUTED_VALUE"""),"100")</f>
        <v>100</v>
      </c>
      <c r="T595" s="3"/>
      <c r="U595" s="3" t="str">
        <f ca="1">IFERROR(__xludf.DUMMYFUNCTION("""COMPUTED_VALUE"""),"videospot")</f>
        <v>videospot</v>
      </c>
      <c r="V595" s="3"/>
      <c r="W595" s="4" t="str">
        <f ca="1">IFERROR(__xludf.DUMMYFUNCTION("""COMPUTED_VALUE"""),"https://reklama.cncenter.cz/Online/Outstream")</f>
        <v>https://reklama.cncenter.cz/Online/Outstream</v>
      </c>
      <c r="X595" s="3"/>
      <c r="Y595" s="3"/>
      <c r="Z595" s="3" t="str">
        <f ca="1">IFERROR(__xludf.DUMMYFUNCTION("""COMPUTED_VALUE"""),"podklady@cncenter.cz")</f>
        <v>podklady@cncenter.cz</v>
      </c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 t="str">
        <f ca="1">IFERROR(__xludf.DUMMYFUNCTION("""COMPUTED_VALUE"""),"cross-device")</f>
        <v>cross-device</v>
      </c>
      <c r="AO595" s="3"/>
      <c r="AP595" s="3"/>
      <c r="AQ595" s="3"/>
      <c r="AR595" s="3"/>
      <c r="AS595" s="3"/>
      <c r="AT595" s="3"/>
      <c r="AU595" s="3" t="str">
        <f ca="1">IFERROR(__xludf.DUMMYFUNCTION("""COMPUTED_VALUE"""),"cílený outstream")</f>
        <v>cílený outstream</v>
      </c>
    </row>
    <row r="596" spans="1:47" x14ac:dyDescent="0.3">
      <c r="A596" s="3">
        <f ca="1"/>
        <v>2346826</v>
      </c>
      <c r="B596" s="3" t="str">
        <f ca="1"/>
        <v>CZECH NEWS CENTER a. s.</v>
      </c>
      <c r="C596" s="3" t="str">
        <f ca="1">IFERROR(__xludf.DUMMYFUNCTION("""COMPUTED_VALUE"""),"Fitweb")</f>
        <v>Fitweb</v>
      </c>
      <c r="D596" s="4" t="str">
        <f ca="1">IFERROR(__xludf.DUMMYFUNCTION("""COMPUTED_VALUE"""),"https://fitweb.cz")</f>
        <v>https://fitweb.cz</v>
      </c>
      <c r="E596" s="3" t="str">
        <f ca="1">IFERROR(__xludf.DUMMYFUNCTION("""COMPUTED_VALUE"""),"celý web")</f>
        <v>celý web</v>
      </c>
      <c r="F596" s="4" t="str">
        <f ca="1">IFERROR(__xludf.DUMMYFUNCTION("""COMPUTED_VALUE"""),"https://fitweb.cz")</f>
        <v>https://fitweb.cz</v>
      </c>
      <c r="G596" s="3" t="str">
        <f ca="1">IFERROR(__xludf.DUMMYFUNCTION("""COMPUTED_VALUE"""),"double skyscraper mid season")</f>
        <v>double skyscraper mid season</v>
      </c>
      <c r="H596" s="3">
        <f ca="1">IFERROR(__xludf.DUMMYFUNCTION("""COMPUTED_VALUE"""),7)</f>
        <v>7</v>
      </c>
      <c r="I596" s="5">
        <f ca="1">IFERROR(__xludf.DUMMYFUNCTION("""COMPUTED_VALUE"""),1000)</f>
        <v>1000</v>
      </c>
      <c r="J596" s="5">
        <f ca="1">IFERROR(__xludf.DUMMYFUNCTION("""COMPUTED_VALUE"""),270)</f>
        <v>270</v>
      </c>
      <c r="K596" s="3"/>
      <c r="L596" s="3" t="str">
        <f ca="1">IFERROR(__xludf.DUMMYFUNCTION("""COMPUTED_VALUE"""),"Cost per period")</f>
        <v>Cost per period</v>
      </c>
      <c r="M596" s="3"/>
      <c r="N596" s="3"/>
      <c r="O596" s="3" t="str">
        <f ca="1">IFERROR(__xludf.DUMMYFUNCTION("""COMPUTED_VALUE"""),"300")</f>
        <v>300</v>
      </c>
      <c r="P596" s="3" t="str">
        <f ca="1">IFERROR(__xludf.DUMMYFUNCTION("""COMPUTED_VALUE"""),"600")</f>
        <v>600</v>
      </c>
      <c r="Q596" s="3" t="str">
        <f ca="1">IFERROR(__xludf.DUMMYFUNCTION("""COMPUTED_VALUE"""),"300x600")</f>
        <v>300x600</v>
      </c>
      <c r="R596" s="3"/>
      <c r="S596" s="3" t="str">
        <f ca="1">IFERROR(__xludf.DUMMYFUNCTION("""COMPUTED_VALUE"""),"100 (200 - HTML5)")</f>
        <v>100 (200 - HTML5)</v>
      </c>
      <c r="T596" s="3"/>
      <c r="U596" s="3" t="str">
        <f ca="1">IFERROR(__xludf.DUMMYFUNCTION("""COMPUTED_VALUE"""),"banner standard")</f>
        <v>banner standard</v>
      </c>
      <c r="V596" s="3"/>
      <c r="W596" s="4" t="str">
        <f ca="1">IFERROR(__xludf.DUMMYFUNCTION("""COMPUTED_VALUE"""),"https://reklama.cncenter.cz/Online/double-skyscraper")</f>
        <v>https://reklama.cncenter.cz/Online/double-skyscraper</v>
      </c>
      <c r="X596" s="3"/>
      <c r="Y596" s="3"/>
      <c r="Z596" s="3" t="str">
        <f ca="1">IFERROR(__xludf.DUMMYFUNCTION("""COMPUTED_VALUE"""),"podklady@cncenter.cz")</f>
        <v>podklady@cncenter.cz</v>
      </c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 t="str">
        <f ca="1">IFERROR(__xludf.DUMMYFUNCTION("""COMPUTED_VALUE"""),"desktop")</f>
        <v>desktop</v>
      </c>
      <c r="AO596" s="3"/>
      <c r="AP596" s="3"/>
      <c r="AQ596" s="3"/>
      <c r="AR596" s="3"/>
      <c r="AS596" s="3"/>
      <c r="AT596" s="3"/>
      <c r="AU596" s="3" t="str">
        <f ca="1">IFERROR(__xludf.DUMMYFUNCTION("""COMPUTED_VALUE"""),"double skyscraper")</f>
        <v>double skyscraper</v>
      </c>
    </row>
    <row r="597" spans="1:47" x14ac:dyDescent="0.3">
      <c r="A597" s="3">
        <f ca="1"/>
        <v>2346826</v>
      </c>
      <c r="B597" s="3" t="str">
        <f ca="1"/>
        <v>CZECH NEWS CENTER a. s.</v>
      </c>
      <c r="C597" s="3" t="str">
        <f ca="1">IFERROR(__xludf.DUMMYFUNCTION("""COMPUTED_VALUE"""),"Fitweb")</f>
        <v>Fitweb</v>
      </c>
      <c r="D597" s="4" t="str">
        <f ca="1">IFERROR(__xludf.DUMMYFUNCTION("""COMPUTED_VALUE"""),"https://fitweb.cz")</f>
        <v>https://fitweb.cz</v>
      </c>
      <c r="E597" s="3" t="str">
        <f ca="1">IFERROR(__xludf.DUMMYFUNCTION("""COMPUTED_VALUE"""),"celý web")</f>
        <v>celý web</v>
      </c>
      <c r="F597" s="4" t="str">
        <f ca="1">IFERROR(__xludf.DUMMYFUNCTION("""COMPUTED_VALUE"""),"https://fitweb.cz")</f>
        <v>https://fitweb.cz</v>
      </c>
      <c r="G597" s="3" t="str">
        <f ca="1">IFERROR(__xludf.DUMMYFUNCTION("""COMPUTED_VALUE"""),"mobilní interscroller mid season")</f>
        <v>mobilní interscroller mid season</v>
      </c>
      <c r="H597" s="3">
        <f ca="1">IFERROR(__xludf.DUMMYFUNCTION("""COMPUTED_VALUE"""),7)</f>
        <v>7</v>
      </c>
      <c r="I597" s="5">
        <f ca="1">IFERROR(__xludf.DUMMYFUNCTION("""COMPUTED_VALUE"""),1000)</f>
        <v>1000</v>
      </c>
      <c r="J597" s="5">
        <f ca="1">IFERROR(__xludf.DUMMYFUNCTION("""COMPUTED_VALUE"""),350)</f>
        <v>350</v>
      </c>
      <c r="K597" s="3"/>
      <c r="L597" s="3" t="str">
        <f ca="1">IFERROR(__xludf.DUMMYFUNCTION("""COMPUTED_VALUE"""),"Cost per period")</f>
        <v>Cost per period</v>
      </c>
      <c r="M597" s="3"/>
      <c r="N597" s="3"/>
      <c r="O597" s="3" t="str">
        <f ca="1">IFERROR(__xludf.DUMMYFUNCTION("""COMPUTED_VALUE"""),"600")</f>
        <v>600</v>
      </c>
      <c r="P597" s="3" t="str">
        <f ca="1">IFERROR(__xludf.DUMMYFUNCTION("""COMPUTED_VALUE"""),"1080")</f>
        <v>1080</v>
      </c>
      <c r="Q597" s="3" t="str">
        <f ca="1">IFERROR(__xludf.DUMMYFUNCTION("""COMPUTED_VALUE"""),"600x1080")</f>
        <v>600x1080</v>
      </c>
      <c r="R597" s="3"/>
      <c r="S597" s="3" t="str">
        <f ca="1">IFERROR(__xludf.DUMMYFUNCTION("""COMPUTED_VALUE"""),"200")</f>
        <v>200</v>
      </c>
      <c r="T597" s="3"/>
      <c r="U597" s="3" t="str">
        <f ca="1">IFERROR(__xludf.DUMMYFUNCTION("""COMPUTED_VALUE"""),"banner standard")</f>
        <v>banner standard</v>
      </c>
      <c r="V597" s="3"/>
      <c r="W597" s="4" t="str">
        <f ca="1">IFERROR(__xludf.DUMMYFUNCTION("""COMPUTED_VALUE"""),"https://reklama.cncenter.cz/Online/mobilni-interscroller")</f>
        <v>https://reklama.cncenter.cz/Online/mobilni-interscroller</v>
      </c>
      <c r="X597" s="3"/>
      <c r="Y597" s="3"/>
      <c r="Z597" s="3" t="str">
        <f ca="1">IFERROR(__xludf.DUMMYFUNCTION("""COMPUTED_VALUE"""),"podklady@cncenter.cz")</f>
        <v>podklady@cncenter.cz</v>
      </c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 t="str">
        <f ca="1">IFERROR(__xludf.DUMMYFUNCTION("""COMPUTED_VALUE"""),"mobile")</f>
        <v>mobile</v>
      </c>
      <c r="AO597" s="3"/>
      <c r="AP597" s="3"/>
      <c r="AQ597" s="3"/>
      <c r="AR597" s="3"/>
      <c r="AS597" s="3"/>
      <c r="AT597" s="3"/>
      <c r="AU597" s="3" t="str">
        <f ca="1">IFERROR(__xludf.DUMMYFUNCTION("""COMPUTED_VALUE"""),"mobilní interscroller")</f>
        <v>mobilní interscroller</v>
      </c>
    </row>
    <row r="598" spans="1:47" x14ac:dyDescent="0.3">
      <c r="A598" s="3">
        <f ca="1"/>
        <v>2346826</v>
      </c>
      <c r="B598" s="3" t="str">
        <f ca="1"/>
        <v>CZECH NEWS CENTER a. s.</v>
      </c>
      <c r="C598" s="3" t="str">
        <f ca="1">IFERROR(__xludf.DUMMYFUNCTION("""COMPUTED_VALUE"""),"Fitweb")</f>
        <v>Fitweb</v>
      </c>
      <c r="D598" s="4" t="str">
        <f ca="1">IFERROR(__xludf.DUMMYFUNCTION("""COMPUTED_VALUE"""),"https://fitweb.cz")</f>
        <v>https://fitweb.cz</v>
      </c>
      <c r="E598" s="3" t="str">
        <f ca="1">IFERROR(__xludf.DUMMYFUNCTION("""COMPUTED_VALUE"""),"celý web")</f>
        <v>celý web</v>
      </c>
      <c r="F598" s="4" t="str">
        <f ca="1">IFERROR(__xludf.DUMMYFUNCTION("""COMPUTED_VALUE"""),"https://fitweb.cz")</f>
        <v>https://fitweb.cz</v>
      </c>
      <c r="G598" s="3" t="str">
        <f ca="1">IFERROR(__xludf.DUMMYFUNCTION("""COMPUTED_VALUE"""),"mobilní slide-up mid season")</f>
        <v>mobilní slide-up mid season</v>
      </c>
      <c r="H598" s="3">
        <f ca="1">IFERROR(__xludf.DUMMYFUNCTION("""COMPUTED_VALUE"""),7)</f>
        <v>7</v>
      </c>
      <c r="I598" s="5">
        <f ca="1">IFERROR(__xludf.DUMMYFUNCTION("""COMPUTED_VALUE"""),1000)</f>
        <v>1000</v>
      </c>
      <c r="J598" s="5">
        <f ca="1">IFERROR(__xludf.DUMMYFUNCTION("""COMPUTED_VALUE"""),720)</f>
        <v>720</v>
      </c>
      <c r="K598" s="3"/>
      <c r="L598" s="3" t="str">
        <f ca="1">IFERROR(__xludf.DUMMYFUNCTION("""COMPUTED_VALUE"""),"Cost per period")</f>
        <v>Cost per period</v>
      </c>
      <c r="M598" s="3"/>
      <c r="N598" s="3"/>
      <c r="O598" s="3" t="str">
        <f ca="1">IFERROR(__xludf.DUMMYFUNCTION("""COMPUTED_VALUE"""),"300")</f>
        <v>300</v>
      </c>
      <c r="P598" s="3" t="str">
        <f ca="1">IFERROR(__xludf.DUMMYFUNCTION("""COMPUTED_VALUE"""),"120")</f>
        <v>120</v>
      </c>
      <c r="Q598" s="3" t="str">
        <f ca="1">IFERROR(__xludf.DUMMYFUNCTION("""COMPUTED_VALUE"""),"300x120")</f>
        <v>300x120</v>
      </c>
      <c r="R598" s="3"/>
      <c r="S598" s="3" t="str">
        <f ca="1">IFERROR(__xludf.DUMMYFUNCTION("""COMPUTED_VALUE"""),"100")</f>
        <v>100</v>
      </c>
      <c r="T598" s="3"/>
      <c r="U598" s="3" t="str">
        <f ca="1">IFERROR(__xludf.DUMMYFUNCTION("""COMPUTED_VALUE"""),"banner standard")</f>
        <v>banner standard</v>
      </c>
      <c r="V598" s="3"/>
      <c r="W598" s="4" t="str">
        <f ca="1">IFERROR(__xludf.DUMMYFUNCTION("""COMPUTED_VALUE"""),"https://reklama.cncenter.cz/Online/mobilni-slide-up")</f>
        <v>https://reklama.cncenter.cz/Online/mobilni-slide-up</v>
      </c>
      <c r="X598" s="3"/>
      <c r="Y598" s="3"/>
      <c r="Z598" s="3" t="str">
        <f ca="1">IFERROR(__xludf.DUMMYFUNCTION("""COMPUTED_VALUE"""),"podklady@cncenter.cz")</f>
        <v>podklady@cncenter.cz</v>
      </c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 t="str">
        <f ca="1">IFERROR(__xludf.DUMMYFUNCTION("""COMPUTED_VALUE"""),"mobile")</f>
        <v>mobile</v>
      </c>
      <c r="AO598" s="3"/>
      <c r="AP598" s="3"/>
      <c r="AQ598" s="3"/>
      <c r="AR598" s="3"/>
      <c r="AS598" s="3"/>
      <c r="AT598" s="3"/>
      <c r="AU598" s="3" t="str">
        <f ca="1">IFERROR(__xludf.DUMMYFUNCTION("""COMPUTED_VALUE"""),"mobilní slide-up")</f>
        <v>mobilní slide-up</v>
      </c>
    </row>
    <row r="599" spans="1:47" x14ac:dyDescent="0.3">
      <c r="A599" s="3">
        <f ca="1"/>
        <v>2346826</v>
      </c>
      <c r="B599" s="3" t="str">
        <f ca="1"/>
        <v>CZECH NEWS CENTER a. s.</v>
      </c>
      <c r="C599" s="3" t="str">
        <f ca="1">IFERROR(__xludf.DUMMYFUNCTION("""COMPUTED_VALUE"""),"Fitweb")</f>
        <v>Fitweb</v>
      </c>
      <c r="D599" s="4" t="str">
        <f ca="1">IFERROR(__xludf.DUMMYFUNCTION("""COMPUTED_VALUE"""),"https://fitweb.cz")</f>
        <v>https://fitweb.cz</v>
      </c>
      <c r="E599" s="3" t="str">
        <f ca="1">IFERROR(__xludf.DUMMYFUNCTION("""COMPUTED_VALUE"""),"celý web")</f>
        <v>celý web</v>
      </c>
      <c r="F599" s="4" t="str">
        <f ca="1">IFERROR(__xludf.DUMMYFUNCTION("""COMPUTED_VALUE"""),"https://fitweb.cz")</f>
        <v>https://fitweb.cz</v>
      </c>
      <c r="G599" s="3" t="str">
        <f ca="1">IFERROR(__xludf.DUMMYFUNCTION("""COMPUTED_VALUE"""),"mobilní viněta mid season")</f>
        <v>mobilní viněta mid season</v>
      </c>
      <c r="H599" s="3">
        <f ca="1">IFERROR(__xludf.DUMMYFUNCTION("""COMPUTED_VALUE"""),7)</f>
        <v>7</v>
      </c>
      <c r="I599" s="5">
        <f ca="1">IFERROR(__xludf.DUMMYFUNCTION("""COMPUTED_VALUE"""),1000)</f>
        <v>1000</v>
      </c>
      <c r="J599" s="5">
        <f ca="1">IFERROR(__xludf.DUMMYFUNCTION("""COMPUTED_VALUE"""),1240)</f>
        <v>1240</v>
      </c>
      <c r="K599" s="3"/>
      <c r="L599" s="3" t="str">
        <f ca="1">IFERROR(__xludf.DUMMYFUNCTION("""COMPUTED_VALUE"""),"Cost per period")</f>
        <v>Cost per period</v>
      </c>
      <c r="M599" s="3"/>
      <c r="N599" s="3"/>
      <c r="O599" s="3" t="str">
        <f ca="1">IFERROR(__xludf.DUMMYFUNCTION("""COMPUTED_VALUE"""),"600")</f>
        <v>600</v>
      </c>
      <c r="P599" s="3" t="str">
        <f ca="1">IFERROR(__xludf.DUMMYFUNCTION("""COMPUTED_VALUE"""),"800")</f>
        <v>800</v>
      </c>
      <c r="Q599" s="3" t="str">
        <f ca="1">IFERROR(__xludf.DUMMYFUNCTION("""COMPUTED_VALUE"""),"300x250 nebo 600x800")</f>
        <v>300x250 nebo 600x800</v>
      </c>
      <c r="R599" s="3"/>
      <c r="S599" s="3" t="str">
        <f ca="1">IFERROR(__xludf.DUMMYFUNCTION("""COMPUTED_VALUE"""),"100")</f>
        <v>100</v>
      </c>
      <c r="T599" s="3"/>
      <c r="U599" s="3" t="str">
        <f ca="1">IFERROR(__xludf.DUMMYFUNCTION("""COMPUTED_VALUE"""),"banner standard")</f>
        <v>banner standard</v>
      </c>
      <c r="V599" s="3"/>
      <c r="W599" s="4" t="str">
        <f ca="1">IFERROR(__xludf.DUMMYFUNCTION("""COMPUTED_VALUE"""),"https://reklama.cncenter.cz/Online/mobilni-vineta")</f>
        <v>https://reklama.cncenter.cz/Online/mobilni-vineta</v>
      </c>
      <c r="X599" s="3"/>
      <c r="Y599" s="3"/>
      <c r="Z599" s="3" t="str">
        <f ca="1">IFERROR(__xludf.DUMMYFUNCTION("""COMPUTED_VALUE"""),"podklady@cncenter.cz")</f>
        <v>podklady@cncenter.cz</v>
      </c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 t="str">
        <f ca="1">IFERROR(__xludf.DUMMYFUNCTION("""COMPUTED_VALUE"""),"mobile")</f>
        <v>mobile</v>
      </c>
      <c r="AO599" s="3"/>
      <c r="AP599" s="3"/>
      <c r="AQ599" s="3"/>
      <c r="AR599" s="3"/>
      <c r="AS599" s="3"/>
      <c r="AT599" s="3"/>
      <c r="AU599" s="3" t="str">
        <f ca="1">IFERROR(__xludf.DUMMYFUNCTION("""COMPUTED_VALUE"""),"mobilní viněta")</f>
        <v>mobilní viněta</v>
      </c>
    </row>
    <row r="600" spans="1:47" x14ac:dyDescent="0.3">
      <c r="A600" s="3">
        <f ca="1"/>
        <v>2346826</v>
      </c>
      <c r="B600" s="3" t="str">
        <f ca="1"/>
        <v>CZECH NEWS CENTER a. s.</v>
      </c>
      <c r="C600" s="3" t="str">
        <f ca="1">IFERROR(__xludf.DUMMYFUNCTION("""COMPUTED_VALUE"""),"Fitweb")</f>
        <v>Fitweb</v>
      </c>
      <c r="D600" s="4" t="str">
        <f ca="1">IFERROR(__xludf.DUMMYFUNCTION("""COMPUTED_VALUE"""),"https://fitweb.cz")</f>
        <v>https://fitweb.cz</v>
      </c>
      <c r="E600" s="3" t="str">
        <f ca="1">IFERROR(__xludf.DUMMYFUNCTION("""COMPUTED_VALUE"""),"celý web")</f>
        <v>celý web</v>
      </c>
      <c r="F600" s="4" t="str">
        <f ca="1">IFERROR(__xludf.DUMMYFUNCTION("""COMPUTED_VALUE"""),"https://fitweb.cz")</f>
        <v>https://fitweb.cz</v>
      </c>
      <c r="G600" s="3" t="str">
        <f ca="1">IFERROR(__xludf.DUMMYFUNCTION("""COMPUTED_VALUE"""),"nativní rectangle cross-device mid season")</f>
        <v>nativní rectangle cross-device mid season</v>
      </c>
      <c r="H600" s="3">
        <f ca="1">IFERROR(__xludf.DUMMYFUNCTION("""COMPUTED_VALUE"""),7)</f>
        <v>7</v>
      </c>
      <c r="I600" s="5">
        <f ca="1">IFERROR(__xludf.DUMMYFUNCTION("""COMPUTED_VALUE"""),1000)</f>
        <v>1000</v>
      </c>
      <c r="J600" s="5">
        <f ca="1">IFERROR(__xludf.DUMMYFUNCTION("""COMPUTED_VALUE"""),280)</f>
        <v>280</v>
      </c>
      <c r="K600" s="3"/>
      <c r="L600" s="3" t="str">
        <f ca="1">IFERROR(__xludf.DUMMYFUNCTION("""COMPUTED_VALUE"""),"Cost per period")</f>
        <v>Cost per period</v>
      </c>
      <c r="M600" s="3"/>
      <c r="N600" s="3"/>
      <c r="O600" s="3" t="str">
        <f ca="1">IFERROR(__xludf.DUMMYFUNCTION("""COMPUTED_VALUE"""),"640")</f>
        <v>640</v>
      </c>
      <c r="P600" s="3" t="str">
        <f ca="1">IFERROR(__xludf.DUMMYFUNCTION("""COMPUTED_VALUE"""),"335, 640")</f>
        <v>335, 640</v>
      </c>
      <c r="Q600" s="3" t="str">
        <f ca="1">IFERROR(__xludf.DUMMYFUNCTION("""COMPUTED_VALUE"""),"640x640 a 640x335 + text + logo")</f>
        <v>640x640 a 640x335 + text + logo</v>
      </c>
      <c r="R600" s="3"/>
      <c r="S600" s="3" t="str">
        <f ca="1">IFERROR(__xludf.DUMMYFUNCTION("""COMPUTED_VALUE"""),"45")</f>
        <v>45</v>
      </c>
      <c r="T600" s="3"/>
      <c r="U600" s="3" t="str">
        <f ca="1">IFERROR(__xludf.DUMMYFUNCTION("""COMPUTED_VALUE"""),"nativní reklama")</f>
        <v>nativní reklama</v>
      </c>
      <c r="V600" s="3"/>
      <c r="W600" s="4" t="str">
        <f ca="1">IFERROR(__xludf.DUMMYFUNCTION("""COMPUTED_VALUE"""),"https://reklama.cncenter.cz/Online/nativni-rectangle-cross-device")</f>
        <v>https://reklama.cncenter.cz/Online/nativni-rectangle-cross-device</v>
      </c>
      <c r="X600" s="3"/>
      <c r="Y600" s="3"/>
      <c r="Z600" s="3" t="str">
        <f ca="1">IFERROR(__xludf.DUMMYFUNCTION("""COMPUTED_VALUE"""),"podklady@cncenter.cz")</f>
        <v>podklady@cncenter.cz</v>
      </c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 t="str">
        <f ca="1">IFERROR(__xludf.DUMMYFUNCTION("""COMPUTED_VALUE"""),"cross-device")</f>
        <v>cross-device</v>
      </c>
      <c r="AO600" s="3"/>
      <c r="AP600" s="3"/>
      <c r="AQ600" s="3"/>
      <c r="AR600" s="3"/>
      <c r="AS600" s="3"/>
      <c r="AT600" s="3"/>
      <c r="AU600" s="3" t="str">
        <f ca="1">IFERROR(__xludf.DUMMYFUNCTION("""COMPUTED_VALUE"""),"nativní rectangle cross-device")</f>
        <v>nativní rectangle cross-device</v>
      </c>
    </row>
    <row r="601" spans="1:47" x14ac:dyDescent="0.3">
      <c r="A601" s="3">
        <f ca="1"/>
        <v>2346826</v>
      </c>
      <c r="B601" s="3" t="str">
        <f ca="1"/>
        <v>CZECH NEWS CENTER a. s.</v>
      </c>
      <c r="C601" s="3" t="str">
        <f ca="1">IFERROR(__xludf.DUMMYFUNCTION("""COMPUTED_VALUE"""),"Fitweb")</f>
        <v>Fitweb</v>
      </c>
      <c r="D601" s="4" t="str">
        <f ca="1">IFERROR(__xludf.DUMMYFUNCTION("""COMPUTED_VALUE"""),"https://fitweb.cz")</f>
        <v>https://fitweb.cz</v>
      </c>
      <c r="E601" s="3" t="str">
        <f ca="1">IFERROR(__xludf.DUMMYFUNCTION("""COMPUTED_VALUE"""),"celý web")</f>
        <v>celý web</v>
      </c>
      <c r="F601" s="4" t="str">
        <f ca="1">IFERROR(__xludf.DUMMYFUNCTION("""COMPUTED_VALUE"""),"https://fitweb.cz")</f>
        <v>https://fitweb.cz</v>
      </c>
      <c r="G601" s="3" t="str">
        <f ca="1">IFERROR(__xludf.DUMMYFUNCTION("""COMPUTED_VALUE"""),"outstream mid season")</f>
        <v>outstream mid season</v>
      </c>
      <c r="H601" s="3">
        <f ca="1">IFERROR(__xludf.DUMMYFUNCTION("""COMPUTED_VALUE"""),7)</f>
        <v>7</v>
      </c>
      <c r="I601" s="5">
        <f ca="1">IFERROR(__xludf.DUMMYFUNCTION("""COMPUTED_VALUE"""),1000)</f>
        <v>1000</v>
      </c>
      <c r="J601" s="5">
        <f ca="1">IFERROR(__xludf.DUMMYFUNCTION("""COMPUTED_VALUE"""),350)</f>
        <v>350</v>
      </c>
      <c r="K601" s="3"/>
      <c r="L601" s="3" t="str">
        <f ca="1">IFERROR(__xludf.DUMMYFUNCTION("""COMPUTED_VALUE"""),"Cost per period")</f>
        <v>Cost per period</v>
      </c>
      <c r="M601" s="3"/>
      <c r="N601" s="3"/>
      <c r="O601" s="3" t="str">
        <f ca="1">IFERROR(__xludf.DUMMYFUNCTION("""COMPUTED_VALUE"""),"1280")</f>
        <v>1280</v>
      </c>
      <c r="P601" s="3" t="str">
        <f ca="1">IFERROR(__xludf.DUMMYFUNCTION("""COMPUTED_VALUE"""),"720")</f>
        <v>720</v>
      </c>
      <c r="Q601" s="3" t="str">
        <f ca="1">IFERROR(__xludf.DUMMYFUNCTION("""COMPUTED_VALUE"""),"16:9")</f>
        <v>16:9</v>
      </c>
      <c r="R601" s="3"/>
      <c r="S601" s="3" t="str">
        <f ca="1">IFERROR(__xludf.DUMMYFUNCTION("""COMPUTED_VALUE"""),"100")</f>
        <v>100</v>
      </c>
      <c r="T601" s="3"/>
      <c r="U601" s="3" t="str">
        <f ca="1">IFERROR(__xludf.DUMMYFUNCTION("""COMPUTED_VALUE"""),"videospot")</f>
        <v>videospot</v>
      </c>
      <c r="V601" s="3"/>
      <c r="W601" s="4" t="str">
        <f ca="1">IFERROR(__xludf.DUMMYFUNCTION("""COMPUTED_VALUE"""),"https://reklama.cncenter.cz/Online/Outstream")</f>
        <v>https://reklama.cncenter.cz/Online/Outstream</v>
      </c>
      <c r="X601" s="3"/>
      <c r="Y601" s="3"/>
      <c r="Z601" s="3" t="str">
        <f ca="1">IFERROR(__xludf.DUMMYFUNCTION("""COMPUTED_VALUE"""),"podklady@cncenter.cz")</f>
        <v>podklady@cncenter.cz</v>
      </c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 t="str">
        <f ca="1">IFERROR(__xludf.DUMMYFUNCTION("""COMPUTED_VALUE"""),"cross-device")</f>
        <v>cross-device</v>
      </c>
      <c r="AO601" s="3"/>
      <c r="AP601" s="3"/>
      <c r="AQ601" s="3"/>
      <c r="AR601" s="3"/>
      <c r="AS601" s="3"/>
      <c r="AT601" s="3"/>
      <c r="AU601" s="3" t="str">
        <f ca="1">IFERROR(__xludf.DUMMYFUNCTION("""COMPUTED_VALUE"""),"outstream")</f>
        <v>outstream</v>
      </c>
    </row>
    <row r="602" spans="1:47" x14ac:dyDescent="0.3">
      <c r="A602" s="3">
        <f ca="1"/>
        <v>2346826</v>
      </c>
      <c r="B602" s="3" t="str">
        <f ca="1"/>
        <v>CZECH NEWS CENTER a. s.</v>
      </c>
      <c r="C602" s="3" t="str">
        <f ca="1">IFERROR(__xludf.DUMMYFUNCTION("""COMPUTED_VALUE"""),"FOMO")</f>
        <v>FOMO</v>
      </c>
      <c r="D602" s="4" t="str">
        <f ca="1">IFERROR(__xludf.DUMMYFUNCTION("""COMPUTED_VALUE"""),"https://heyfomo.cz/")</f>
        <v>https://heyfomo.cz/</v>
      </c>
      <c r="E602" s="3" t="str">
        <f ca="1">IFERROR(__xludf.DUMMYFUNCTION("""COMPUTED_VALUE"""),"celý web")</f>
        <v>celý web</v>
      </c>
      <c r="F602" s="4" t="str">
        <f ca="1">IFERROR(__xludf.DUMMYFUNCTION("""COMPUTED_VALUE"""),"https://heyfomo.cz/")</f>
        <v>https://heyfomo.cz/</v>
      </c>
      <c r="G602" s="3" t="str">
        <f ca="1">IFERROR(__xludf.DUMMYFUNCTION("""COMPUTED_VALUE"""),"Advertorial mid season")</f>
        <v>Advertorial mid season</v>
      </c>
      <c r="H602" s="3">
        <f ca="1">IFERROR(__xludf.DUMMYFUNCTION("""COMPUTED_VALUE"""),1)</f>
        <v>1</v>
      </c>
      <c r="I602" s="5">
        <f ca="1">IFERROR(__xludf.DUMMYFUNCTION("""COMPUTED_VALUE"""),1)</f>
        <v>1</v>
      </c>
      <c r="J602" s="5">
        <f ca="1">IFERROR(__xludf.DUMMYFUNCTION("""COMPUTED_VALUE"""),90000)</f>
        <v>90000</v>
      </c>
      <c r="K602" s="3"/>
      <c r="L602" s="3" t="str">
        <f ca="1">IFERROR(__xludf.DUMMYFUNCTION("""COMPUTED_VALUE"""),"Cost per instance")</f>
        <v>Cost per instance</v>
      </c>
      <c r="M602" s="3"/>
      <c r="N602" s="3"/>
      <c r="O602" s="3"/>
      <c r="P602" s="3"/>
      <c r="Q602" s="3"/>
      <c r="R602" s="3"/>
      <c r="S602" s="3" t="str">
        <f ca="1">IFERROR(__xludf.DUMMYFUNCTION("""COMPUTED_VALUE"""),"100")</f>
        <v>100</v>
      </c>
      <c r="T602" s="3"/>
      <c r="U602" s="3" t="str">
        <f ca="1">IFERROR(__xludf.DUMMYFUNCTION("""COMPUTED_VALUE"""),"pr článek")</f>
        <v>pr článek</v>
      </c>
      <c r="V602" s="3"/>
      <c r="W602" s="3"/>
      <c r="X602" s="3"/>
      <c r="Y602" s="3"/>
      <c r="Z602" s="3" t="str">
        <f ca="1">IFERROR(__xludf.DUMMYFUNCTION("""COMPUTED_VALUE"""),"podklady@cncenter.cz")</f>
        <v>podklady@cncenter.cz</v>
      </c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 t="str">
        <f ca="1">IFERROR(__xludf.DUMMYFUNCTION("""COMPUTED_VALUE"""),"cross-device")</f>
        <v>cross-device</v>
      </c>
      <c r="AO602" s="3"/>
      <c r="AP602" s="3"/>
      <c r="AQ602" s="3"/>
      <c r="AR602" s="3"/>
      <c r="AS602" s="3"/>
      <c r="AT602" s="3"/>
      <c r="AU602" s="3" t="str">
        <f ca="1">IFERROR(__xludf.DUMMYFUNCTION("""COMPUTED_VALUE"""),"Advertorial")</f>
        <v>Advertorial</v>
      </c>
    </row>
    <row r="603" spans="1:47" x14ac:dyDescent="0.3">
      <c r="A603" s="3">
        <f ca="1"/>
        <v>2346826</v>
      </c>
      <c r="B603" s="3" t="str">
        <f ca="1"/>
        <v>CZECH NEWS CENTER a. s.</v>
      </c>
      <c r="C603" s="3" t="str">
        <f ca="1">IFERROR(__xludf.DUMMYFUNCTION("""COMPUTED_VALUE"""),"FOMO")</f>
        <v>FOMO</v>
      </c>
      <c r="D603" s="4" t="str">
        <f ca="1">IFERROR(__xludf.DUMMYFUNCTION("""COMPUTED_VALUE"""),"https://heyfomo.cz/")</f>
        <v>https://heyfomo.cz/</v>
      </c>
      <c r="E603" s="3" t="str">
        <f ca="1">IFERROR(__xludf.DUMMYFUNCTION("""COMPUTED_VALUE"""),"celý web")</f>
        <v>celý web</v>
      </c>
      <c r="F603" s="4" t="str">
        <f ca="1">IFERROR(__xludf.DUMMYFUNCTION("""COMPUTED_VALUE"""),"https://heyfomo.cz/")</f>
        <v>https://heyfomo.cz/</v>
      </c>
      <c r="G603" s="3" t="str">
        <f ca="1">IFERROR(__xludf.DUMMYFUNCTION("""COMPUTED_VALUE"""),"dokoupení proma o 2 týdny - 10 000 PV *** mid season")</f>
        <v>dokoupení proma o 2 týdny - 10 000 PV *** mid season</v>
      </c>
      <c r="H603" s="3">
        <f ca="1">IFERROR(__xludf.DUMMYFUNCTION("""COMPUTED_VALUE"""),1)</f>
        <v>1</v>
      </c>
      <c r="I603" s="5">
        <f ca="1">IFERROR(__xludf.DUMMYFUNCTION("""COMPUTED_VALUE"""),1)</f>
        <v>1</v>
      </c>
      <c r="J603" s="5">
        <f ca="1">IFERROR(__xludf.DUMMYFUNCTION("""COMPUTED_VALUE"""),60000)</f>
        <v>60000</v>
      </c>
      <c r="K603" s="3"/>
      <c r="L603" s="3" t="str">
        <f ca="1">IFERROR(__xludf.DUMMYFUNCTION("""COMPUTED_VALUE"""),"Cost per instance")</f>
        <v>Cost per instance</v>
      </c>
      <c r="M603" s="3"/>
      <c r="N603" s="3"/>
      <c r="O603" s="3"/>
      <c r="P603" s="3"/>
      <c r="Q603" s="3"/>
      <c r="R603" s="3"/>
      <c r="S603" s="3" t="str">
        <f ca="1">IFERROR(__xludf.DUMMYFUNCTION("""COMPUTED_VALUE"""),"100")</f>
        <v>100</v>
      </c>
      <c r="T603" s="3"/>
      <c r="U603" s="3" t="str">
        <f ca="1">IFERROR(__xludf.DUMMYFUNCTION("""COMPUTED_VALUE"""),"microsite")</f>
        <v>microsite</v>
      </c>
      <c r="V603" s="3"/>
      <c r="W603" s="3"/>
      <c r="X603" s="3"/>
      <c r="Y603" s="3"/>
      <c r="Z603" s="3" t="str">
        <f ca="1">IFERROR(__xludf.DUMMYFUNCTION("""COMPUTED_VALUE"""),"podklady@cncenter.cz")</f>
        <v>podklady@cncenter.cz</v>
      </c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 t="str">
        <f ca="1">IFERROR(__xludf.DUMMYFUNCTION("""COMPUTED_VALUE"""),"cross-device")</f>
        <v>cross-device</v>
      </c>
      <c r="AO603" s="3"/>
      <c r="AP603" s="3"/>
      <c r="AQ603" s="3"/>
      <c r="AR603" s="3"/>
      <c r="AS603" s="3"/>
      <c r="AT603" s="3"/>
      <c r="AU603" s="3" t="str">
        <f ca="1">IFERROR(__xludf.DUMMYFUNCTION("""COMPUTED_VALUE"""),"dokoupení proma o 2 týdny - 10 000 PV ***")</f>
        <v>dokoupení proma o 2 týdny - 10 000 PV ***</v>
      </c>
    </row>
    <row r="604" spans="1:47" x14ac:dyDescent="0.3">
      <c r="A604" s="3">
        <f ca="1"/>
        <v>2346826</v>
      </c>
      <c r="B604" s="3" t="str">
        <f ca="1"/>
        <v>CZECH NEWS CENTER a. s.</v>
      </c>
      <c r="C604" s="3" t="str">
        <f ca="1">IFERROR(__xludf.DUMMYFUNCTION("""COMPUTED_VALUE"""),"FOMO")</f>
        <v>FOMO</v>
      </c>
      <c r="D604" s="4" t="str">
        <f ca="1">IFERROR(__xludf.DUMMYFUNCTION("""COMPUTED_VALUE"""),"https://heyfomo.cz/")</f>
        <v>https://heyfomo.cz/</v>
      </c>
      <c r="E604" s="3" t="str">
        <f ca="1">IFERROR(__xludf.DUMMYFUNCTION("""COMPUTED_VALUE"""),"celý web")</f>
        <v>celý web</v>
      </c>
      <c r="F604" s="4" t="str">
        <f ca="1">IFERROR(__xludf.DUMMYFUNCTION("""COMPUTED_VALUE"""),"https://heyfomo.cz/")</f>
        <v>https://heyfomo.cz/</v>
      </c>
      <c r="G604" s="3" t="str">
        <f ca="1">IFERROR(__xludf.DUMMYFUNCTION("""COMPUTED_VALUE"""),"Native Standard mid season")</f>
        <v>Native Standard mid season</v>
      </c>
      <c r="H604" s="3">
        <f ca="1">IFERROR(__xludf.DUMMYFUNCTION("""COMPUTED_VALUE"""),1)</f>
        <v>1</v>
      </c>
      <c r="I604" s="5">
        <f ca="1">IFERROR(__xludf.DUMMYFUNCTION("""COMPUTED_VALUE"""),1)</f>
        <v>1</v>
      </c>
      <c r="J604" s="5">
        <f ca="1">IFERROR(__xludf.DUMMYFUNCTION("""COMPUTED_VALUE"""),330000)</f>
        <v>330000</v>
      </c>
      <c r="K604" s="3"/>
      <c r="L604" s="3" t="str">
        <f ca="1">IFERROR(__xludf.DUMMYFUNCTION("""COMPUTED_VALUE"""),"Cost per instance")</f>
        <v>Cost per instance</v>
      </c>
      <c r="M604" s="3"/>
      <c r="N604" s="3"/>
      <c r="O604" s="3"/>
      <c r="P604" s="3"/>
      <c r="Q604" s="3"/>
      <c r="R604" s="3"/>
      <c r="S604" s="3" t="str">
        <f ca="1">IFERROR(__xludf.DUMMYFUNCTION("""COMPUTED_VALUE"""),"100")</f>
        <v>100</v>
      </c>
      <c r="T604" s="3"/>
      <c r="U604" s="3" t="str">
        <f ca="1">IFERROR(__xludf.DUMMYFUNCTION("""COMPUTED_VALUE"""),"microsite")</f>
        <v>microsite</v>
      </c>
      <c r="V604" s="3"/>
      <c r="W604" s="3"/>
      <c r="X604" s="3"/>
      <c r="Y604" s="3"/>
      <c r="Z604" s="3" t="str">
        <f ca="1">IFERROR(__xludf.DUMMYFUNCTION("""COMPUTED_VALUE"""),"podklady@cncenter.cz")</f>
        <v>podklady@cncenter.cz</v>
      </c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 t="str">
        <f ca="1">IFERROR(__xludf.DUMMYFUNCTION("""COMPUTED_VALUE"""),"cross-device")</f>
        <v>cross-device</v>
      </c>
      <c r="AO604" s="3"/>
      <c r="AP604" s="3"/>
      <c r="AQ604" s="3"/>
      <c r="AR604" s="3"/>
      <c r="AS604" s="3"/>
      <c r="AT604" s="3"/>
      <c r="AU604" s="3" t="str">
        <f ca="1">IFERROR(__xludf.DUMMYFUNCTION("""COMPUTED_VALUE"""),"Native Standard")</f>
        <v>Native Standard</v>
      </c>
    </row>
    <row r="605" spans="1:47" x14ac:dyDescent="0.3">
      <c r="A605" s="3">
        <f ca="1"/>
        <v>2346826</v>
      </c>
      <c r="B605" s="3" t="str">
        <f ca="1"/>
        <v>CZECH NEWS CENTER a. s.</v>
      </c>
      <c r="C605" s="3" t="str">
        <f ca="1">IFERROR(__xludf.DUMMYFUNCTION("""COMPUTED_VALUE"""),"FOMO")</f>
        <v>FOMO</v>
      </c>
      <c r="D605" s="4" t="str">
        <f ca="1">IFERROR(__xludf.DUMMYFUNCTION("""COMPUTED_VALUE"""),"https://heyfomo.cz/")</f>
        <v>https://heyfomo.cz/</v>
      </c>
      <c r="E605" s="3" t="str">
        <f ca="1">IFERROR(__xludf.DUMMYFUNCTION("""COMPUTED_VALUE"""),"celý web")</f>
        <v>celý web</v>
      </c>
      <c r="F605" s="4" t="str">
        <f ca="1">IFERROR(__xludf.DUMMYFUNCTION("""COMPUTED_VALUE"""),"https://heyfomo.cz/")</f>
        <v>https://heyfomo.cz/</v>
      </c>
      <c r="G605" s="3" t="str">
        <f ca="1">IFERROR(__xludf.DUMMYFUNCTION("""COMPUTED_VALUE"""),"PR článek mid season")</f>
        <v>PR článek mid season</v>
      </c>
      <c r="H605" s="3">
        <f ca="1">IFERROR(__xludf.DUMMYFUNCTION("""COMPUTED_VALUE"""),1)</f>
        <v>1</v>
      </c>
      <c r="I605" s="5">
        <f ca="1">IFERROR(__xludf.DUMMYFUNCTION("""COMPUTED_VALUE"""),1)</f>
        <v>1</v>
      </c>
      <c r="J605" s="5">
        <f ca="1">IFERROR(__xludf.DUMMYFUNCTION("""COMPUTED_VALUE"""),50000)</f>
        <v>50000</v>
      </c>
      <c r="K605" s="3"/>
      <c r="L605" s="3" t="str">
        <f ca="1">IFERROR(__xludf.DUMMYFUNCTION("""COMPUTED_VALUE"""),"Cost per instance")</f>
        <v>Cost per instance</v>
      </c>
      <c r="M605" s="3"/>
      <c r="N605" s="3"/>
      <c r="O605" s="3"/>
      <c r="P605" s="3"/>
      <c r="Q605" s="3"/>
      <c r="R605" s="3"/>
      <c r="S605" s="3" t="str">
        <f ca="1">IFERROR(__xludf.DUMMYFUNCTION("""COMPUTED_VALUE"""),"100")</f>
        <v>100</v>
      </c>
      <c r="T605" s="3"/>
      <c r="U605" s="3" t="str">
        <f ca="1">IFERROR(__xludf.DUMMYFUNCTION("""COMPUTED_VALUE"""),"pr článek")</f>
        <v>pr článek</v>
      </c>
      <c r="V605" s="3"/>
      <c r="W605" s="4" t="str">
        <f ca="1">IFERROR(__xludf.DUMMYFUNCTION("""COMPUTED_VALUE"""),"https://reklama.cncenter.cz/?ads=PR%2520%25C4%258Dl%25C3%25A1nky")</f>
        <v>https://reklama.cncenter.cz/?ads=PR%2520%25C4%258Dl%25C3%25A1nky</v>
      </c>
      <c r="X605" s="3"/>
      <c r="Y605" s="3"/>
      <c r="Z605" s="3" t="str">
        <f ca="1">IFERROR(__xludf.DUMMYFUNCTION("""COMPUTED_VALUE"""),"podklady@cncenter.cz")</f>
        <v>podklady@cncenter.cz</v>
      </c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 t="str">
        <f ca="1">IFERROR(__xludf.DUMMYFUNCTION("""COMPUTED_VALUE"""),"cross-device")</f>
        <v>cross-device</v>
      </c>
      <c r="AO605" s="3"/>
      <c r="AP605" s="3"/>
      <c r="AQ605" s="3"/>
      <c r="AR605" s="3"/>
      <c r="AS605" s="3"/>
      <c r="AT605" s="3"/>
      <c r="AU605" s="3" t="str">
        <f ca="1">IFERROR(__xludf.DUMMYFUNCTION("""COMPUTED_VALUE"""),"PR článek")</f>
        <v>PR článek</v>
      </c>
    </row>
    <row r="606" spans="1:47" x14ac:dyDescent="0.3">
      <c r="A606" s="3">
        <f ca="1"/>
        <v>2346826</v>
      </c>
      <c r="B606" s="3" t="str">
        <f ca="1"/>
        <v>CZECH NEWS CENTER a. s.</v>
      </c>
      <c r="C606" s="3" t="str">
        <f ca="1">IFERROR(__xludf.DUMMYFUNCTION("""COMPUTED_VALUE"""),"FOMO")</f>
        <v>FOMO</v>
      </c>
      <c r="D606" s="4" t="str">
        <f ca="1">IFERROR(__xludf.DUMMYFUNCTION("""COMPUTED_VALUE"""),"https://heyfomo.cz/")</f>
        <v>https://heyfomo.cz/</v>
      </c>
      <c r="E606" s="3" t="str">
        <f ca="1">IFERROR(__xludf.DUMMYFUNCTION("""COMPUTED_VALUE"""),"celý web")</f>
        <v>celý web</v>
      </c>
      <c r="F606" s="4" t="str">
        <f ca="1">IFERROR(__xludf.DUMMYFUNCTION("""COMPUTED_VALUE"""),"https://heyfomo.cz/")</f>
        <v>https://heyfomo.cz/</v>
      </c>
      <c r="G606" s="3" t="str">
        <f ca="1">IFERROR(__xludf.DUMMYFUNCTION("""COMPUTED_VALUE"""),"Prodloužení existující microsite, bez úprav mid season")</f>
        <v>Prodloužení existující microsite, bez úprav mid season</v>
      </c>
      <c r="H606" s="3">
        <f ca="1">IFERROR(__xludf.DUMMYFUNCTION("""COMPUTED_VALUE"""),1)</f>
        <v>1</v>
      </c>
      <c r="I606" s="5">
        <f ca="1">IFERROR(__xludf.DUMMYFUNCTION("""COMPUTED_VALUE"""),1)</f>
        <v>1</v>
      </c>
      <c r="J606" s="5">
        <f ca="1">IFERROR(__xludf.DUMMYFUNCTION("""COMPUTED_VALUE"""),15000)</f>
        <v>15000</v>
      </c>
      <c r="K606" s="3"/>
      <c r="L606" s="3" t="str">
        <f ca="1">IFERROR(__xludf.DUMMYFUNCTION("""COMPUTED_VALUE"""),"Cost per instance")</f>
        <v>Cost per instance</v>
      </c>
      <c r="M606" s="3"/>
      <c r="N606" s="3"/>
      <c r="O606" s="3"/>
      <c r="P606" s="3"/>
      <c r="Q606" s="3"/>
      <c r="R606" s="3"/>
      <c r="S606" s="3" t="str">
        <f ca="1">IFERROR(__xludf.DUMMYFUNCTION("""COMPUTED_VALUE"""),"100")</f>
        <v>100</v>
      </c>
      <c r="T606" s="3"/>
      <c r="U606" s="3" t="str">
        <f ca="1">IFERROR(__xludf.DUMMYFUNCTION("""COMPUTED_VALUE"""),"microsite")</f>
        <v>microsite</v>
      </c>
      <c r="V606" s="3"/>
      <c r="W606" s="3"/>
      <c r="X606" s="3"/>
      <c r="Y606" s="3"/>
      <c r="Z606" s="3" t="str">
        <f ca="1">IFERROR(__xludf.DUMMYFUNCTION("""COMPUTED_VALUE"""),"podklady@cncenter.cz")</f>
        <v>podklady@cncenter.cz</v>
      </c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 t="str">
        <f ca="1">IFERROR(__xludf.DUMMYFUNCTION("""COMPUTED_VALUE"""),"cross-device")</f>
        <v>cross-device</v>
      </c>
      <c r="AO606" s="3"/>
      <c r="AP606" s="3"/>
      <c r="AQ606" s="3"/>
      <c r="AR606" s="3"/>
      <c r="AS606" s="3"/>
      <c r="AT606" s="3"/>
      <c r="AU606" s="3" t="str">
        <f ca="1">IFERROR(__xludf.DUMMYFUNCTION("""COMPUTED_VALUE"""),"Prodloužení existující microsite, bez úprav")</f>
        <v>Prodloužení existující microsite, bez úprav</v>
      </c>
    </row>
    <row r="607" spans="1:47" x14ac:dyDescent="0.3">
      <c r="A607" s="3">
        <f ca="1"/>
        <v>2346826</v>
      </c>
      <c r="B607" s="3" t="str">
        <f ca="1"/>
        <v>CZECH NEWS CENTER a. s.</v>
      </c>
      <c r="C607" s="3" t="str">
        <f ca="1">IFERROR(__xludf.DUMMYFUNCTION("""COMPUTED_VALUE"""),"FOMO")</f>
        <v>FOMO</v>
      </c>
      <c r="D607" s="4" t="str">
        <f ca="1">IFERROR(__xludf.DUMMYFUNCTION("""COMPUTED_VALUE"""),"https://heyfomo.cz/")</f>
        <v>https://heyfomo.cz/</v>
      </c>
      <c r="E607" s="3" t="str">
        <f ca="1">IFERROR(__xludf.DUMMYFUNCTION("""COMPUTED_VALUE"""),"celý web")</f>
        <v>celý web</v>
      </c>
      <c r="F607" s="4" t="str">
        <f ca="1">IFERROR(__xludf.DUMMYFUNCTION("""COMPUTED_VALUE"""),"https://heyfomo.cz/")</f>
        <v>https://heyfomo.cz/</v>
      </c>
      <c r="G607" s="3" t="str">
        <f ca="1">IFERROR(__xludf.DUMMYFUNCTION("""COMPUTED_VALUE"""),"Prodloužení existující microsite, bez úprav mid season")</f>
        <v>Prodloužení existující microsite, bez úprav mid season</v>
      </c>
      <c r="H607" s="3">
        <f ca="1">IFERROR(__xludf.DUMMYFUNCTION("""COMPUTED_VALUE"""),1)</f>
        <v>1</v>
      </c>
      <c r="I607" s="5">
        <f ca="1">IFERROR(__xludf.DUMMYFUNCTION("""COMPUTED_VALUE"""),1)</f>
        <v>1</v>
      </c>
      <c r="J607" s="5">
        <f ca="1">IFERROR(__xludf.DUMMYFUNCTION("""COMPUTED_VALUE"""),15000)</f>
        <v>15000</v>
      </c>
      <c r="K607" s="3"/>
      <c r="L607" s="3" t="str">
        <f ca="1">IFERROR(__xludf.DUMMYFUNCTION("""COMPUTED_VALUE"""),"Cost per instance")</f>
        <v>Cost per instance</v>
      </c>
      <c r="M607" s="3"/>
      <c r="N607" s="3"/>
      <c r="O607" s="3"/>
      <c r="P607" s="3"/>
      <c r="Q607" s="3"/>
      <c r="R607" s="3"/>
      <c r="S607" s="3" t="str">
        <f ca="1">IFERROR(__xludf.DUMMYFUNCTION("""COMPUTED_VALUE"""),"100")</f>
        <v>100</v>
      </c>
      <c r="T607" s="3"/>
      <c r="U607" s="3" t="str">
        <f ca="1">IFERROR(__xludf.DUMMYFUNCTION("""COMPUTED_VALUE"""),"microsite")</f>
        <v>microsite</v>
      </c>
      <c r="V607" s="3"/>
      <c r="W607" s="3"/>
      <c r="X607" s="3"/>
      <c r="Y607" s="3"/>
      <c r="Z607" s="3" t="str">
        <f ca="1">IFERROR(__xludf.DUMMYFUNCTION("""COMPUTED_VALUE"""),"podklady@cncenter.cz")</f>
        <v>podklady@cncenter.cz</v>
      </c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 t="str">
        <f ca="1">IFERROR(__xludf.DUMMYFUNCTION("""COMPUTED_VALUE"""),"cross-device")</f>
        <v>cross-device</v>
      </c>
      <c r="AO607" s="3"/>
      <c r="AP607" s="3"/>
      <c r="AQ607" s="3"/>
      <c r="AR607" s="3"/>
      <c r="AS607" s="3"/>
      <c r="AT607" s="3"/>
      <c r="AU607" s="3" t="str">
        <f ca="1">IFERROR(__xludf.DUMMYFUNCTION("""COMPUTED_VALUE"""),"Prodloužení existující microsite, bez úprav")</f>
        <v>Prodloužení existující microsite, bez úprav</v>
      </c>
    </row>
    <row r="608" spans="1:47" x14ac:dyDescent="0.3">
      <c r="A608" s="3">
        <f ca="1"/>
        <v>2346826</v>
      </c>
      <c r="B608" s="3" t="str">
        <f ca="1"/>
        <v>CZECH NEWS CENTER a. s.</v>
      </c>
      <c r="C608" s="3" t="str">
        <f ca="1">IFERROR(__xludf.DUMMYFUNCTION("""COMPUTED_VALUE"""),"FOMO")</f>
        <v>FOMO</v>
      </c>
      <c r="D608" s="4" t="str">
        <f ca="1">IFERROR(__xludf.DUMMYFUNCTION("""COMPUTED_VALUE"""),"https://heyfomo.cz/")</f>
        <v>https://heyfomo.cz/</v>
      </c>
      <c r="E608" s="3" t="str">
        <f ca="1">IFERROR(__xludf.DUMMYFUNCTION("""COMPUTED_VALUE"""),"celý web")</f>
        <v>celý web</v>
      </c>
      <c r="F608" s="4" t="str">
        <f ca="1">IFERROR(__xludf.DUMMYFUNCTION("""COMPUTED_VALUE"""),"https://heyfomo.cz/")</f>
        <v>https://heyfomo.cz/</v>
      </c>
      <c r="G608" s="3" t="str">
        <f ca="1">IFERROR(__xludf.DUMMYFUNCTION("""COMPUTED_VALUE"""),"Prodloužení existující microsite, bez úprav mid season")</f>
        <v>Prodloužení existující microsite, bez úprav mid season</v>
      </c>
      <c r="H608" s="3">
        <f ca="1">IFERROR(__xludf.DUMMYFUNCTION("""COMPUTED_VALUE"""),1)</f>
        <v>1</v>
      </c>
      <c r="I608" s="5">
        <f ca="1">IFERROR(__xludf.DUMMYFUNCTION("""COMPUTED_VALUE"""),1)</f>
        <v>1</v>
      </c>
      <c r="J608" s="5">
        <f ca="1">IFERROR(__xludf.DUMMYFUNCTION("""COMPUTED_VALUE"""),15000)</f>
        <v>15000</v>
      </c>
      <c r="K608" s="3"/>
      <c r="L608" s="3" t="str">
        <f ca="1">IFERROR(__xludf.DUMMYFUNCTION("""COMPUTED_VALUE"""),"Cost per instance")</f>
        <v>Cost per instance</v>
      </c>
      <c r="M608" s="3"/>
      <c r="N608" s="3"/>
      <c r="O608" s="3"/>
      <c r="P608" s="3"/>
      <c r="Q608" s="3"/>
      <c r="R608" s="3"/>
      <c r="S608" s="3" t="str">
        <f ca="1">IFERROR(__xludf.DUMMYFUNCTION("""COMPUTED_VALUE"""),"100")</f>
        <v>100</v>
      </c>
      <c r="T608" s="3"/>
      <c r="U608" s="3" t="str">
        <f ca="1">IFERROR(__xludf.DUMMYFUNCTION("""COMPUTED_VALUE"""),"microsite")</f>
        <v>microsite</v>
      </c>
      <c r="V608" s="3"/>
      <c r="W608" s="3"/>
      <c r="X608" s="3"/>
      <c r="Y608" s="3"/>
      <c r="Z608" s="3" t="str">
        <f ca="1">IFERROR(__xludf.DUMMYFUNCTION("""COMPUTED_VALUE"""),"podklady@cncenter.cz")</f>
        <v>podklady@cncenter.cz</v>
      </c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 t="str">
        <f ca="1">IFERROR(__xludf.DUMMYFUNCTION("""COMPUTED_VALUE"""),"cross-device")</f>
        <v>cross-device</v>
      </c>
      <c r="AO608" s="3"/>
      <c r="AP608" s="3"/>
      <c r="AQ608" s="3"/>
      <c r="AR608" s="3"/>
      <c r="AS608" s="3"/>
      <c r="AT608" s="3"/>
      <c r="AU608" s="3" t="str">
        <f ca="1">IFERROR(__xludf.DUMMYFUNCTION("""COMPUTED_VALUE"""),"Prodloužení existující microsite, bez úprav")</f>
        <v>Prodloužení existující microsite, bez úprav</v>
      </c>
    </row>
    <row r="609" spans="1:47" x14ac:dyDescent="0.3">
      <c r="A609" s="3">
        <f ca="1"/>
        <v>2346826</v>
      </c>
      <c r="B609" s="3" t="str">
        <f ca="1"/>
        <v>CZECH NEWS CENTER a. s.</v>
      </c>
      <c r="C609" s="3" t="str">
        <f ca="1">IFERROR(__xludf.DUMMYFUNCTION("""COMPUTED_VALUE"""),"Frekvence1")</f>
        <v>Frekvence1</v>
      </c>
      <c r="D609" s="4" t="str">
        <f ca="1">IFERROR(__xludf.DUMMYFUNCTION("""COMPUTED_VALUE"""),"https://frekvence1.cz")</f>
        <v>https://frekvence1.cz</v>
      </c>
      <c r="E609" s="3" t="str">
        <f ca="1">IFERROR(__xludf.DUMMYFUNCTION("""COMPUTED_VALUE"""),"celý web")</f>
        <v>celý web</v>
      </c>
      <c r="F609" s="4" t="str">
        <f ca="1">IFERROR(__xludf.DUMMYFUNCTION("""COMPUTED_VALUE"""),"https://frekvence1.cz")</f>
        <v>https://frekvence1.cz</v>
      </c>
      <c r="G609" s="3" t="str">
        <f ca="1">IFERROR(__xludf.DUMMYFUNCTION("""COMPUTED_VALUE"""),"branding cross-device mid season")</f>
        <v>branding cross-device mid season</v>
      </c>
      <c r="H609" s="3">
        <f ca="1">IFERROR(__xludf.DUMMYFUNCTION("""COMPUTED_VALUE"""),7)</f>
        <v>7</v>
      </c>
      <c r="I609" s="5">
        <f ca="1">IFERROR(__xludf.DUMMYFUNCTION("""COMPUTED_VALUE"""),1000)</f>
        <v>1000</v>
      </c>
      <c r="J609" s="5">
        <f ca="1">IFERROR(__xludf.DUMMYFUNCTION("""COMPUTED_VALUE"""),420)</f>
        <v>420</v>
      </c>
      <c r="K609" s="3"/>
      <c r="L609" s="3" t="str">
        <f ca="1">IFERROR(__xludf.DUMMYFUNCTION("""COMPUTED_VALUE"""),"Cost per period")</f>
        <v>Cost per period</v>
      </c>
      <c r="M609" s="3"/>
      <c r="N609" s="3"/>
      <c r="O609" s="3" t="str">
        <f ca="1">IFERROR(__xludf.DUMMYFUNCTION("""COMPUTED_VALUE"""),"2000")</f>
        <v>2000</v>
      </c>
      <c r="P609" s="3" t="str">
        <f ca="1">IFERROR(__xludf.DUMMYFUNCTION("""COMPUTED_VALUE"""),"1400")</f>
        <v>1400</v>
      </c>
      <c r="Q609" s="3" t="str">
        <f ca="1">IFERROR(__xludf.DUMMYFUNCTION("""COMPUTED_VALUE"""),"2000x1400 + 600x1080")</f>
        <v>2000x1400 + 600x1080</v>
      </c>
      <c r="R609" s="3"/>
      <c r="S609" s="3" t="str">
        <f ca="1">IFERROR(__xludf.DUMMYFUNCTION("""COMPUTED_VALUE"""),"500 (600 - HTLM5)")</f>
        <v>500 (600 - HTLM5)</v>
      </c>
      <c r="T609" s="3"/>
      <c r="U609" s="3" t="str">
        <f ca="1">IFERROR(__xludf.DUMMYFUNCTION("""COMPUTED_VALUE"""),"banner standard")</f>
        <v>banner standard</v>
      </c>
      <c r="V609" s="3"/>
      <c r="W609" s="4" t="str">
        <f ca="1">IFERROR(__xludf.DUMMYFUNCTION("""COMPUTED_VALUE"""),"https://reklama.cncenter.cz/Online/branding-cross-device")</f>
        <v>https://reklama.cncenter.cz/Online/branding-cross-device</v>
      </c>
      <c r="X609" s="3"/>
      <c r="Y609" s="3"/>
      <c r="Z609" s="3" t="str">
        <f ca="1">IFERROR(__xludf.DUMMYFUNCTION("""COMPUTED_VALUE"""),"podklady@cncenter.cz")</f>
        <v>podklady@cncenter.cz</v>
      </c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 t="str">
        <f ca="1">IFERROR(__xludf.DUMMYFUNCTION("""COMPUTED_VALUE"""),"cross-device")</f>
        <v>cross-device</v>
      </c>
      <c r="AO609" s="3"/>
      <c r="AP609" s="3"/>
      <c r="AQ609" s="3"/>
      <c r="AR609" s="3"/>
      <c r="AS609" s="3"/>
      <c r="AT609" s="3"/>
      <c r="AU609" s="3" t="str">
        <f ca="1">IFERROR(__xludf.DUMMYFUNCTION("""COMPUTED_VALUE"""),"branding cross-device")</f>
        <v>branding cross-device</v>
      </c>
    </row>
    <row r="610" spans="1:47" x14ac:dyDescent="0.3">
      <c r="A610" s="3">
        <f ca="1"/>
        <v>2346826</v>
      </c>
      <c r="B610" s="3" t="str">
        <f ca="1"/>
        <v>CZECH NEWS CENTER a. s.</v>
      </c>
      <c r="C610" s="3" t="str">
        <f ca="1">IFERROR(__xludf.DUMMYFUNCTION("""COMPUTED_VALUE"""),"Frekvence1")</f>
        <v>Frekvence1</v>
      </c>
      <c r="D610" s="4" t="str">
        <f ca="1">IFERROR(__xludf.DUMMYFUNCTION("""COMPUTED_VALUE"""),"https://frekvence1.cz")</f>
        <v>https://frekvence1.cz</v>
      </c>
      <c r="E610" s="3" t="str">
        <f ca="1">IFERROR(__xludf.DUMMYFUNCTION("""COMPUTED_VALUE"""),"celý web")</f>
        <v>celý web</v>
      </c>
      <c r="F610" s="4" t="str">
        <f ca="1">IFERROR(__xludf.DUMMYFUNCTION("""COMPUTED_VALUE"""),"https://frekvence1.cz")</f>
        <v>https://frekvence1.cz</v>
      </c>
      <c r="G610" s="3" t="str">
        <f ca="1">IFERROR(__xludf.DUMMYFUNCTION("""COMPUTED_VALUE"""),"branding mid season")</f>
        <v>branding mid season</v>
      </c>
      <c r="H610" s="3">
        <f ca="1">IFERROR(__xludf.DUMMYFUNCTION("""COMPUTED_VALUE"""),7)</f>
        <v>7</v>
      </c>
      <c r="I610" s="5">
        <f ca="1">IFERROR(__xludf.DUMMYFUNCTION("""COMPUTED_VALUE"""),1000)</f>
        <v>1000</v>
      </c>
      <c r="J610" s="5">
        <f ca="1">IFERROR(__xludf.DUMMYFUNCTION("""COMPUTED_VALUE"""),690)</f>
        <v>690</v>
      </c>
      <c r="K610" s="3"/>
      <c r="L610" s="3" t="str">
        <f ca="1">IFERROR(__xludf.DUMMYFUNCTION("""COMPUTED_VALUE"""),"Cost per period")</f>
        <v>Cost per period</v>
      </c>
      <c r="M610" s="3"/>
      <c r="N610" s="3"/>
      <c r="O610" s="3" t="str">
        <f ca="1">IFERROR(__xludf.DUMMYFUNCTION("""COMPUTED_VALUE"""),"2000")</f>
        <v>2000</v>
      </c>
      <c r="P610" s="3" t="str">
        <f ca="1">IFERROR(__xludf.DUMMYFUNCTION("""COMPUTED_VALUE"""),"1400")</f>
        <v>1400</v>
      </c>
      <c r="Q610" s="3" t="str">
        <f ca="1">IFERROR(__xludf.DUMMYFUNCTION("""COMPUTED_VALUE"""),"2000x1400")</f>
        <v>2000x1400</v>
      </c>
      <c r="R610" s="3"/>
      <c r="S610" s="3" t="str">
        <f ca="1">IFERROR(__xludf.DUMMYFUNCTION("""COMPUTED_VALUE"""),"500 + 200 (600+200 HTML5)")</f>
        <v>500 + 200 (600+200 HTML5)</v>
      </c>
      <c r="T610" s="3"/>
      <c r="U610" s="3" t="str">
        <f ca="1">IFERROR(__xludf.DUMMYFUNCTION("""COMPUTED_VALUE"""),"banner standard")</f>
        <v>banner standard</v>
      </c>
      <c r="V610" s="3"/>
      <c r="W610" s="4" t="str">
        <f ca="1">IFERROR(__xludf.DUMMYFUNCTION("""COMPUTED_VALUE"""),"https://reklama.cncenter.cz/Online/branding")</f>
        <v>https://reklama.cncenter.cz/Online/branding</v>
      </c>
      <c r="X610" s="3"/>
      <c r="Y610" s="3"/>
      <c r="Z610" s="3" t="str">
        <f ca="1">IFERROR(__xludf.DUMMYFUNCTION("""COMPUTED_VALUE"""),"podklady@cncenter.cz")</f>
        <v>podklady@cncenter.cz</v>
      </c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 t="str">
        <f ca="1">IFERROR(__xludf.DUMMYFUNCTION("""COMPUTED_VALUE"""),"desktop")</f>
        <v>desktop</v>
      </c>
      <c r="AO610" s="3"/>
      <c r="AP610" s="3"/>
      <c r="AQ610" s="3"/>
      <c r="AR610" s="3"/>
      <c r="AS610" s="3"/>
      <c r="AT610" s="3"/>
      <c r="AU610" s="3" t="str">
        <f ca="1">IFERROR(__xludf.DUMMYFUNCTION("""COMPUTED_VALUE"""),"branding")</f>
        <v>branding</v>
      </c>
    </row>
    <row r="611" spans="1:47" x14ac:dyDescent="0.3">
      <c r="A611" s="3">
        <f ca="1"/>
        <v>2346826</v>
      </c>
      <c r="B611" s="3" t="str">
        <f ca="1"/>
        <v>CZECH NEWS CENTER a. s.</v>
      </c>
      <c r="C611" s="3" t="str">
        <f ca="1">IFERROR(__xludf.DUMMYFUNCTION("""COMPUTED_VALUE"""),"Frekvence1")</f>
        <v>Frekvence1</v>
      </c>
      <c r="D611" s="4" t="str">
        <f ca="1">IFERROR(__xludf.DUMMYFUNCTION("""COMPUTED_VALUE"""),"https://frekvence1.cz")</f>
        <v>https://frekvence1.cz</v>
      </c>
      <c r="E611" s="3" t="str">
        <f ca="1">IFERROR(__xludf.DUMMYFUNCTION("""COMPUTED_VALUE"""),"celý web")</f>
        <v>celý web</v>
      </c>
      <c r="F611" s="4" t="str">
        <f ca="1">IFERROR(__xludf.DUMMYFUNCTION("""COMPUTED_VALUE"""),"https://frekvence1.cz")</f>
        <v>https://frekvence1.cz</v>
      </c>
      <c r="G611" s="3" t="str">
        <f ca="1">IFERROR(__xludf.DUMMYFUNCTION("""COMPUTED_VALUE"""),"cílený branding cross-device mid season")</f>
        <v>cílený branding cross-device mid season</v>
      </c>
      <c r="H611" s="3">
        <f ca="1">IFERROR(__xludf.DUMMYFUNCTION("""COMPUTED_VALUE"""),7)</f>
        <v>7</v>
      </c>
      <c r="I611" s="5">
        <f ca="1">IFERROR(__xludf.DUMMYFUNCTION("""COMPUTED_VALUE"""),1000)</f>
        <v>1000</v>
      </c>
      <c r="J611" s="5">
        <f ca="1">IFERROR(__xludf.DUMMYFUNCTION("""COMPUTED_VALUE"""),504)</f>
        <v>504</v>
      </c>
      <c r="K611" s="3"/>
      <c r="L611" s="3" t="str">
        <f ca="1">IFERROR(__xludf.DUMMYFUNCTION("""COMPUTED_VALUE"""),"Cost per period")</f>
        <v>Cost per period</v>
      </c>
      <c r="M611" s="3"/>
      <c r="N611" s="3"/>
      <c r="O611" s="3" t="str">
        <f ca="1">IFERROR(__xludf.DUMMYFUNCTION("""COMPUTED_VALUE"""),"2000")</f>
        <v>2000</v>
      </c>
      <c r="P611" s="3" t="str">
        <f ca="1">IFERROR(__xludf.DUMMYFUNCTION("""COMPUTED_VALUE"""),"1400")</f>
        <v>1400</v>
      </c>
      <c r="Q611" s="3" t="str">
        <f ca="1">IFERROR(__xludf.DUMMYFUNCTION("""COMPUTED_VALUE"""),"2000x1400 + 600x1080")</f>
        <v>2000x1400 + 600x1080</v>
      </c>
      <c r="R611" s="3"/>
      <c r="S611" s="3" t="str">
        <f ca="1">IFERROR(__xludf.DUMMYFUNCTION("""COMPUTED_VALUE"""),"500 (600 - HTLM5)")</f>
        <v>500 (600 - HTLM5)</v>
      </c>
      <c r="T611" s="3"/>
      <c r="U611" s="3" t="str">
        <f ca="1">IFERROR(__xludf.DUMMYFUNCTION("""COMPUTED_VALUE"""),"banner standard")</f>
        <v>banner standard</v>
      </c>
      <c r="V611" s="3"/>
      <c r="W611" s="4" t="str">
        <f ca="1">IFERROR(__xludf.DUMMYFUNCTION("""COMPUTED_VALUE"""),"https://reklama.cncenter.cz/Online/branding-cross-device")</f>
        <v>https://reklama.cncenter.cz/Online/branding-cross-device</v>
      </c>
      <c r="X611" s="3"/>
      <c r="Y611" s="3"/>
      <c r="Z611" s="3" t="str">
        <f ca="1">IFERROR(__xludf.DUMMYFUNCTION("""COMPUTED_VALUE"""),"podklady@cncenter.cz")</f>
        <v>podklady@cncenter.cz</v>
      </c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 t="str">
        <f ca="1">IFERROR(__xludf.DUMMYFUNCTION("""COMPUTED_VALUE"""),"cross-device")</f>
        <v>cross-device</v>
      </c>
      <c r="AO611" s="3"/>
      <c r="AP611" s="3"/>
      <c r="AQ611" s="3"/>
      <c r="AR611" s="3"/>
      <c r="AS611" s="3"/>
      <c r="AT611" s="3"/>
      <c r="AU611" s="3" t="str">
        <f ca="1">IFERROR(__xludf.DUMMYFUNCTION("""COMPUTED_VALUE"""),"cílený branding cross-device")</f>
        <v>cílený branding cross-device</v>
      </c>
    </row>
    <row r="612" spans="1:47" x14ac:dyDescent="0.3">
      <c r="A612" s="3">
        <f ca="1"/>
        <v>2346826</v>
      </c>
      <c r="B612" s="3" t="str">
        <f ca="1"/>
        <v>CZECH NEWS CENTER a. s.</v>
      </c>
      <c r="C612" s="3" t="str">
        <f ca="1">IFERROR(__xludf.DUMMYFUNCTION("""COMPUTED_VALUE"""),"Frekvence1")</f>
        <v>Frekvence1</v>
      </c>
      <c r="D612" s="4" t="str">
        <f ca="1">IFERROR(__xludf.DUMMYFUNCTION("""COMPUTED_VALUE"""),"https://frekvence1.cz")</f>
        <v>https://frekvence1.cz</v>
      </c>
      <c r="E612" s="3" t="str">
        <f ca="1">IFERROR(__xludf.DUMMYFUNCTION("""COMPUTED_VALUE"""),"celý web")</f>
        <v>celý web</v>
      </c>
      <c r="F612" s="4" t="str">
        <f ca="1">IFERROR(__xludf.DUMMYFUNCTION("""COMPUTED_VALUE"""),"https://frekvence1.cz")</f>
        <v>https://frekvence1.cz</v>
      </c>
      <c r="G612" s="3" t="str">
        <f ca="1">IFERROR(__xludf.DUMMYFUNCTION("""COMPUTED_VALUE"""),"cílený branding mid season")</f>
        <v>cílený branding mid season</v>
      </c>
      <c r="H612" s="3">
        <f ca="1">IFERROR(__xludf.DUMMYFUNCTION("""COMPUTED_VALUE"""),7)</f>
        <v>7</v>
      </c>
      <c r="I612" s="5">
        <f ca="1">IFERROR(__xludf.DUMMYFUNCTION("""COMPUTED_VALUE"""),1000)</f>
        <v>1000</v>
      </c>
      <c r="J612" s="5">
        <f ca="1">IFERROR(__xludf.DUMMYFUNCTION("""COMPUTED_VALUE"""),828)</f>
        <v>828</v>
      </c>
      <c r="K612" s="3"/>
      <c r="L612" s="3" t="str">
        <f ca="1">IFERROR(__xludf.DUMMYFUNCTION("""COMPUTED_VALUE"""),"Cost per period")</f>
        <v>Cost per period</v>
      </c>
      <c r="M612" s="3"/>
      <c r="N612" s="3"/>
      <c r="O612" s="3" t="str">
        <f ca="1">IFERROR(__xludf.DUMMYFUNCTION("""COMPUTED_VALUE"""),"2000")</f>
        <v>2000</v>
      </c>
      <c r="P612" s="3" t="str">
        <f ca="1">IFERROR(__xludf.DUMMYFUNCTION("""COMPUTED_VALUE"""),"1400")</f>
        <v>1400</v>
      </c>
      <c r="Q612" s="3" t="str">
        <f ca="1">IFERROR(__xludf.DUMMYFUNCTION("""COMPUTED_VALUE"""),"2000x1400")</f>
        <v>2000x1400</v>
      </c>
      <c r="R612" s="3"/>
      <c r="S612" s="3" t="str">
        <f ca="1">IFERROR(__xludf.DUMMYFUNCTION("""COMPUTED_VALUE"""),"500 + 200 (600+200 HTML5)")</f>
        <v>500 + 200 (600+200 HTML5)</v>
      </c>
      <c r="T612" s="3"/>
      <c r="U612" s="3" t="str">
        <f ca="1">IFERROR(__xludf.DUMMYFUNCTION("""COMPUTED_VALUE"""),"banner standard")</f>
        <v>banner standard</v>
      </c>
      <c r="V612" s="3"/>
      <c r="W612" s="4" t="str">
        <f ca="1">IFERROR(__xludf.DUMMYFUNCTION("""COMPUTED_VALUE"""),"https://reklama.cncenter.cz/Online/branding")</f>
        <v>https://reklama.cncenter.cz/Online/branding</v>
      </c>
      <c r="X612" s="3"/>
      <c r="Y612" s="3"/>
      <c r="Z612" s="3" t="str">
        <f ca="1">IFERROR(__xludf.DUMMYFUNCTION("""COMPUTED_VALUE"""),"podklady@cncenter.cz")</f>
        <v>podklady@cncenter.cz</v>
      </c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 t="str">
        <f ca="1">IFERROR(__xludf.DUMMYFUNCTION("""COMPUTED_VALUE"""),"desktop")</f>
        <v>desktop</v>
      </c>
      <c r="AO612" s="3"/>
      <c r="AP612" s="3"/>
      <c r="AQ612" s="3"/>
      <c r="AR612" s="3"/>
      <c r="AS612" s="3"/>
      <c r="AT612" s="3"/>
      <c r="AU612" s="3" t="str">
        <f ca="1">IFERROR(__xludf.DUMMYFUNCTION("""COMPUTED_VALUE"""),"cílený branding")</f>
        <v>cílený branding</v>
      </c>
    </row>
    <row r="613" spans="1:47" x14ac:dyDescent="0.3">
      <c r="A613" s="3">
        <f ca="1"/>
        <v>2346826</v>
      </c>
      <c r="B613" s="3" t="str">
        <f ca="1"/>
        <v>CZECH NEWS CENTER a. s.</v>
      </c>
      <c r="C613" s="3" t="str">
        <f ca="1">IFERROR(__xludf.DUMMYFUNCTION("""COMPUTED_VALUE"""),"Frekvence1")</f>
        <v>Frekvence1</v>
      </c>
      <c r="D613" s="4" t="str">
        <f ca="1">IFERROR(__xludf.DUMMYFUNCTION("""COMPUTED_VALUE"""),"https://frekvence1.cz")</f>
        <v>https://frekvence1.cz</v>
      </c>
      <c r="E613" s="3" t="str">
        <f ca="1">IFERROR(__xludf.DUMMYFUNCTION("""COMPUTED_VALUE"""),"celý web")</f>
        <v>celý web</v>
      </c>
      <c r="F613" s="4" t="str">
        <f ca="1">IFERROR(__xludf.DUMMYFUNCTION("""COMPUTED_VALUE"""),"https://frekvence1.cz")</f>
        <v>https://frekvence1.cz</v>
      </c>
      <c r="G613" s="3" t="str">
        <f ca="1">IFERROR(__xludf.DUMMYFUNCTION("""COMPUTED_VALUE"""),"cílený double skyscraper mid season")</f>
        <v>cílený double skyscraper mid season</v>
      </c>
      <c r="H613" s="3">
        <f ca="1">IFERROR(__xludf.DUMMYFUNCTION("""COMPUTED_VALUE"""),7)</f>
        <v>7</v>
      </c>
      <c r="I613" s="5">
        <f ca="1">IFERROR(__xludf.DUMMYFUNCTION("""COMPUTED_VALUE"""),1000)</f>
        <v>1000</v>
      </c>
      <c r="J613" s="5">
        <f ca="1">IFERROR(__xludf.DUMMYFUNCTION("""COMPUTED_VALUE"""),324)</f>
        <v>324</v>
      </c>
      <c r="K613" s="3"/>
      <c r="L613" s="3" t="str">
        <f ca="1">IFERROR(__xludf.DUMMYFUNCTION("""COMPUTED_VALUE"""),"Cost per period")</f>
        <v>Cost per period</v>
      </c>
      <c r="M613" s="3"/>
      <c r="N613" s="3"/>
      <c r="O613" s="3" t="str">
        <f ca="1">IFERROR(__xludf.DUMMYFUNCTION("""COMPUTED_VALUE"""),"300")</f>
        <v>300</v>
      </c>
      <c r="P613" s="3" t="str">
        <f ca="1">IFERROR(__xludf.DUMMYFUNCTION("""COMPUTED_VALUE"""),"600")</f>
        <v>600</v>
      </c>
      <c r="Q613" s="3" t="str">
        <f ca="1">IFERROR(__xludf.DUMMYFUNCTION("""COMPUTED_VALUE"""),"300x600")</f>
        <v>300x600</v>
      </c>
      <c r="R613" s="3"/>
      <c r="S613" s="3" t="str">
        <f ca="1">IFERROR(__xludf.DUMMYFUNCTION("""COMPUTED_VALUE"""),"100 (200 - HTML5)")</f>
        <v>100 (200 - HTML5)</v>
      </c>
      <c r="T613" s="3"/>
      <c r="U613" s="3" t="str">
        <f ca="1">IFERROR(__xludf.DUMMYFUNCTION("""COMPUTED_VALUE"""),"banner standard")</f>
        <v>banner standard</v>
      </c>
      <c r="V613" s="3"/>
      <c r="W613" s="4" t="str">
        <f ca="1">IFERROR(__xludf.DUMMYFUNCTION("""COMPUTED_VALUE"""),"https://reklama.cncenter.cz/Online/double-skyscraper")</f>
        <v>https://reklama.cncenter.cz/Online/double-skyscraper</v>
      </c>
      <c r="X613" s="3"/>
      <c r="Y613" s="3"/>
      <c r="Z613" s="3" t="str">
        <f ca="1">IFERROR(__xludf.DUMMYFUNCTION("""COMPUTED_VALUE"""),"podklady@cncenter.cz")</f>
        <v>podklady@cncenter.cz</v>
      </c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 t="str">
        <f ca="1">IFERROR(__xludf.DUMMYFUNCTION("""COMPUTED_VALUE"""),"desktop")</f>
        <v>desktop</v>
      </c>
      <c r="AO613" s="3"/>
      <c r="AP613" s="3"/>
      <c r="AQ613" s="3"/>
      <c r="AR613" s="3"/>
      <c r="AS613" s="3"/>
      <c r="AT613" s="3"/>
      <c r="AU613" s="3" t="str">
        <f ca="1">IFERROR(__xludf.DUMMYFUNCTION("""COMPUTED_VALUE"""),"cílený double skyscraper")</f>
        <v>cílený double skyscraper</v>
      </c>
    </row>
    <row r="614" spans="1:47" x14ac:dyDescent="0.3">
      <c r="A614" s="3">
        <f ca="1"/>
        <v>2346826</v>
      </c>
      <c r="B614" s="3" t="str">
        <f ca="1"/>
        <v>CZECH NEWS CENTER a. s.</v>
      </c>
      <c r="C614" s="3" t="str">
        <f ca="1">IFERROR(__xludf.DUMMYFUNCTION("""COMPUTED_VALUE"""),"Frekvence1")</f>
        <v>Frekvence1</v>
      </c>
      <c r="D614" s="4" t="str">
        <f ca="1">IFERROR(__xludf.DUMMYFUNCTION("""COMPUTED_VALUE"""),"https://frekvence1.cz")</f>
        <v>https://frekvence1.cz</v>
      </c>
      <c r="E614" s="3" t="str">
        <f ca="1">IFERROR(__xludf.DUMMYFUNCTION("""COMPUTED_VALUE"""),"celý web")</f>
        <v>celý web</v>
      </c>
      <c r="F614" s="4" t="str">
        <f ca="1">IFERROR(__xludf.DUMMYFUNCTION("""COMPUTED_VALUE"""),"https://frekvence1.cz")</f>
        <v>https://frekvence1.cz</v>
      </c>
      <c r="G614" s="3" t="str">
        <f ca="1">IFERROR(__xludf.DUMMYFUNCTION("""COMPUTED_VALUE"""),"cílený mobilní interscroller mid season")</f>
        <v>cílený mobilní interscroller mid season</v>
      </c>
      <c r="H614" s="3">
        <f ca="1">IFERROR(__xludf.DUMMYFUNCTION("""COMPUTED_VALUE"""),7)</f>
        <v>7</v>
      </c>
      <c r="I614" s="5">
        <f ca="1">IFERROR(__xludf.DUMMYFUNCTION("""COMPUTED_VALUE"""),1000)</f>
        <v>1000</v>
      </c>
      <c r="J614" s="5">
        <f ca="1">IFERROR(__xludf.DUMMYFUNCTION("""COMPUTED_VALUE"""),420)</f>
        <v>420</v>
      </c>
      <c r="K614" s="3"/>
      <c r="L614" s="3" t="str">
        <f ca="1">IFERROR(__xludf.DUMMYFUNCTION("""COMPUTED_VALUE"""),"Cost per period")</f>
        <v>Cost per period</v>
      </c>
      <c r="M614" s="3"/>
      <c r="N614" s="3"/>
      <c r="O614" s="3" t="str">
        <f ca="1">IFERROR(__xludf.DUMMYFUNCTION("""COMPUTED_VALUE"""),"600")</f>
        <v>600</v>
      </c>
      <c r="P614" s="3" t="str">
        <f ca="1">IFERROR(__xludf.DUMMYFUNCTION("""COMPUTED_VALUE"""),"1080")</f>
        <v>1080</v>
      </c>
      <c r="Q614" s="3" t="str">
        <f ca="1">IFERROR(__xludf.DUMMYFUNCTION("""COMPUTED_VALUE"""),"600x1080")</f>
        <v>600x1080</v>
      </c>
      <c r="R614" s="3"/>
      <c r="S614" s="3" t="str">
        <f ca="1">IFERROR(__xludf.DUMMYFUNCTION("""COMPUTED_VALUE"""),"200")</f>
        <v>200</v>
      </c>
      <c r="T614" s="3"/>
      <c r="U614" s="3" t="str">
        <f ca="1">IFERROR(__xludf.DUMMYFUNCTION("""COMPUTED_VALUE"""),"banner standard")</f>
        <v>banner standard</v>
      </c>
      <c r="V614" s="3"/>
      <c r="W614" s="4" t="str">
        <f ca="1">IFERROR(__xludf.DUMMYFUNCTION("""COMPUTED_VALUE"""),"https://reklama.cncenter.cz/Online/mobilni-interscroller")</f>
        <v>https://reklama.cncenter.cz/Online/mobilni-interscroller</v>
      </c>
      <c r="X614" s="3"/>
      <c r="Y614" s="3"/>
      <c r="Z614" s="3" t="str">
        <f ca="1">IFERROR(__xludf.DUMMYFUNCTION("""COMPUTED_VALUE"""),"podklady@cncenter.cz")</f>
        <v>podklady@cncenter.cz</v>
      </c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 t="str">
        <f ca="1">IFERROR(__xludf.DUMMYFUNCTION("""COMPUTED_VALUE"""),"mobile")</f>
        <v>mobile</v>
      </c>
      <c r="AO614" s="3"/>
      <c r="AP614" s="3"/>
      <c r="AQ614" s="3"/>
      <c r="AR614" s="3"/>
      <c r="AS614" s="3"/>
      <c r="AT614" s="3"/>
      <c r="AU614" s="3" t="str">
        <f ca="1">IFERROR(__xludf.DUMMYFUNCTION("""COMPUTED_VALUE"""),"cílený mobilní interscroller")</f>
        <v>cílený mobilní interscroller</v>
      </c>
    </row>
    <row r="615" spans="1:47" x14ac:dyDescent="0.3">
      <c r="A615" s="3">
        <f ca="1"/>
        <v>2346826</v>
      </c>
      <c r="B615" s="3" t="str">
        <f ca="1"/>
        <v>CZECH NEWS CENTER a. s.</v>
      </c>
      <c r="C615" s="3" t="str">
        <f ca="1">IFERROR(__xludf.DUMMYFUNCTION("""COMPUTED_VALUE"""),"Frekvence1")</f>
        <v>Frekvence1</v>
      </c>
      <c r="D615" s="4" t="str">
        <f ca="1">IFERROR(__xludf.DUMMYFUNCTION("""COMPUTED_VALUE"""),"https://frekvence1.cz")</f>
        <v>https://frekvence1.cz</v>
      </c>
      <c r="E615" s="3" t="str">
        <f ca="1">IFERROR(__xludf.DUMMYFUNCTION("""COMPUTED_VALUE"""),"celý web")</f>
        <v>celý web</v>
      </c>
      <c r="F615" s="4" t="str">
        <f ca="1">IFERROR(__xludf.DUMMYFUNCTION("""COMPUTED_VALUE"""),"https://frekvence1.cz")</f>
        <v>https://frekvence1.cz</v>
      </c>
      <c r="G615" s="3" t="str">
        <f ca="1">IFERROR(__xludf.DUMMYFUNCTION("""COMPUTED_VALUE"""),"cílený mobilní slide-up mid season")</f>
        <v>cílený mobilní slide-up mid season</v>
      </c>
      <c r="H615" s="3">
        <f ca="1">IFERROR(__xludf.DUMMYFUNCTION("""COMPUTED_VALUE"""),7)</f>
        <v>7</v>
      </c>
      <c r="I615" s="5">
        <f ca="1">IFERROR(__xludf.DUMMYFUNCTION("""COMPUTED_VALUE"""),1000)</f>
        <v>1000</v>
      </c>
      <c r="J615" s="5">
        <f ca="1">IFERROR(__xludf.DUMMYFUNCTION("""COMPUTED_VALUE"""),864)</f>
        <v>864</v>
      </c>
      <c r="K615" s="3"/>
      <c r="L615" s="3" t="str">
        <f ca="1">IFERROR(__xludf.DUMMYFUNCTION("""COMPUTED_VALUE"""),"Cost per period")</f>
        <v>Cost per period</v>
      </c>
      <c r="M615" s="3"/>
      <c r="N615" s="3"/>
      <c r="O615" s="3" t="str">
        <f ca="1">IFERROR(__xludf.DUMMYFUNCTION("""COMPUTED_VALUE"""),"300")</f>
        <v>300</v>
      </c>
      <c r="P615" s="3" t="str">
        <f ca="1">IFERROR(__xludf.DUMMYFUNCTION("""COMPUTED_VALUE"""),"120")</f>
        <v>120</v>
      </c>
      <c r="Q615" s="3" t="str">
        <f ca="1">IFERROR(__xludf.DUMMYFUNCTION("""COMPUTED_VALUE"""),"300x120")</f>
        <v>300x120</v>
      </c>
      <c r="R615" s="3"/>
      <c r="S615" s="3" t="str">
        <f ca="1">IFERROR(__xludf.DUMMYFUNCTION("""COMPUTED_VALUE"""),"100")</f>
        <v>100</v>
      </c>
      <c r="T615" s="3"/>
      <c r="U615" s="3" t="str">
        <f ca="1">IFERROR(__xludf.DUMMYFUNCTION("""COMPUTED_VALUE"""),"banner standard")</f>
        <v>banner standard</v>
      </c>
      <c r="V615" s="3"/>
      <c r="W615" s="4" t="str">
        <f ca="1">IFERROR(__xludf.DUMMYFUNCTION("""COMPUTED_VALUE"""),"https://reklama.cncenter.cz/Online/mobilni-slide-up")</f>
        <v>https://reklama.cncenter.cz/Online/mobilni-slide-up</v>
      </c>
      <c r="X615" s="3"/>
      <c r="Y615" s="3"/>
      <c r="Z615" s="3" t="str">
        <f ca="1">IFERROR(__xludf.DUMMYFUNCTION("""COMPUTED_VALUE"""),"podklady@cncenter.cz")</f>
        <v>podklady@cncenter.cz</v>
      </c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 t="str">
        <f ca="1">IFERROR(__xludf.DUMMYFUNCTION("""COMPUTED_VALUE"""),"mobile")</f>
        <v>mobile</v>
      </c>
      <c r="AO615" s="3"/>
      <c r="AP615" s="3"/>
      <c r="AQ615" s="3"/>
      <c r="AR615" s="3"/>
      <c r="AS615" s="3"/>
      <c r="AT615" s="3"/>
      <c r="AU615" s="3" t="str">
        <f ca="1">IFERROR(__xludf.DUMMYFUNCTION("""COMPUTED_VALUE"""),"cílený mobilní slide-up")</f>
        <v>cílený mobilní slide-up</v>
      </c>
    </row>
    <row r="616" spans="1:47" x14ac:dyDescent="0.3">
      <c r="A616" s="3">
        <f ca="1"/>
        <v>2346826</v>
      </c>
      <c r="B616" s="3" t="str">
        <f ca="1"/>
        <v>CZECH NEWS CENTER a. s.</v>
      </c>
      <c r="C616" s="3" t="str">
        <f ca="1">IFERROR(__xludf.DUMMYFUNCTION("""COMPUTED_VALUE"""),"Frekvence1")</f>
        <v>Frekvence1</v>
      </c>
      <c r="D616" s="4" t="str">
        <f ca="1">IFERROR(__xludf.DUMMYFUNCTION("""COMPUTED_VALUE"""),"https://frekvence1.cz")</f>
        <v>https://frekvence1.cz</v>
      </c>
      <c r="E616" s="3" t="str">
        <f ca="1">IFERROR(__xludf.DUMMYFUNCTION("""COMPUTED_VALUE"""),"celý web")</f>
        <v>celý web</v>
      </c>
      <c r="F616" s="4" t="str">
        <f ca="1">IFERROR(__xludf.DUMMYFUNCTION("""COMPUTED_VALUE"""),"https://frekvence1.cz")</f>
        <v>https://frekvence1.cz</v>
      </c>
      <c r="G616" s="3" t="str">
        <f ca="1">IFERROR(__xludf.DUMMYFUNCTION("""COMPUTED_VALUE"""),"cílený mobilní viněta mid season")</f>
        <v>cílený mobilní viněta mid season</v>
      </c>
      <c r="H616" s="3">
        <f ca="1">IFERROR(__xludf.DUMMYFUNCTION("""COMPUTED_VALUE"""),7)</f>
        <v>7</v>
      </c>
      <c r="I616" s="5">
        <f ca="1">IFERROR(__xludf.DUMMYFUNCTION("""COMPUTED_VALUE"""),1000)</f>
        <v>1000</v>
      </c>
      <c r="J616" s="5">
        <f ca="1">IFERROR(__xludf.DUMMYFUNCTION("""COMPUTED_VALUE"""),1488)</f>
        <v>1488</v>
      </c>
      <c r="K616" s="3"/>
      <c r="L616" s="3" t="str">
        <f ca="1">IFERROR(__xludf.DUMMYFUNCTION("""COMPUTED_VALUE"""),"Cost per period")</f>
        <v>Cost per period</v>
      </c>
      <c r="M616" s="3"/>
      <c r="N616" s="3"/>
      <c r="O616" s="3" t="str">
        <f ca="1">IFERROR(__xludf.DUMMYFUNCTION("""COMPUTED_VALUE"""),"600")</f>
        <v>600</v>
      </c>
      <c r="P616" s="3" t="str">
        <f ca="1">IFERROR(__xludf.DUMMYFUNCTION("""COMPUTED_VALUE"""),"800")</f>
        <v>800</v>
      </c>
      <c r="Q616" s="3" t="str">
        <f ca="1">IFERROR(__xludf.DUMMYFUNCTION("""COMPUTED_VALUE"""),"300x250 nebo 600x800")</f>
        <v>300x250 nebo 600x800</v>
      </c>
      <c r="R616" s="3"/>
      <c r="S616" s="3" t="str">
        <f ca="1">IFERROR(__xludf.DUMMYFUNCTION("""COMPUTED_VALUE"""),"100")</f>
        <v>100</v>
      </c>
      <c r="T616" s="3"/>
      <c r="U616" s="3" t="str">
        <f ca="1">IFERROR(__xludf.DUMMYFUNCTION("""COMPUTED_VALUE"""),"banner standard")</f>
        <v>banner standard</v>
      </c>
      <c r="V616" s="3"/>
      <c r="W616" s="4" t="str">
        <f ca="1">IFERROR(__xludf.DUMMYFUNCTION("""COMPUTED_VALUE"""),"https://reklama.cncenter.cz/Online/mobilni-vineta")</f>
        <v>https://reklama.cncenter.cz/Online/mobilni-vineta</v>
      </c>
      <c r="X616" s="3"/>
      <c r="Y616" s="3"/>
      <c r="Z616" s="3" t="str">
        <f ca="1">IFERROR(__xludf.DUMMYFUNCTION("""COMPUTED_VALUE"""),"podklady@cncenter.cz")</f>
        <v>podklady@cncenter.cz</v>
      </c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 t="str">
        <f ca="1">IFERROR(__xludf.DUMMYFUNCTION("""COMPUTED_VALUE"""),"mobile")</f>
        <v>mobile</v>
      </c>
      <c r="AO616" s="3"/>
      <c r="AP616" s="3"/>
      <c r="AQ616" s="3"/>
      <c r="AR616" s="3"/>
      <c r="AS616" s="3"/>
      <c r="AT616" s="3"/>
      <c r="AU616" s="3" t="str">
        <f ca="1">IFERROR(__xludf.DUMMYFUNCTION("""COMPUTED_VALUE"""),"cílený mobilní viněta")</f>
        <v>cílený mobilní viněta</v>
      </c>
    </row>
    <row r="617" spans="1:47" x14ac:dyDescent="0.3">
      <c r="A617" s="3">
        <f ca="1"/>
        <v>2346826</v>
      </c>
      <c r="B617" s="3" t="str">
        <f ca="1"/>
        <v>CZECH NEWS CENTER a. s.</v>
      </c>
      <c r="C617" s="3" t="str">
        <f ca="1">IFERROR(__xludf.DUMMYFUNCTION("""COMPUTED_VALUE"""),"Frekvence1")</f>
        <v>Frekvence1</v>
      </c>
      <c r="D617" s="4" t="str">
        <f ca="1">IFERROR(__xludf.DUMMYFUNCTION("""COMPUTED_VALUE"""),"https://frekvence1.cz")</f>
        <v>https://frekvence1.cz</v>
      </c>
      <c r="E617" s="3" t="str">
        <f ca="1">IFERROR(__xludf.DUMMYFUNCTION("""COMPUTED_VALUE"""),"celý web")</f>
        <v>celý web</v>
      </c>
      <c r="F617" s="4" t="str">
        <f ca="1">IFERROR(__xludf.DUMMYFUNCTION("""COMPUTED_VALUE"""),"https://frekvence1.cz")</f>
        <v>https://frekvence1.cz</v>
      </c>
      <c r="G617" s="3" t="str">
        <f ca="1">IFERROR(__xludf.DUMMYFUNCTION("""COMPUTED_VALUE"""),"cílený nativní rectangle cross-device mid season")</f>
        <v>cílený nativní rectangle cross-device mid season</v>
      </c>
      <c r="H617" s="3">
        <f ca="1">IFERROR(__xludf.DUMMYFUNCTION("""COMPUTED_VALUE"""),7)</f>
        <v>7</v>
      </c>
      <c r="I617" s="5">
        <f ca="1">IFERROR(__xludf.DUMMYFUNCTION("""COMPUTED_VALUE"""),1000)</f>
        <v>1000</v>
      </c>
      <c r="J617" s="5">
        <f ca="1">IFERROR(__xludf.DUMMYFUNCTION("""COMPUTED_VALUE"""),336)</f>
        <v>336</v>
      </c>
      <c r="K617" s="3"/>
      <c r="L617" s="3" t="str">
        <f ca="1">IFERROR(__xludf.DUMMYFUNCTION("""COMPUTED_VALUE"""),"Cost per period")</f>
        <v>Cost per period</v>
      </c>
      <c r="M617" s="3"/>
      <c r="N617" s="3"/>
      <c r="O617" s="3" t="str">
        <f ca="1">IFERROR(__xludf.DUMMYFUNCTION("""COMPUTED_VALUE"""),"640")</f>
        <v>640</v>
      </c>
      <c r="P617" s="3" t="str">
        <f ca="1">IFERROR(__xludf.DUMMYFUNCTION("""COMPUTED_VALUE"""),"335, 640")</f>
        <v>335, 640</v>
      </c>
      <c r="Q617" s="3" t="str">
        <f ca="1">IFERROR(__xludf.DUMMYFUNCTION("""COMPUTED_VALUE"""),"640x640 a 640x335 + text + logo")</f>
        <v>640x640 a 640x335 + text + logo</v>
      </c>
      <c r="R617" s="3"/>
      <c r="S617" s="3" t="str">
        <f ca="1">IFERROR(__xludf.DUMMYFUNCTION("""COMPUTED_VALUE"""),"45")</f>
        <v>45</v>
      </c>
      <c r="T617" s="3"/>
      <c r="U617" s="3" t="str">
        <f ca="1">IFERROR(__xludf.DUMMYFUNCTION("""COMPUTED_VALUE"""),"nativní reklama")</f>
        <v>nativní reklama</v>
      </c>
      <c r="V617" s="3"/>
      <c r="W617" s="4" t="str">
        <f ca="1">IFERROR(__xludf.DUMMYFUNCTION("""COMPUTED_VALUE"""),"https://reklama.cncenter.cz/Online/nativni-rectangle-cross-device")</f>
        <v>https://reklama.cncenter.cz/Online/nativni-rectangle-cross-device</v>
      </c>
      <c r="X617" s="3"/>
      <c r="Y617" s="3"/>
      <c r="Z617" s="3" t="str">
        <f ca="1">IFERROR(__xludf.DUMMYFUNCTION("""COMPUTED_VALUE"""),"podklady@cncenter.cz")</f>
        <v>podklady@cncenter.cz</v>
      </c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 t="str">
        <f ca="1">IFERROR(__xludf.DUMMYFUNCTION("""COMPUTED_VALUE"""),"cross-device")</f>
        <v>cross-device</v>
      </c>
      <c r="AO617" s="3"/>
      <c r="AP617" s="3"/>
      <c r="AQ617" s="3"/>
      <c r="AR617" s="3"/>
      <c r="AS617" s="3"/>
      <c r="AT617" s="3"/>
      <c r="AU617" s="3" t="str">
        <f ca="1">IFERROR(__xludf.DUMMYFUNCTION("""COMPUTED_VALUE"""),"cílený nativní rectangle cross-device")</f>
        <v>cílený nativní rectangle cross-device</v>
      </c>
    </row>
    <row r="618" spans="1:47" x14ac:dyDescent="0.3">
      <c r="A618" s="3">
        <f ca="1"/>
        <v>2346826</v>
      </c>
      <c r="B618" s="3" t="str">
        <f ca="1"/>
        <v>CZECH NEWS CENTER a. s.</v>
      </c>
      <c r="C618" s="3" t="str">
        <f ca="1">IFERROR(__xludf.DUMMYFUNCTION("""COMPUTED_VALUE"""),"Frekvence1")</f>
        <v>Frekvence1</v>
      </c>
      <c r="D618" s="4" t="str">
        <f ca="1">IFERROR(__xludf.DUMMYFUNCTION("""COMPUTED_VALUE"""),"https://frekvence1.cz")</f>
        <v>https://frekvence1.cz</v>
      </c>
      <c r="E618" s="3" t="str">
        <f ca="1">IFERROR(__xludf.DUMMYFUNCTION("""COMPUTED_VALUE"""),"celý web")</f>
        <v>celý web</v>
      </c>
      <c r="F618" s="4" t="str">
        <f ca="1">IFERROR(__xludf.DUMMYFUNCTION("""COMPUTED_VALUE"""),"https://frekvence1.cz")</f>
        <v>https://frekvence1.cz</v>
      </c>
      <c r="G618" s="3" t="str">
        <f ca="1">IFERROR(__xludf.DUMMYFUNCTION("""COMPUTED_VALUE"""),"cílený videospot - max. 30 sec. / bumper mid season")</f>
        <v>cílený videospot - max. 30 sec. / bumper mid season</v>
      </c>
      <c r="H618" s="3">
        <f ca="1">IFERROR(__xludf.DUMMYFUNCTION("""COMPUTED_VALUE"""),7)</f>
        <v>7</v>
      </c>
      <c r="I618" s="5">
        <f ca="1">IFERROR(__xludf.DUMMYFUNCTION("""COMPUTED_VALUE"""),1000)</f>
        <v>1000</v>
      </c>
      <c r="J618" s="5">
        <f ca="1">IFERROR(__xludf.DUMMYFUNCTION("""COMPUTED_VALUE"""),1248)</f>
        <v>1248</v>
      </c>
      <c r="K618" s="3"/>
      <c r="L618" s="3" t="str">
        <f ca="1">IFERROR(__xludf.DUMMYFUNCTION("""COMPUTED_VALUE"""),"Cost per period")</f>
        <v>Cost per period</v>
      </c>
      <c r="M618" s="3"/>
      <c r="N618" s="3"/>
      <c r="O618" s="3" t="str">
        <f ca="1">IFERROR(__xludf.DUMMYFUNCTION("""COMPUTED_VALUE"""),"1280")</f>
        <v>1280</v>
      </c>
      <c r="P618" s="3" t="str">
        <f ca="1">IFERROR(__xludf.DUMMYFUNCTION("""COMPUTED_VALUE"""),"720")</f>
        <v>720</v>
      </c>
      <c r="Q618" s="3" t="str">
        <f ca="1">IFERROR(__xludf.DUMMYFUNCTION("""COMPUTED_VALUE"""),"16:9 / umístění po domluvě dle možností")</f>
        <v>16:9 / umístění po domluvě dle možností</v>
      </c>
      <c r="R618" s="3" t="str">
        <f ca="1">IFERROR(__xludf.DUMMYFUNCTION("""COMPUTED_VALUE"""),"přeskočení po 7 sekundách")</f>
        <v>přeskočení po 7 sekundách</v>
      </c>
      <c r="S618" s="3" t="str">
        <f ca="1">IFERROR(__xludf.DUMMYFUNCTION("""COMPUTED_VALUE"""),"100")</f>
        <v>100</v>
      </c>
      <c r="T618" s="3"/>
      <c r="U618" s="3" t="str">
        <f ca="1">IFERROR(__xludf.DUMMYFUNCTION("""COMPUTED_VALUE"""),"videospot")</f>
        <v>videospot</v>
      </c>
      <c r="V618" s="3"/>
      <c r="W618" s="4" t="str">
        <f ca="1">IFERROR(__xludf.DUMMYFUNCTION("""COMPUTED_VALUE"""),"https://reklama.cncenter.cz/Online/Bumper")</f>
        <v>https://reklama.cncenter.cz/Online/Bumper</v>
      </c>
      <c r="X618" s="3"/>
      <c r="Y618" s="3"/>
      <c r="Z618" s="3" t="str">
        <f ca="1">IFERROR(__xludf.DUMMYFUNCTION("""COMPUTED_VALUE"""),"podklady@cncenter.cz")</f>
        <v>podklady@cncenter.cz</v>
      </c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 t="str">
        <f ca="1">IFERROR(__xludf.DUMMYFUNCTION("""COMPUTED_VALUE"""),"cross-device")</f>
        <v>cross-device</v>
      </c>
      <c r="AO618" s="3"/>
      <c r="AP618" s="3"/>
      <c r="AQ618" s="3"/>
      <c r="AR618" s="3"/>
      <c r="AS618" s="3"/>
      <c r="AT618" s="3"/>
      <c r="AU618" s="3" t="str">
        <f ca="1">IFERROR(__xludf.DUMMYFUNCTION("""COMPUTED_VALUE"""),"cílený videospot - max. 30 sec. / bumper")</f>
        <v>cílený videospot - max. 30 sec. / bumper</v>
      </c>
    </row>
    <row r="619" spans="1:47" x14ac:dyDescent="0.3">
      <c r="A619" s="3">
        <f ca="1"/>
        <v>2346826</v>
      </c>
      <c r="B619" s="3" t="str">
        <f ca="1"/>
        <v>CZECH NEWS CENTER a. s.</v>
      </c>
      <c r="C619" s="3" t="str">
        <f ca="1">IFERROR(__xludf.DUMMYFUNCTION("""COMPUTED_VALUE"""),"Frekvence1")</f>
        <v>Frekvence1</v>
      </c>
      <c r="D619" s="4" t="str">
        <f ca="1">IFERROR(__xludf.DUMMYFUNCTION("""COMPUTED_VALUE"""),"https://frekvence1.cz")</f>
        <v>https://frekvence1.cz</v>
      </c>
      <c r="E619" s="3" t="str">
        <f ca="1">IFERROR(__xludf.DUMMYFUNCTION("""COMPUTED_VALUE"""),"celý web")</f>
        <v>celý web</v>
      </c>
      <c r="F619" s="4" t="str">
        <f ca="1">IFERROR(__xludf.DUMMYFUNCTION("""COMPUTED_VALUE"""),"https://frekvence1.cz")</f>
        <v>https://frekvence1.cz</v>
      </c>
      <c r="G619" s="3" t="str">
        <f ca="1">IFERROR(__xludf.DUMMYFUNCTION("""COMPUTED_VALUE"""),"double skyscraper mid season")</f>
        <v>double skyscraper mid season</v>
      </c>
      <c r="H619" s="3">
        <f ca="1">IFERROR(__xludf.DUMMYFUNCTION("""COMPUTED_VALUE"""),7)</f>
        <v>7</v>
      </c>
      <c r="I619" s="5">
        <f ca="1">IFERROR(__xludf.DUMMYFUNCTION("""COMPUTED_VALUE"""),1000)</f>
        <v>1000</v>
      </c>
      <c r="J619" s="5">
        <f ca="1">IFERROR(__xludf.DUMMYFUNCTION("""COMPUTED_VALUE"""),270)</f>
        <v>270</v>
      </c>
      <c r="K619" s="3"/>
      <c r="L619" s="3" t="str">
        <f ca="1">IFERROR(__xludf.DUMMYFUNCTION("""COMPUTED_VALUE"""),"Cost per period")</f>
        <v>Cost per period</v>
      </c>
      <c r="M619" s="3"/>
      <c r="N619" s="3"/>
      <c r="O619" s="3" t="str">
        <f ca="1">IFERROR(__xludf.DUMMYFUNCTION("""COMPUTED_VALUE"""),"300")</f>
        <v>300</v>
      </c>
      <c r="P619" s="3" t="str">
        <f ca="1">IFERROR(__xludf.DUMMYFUNCTION("""COMPUTED_VALUE"""),"600")</f>
        <v>600</v>
      </c>
      <c r="Q619" s="3" t="str">
        <f ca="1">IFERROR(__xludf.DUMMYFUNCTION("""COMPUTED_VALUE"""),"300x600")</f>
        <v>300x600</v>
      </c>
      <c r="R619" s="3"/>
      <c r="S619" s="3" t="str">
        <f ca="1">IFERROR(__xludf.DUMMYFUNCTION("""COMPUTED_VALUE"""),"100 (200 - HTML5)")</f>
        <v>100 (200 - HTML5)</v>
      </c>
      <c r="T619" s="3"/>
      <c r="U619" s="3" t="str">
        <f ca="1">IFERROR(__xludf.DUMMYFUNCTION("""COMPUTED_VALUE"""),"banner standard")</f>
        <v>banner standard</v>
      </c>
      <c r="V619" s="3"/>
      <c r="W619" s="4" t="str">
        <f ca="1">IFERROR(__xludf.DUMMYFUNCTION("""COMPUTED_VALUE"""),"https://reklama.cncenter.cz/Online/double-skyscraper")</f>
        <v>https://reklama.cncenter.cz/Online/double-skyscraper</v>
      </c>
      <c r="X619" s="3"/>
      <c r="Y619" s="3"/>
      <c r="Z619" s="3" t="str">
        <f ca="1">IFERROR(__xludf.DUMMYFUNCTION("""COMPUTED_VALUE"""),"podklady@cncenter.cz")</f>
        <v>podklady@cncenter.cz</v>
      </c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 t="str">
        <f ca="1">IFERROR(__xludf.DUMMYFUNCTION("""COMPUTED_VALUE"""),"desktop")</f>
        <v>desktop</v>
      </c>
      <c r="AO619" s="3"/>
      <c r="AP619" s="3"/>
      <c r="AQ619" s="3"/>
      <c r="AR619" s="3"/>
      <c r="AS619" s="3"/>
      <c r="AT619" s="3"/>
      <c r="AU619" s="3" t="str">
        <f ca="1">IFERROR(__xludf.DUMMYFUNCTION("""COMPUTED_VALUE"""),"double skyscraper")</f>
        <v>double skyscraper</v>
      </c>
    </row>
    <row r="620" spans="1:47" x14ac:dyDescent="0.3">
      <c r="A620" s="3">
        <f ca="1"/>
        <v>2346826</v>
      </c>
      <c r="B620" s="3" t="str">
        <f ca="1"/>
        <v>CZECH NEWS CENTER a. s.</v>
      </c>
      <c r="C620" s="3" t="str">
        <f ca="1">IFERROR(__xludf.DUMMYFUNCTION("""COMPUTED_VALUE"""),"Frekvence1")</f>
        <v>Frekvence1</v>
      </c>
      <c r="D620" s="4" t="str">
        <f ca="1">IFERROR(__xludf.DUMMYFUNCTION("""COMPUTED_VALUE"""),"https://frekvence1.cz")</f>
        <v>https://frekvence1.cz</v>
      </c>
      <c r="E620" s="3" t="str">
        <f ca="1">IFERROR(__xludf.DUMMYFUNCTION("""COMPUTED_VALUE"""),"celý web")</f>
        <v>celý web</v>
      </c>
      <c r="F620" s="4" t="str">
        <f ca="1">IFERROR(__xludf.DUMMYFUNCTION("""COMPUTED_VALUE"""),"https://frekvence1.cz")</f>
        <v>https://frekvence1.cz</v>
      </c>
      <c r="G620" s="3" t="str">
        <f ca="1">IFERROR(__xludf.DUMMYFUNCTION("""COMPUTED_VALUE"""),"mobilní interscroller mid season")</f>
        <v>mobilní interscroller mid season</v>
      </c>
      <c r="H620" s="3">
        <f ca="1">IFERROR(__xludf.DUMMYFUNCTION("""COMPUTED_VALUE"""),7)</f>
        <v>7</v>
      </c>
      <c r="I620" s="5">
        <f ca="1">IFERROR(__xludf.DUMMYFUNCTION("""COMPUTED_VALUE"""),1000)</f>
        <v>1000</v>
      </c>
      <c r="J620" s="5">
        <f ca="1">IFERROR(__xludf.DUMMYFUNCTION("""COMPUTED_VALUE"""),350)</f>
        <v>350</v>
      </c>
      <c r="K620" s="3"/>
      <c r="L620" s="3" t="str">
        <f ca="1">IFERROR(__xludf.DUMMYFUNCTION("""COMPUTED_VALUE"""),"Cost per period")</f>
        <v>Cost per period</v>
      </c>
      <c r="M620" s="3"/>
      <c r="N620" s="3"/>
      <c r="O620" s="3" t="str">
        <f ca="1">IFERROR(__xludf.DUMMYFUNCTION("""COMPUTED_VALUE"""),"600")</f>
        <v>600</v>
      </c>
      <c r="P620" s="3" t="str">
        <f ca="1">IFERROR(__xludf.DUMMYFUNCTION("""COMPUTED_VALUE"""),"1080")</f>
        <v>1080</v>
      </c>
      <c r="Q620" s="3" t="str">
        <f ca="1">IFERROR(__xludf.DUMMYFUNCTION("""COMPUTED_VALUE"""),"600x1080")</f>
        <v>600x1080</v>
      </c>
      <c r="R620" s="3"/>
      <c r="S620" s="3" t="str">
        <f ca="1">IFERROR(__xludf.DUMMYFUNCTION("""COMPUTED_VALUE"""),"200")</f>
        <v>200</v>
      </c>
      <c r="T620" s="3"/>
      <c r="U620" s="3" t="str">
        <f ca="1">IFERROR(__xludf.DUMMYFUNCTION("""COMPUTED_VALUE"""),"banner standard")</f>
        <v>banner standard</v>
      </c>
      <c r="V620" s="3"/>
      <c r="W620" s="4" t="str">
        <f ca="1">IFERROR(__xludf.DUMMYFUNCTION("""COMPUTED_VALUE"""),"https://reklama.cncenter.cz/Online/mobilni-interscroller")</f>
        <v>https://reklama.cncenter.cz/Online/mobilni-interscroller</v>
      </c>
      <c r="X620" s="3"/>
      <c r="Y620" s="3"/>
      <c r="Z620" s="3" t="str">
        <f ca="1">IFERROR(__xludf.DUMMYFUNCTION("""COMPUTED_VALUE"""),"podklady@cncenter.cz")</f>
        <v>podklady@cncenter.cz</v>
      </c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 t="str">
        <f ca="1">IFERROR(__xludf.DUMMYFUNCTION("""COMPUTED_VALUE"""),"mobile")</f>
        <v>mobile</v>
      </c>
      <c r="AO620" s="3"/>
      <c r="AP620" s="3"/>
      <c r="AQ620" s="3"/>
      <c r="AR620" s="3"/>
      <c r="AS620" s="3"/>
      <c r="AT620" s="3"/>
      <c r="AU620" s="3" t="str">
        <f ca="1">IFERROR(__xludf.DUMMYFUNCTION("""COMPUTED_VALUE"""),"mobilní interscroller")</f>
        <v>mobilní interscroller</v>
      </c>
    </row>
    <row r="621" spans="1:47" x14ac:dyDescent="0.3">
      <c r="A621" s="3">
        <f ca="1"/>
        <v>2346826</v>
      </c>
      <c r="B621" s="3" t="str">
        <f ca="1"/>
        <v>CZECH NEWS CENTER a. s.</v>
      </c>
      <c r="C621" s="3" t="str">
        <f ca="1">IFERROR(__xludf.DUMMYFUNCTION("""COMPUTED_VALUE"""),"Frekvence1")</f>
        <v>Frekvence1</v>
      </c>
      <c r="D621" s="4" t="str">
        <f ca="1">IFERROR(__xludf.DUMMYFUNCTION("""COMPUTED_VALUE"""),"https://frekvence1.cz")</f>
        <v>https://frekvence1.cz</v>
      </c>
      <c r="E621" s="3" t="str">
        <f ca="1">IFERROR(__xludf.DUMMYFUNCTION("""COMPUTED_VALUE"""),"celý web")</f>
        <v>celý web</v>
      </c>
      <c r="F621" s="4" t="str">
        <f ca="1">IFERROR(__xludf.DUMMYFUNCTION("""COMPUTED_VALUE"""),"https://frekvence1.cz")</f>
        <v>https://frekvence1.cz</v>
      </c>
      <c r="G621" s="3" t="str">
        <f ca="1">IFERROR(__xludf.DUMMYFUNCTION("""COMPUTED_VALUE"""),"mobilní slide-up mid season")</f>
        <v>mobilní slide-up mid season</v>
      </c>
      <c r="H621" s="3">
        <f ca="1">IFERROR(__xludf.DUMMYFUNCTION("""COMPUTED_VALUE"""),7)</f>
        <v>7</v>
      </c>
      <c r="I621" s="5">
        <f ca="1">IFERROR(__xludf.DUMMYFUNCTION("""COMPUTED_VALUE"""),1000)</f>
        <v>1000</v>
      </c>
      <c r="J621" s="5">
        <f ca="1">IFERROR(__xludf.DUMMYFUNCTION("""COMPUTED_VALUE"""),720)</f>
        <v>720</v>
      </c>
      <c r="K621" s="3"/>
      <c r="L621" s="3" t="str">
        <f ca="1">IFERROR(__xludf.DUMMYFUNCTION("""COMPUTED_VALUE"""),"Cost per period")</f>
        <v>Cost per period</v>
      </c>
      <c r="M621" s="3"/>
      <c r="N621" s="3"/>
      <c r="O621" s="3" t="str">
        <f ca="1">IFERROR(__xludf.DUMMYFUNCTION("""COMPUTED_VALUE"""),"300")</f>
        <v>300</v>
      </c>
      <c r="P621" s="3" t="str">
        <f ca="1">IFERROR(__xludf.DUMMYFUNCTION("""COMPUTED_VALUE"""),"120")</f>
        <v>120</v>
      </c>
      <c r="Q621" s="3" t="str">
        <f ca="1">IFERROR(__xludf.DUMMYFUNCTION("""COMPUTED_VALUE"""),"300x120")</f>
        <v>300x120</v>
      </c>
      <c r="R621" s="3"/>
      <c r="S621" s="3" t="str">
        <f ca="1">IFERROR(__xludf.DUMMYFUNCTION("""COMPUTED_VALUE"""),"100")</f>
        <v>100</v>
      </c>
      <c r="T621" s="3"/>
      <c r="U621" s="3" t="str">
        <f ca="1">IFERROR(__xludf.DUMMYFUNCTION("""COMPUTED_VALUE"""),"banner standard")</f>
        <v>banner standard</v>
      </c>
      <c r="V621" s="3"/>
      <c r="W621" s="4" t="str">
        <f ca="1">IFERROR(__xludf.DUMMYFUNCTION("""COMPUTED_VALUE"""),"https://reklama.cncenter.cz/Online/mobilni-slide-up")</f>
        <v>https://reklama.cncenter.cz/Online/mobilni-slide-up</v>
      </c>
      <c r="X621" s="3"/>
      <c r="Y621" s="3"/>
      <c r="Z621" s="3" t="str">
        <f ca="1">IFERROR(__xludf.DUMMYFUNCTION("""COMPUTED_VALUE"""),"podklady@cncenter.cz")</f>
        <v>podklady@cncenter.cz</v>
      </c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 t="str">
        <f ca="1">IFERROR(__xludf.DUMMYFUNCTION("""COMPUTED_VALUE"""),"mobile")</f>
        <v>mobile</v>
      </c>
      <c r="AO621" s="3"/>
      <c r="AP621" s="3"/>
      <c r="AQ621" s="3"/>
      <c r="AR621" s="3"/>
      <c r="AS621" s="3"/>
      <c r="AT621" s="3"/>
      <c r="AU621" s="3" t="str">
        <f ca="1">IFERROR(__xludf.DUMMYFUNCTION("""COMPUTED_VALUE"""),"mobilní slide-up")</f>
        <v>mobilní slide-up</v>
      </c>
    </row>
    <row r="622" spans="1:47" x14ac:dyDescent="0.3">
      <c r="A622" s="3">
        <f ca="1"/>
        <v>2346826</v>
      </c>
      <c r="B622" s="3" t="str">
        <f ca="1"/>
        <v>CZECH NEWS CENTER a. s.</v>
      </c>
      <c r="C622" s="3" t="str">
        <f ca="1">IFERROR(__xludf.DUMMYFUNCTION("""COMPUTED_VALUE"""),"Frekvence1")</f>
        <v>Frekvence1</v>
      </c>
      <c r="D622" s="4" t="str">
        <f ca="1">IFERROR(__xludf.DUMMYFUNCTION("""COMPUTED_VALUE"""),"https://frekvence1.cz")</f>
        <v>https://frekvence1.cz</v>
      </c>
      <c r="E622" s="3" t="str">
        <f ca="1">IFERROR(__xludf.DUMMYFUNCTION("""COMPUTED_VALUE"""),"celý web")</f>
        <v>celý web</v>
      </c>
      <c r="F622" s="4" t="str">
        <f ca="1">IFERROR(__xludf.DUMMYFUNCTION("""COMPUTED_VALUE"""),"https://frekvence1.cz")</f>
        <v>https://frekvence1.cz</v>
      </c>
      <c r="G622" s="3" t="str">
        <f ca="1">IFERROR(__xludf.DUMMYFUNCTION("""COMPUTED_VALUE"""),"mobilní viněta mid season")</f>
        <v>mobilní viněta mid season</v>
      </c>
      <c r="H622" s="3">
        <f ca="1">IFERROR(__xludf.DUMMYFUNCTION("""COMPUTED_VALUE"""),7)</f>
        <v>7</v>
      </c>
      <c r="I622" s="5">
        <f ca="1">IFERROR(__xludf.DUMMYFUNCTION("""COMPUTED_VALUE"""),1000)</f>
        <v>1000</v>
      </c>
      <c r="J622" s="5">
        <f ca="1">IFERROR(__xludf.DUMMYFUNCTION("""COMPUTED_VALUE"""),1240)</f>
        <v>1240</v>
      </c>
      <c r="K622" s="3"/>
      <c r="L622" s="3" t="str">
        <f ca="1">IFERROR(__xludf.DUMMYFUNCTION("""COMPUTED_VALUE"""),"Cost per period")</f>
        <v>Cost per period</v>
      </c>
      <c r="M622" s="3"/>
      <c r="N622" s="3"/>
      <c r="O622" s="3" t="str">
        <f ca="1">IFERROR(__xludf.DUMMYFUNCTION("""COMPUTED_VALUE"""),"600")</f>
        <v>600</v>
      </c>
      <c r="P622" s="3" t="str">
        <f ca="1">IFERROR(__xludf.DUMMYFUNCTION("""COMPUTED_VALUE"""),"800")</f>
        <v>800</v>
      </c>
      <c r="Q622" s="3" t="str">
        <f ca="1">IFERROR(__xludf.DUMMYFUNCTION("""COMPUTED_VALUE"""),"300x250 nebo 600x800")</f>
        <v>300x250 nebo 600x800</v>
      </c>
      <c r="R622" s="3"/>
      <c r="S622" s="3" t="str">
        <f ca="1">IFERROR(__xludf.DUMMYFUNCTION("""COMPUTED_VALUE"""),"100")</f>
        <v>100</v>
      </c>
      <c r="T622" s="3"/>
      <c r="U622" s="3" t="str">
        <f ca="1">IFERROR(__xludf.DUMMYFUNCTION("""COMPUTED_VALUE"""),"banner standard")</f>
        <v>banner standard</v>
      </c>
      <c r="V622" s="3"/>
      <c r="W622" s="4" t="str">
        <f ca="1">IFERROR(__xludf.DUMMYFUNCTION("""COMPUTED_VALUE"""),"https://reklama.cncenter.cz/Online/mobilni-vineta")</f>
        <v>https://reklama.cncenter.cz/Online/mobilni-vineta</v>
      </c>
      <c r="X622" s="3"/>
      <c r="Y622" s="3"/>
      <c r="Z622" s="3" t="str">
        <f ca="1">IFERROR(__xludf.DUMMYFUNCTION("""COMPUTED_VALUE"""),"podklady@cncenter.cz")</f>
        <v>podklady@cncenter.cz</v>
      </c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 t="str">
        <f ca="1">IFERROR(__xludf.DUMMYFUNCTION("""COMPUTED_VALUE"""),"mobile")</f>
        <v>mobile</v>
      </c>
      <c r="AO622" s="3"/>
      <c r="AP622" s="3"/>
      <c r="AQ622" s="3"/>
      <c r="AR622" s="3"/>
      <c r="AS622" s="3"/>
      <c r="AT622" s="3"/>
      <c r="AU622" s="3" t="str">
        <f ca="1">IFERROR(__xludf.DUMMYFUNCTION("""COMPUTED_VALUE"""),"mobilní viněta")</f>
        <v>mobilní viněta</v>
      </c>
    </row>
    <row r="623" spans="1:47" x14ac:dyDescent="0.3">
      <c r="A623" s="3">
        <f ca="1"/>
        <v>2346826</v>
      </c>
      <c r="B623" s="3" t="str">
        <f ca="1"/>
        <v>CZECH NEWS CENTER a. s.</v>
      </c>
      <c r="C623" s="3" t="str">
        <f ca="1">IFERROR(__xludf.DUMMYFUNCTION("""COMPUTED_VALUE"""),"Frekvence1")</f>
        <v>Frekvence1</v>
      </c>
      <c r="D623" s="4" t="str">
        <f ca="1">IFERROR(__xludf.DUMMYFUNCTION("""COMPUTED_VALUE"""),"https://frekvence1.cz")</f>
        <v>https://frekvence1.cz</v>
      </c>
      <c r="E623" s="3" t="str">
        <f ca="1">IFERROR(__xludf.DUMMYFUNCTION("""COMPUTED_VALUE"""),"celý web")</f>
        <v>celý web</v>
      </c>
      <c r="F623" s="4" t="str">
        <f ca="1">IFERROR(__xludf.DUMMYFUNCTION("""COMPUTED_VALUE"""),"https://frekvence1.cz")</f>
        <v>https://frekvence1.cz</v>
      </c>
      <c r="G623" s="3" t="str">
        <f ca="1">IFERROR(__xludf.DUMMYFUNCTION("""COMPUTED_VALUE"""),"nativní rectangle cross-device mid season")</f>
        <v>nativní rectangle cross-device mid season</v>
      </c>
      <c r="H623" s="3">
        <f ca="1">IFERROR(__xludf.DUMMYFUNCTION("""COMPUTED_VALUE"""),7)</f>
        <v>7</v>
      </c>
      <c r="I623" s="5">
        <f ca="1">IFERROR(__xludf.DUMMYFUNCTION("""COMPUTED_VALUE"""),1000)</f>
        <v>1000</v>
      </c>
      <c r="J623" s="5">
        <f ca="1">IFERROR(__xludf.DUMMYFUNCTION("""COMPUTED_VALUE"""),280)</f>
        <v>280</v>
      </c>
      <c r="K623" s="3"/>
      <c r="L623" s="3" t="str">
        <f ca="1">IFERROR(__xludf.DUMMYFUNCTION("""COMPUTED_VALUE"""),"Cost per period")</f>
        <v>Cost per period</v>
      </c>
      <c r="M623" s="3"/>
      <c r="N623" s="3"/>
      <c r="O623" s="3" t="str">
        <f ca="1">IFERROR(__xludf.DUMMYFUNCTION("""COMPUTED_VALUE"""),"640")</f>
        <v>640</v>
      </c>
      <c r="P623" s="3" t="str">
        <f ca="1">IFERROR(__xludf.DUMMYFUNCTION("""COMPUTED_VALUE"""),"335, 640")</f>
        <v>335, 640</v>
      </c>
      <c r="Q623" s="3" t="str">
        <f ca="1">IFERROR(__xludf.DUMMYFUNCTION("""COMPUTED_VALUE"""),"640x640 a 640x335 + text + logo")</f>
        <v>640x640 a 640x335 + text + logo</v>
      </c>
      <c r="R623" s="3"/>
      <c r="S623" s="3" t="str">
        <f ca="1">IFERROR(__xludf.DUMMYFUNCTION("""COMPUTED_VALUE"""),"45")</f>
        <v>45</v>
      </c>
      <c r="T623" s="3"/>
      <c r="U623" s="3" t="str">
        <f ca="1">IFERROR(__xludf.DUMMYFUNCTION("""COMPUTED_VALUE"""),"nativní reklama")</f>
        <v>nativní reklama</v>
      </c>
      <c r="V623" s="3"/>
      <c r="W623" s="4" t="str">
        <f ca="1">IFERROR(__xludf.DUMMYFUNCTION("""COMPUTED_VALUE"""),"https://reklama.cncenter.cz/Online/nativni-rectangle-cross-device")</f>
        <v>https://reklama.cncenter.cz/Online/nativni-rectangle-cross-device</v>
      </c>
      <c r="X623" s="3"/>
      <c r="Y623" s="3"/>
      <c r="Z623" s="3" t="str">
        <f ca="1">IFERROR(__xludf.DUMMYFUNCTION("""COMPUTED_VALUE"""),"podklady@cncenter.cz")</f>
        <v>podklady@cncenter.cz</v>
      </c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 t="str">
        <f ca="1">IFERROR(__xludf.DUMMYFUNCTION("""COMPUTED_VALUE"""),"cross-device")</f>
        <v>cross-device</v>
      </c>
      <c r="AO623" s="3"/>
      <c r="AP623" s="3"/>
      <c r="AQ623" s="3"/>
      <c r="AR623" s="3"/>
      <c r="AS623" s="3"/>
      <c r="AT623" s="3"/>
      <c r="AU623" s="3" t="str">
        <f ca="1">IFERROR(__xludf.DUMMYFUNCTION("""COMPUTED_VALUE"""),"nativní rectangle cross-device")</f>
        <v>nativní rectangle cross-device</v>
      </c>
    </row>
    <row r="624" spans="1:47" x14ac:dyDescent="0.3">
      <c r="A624" s="3">
        <f ca="1"/>
        <v>2346826</v>
      </c>
      <c r="B624" s="3" t="str">
        <f ca="1"/>
        <v>CZECH NEWS CENTER a. s.</v>
      </c>
      <c r="C624" s="3" t="str">
        <f ca="1">IFERROR(__xludf.DUMMYFUNCTION("""COMPUTED_VALUE"""),"Frekvence1")</f>
        <v>Frekvence1</v>
      </c>
      <c r="D624" s="4" t="str">
        <f ca="1">IFERROR(__xludf.DUMMYFUNCTION("""COMPUTED_VALUE"""),"https://frekvence1.cz")</f>
        <v>https://frekvence1.cz</v>
      </c>
      <c r="E624" s="3" t="str">
        <f ca="1">IFERROR(__xludf.DUMMYFUNCTION("""COMPUTED_VALUE"""),"celý web")</f>
        <v>celý web</v>
      </c>
      <c r="F624" s="4" t="str">
        <f ca="1">IFERROR(__xludf.DUMMYFUNCTION("""COMPUTED_VALUE"""),"https://frekvence1.cz")</f>
        <v>https://frekvence1.cz</v>
      </c>
      <c r="G624" s="3" t="str">
        <f ca="1">IFERROR(__xludf.DUMMYFUNCTION("""COMPUTED_VALUE"""),"videospot - max. 30 sec. / bumper mid season")</f>
        <v>videospot - max. 30 sec. / bumper mid season</v>
      </c>
      <c r="H624" s="3">
        <f ca="1">IFERROR(__xludf.DUMMYFUNCTION("""COMPUTED_VALUE"""),7)</f>
        <v>7</v>
      </c>
      <c r="I624" s="5">
        <f ca="1">IFERROR(__xludf.DUMMYFUNCTION("""COMPUTED_VALUE"""),1000)</f>
        <v>1000</v>
      </c>
      <c r="J624" s="5">
        <f ca="1">IFERROR(__xludf.DUMMYFUNCTION("""COMPUTED_VALUE"""),1040)</f>
        <v>1040</v>
      </c>
      <c r="K624" s="3"/>
      <c r="L624" s="3" t="str">
        <f ca="1">IFERROR(__xludf.DUMMYFUNCTION("""COMPUTED_VALUE"""),"Cost per period")</f>
        <v>Cost per period</v>
      </c>
      <c r="M624" s="3"/>
      <c r="N624" s="3"/>
      <c r="O624" s="3" t="str">
        <f ca="1">IFERROR(__xludf.DUMMYFUNCTION("""COMPUTED_VALUE"""),"1280")</f>
        <v>1280</v>
      </c>
      <c r="P624" s="3" t="str">
        <f ca="1">IFERROR(__xludf.DUMMYFUNCTION("""COMPUTED_VALUE"""),"720")</f>
        <v>720</v>
      </c>
      <c r="Q624" s="3" t="str">
        <f ca="1">IFERROR(__xludf.DUMMYFUNCTION("""COMPUTED_VALUE"""),"16:9 / umístění po domluvě dle možností")</f>
        <v>16:9 / umístění po domluvě dle možností</v>
      </c>
      <c r="R624" s="3" t="str">
        <f ca="1">IFERROR(__xludf.DUMMYFUNCTION("""COMPUTED_VALUE"""),"přeskočení po 7 sekundách")</f>
        <v>přeskočení po 7 sekundách</v>
      </c>
      <c r="S624" s="3" t="str">
        <f ca="1">IFERROR(__xludf.DUMMYFUNCTION("""COMPUTED_VALUE"""),"100")</f>
        <v>100</v>
      </c>
      <c r="T624" s="3"/>
      <c r="U624" s="3" t="str">
        <f ca="1">IFERROR(__xludf.DUMMYFUNCTION("""COMPUTED_VALUE"""),"videospot")</f>
        <v>videospot</v>
      </c>
      <c r="V624" s="3"/>
      <c r="W624" s="4" t="str">
        <f ca="1">IFERROR(__xludf.DUMMYFUNCTION("""COMPUTED_VALUE"""),"https://reklama.cncenter.cz/Online/Bumper")</f>
        <v>https://reklama.cncenter.cz/Online/Bumper</v>
      </c>
      <c r="X624" s="3"/>
      <c r="Y624" s="3"/>
      <c r="Z624" s="3" t="str">
        <f ca="1">IFERROR(__xludf.DUMMYFUNCTION("""COMPUTED_VALUE"""),"podklady@cncenter.cz")</f>
        <v>podklady@cncenter.cz</v>
      </c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 t="str">
        <f ca="1">IFERROR(__xludf.DUMMYFUNCTION("""COMPUTED_VALUE"""),"cross-device")</f>
        <v>cross-device</v>
      </c>
      <c r="AO624" s="3"/>
      <c r="AP624" s="3"/>
      <c r="AQ624" s="3"/>
      <c r="AR624" s="3"/>
      <c r="AS624" s="3"/>
      <c r="AT624" s="3"/>
      <c r="AU624" s="3" t="str">
        <f ca="1">IFERROR(__xludf.DUMMYFUNCTION("""COMPUTED_VALUE"""),"videospot - max. 30 sec. / bumper")</f>
        <v>videospot - max. 30 sec. / bumper</v>
      </c>
    </row>
    <row r="625" spans="1:47" x14ac:dyDescent="0.3">
      <c r="A625" s="3">
        <f ca="1"/>
        <v>2346826</v>
      </c>
      <c r="B625" s="3" t="str">
        <f ca="1"/>
        <v>CZECH NEWS CENTER a. s.</v>
      </c>
      <c r="C625" s="3" t="str">
        <f ca="1">IFERROR(__xludf.DUMMYFUNCTION("""COMPUTED_VALUE"""),"Heureka")</f>
        <v>Heureka</v>
      </c>
      <c r="D625" s="4" t="str">
        <f ca="1">IFERROR(__xludf.DUMMYFUNCTION("""COMPUTED_VALUE"""),"https://www.heureka.cz")</f>
        <v>https://www.heureka.cz</v>
      </c>
      <c r="E625" s="3" t="str">
        <f ca="1">IFERROR(__xludf.DUMMYFUNCTION("""COMPUTED_VALUE"""),"celý web")</f>
        <v>celý web</v>
      </c>
      <c r="F625" s="4" t="str">
        <f ca="1">IFERROR(__xludf.DUMMYFUNCTION("""COMPUTED_VALUE"""),"https://www.heureka.cz")</f>
        <v>https://www.heureka.cz</v>
      </c>
      <c r="G625" s="3" t="str">
        <f ca="1">IFERROR(__xludf.DUMMYFUNCTION("""COMPUTED_VALUE"""),"wallpaper low season")</f>
        <v>wallpaper low season</v>
      </c>
      <c r="H625" s="3">
        <f ca="1">IFERROR(__xludf.DUMMYFUNCTION("""COMPUTED_VALUE"""),7)</f>
        <v>7</v>
      </c>
      <c r="I625" s="5">
        <f ca="1">IFERROR(__xludf.DUMMYFUNCTION("""COMPUTED_VALUE"""),1000)</f>
        <v>1000</v>
      </c>
      <c r="J625" s="5">
        <f ca="1">IFERROR(__xludf.DUMMYFUNCTION("""COMPUTED_VALUE"""),150)</f>
        <v>150</v>
      </c>
      <c r="K625" s="3"/>
      <c r="L625" s="3" t="str">
        <f ca="1">IFERROR(__xludf.DUMMYFUNCTION("""COMPUTED_VALUE"""),"Cost per period")</f>
        <v>Cost per period</v>
      </c>
      <c r="M625" s="3"/>
      <c r="N625" s="3"/>
      <c r="O625" s="3"/>
      <c r="P625" s="3"/>
      <c r="Q625" s="3" t="str">
        <f ca="1">IFERROR(__xludf.DUMMYFUNCTION("""COMPUTED_VALUE"""),"970x310, 300x300")</f>
        <v>970x310, 300x300</v>
      </c>
      <c r="R625" s="3"/>
      <c r="S625" s="3" t="str">
        <f ca="1">IFERROR(__xludf.DUMMYFUNCTION("""COMPUTED_VALUE"""),"100")</f>
        <v>100</v>
      </c>
      <c r="T625" s="3"/>
      <c r="U625" s="3" t="str">
        <f ca="1">IFERROR(__xludf.DUMMYFUNCTION("""COMPUTED_VALUE"""),"banner standard")</f>
        <v>banner standard</v>
      </c>
      <c r="V625" s="3"/>
      <c r="W625" s="4" t="str">
        <f ca="1">IFERROR(__xludf.DUMMYFUNCTION("""COMPUTED_VALUE"""),"https://reklama.cncenter.cz/Online/heureka-wallpaper")</f>
        <v>https://reklama.cncenter.cz/Online/heureka-wallpaper</v>
      </c>
      <c r="X625" s="3"/>
      <c r="Y625" s="3"/>
      <c r="Z625" s="3" t="str">
        <f ca="1">IFERROR(__xludf.DUMMYFUNCTION("""COMPUTED_VALUE"""),"podklady@cncenter.cz")</f>
        <v>podklady@cncenter.cz</v>
      </c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 t="str">
        <f ca="1">IFERROR(__xludf.DUMMYFUNCTION("""COMPUTED_VALUE"""),"cross-device")</f>
        <v>cross-device</v>
      </c>
      <c r="AO625" s="3"/>
      <c r="AP625" s="3"/>
      <c r="AQ625" s="3"/>
      <c r="AR625" s="3"/>
      <c r="AS625" s="3"/>
      <c r="AT625" s="3"/>
      <c r="AU625" s="3" t="str">
        <f ca="1">IFERROR(__xludf.DUMMYFUNCTION("""COMPUTED_VALUE"""),"wallpaper")</f>
        <v>wallpaper</v>
      </c>
    </row>
    <row r="626" spans="1:47" x14ac:dyDescent="0.3">
      <c r="A626" s="3">
        <f ca="1"/>
        <v>2346826</v>
      </c>
      <c r="B626" s="3" t="str">
        <f ca="1"/>
        <v>CZECH NEWS CENTER a. s.</v>
      </c>
      <c r="C626" s="3" t="str">
        <f ca="1">IFERROR(__xludf.DUMMYFUNCTION("""COMPUTED_VALUE"""),"Hledej ceny")</f>
        <v>Hledej ceny</v>
      </c>
      <c r="D626" s="4" t="str">
        <f ca="1">IFERROR(__xludf.DUMMYFUNCTION("""COMPUTED_VALUE"""),"https://hledejceny.cz")</f>
        <v>https://hledejceny.cz</v>
      </c>
      <c r="E626" s="3" t="str">
        <f ca="1">IFERROR(__xludf.DUMMYFUNCTION("""COMPUTED_VALUE"""),"celý web")</f>
        <v>celý web</v>
      </c>
      <c r="F626" s="4" t="str">
        <f ca="1">IFERROR(__xludf.DUMMYFUNCTION("""COMPUTED_VALUE"""),"https://hledejceny.cz")</f>
        <v>https://hledejceny.cz</v>
      </c>
      <c r="G626" s="3" t="str">
        <f ca="1">IFERROR(__xludf.DUMMYFUNCTION("""COMPUTED_VALUE"""),"billboard bottom mid season")</f>
        <v>billboard bottom mid season</v>
      </c>
      <c r="H626" s="3">
        <f ca="1">IFERROR(__xludf.DUMMYFUNCTION("""COMPUTED_VALUE"""),7)</f>
        <v>7</v>
      </c>
      <c r="I626" s="5">
        <f ca="1">IFERROR(__xludf.DUMMYFUNCTION("""COMPUTED_VALUE"""),1000)</f>
        <v>1000</v>
      </c>
      <c r="J626" s="5">
        <f ca="1">IFERROR(__xludf.DUMMYFUNCTION("""COMPUTED_VALUE"""),340)</f>
        <v>340</v>
      </c>
      <c r="K626" s="3"/>
      <c r="L626" s="3" t="str">
        <f ca="1">IFERROR(__xludf.DUMMYFUNCTION("""COMPUTED_VALUE"""),"Cost per period")</f>
        <v>Cost per period</v>
      </c>
      <c r="M626" s="3"/>
      <c r="N626" s="3"/>
      <c r="O626" s="3" t="str">
        <f ca="1">IFERROR(__xludf.DUMMYFUNCTION("""COMPUTED_VALUE"""),"970")</f>
        <v>970</v>
      </c>
      <c r="P626" s="3" t="str">
        <f ca="1">IFERROR(__xludf.DUMMYFUNCTION("""COMPUTED_VALUE"""),"250")</f>
        <v>250</v>
      </c>
      <c r="Q626" s="3" t="str">
        <f ca="1">IFERROR(__xludf.DUMMYFUNCTION("""COMPUTED_VALUE"""),"970x250")</f>
        <v>970x250</v>
      </c>
      <c r="R626" s="3"/>
      <c r="S626" s="3" t="str">
        <f ca="1">IFERROR(__xludf.DUMMYFUNCTION("""COMPUTED_VALUE"""),"100 (200 - HTML5)")</f>
        <v>100 (200 - HTML5)</v>
      </c>
      <c r="T626" s="3"/>
      <c r="U626" s="3" t="str">
        <f ca="1">IFERROR(__xludf.DUMMYFUNCTION("""COMPUTED_VALUE"""),"banner standard")</f>
        <v>banner standard</v>
      </c>
      <c r="V626" s="3"/>
      <c r="W626" s="4" t="str">
        <f ca="1">IFERROR(__xludf.DUMMYFUNCTION("""COMPUTED_VALUE"""),"https://reklama.cncenter.cz/Online/billboard-bottom")</f>
        <v>https://reklama.cncenter.cz/Online/billboard-bottom</v>
      </c>
      <c r="X626" s="3"/>
      <c r="Y626" s="3"/>
      <c r="Z626" s="3" t="str">
        <f ca="1">IFERROR(__xludf.DUMMYFUNCTION("""COMPUTED_VALUE"""),"podklady@cncenter.cz")</f>
        <v>podklady@cncenter.cz</v>
      </c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 t="str">
        <f ca="1">IFERROR(__xludf.DUMMYFUNCTION("""COMPUTED_VALUE"""),"desktop")</f>
        <v>desktop</v>
      </c>
      <c r="AO626" s="3"/>
      <c r="AP626" s="3"/>
      <c r="AQ626" s="3"/>
      <c r="AR626" s="3"/>
      <c r="AS626" s="3"/>
      <c r="AT626" s="3"/>
      <c r="AU626" s="3" t="str">
        <f ca="1">IFERROR(__xludf.DUMMYFUNCTION("""COMPUTED_VALUE"""),"billboard bottom")</f>
        <v>billboard bottom</v>
      </c>
    </row>
    <row r="627" spans="1:47" x14ac:dyDescent="0.3">
      <c r="A627" s="3">
        <f ca="1"/>
        <v>2346826</v>
      </c>
      <c r="B627" s="3" t="str">
        <f ca="1"/>
        <v>CZECH NEWS CENTER a. s.</v>
      </c>
      <c r="C627" s="3" t="str">
        <f ca="1">IFERROR(__xludf.DUMMYFUNCTION("""COMPUTED_VALUE"""),"Hledej ceny")</f>
        <v>Hledej ceny</v>
      </c>
      <c r="D627" s="4" t="str">
        <f ca="1">IFERROR(__xludf.DUMMYFUNCTION("""COMPUTED_VALUE"""),"https://hledejceny.cz")</f>
        <v>https://hledejceny.cz</v>
      </c>
      <c r="E627" s="3" t="str">
        <f ca="1">IFERROR(__xludf.DUMMYFUNCTION("""COMPUTED_VALUE"""),"celý web")</f>
        <v>celý web</v>
      </c>
      <c r="F627" s="4" t="str">
        <f ca="1">IFERROR(__xludf.DUMMYFUNCTION("""COMPUTED_VALUE"""),"https://hledejceny.cz")</f>
        <v>https://hledejceny.cz</v>
      </c>
      <c r="G627" s="3" t="str">
        <f ca="1">IFERROR(__xludf.DUMMYFUNCTION("""COMPUTED_VALUE"""),"branding cross-device mid season")</f>
        <v>branding cross-device mid season</v>
      </c>
      <c r="H627" s="3">
        <f ca="1">IFERROR(__xludf.DUMMYFUNCTION("""COMPUTED_VALUE"""),7)</f>
        <v>7</v>
      </c>
      <c r="I627" s="5">
        <f ca="1">IFERROR(__xludf.DUMMYFUNCTION("""COMPUTED_VALUE"""),1000)</f>
        <v>1000</v>
      </c>
      <c r="J627" s="5">
        <f ca="1">IFERROR(__xludf.DUMMYFUNCTION("""COMPUTED_VALUE"""),420)</f>
        <v>420</v>
      </c>
      <c r="K627" s="3"/>
      <c r="L627" s="3" t="str">
        <f ca="1">IFERROR(__xludf.DUMMYFUNCTION("""COMPUTED_VALUE"""),"Cost per period")</f>
        <v>Cost per period</v>
      </c>
      <c r="M627" s="3"/>
      <c r="N627" s="3"/>
      <c r="O627" s="3" t="str">
        <f ca="1">IFERROR(__xludf.DUMMYFUNCTION("""COMPUTED_VALUE"""),"2000")</f>
        <v>2000</v>
      </c>
      <c r="P627" s="3" t="str">
        <f ca="1">IFERROR(__xludf.DUMMYFUNCTION("""COMPUTED_VALUE"""),"1400")</f>
        <v>1400</v>
      </c>
      <c r="Q627" s="3" t="str">
        <f ca="1">IFERROR(__xludf.DUMMYFUNCTION("""COMPUTED_VALUE"""),"2000x1400 + 600x1080")</f>
        <v>2000x1400 + 600x1080</v>
      </c>
      <c r="R627" s="3"/>
      <c r="S627" s="3" t="str">
        <f ca="1">IFERROR(__xludf.DUMMYFUNCTION("""COMPUTED_VALUE"""),"500 (600 - HTLM5)")</f>
        <v>500 (600 - HTLM5)</v>
      </c>
      <c r="T627" s="3"/>
      <c r="U627" s="3" t="str">
        <f ca="1">IFERROR(__xludf.DUMMYFUNCTION("""COMPUTED_VALUE"""),"banner standard")</f>
        <v>banner standard</v>
      </c>
      <c r="V627" s="3"/>
      <c r="W627" s="4" t="str">
        <f ca="1">IFERROR(__xludf.DUMMYFUNCTION("""COMPUTED_VALUE"""),"https://reklama.cncenter.cz/Online/branding-cross-device")</f>
        <v>https://reklama.cncenter.cz/Online/branding-cross-device</v>
      </c>
      <c r="X627" s="3"/>
      <c r="Y627" s="3"/>
      <c r="Z627" s="3" t="str">
        <f ca="1">IFERROR(__xludf.DUMMYFUNCTION("""COMPUTED_VALUE"""),"podklady@cncenter.cz")</f>
        <v>podklady@cncenter.cz</v>
      </c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 t="str">
        <f ca="1">IFERROR(__xludf.DUMMYFUNCTION("""COMPUTED_VALUE"""),"cross-device")</f>
        <v>cross-device</v>
      </c>
      <c r="AO627" s="3"/>
      <c r="AP627" s="3"/>
      <c r="AQ627" s="3"/>
      <c r="AR627" s="3"/>
      <c r="AS627" s="3"/>
      <c r="AT627" s="3"/>
      <c r="AU627" s="3" t="str">
        <f ca="1">IFERROR(__xludf.DUMMYFUNCTION("""COMPUTED_VALUE"""),"branding cross-device")</f>
        <v>branding cross-device</v>
      </c>
    </row>
    <row r="628" spans="1:47" x14ac:dyDescent="0.3">
      <c r="A628" s="3">
        <f ca="1"/>
        <v>2346826</v>
      </c>
      <c r="B628" s="3" t="str">
        <f ca="1"/>
        <v>CZECH NEWS CENTER a. s.</v>
      </c>
      <c r="C628" s="3" t="str">
        <f ca="1">IFERROR(__xludf.DUMMYFUNCTION("""COMPUTED_VALUE"""),"Hledej ceny")</f>
        <v>Hledej ceny</v>
      </c>
      <c r="D628" s="4" t="str">
        <f ca="1">IFERROR(__xludf.DUMMYFUNCTION("""COMPUTED_VALUE"""),"https://hledejceny.cz")</f>
        <v>https://hledejceny.cz</v>
      </c>
      <c r="E628" s="3" t="str">
        <f ca="1">IFERROR(__xludf.DUMMYFUNCTION("""COMPUTED_VALUE"""),"celý web")</f>
        <v>celý web</v>
      </c>
      <c r="F628" s="4" t="str">
        <f ca="1">IFERROR(__xludf.DUMMYFUNCTION("""COMPUTED_VALUE"""),"https://hledejceny.cz")</f>
        <v>https://hledejceny.cz</v>
      </c>
      <c r="G628" s="3" t="str">
        <f ca="1">IFERROR(__xludf.DUMMYFUNCTION("""COMPUTED_VALUE"""),"branding mid season")</f>
        <v>branding mid season</v>
      </c>
      <c r="H628" s="3">
        <f ca="1">IFERROR(__xludf.DUMMYFUNCTION("""COMPUTED_VALUE"""),7)</f>
        <v>7</v>
      </c>
      <c r="I628" s="5">
        <f ca="1">IFERROR(__xludf.DUMMYFUNCTION("""COMPUTED_VALUE"""),1000)</f>
        <v>1000</v>
      </c>
      <c r="J628" s="5">
        <f ca="1">IFERROR(__xludf.DUMMYFUNCTION("""COMPUTED_VALUE"""),690)</f>
        <v>690</v>
      </c>
      <c r="K628" s="3"/>
      <c r="L628" s="3" t="str">
        <f ca="1">IFERROR(__xludf.DUMMYFUNCTION("""COMPUTED_VALUE"""),"Cost per period")</f>
        <v>Cost per period</v>
      </c>
      <c r="M628" s="3"/>
      <c r="N628" s="3"/>
      <c r="O628" s="3" t="str">
        <f ca="1">IFERROR(__xludf.DUMMYFUNCTION("""COMPUTED_VALUE"""),"2000")</f>
        <v>2000</v>
      </c>
      <c r="P628" s="3" t="str">
        <f ca="1">IFERROR(__xludf.DUMMYFUNCTION("""COMPUTED_VALUE"""),"1400")</f>
        <v>1400</v>
      </c>
      <c r="Q628" s="3" t="str">
        <f ca="1">IFERROR(__xludf.DUMMYFUNCTION("""COMPUTED_VALUE"""),"2000x1400")</f>
        <v>2000x1400</v>
      </c>
      <c r="R628" s="3"/>
      <c r="S628" s="3" t="str">
        <f ca="1">IFERROR(__xludf.DUMMYFUNCTION("""COMPUTED_VALUE"""),"500 + 200 (600+200 HTML5)")</f>
        <v>500 + 200 (600+200 HTML5)</v>
      </c>
      <c r="T628" s="3"/>
      <c r="U628" s="3" t="str">
        <f ca="1">IFERROR(__xludf.DUMMYFUNCTION("""COMPUTED_VALUE"""),"banner standard")</f>
        <v>banner standard</v>
      </c>
      <c r="V628" s="3"/>
      <c r="W628" s="4" t="str">
        <f ca="1">IFERROR(__xludf.DUMMYFUNCTION("""COMPUTED_VALUE"""),"https://reklama.cncenter.cz/Online/branding")</f>
        <v>https://reklama.cncenter.cz/Online/branding</v>
      </c>
      <c r="X628" s="3"/>
      <c r="Y628" s="3"/>
      <c r="Z628" s="3" t="str">
        <f ca="1">IFERROR(__xludf.DUMMYFUNCTION("""COMPUTED_VALUE"""),"podklady@cncenter.cz")</f>
        <v>podklady@cncenter.cz</v>
      </c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 t="str">
        <f ca="1">IFERROR(__xludf.DUMMYFUNCTION("""COMPUTED_VALUE"""),"desktop")</f>
        <v>desktop</v>
      </c>
      <c r="AO628" s="3"/>
      <c r="AP628" s="3"/>
      <c r="AQ628" s="3"/>
      <c r="AR628" s="3"/>
      <c r="AS628" s="3"/>
      <c r="AT628" s="3"/>
      <c r="AU628" s="3" t="str">
        <f ca="1">IFERROR(__xludf.DUMMYFUNCTION("""COMPUTED_VALUE"""),"branding")</f>
        <v>branding</v>
      </c>
    </row>
    <row r="629" spans="1:47" x14ac:dyDescent="0.3">
      <c r="A629" s="3">
        <f ca="1"/>
        <v>2346826</v>
      </c>
      <c r="B629" s="3" t="str">
        <f ca="1"/>
        <v>CZECH NEWS CENTER a. s.</v>
      </c>
      <c r="C629" s="3" t="str">
        <f ca="1">IFERROR(__xludf.DUMMYFUNCTION("""COMPUTED_VALUE"""),"Hledej ceny")</f>
        <v>Hledej ceny</v>
      </c>
      <c r="D629" s="4" t="str">
        <f ca="1">IFERROR(__xludf.DUMMYFUNCTION("""COMPUTED_VALUE"""),"https://hledejceny.cz")</f>
        <v>https://hledejceny.cz</v>
      </c>
      <c r="E629" s="3" t="str">
        <f ca="1">IFERROR(__xludf.DUMMYFUNCTION("""COMPUTED_VALUE"""),"celý web")</f>
        <v>celý web</v>
      </c>
      <c r="F629" s="4" t="str">
        <f ca="1">IFERROR(__xludf.DUMMYFUNCTION("""COMPUTED_VALUE"""),"https://hledejceny.cz")</f>
        <v>https://hledejceny.cz</v>
      </c>
      <c r="G629" s="3" t="str">
        <f ca="1">IFERROR(__xludf.DUMMYFUNCTION("""COMPUTED_VALUE"""),"cílený billboard bottom mid season")</f>
        <v>cílený billboard bottom mid season</v>
      </c>
      <c r="H629" s="3">
        <f ca="1">IFERROR(__xludf.DUMMYFUNCTION("""COMPUTED_VALUE"""),7)</f>
        <v>7</v>
      </c>
      <c r="I629" s="5">
        <f ca="1">IFERROR(__xludf.DUMMYFUNCTION("""COMPUTED_VALUE"""),1000)</f>
        <v>1000</v>
      </c>
      <c r="J629" s="5">
        <f ca="1">IFERROR(__xludf.DUMMYFUNCTION("""COMPUTED_VALUE"""),408)</f>
        <v>408</v>
      </c>
      <c r="K629" s="3"/>
      <c r="L629" s="3" t="str">
        <f ca="1">IFERROR(__xludf.DUMMYFUNCTION("""COMPUTED_VALUE"""),"Cost per period")</f>
        <v>Cost per period</v>
      </c>
      <c r="M629" s="3"/>
      <c r="N629" s="3"/>
      <c r="O629" s="3" t="str">
        <f ca="1">IFERROR(__xludf.DUMMYFUNCTION("""COMPUTED_VALUE"""),"970")</f>
        <v>970</v>
      </c>
      <c r="P629" s="3" t="str">
        <f ca="1">IFERROR(__xludf.DUMMYFUNCTION("""COMPUTED_VALUE"""),"250")</f>
        <v>250</v>
      </c>
      <c r="Q629" s="3" t="str">
        <f ca="1">IFERROR(__xludf.DUMMYFUNCTION("""COMPUTED_VALUE"""),"970x250")</f>
        <v>970x250</v>
      </c>
      <c r="R629" s="3"/>
      <c r="S629" s="3" t="str">
        <f ca="1">IFERROR(__xludf.DUMMYFUNCTION("""COMPUTED_VALUE"""),"100 (200 - HTML5)")</f>
        <v>100 (200 - HTML5)</v>
      </c>
      <c r="T629" s="3"/>
      <c r="U629" s="3" t="str">
        <f ca="1">IFERROR(__xludf.DUMMYFUNCTION("""COMPUTED_VALUE"""),"banner standard")</f>
        <v>banner standard</v>
      </c>
      <c r="V629" s="3"/>
      <c r="W629" s="4" t="str">
        <f ca="1">IFERROR(__xludf.DUMMYFUNCTION("""COMPUTED_VALUE"""),"https://reklama.cncenter.cz/Online/billboard-bottom")</f>
        <v>https://reklama.cncenter.cz/Online/billboard-bottom</v>
      </c>
      <c r="X629" s="3"/>
      <c r="Y629" s="3"/>
      <c r="Z629" s="3" t="str">
        <f ca="1">IFERROR(__xludf.DUMMYFUNCTION("""COMPUTED_VALUE"""),"podklady@cncenter.cz")</f>
        <v>podklady@cncenter.cz</v>
      </c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 t="str">
        <f ca="1">IFERROR(__xludf.DUMMYFUNCTION("""COMPUTED_VALUE"""),"desktop")</f>
        <v>desktop</v>
      </c>
      <c r="AO629" s="3"/>
      <c r="AP629" s="3"/>
      <c r="AQ629" s="3"/>
      <c r="AR629" s="3"/>
      <c r="AS629" s="3"/>
      <c r="AT629" s="3"/>
      <c r="AU629" s="3" t="str">
        <f ca="1">IFERROR(__xludf.DUMMYFUNCTION("""COMPUTED_VALUE"""),"cílený billboard bottom")</f>
        <v>cílený billboard bottom</v>
      </c>
    </row>
    <row r="630" spans="1:47" x14ac:dyDescent="0.3">
      <c r="A630" s="3">
        <f ca="1"/>
        <v>2346826</v>
      </c>
      <c r="B630" s="3" t="str">
        <f ca="1"/>
        <v>CZECH NEWS CENTER a. s.</v>
      </c>
      <c r="C630" s="3" t="str">
        <f ca="1">IFERROR(__xludf.DUMMYFUNCTION("""COMPUTED_VALUE"""),"Hledej ceny")</f>
        <v>Hledej ceny</v>
      </c>
      <c r="D630" s="4" t="str">
        <f ca="1">IFERROR(__xludf.DUMMYFUNCTION("""COMPUTED_VALUE"""),"https://hledejceny.cz")</f>
        <v>https://hledejceny.cz</v>
      </c>
      <c r="E630" s="3" t="str">
        <f ca="1">IFERROR(__xludf.DUMMYFUNCTION("""COMPUTED_VALUE"""),"celý web")</f>
        <v>celý web</v>
      </c>
      <c r="F630" s="4" t="str">
        <f ca="1">IFERROR(__xludf.DUMMYFUNCTION("""COMPUTED_VALUE"""),"https://hledejceny.cz")</f>
        <v>https://hledejceny.cz</v>
      </c>
      <c r="G630" s="3" t="str">
        <f ca="1">IFERROR(__xludf.DUMMYFUNCTION("""COMPUTED_VALUE"""),"cílený branding cross-device mid season")</f>
        <v>cílený branding cross-device mid season</v>
      </c>
      <c r="H630" s="3">
        <f ca="1">IFERROR(__xludf.DUMMYFUNCTION("""COMPUTED_VALUE"""),7)</f>
        <v>7</v>
      </c>
      <c r="I630" s="5">
        <f ca="1">IFERROR(__xludf.DUMMYFUNCTION("""COMPUTED_VALUE"""),1000)</f>
        <v>1000</v>
      </c>
      <c r="J630" s="5">
        <f ca="1">IFERROR(__xludf.DUMMYFUNCTION("""COMPUTED_VALUE"""),504)</f>
        <v>504</v>
      </c>
      <c r="K630" s="3"/>
      <c r="L630" s="3" t="str">
        <f ca="1">IFERROR(__xludf.DUMMYFUNCTION("""COMPUTED_VALUE"""),"Cost per period")</f>
        <v>Cost per period</v>
      </c>
      <c r="M630" s="3"/>
      <c r="N630" s="3"/>
      <c r="O630" s="3" t="str">
        <f ca="1">IFERROR(__xludf.DUMMYFUNCTION("""COMPUTED_VALUE"""),"2000")</f>
        <v>2000</v>
      </c>
      <c r="P630" s="3" t="str">
        <f ca="1">IFERROR(__xludf.DUMMYFUNCTION("""COMPUTED_VALUE"""),"1400")</f>
        <v>1400</v>
      </c>
      <c r="Q630" s="3" t="str">
        <f ca="1">IFERROR(__xludf.DUMMYFUNCTION("""COMPUTED_VALUE"""),"2000x1400 + 600x1080")</f>
        <v>2000x1400 + 600x1080</v>
      </c>
      <c r="R630" s="3"/>
      <c r="S630" s="3" t="str">
        <f ca="1">IFERROR(__xludf.DUMMYFUNCTION("""COMPUTED_VALUE"""),"500 (600 - HTLM5)")</f>
        <v>500 (600 - HTLM5)</v>
      </c>
      <c r="T630" s="3"/>
      <c r="U630" s="3" t="str">
        <f ca="1">IFERROR(__xludf.DUMMYFUNCTION("""COMPUTED_VALUE"""),"banner standard")</f>
        <v>banner standard</v>
      </c>
      <c r="V630" s="3"/>
      <c r="W630" s="4" t="str">
        <f ca="1">IFERROR(__xludf.DUMMYFUNCTION("""COMPUTED_VALUE"""),"https://reklama.cncenter.cz/Online/branding-cross-device")</f>
        <v>https://reklama.cncenter.cz/Online/branding-cross-device</v>
      </c>
      <c r="X630" s="3"/>
      <c r="Y630" s="3"/>
      <c r="Z630" s="3" t="str">
        <f ca="1">IFERROR(__xludf.DUMMYFUNCTION("""COMPUTED_VALUE"""),"podklady@cncenter.cz")</f>
        <v>podklady@cncenter.cz</v>
      </c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 t="str">
        <f ca="1">IFERROR(__xludf.DUMMYFUNCTION("""COMPUTED_VALUE"""),"cross-device")</f>
        <v>cross-device</v>
      </c>
      <c r="AO630" s="3"/>
      <c r="AP630" s="3"/>
      <c r="AQ630" s="3"/>
      <c r="AR630" s="3"/>
      <c r="AS630" s="3"/>
      <c r="AT630" s="3"/>
      <c r="AU630" s="3" t="str">
        <f ca="1">IFERROR(__xludf.DUMMYFUNCTION("""COMPUTED_VALUE"""),"cílený branding cross-device")</f>
        <v>cílený branding cross-device</v>
      </c>
    </row>
    <row r="631" spans="1:47" x14ac:dyDescent="0.3">
      <c r="A631" s="3">
        <f ca="1"/>
        <v>2346826</v>
      </c>
      <c r="B631" s="3" t="str">
        <f ca="1"/>
        <v>CZECH NEWS CENTER a. s.</v>
      </c>
      <c r="C631" s="3" t="str">
        <f ca="1">IFERROR(__xludf.DUMMYFUNCTION("""COMPUTED_VALUE"""),"Hledej ceny")</f>
        <v>Hledej ceny</v>
      </c>
      <c r="D631" s="4" t="str">
        <f ca="1">IFERROR(__xludf.DUMMYFUNCTION("""COMPUTED_VALUE"""),"https://hledejceny.cz")</f>
        <v>https://hledejceny.cz</v>
      </c>
      <c r="E631" s="3" t="str">
        <f ca="1">IFERROR(__xludf.DUMMYFUNCTION("""COMPUTED_VALUE"""),"celý web")</f>
        <v>celý web</v>
      </c>
      <c r="F631" s="4" t="str">
        <f ca="1">IFERROR(__xludf.DUMMYFUNCTION("""COMPUTED_VALUE"""),"https://hledejceny.cz")</f>
        <v>https://hledejceny.cz</v>
      </c>
      <c r="G631" s="3" t="str">
        <f ca="1">IFERROR(__xludf.DUMMYFUNCTION("""COMPUTED_VALUE"""),"cílený branding mid season")</f>
        <v>cílený branding mid season</v>
      </c>
      <c r="H631" s="3">
        <f ca="1">IFERROR(__xludf.DUMMYFUNCTION("""COMPUTED_VALUE"""),7)</f>
        <v>7</v>
      </c>
      <c r="I631" s="5">
        <f ca="1">IFERROR(__xludf.DUMMYFUNCTION("""COMPUTED_VALUE"""),1000)</f>
        <v>1000</v>
      </c>
      <c r="J631" s="5">
        <f ca="1">IFERROR(__xludf.DUMMYFUNCTION("""COMPUTED_VALUE"""),828)</f>
        <v>828</v>
      </c>
      <c r="K631" s="3"/>
      <c r="L631" s="3" t="str">
        <f ca="1">IFERROR(__xludf.DUMMYFUNCTION("""COMPUTED_VALUE"""),"Cost per period")</f>
        <v>Cost per period</v>
      </c>
      <c r="M631" s="3"/>
      <c r="N631" s="3"/>
      <c r="O631" s="3" t="str">
        <f ca="1">IFERROR(__xludf.DUMMYFUNCTION("""COMPUTED_VALUE"""),"2000")</f>
        <v>2000</v>
      </c>
      <c r="P631" s="3" t="str">
        <f ca="1">IFERROR(__xludf.DUMMYFUNCTION("""COMPUTED_VALUE"""),"1400")</f>
        <v>1400</v>
      </c>
      <c r="Q631" s="3" t="str">
        <f ca="1">IFERROR(__xludf.DUMMYFUNCTION("""COMPUTED_VALUE"""),"2000x1400")</f>
        <v>2000x1400</v>
      </c>
      <c r="R631" s="3"/>
      <c r="S631" s="3" t="str">
        <f ca="1">IFERROR(__xludf.DUMMYFUNCTION("""COMPUTED_VALUE"""),"500 + 200 (600+200 HTML5)")</f>
        <v>500 + 200 (600+200 HTML5)</v>
      </c>
      <c r="T631" s="3"/>
      <c r="U631" s="3" t="str">
        <f ca="1">IFERROR(__xludf.DUMMYFUNCTION("""COMPUTED_VALUE"""),"banner standard")</f>
        <v>banner standard</v>
      </c>
      <c r="V631" s="3"/>
      <c r="W631" s="4" t="str">
        <f ca="1">IFERROR(__xludf.DUMMYFUNCTION("""COMPUTED_VALUE"""),"https://reklama.cncenter.cz/Online/branding")</f>
        <v>https://reklama.cncenter.cz/Online/branding</v>
      </c>
      <c r="X631" s="3"/>
      <c r="Y631" s="3"/>
      <c r="Z631" s="3" t="str">
        <f ca="1">IFERROR(__xludf.DUMMYFUNCTION("""COMPUTED_VALUE"""),"podklady@cncenter.cz")</f>
        <v>podklady@cncenter.cz</v>
      </c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 t="str">
        <f ca="1">IFERROR(__xludf.DUMMYFUNCTION("""COMPUTED_VALUE"""),"desktop")</f>
        <v>desktop</v>
      </c>
      <c r="AO631" s="3"/>
      <c r="AP631" s="3"/>
      <c r="AQ631" s="3"/>
      <c r="AR631" s="3"/>
      <c r="AS631" s="3"/>
      <c r="AT631" s="3"/>
      <c r="AU631" s="3" t="str">
        <f ca="1">IFERROR(__xludf.DUMMYFUNCTION("""COMPUTED_VALUE"""),"cílený branding")</f>
        <v>cílený branding</v>
      </c>
    </row>
    <row r="632" spans="1:47" x14ac:dyDescent="0.3">
      <c r="A632" s="3">
        <f ca="1"/>
        <v>2346826</v>
      </c>
      <c r="B632" s="3" t="str">
        <f ca="1"/>
        <v>CZECH NEWS CENTER a. s.</v>
      </c>
      <c r="C632" s="3" t="str">
        <f ca="1">IFERROR(__xludf.DUMMYFUNCTION("""COMPUTED_VALUE"""),"Hledej ceny")</f>
        <v>Hledej ceny</v>
      </c>
      <c r="D632" s="4" t="str">
        <f ca="1">IFERROR(__xludf.DUMMYFUNCTION("""COMPUTED_VALUE"""),"https://hledejceny.cz")</f>
        <v>https://hledejceny.cz</v>
      </c>
      <c r="E632" s="3" t="str">
        <f ca="1">IFERROR(__xludf.DUMMYFUNCTION("""COMPUTED_VALUE"""),"celý web")</f>
        <v>celý web</v>
      </c>
      <c r="F632" s="4" t="str">
        <f ca="1">IFERROR(__xludf.DUMMYFUNCTION("""COMPUTED_VALUE"""),"https://hledejceny.cz")</f>
        <v>https://hledejceny.cz</v>
      </c>
      <c r="G632" s="3" t="str">
        <f ca="1">IFERROR(__xludf.DUMMYFUNCTION("""COMPUTED_VALUE"""),"cílený double skyscraper mid season")</f>
        <v>cílený double skyscraper mid season</v>
      </c>
      <c r="H632" s="3">
        <f ca="1">IFERROR(__xludf.DUMMYFUNCTION("""COMPUTED_VALUE"""),7)</f>
        <v>7</v>
      </c>
      <c r="I632" s="5">
        <f ca="1">IFERROR(__xludf.DUMMYFUNCTION("""COMPUTED_VALUE"""),1000)</f>
        <v>1000</v>
      </c>
      <c r="J632" s="5">
        <f ca="1">IFERROR(__xludf.DUMMYFUNCTION("""COMPUTED_VALUE"""),324)</f>
        <v>324</v>
      </c>
      <c r="K632" s="3"/>
      <c r="L632" s="3" t="str">
        <f ca="1">IFERROR(__xludf.DUMMYFUNCTION("""COMPUTED_VALUE"""),"Cost per period")</f>
        <v>Cost per period</v>
      </c>
      <c r="M632" s="3"/>
      <c r="N632" s="3"/>
      <c r="O632" s="3" t="str">
        <f ca="1">IFERROR(__xludf.DUMMYFUNCTION("""COMPUTED_VALUE"""),"300")</f>
        <v>300</v>
      </c>
      <c r="P632" s="3" t="str">
        <f ca="1">IFERROR(__xludf.DUMMYFUNCTION("""COMPUTED_VALUE"""),"600")</f>
        <v>600</v>
      </c>
      <c r="Q632" s="3" t="str">
        <f ca="1">IFERROR(__xludf.DUMMYFUNCTION("""COMPUTED_VALUE"""),"300x600")</f>
        <v>300x600</v>
      </c>
      <c r="R632" s="3"/>
      <c r="S632" s="3" t="str">
        <f ca="1">IFERROR(__xludf.DUMMYFUNCTION("""COMPUTED_VALUE"""),"100 (200 - HTML5)")</f>
        <v>100 (200 - HTML5)</v>
      </c>
      <c r="T632" s="3"/>
      <c r="U632" s="3" t="str">
        <f ca="1">IFERROR(__xludf.DUMMYFUNCTION("""COMPUTED_VALUE"""),"banner standard")</f>
        <v>banner standard</v>
      </c>
      <c r="V632" s="3"/>
      <c r="W632" s="4" t="str">
        <f ca="1">IFERROR(__xludf.DUMMYFUNCTION("""COMPUTED_VALUE"""),"https://reklama.cncenter.cz/Online/double-skyscraper")</f>
        <v>https://reklama.cncenter.cz/Online/double-skyscraper</v>
      </c>
      <c r="X632" s="3"/>
      <c r="Y632" s="3"/>
      <c r="Z632" s="3" t="str">
        <f ca="1">IFERROR(__xludf.DUMMYFUNCTION("""COMPUTED_VALUE"""),"podklady@cncenter.cz")</f>
        <v>podklady@cncenter.cz</v>
      </c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 t="str">
        <f ca="1">IFERROR(__xludf.DUMMYFUNCTION("""COMPUTED_VALUE"""),"desktop")</f>
        <v>desktop</v>
      </c>
      <c r="AO632" s="3"/>
      <c r="AP632" s="3"/>
      <c r="AQ632" s="3"/>
      <c r="AR632" s="3"/>
      <c r="AS632" s="3"/>
      <c r="AT632" s="3"/>
      <c r="AU632" s="3" t="str">
        <f ca="1">IFERROR(__xludf.DUMMYFUNCTION("""COMPUTED_VALUE"""),"cílený double skyscraper")</f>
        <v>cílený double skyscraper</v>
      </c>
    </row>
    <row r="633" spans="1:47" x14ac:dyDescent="0.3">
      <c r="A633" s="3">
        <f ca="1"/>
        <v>2346826</v>
      </c>
      <c r="B633" s="3" t="str">
        <f ca="1"/>
        <v>CZECH NEWS CENTER a. s.</v>
      </c>
      <c r="C633" s="3" t="str">
        <f ca="1">IFERROR(__xludf.DUMMYFUNCTION("""COMPUTED_VALUE"""),"Hledej ceny")</f>
        <v>Hledej ceny</v>
      </c>
      <c r="D633" s="4" t="str">
        <f ca="1">IFERROR(__xludf.DUMMYFUNCTION("""COMPUTED_VALUE"""),"https://hledejceny.cz")</f>
        <v>https://hledejceny.cz</v>
      </c>
      <c r="E633" s="3" t="str">
        <f ca="1">IFERROR(__xludf.DUMMYFUNCTION("""COMPUTED_VALUE"""),"celý web")</f>
        <v>celý web</v>
      </c>
      <c r="F633" s="4" t="str">
        <f ca="1">IFERROR(__xludf.DUMMYFUNCTION("""COMPUTED_VALUE"""),"https://hledejceny.cz")</f>
        <v>https://hledejceny.cz</v>
      </c>
      <c r="G633" s="3" t="str">
        <f ca="1">IFERROR(__xludf.DUMMYFUNCTION("""COMPUTED_VALUE"""),"double skyscraper mid season")</f>
        <v>double skyscraper mid season</v>
      </c>
      <c r="H633" s="3">
        <f ca="1">IFERROR(__xludf.DUMMYFUNCTION("""COMPUTED_VALUE"""),7)</f>
        <v>7</v>
      </c>
      <c r="I633" s="5">
        <f ca="1">IFERROR(__xludf.DUMMYFUNCTION("""COMPUTED_VALUE"""),1000)</f>
        <v>1000</v>
      </c>
      <c r="J633" s="5">
        <f ca="1">IFERROR(__xludf.DUMMYFUNCTION("""COMPUTED_VALUE"""),270)</f>
        <v>270</v>
      </c>
      <c r="K633" s="3"/>
      <c r="L633" s="3" t="str">
        <f ca="1">IFERROR(__xludf.DUMMYFUNCTION("""COMPUTED_VALUE"""),"Cost per period")</f>
        <v>Cost per period</v>
      </c>
      <c r="M633" s="3"/>
      <c r="N633" s="3"/>
      <c r="O633" s="3" t="str">
        <f ca="1">IFERROR(__xludf.DUMMYFUNCTION("""COMPUTED_VALUE"""),"300")</f>
        <v>300</v>
      </c>
      <c r="P633" s="3" t="str">
        <f ca="1">IFERROR(__xludf.DUMMYFUNCTION("""COMPUTED_VALUE"""),"600")</f>
        <v>600</v>
      </c>
      <c r="Q633" s="3" t="str">
        <f ca="1">IFERROR(__xludf.DUMMYFUNCTION("""COMPUTED_VALUE"""),"300x600")</f>
        <v>300x600</v>
      </c>
      <c r="R633" s="3"/>
      <c r="S633" s="3" t="str">
        <f ca="1">IFERROR(__xludf.DUMMYFUNCTION("""COMPUTED_VALUE"""),"100 (200 - HTML5)")</f>
        <v>100 (200 - HTML5)</v>
      </c>
      <c r="T633" s="3"/>
      <c r="U633" s="3" t="str">
        <f ca="1">IFERROR(__xludf.DUMMYFUNCTION("""COMPUTED_VALUE"""),"banner standard")</f>
        <v>banner standard</v>
      </c>
      <c r="V633" s="3"/>
      <c r="W633" s="4" t="str">
        <f ca="1">IFERROR(__xludf.DUMMYFUNCTION("""COMPUTED_VALUE"""),"https://reklama.cncenter.cz/Online/double-skyscraper")</f>
        <v>https://reklama.cncenter.cz/Online/double-skyscraper</v>
      </c>
      <c r="X633" s="3"/>
      <c r="Y633" s="3"/>
      <c r="Z633" s="3" t="str">
        <f ca="1">IFERROR(__xludf.DUMMYFUNCTION("""COMPUTED_VALUE"""),"podklady@cncenter.cz")</f>
        <v>podklady@cncenter.cz</v>
      </c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 t="str">
        <f ca="1">IFERROR(__xludf.DUMMYFUNCTION("""COMPUTED_VALUE"""),"desktop")</f>
        <v>desktop</v>
      </c>
      <c r="AO633" s="3"/>
      <c r="AP633" s="3"/>
      <c r="AQ633" s="3"/>
      <c r="AR633" s="3"/>
      <c r="AS633" s="3"/>
      <c r="AT633" s="3"/>
      <c r="AU633" s="3" t="str">
        <f ca="1">IFERROR(__xludf.DUMMYFUNCTION("""COMPUTED_VALUE"""),"double skyscraper")</f>
        <v>double skyscraper</v>
      </c>
    </row>
    <row r="634" spans="1:47" x14ac:dyDescent="0.3">
      <c r="A634" s="3">
        <f ca="1"/>
        <v>2346826</v>
      </c>
      <c r="B634" s="3" t="str">
        <f ca="1"/>
        <v>CZECH NEWS CENTER a. s.</v>
      </c>
      <c r="C634" s="3" t="str">
        <f ca="1">IFERROR(__xludf.DUMMYFUNCTION("""COMPUTED_VALUE"""),"Instagramový profil ABC")</f>
        <v>Instagramový profil ABC</v>
      </c>
      <c r="D634" s="4" t="str">
        <f ca="1">IFERROR(__xludf.DUMMYFUNCTION("""COMPUTED_VALUE"""),"www.instagram.com")</f>
        <v>www.instagram.com</v>
      </c>
      <c r="E634" s="3" t="str">
        <f ca="1">IFERROR(__xludf.DUMMYFUNCTION("""COMPUTED_VALUE"""),"IG účet")</f>
        <v>IG účet</v>
      </c>
      <c r="F634" s="4" t="str">
        <f ca="1">IFERROR(__xludf.DUMMYFUNCTION("""COMPUTED_VALUE"""),"www.instagram.com")</f>
        <v>www.instagram.com</v>
      </c>
      <c r="G634" s="3" t="str">
        <f ca="1">IFERROR(__xludf.DUMMYFUNCTION("""COMPUTED_VALUE"""),"instagram post mid season")</f>
        <v>instagram post mid season</v>
      </c>
      <c r="H634" s="3">
        <f ca="1">IFERROR(__xludf.DUMMYFUNCTION("""COMPUTED_VALUE"""),1)</f>
        <v>1</v>
      </c>
      <c r="I634" s="5">
        <f ca="1">IFERROR(__xludf.DUMMYFUNCTION("""COMPUTED_VALUE"""),1)</f>
        <v>1</v>
      </c>
      <c r="J634" s="5">
        <f ca="1">IFERROR(__xludf.DUMMYFUNCTION("""COMPUTED_VALUE"""),18000)</f>
        <v>18000</v>
      </c>
      <c r="K634" s="3"/>
      <c r="L634" s="3" t="str">
        <f ca="1">IFERROR(__xludf.DUMMYFUNCTION("""COMPUTED_VALUE"""),"Cost per instance")</f>
        <v>Cost per instance</v>
      </c>
      <c r="M634" s="3"/>
      <c r="N634" s="3"/>
      <c r="O634" s="3"/>
      <c r="P634" s="3"/>
      <c r="Q634" s="3"/>
      <c r="R634" s="3"/>
      <c r="S634" s="3" t="str">
        <f ca="1">IFERROR(__xludf.DUMMYFUNCTION("""COMPUTED_VALUE"""),"100")</f>
        <v>100</v>
      </c>
      <c r="T634" s="3"/>
      <c r="U634" s="3" t="str">
        <f ca="1">IFERROR(__xludf.DUMMYFUNCTION("""COMPUTED_VALUE"""),"SoMe instagram")</f>
        <v>SoMe instagram</v>
      </c>
      <c r="V634" s="3"/>
      <c r="W634" s="3"/>
      <c r="X634" s="3"/>
      <c r="Y634" s="3"/>
      <c r="Z634" s="3" t="str">
        <f ca="1">IFERROR(__xludf.DUMMYFUNCTION("""COMPUTED_VALUE"""),"podklady@cncenter.cz")</f>
        <v>podklady@cncenter.cz</v>
      </c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 t="str">
        <f ca="1">IFERROR(__xludf.DUMMYFUNCTION("""COMPUTED_VALUE"""),"cross-device")</f>
        <v>cross-device</v>
      </c>
      <c r="AO634" s="3"/>
      <c r="AP634" s="3"/>
      <c r="AQ634" s="3"/>
      <c r="AR634" s="3"/>
      <c r="AS634" s="3"/>
      <c r="AT634" s="3"/>
      <c r="AU634" s="3" t="str">
        <f ca="1">IFERROR(__xludf.DUMMYFUNCTION("""COMPUTED_VALUE"""),"instagram post")</f>
        <v>instagram post</v>
      </c>
    </row>
    <row r="635" spans="1:47" x14ac:dyDescent="0.3">
      <c r="A635" s="3">
        <f ca="1"/>
        <v>2346826</v>
      </c>
      <c r="B635" s="3" t="str">
        <f ca="1"/>
        <v>CZECH NEWS CENTER a. s.</v>
      </c>
      <c r="C635" s="3" t="str">
        <f ca="1">IFERROR(__xludf.DUMMYFUNCTION("""COMPUTED_VALUE"""),"Instagramový profil ABC")</f>
        <v>Instagramový profil ABC</v>
      </c>
      <c r="D635" s="4" t="str">
        <f ca="1">IFERROR(__xludf.DUMMYFUNCTION("""COMPUTED_VALUE"""),"www.instagram.com")</f>
        <v>www.instagram.com</v>
      </c>
      <c r="E635" s="3" t="str">
        <f ca="1">IFERROR(__xludf.DUMMYFUNCTION("""COMPUTED_VALUE"""),"IG účet")</f>
        <v>IG účet</v>
      </c>
      <c r="F635" s="4" t="str">
        <f ca="1">IFERROR(__xludf.DUMMYFUNCTION("""COMPUTED_VALUE"""),"www.instagram.com")</f>
        <v>www.instagram.com</v>
      </c>
      <c r="G635" s="3" t="str">
        <f ca="1">IFERROR(__xludf.DUMMYFUNCTION("""COMPUTED_VALUE"""),"instagram story mid season")</f>
        <v>instagram story mid season</v>
      </c>
      <c r="H635" s="3">
        <f ca="1">IFERROR(__xludf.DUMMYFUNCTION("""COMPUTED_VALUE"""),1)</f>
        <v>1</v>
      </c>
      <c r="I635" s="5">
        <f ca="1">IFERROR(__xludf.DUMMYFUNCTION("""COMPUTED_VALUE"""),1)</f>
        <v>1</v>
      </c>
      <c r="J635" s="5">
        <f ca="1">IFERROR(__xludf.DUMMYFUNCTION("""COMPUTED_VALUE"""),18000)</f>
        <v>18000</v>
      </c>
      <c r="K635" s="3"/>
      <c r="L635" s="3" t="str">
        <f ca="1">IFERROR(__xludf.DUMMYFUNCTION("""COMPUTED_VALUE"""),"Cost per instance")</f>
        <v>Cost per instance</v>
      </c>
      <c r="M635" s="3"/>
      <c r="N635" s="3"/>
      <c r="O635" s="3"/>
      <c r="P635" s="3"/>
      <c r="Q635" s="3"/>
      <c r="R635" s="3"/>
      <c r="S635" s="3" t="str">
        <f ca="1">IFERROR(__xludf.DUMMYFUNCTION("""COMPUTED_VALUE"""),"100")</f>
        <v>100</v>
      </c>
      <c r="T635" s="3"/>
      <c r="U635" s="3" t="str">
        <f ca="1">IFERROR(__xludf.DUMMYFUNCTION("""COMPUTED_VALUE"""),"SoMe instagram")</f>
        <v>SoMe instagram</v>
      </c>
      <c r="V635" s="3"/>
      <c r="W635" s="3"/>
      <c r="X635" s="3"/>
      <c r="Y635" s="3"/>
      <c r="Z635" s="3" t="str">
        <f ca="1">IFERROR(__xludf.DUMMYFUNCTION("""COMPUTED_VALUE"""),"podklady@cncenter.cz")</f>
        <v>podklady@cncenter.cz</v>
      </c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 t="str">
        <f ca="1">IFERROR(__xludf.DUMMYFUNCTION("""COMPUTED_VALUE"""),"cross-device")</f>
        <v>cross-device</v>
      </c>
      <c r="AO635" s="3"/>
      <c r="AP635" s="3"/>
      <c r="AQ635" s="3"/>
      <c r="AR635" s="3"/>
      <c r="AS635" s="3"/>
      <c r="AT635" s="3"/>
      <c r="AU635" s="3" t="str">
        <f ca="1">IFERROR(__xludf.DUMMYFUNCTION("""COMPUTED_VALUE"""),"instagram story")</f>
        <v>instagram story</v>
      </c>
    </row>
    <row r="636" spans="1:47" x14ac:dyDescent="0.3">
      <c r="A636" s="3">
        <f ca="1"/>
        <v>2346826</v>
      </c>
      <c r="B636" s="3" t="str">
        <f ca="1"/>
        <v>CZECH NEWS CENTER a. s.</v>
      </c>
      <c r="C636" s="3" t="str">
        <f ca="1">IFERROR(__xludf.DUMMYFUNCTION("""COMPUTED_VALUE"""),"Instagramový profil Auto")</f>
        <v>Instagramový profil Auto</v>
      </c>
      <c r="D636" s="4" t="str">
        <f ca="1">IFERROR(__xludf.DUMMYFUNCTION("""COMPUTED_VALUE"""),"www.instagram.com")</f>
        <v>www.instagram.com</v>
      </c>
      <c r="E636" s="3" t="str">
        <f ca="1">IFERROR(__xludf.DUMMYFUNCTION("""COMPUTED_VALUE"""),"IG účet")</f>
        <v>IG účet</v>
      </c>
      <c r="F636" s="4" t="str">
        <f ca="1">IFERROR(__xludf.DUMMYFUNCTION("""COMPUTED_VALUE"""),"www.instagram.com")</f>
        <v>www.instagram.com</v>
      </c>
      <c r="G636" s="3" t="str">
        <f ca="1">IFERROR(__xludf.DUMMYFUNCTION("""COMPUTED_VALUE"""),"instagram post mid season")</f>
        <v>instagram post mid season</v>
      </c>
      <c r="H636" s="3">
        <f ca="1">IFERROR(__xludf.DUMMYFUNCTION("""COMPUTED_VALUE"""),1)</f>
        <v>1</v>
      </c>
      <c r="I636" s="5">
        <f ca="1">IFERROR(__xludf.DUMMYFUNCTION("""COMPUTED_VALUE"""),1)</f>
        <v>1</v>
      </c>
      <c r="J636" s="5">
        <f ca="1">IFERROR(__xludf.DUMMYFUNCTION("""COMPUTED_VALUE"""),23000)</f>
        <v>23000</v>
      </c>
      <c r="K636" s="3"/>
      <c r="L636" s="3" t="str">
        <f ca="1">IFERROR(__xludf.DUMMYFUNCTION("""COMPUTED_VALUE"""),"Cost per instance")</f>
        <v>Cost per instance</v>
      </c>
      <c r="M636" s="3"/>
      <c r="N636" s="3"/>
      <c r="O636" s="3"/>
      <c r="P636" s="3"/>
      <c r="Q636" s="3"/>
      <c r="R636" s="3"/>
      <c r="S636" s="3" t="str">
        <f ca="1">IFERROR(__xludf.DUMMYFUNCTION("""COMPUTED_VALUE"""),"100")</f>
        <v>100</v>
      </c>
      <c r="T636" s="3"/>
      <c r="U636" s="3" t="str">
        <f ca="1">IFERROR(__xludf.DUMMYFUNCTION("""COMPUTED_VALUE"""),"SoMe instagram")</f>
        <v>SoMe instagram</v>
      </c>
      <c r="V636" s="3"/>
      <c r="W636" s="3"/>
      <c r="X636" s="3"/>
      <c r="Y636" s="3"/>
      <c r="Z636" s="3" t="str">
        <f ca="1">IFERROR(__xludf.DUMMYFUNCTION("""COMPUTED_VALUE"""),"podklady@cncenter.cz")</f>
        <v>podklady@cncenter.cz</v>
      </c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 t="str">
        <f ca="1">IFERROR(__xludf.DUMMYFUNCTION("""COMPUTED_VALUE"""),"cross-device")</f>
        <v>cross-device</v>
      </c>
      <c r="AO636" s="3"/>
      <c r="AP636" s="3"/>
      <c r="AQ636" s="3"/>
      <c r="AR636" s="3"/>
      <c r="AS636" s="3"/>
      <c r="AT636" s="3"/>
      <c r="AU636" s="3" t="str">
        <f ca="1">IFERROR(__xludf.DUMMYFUNCTION("""COMPUTED_VALUE"""),"instagram post")</f>
        <v>instagram post</v>
      </c>
    </row>
    <row r="637" spans="1:47" x14ac:dyDescent="0.3">
      <c r="A637" s="3">
        <f ca="1"/>
        <v>2346826</v>
      </c>
      <c r="B637" s="3" t="str">
        <f ca="1"/>
        <v>CZECH NEWS CENTER a. s.</v>
      </c>
      <c r="C637" s="3" t="str">
        <f ca="1">IFERROR(__xludf.DUMMYFUNCTION("""COMPUTED_VALUE"""),"Instagramový profil Auto")</f>
        <v>Instagramový profil Auto</v>
      </c>
      <c r="D637" s="4" t="str">
        <f ca="1">IFERROR(__xludf.DUMMYFUNCTION("""COMPUTED_VALUE"""),"www.instagram.com")</f>
        <v>www.instagram.com</v>
      </c>
      <c r="E637" s="3" t="str">
        <f ca="1">IFERROR(__xludf.DUMMYFUNCTION("""COMPUTED_VALUE"""),"IG účet")</f>
        <v>IG účet</v>
      </c>
      <c r="F637" s="4" t="str">
        <f ca="1">IFERROR(__xludf.DUMMYFUNCTION("""COMPUTED_VALUE"""),"www.instagram.com")</f>
        <v>www.instagram.com</v>
      </c>
      <c r="G637" s="3" t="str">
        <f ca="1">IFERROR(__xludf.DUMMYFUNCTION("""COMPUTED_VALUE"""),"instagram story mid season")</f>
        <v>instagram story mid season</v>
      </c>
      <c r="H637" s="3">
        <f ca="1">IFERROR(__xludf.DUMMYFUNCTION("""COMPUTED_VALUE"""),1)</f>
        <v>1</v>
      </c>
      <c r="I637" s="5">
        <f ca="1">IFERROR(__xludf.DUMMYFUNCTION("""COMPUTED_VALUE"""),1)</f>
        <v>1</v>
      </c>
      <c r="J637" s="5">
        <f ca="1">IFERROR(__xludf.DUMMYFUNCTION("""COMPUTED_VALUE"""),23000)</f>
        <v>23000</v>
      </c>
      <c r="K637" s="3"/>
      <c r="L637" s="3" t="str">
        <f ca="1">IFERROR(__xludf.DUMMYFUNCTION("""COMPUTED_VALUE"""),"Cost per instance")</f>
        <v>Cost per instance</v>
      </c>
      <c r="M637" s="3"/>
      <c r="N637" s="3"/>
      <c r="O637" s="3"/>
      <c r="P637" s="3"/>
      <c r="Q637" s="3"/>
      <c r="R637" s="3"/>
      <c r="S637" s="3" t="str">
        <f ca="1">IFERROR(__xludf.DUMMYFUNCTION("""COMPUTED_VALUE"""),"100")</f>
        <v>100</v>
      </c>
      <c r="T637" s="3"/>
      <c r="U637" s="3" t="str">
        <f ca="1">IFERROR(__xludf.DUMMYFUNCTION("""COMPUTED_VALUE"""),"SoMe instagram")</f>
        <v>SoMe instagram</v>
      </c>
      <c r="V637" s="3"/>
      <c r="W637" s="3"/>
      <c r="X637" s="3"/>
      <c r="Y637" s="3"/>
      <c r="Z637" s="3" t="str">
        <f ca="1">IFERROR(__xludf.DUMMYFUNCTION("""COMPUTED_VALUE"""),"podklady@cncenter.cz")</f>
        <v>podklady@cncenter.cz</v>
      </c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 t="str">
        <f ca="1">IFERROR(__xludf.DUMMYFUNCTION("""COMPUTED_VALUE"""),"cross-device")</f>
        <v>cross-device</v>
      </c>
      <c r="AO637" s="3"/>
      <c r="AP637" s="3"/>
      <c r="AQ637" s="3"/>
      <c r="AR637" s="3"/>
      <c r="AS637" s="3"/>
      <c r="AT637" s="3"/>
      <c r="AU637" s="3" t="str">
        <f ca="1">IFERROR(__xludf.DUMMYFUNCTION("""COMPUTED_VALUE"""),"instagram story")</f>
        <v>instagram story</v>
      </c>
    </row>
    <row r="638" spans="1:47" x14ac:dyDescent="0.3">
      <c r="A638" s="3">
        <f ca="1"/>
        <v>2346826</v>
      </c>
      <c r="B638" s="3" t="str">
        <f ca="1"/>
        <v>CZECH NEWS CENTER a. s.</v>
      </c>
      <c r="C638" s="3" t="str">
        <f ca="1">IFERROR(__xludf.DUMMYFUNCTION("""COMPUTED_VALUE"""),"Instagramový profil AutoTip")</f>
        <v>Instagramový profil AutoTip</v>
      </c>
      <c r="D638" s="4" t="str">
        <f ca="1">IFERROR(__xludf.DUMMYFUNCTION("""COMPUTED_VALUE"""),"www.instagram.com")</f>
        <v>www.instagram.com</v>
      </c>
      <c r="E638" s="3" t="str">
        <f ca="1">IFERROR(__xludf.DUMMYFUNCTION("""COMPUTED_VALUE"""),"IG účet")</f>
        <v>IG účet</v>
      </c>
      <c r="F638" s="4" t="str">
        <f ca="1">IFERROR(__xludf.DUMMYFUNCTION("""COMPUTED_VALUE"""),"www.instagram.com")</f>
        <v>www.instagram.com</v>
      </c>
      <c r="G638" s="3" t="str">
        <f ca="1">IFERROR(__xludf.DUMMYFUNCTION("""COMPUTED_VALUE"""),"instagram post mid season")</f>
        <v>instagram post mid season</v>
      </c>
      <c r="H638" s="3">
        <f ca="1">IFERROR(__xludf.DUMMYFUNCTION("""COMPUTED_VALUE"""),1)</f>
        <v>1</v>
      </c>
      <c r="I638" s="5">
        <f ca="1">IFERROR(__xludf.DUMMYFUNCTION("""COMPUTED_VALUE"""),1)</f>
        <v>1</v>
      </c>
      <c r="J638" s="5">
        <f ca="1">IFERROR(__xludf.DUMMYFUNCTION("""COMPUTED_VALUE"""),18000)</f>
        <v>18000</v>
      </c>
      <c r="K638" s="3"/>
      <c r="L638" s="3" t="str">
        <f ca="1">IFERROR(__xludf.DUMMYFUNCTION("""COMPUTED_VALUE"""),"Cost per instance")</f>
        <v>Cost per instance</v>
      </c>
      <c r="M638" s="3"/>
      <c r="N638" s="3"/>
      <c r="O638" s="3"/>
      <c r="P638" s="3"/>
      <c r="Q638" s="3"/>
      <c r="R638" s="3"/>
      <c r="S638" s="3" t="str">
        <f ca="1">IFERROR(__xludf.DUMMYFUNCTION("""COMPUTED_VALUE"""),"100")</f>
        <v>100</v>
      </c>
      <c r="T638" s="3"/>
      <c r="U638" s="3" t="str">
        <f ca="1">IFERROR(__xludf.DUMMYFUNCTION("""COMPUTED_VALUE"""),"SoMe instagram")</f>
        <v>SoMe instagram</v>
      </c>
      <c r="V638" s="3"/>
      <c r="W638" s="3"/>
      <c r="X638" s="3"/>
      <c r="Y638" s="3"/>
      <c r="Z638" s="3" t="str">
        <f ca="1">IFERROR(__xludf.DUMMYFUNCTION("""COMPUTED_VALUE"""),"podklady@cncenter.cz")</f>
        <v>podklady@cncenter.cz</v>
      </c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 t="str">
        <f ca="1">IFERROR(__xludf.DUMMYFUNCTION("""COMPUTED_VALUE"""),"cross-device")</f>
        <v>cross-device</v>
      </c>
      <c r="AO638" s="3"/>
      <c r="AP638" s="3"/>
      <c r="AQ638" s="3"/>
      <c r="AR638" s="3"/>
      <c r="AS638" s="3"/>
      <c r="AT638" s="3"/>
      <c r="AU638" s="3" t="str">
        <f ca="1">IFERROR(__xludf.DUMMYFUNCTION("""COMPUTED_VALUE"""),"instagram post")</f>
        <v>instagram post</v>
      </c>
    </row>
    <row r="639" spans="1:47" x14ac:dyDescent="0.3">
      <c r="A639" s="3">
        <f ca="1"/>
        <v>2346826</v>
      </c>
      <c r="B639" s="3" t="str">
        <f ca="1"/>
        <v>CZECH NEWS CENTER a. s.</v>
      </c>
      <c r="C639" s="3" t="str">
        <f ca="1">IFERROR(__xludf.DUMMYFUNCTION("""COMPUTED_VALUE"""),"Instagramový profil AutoTip")</f>
        <v>Instagramový profil AutoTip</v>
      </c>
      <c r="D639" s="4" t="str">
        <f ca="1">IFERROR(__xludf.DUMMYFUNCTION("""COMPUTED_VALUE"""),"www.instagram.com")</f>
        <v>www.instagram.com</v>
      </c>
      <c r="E639" s="3" t="str">
        <f ca="1">IFERROR(__xludf.DUMMYFUNCTION("""COMPUTED_VALUE"""),"IG účet")</f>
        <v>IG účet</v>
      </c>
      <c r="F639" s="4" t="str">
        <f ca="1">IFERROR(__xludf.DUMMYFUNCTION("""COMPUTED_VALUE"""),"www.instagram.com")</f>
        <v>www.instagram.com</v>
      </c>
      <c r="G639" s="3" t="str">
        <f ca="1">IFERROR(__xludf.DUMMYFUNCTION("""COMPUTED_VALUE"""),"instagram story mid season")</f>
        <v>instagram story mid season</v>
      </c>
      <c r="H639" s="3">
        <f ca="1">IFERROR(__xludf.DUMMYFUNCTION("""COMPUTED_VALUE"""),1)</f>
        <v>1</v>
      </c>
      <c r="I639" s="5">
        <f ca="1">IFERROR(__xludf.DUMMYFUNCTION("""COMPUTED_VALUE"""),1)</f>
        <v>1</v>
      </c>
      <c r="J639" s="5">
        <f ca="1">IFERROR(__xludf.DUMMYFUNCTION("""COMPUTED_VALUE"""),18000)</f>
        <v>18000</v>
      </c>
      <c r="K639" s="3"/>
      <c r="L639" s="3" t="str">
        <f ca="1">IFERROR(__xludf.DUMMYFUNCTION("""COMPUTED_VALUE"""),"Cost per instance")</f>
        <v>Cost per instance</v>
      </c>
      <c r="M639" s="3"/>
      <c r="N639" s="3"/>
      <c r="O639" s="3"/>
      <c r="P639" s="3"/>
      <c r="Q639" s="3"/>
      <c r="R639" s="3"/>
      <c r="S639" s="3" t="str">
        <f ca="1">IFERROR(__xludf.DUMMYFUNCTION("""COMPUTED_VALUE"""),"100")</f>
        <v>100</v>
      </c>
      <c r="T639" s="3"/>
      <c r="U639" s="3" t="str">
        <f ca="1">IFERROR(__xludf.DUMMYFUNCTION("""COMPUTED_VALUE"""),"SoMe instagram")</f>
        <v>SoMe instagram</v>
      </c>
      <c r="V639" s="3"/>
      <c r="W639" s="3"/>
      <c r="X639" s="3"/>
      <c r="Y639" s="3"/>
      <c r="Z639" s="3" t="str">
        <f ca="1">IFERROR(__xludf.DUMMYFUNCTION("""COMPUTED_VALUE"""),"podklady@cncenter.cz")</f>
        <v>podklady@cncenter.cz</v>
      </c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 t="str">
        <f ca="1">IFERROR(__xludf.DUMMYFUNCTION("""COMPUTED_VALUE"""),"cross-device")</f>
        <v>cross-device</v>
      </c>
      <c r="AO639" s="3"/>
      <c r="AP639" s="3"/>
      <c r="AQ639" s="3"/>
      <c r="AR639" s="3"/>
      <c r="AS639" s="3"/>
      <c r="AT639" s="3"/>
      <c r="AU639" s="3" t="str">
        <f ca="1">IFERROR(__xludf.DUMMYFUNCTION("""COMPUTED_VALUE"""),"instagram story")</f>
        <v>instagram story</v>
      </c>
    </row>
    <row r="640" spans="1:47" x14ac:dyDescent="0.3">
      <c r="A640" s="3">
        <f ca="1"/>
        <v>2346826</v>
      </c>
      <c r="B640" s="3" t="str">
        <f ca="1"/>
        <v>CZECH NEWS CENTER a. s.</v>
      </c>
      <c r="C640" s="3" t="str">
        <f ca="1">IFERROR(__xludf.DUMMYFUNCTION("""COMPUTED_VALUE"""),"Instagramový profil Blesk")</f>
        <v>Instagramový profil Blesk</v>
      </c>
      <c r="D640" s="4" t="str">
        <f ca="1">IFERROR(__xludf.DUMMYFUNCTION("""COMPUTED_VALUE"""),"www.instagram.com")</f>
        <v>www.instagram.com</v>
      </c>
      <c r="E640" s="3" t="str">
        <f ca="1">IFERROR(__xludf.DUMMYFUNCTION("""COMPUTED_VALUE"""),"IG účet")</f>
        <v>IG účet</v>
      </c>
      <c r="F640" s="4" t="str">
        <f ca="1">IFERROR(__xludf.DUMMYFUNCTION("""COMPUTED_VALUE"""),"www.instagram.com")</f>
        <v>www.instagram.com</v>
      </c>
      <c r="G640" s="3" t="str">
        <f ca="1">IFERROR(__xludf.DUMMYFUNCTION("""COMPUTED_VALUE"""),"instagram post mid season")</f>
        <v>instagram post mid season</v>
      </c>
      <c r="H640" s="3">
        <f ca="1">IFERROR(__xludf.DUMMYFUNCTION("""COMPUTED_VALUE"""),1)</f>
        <v>1</v>
      </c>
      <c r="I640" s="5">
        <f ca="1">IFERROR(__xludf.DUMMYFUNCTION("""COMPUTED_VALUE"""),1)</f>
        <v>1</v>
      </c>
      <c r="J640" s="5">
        <f ca="1">IFERROR(__xludf.DUMMYFUNCTION("""COMPUTED_VALUE"""),23000)</f>
        <v>23000</v>
      </c>
      <c r="K640" s="3"/>
      <c r="L640" s="3" t="str">
        <f ca="1">IFERROR(__xludf.DUMMYFUNCTION("""COMPUTED_VALUE"""),"Cost per instance")</f>
        <v>Cost per instance</v>
      </c>
      <c r="M640" s="3"/>
      <c r="N640" s="3"/>
      <c r="O640" s="3"/>
      <c r="P640" s="3"/>
      <c r="Q640" s="3"/>
      <c r="R640" s="3"/>
      <c r="S640" s="3" t="str">
        <f ca="1">IFERROR(__xludf.DUMMYFUNCTION("""COMPUTED_VALUE"""),"100")</f>
        <v>100</v>
      </c>
      <c r="T640" s="3"/>
      <c r="U640" s="3" t="str">
        <f ca="1">IFERROR(__xludf.DUMMYFUNCTION("""COMPUTED_VALUE"""),"SoMe instagram")</f>
        <v>SoMe instagram</v>
      </c>
      <c r="V640" s="3"/>
      <c r="W640" s="3"/>
      <c r="X640" s="3"/>
      <c r="Y640" s="3"/>
      <c r="Z640" s="3" t="str">
        <f ca="1">IFERROR(__xludf.DUMMYFUNCTION("""COMPUTED_VALUE"""),"podklady@cncenter.cz")</f>
        <v>podklady@cncenter.cz</v>
      </c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 t="str">
        <f ca="1">IFERROR(__xludf.DUMMYFUNCTION("""COMPUTED_VALUE"""),"cross-device")</f>
        <v>cross-device</v>
      </c>
      <c r="AO640" s="3"/>
      <c r="AP640" s="3"/>
      <c r="AQ640" s="3"/>
      <c r="AR640" s="3"/>
      <c r="AS640" s="3"/>
      <c r="AT640" s="3"/>
      <c r="AU640" s="3" t="str">
        <f ca="1">IFERROR(__xludf.DUMMYFUNCTION("""COMPUTED_VALUE"""),"instagram post")</f>
        <v>instagram post</v>
      </c>
    </row>
    <row r="641" spans="1:47" x14ac:dyDescent="0.3">
      <c r="A641" s="3">
        <f ca="1"/>
        <v>2346826</v>
      </c>
      <c r="B641" s="3" t="str">
        <f ca="1"/>
        <v>CZECH NEWS CENTER a. s.</v>
      </c>
      <c r="C641" s="3" t="str">
        <f ca="1">IFERROR(__xludf.DUMMYFUNCTION("""COMPUTED_VALUE"""),"Instagramový profil Blesk")</f>
        <v>Instagramový profil Blesk</v>
      </c>
      <c r="D641" s="4" t="str">
        <f ca="1">IFERROR(__xludf.DUMMYFUNCTION("""COMPUTED_VALUE"""),"www.instagram.com")</f>
        <v>www.instagram.com</v>
      </c>
      <c r="E641" s="3" t="str">
        <f ca="1">IFERROR(__xludf.DUMMYFUNCTION("""COMPUTED_VALUE"""),"IG účet")</f>
        <v>IG účet</v>
      </c>
      <c r="F641" s="4" t="str">
        <f ca="1">IFERROR(__xludf.DUMMYFUNCTION("""COMPUTED_VALUE"""),"www.instagram.com")</f>
        <v>www.instagram.com</v>
      </c>
      <c r="G641" s="3" t="str">
        <f ca="1">IFERROR(__xludf.DUMMYFUNCTION("""COMPUTED_VALUE"""),"instagram story mid season")</f>
        <v>instagram story mid season</v>
      </c>
      <c r="H641" s="3">
        <f ca="1">IFERROR(__xludf.DUMMYFUNCTION("""COMPUTED_VALUE"""),1)</f>
        <v>1</v>
      </c>
      <c r="I641" s="5">
        <f ca="1">IFERROR(__xludf.DUMMYFUNCTION("""COMPUTED_VALUE"""),1)</f>
        <v>1</v>
      </c>
      <c r="J641" s="5">
        <f ca="1">IFERROR(__xludf.DUMMYFUNCTION("""COMPUTED_VALUE"""),23000)</f>
        <v>23000</v>
      </c>
      <c r="K641" s="3"/>
      <c r="L641" s="3" t="str">
        <f ca="1">IFERROR(__xludf.DUMMYFUNCTION("""COMPUTED_VALUE"""),"Cost per instance")</f>
        <v>Cost per instance</v>
      </c>
      <c r="M641" s="3"/>
      <c r="N641" s="3"/>
      <c r="O641" s="3"/>
      <c r="P641" s="3"/>
      <c r="Q641" s="3"/>
      <c r="R641" s="3"/>
      <c r="S641" s="3" t="str">
        <f ca="1">IFERROR(__xludf.DUMMYFUNCTION("""COMPUTED_VALUE"""),"100")</f>
        <v>100</v>
      </c>
      <c r="T641" s="3"/>
      <c r="U641" s="3" t="str">
        <f ca="1">IFERROR(__xludf.DUMMYFUNCTION("""COMPUTED_VALUE"""),"SoMe instagram")</f>
        <v>SoMe instagram</v>
      </c>
      <c r="V641" s="3"/>
      <c r="W641" s="3"/>
      <c r="X641" s="3"/>
      <c r="Y641" s="3"/>
      <c r="Z641" s="3" t="str">
        <f ca="1">IFERROR(__xludf.DUMMYFUNCTION("""COMPUTED_VALUE"""),"podklady@cncenter.cz")</f>
        <v>podklady@cncenter.cz</v>
      </c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 t="str">
        <f ca="1">IFERROR(__xludf.DUMMYFUNCTION("""COMPUTED_VALUE"""),"cross-device")</f>
        <v>cross-device</v>
      </c>
      <c r="AO641" s="3"/>
      <c r="AP641" s="3"/>
      <c r="AQ641" s="3"/>
      <c r="AR641" s="3"/>
      <c r="AS641" s="3"/>
      <c r="AT641" s="3"/>
      <c r="AU641" s="3" t="str">
        <f ca="1">IFERROR(__xludf.DUMMYFUNCTION("""COMPUTED_VALUE"""),"instagram story")</f>
        <v>instagram story</v>
      </c>
    </row>
    <row r="642" spans="1:47" x14ac:dyDescent="0.3">
      <c r="A642" s="3">
        <f ca="1"/>
        <v>2346826</v>
      </c>
      <c r="B642" s="3" t="str">
        <f ca="1"/>
        <v>CZECH NEWS CENTER a. s.</v>
      </c>
      <c r="C642" s="3" t="str">
        <f ca="1">IFERROR(__xludf.DUMMYFUNCTION("""COMPUTED_VALUE"""),"Instagramový profil Blesk pro ženy")</f>
        <v>Instagramový profil Blesk pro ženy</v>
      </c>
      <c r="D642" s="4" t="str">
        <f ca="1">IFERROR(__xludf.DUMMYFUNCTION("""COMPUTED_VALUE"""),"www.instagram.com")</f>
        <v>www.instagram.com</v>
      </c>
      <c r="E642" s="3" t="str">
        <f ca="1">IFERROR(__xludf.DUMMYFUNCTION("""COMPUTED_VALUE"""),"IG účet")</f>
        <v>IG účet</v>
      </c>
      <c r="F642" s="4" t="str">
        <f ca="1">IFERROR(__xludf.DUMMYFUNCTION("""COMPUTED_VALUE"""),"www.instagram.com")</f>
        <v>www.instagram.com</v>
      </c>
      <c r="G642" s="3" t="str">
        <f ca="1">IFERROR(__xludf.DUMMYFUNCTION("""COMPUTED_VALUE"""),"instagram post mid season")</f>
        <v>instagram post mid season</v>
      </c>
      <c r="H642" s="3">
        <f ca="1">IFERROR(__xludf.DUMMYFUNCTION("""COMPUTED_VALUE"""),1)</f>
        <v>1</v>
      </c>
      <c r="I642" s="5">
        <f ca="1">IFERROR(__xludf.DUMMYFUNCTION("""COMPUTED_VALUE"""),1)</f>
        <v>1</v>
      </c>
      <c r="J642" s="5">
        <f ca="1">IFERROR(__xludf.DUMMYFUNCTION("""COMPUTED_VALUE"""),23000)</f>
        <v>23000</v>
      </c>
      <c r="K642" s="3"/>
      <c r="L642" s="3" t="str">
        <f ca="1">IFERROR(__xludf.DUMMYFUNCTION("""COMPUTED_VALUE"""),"Cost per instance")</f>
        <v>Cost per instance</v>
      </c>
      <c r="M642" s="3"/>
      <c r="N642" s="3"/>
      <c r="O642" s="3"/>
      <c r="P642" s="3"/>
      <c r="Q642" s="3"/>
      <c r="R642" s="3"/>
      <c r="S642" s="3" t="str">
        <f ca="1">IFERROR(__xludf.DUMMYFUNCTION("""COMPUTED_VALUE"""),"100")</f>
        <v>100</v>
      </c>
      <c r="T642" s="3"/>
      <c r="U642" s="3" t="str">
        <f ca="1">IFERROR(__xludf.DUMMYFUNCTION("""COMPUTED_VALUE"""),"SoMe instagram")</f>
        <v>SoMe instagram</v>
      </c>
      <c r="V642" s="3"/>
      <c r="W642" s="3"/>
      <c r="X642" s="3"/>
      <c r="Y642" s="3"/>
      <c r="Z642" s="3" t="str">
        <f ca="1">IFERROR(__xludf.DUMMYFUNCTION("""COMPUTED_VALUE"""),"podklady@cncenter.cz")</f>
        <v>podklady@cncenter.cz</v>
      </c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 t="str">
        <f ca="1">IFERROR(__xludf.DUMMYFUNCTION("""COMPUTED_VALUE"""),"cross-device")</f>
        <v>cross-device</v>
      </c>
      <c r="AO642" s="3"/>
      <c r="AP642" s="3"/>
      <c r="AQ642" s="3"/>
      <c r="AR642" s="3"/>
      <c r="AS642" s="3"/>
      <c r="AT642" s="3"/>
      <c r="AU642" s="3" t="str">
        <f ca="1">IFERROR(__xludf.DUMMYFUNCTION("""COMPUTED_VALUE"""),"instagram post")</f>
        <v>instagram post</v>
      </c>
    </row>
    <row r="643" spans="1:47" x14ac:dyDescent="0.3">
      <c r="A643" s="3">
        <f ca="1"/>
        <v>2346826</v>
      </c>
      <c r="B643" s="3" t="str">
        <f ca="1"/>
        <v>CZECH NEWS CENTER a. s.</v>
      </c>
      <c r="C643" s="3" t="str">
        <f ca="1">IFERROR(__xludf.DUMMYFUNCTION("""COMPUTED_VALUE"""),"Instagramový profil Blesk pro ženy")</f>
        <v>Instagramový profil Blesk pro ženy</v>
      </c>
      <c r="D643" s="4" t="str">
        <f ca="1">IFERROR(__xludf.DUMMYFUNCTION("""COMPUTED_VALUE"""),"www.instagram.com")</f>
        <v>www.instagram.com</v>
      </c>
      <c r="E643" s="3" t="str">
        <f ca="1">IFERROR(__xludf.DUMMYFUNCTION("""COMPUTED_VALUE"""),"IG účet")</f>
        <v>IG účet</v>
      </c>
      <c r="F643" s="4" t="str">
        <f ca="1">IFERROR(__xludf.DUMMYFUNCTION("""COMPUTED_VALUE"""),"www.instagram.com")</f>
        <v>www.instagram.com</v>
      </c>
      <c r="G643" s="3" t="str">
        <f ca="1">IFERROR(__xludf.DUMMYFUNCTION("""COMPUTED_VALUE"""),"instagram story mid season")</f>
        <v>instagram story mid season</v>
      </c>
      <c r="H643" s="3">
        <f ca="1">IFERROR(__xludf.DUMMYFUNCTION("""COMPUTED_VALUE"""),1)</f>
        <v>1</v>
      </c>
      <c r="I643" s="5">
        <f ca="1">IFERROR(__xludf.DUMMYFUNCTION("""COMPUTED_VALUE"""),1)</f>
        <v>1</v>
      </c>
      <c r="J643" s="5">
        <f ca="1">IFERROR(__xludf.DUMMYFUNCTION("""COMPUTED_VALUE"""),23000)</f>
        <v>23000</v>
      </c>
      <c r="K643" s="3"/>
      <c r="L643" s="3" t="str">
        <f ca="1">IFERROR(__xludf.DUMMYFUNCTION("""COMPUTED_VALUE"""),"Cost per instance")</f>
        <v>Cost per instance</v>
      </c>
      <c r="M643" s="3"/>
      <c r="N643" s="3"/>
      <c r="O643" s="3"/>
      <c r="P643" s="3"/>
      <c r="Q643" s="3"/>
      <c r="R643" s="3"/>
      <c r="S643" s="3" t="str">
        <f ca="1">IFERROR(__xludf.DUMMYFUNCTION("""COMPUTED_VALUE"""),"100")</f>
        <v>100</v>
      </c>
      <c r="T643" s="3"/>
      <c r="U643" s="3" t="str">
        <f ca="1">IFERROR(__xludf.DUMMYFUNCTION("""COMPUTED_VALUE"""),"SoMe instagram")</f>
        <v>SoMe instagram</v>
      </c>
      <c r="V643" s="3"/>
      <c r="W643" s="3"/>
      <c r="X643" s="3"/>
      <c r="Y643" s="3"/>
      <c r="Z643" s="3" t="str">
        <f ca="1">IFERROR(__xludf.DUMMYFUNCTION("""COMPUTED_VALUE"""),"podklady@cncenter.cz")</f>
        <v>podklady@cncenter.cz</v>
      </c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 t="str">
        <f ca="1">IFERROR(__xludf.DUMMYFUNCTION("""COMPUTED_VALUE"""),"cross-device")</f>
        <v>cross-device</v>
      </c>
      <c r="AO643" s="3"/>
      <c r="AP643" s="3"/>
      <c r="AQ643" s="3"/>
      <c r="AR643" s="3"/>
      <c r="AS643" s="3"/>
      <c r="AT643" s="3"/>
      <c r="AU643" s="3" t="str">
        <f ca="1">IFERROR(__xludf.DUMMYFUNCTION("""COMPUTED_VALUE"""),"instagram story")</f>
        <v>instagram story</v>
      </c>
    </row>
    <row r="644" spans="1:47" x14ac:dyDescent="0.3">
      <c r="A644" s="3">
        <f ca="1"/>
        <v>2346826</v>
      </c>
      <c r="B644" s="3" t="str">
        <f ca="1"/>
        <v>CZECH NEWS CENTER a. s.</v>
      </c>
      <c r="C644" s="3" t="str">
        <f ca="1">IFERROR(__xludf.DUMMYFUNCTION("""COMPUTED_VALUE"""),"Instagramový profil E15")</f>
        <v>Instagramový profil E15</v>
      </c>
      <c r="D644" s="4" t="str">
        <f ca="1">IFERROR(__xludf.DUMMYFUNCTION("""COMPUTED_VALUE"""),"www.instagram.com")</f>
        <v>www.instagram.com</v>
      </c>
      <c r="E644" s="3" t="str">
        <f ca="1">IFERROR(__xludf.DUMMYFUNCTION("""COMPUTED_VALUE"""),"IG účet")</f>
        <v>IG účet</v>
      </c>
      <c r="F644" s="4" t="str">
        <f ca="1">IFERROR(__xludf.DUMMYFUNCTION("""COMPUTED_VALUE"""),"www.instagram.com")</f>
        <v>www.instagram.com</v>
      </c>
      <c r="G644" s="3" t="str">
        <f ca="1">IFERROR(__xludf.DUMMYFUNCTION("""COMPUTED_VALUE"""),"instagram story mid season")</f>
        <v>instagram story mid season</v>
      </c>
      <c r="H644" s="3">
        <f ca="1">IFERROR(__xludf.DUMMYFUNCTION("""COMPUTED_VALUE"""),1)</f>
        <v>1</v>
      </c>
      <c r="I644" s="5">
        <f ca="1">IFERROR(__xludf.DUMMYFUNCTION("""COMPUTED_VALUE"""),1)</f>
        <v>1</v>
      </c>
      <c r="J644" s="5">
        <f ca="1">IFERROR(__xludf.DUMMYFUNCTION("""COMPUTED_VALUE"""),23000)</f>
        <v>23000</v>
      </c>
      <c r="K644" s="3"/>
      <c r="L644" s="3" t="str">
        <f ca="1">IFERROR(__xludf.DUMMYFUNCTION("""COMPUTED_VALUE"""),"Cost per instance")</f>
        <v>Cost per instance</v>
      </c>
      <c r="M644" s="3"/>
      <c r="N644" s="3"/>
      <c r="O644" s="3"/>
      <c r="P644" s="3"/>
      <c r="Q644" s="3"/>
      <c r="R644" s="3"/>
      <c r="S644" s="3" t="str">
        <f ca="1">IFERROR(__xludf.DUMMYFUNCTION("""COMPUTED_VALUE"""),"100")</f>
        <v>100</v>
      </c>
      <c r="T644" s="3"/>
      <c r="U644" s="3" t="str">
        <f ca="1">IFERROR(__xludf.DUMMYFUNCTION("""COMPUTED_VALUE"""),"SoMe instagram")</f>
        <v>SoMe instagram</v>
      </c>
      <c r="V644" s="3"/>
      <c r="W644" s="3"/>
      <c r="X644" s="3"/>
      <c r="Y644" s="3"/>
      <c r="Z644" s="3" t="str">
        <f ca="1">IFERROR(__xludf.DUMMYFUNCTION("""COMPUTED_VALUE"""),"podklady@cncenter.cz")</f>
        <v>podklady@cncenter.cz</v>
      </c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 t="str">
        <f ca="1">IFERROR(__xludf.DUMMYFUNCTION("""COMPUTED_VALUE"""),"cross-device")</f>
        <v>cross-device</v>
      </c>
      <c r="AO644" s="3"/>
      <c r="AP644" s="3"/>
      <c r="AQ644" s="3"/>
      <c r="AR644" s="3"/>
      <c r="AS644" s="3"/>
      <c r="AT644" s="3"/>
      <c r="AU644" s="3" t="str">
        <f ca="1">IFERROR(__xludf.DUMMYFUNCTION("""COMPUTED_VALUE"""),"instagram story")</f>
        <v>instagram story</v>
      </c>
    </row>
    <row r="645" spans="1:47" x14ac:dyDescent="0.3">
      <c r="A645" s="3">
        <f ca="1"/>
        <v>2346826</v>
      </c>
      <c r="B645" s="3" t="str">
        <f ca="1"/>
        <v>CZECH NEWS CENTER a. s.</v>
      </c>
      <c r="C645" s="3" t="str">
        <f ca="1">IFERROR(__xludf.DUMMYFUNCTION("""COMPUTED_VALUE"""),"Instagramový profil Evropa 2")</f>
        <v>Instagramový profil Evropa 2</v>
      </c>
      <c r="D645" s="4" t="str">
        <f ca="1">IFERROR(__xludf.DUMMYFUNCTION("""COMPUTED_VALUE"""),"www.instagram.com")</f>
        <v>www.instagram.com</v>
      </c>
      <c r="E645" s="3" t="str">
        <f ca="1">IFERROR(__xludf.DUMMYFUNCTION("""COMPUTED_VALUE"""),"IG účet")</f>
        <v>IG účet</v>
      </c>
      <c r="F645" s="4" t="str">
        <f ca="1">IFERROR(__xludf.DUMMYFUNCTION("""COMPUTED_VALUE"""),"www.instagram.com")</f>
        <v>www.instagram.com</v>
      </c>
      <c r="G645" s="3" t="str">
        <f ca="1">IFERROR(__xludf.DUMMYFUNCTION("""COMPUTED_VALUE"""),"instagram post mid season")</f>
        <v>instagram post mid season</v>
      </c>
      <c r="H645" s="3">
        <f ca="1">IFERROR(__xludf.DUMMYFUNCTION("""COMPUTED_VALUE"""),1)</f>
        <v>1</v>
      </c>
      <c r="I645" s="5">
        <f ca="1">IFERROR(__xludf.DUMMYFUNCTION("""COMPUTED_VALUE"""),1)</f>
        <v>1</v>
      </c>
      <c r="J645" s="5">
        <f ca="1">IFERROR(__xludf.DUMMYFUNCTION("""COMPUTED_VALUE"""),58500)</f>
        <v>58500</v>
      </c>
      <c r="K645" s="3"/>
      <c r="L645" s="3" t="str">
        <f ca="1">IFERROR(__xludf.DUMMYFUNCTION("""COMPUTED_VALUE"""),"Cost per instance")</f>
        <v>Cost per instance</v>
      </c>
      <c r="M645" s="3"/>
      <c r="N645" s="3"/>
      <c r="O645" s="3"/>
      <c r="P645" s="3"/>
      <c r="Q645" s="3"/>
      <c r="R645" s="3"/>
      <c r="S645" s="3" t="str">
        <f ca="1">IFERROR(__xludf.DUMMYFUNCTION("""COMPUTED_VALUE"""),"100")</f>
        <v>100</v>
      </c>
      <c r="T645" s="3"/>
      <c r="U645" s="3" t="str">
        <f ca="1">IFERROR(__xludf.DUMMYFUNCTION("""COMPUTED_VALUE"""),"SoMe instagram")</f>
        <v>SoMe instagram</v>
      </c>
      <c r="V645" s="3"/>
      <c r="W645" s="3"/>
      <c r="X645" s="3"/>
      <c r="Y645" s="3"/>
      <c r="Z645" s="3" t="str">
        <f ca="1">IFERROR(__xludf.DUMMYFUNCTION("""COMPUTED_VALUE"""),"podklady@cncenter.cz")</f>
        <v>podklady@cncenter.cz</v>
      </c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 t="str">
        <f ca="1">IFERROR(__xludf.DUMMYFUNCTION("""COMPUTED_VALUE"""),"cross-device")</f>
        <v>cross-device</v>
      </c>
      <c r="AO645" s="3"/>
      <c r="AP645" s="3"/>
      <c r="AQ645" s="3"/>
      <c r="AR645" s="3"/>
      <c r="AS645" s="3"/>
      <c r="AT645" s="3"/>
      <c r="AU645" s="3" t="str">
        <f ca="1">IFERROR(__xludf.DUMMYFUNCTION("""COMPUTED_VALUE"""),"instagram post")</f>
        <v>instagram post</v>
      </c>
    </row>
    <row r="646" spans="1:47" x14ac:dyDescent="0.3">
      <c r="A646" s="3">
        <f ca="1"/>
        <v>2346826</v>
      </c>
      <c r="B646" s="3" t="str">
        <f ca="1"/>
        <v>CZECH NEWS CENTER a. s.</v>
      </c>
      <c r="C646" s="3" t="str">
        <f ca="1">IFERROR(__xludf.DUMMYFUNCTION("""COMPUTED_VALUE"""),"Instagramový profil F.O.O.D.")</f>
        <v>Instagramový profil F.O.O.D.</v>
      </c>
      <c r="D646" s="4" t="str">
        <f ca="1">IFERROR(__xludf.DUMMYFUNCTION("""COMPUTED_VALUE"""),"www.instagram.com")</f>
        <v>www.instagram.com</v>
      </c>
      <c r="E646" s="3" t="str">
        <f ca="1">IFERROR(__xludf.DUMMYFUNCTION("""COMPUTED_VALUE"""),"IG účet")</f>
        <v>IG účet</v>
      </c>
      <c r="F646" s="4" t="str">
        <f ca="1">IFERROR(__xludf.DUMMYFUNCTION("""COMPUTED_VALUE"""),"www.instagram.com")</f>
        <v>www.instagram.com</v>
      </c>
      <c r="G646" s="3" t="str">
        <f ca="1">IFERROR(__xludf.DUMMYFUNCTION("""COMPUTED_VALUE"""),"instagram post mid season")</f>
        <v>instagram post mid season</v>
      </c>
      <c r="H646" s="3">
        <f ca="1">IFERROR(__xludf.DUMMYFUNCTION("""COMPUTED_VALUE"""),1)</f>
        <v>1</v>
      </c>
      <c r="I646" s="5">
        <f ca="1">IFERROR(__xludf.DUMMYFUNCTION("""COMPUTED_VALUE"""),1)</f>
        <v>1</v>
      </c>
      <c r="J646" s="5">
        <f ca="1">IFERROR(__xludf.DUMMYFUNCTION("""COMPUTED_VALUE"""),18000)</f>
        <v>18000</v>
      </c>
      <c r="K646" s="3"/>
      <c r="L646" s="3" t="str">
        <f ca="1">IFERROR(__xludf.DUMMYFUNCTION("""COMPUTED_VALUE"""),"Cost per instance")</f>
        <v>Cost per instance</v>
      </c>
      <c r="M646" s="3"/>
      <c r="N646" s="3"/>
      <c r="O646" s="3"/>
      <c r="P646" s="3"/>
      <c r="Q646" s="3"/>
      <c r="R646" s="3"/>
      <c r="S646" s="3" t="str">
        <f ca="1">IFERROR(__xludf.DUMMYFUNCTION("""COMPUTED_VALUE"""),"100")</f>
        <v>100</v>
      </c>
      <c r="T646" s="3"/>
      <c r="U646" s="3" t="str">
        <f ca="1">IFERROR(__xludf.DUMMYFUNCTION("""COMPUTED_VALUE"""),"SoMe instagram")</f>
        <v>SoMe instagram</v>
      </c>
      <c r="V646" s="3"/>
      <c r="W646" s="3"/>
      <c r="X646" s="3"/>
      <c r="Y646" s="3"/>
      <c r="Z646" s="3" t="str">
        <f ca="1">IFERROR(__xludf.DUMMYFUNCTION("""COMPUTED_VALUE"""),"podklady@cncenter.cz")</f>
        <v>podklady@cncenter.cz</v>
      </c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 t="str">
        <f ca="1">IFERROR(__xludf.DUMMYFUNCTION("""COMPUTED_VALUE"""),"cross-device")</f>
        <v>cross-device</v>
      </c>
      <c r="AO646" s="3"/>
      <c r="AP646" s="3"/>
      <c r="AQ646" s="3"/>
      <c r="AR646" s="3"/>
      <c r="AS646" s="3"/>
      <c r="AT646" s="3"/>
      <c r="AU646" s="3" t="str">
        <f ca="1">IFERROR(__xludf.DUMMYFUNCTION("""COMPUTED_VALUE"""),"instagram post")</f>
        <v>instagram post</v>
      </c>
    </row>
    <row r="647" spans="1:47" x14ac:dyDescent="0.3">
      <c r="A647" s="3">
        <f ca="1"/>
        <v>2346826</v>
      </c>
      <c r="B647" s="3" t="str">
        <f ca="1"/>
        <v>CZECH NEWS CENTER a. s.</v>
      </c>
      <c r="C647" s="3" t="str">
        <f ca="1">IFERROR(__xludf.DUMMYFUNCTION("""COMPUTED_VALUE"""),"Instagramový profil F.O.O.D.")</f>
        <v>Instagramový profil F.O.O.D.</v>
      </c>
      <c r="D647" s="4" t="str">
        <f ca="1">IFERROR(__xludf.DUMMYFUNCTION("""COMPUTED_VALUE"""),"www.instagram.com")</f>
        <v>www.instagram.com</v>
      </c>
      <c r="E647" s="3" t="str">
        <f ca="1">IFERROR(__xludf.DUMMYFUNCTION("""COMPUTED_VALUE"""),"IG účet")</f>
        <v>IG účet</v>
      </c>
      <c r="F647" s="4" t="str">
        <f ca="1">IFERROR(__xludf.DUMMYFUNCTION("""COMPUTED_VALUE"""),"www.instagram.com")</f>
        <v>www.instagram.com</v>
      </c>
      <c r="G647" s="3" t="str">
        <f ca="1">IFERROR(__xludf.DUMMYFUNCTION("""COMPUTED_VALUE"""),"instagram story mid season")</f>
        <v>instagram story mid season</v>
      </c>
      <c r="H647" s="3">
        <f ca="1">IFERROR(__xludf.DUMMYFUNCTION("""COMPUTED_VALUE"""),1)</f>
        <v>1</v>
      </c>
      <c r="I647" s="5">
        <f ca="1">IFERROR(__xludf.DUMMYFUNCTION("""COMPUTED_VALUE"""),1)</f>
        <v>1</v>
      </c>
      <c r="J647" s="5">
        <f ca="1">IFERROR(__xludf.DUMMYFUNCTION("""COMPUTED_VALUE"""),18000)</f>
        <v>18000</v>
      </c>
      <c r="K647" s="3"/>
      <c r="L647" s="3" t="str">
        <f ca="1">IFERROR(__xludf.DUMMYFUNCTION("""COMPUTED_VALUE"""),"Cost per instance")</f>
        <v>Cost per instance</v>
      </c>
      <c r="M647" s="3"/>
      <c r="N647" s="3"/>
      <c r="O647" s="3"/>
      <c r="P647" s="3"/>
      <c r="Q647" s="3"/>
      <c r="R647" s="3"/>
      <c r="S647" s="3" t="str">
        <f ca="1">IFERROR(__xludf.DUMMYFUNCTION("""COMPUTED_VALUE"""),"100")</f>
        <v>100</v>
      </c>
      <c r="T647" s="3"/>
      <c r="U647" s="3" t="str">
        <f ca="1">IFERROR(__xludf.DUMMYFUNCTION("""COMPUTED_VALUE"""),"SoMe instagram")</f>
        <v>SoMe instagram</v>
      </c>
      <c r="V647" s="3"/>
      <c r="W647" s="3"/>
      <c r="X647" s="3"/>
      <c r="Y647" s="3"/>
      <c r="Z647" s="3" t="str">
        <f ca="1">IFERROR(__xludf.DUMMYFUNCTION("""COMPUTED_VALUE"""),"podklady@cncenter.cz")</f>
        <v>podklady@cncenter.cz</v>
      </c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 t="str">
        <f ca="1">IFERROR(__xludf.DUMMYFUNCTION("""COMPUTED_VALUE"""),"cross-device")</f>
        <v>cross-device</v>
      </c>
      <c r="AO647" s="3"/>
      <c r="AP647" s="3"/>
      <c r="AQ647" s="3"/>
      <c r="AR647" s="3"/>
      <c r="AS647" s="3"/>
      <c r="AT647" s="3"/>
      <c r="AU647" s="3" t="str">
        <f ca="1">IFERROR(__xludf.DUMMYFUNCTION("""COMPUTED_VALUE"""),"instagram story")</f>
        <v>instagram story</v>
      </c>
    </row>
    <row r="648" spans="1:47" x14ac:dyDescent="0.3">
      <c r="A648" s="3">
        <f ca="1"/>
        <v>2346826</v>
      </c>
      <c r="B648" s="3" t="str">
        <f ca="1"/>
        <v>CZECH NEWS CENTER a. s.</v>
      </c>
      <c r="C648" s="3" t="str">
        <f ca="1">IFERROR(__xludf.DUMMYFUNCTION("""COMPUTED_VALUE"""),"Instagramový profil FOMO")</f>
        <v>Instagramový profil FOMO</v>
      </c>
      <c r="D648" s="4" t="str">
        <f ca="1">IFERROR(__xludf.DUMMYFUNCTION("""COMPUTED_VALUE"""),"www.instagram.com")</f>
        <v>www.instagram.com</v>
      </c>
      <c r="E648" s="3" t="str">
        <f ca="1">IFERROR(__xludf.DUMMYFUNCTION("""COMPUTED_VALUE"""),"IG účet")</f>
        <v>IG účet</v>
      </c>
      <c r="F648" s="4" t="str">
        <f ca="1">IFERROR(__xludf.DUMMYFUNCTION("""COMPUTED_VALUE"""),"www.instagram.com")</f>
        <v>www.instagram.com</v>
      </c>
      <c r="G648" s="3" t="str">
        <f ca="1">IFERROR(__xludf.DUMMYFUNCTION("""COMPUTED_VALUE"""),"instagram post mid season")</f>
        <v>instagram post mid season</v>
      </c>
      <c r="H648" s="3">
        <f ca="1">IFERROR(__xludf.DUMMYFUNCTION("""COMPUTED_VALUE"""),1)</f>
        <v>1</v>
      </c>
      <c r="I648" s="5">
        <f ca="1">IFERROR(__xludf.DUMMYFUNCTION("""COMPUTED_VALUE"""),1)</f>
        <v>1</v>
      </c>
      <c r="J648" s="5">
        <f ca="1">IFERROR(__xludf.DUMMYFUNCTION("""COMPUTED_VALUE"""),40000)</f>
        <v>40000</v>
      </c>
      <c r="K648" s="3"/>
      <c r="L648" s="3" t="str">
        <f ca="1">IFERROR(__xludf.DUMMYFUNCTION("""COMPUTED_VALUE"""),"Cost per instance")</f>
        <v>Cost per instance</v>
      </c>
      <c r="M648" s="3"/>
      <c r="N648" s="3"/>
      <c r="O648" s="3"/>
      <c r="P648" s="3"/>
      <c r="Q648" s="3"/>
      <c r="R648" s="3"/>
      <c r="S648" s="3" t="str">
        <f ca="1">IFERROR(__xludf.DUMMYFUNCTION("""COMPUTED_VALUE"""),"100")</f>
        <v>100</v>
      </c>
      <c r="T648" s="3"/>
      <c r="U648" s="3" t="str">
        <f ca="1">IFERROR(__xludf.DUMMYFUNCTION("""COMPUTED_VALUE"""),"SoMe instagram")</f>
        <v>SoMe instagram</v>
      </c>
      <c r="V648" s="3"/>
      <c r="W648" s="3"/>
      <c r="X648" s="3"/>
      <c r="Y648" s="3"/>
      <c r="Z648" s="3" t="str">
        <f ca="1">IFERROR(__xludf.DUMMYFUNCTION("""COMPUTED_VALUE"""),"podklady@cncenter.cz")</f>
        <v>podklady@cncenter.cz</v>
      </c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 t="str">
        <f ca="1">IFERROR(__xludf.DUMMYFUNCTION("""COMPUTED_VALUE"""),"cross-device")</f>
        <v>cross-device</v>
      </c>
      <c r="AO648" s="3"/>
      <c r="AP648" s="3"/>
      <c r="AQ648" s="3"/>
      <c r="AR648" s="3"/>
      <c r="AS648" s="3"/>
      <c r="AT648" s="3"/>
      <c r="AU648" s="3" t="str">
        <f ca="1">IFERROR(__xludf.DUMMYFUNCTION("""COMPUTED_VALUE"""),"instagram post")</f>
        <v>instagram post</v>
      </c>
    </row>
    <row r="649" spans="1:47" x14ac:dyDescent="0.3">
      <c r="A649" s="3">
        <f ca="1"/>
        <v>2346826</v>
      </c>
      <c r="B649" s="3" t="str">
        <f ca="1"/>
        <v>CZECH NEWS CENTER a. s.</v>
      </c>
      <c r="C649" s="3" t="str">
        <f ca="1">IFERROR(__xludf.DUMMYFUNCTION("""COMPUTED_VALUE"""),"Instagramový profil FOMO")</f>
        <v>Instagramový profil FOMO</v>
      </c>
      <c r="D649" s="4" t="str">
        <f ca="1">IFERROR(__xludf.DUMMYFUNCTION("""COMPUTED_VALUE"""),"www.instagram.com")</f>
        <v>www.instagram.com</v>
      </c>
      <c r="E649" s="3" t="str">
        <f ca="1">IFERROR(__xludf.DUMMYFUNCTION("""COMPUTED_VALUE"""),"IG účet")</f>
        <v>IG účet</v>
      </c>
      <c r="F649" s="4" t="str">
        <f ca="1">IFERROR(__xludf.DUMMYFUNCTION("""COMPUTED_VALUE"""),"www.instagram.com")</f>
        <v>www.instagram.com</v>
      </c>
      <c r="G649" s="3" t="str">
        <f ca="1">IFERROR(__xludf.DUMMYFUNCTION("""COMPUTED_VALUE"""),"instagram story mid season")</f>
        <v>instagram story mid season</v>
      </c>
      <c r="H649" s="3">
        <f ca="1">IFERROR(__xludf.DUMMYFUNCTION("""COMPUTED_VALUE"""),1)</f>
        <v>1</v>
      </c>
      <c r="I649" s="5">
        <f ca="1">IFERROR(__xludf.DUMMYFUNCTION("""COMPUTED_VALUE"""),1)</f>
        <v>1</v>
      </c>
      <c r="J649" s="5">
        <f ca="1">IFERROR(__xludf.DUMMYFUNCTION("""COMPUTED_VALUE"""),20000)</f>
        <v>20000</v>
      </c>
      <c r="K649" s="3"/>
      <c r="L649" s="3" t="str">
        <f ca="1">IFERROR(__xludf.DUMMYFUNCTION("""COMPUTED_VALUE"""),"Cost per instance")</f>
        <v>Cost per instance</v>
      </c>
      <c r="M649" s="3"/>
      <c r="N649" s="3"/>
      <c r="O649" s="3"/>
      <c r="P649" s="3"/>
      <c r="Q649" s="3"/>
      <c r="R649" s="3"/>
      <c r="S649" s="3" t="str">
        <f ca="1">IFERROR(__xludf.DUMMYFUNCTION("""COMPUTED_VALUE"""),"100")</f>
        <v>100</v>
      </c>
      <c r="T649" s="3"/>
      <c r="U649" s="3" t="str">
        <f ca="1">IFERROR(__xludf.DUMMYFUNCTION("""COMPUTED_VALUE"""),"SoMe instagram")</f>
        <v>SoMe instagram</v>
      </c>
      <c r="V649" s="3"/>
      <c r="W649" s="3"/>
      <c r="X649" s="3"/>
      <c r="Y649" s="3"/>
      <c r="Z649" s="3" t="str">
        <f ca="1">IFERROR(__xludf.DUMMYFUNCTION("""COMPUTED_VALUE"""),"podklady@cncenter.cz")</f>
        <v>podklady@cncenter.cz</v>
      </c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 t="str">
        <f ca="1">IFERROR(__xludf.DUMMYFUNCTION("""COMPUTED_VALUE"""),"cross-device")</f>
        <v>cross-device</v>
      </c>
      <c r="AO649" s="3"/>
      <c r="AP649" s="3"/>
      <c r="AQ649" s="3"/>
      <c r="AR649" s="3"/>
      <c r="AS649" s="3"/>
      <c r="AT649" s="3"/>
      <c r="AU649" s="3" t="str">
        <f ca="1">IFERROR(__xludf.DUMMYFUNCTION("""COMPUTED_VALUE"""),"instagram story")</f>
        <v>instagram story</v>
      </c>
    </row>
    <row r="650" spans="1:47" x14ac:dyDescent="0.3">
      <c r="A650" s="3">
        <f ca="1"/>
        <v>2346826</v>
      </c>
      <c r="B650" s="3" t="str">
        <f ca="1"/>
        <v>CZECH NEWS CENTER a. s.</v>
      </c>
      <c r="C650" s="3" t="str">
        <f ca="1">IFERROR(__xludf.DUMMYFUNCTION("""COMPUTED_VALUE"""),"Instagramový profil Frekvence 1")</f>
        <v>Instagramový profil Frekvence 1</v>
      </c>
      <c r="D650" s="4" t="str">
        <f ca="1">IFERROR(__xludf.DUMMYFUNCTION("""COMPUTED_VALUE"""),"www.instagram.com")</f>
        <v>www.instagram.com</v>
      </c>
      <c r="E650" s="3" t="str">
        <f ca="1">IFERROR(__xludf.DUMMYFUNCTION("""COMPUTED_VALUE"""),"IG účet")</f>
        <v>IG účet</v>
      </c>
      <c r="F650" s="4" t="str">
        <f ca="1">IFERROR(__xludf.DUMMYFUNCTION("""COMPUTED_VALUE"""),"www.instagram.com")</f>
        <v>www.instagram.com</v>
      </c>
      <c r="G650" s="3" t="str">
        <f ca="1">IFERROR(__xludf.DUMMYFUNCTION("""COMPUTED_VALUE"""),"instagram post mid season")</f>
        <v>instagram post mid season</v>
      </c>
      <c r="H650" s="3">
        <f ca="1">IFERROR(__xludf.DUMMYFUNCTION("""COMPUTED_VALUE"""),1)</f>
        <v>1</v>
      </c>
      <c r="I650" s="5">
        <f ca="1">IFERROR(__xludf.DUMMYFUNCTION("""COMPUTED_VALUE"""),1)</f>
        <v>1</v>
      </c>
      <c r="J650" s="5">
        <f ca="1">IFERROR(__xludf.DUMMYFUNCTION("""COMPUTED_VALUE"""),25000)</f>
        <v>25000</v>
      </c>
      <c r="K650" s="3"/>
      <c r="L650" s="3" t="str">
        <f ca="1">IFERROR(__xludf.DUMMYFUNCTION("""COMPUTED_VALUE"""),"Cost per instance")</f>
        <v>Cost per instance</v>
      </c>
      <c r="M650" s="3"/>
      <c r="N650" s="3"/>
      <c r="O650" s="3"/>
      <c r="P650" s="3"/>
      <c r="Q650" s="3"/>
      <c r="R650" s="3"/>
      <c r="S650" s="3" t="str">
        <f ca="1">IFERROR(__xludf.DUMMYFUNCTION("""COMPUTED_VALUE"""),"100")</f>
        <v>100</v>
      </c>
      <c r="T650" s="3"/>
      <c r="U650" s="3" t="str">
        <f ca="1">IFERROR(__xludf.DUMMYFUNCTION("""COMPUTED_VALUE"""),"SoMe instagram")</f>
        <v>SoMe instagram</v>
      </c>
      <c r="V650" s="3"/>
      <c r="W650" s="3"/>
      <c r="X650" s="3"/>
      <c r="Y650" s="3"/>
      <c r="Z650" s="3" t="str">
        <f ca="1">IFERROR(__xludf.DUMMYFUNCTION("""COMPUTED_VALUE"""),"podklady@cncenter.cz")</f>
        <v>podklady@cncenter.cz</v>
      </c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 t="str">
        <f ca="1">IFERROR(__xludf.DUMMYFUNCTION("""COMPUTED_VALUE"""),"cross-device")</f>
        <v>cross-device</v>
      </c>
      <c r="AO650" s="3"/>
      <c r="AP650" s="3"/>
      <c r="AQ650" s="3"/>
      <c r="AR650" s="3"/>
      <c r="AS650" s="3"/>
      <c r="AT650" s="3"/>
      <c r="AU650" s="3" t="str">
        <f ca="1">IFERROR(__xludf.DUMMYFUNCTION("""COMPUTED_VALUE"""),"instagram post")</f>
        <v>instagram post</v>
      </c>
    </row>
    <row r="651" spans="1:47" x14ac:dyDescent="0.3">
      <c r="A651" s="3">
        <f ca="1"/>
        <v>2346826</v>
      </c>
      <c r="B651" s="3" t="str">
        <f ca="1"/>
        <v>CZECH NEWS CENTER a. s.</v>
      </c>
      <c r="C651" s="3" t="str">
        <f ca="1">IFERROR(__xludf.DUMMYFUNCTION("""COMPUTED_VALUE"""),"Instagramový profil iSport")</f>
        <v>Instagramový profil iSport</v>
      </c>
      <c r="D651" s="4" t="str">
        <f ca="1">IFERROR(__xludf.DUMMYFUNCTION("""COMPUTED_VALUE"""),"www.instagram.com")</f>
        <v>www.instagram.com</v>
      </c>
      <c r="E651" s="3" t="str">
        <f ca="1">IFERROR(__xludf.DUMMYFUNCTION("""COMPUTED_VALUE"""),"IG účet")</f>
        <v>IG účet</v>
      </c>
      <c r="F651" s="4" t="str">
        <f ca="1">IFERROR(__xludf.DUMMYFUNCTION("""COMPUTED_VALUE"""),"www.instagram.com")</f>
        <v>www.instagram.com</v>
      </c>
      <c r="G651" s="3" t="str">
        <f ca="1">IFERROR(__xludf.DUMMYFUNCTION("""COMPUTED_VALUE"""),"instagram post mid season")</f>
        <v>instagram post mid season</v>
      </c>
      <c r="H651" s="3">
        <f ca="1">IFERROR(__xludf.DUMMYFUNCTION("""COMPUTED_VALUE"""),1)</f>
        <v>1</v>
      </c>
      <c r="I651" s="5">
        <f ca="1">IFERROR(__xludf.DUMMYFUNCTION("""COMPUTED_VALUE"""),1)</f>
        <v>1</v>
      </c>
      <c r="J651" s="5">
        <f ca="1">IFERROR(__xludf.DUMMYFUNCTION("""COMPUTED_VALUE"""),23000)</f>
        <v>23000</v>
      </c>
      <c r="K651" s="3"/>
      <c r="L651" s="3" t="str">
        <f ca="1">IFERROR(__xludf.DUMMYFUNCTION("""COMPUTED_VALUE"""),"Cost per instance")</f>
        <v>Cost per instance</v>
      </c>
      <c r="M651" s="3"/>
      <c r="N651" s="3"/>
      <c r="O651" s="3"/>
      <c r="P651" s="3"/>
      <c r="Q651" s="3"/>
      <c r="R651" s="3"/>
      <c r="S651" s="3" t="str">
        <f ca="1">IFERROR(__xludf.DUMMYFUNCTION("""COMPUTED_VALUE"""),"100")</f>
        <v>100</v>
      </c>
      <c r="T651" s="3"/>
      <c r="U651" s="3" t="str">
        <f ca="1">IFERROR(__xludf.DUMMYFUNCTION("""COMPUTED_VALUE"""),"SoMe instagram")</f>
        <v>SoMe instagram</v>
      </c>
      <c r="V651" s="3"/>
      <c r="W651" s="3"/>
      <c r="X651" s="3"/>
      <c r="Y651" s="3"/>
      <c r="Z651" s="3" t="str">
        <f ca="1">IFERROR(__xludf.DUMMYFUNCTION("""COMPUTED_VALUE"""),"podklady@cncenter.cz")</f>
        <v>podklady@cncenter.cz</v>
      </c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 t="str">
        <f ca="1">IFERROR(__xludf.DUMMYFUNCTION("""COMPUTED_VALUE"""),"cross-device")</f>
        <v>cross-device</v>
      </c>
      <c r="AO651" s="3"/>
      <c r="AP651" s="3"/>
      <c r="AQ651" s="3"/>
      <c r="AR651" s="3"/>
      <c r="AS651" s="3"/>
      <c r="AT651" s="3"/>
      <c r="AU651" s="3" t="str">
        <f ca="1">IFERROR(__xludf.DUMMYFUNCTION("""COMPUTED_VALUE"""),"instagram post")</f>
        <v>instagram post</v>
      </c>
    </row>
    <row r="652" spans="1:47" x14ac:dyDescent="0.3">
      <c r="A652" s="3">
        <f ca="1"/>
        <v>2346826</v>
      </c>
      <c r="B652" s="3" t="str">
        <f ca="1"/>
        <v>CZECH NEWS CENTER a. s.</v>
      </c>
      <c r="C652" s="3" t="str">
        <f ca="1">IFERROR(__xludf.DUMMYFUNCTION("""COMPUTED_VALUE"""),"Instagramový profil iSport")</f>
        <v>Instagramový profil iSport</v>
      </c>
      <c r="D652" s="4" t="str">
        <f ca="1">IFERROR(__xludf.DUMMYFUNCTION("""COMPUTED_VALUE"""),"www.instagram.com")</f>
        <v>www.instagram.com</v>
      </c>
      <c r="E652" s="3" t="str">
        <f ca="1">IFERROR(__xludf.DUMMYFUNCTION("""COMPUTED_VALUE"""),"IG účet")</f>
        <v>IG účet</v>
      </c>
      <c r="F652" s="4" t="str">
        <f ca="1">IFERROR(__xludf.DUMMYFUNCTION("""COMPUTED_VALUE"""),"www.instagram.com")</f>
        <v>www.instagram.com</v>
      </c>
      <c r="G652" s="3" t="str">
        <f ca="1">IFERROR(__xludf.DUMMYFUNCTION("""COMPUTED_VALUE"""),"instagram story mid season")</f>
        <v>instagram story mid season</v>
      </c>
      <c r="H652" s="3">
        <f ca="1">IFERROR(__xludf.DUMMYFUNCTION("""COMPUTED_VALUE"""),1)</f>
        <v>1</v>
      </c>
      <c r="I652" s="5">
        <f ca="1">IFERROR(__xludf.DUMMYFUNCTION("""COMPUTED_VALUE"""),1)</f>
        <v>1</v>
      </c>
      <c r="J652" s="5">
        <f ca="1">IFERROR(__xludf.DUMMYFUNCTION("""COMPUTED_VALUE"""),23000)</f>
        <v>23000</v>
      </c>
      <c r="K652" s="3"/>
      <c r="L652" s="3" t="str">
        <f ca="1">IFERROR(__xludf.DUMMYFUNCTION("""COMPUTED_VALUE"""),"Cost per instance")</f>
        <v>Cost per instance</v>
      </c>
      <c r="M652" s="3"/>
      <c r="N652" s="3"/>
      <c r="O652" s="3"/>
      <c r="P652" s="3"/>
      <c r="Q652" s="3"/>
      <c r="R652" s="3"/>
      <c r="S652" s="3" t="str">
        <f ca="1">IFERROR(__xludf.DUMMYFUNCTION("""COMPUTED_VALUE"""),"100")</f>
        <v>100</v>
      </c>
      <c r="T652" s="3"/>
      <c r="U652" s="3" t="str">
        <f ca="1">IFERROR(__xludf.DUMMYFUNCTION("""COMPUTED_VALUE"""),"SoMe instagram")</f>
        <v>SoMe instagram</v>
      </c>
      <c r="V652" s="3"/>
      <c r="W652" s="3"/>
      <c r="X652" s="3"/>
      <c r="Y652" s="3"/>
      <c r="Z652" s="3" t="str">
        <f ca="1">IFERROR(__xludf.DUMMYFUNCTION("""COMPUTED_VALUE"""),"podklady@cncenter.cz")</f>
        <v>podklady@cncenter.cz</v>
      </c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 t="str">
        <f ca="1">IFERROR(__xludf.DUMMYFUNCTION("""COMPUTED_VALUE"""),"cross-device")</f>
        <v>cross-device</v>
      </c>
      <c r="AO652" s="3"/>
      <c r="AP652" s="3"/>
      <c r="AQ652" s="3"/>
      <c r="AR652" s="3"/>
      <c r="AS652" s="3"/>
      <c r="AT652" s="3"/>
      <c r="AU652" s="3" t="str">
        <f ca="1">IFERROR(__xludf.DUMMYFUNCTION("""COMPUTED_VALUE"""),"instagram story")</f>
        <v>instagram story</v>
      </c>
    </row>
    <row r="653" spans="1:47" x14ac:dyDescent="0.3">
      <c r="A653" s="3">
        <f ca="1"/>
        <v>2346826</v>
      </c>
      <c r="B653" s="3" t="str">
        <f ca="1"/>
        <v>CZECH NEWS CENTER a. s.</v>
      </c>
      <c r="C653" s="3" t="str">
        <f ca="1">IFERROR(__xludf.DUMMYFUNCTION("""COMPUTED_VALUE"""),"Instagramový profil iSport Life")</f>
        <v>Instagramový profil iSport Life</v>
      </c>
      <c r="D653" s="4" t="str">
        <f ca="1">IFERROR(__xludf.DUMMYFUNCTION("""COMPUTED_VALUE"""),"www.instagram.com")</f>
        <v>www.instagram.com</v>
      </c>
      <c r="E653" s="3" t="str">
        <f ca="1">IFERROR(__xludf.DUMMYFUNCTION("""COMPUTED_VALUE"""),"IG účet")</f>
        <v>IG účet</v>
      </c>
      <c r="F653" s="4" t="str">
        <f ca="1">IFERROR(__xludf.DUMMYFUNCTION("""COMPUTED_VALUE"""),"www.instagram.com")</f>
        <v>www.instagram.com</v>
      </c>
      <c r="G653" s="3" t="str">
        <f ca="1">IFERROR(__xludf.DUMMYFUNCTION("""COMPUTED_VALUE"""),"instagram post mid season")</f>
        <v>instagram post mid season</v>
      </c>
      <c r="H653" s="3">
        <f ca="1">IFERROR(__xludf.DUMMYFUNCTION("""COMPUTED_VALUE"""),1)</f>
        <v>1</v>
      </c>
      <c r="I653" s="5">
        <f ca="1">IFERROR(__xludf.DUMMYFUNCTION("""COMPUTED_VALUE"""),1)</f>
        <v>1</v>
      </c>
      <c r="J653" s="5">
        <f ca="1">IFERROR(__xludf.DUMMYFUNCTION("""COMPUTED_VALUE"""),23000)</f>
        <v>23000</v>
      </c>
      <c r="K653" s="3"/>
      <c r="L653" s="3" t="str">
        <f ca="1">IFERROR(__xludf.DUMMYFUNCTION("""COMPUTED_VALUE"""),"Cost per instance")</f>
        <v>Cost per instance</v>
      </c>
      <c r="M653" s="3"/>
      <c r="N653" s="3"/>
      <c r="O653" s="3"/>
      <c r="P653" s="3"/>
      <c r="Q653" s="3"/>
      <c r="R653" s="3"/>
      <c r="S653" s="3" t="str">
        <f ca="1">IFERROR(__xludf.DUMMYFUNCTION("""COMPUTED_VALUE"""),"100")</f>
        <v>100</v>
      </c>
      <c r="T653" s="3"/>
      <c r="U653" s="3" t="str">
        <f ca="1">IFERROR(__xludf.DUMMYFUNCTION("""COMPUTED_VALUE"""),"SoMe instagram")</f>
        <v>SoMe instagram</v>
      </c>
      <c r="V653" s="3"/>
      <c r="W653" s="3"/>
      <c r="X653" s="3"/>
      <c r="Y653" s="3"/>
      <c r="Z653" s="3" t="str">
        <f ca="1">IFERROR(__xludf.DUMMYFUNCTION("""COMPUTED_VALUE"""),"podklady@cncenter.cz")</f>
        <v>podklady@cncenter.cz</v>
      </c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 t="str">
        <f ca="1">IFERROR(__xludf.DUMMYFUNCTION("""COMPUTED_VALUE"""),"cross-device")</f>
        <v>cross-device</v>
      </c>
      <c r="AO653" s="3"/>
      <c r="AP653" s="3"/>
      <c r="AQ653" s="3"/>
      <c r="AR653" s="3"/>
      <c r="AS653" s="3"/>
      <c r="AT653" s="3"/>
      <c r="AU653" s="3" t="str">
        <f ca="1">IFERROR(__xludf.DUMMYFUNCTION("""COMPUTED_VALUE"""),"instagram post")</f>
        <v>instagram post</v>
      </c>
    </row>
    <row r="654" spans="1:47" x14ac:dyDescent="0.3">
      <c r="A654" s="3">
        <f ca="1"/>
        <v>2346826</v>
      </c>
      <c r="B654" s="3" t="str">
        <f ca="1"/>
        <v>CZECH NEWS CENTER a. s.</v>
      </c>
      <c r="C654" s="3" t="str">
        <f ca="1">IFERROR(__xludf.DUMMYFUNCTION("""COMPUTED_VALUE"""),"Instagramový profil iSport Life")</f>
        <v>Instagramový profil iSport Life</v>
      </c>
      <c r="D654" s="4" t="str">
        <f ca="1">IFERROR(__xludf.DUMMYFUNCTION("""COMPUTED_VALUE"""),"www.instagram.com")</f>
        <v>www.instagram.com</v>
      </c>
      <c r="E654" s="3" t="str">
        <f ca="1">IFERROR(__xludf.DUMMYFUNCTION("""COMPUTED_VALUE"""),"IG účet")</f>
        <v>IG účet</v>
      </c>
      <c r="F654" s="4" t="str">
        <f ca="1">IFERROR(__xludf.DUMMYFUNCTION("""COMPUTED_VALUE"""),"www.instagram.com")</f>
        <v>www.instagram.com</v>
      </c>
      <c r="G654" s="3" t="str">
        <f ca="1">IFERROR(__xludf.DUMMYFUNCTION("""COMPUTED_VALUE"""),"instagram story mid season")</f>
        <v>instagram story mid season</v>
      </c>
      <c r="H654" s="3">
        <f ca="1">IFERROR(__xludf.DUMMYFUNCTION("""COMPUTED_VALUE"""),1)</f>
        <v>1</v>
      </c>
      <c r="I654" s="5">
        <f ca="1">IFERROR(__xludf.DUMMYFUNCTION("""COMPUTED_VALUE"""),1)</f>
        <v>1</v>
      </c>
      <c r="J654" s="5">
        <f ca="1">IFERROR(__xludf.DUMMYFUNCTION("""COMPUTED_VALUE"""),23000)</f>
        <v>23000</v>
      </c>
      <c r="K654" s="3"/>
      <c r="L654" s="3" t="str">
        <f ca="1">IFERROR(__xludf.DUMMYFUNCTION("""COMPUTED_VALUE"""),"Cost per instance")</f>
        <v>Cost per instance</v>
      </c>
      <c r="M654" s="3"/>
      <c r="N654" s="3"/>
      <c r="O654" s="3"/>
      <c r="P654" s="3"/>
      <c r="Q654" s="3"/>
      <c r="R654" s="3"/>
      <c r="S654" s="3" t="str">
        <f ca="1">IFERROR(__xludf.DUMMYFUNCTION("""COMPUTED_VALUE"""),"100")</f>
        <v>100</v>
      </c>
      <c r="T654" s="3"/>
      <c r="U654" s="3" t="str">
        <f ca="1">IFERROR(__xludf.DUMMYFUNCTION("""COMPUTED_VALUE"""),"SoMe instagram")</f>
        <v>SoMe instagram</v>
      </c>
      <c r="V654" s="3"/>
      <c r="W654" s="3"/>
      <c r="X654" s="3"/>
      <c r="Y654" s="3"/>
      <c r="Z654" s="3" t="str">
        <f ca="1">IFERROR(__xludf.DUMMYFUNCTION("""COMPUTED_VALUE"""),"podklady@cncenter.cz")</f>
        <v>podklady@cncenter.cz</v>
      </c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 t="str">
        <f ca="1">IFERROR(__xludf.DUMMYFUNCTION("""COMPUTED_VALUE"""),"cross-device")</f>
        <v>cross-device</v>
      </c>
      <c r="AO654" s="3"/>
      <c r="AP654" s="3"/>
      <c r="AQ654" s="3"/>
      <c r="AR654" s="3"/>
      <c r="AS654" s="3"/>
      <c r="AT654" s="3"/>
      <c r="AU654" s="3" t="str">
        <f ca="1">IFERROR(__xludf.DUMMYFUNCTION("""COMPUTED_VALUE"""),"instagram story")</f>
        <v>instagram story</v>
      </c>
    </row>
    <row r="655" spans="1:47" x14ac:dyDescent="0.3">
      <c r="A655" s="3">
        <f ca="1"/>
        <v>2346826</v>
      </c>
      <c r="B655" s="3" t="str">
        <f ca="1"/>
        <v>CZECH NEWS CENTER a. s.</v>
      </c>
      <c r="C655" s="3" t="str">
        <f ca="1">IFERROR(__xludf.DUMMYFUNCTION("""COMPUTED_VALUE"""),"Instagramový profil Lidé a Země")</f>
        <v>Instagramový profil Lidé a Země</v>
      </c>
      <c r="D655" s="4" t="str">
        <f ca="1">IFERROR(__xludf.DUMMYFUNCTION("""COMPUTED_VALUE"""),"www.instagram.com")</f>
        <v>www.instagram.com</v>
      </c>
      <c r="E655" s="3" t="str">
        <f ca="1">IFERROR(__xludf.DUMMYFUNCTION("""COMPUTED_VALUE"""),"IG účet")</f>
        <v>IG účet</v>
      </c>
      <c r="F655" s="4" t="str">
        <f ca="1">IFERROR(__xludf.DUMMYFUNCTION("""COMPUTED_VALUE"""),"www.instagram.com")</f>
        <v>www.instagram.com</v>
      </c>
      <c r="G655" s="3" t="str">
        <f ca="1">IFERROR(__xludf.DUMMYFUNCTION("""COMPUTED_VALUE"""),"instagram post mid season")</f>
        <v>instagram post mid season</v>
      </c>
      <c r="H655" s="3">
        <f ca="1">IFERROR(__xludf.DUMMYFUNCTION("""COMPUTED_VALUE"""),1)</f>
        <v>1</v>
      </c>
      <c r="I655" s="5">
        <f ca="1">IFERROR(__xludf.DUMMYFUNCTION("""COMPUTED_VALUE"""),1)</f>
        <v>1</v>
      </c>
      <c r="J655" s="5">
        <f ca="1">IFERROR(__xludf.DUMMYFUNCTION("""COMPUTED_VALUE"""),18000)</f>
        <v>18000</v>
      </c>
      <c r="K655" s="3"/>
      <c r="L655" s="3" t="str">
        <f ca="1">IFERROR(__xludf.DUMMYFUNCTION("""COMPUTED_VALUE"""),"Cost per instance")</f>
        <v>Cost per instance</v>
      </c>
      <c r="M655" s="3"/>
      <c r="N655" s="3"/>
      <c r="O655" s="3"/>
      <c r="P655" s="3"/>
      <c r="Q655" s="3"/>
      <c r="R655" s="3"/>
      <c r="S655" s="3" t="str">
        <f ca="1">IFERROR(__xludf.DUMMYFUNCTION("""COMPUTED_VALUE"""),"100")</f>
        <v>100</v>
      </c>
      <c r="T655" s="3"/>
      <c r="U655" s="3" t="str">
        <f ca="1">IFERROR(__xludf.DUMMYFUNCTION("""COMPUTED_VALUE"""),"SoMe instagram")</f>
        <v>SoMe instagram</v>
      </c>
      <c r="V655" s="3"/>
      <c r="W655" s="3"/>
      <c r="X655" s="3"/>
      <c r="Y655" s="3"/>
      <c r="Z655" s="3" t="str">
        <f ca="1">IFERROR(__xludf.DUMMYFUNCTION("""COMPUTED_VALUE"""),"podklady@cncenter.cz")</f>
        <v>podklady@cncenter.cz</v>
      </c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 t="str">
        <f ca="1">IFERROR(__xludf.DUMMYFUNCTION("""COMPUTED_VALUE"""),"cross-device")</f>
        <v>cross-device</v>
      </c>
      <c r="AO655" s="3"/>
      <c r="AP655" s="3"/>
      <c r="AQ655" s="3"/>
      <c r="AR655" s="3"/>
      <c r="AS655" s="3"/>
      <c r="AT655" s="3"/>
      <c r="AU655" s="3" t="str">
        <f ca="1">IFERROR(__xludf.DUMMYFUNCTION("""COMPUTED_VALUE"""),"instagram post")</f>
        <v>instagram post</v>
      </c>
    </row>
    <row r="656" spans="1:47" x14ac:dyDescent="0.3">
      <c r="A656" s="3">
        <f ca="1"/>
        <v>2346826</v>
      </c>
      <c r="B656" s="3" t="str">
        <f ca="1"/>
        <v>CZECH NEWS CENTER a. s.</v>
      </c>
      <c r="C656" s="3" t="str">
        <f ca="1">IFERROR(__xludf.DUMMYFUNCTION("""COMPUTED_VALUE"""),"Instagramový profil Lidé a Země")</f>
        <v>Instagramový profil Lidé a Země</v>
      </c>
      <c r="D656" s="4" t="str">
        <f ca="1">IFERROR(__xludf.DUMMYFUNCTION("""COMPUTED_VALUE"""),"www.instagram.com")</f>
        <v>www.instagram.com</v>
      </c>
      <c r="E656" s="3" t="str">
        <f ca="1">IFERROR(__xludf.DUMMYFUNCTION("""COMPUTED_VALUE"""),"IG účet")</f>
        <v>IG účet</v>
      </c>
      <c r="F656" s="4" t="str">
        <f ca="1">IFERROR(__xludf.DUMMYFUNCTION("""COMPUTED_VALUE"""),"www.instagram.com")</f>
        <v>www.instagram.com</v>
      </c>
      <c r="G656" s="3" t="str">
        <f ca="1">IFERROR(__xludf.DUMMYFUNCTION("""COMPUTED_VALUE"""),"instagram story mid season")</f>
        <v>instagram story mid season</v>
      </c>
      <c r="H656" s="3">
        <f ca="1">IFERROR(__xludf.DUMMYFUNCTION("""COMPUTED_VALUE"""),1)</f>
        <v>1</v>
      </c>
      <c r="I656" s="5">
        <f ca="1">IFERROR(__xludf.DUMMYFUNCTION("""COMPUTED_VALUE"""),1)</f>
        <v>1</v>
      </c>
      <c r="J656" s="5">
        <f ca="1">IFERROR(__xludf.DUMMYFUNCTION("""COMPUTED_VALUE"""),18000)</f>
        <v>18000</v>
      </c>
      <c r="K656" s="3"/>
      <c r="L656" s="3" t="str">
        <f ca="1">IFERROR(__xludf.DUMMYFUNCTION("""COMPUTED_VALUE"""),"Cost per instance")</f>
        <v>Cost per instance</v>
      </c>
      <c r="M656" s="3"/>
      <c r="N656" s="3"/>
      <c r="O656" s="3"/>
      <c r="P656" s="3"/>
      <c r="Q656" s="3"/>
      <c r="R656" s="3"/>
      <c r="S656" s="3" t="str">
        <f ca="1">IFERROR(__xludf.DUMMYFUNCTION("""COMPUTED_VALUE"""),"100")</f>
        <v>100</v>
      </c>
      <c r="T656" s="3"/>
      <c r="U656" s="3" t="str">
        <f ca="1">IFERROR(__xludf.DUMMYFUNCTION("""COMPUTED_VALUE"""),"SoMe instagram")</f>
        <v>SoMe instagram</v>
      </c>
      <c r="V656" s="3"/>
      <c r="W656" s="3"/>
      <c r="X656" s="3"/>
      <c r="Y656" s="3"/>
      <c r="Z656" s="3" t="str">
        <f ca="1">IFERROR(__xludf.DUMMYFUNCTION("""COMPUTED_VALUE"""),"podklady@cncenter.cz")</f>
        <v>podklady@cncenter.cz</v>
      </c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 t="str">
        <f ca="1">IFERROR(__xludf.DUMMYFUNCTION("""COMPUTED_VALUE"""),"cross-device")</f>
        <v>cross-device</v>
      </c>
      <c r="AO656" s="3"/>
      <c r="AP656" s="3"/>
      <c r="AQ656" s="3"/>
      <c r="AR656" s="3"/>
      <c r="AS656" s="3"/>
      <c r="AT656" s="3"/>
      <c r="AU656" s="3" t="str">
        <f ca="1">IFERROR(__xludf.DUMMYFUNCTION("""COMPUTED_VALUE"""),"instagram story")</f>
        <v>instagram story</v>
      </c>
    </row>
    <row r="657" spans="1:47" x14ac:dyDescent="0.3">
      <c r="A657" s="3">
        <f ca="1"/>
        <v>2346826</v>
      </c>
      <c r="B657" s="3" t="str">
        <f ca="1"/>
        <v>CZECH NEWS CENTER a. s.</v>
      </c>
      <c r="C657" s="3" t="str">
        <f ca="1">IFERROR(__xludf.DUMMYFUNCTION("""COMPUTED_VALUE"""),"Instagramový profil Maminka")</f>
        <v>Instagramový profil Maminka</v>
      </c>
      <c r="D657" s="4" t="str">
        <f ca="1">IFERROR(__xludf.DUMMYFUNCTION("""COMPUTED_VALUE"""),"www.instagram.com")</f>
        <v>www.instagram.com</v>
      </c>
      <c r="E657" s="3" t="str">
        <f ca="1">IFERROR(__xludf.DUMMYFUNCTION("""COMPUTED_VALUE"""),"IG účet")</f>
        <v>IG účet</v>
      </c>
      <c r="F657" s="4" t="str">
        <f ca="1">IFERROR(__xludf.DUMMYFUNCTION("""COMPUTED_VALUE"""),"www.instagram.com")</f>
        <v>www.instagram.com</v>
      </c>
      <c r="G657" s="3" t="str">
        <f ca="1">IFERROR(__xludf.DUMMYFUNCTION("""COMPUTED_VALUE"""),"instagram post mid season")</f>
        <v>instagram post mid season</v>
      </c>
      <c r="H657" s="3">
        <f ca="1">IFERROR(__xludf.DUMMYFUNCTION("""COMPUTED_VALUE"""),1)</f>
        <v>1</v>
      </c>
      <c r="I657" s="5">
        <f ca="1">IFERROR(__xludf.DUMMYFUNCTION("""COMPUTED_VALUE"""),1)</f>
        <v>1</v>
      </c>
      <c r="J657" s="5">
        <f ca="1">IFERROR(__xludf.DUMMYFUNCTION("""COMPUTED_VALUE"""),23000)</f>
        <v>23000</v>
      </c>
      <c r="K657" s="3"/>
      <c r="L657" s="3" t="str">
        <f ca="1">IFERROR(__xludf.DUMMYFUNCTION("""COMPUTED_VALUE"""),"Cost per instance")</f>
        <v>Cost per instance</v>
      </c>
      <c r="M657" s="3"/>
      <c r="N657" s="3"/>
      <c r="O657" s="3"/>
      <c r="P657" s="3"/>
      <c r="Q657" s="3"/>
      <c r="R657" s="3"/>
      <c r="S657" s="3" t="str">
        <f ca="1">IFERROR(__xludf.DUMMYFUNCTION("""COMPUTED_VALUE"""),"100")</f>
        <v>100</v>
      </c>
      <c r="T657" s="3"/>
      <c r="U657" s="3" t="str">
        <f ca="1">IFERROR(__xludf.DUMMYFUNCTION("""COMPUTED_VALUE"""),"SoMe instagram")</f>
        <v>SoMe instagram</v>
      </c>
      <c r="V657" s="3"/>
      <c r="W657" s="3"/>
      <c r="X657" s="3"/>
      <c r="Y657" s="3"/>
      <c r="Z657" s="3" t="str">
        <f ca="1">IFERROR(__xludf.DUMMYFUNCTION("""COMPUTED_VALUE"""),"podklady@cncenter.cz")</f>
        <v>podklady@cncenter.cz</v>
      </c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 t="str">
        <f ca="1">IFERROR(__xludf.DUMMYFUNCTION("""COMPUTED_VALUE"""),"cross-device")</f>
        <v>cross-device</v>
      </c>
      <c r="AO657" s="3"/>
      <c r="AP657" s="3"/>
      <c r="AQ657" s="3"/>
      <c r="AR657" s="3"/>
      <c r="AS657" s="3"/>
      <c r="AT657" s="3"/>
      <c r="AU657" s="3" t="str">
        <f ca="1">IFERROR(__xludf.DUMMYFUNCTION("""COMPUTED_VALUE"""),"instagram post")</f>
        <v>instagram post</v>
      </c>
    </row>
    <row r="658" spans="1:47" x14ac:dyDescent="0.3">
      <c r="A658" s="3">
        <f ca="1"/>
        <v>2346826</v>
      </c>
      <c r="B658" s="3" t="str">
        <f ca="1"/>
        <v>CZECH NEWS CENTER a. s.</v>
      </c>
      <c r="C658" s="3" t="str">
        <f ca="1">IFERROR(__xludf.DUMMYFUNCTION("""COMPUTED_VALUE"""),"Instagramový profil Maminka")</f>
        <v>Instagramový profil Maminka</v>
      </c>
      <c r="D658" s="4" t="str">
        <f ca="1">IFERROR(__xludf.DUMMYFUNCTION("""COMPUTED_VALUE"""),"www.instagram.com")</f>
        <v>www.instagram.com</v>
      </c>
      <c r="E658" s="3" t="str">
        <f ca="1">IFERROR(__xludf.DUMMYFUNCTION("""COMPUTED_VALUE"""),"IG účet")</f>
        <v>IG účet</v>
      </c>
      <c r="F658" s="4" t="str">
        <f ca="1">IFERROR(__xludf.DUMMYFUNCTION("""COMPUTED_VALUE"""),"www.instagram.com")</f>
        <v>www.instagram.com</v>
      </c>
      <c r="G658" s="3" t="str">
        <f ca="1">IFERROR(__xludf.DUMMYFUNCTION("""COMPUTED_VALUE"""),"instagram story mid season")</f>
        <v>instagram story mid season</v>
      </c>
      <c r="H658" s="3">
        <f ca="1">IFERROR(__xludf.DUMMYFUNCTION("""COMPUTED_VALUE"""),1)</f>
        <v>1</v>
      </c>
      <c r="I658" s="5">
        <f ca="1">IFERROR(__xludf.DUMMYFUNCTION("""COMPUTED_VALUE"""),1)</f>
        <v>1</v>
      </c>
      <c r="J658" s="5">
        <f ca="1">IFERROR(__xludf.DUMMYFUNCTION("""COMPUTED_VALUE"""),23000)</f>
        <v>23000</v>
      </c>
      <c r="K658" s="3"/>
      <c r="L658" s="3" t="str">
        <f ca="1">IFERROR(__xludf.DUMMYFUNCTION("""COMPUTED_VALUE"""),"Cost per instance")</f>
        <v>Cost per instance</v>
      </c>
      <c r="M658" s="3"/>
      <c r="N658" s="3"/>
      <c r="O658" s="3"/>
      <c r="P658" s="3"/>
      <c r="Q658" s="3"/>
      <c r="R658" s="3"/>
      <c r="S658" s="3" t="str">
        <f ca="1">IFERROR(__xludf.DUMMYFUNCTION("""COMPUTED_VALUE"""),"100")</f>
        <v>100</v>
      </c>
      <c r="T658" s="3"/>
      <c r="U658" s="3" t="str">
        <f ca="1">IFERROR(__xludf.DUMMYFUNCTION("""COMPUTED_VALUE"""),"SoMe instagram")</f>
        <v>SoMe instagram</v>
      </c>
      <c r="V658" s="3"/>
      <c r="W658" s="3"/>
      <c r="X658" s="3"/>
      <c r="Y658" s="3"/>
      <c r="Z658" s="3" t="str">
        <f ca="1">IFERROR(__xludf.DUMMYFUNCTION("""COMPUTED_VALUE"""),"podklady@cncenter.cz")</f>
        <v>podklady@cncenter.cz</v>
      </c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 t="str">
        <f ca="1">IFERROR(__xludf.DUMMYFUNCTION("""COMPUTED_VALUE"""),"cross-device")</f>
        <v>cross-device</v>
      </c>
      <c r="AO658" s="3"/>
      <c r="AP658" s="3"/>
      <c r="AQ658" s="3"/>
      <c r="AR658" s="3"/>
      <c r="AS658" s="3"/>
      <c r="AT658" s="3"/>
      <c r="AU658" s="3" t="str">
        <f ca="1">IFERROR(__xludf.DUMMYFUNCTION("""COMPUTED_VALUE"""),"instagram story")</f>
        <v>instagram story</v>
      </c>
    </row>
    <row r="659" spans="1:47" x14ac:dyDescent="0.3">
      <c r="A659" s="3">
        <f ca="1"/>
        <v>2346826</v>
      </c>
      <c r="B659" s="3" t="str">
        <f ca="1"/>
        <v>CZECH NEWS CENTER a. s.</v>
      </c>
      <c r="C659" s="3" t="str">
        <f ca="1">IFERROR(__xludf.DUMMYFUNCTION("""COMPUTED_VALUE"""),"Instagramový profil Mateřídouška")</f>
        <v>Instagramový profil Mateřídouška</v>
      </c>
      <c r="D659" s="4" t="str">
        <f ca="1">IFERROR(__xludf.DUMMYFUNCTION("""COMPUTED_VALUE"""),"www.instagram.com")</f>
        <v>www.instagram.com</v>
      </c>
      <c r="E659" s="3" t="str">
        <f ca="1">IFERROR(__xludf.DUMMYFUNCTION("""COMPUTED_VALUE"""),"IG účet")</f>
        <v>IG účet</v>
      </c>
      <c r="F659" s="4" t="str">
        <f ca="1">IFERROR(__xludf.DUMMYFUNCTION("""COMPUTED_VALUE"""),"www.instagram.com")</f>
        <v>www.instagram.com</v>
      </c>
      <c r="G659" s="3" t="str">
        <f ca="1">IFERROR(__xludf.DUMMYFUNCTION("""COMPUTED_VALUE"""),"instagram post mid season")</f>
        <v>instagram post mid season</v>
      </c>
      <c r="H659" s="3">
        <f ca="1">IFERROR(__xludf.DUMMYFUNCTION("""COMPUTED_VALUE"""),1)</f>
        <v>1</v>
      </c>
      <c r="I659" s="5">
        <f ca="1">IFERROR(__xludf.DUMMYFUNCTION("""COMPUTED_VALUE"""),1)</f>
        <v>1</v>
      </c>
      <c r="J659" s="5">
        <f ca="1">IFERROR(__xludf.DUMMYFUNCTION("""COMPUTED_VALUE"""),18000)</f>
        <v>18000</v>
      </c>
      <c r="K659" s="3"/>
      <c r="L659" s="3" t="str">
        <f ca="1">IFERROR(__xludf.DUMMYFUNCTION("""COMPUTED_VALUE"""),"Cost per instance")</f>
        <v>Cost per instance</v>
      </c>
      <c r="M659" s="3"/>
      <c r="N659" s="3"/>
      <c r="O659" s="3"/>
      <c r="P659" s="3"/>
      <c r="Q659" s="3"/>
      <c r="R659" s="3"/>
      <c r="S659" s="3" t="str">
        <f ca="1">IFERROR(__xludf.DUMMYFUNCTION("""COMPUTED_VALUE"""),"100")</f>
        <v>100</v>
      </c>
      <c r="T659" s="3"/>
      <c r="U659" s="3" t="str">
        <f ca="1">IFERROR(__xludf.DUMMYFUNCTION("""COMPUTED_VALUE"""),"SoMe instagram")</f>
        <v>SoMe instagram</v>
      </c>
      <c r="V659" s="3"/>
      <c r="W659" s="3"/>
      <c r="X659" s="3"/>
      <c r="Y659" s="3"/>
      <c r="Z659" s="3" t="str">
        <f ca="1">IFERROR(__xludf.DUMMYFUNCTION("""COMPUTED_VALUE"""),"podklady@cncenter.cz")</f>
        <v>podklady@cncenter.cz</v>
      </c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 t="str">
        <f ca="1">IFERROR(__xludf.DUMMYFUNCTION("""COMPUTED_VALUE"""),"cross-device")</f>
        <v>cross-device</v>
      </c>
      <c r="AO659" s="3"/>
      <c r="AP659" s="3"/>
      <c r="AQ659" s="3"/>
      <c r="AR659" s="3"/>
      <c r="AS659" s="3"/>
      <c r="AT659" s="3"/>
      <c r="AU659" s="3" t="str">
        <f ca="1">IFERROR(__xludf.DUMMYFUNCTION("""COMPUTED_VALUE"""),"instagram post")</f>
        <v>instagram post</v>
      </c>
    </row>
    <row r="660" spans="1:47" x14ac:dyDescent="0.3">
      <c r="A660" s="3">
        <f ca="1"/>
        <v>2346826</v>
      </c>
      <c r="B660" s="3" t="str">
        <f ca="1"/>
        <v>CZECH NEWS CENTER a. s.</v>
      </c>
      <c r="C660" s="3" t="str">
        <f ca="1">IFERROR(__xludf.DUMMYFUNCTION("""COMPUTED_VALUE"""),"Instagramový profil Mateřídouška")</f>
        <v>Instagramový profil Mateřídouška</v>
      </c>
      <c r="D660" s="4" t="str">
        <f ca="1">IFERROR(__xludf.DUMMYFUNCTION("""COMPUTED_VALUE"""),"www.instagram.com")</f>
        <v>www.instagram.com</v>
      </c>
      <c r="E660" s="3" t="str">
        <f ca="1">IFERROR(__xludf.DUMMYFUNCTION("""COMPUTED_VALUE"""),"IG účet")</f>
        <v>IG účet</v>
      </c>
      <c r="F660" s="4" t="str">
        <f ca="1">IFERROR(__xludf.DUMMYFUNCTION("""COMPUTED_VALUE"""),"www.instagram.com")</f>
        <v>www.instagram.com</v>
      </c>
      <c r="G660" s="3" t="str">
        <f ca="1">IFERROR(__xludf.DUMMYFUNCTION("""COMPUTED_VALUE"""),"instagram story mid season")</f>
        <v>instagram story mid season</v>
      </c>
      <c r="H660" s="3">
        <f ca="1">IFERROR(__xludf.DUMMYFUNCTION("""COMPUTED_VALUE"""),1)</f>
        <v>1</v>
      </c>
      <c r="I660" s="5">
        <f ca="1">IFERROR(__xludf.DUMMYFUNCTION("""COMPUTED_VALUE"""),1)</f>
        <v>1</v>
      </c>
      <c r="J660" s="5">
        <f ca="1">IFERROR(__xludf.DUMMYFUNCTION("""COMPUTED_VALUE"""),18000)</f>
        <v>18000</v>
      </c>
      <c r="K660" s="3"/>
      <c r="L660" s="3" t="str">
        <f ca="1">IFERROR(__xludf.DUMMYFUNCTION("""COMPUTED_VALUE"""),"Cost per instance")</f>
        <v>Cost per instance</v>
      </c>
      <c r="M660" s="3"/>
      <c r="N660" s="3"/>
      <c r="O660" s="3"/>
      <c r="P660" s="3"/>
      <c r="Q660" s="3"/>
      <c r="R660" s="3"/>
      <c r="S660" s="3" t="str">
        <f ca="1">IFERROR(__xludf.DUMMYFUNCTION("""COMPUTED_VALUE"""),"100")</f>
        <v>100</v>
      </c>
      <c r="T660" s="3"/>
      <c r="U660" s="3" t="str">
        <f ca="1">IFERROR(__xludf.DUMMYFUNCTION("""COMPUTED_VALUE"""),"SoMe instagram")</f>
        <v>SoMe instagram</v>
      </c>
      <c r="V660" s="3"/>
      <c r="W660" s="3"/>
      <c r="X660" s="3"/>
      <c r="Y660" s="3"/>
      <c r="Z660" s="3" t="str">
        <f ca="1">IFERROR(__xludf.DUMMYFUNCTION("""COMPUTED_VALUE"""),"podklady@cncenter.cz")</f>
        <v>podklady@cncenter.cz</v>
      </c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 t="str">
        <f ca="1">IFERROR(__xludf.DUMMYFUNCTION("""COMPUTED_VALUE"""),"cross-device")</f>
        <v>cross-device</v>
      </c>
      <c r="AO660" s="3"/>
      <c r="AP660" s="3"/>
      <c r="AQ660" s="3"/>
      <c r="AR660" s="3"/>
      <c r="AS660" s="3"/>
      <c r="AT660" s="3"/>
      <c r="AU660" s="3" t="str">
        <f ca="1">IFERROR(__xludf.DUMMYFUNCTION("""COMPUTED_VALUE"""),"instagram story")</f>
        <v>instagram story</v>
      </c>
    </row>
    <row r="661" spans="1:47" x14ac:dyDescent="0.3">
      <c r="A661" s="3">
        <f ca="1"/>
        <v>2346826</v>
      </c>
      <c r="B661" s="3" t="str">
        <f ca="1"/>
        <v>CZECH NEWS CENTER a. s.</v>
      </c>
      <c r="C661" s="3" t="str">
        <f ca="1">IFERROR(__xludf.DUMMYFUNCTION("""COMPUTED_VALUE"""),"Instagramový profil Mobilmania")</f>
        <v>Instagramový profil Mobilmania</v>
      </c>
      <c r="D661" s="4" t="str">
        <f ca="1">IFERROR(__xludf.DUMMYFUNCTION("""COMPUTED_VALUE"""),"www.instagram.com")</f>
        <v>www.instagram.com</v>
      </c>
      <c r="E661" s="3" t="str">
        <f ca="1">IFERROR(__xludf.DUMMYFUNCTION("""COMPUTED_VALUE"""),"IG účet")</f>
        <v>IG účet</v>
      </c>
      <c r="F661" s="4" t="str">
        <f ca="1">IFERROR(__xludf.DUMMYFUNCTION("""COMPUTED_VALUE"""),"www.instagram.com")</f>
        <v>www.instagram.com</v>
      </c>
      <c r="G661" s="3" t="str">
        <f ca="1">IFERROR(__xludf.DUMMYFUNCTION("""COMPUTED_VALUE"""),"instagram post mid season")</f>
        <v>instagram post mid season</v>
      </c>
      <c r="H661" s="3">
        <f ca="1">IFERROR(__xludf.DUMMYFUNCTION("""COMPUTED_VALUE"""),1)</f>
        <v>1</v>
      </c>
      <c r="I661" s="5">
        <f ca="1">IFERROR(__xludf.DUMMYFUNCTION("""COMPUTED_VALUE"""),1)</f>
        <v>1</v>
      </c>
      <c r="J661" s="5">
        <f ca="1">IFERROR(__xludf.DUMMYFUNCTION("""COMPUTED_VALUE"""),18000)</f>
        <v>18000</v>
      </c>
      <c r="K661" s="3"/>
      <c r="L661" s="3" t="str">
        <f ca="1">IFERROR(__xludf.DUMMYFUNCTION("""COMPUTED_VALUE"""),"Cost per instance")</f>
        <v>Cost per instance</v>
      </c>
      <c r="M661" s="3"/>
      <c r="N661" s="3"/>
      <c r="O661" s="3"/>
      <c r="P661" s="3"/>
      <c r="Q661" s="3"/>
      <c r="R661" s="3"/>
      <c r="S661" s="3" t="str">
        <f ca="1">IFERROR(__xludf.DUMMYFUNCTION("""COMPUTED_VALUE"""),"100")</f>
        <v>100</v>
      </c>
      <c r="T661" s="3"/>
      <c r="U661" s="3" t="str">
        <f ca="1">IFERROR(__xludf.DUMMYFUNCTION("""COMPUTED_VALUE"""),"SoMe instagram")</f>
        <v>SoMe instagram</v>
      </c>
      <c r="V661" s="3"/>
      <c r="W661" s="3"/>
      <c r="X661" s="3"/>
      <c r="Y661" s="3"/>
      <c r="Z661" s="3" t="str">
        <f ca="1">IFERROR(__xludf.DUMMYFUNCTION("""COMPUTED_VALUE"""),"podklady@cncenter.cz")</f>
        <v>podklady@cncenter.cz</v>
      </c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 t="str">
        <f ca="1">IFERROR(__xludf.DUMMYFUNCTION("""COMPUTED_VALUE"""),"cross-device")</f>
        <v>cross-device</v>
      </c>
      <c r="AO661" s="3"/>
      <c r="AP661" s="3"/>
      <c r="AQ661" s="3"/>
      <c r="AR661" s="3"/>
      <c r="AS661" s="3"/>
      <c r="AT661" s="3"/>
      <c r="AU661" s="3" t="str">
        <f ca="1">IFERROR(__xludf.DUMMYFUNCTION("""COMPUTED_VALUE"""),"instagram post")</f>
        <v>instagram post</v>
      </c>
    </row>
    <row r="662" spans="1:47" x14ac:dyDescent="0.3">
      <c r="A662" s="3">
        <f ca="1"/>
        <v>2346826</v>
      </c>
      <c r="B662" s="3" t="str">
        <f ca="1"/>
        <v>CZECH NEWS CENTER a. s.</v>
      </c>
      <c r="C662" s="3" t="str">
        <f ca="1">IFERROR(__xludf.DUMMYFUNCTION("""COMPUTED_VALUE"""),"Instagramový profil mobilMania")</f>
        <v>Instagramový profil mobilMania</v>
      </c>
      <c r="D662" s="4" t="str">
        <f ca="1">IFERROR(__xludf.DUMMYFUNCTION("""COMPUTED_VALUE"""),"www.instagram.com")</f>
        <v>www.instagram.com</v>
      </c>
      <c r="E662" s="3" t="str">
        <f ca="1">IFERROR(__xludf.DUMMYFUNCTION("""COMPUTED_VALUE"""),"IG účet")</f>
        <v>IG účet</v>
      </c>
      <c r="F662" s="4" t="str">
        <f ca="1">IFERROR(__xludf.DUMMYFUNCTION("""COMPUTED_VALUE"""),"www.instagram.com")</f>
        <v>www.instagram.com</v>
      </c>
      <c r="G662" s="3" t="str">
        <f ca="1">IFERROR(__xludf.DUMMYFUNCTION("""COMPUTED_VALUE"""),"instagram story mid season")</f>
        <v>instagram story mid season</v>
      </c>
      <c r="H662" s="3">
        <f ca="1">IFERROR(__xludf.DUMMYFUNCTION("""COMPUTED_VALUE"""),1)</f>
        <v>1</v>
      </c>
      <c r="I662" s="5">
        <f ca="1">IFERROR(__xludf.DUMMYFUNCTION("""COMPUTED_VALUE"""),1)</f>
        <v>1</v>
      </c>
      <c r="J662" s="5">
        <f ca="1">IFERROR(__xludf.DUMMYFUNCTION("""COMPUTED_VALUE"""),18000)</f>
        <v>18000</v>
      </c>
      <c r="K662" s="3"/>
      <c r="L662" s="3" t="str">
        <f ca="1">IFERROR(__xludf.DUMMYFUNCTION("""COMPUTED_VALUE"""),"Cost per instance")</f>
        <v>Cost per instance</v>
      </c>
      <c r="M662" s="3"/>
      <c r="N662" s="3"/>
      <c r="O662" s="3"/>
      <c r="P662" s="3"/>
      <c r="Q662" s="3"/>
      <c r="R662" s="3"/>
      <c r="S662" s="3" t="str">
        <f ca="1">IFERROR(__xludf.DUMMYFUNCTION("""COMPUTED_VALUE"""),"100")</f>
        <v>100</v>
      </c>
      <c r="T662" s="3"/>
      <c r="U662" s="3" t="str">
        <f ca="1">IFERROR(__xludf.DUMMYFUNCTION("""COMPUTED_VALUE"""),"SoMe instagram")</f>
        <v>SoMe instagram</v>
      </c>
      <c r="V662" s="3"/>
      <c r="W662" s="3"/>
      <c r="X662" s="3"/>
      <c r="Y662" s="3"/>
      <c r="Z662" s="3" t="str">
        <f ca="1">IFERROR(__xludf.DUMMYFUNCTION("""COMPUTED_VALUE"""),"podklady@cncenter.cz")</f>
        <v>podklady@cncenter.cz</v>
      </c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 t="str">
        <f ca="1">IFERROR(__xludf.DUMMYFUNCTION("""COMPUTED_VALUE"""),"cross-device")</f>
        <v>cross-device</v>
      </c>
      <c r="AO662" s="3"/>
      <c r="AP662" s="3"/>
      <c r="AQ662" s="3"/>
      <c r="AR662" s="3"/>
      <c r="AS662" s="3"/>
      <c r="AT662" s="3"/>
      <c r="AU662" s="3" t="str">
        <f ca="1">IFERROR(__xludf.DUMMYFUNCTION("""COMPUTED_VALUE"""),"instagram story")</f>
        <v>instagram story</v>
      </c>
    </row>
    <row r="663" spans="1:47" x14ac:dyDescent="0.3">
      <c r="A663" s="3">
        <f ca="1"/>
        <v>2346826</v>
      </c>
      <c r="B663" s="3" t="str">
        <f ca="1"/>
        <v>CZECH NEWS CENTER a. s.</v>
      </c>
      <c r="C663" s="3" t="str">
        <f ca="1">IFERROR(__xludf.DUMMYFUNCTION("""COMPUTED_VALUE"""),"Instagramový profil Moje psychologie")</f>
        <v>Instagramový profil Moje psychologie</v>
      </c>
      <c r="D663" s="4" t="str">
        <f ca="1">IFERROR(__xludf.DUMMYFUNCTION("""COMPUTED_VALUE"""),"www.instagram.com")</f>
        <v>www.instagram.com</v>
      </c>
      <c r="E663" s="3" t="str">
        <f ca="1">IFERROR(__xludf.DUMMYFUNCTION("""COMPUTED_VALUE"""),"IG účet")</f>
        <v>IG účet</v>
      </c>
      <c r="F663" s="4" t="str">
        <f ca="1">IFERROR(__xludf.DUMMYFUNCTION("""COMPUTED_VALUE"""),"www.instagram.com")</f>
        <v>www.instagram.com</v>
      </c>
      <c r="G663" s="3" t="str">
        <f ca="1">IFERROR(__xludf.DUMMYFUNCTION("""COMPUTED_VALUE"""),"instagram post mid season")</f>
        <v>instagram post mid season</v>
      </c>
      <c r="H663" s="3">
        <f ca="1">IFERROR(__xludf.DUMMYFUNCTION("""COMPUTED_VALUE"""),1)</f>
        <v>1</v>
      </c>
      <c r="I663" s="5">
        <f ca="1">IFERROR(__xludf.DUMMYFUNCTION("""COMPUTED_VALUE"""),1)</f>
        <v>1</v>
      </c>
      <c r="J663" s="5">
        <f ca="1">IFERROR(__xludf.DUMMYFUNCTION("""COMPUTED_VALUE"""),18000)</f>
        <v>18000</v>
      </c>
      <c r="K663" s="3"/>
      <c r="L663" s="3" t="str">
        <f ca="1">IFERROR(__xludf.DUMMYFUNCTION("""COMPUTED_VALUE"""),"Cost per instance")</f>
        <v>Cost per instance</v>
      </c>
      <c r="M663" s="3"/>
      <c r="N663" s="3"/>
      <c r="O663" s="3"/>
      <c r="P663" s="3"/>
      <c r="Q663" s="3"/>
      <c r="R663" s="3"/>
      <c r="S663" s="3" t="str">
        <f ca="1">IFERROR(__xludf.DUMMYFUNCTION("""COMPUTED_VALUE"""),"100")</f>
        <v>100</v>
      </c>
      <c r="T663" s="3"/>
      <c r="U663" s="3" t="str">
        <f ca="1">IFERROR(__xludf.DUMMYFUNCTION("""COMPUTED_VALUE"""),"SoMe instagram")</f>
        <v>SoMe instagram</v>
      </c>
      <c r="V663" s="3"/>
      <c r="W663" s="3"/>
      <c r="X663" s="3"/>
      <c r="Y663" s="3"/>
      <c r="Z663" s="3" t="str">
        <f ca="1">IFERROR(__xludf.DUMMYFUNCTION("""COMPUTED_VALUE"""),"podklady@cncenter.cz")</f>
        <v>podklady@cncenter.cz</v>
      </c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 t="str">
        <f ca="1">IFERROR(__xludf.DUMMYFUNCTION("""COMPUTED_VALUE"""),"cross-device")</f>
        <v>cross-device</v>
      </c>
      <c r="AO663" s="3"/>
      <c r="AP663" s="3"/>
      <c r="AQ663" s="3"/>
      <c r="AR663" s="3"/>
      <c r="AS663" s="3"/>
      <c r="AT663" s="3"/>
      <c r="AU663" s="3" t="str">
        <f ca="1">IFERROR(__xludf.DUMMYFUNCTION("""COMPUTED_VALUE"""),"instagram post")</f>
        <v>instagram post</v>
      </c>
    </row>
    <row r="664" spans="1:47" x14ac:dyDescent="0.3">
      <c r="A664" s="3">
        <f ca="1"/>
        <v>2346826</v>
      </c>
      <c r="B664" s="3" t="str">
        <f ca="1"/>
        <v>CZECH NEWS CENTER a. s.</v>
      </c>
      <c r="C664" s="3" t="str">
        <f ca="1">IFERROR(__xludf.DUMMYFUNCTION("""COMPUTED_VALUE"""),"Instagramový profil Moje psychologie")</f>
        <v>Instagramový profil Moje psychologie</v>
      </c>
      <c r="D664" s="4" t="str">
        <f ca="1">IFERROR(__xludf.DUMMYFUNCTION("""COMPUTED_VALUE"""),"www.instagram.com")</f>
        <v>www.instagram.com</v>
      </c>
      <c r="E664" s="3" t="str">
        <f ca="1">IFERROR(__xludf.DUMMYFUNCTION("""COMPUTED_VALUE"""),"IG účet")</f>
        <v>IG účet</v>
      </c>
      <c r="F664" s="4" t="str">
        <f ca="1">IFERROR(__xludf.DUMMYFUNCTION("""COMPUTED_VALUE"""),"www.instagram.com")</f>
        <v>www.instagram.com</v>
      </c>
      <c r="G664" s="3" t="str">
        <f ca="1">IFERROR(__xludf.DUMMYFUNCTION("""COMPUTED_VALUE"""),"instagram story mid season")</f>
        <v>instagram story mid season</v>
      </c>
      <c r="H664" s="3">
        <f ca="1">IFERROR(__xludf.DUMMYFUNCTION("""COMPUTED_VALUE"""),1)</f>
        <v>1</v>
      </c>
      <c r="I664" s="5">
        <f ca="1">IFERROR(__xludf.DUMMYFUNCTION("""COMPUTED_VALUE"""),1)</f>
        <v>1</v>
      </c>
      <c r="J664" s="5">
        <f ca="1">IFERROR(__xludf.DUMMYFUNCTION("""COMPUTED_VALUE"""),18000)</f>
        <v>18000</v>
      </c>
      <c r="K664" s="3"/>
      <c r="L664" s="3" t="str">
        <f ca="1">IFERROR(__xludf.DUMMYFUNCTION("""COMPUTED_VALUE"""),"Cost per instance")</f>
        <v>Cost per instance</v>
      </c>
      <c r="M664" s="3"/>
      <c r="N664" s="3"/>
      <c r="O664" s="3"/>
      <c r="P664" s="3"/>
      <c r="Q664" s="3"/>
      <c r="R664" s="3"/>
      <c r="S664" s="3" t="str">
        <f ca="1">IFERROR(__xludf.DUMMYFUNCTION("""COMPUTED_VALUE"""),"100")</f>
        <v>100</v>
      </c>
      <c r="T664" s="3"/>
      <c r="U664" s="3" t="str">
        <f ca="1">IFERROR(__xludf.DUMMYFUNCTION("""COMPUTED_VALUE"""),"SoMe instagram")</f>
        <v>SoMe instagram</v>
      </c>
      <c r="V664" s="3"/>
      <c r="W664" s="3"/>
      <c r="X664" s="3"/>
      <c r="Y664" s="3"/>
      <c r="Z664" s="3" t="str">
        <f ca="1">IFERROR(__xludf.DUMMYFUNCTION("""COMPUTED_VALUE"""),"podklady@cncenter.cz")</f>
        <v>podklady@cncenter.cz</v>
      </c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 t="str">
        <f ca="1">IFERROR(__xludf.DUMMYFUNCTION("""COMPUTED_VALUE"""),"cross-device")</f>
        <v>cross-device</v>
      </c>
      <c r="AO664" s="3"/>
      <c r="AP664" s="3"/>
      <c r="AQ664" s="3"/>
      <c r="AR664" s="3"/>
      <c r="AS664" s="3"/>
      <c r="AT664" s="3"/>
      <c r="AU664" s="3" t="str">
        <f ca="1">IFERROR(__xludf.DUMMYFUNCTION("""COMPUTED_VALUE"""),"instagram story")</f>
        <v>instagram story</v>
      </c>
    </row>
    <row r="665" spans="1:47" x14ac:dyDescent="0.3">
      <c r="A665" s="3">
        <f ca="1"/>
        <v>2346826</v>
      </c>
      <c r="B665" s="3" t="str">
        <f ca="1"/>
        <v>CZECH NEWS CENTER a. s.</v>
      </c>
      <c r="C665" s="3" t="str">
        <f ca="1">IFERROR(__xludf.DUMMYFUNCTION("""COMPUTED_VALUE"""),"Instagramový profil Recepty")</f>
        <v>Instagramový profil Recepty</v>
      </c>
      <c r="D665" s="4" t="str">
        <f ca="1">IFERROR(__xludf.DUMMYFUNCTION("""COMPUTED_VALUE"""),"www.instagram.com")</f>
        <v>www.instagram.com</v>
      </c>
      <c r="E665" s="3" t="str">
        <f ca="1">IFERROR(__xludf.DUMMYFUNCTION("""COMPUTED_VALUE"""),"IG účet")</f>
        <v>IG účet</v>
      </c>
      <c r="F665" s="4" t="str">
        <f ca="1">IFERROR(__xludf.DUMMYFUNCTION("""COMPUTED_VALUE"""),"www.instagram.com")</f>
        <v>www.instagram.com</v>
      </c>
      <c r="G665" s="3" t="str">
        <f ca="1">IFERROR(__xludf.DUMMYFUNCTION("""COMPUTED_VALUE"""),"instagram post mid season")</f>
        <v>instagram post mid season</v>
      </c>
      <c r="H665" s="3">
        <f ca="1">IFERROR(__xludf.DUMMYFUNCTION("""COMPUTED_VALUE"""),1)</f>
        <v>1</v>
      </c>
      <c r="I665" s="5">
        <f ca="1">IFERROR(__xludf.DUMMYFUNCTION("""COMPUTED_VALUE"""),1)</f>
        <v>1</v>
      </c>
      <c r="J665" s="5">
        <f ca="1">IFERROR(__xludf.DUMMYFUNCTION("""COMPUTED_VALUE"""),18000)</f>
        <v>18000</v>
      </c>
      <c r="K665" s="3"/>
      <c r="L665" s="3" t="str">
        <f ca="1">IFERROR(__xludf.DUMMYFUNCTION("""COMPUTED_VALUE"""),"Cost per instance")</f>
        <v>Cost per instance</v>
      </c>
      <c r="M665" s="3"/>
      <c r="N665" s="3"/>
      <c r="O665" s="3"/>
      <c r="P665" s="3"/>
      <c r="Q665" s="3"/>
      <c r="R665" s="3"/>
      <c r="S665" s="3" t="str">
        <f ca="1">IFERROR(__xludf.DUMMYFUNCTION("""COMPUTED_VALUE"""),"100")</f>
        <v>100</v>
      </c>
      <c r="T665" s="3"/>
      <c r="U665" s="3" t="str">
        <f ca="1">IFERROR(__xludf.DUMMYFUNCTION("""COMPUTED_VALUE"""),"SoMe instagram")</f>
        <v>SoMe instagram</v>
      </c>
      <c r="V665" s="3"/>
      <c r="W665" s="3"/>
      <c r="X665" s="3"/>
      <c r="Y665" s="3"/>
      <c r="Z665" s="3" t="str">
        <f ca="1">IFERROR(__xludf.DUMMYFUNCTION("""COMPUTED_VALUE"""),"podklady@cncenter.cz")</f>
        <v>podklady@cncenter.cz</v>
      </c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 t="str">
        <f ca="1">IFERROR(__xludf.DUMMYFUNCTION("""COMPUTED_VALUE"""),"cross-device")</f>
        <v>cross-device</v>
      </c>
      <c r="AO665" s="3"/>
      <c r="AP665" s="3"/>
      <c r="AQ665" s="3"/>
      <c r="AR665" s="3"/>
      <c r="AS665" s="3"/>
      <c r="AT665" s="3"/>
      <c r="AU665" s="3" t="str">
        <f ca="1">IFERROR(__xludf.DUMMYFUNCTION("""COMPUTED_VALUE"""),"instagram post")</f>
        <v>instagram post</v>
      </c>
    </row>
    <row r="666" spans="1:47" x14ac:dyDescent="0.3">
      <c r="A666" s="3">
        <f ca="1"/>
        <v>2346826</v>
      </c>
      <c r="B666" s="3" t="str">
        <f ca="1"/>
        <v>CZECH NEWS CENTER a. s.</v>
      </c>
      <c r="C666" s="3" t="str">
        <f ca="1">IFERROR(__xludf.DUMMYFUNCTION("""COMPUTED_VALUE"""),"Instagramový profil Recepty")</f>
        <v>Instagramový profil Recepty</v>
      </c>
      <c r="D666" s="4" t="str">
        <f ca="1">IFERROR(__xludf.DUMMYFUNCTION("""COMPUTED_VALUE"""),"www.instagram.com")</f>
        <v>www.instagram.com</v>
      </c>
      <c r="E666" s="3" t="str">
        <f ca="1">IFERROR(__xludf.DUMMYFUNCTION("""COMPUTED_VALUE"""),"IG účet")</f>
        <v>IG účet</v>
      </c>
      <c r="F666" s="4" t="str">
        <f ca="1">IFERROR(__xludf.DUMMYFUNCTION("""COMPUTED_VALUE"""),"www.instagram.com")</f>
        <v>www.instagram.com</v>
      </c>
      <c r="G666" s="3" t="str">
        <f ca="1">IFERROR(__xludf.DUMMYFUNCTION("""COMPUTED_VALUE"""),"instagram story mid season")</f>
        <v>instagram story mid season</v>
      </c>
      <c r="H666" s="3">
        <f ca="1">IFERROR(__xludf.DUMMYFUNCTION("""COMPUTED_VALUE"""),1)</f>
        <v>1</v>
      </c>
      <c r="I666" s="5">
        <f ca="1">IFERROR(__xludf.DUMMYFUNCTION("""COMPUTED_VALUE"""),1)</f>
        <v>1</v>
      </c>
      <c r="J666" s="5">
        <f ca="1">IFERROR(__xludf.DUMMYFUNCTION("""COMPUTED_VALUE"""),18000)</f>
        <v>18000</v>
      </c>
      <c r="K666" s="3"/>
      <c r="L666" s="3" t="str">
        <f ca="1">IFERROR(__xludf.DUMMYFUNCTION("""COMPUTED_VALUE"""),"Cost per instance")</f>
        <v>Cost per instance</v>
      </c>
      <c r="M666" s="3"/>
      <c r="N666" s="3"/>
      <c r="O666" s="3"/>
      <c r="P666" s="3"/>
      <c r="Q666" s="3"/>
      <c r="R666" s="3"/>
      <c r="S666" s="3" t="str">
        <f ca="1">IFERROR(__xludf.DUMMYFUNCTION("""COMPUTED_VALUE"""),"100")</f>
        <v>100</v>
      </c>
      <c r="T666" s="3"/>
      <c r="U666" s="3" t="str">
        <f ca="1">IFERROR(__xludf.DUMMYFUNCTION("""COMPUTED_VALUE"""),"SoMe instagram")</f>
        <v>SoMe instagram</v>
      </c>
      <c r="V666" s="3"/>
      <c r="W666" s="3"/>
      <c r="X666" s="3"/>
      <c r="Y666" s="3"/>
      <c r="Z666" s="3" t="str">
        <f ca="1">IFERROR(__xludf.DUMMYFUNCTION("""COMPUTED_VALUE"""),"podklady@cncenter.cz")</f>
        <v>podklady@cncenter.cz</v>
      </c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 t="str">
        <f ca="1">IFERROR(__xludf.DUMMYFUNCTION("""COMPUTED_VALUE"""),"cross-device")</f>
        <v>cross-device</v>
      </c>
      <c r="AO666" s="3"/>
      <c r="AP666" s="3"/>
      <c r="AQ666" s="3"/>
      <c r="AR666" s="3"/>
      <c r="AS666" s="3"/>
      <c r="AT666" s="3"/>
      <c r="AU666" s="3" t="str">
        <f ca="1">IFERROR(__xludf.DUMMYFUNCTION("""COMPUTED_VALUE"""),"instagram story")</f>
        <v>instagram story</v>
      </c>
    </row>
    <row r="667" spans="1:47" x14ac:dyDescent="0.3">
      <c r="A667" s="3">
        <f ca="1"/>
        <v>2346826</v>
      </c>
      <c r="B667" s="3" t="str">
        <f ca="1"/>
        <v>CZECH NEWS CENTER a. s.</v>
      </c>
      <c r="C667" s="3" t="str">
        <f ca="1">IFERROR(__xludf.DUMMYFUNCTION("""COMPUTED_VALUE"""),"Instagramový profil Reflex")</f>
        <v>Instagramový profil Reflex</v>
      </c>
      <c r="D667" s="4" t="str">
        <f ca="1">IFERROR(__xludf.DUMMYFUNCTION("""COMPUTED_VALUE"""),"www.instagram.com")</f>
        <v>www.instagram.com</v>
      </c>
      <c r="E667" s="3" t="str">
        <f ca="1">IFERROR(__xludf.DUMMYFUNCTION("""COMPUTED_VALUE"""),"IG účet")</f>
        <v>IG účet</v>
      </c>
      <c r="F667" s="4" t="str">
        <f ca="1">IFERROR(__xludf.DUMMYFUNCTION("""COMPUTED_VALUE"""),"www.instagram.com")</f>
        <v>www.instagram.com</v>
      </c>
      <c r="G667" s="3" t="str">
        <f ca="1">IFERROR(__xludf.DUMMYFUNCTION("""COMPUTED_VALUE"""),"instagram post mid season")</f>
        <v>instagram post mid season</v>
      </c>
      <c r="H667" s="3">
        <f ca="1">IFERROR(__xludf.DUMMYFUNCTION("""COMPUTED_VALUE"""),1)</f>
        <v>1</v>
      </c>
      <c r="I667" s="5">
        <f ca="1">IFERROR(__xludf.DUMMYFUNCTION("""COMPUTED_VALUE"""),1)</f>
        <v>1</v>
      </c>
      <c r="J667" s="5">
        <f ca="1">IFERROR(__xludf.DUMMYFUNCTION("""COMPUTED_VALUE"""),23000)</f>
        <v>23000</v>
      </c>
      <c r="K667" s="3"/>
      <c r="L667" s="3" t="str">
        <f ca="1">IFERROR(__xludf.DUMMYFUNCTION("""COMPUTED_VALUE"""),"Cost per instance")</f>
        <v>Cost per instance</v>
      </c>
      <c r="M667" s="3"/>
      <c r="N667" s="3"/>
      <c r="O667" s="3"/>
      <c r="P667" s="3"/>
      <c r="Q667" s="3"/>
      <c r="R667" s="3"/>
      <c r="S667" s="3" t="str">
        <f ca="1">IFERROR(__xludf.DUMMYFUNCTION("""COMPUTED_VALUE"""),"100")</f>
        <v>100</v>
      </c>
      <c r="T667" s="3"/>
      <c r="U667" s="3" t="str">
        <f ca="1">IFERROR(__xludf.DUMMYFUNCTION("""COMPUTED_VALUE"""),"SoMe instagram")</f>
        <v>SoMe instagram</v>
      </c>
      <c r="V667" s="3"/>
      <c r="W667" s="3"/>
      <c r="X667" s="3"/>
      <c r="Y667" s="3"/>
      <c r="Z667" s="3" t="str">
        <f ca="1">IFERROR(__xludf.DUMMYFUNCTION("""COMPUTED_VALUE"""),"podklady@cncenter.cz")</f>
        <v>podklady@cncenter.cz</v>
      </c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 t="str">
        <f ca="1">IFERROR(__xludf.DUMMYFUNCTION("""COMPUTED_VALUE"""),"cross-device")</f>
        <v>cross-device</v>
      </c>
      <c r="AO667" s="3"/>
      <c r="AP667" s="3"/>
      <c r="AQ667" s="3"/>
      <c r="AR667" s="3"/>
      <c r="AS667" s="3"/>
      <c r="AT667" s="3"/>
      <c r="AU667" s="3" t="str">
        <f ca="1">IFERROR(__xludf.DUMMYFUNCTION("""COMPUTED_VALUE"""),"instagram post")</f>
        <v>instagram post</v>
      </c>
    </row>
    <row r="668" spans="1:47" x14ac:dyDescent="0.3">
      <c r="A668" s="3">
        <f ca="1"/>
        <v>2346826</v>
      </c>
      <c r="B668" s="3" t="str">
        <f ca="1"/>
        <v>CZECH NEWS CENTER a. s.</v>
      </c>
      <c r="C668" s="3" t="str">
        <f ca="1">IFERROR(__xludf.DUMMYFUNCTION("""COMPUTED_VALUE"""),"Instagramový profil Reflex")</f>
        <v>Instagramový profil Reflex</v>
      </c>
      <c r="D668" s="4" t="str">
        <f ca="1">IFERROR(__xludf.DUMMYFUNCTION("""COMPUTED_VALUE"""),"www.instagram.com")</f>
        <v>www.instagram.com</v>
      </c>
      <c r="E668" s="3" t="str">
        <f ca="1">IFERROR(__xludf.DUMMYFUNCTION("""COMPUTED_VALUE"""),"IG účet")</f>
        <v>IG účet</v>
      </c>
      <c r="F668" s="4" t="str">
        <f ca="1">IFERROR(__xludf.DUMMYFUNCTION("""COMPUTED_VALUE"""),"www.instagram.com")</f>
        <v>www.instagram.com</v>
      </c>
      <c r="G668" s="3" t="str">
        <f ca="1">IFERROR(__xludf.DUMMYFUNCTION("""COMPUTED_VALUE"""),"instagram story mid season")</f>
        <v>instagram story mid season</v>
      </c>
      <c r="H668" s="3">
        <f ca="1">IFERROR(__xludf.DUMMYFUNCTION("""COMPUTED_VALUE"""),1)</f>
        <v>1</v>
      </c>
      <c r="I668" s="5">
        <f ca="1">IFERROR(__xludf.DUMMYFUNCTION("""COMPUTED_VALUE"""),1)</f>
        <v>1</v>
      </c>
      <c r="J668" s="5">
        <f ca="1">IFERROR(__xludf.DUMMYFUNCTION("""COMPUTED_VALUE"""),23000)</f>
        <v>23000</v>
      </c>
      <c r="K668" s="3"/>
      <c r="L668" s="3" t="str">
        <f ca="1">IFERROR(__xludf.DUMMYFUNCTION("""COMPUTED_VALUE"""),"Cost per instance")</f>
        <v>Cost per instance</v>
      </c>
      <c r="M668" s="3"/>
      <c r="N668" s="3"/>
      <c r="O668" s="3"/>
      <c r="P668" s="3"/>
      <c r="Q668" s="3"/>
      <c r="R668" s="3"/>
      <c r="S668" s="3" t="str">
        <f ca="1">IFERROR(__xludf.DUMMYFUNCTION("""COMPUTED_VALUE"""),"100")</f>
        <v>100</v>
      </c>
      <c r="T668" s="3"/>
      <c r="U668" s="3" t="str">
        <f ca="1">IFERROR(__xludf.DUMMYFUNCTION("""COMPUTED_VALUE"""),"SoMe instagram")</f>
        <v>SoMe instagram</v>
      </c>
      <c r="V668" s="3"/>
      <c r="W668" s="3"/>
      <c r="X668" s="3"/>
      <c r="Y668" s="3"/>
      <c r="Z668" s="3" t="str">
        <f ca="1">IFERROR(__xludf.DUMMYFUNCTION("""COMPUTED_VALUE"""),"podklady@cncenter.cz")</f>
        <v>podklady@cncenter.cz</v>
      </c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 t="str">
        <f ca="1">IFERROR(__xludf.DUMMYFUNCTION("""COMPUTED_VALUE"""),"cross-device")</f>
        <v>cross-device</v>
      </c>
      <c r="AO668" s="3"/>
      <c r="AP668" s="3"/>
      <c r="AQ668" s="3"/>
      <c r="AR668" s="3"/>
      <c r="AS668" s="3"/>
      <c r="AT668" s="3"/>
      <c r="AU668" s="3" t="str">
        <f ca="1">IFERROR(__xludf.DUMMYFUNCTION("""COMPUTED_VALUE"""),"instagram story")</f>
        <v>instagram story</v>
      </c>
    </row>
    <row r="669" spans="1:47" x14ac:dyDescent="0.3">
      <c r="A669" s="3">
        <f ca="1"/>
        <v>2346826</v>
      </c>
      <c r="B669" s="3" t="str">
        <f ca="1"/>
        <v>CZECH NEWS CENTER a. s.</v>
      </c>
      <c r="C669" s="3" t="str">
        <f ca="1">IFERROR(__xludf.DUMMYFUNCTION("""COMPUTED_VALUE"""),"Instagramový profil Sluníčko")</f>
        <v>Instagramový profil Sluníčko</v>
      </c>
      <c r="D669" s="4" t="str">
        <f ca="1">IFERROR(__xludf.DUMMYFUNCTION("""COMPUTED_VALUE"""),"www.instagram.com")</f>
        <v>www.instagram.com</v>
      </c>
      <c r="E669" s="3" t="str">
        <f ca="1">IFERROR(__xludf.DUMMYFUNCTION("""COMPUTED_VALUE"""),"IG účet")</f>
        <v>IG účet</v>
      </c>
      <c r="F669" s="4" t="str">
        <f ca="1">IFERROR(__xludf.DUMMYFUNCTION("""COMPUTED_VALUE"""),"www.instagram.com")</f>
        <v>www.instagram.com</v>
      </c>
      <c r="G669" s="3" t="str">
        <f ca="1">IFERROR(__xludf.DUMMYFUNCTION("""COMPUTED_VALUE"""),"instagram post mid season")</f>
        <v>instagram post mid season</v>
      </c>
      <c r="H669" s="3">
        <f ca="1">IFERROR(__xludf.DUMMYFUNCTION("""COMPUTED_VALUE"""),1)</f>
        <v>1</v>
      </c>
      <c r="I669" s="5">
        <f ca="1">IFERROR(__xludf.DUMMYFUNCTION("""COMPUTED_VALUE"""),1)</f>
        <v>1</v>
      </c>
      <c r="J669" s="5">
        <f ca="1">IFERROR(__xludf.DUMMYFUNCTION("""COMPUTED_VALUE"""),18000)</f>
        <v>18000</v>
      </c>
      <c r="K669" s="3"/>
      <c r="L669" s="3" t="str">
        <f ca="1">IFERROR(__xludf.DUMMYFUNCTION("""COMPUTED_VALUE"""),"Cost per instance")</f>
        <v>Cost per instance</v>
      </c>
      <c r="M669" s="3"/>
      <c r="N669" s="3"/>
      <c r="O669" s="3"/>
      <c r="P669" s="3"/>
      <c r="Q669" s="3"/>
      <c r="R669" s="3"/>
      <c r="S669" s="3" t="str">
        <f ca="1">IFERROR(__xludf.DUMMYFUNCTION("""COMPUTED_VALUE"""),"100")</f>
        <v>100</v>
      </c>
      <c r="T669" s="3"/>
      <c r="U669" s="3" t="str">
        <f ca="1">IFERROR(__xludf.DUMMYFUNCTION("""COMPUTED_VALUE"""),"SoMe instagram")</f>
        <v>SoMe instagram</v>
      </c>
      <c r="V669" s="3"/>
      <c r="W669" s="3"/>
      <c r="X669" s="3"/>
      <c r="Y669" s="3"/>
      <c r="Z669" s="3" t="str">
        <f ca="1">IFERROR(__xludf.DUMMYFUNCTION("""COMPUTED_VALUE"""),"podklady@cncenter.cz")</f>
        <v>podklady@cncenter.cz</v>
      </c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 t="str">
        <f ca="1">IFERROR(__xludf.DUMMYFUNCTION("""COMPUTED_VALUE"""),"cross-device")</f>
        <v>cross-device</v>
      </c>
      <c r="AO669" s="3"/>
      <c r="AP669" s="3"/>
      <c r="AQ669" s="3"/>
      <c r="AR669" s="3"/>
      <c r="AS669" s="3"/>
      <c r="AT669" s="3"/>
      <c r="AU669" s="3" t="str">
        <f ca="1">IFERROR(__xludf.DUMMYFUNCTION("""COMPUTED_VALUE"""),"instagram post")</f>
        <v>instagram post</v>
      </c>
    </row>
    <row r="670" spans="1:47" x14ac:dyDescent="0.3">
      <c r="A670" s="3">
        <f ca="1"/>
        <v>2346826</v>
      </c>
      <c r="B670" s="3" t="str">
        <f ca="1"/>
        <v>CZECH NEWS CENTER a. s.</v>
      </c>
      <c r="C670" s="3" t="str">
        <f ca="1">IFERROR(__xludf.DUMMYFUNCTION("""COMPUTED_VALUE"""),"Instagramový profil Sluníčko")</f>
        <v>Instagramový profil Sluníčko</v>
      </c>
      <c r="D670" s="4" t="str">
        <f ca="1">IFERROR(__xludf.DUMMYFUNCTION("""COMPUTED_VALUE"""),"www.instagram.com")</f>
        <v>www.instagram.com</v>
      </c>
      <c r="E670" s="3" t="str">
        <f ca="1">IFERROR(__xludf.DUMMYFUNCTION("""COMPUTED_VALUE"""),"IG účet")</f>
        <v>IG účet</v>
      </c>
      <c r="F670" s="4" t="str">
        <f ca="1">IFERROR(__xludf.DUMMYFUNCTION("""COMPUTED_VALUE"""),"www.instagram.com")</f>
        <v>www.instagram.com</v>
      </c>
      <c r="G670" s="3" t="str">
        <f ca="1">IFERROR(__xludf.DUMMYFUNCTION("""COMPUTED_VALUE"""),"instagram story mid season")</f>
        <v>instagram story mid season</v>
      </c>
      <c r="H670" s="3">
        <f ca="1">IFERROR(__xludf.DUMMYFUNCTION("""COMPUTED_VALUE"""),1)</f>
        <v>1</v>
      </c>
      <c r="I670" s="5">
        <f ca="1">IFERROR(__xludf.DUMMYFUNCTION("""COMPUTED_VALUE"""),1)</f>
        <v>1</v>
      </c>
      <c r="J670" s="5">
        <f ca="1">IFERROR(__xludf.DUMMYFUNCTION("""COMPUTED_VALUE"""),18000)</f>
        <v>18000</v>
      </c>
      <c r="K670" s="3"/>
      <c r="L670" s="3" t="str">
        <f ca="1">IFERROR(__xludf.DUMMYFUNCTION("""COMPUTED_VALUE"""),"Cost per instance")</f>
        <v>Cost per instance</v>
      </c>
      <c r="M670" s="3"/>
      <c r="N670" s="3"/>
      <c r="O670" s="3"/>
      <c r="P670" s="3"/>
      <c r="Q670" s="3"/>
      <c r="R670" s="3"/>
      <c r="S670" s="3" t="str">
        <f ca="1">IFERROR(__xludf.DUMMYFUNCTION("""COMPUTED_VALUE"""),"100")</f>
        <v>100</v>
      </c>
      <c r="T670" s="3"/>
      <c r="U670" s="3" t="str">
        <f ca="1">IFERROR(__xludf.DUMMYFUNCTION("""COMPUTED_VALUE"""),"SoMe instagram")</f>
        <v>SoMe instagram</v>
      </c>
      <c r="V670" s="3"/>
      <c r="W670" s="3"/>
      <c r="X670" s="3"/>
      <c r="Y670" s="3"/>
      <c r="Z670" s="3" t="str">
        <f ca="1">IFERROR(__xludf.DUMMYFUNCTION("""COMPUTED_VALUE"""),"podklady@cncenter.cz")</f>
        <v>podklady@cncenter.cz</v>
      </c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 t="str">
        <f ca="1">IFERROR(__xludf.DUMMYFUNCTION("""COMPUTED_VALUE"""),"cross-device")</f>
        <v>cross-device</v>
      </c>
      <c r="AO670" s="3"/>
      <c r="AP670" s="3"/>
      <c r="AQ670" s="3"/>
      <c r="AR670" s="3"/>
      <c r="AS670" s="3"/>
      <c r="AT670" s="3"/>
      <c r="AU670" s="3" t="str">
        <f ca="1">IFERROR(__xludf.DUMMYFUNCTION("""COMPUTED_VALUE"""),"instagram story")</f>
        <v>instagram story</v>
      </c>
    </row>
    <row r="671" spans="1:47" x14ac:dyDescent="0.3">
      <c r="A671" s="3">
        <f ca="1"/>
        <v>2346826</v>
      </c>
      <c r="B671" s="3" t="str">
        <f ca="1"/>
        <v>CZECH NEWS CENTER a. s.</v>
      </c>
      <c r="C671" s="3" t="str">
        <f ca="1">IFERROR(__xludf.DUMMYFUNCTION("""COMPUTED_VALUE"""),"Instagramový profil Svět motorů")</f>
        <v>Instagramový profil Svět motorů</v>
      </c>
      <c r="D671" s="4" t="str">
        <f ca="1">IFERROR(__xludf.DUMMYFUNCTION("""COMPUTED_VALUE"""),"www.instagram.com")</f>
        <v>www.instagram.com</v>
      </c>
      <c r="E671" s="3" t="str">
        <f ca="1">IFERROR(__xludf.DUMMYFUNCTION("""COMPUTED_VALUE"""),"IG účet")</f>
        <v>IG účet</v>
      </c>
      <c r="F671" s="4" t="str">
        <f ca="1">IFERROR(__xludf.DUMMYFUNCTION("""COMPUTED_VALUE"""),"www.instagram.com")</f>
        <v>www.instagram.com</v>
      </c>
      <c r="G671" s="3" t="str">
        <f ca="1">IFERROR(__xludf.DUMMYFUNCTION("""COMPUTED_VALUE"""),"instagram post mid season")</f>
        <v>instagram post mid season</v>
      </c>
      <c r="H671" s="3">
        <f ca="1">IFERROR(__xludf.DUMMYFUNCTION("""COMPUTED_VALUE"""),1)</f>
        <v>1</v>
      </c>
      <c r="I671" s="5">
        <f ca="1">IFERROR(__xludf.DUMMYFUNCTION("""COMPUTED_VALUE"""),1)</f>
        <v>1</v>
      </c>
      <c r="J671" s="5">
        <f ca="1">IFERROR(__xludf.DUMMYFUNCTION("""COMPUTED_VALUE"""),18000)</f>
        <v>18000</v>
      </c>
      <c r="K671" s="3"/>
      <c r="L671" s="3" t="str">
        <f ca="1">IFERROR(__xludf.DUMMYFUNCTION("""COMPUTED_VALUE"""),"Cost per instance")</f>
        <v>Cost per instance</v>
      </c>
      <c r="M671" s="3"/>
      <c r="N671" s="3"/>
      <c r="O671" s="3"/>
      <c r="P671" s="3"/>
      <c r="Q671" s="3"/>
      <c r="R671" s="3"/>
      <c r="S671" s="3" t="str">
        <f ca="1">IFERROR(__xludf.DUMMYFUNCTION("""COMPUTED_VALUE"""),"100")</f>
        <v>100</v>
      </c>
      <c r="T671" s="3"/>
      <c r="U671" s="3" t="str">
        <f ca="1">IFERROR(__xludf.DUMMYFUNCTION("""COMPUTED_VALUE"""),"SoMe instagram")</f>
        <v>SoMe instagram</v>
      </c>
      <c r="V671" s="3"/>
      <c r="W671" s="3"/>
      <c r="X671" s="3"/>
      <c r="Y671" s="3"/>
      <c r="Z671" s="3" t="str">
        <f ca="1">IFERROR(__xludf.DUMMYFUNCTION("""COMPUTED_VALUE"""),"podklady@cncenter.cz")</f>
        <v>podklady@cncenter.cz</v>
      </c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 t="str">
        <f ca="1">IFERROR(__xludf.DUMMYFUNCTION("""COMPUTED_VALUE"""),"cross-device")</f>
        <v>cross-device</v>
      </c>
      <c r="AO671" s="3"/>
      <c r="AP671" s="3"/>
      <c r="AQ671" s="3"/>
      <c r="AR671" s="3"/>
      <c r="AS671" s="3"/>
      <c r="AT671" s="3"/>
      <c r="AU671" s="3" t="str">
        <f ca="1">IFERROR(__xludf.DUMMYFUNCTION("""COMPUTED_VALUE"""),"instagram post")</f>
        <v>instagram post</v>
      </c>
    </row>
    <row r="672" spans="1:47" x14ac:dyDescent="0.3">
      <c r="A672" s="3">
        <f ca="1"/>
        <v>2346826</v>
      </c>
      <c r="B672" s="3" t="str">
        <f ca="1"/>
        <v>CZECH NEWS CENTER a. s.</v>
      </c>
      <c r="C672" s="3" t="str">
        <f ca="1">IFERROR(__xludf.DUMMYFUNCTION("""COMPUTED_VALUE"""),"Instagramový profil Svět Motorů")</f>
        <v>Instagramový profil Svět Motorů</v>
      </c>
      <c r="D672" s="4" t="str">
        <f ca="1">IFERROR(__xludf.DUMMYFUNCTION("""COMPUTED_VALUE"""),"www.instagram.com")</f>
        <v>www.instagram.com</v>
      </c>
      <c r="E672" s="3" t="str">
        <f ca="1">IFERROR(__xludf.DUMMYFUNCTION("""COMPUTED_VALUE"""),"IG účet")</f>
        <v>IG účet</v>
      </c>
      <c r="F672" s="4" t="str">
        <f ca="1">IFERROR(__xludf.DUMMYFUNCTION("""COMPUTED_VALUE"""),"www.instagram.com")</f>
        <v>www.instagram.com</v>
      </c>
      <c r="G672" s="3" t="str">
        <f ca="1">IFERROR(__xludf.DUMMYFUNCTION("""COMPUTED_VALUE"""),"instagram story mid season")</f>
        <v>instagram story mid season</v>
      </c>
      <c r="H672" s="3">
        <f ca="1">IFERROR(__xludf.DUMMYFUNCTION("""COMPUTED_VALUE"""),1)</f>
        <v>1</v>
      </c>
      <c r="I672" s="5">
        <f ca="1">IFERROR(__xludf.DUMMYFUNCTION("""COMPUTED_VALUE"""),1)</f>
        <v>1</v>
      </c>
      <c r="J672" s="5">
        <f ca="1">IFERROR(__xludf.DUMMYFUNCTION("""COMPUTED_VALUE"""),18000)</f>
        <v>18000</v>
      </c>
      <c r="K672" s="3"/>
      <c r="L672" s="3" t="str">
        <f ca="1">IFERROR(__xludf.DUMMYFUNCTION("""COMPUTED_VALUE"""),"Cost per instance")</f>
        <v>Cost per instance</v>
      </c>
      <c r="M672" s="3"/>
      <c r="N672" s="3"/>
      <c r="O672" s="3"/>
      <c r="P672" s="3"/>
      <c r="Q672" s="3"/>
      <c r="R672" s="3"/>
      <c r="S672" s="3" t="str">
        <f ca="1">IFERROR(__xludf.DUMMYFUNCTION("""COMPUTED_VALUE"""),"100")</f>
        <v>100</v>
      </c>
      <c r="T672" s="3"/>
      <c r="U672" s="3" t="str">
        <f ca="1">IFERROR(__xludf.DUMMYFUNCTION("""COMPUTED_VALUE"""),"SoMe instagram")</f>
        <v>SoMe instagram</v>
      </c>
      <c r="V672" s="3"/>
      <c r="W672" s="3"/>
      <c r="X672" s="3"/>
      <c r="Y672" s="3"/>
      <c r="Z672" s="3" t="str">
        <f ca="1">IFERROR(__xludf.DUMMYFUNCTION("""COMPUTED_VALUE"""),"podklady@cncenter.cz")</f>
        <v>podklady@cncenter.cz</v>
      </c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 t="str">
        <f ca="1">IFERROR(__xludf.DUMMYFUNCTION("""COMPUTED_VALUE"""),"cross-device")</f>
        <v>cross-device</v>
      </c>
      <c r="AO672" s="3"/>
      <c r="AP672" s="3"/>
      <c r="AQ672" s="3"/>
      <c r="AR672" s="3"/>
      <c r="AS672" s="3"/>
      <c r="AT672" s="3"/>
      <c r="AU672" s="3" t="str">
        <f ca="1">IFERROR(__xludf.DUMMYFUNCTION("""COMPUTED_VALUE"""),"instagram story")</f>
        <v>instagram story</v>
      </c>
    </row>
    <row r="673" spans="1:47" x14ac:dyDescent="0.3">
      <c r="A673" s="3">
        <f ca="1"/>
        <v>2346826</v>
      </c>
      <c r="B673" s="3" t="str">
        <f ca="1"/>
        <v>CZECH NEWS CENTER a. s.</v>
      </c>
      <c r="C673" s="3" t="str">
        <f ca="1">IFERROR(__xludf.DUMMYFUNCTION("""COMPUTED_VALUE"""),"Instagramový profil Ženy")</f>
        <v>Instagramový profil Ženy</v>
      </c>
      <c r="D673" s="4" t="str">
        <f ca="1">IFERROR(__xludf.DUMMYFUNCTION("""COMPUTED_VALUE"""),"www.instagram.com")</f>
        <v>www.instagram.com</v>
      </c>
      <c r="E673" s="3" t="str">
        <f ca="1">IFERROR(__xludf.DUMMYFUNCTION("""COMPUTED_VALUE"""),"IG účet")</f>
        <v>IG účet</v>
      </c>
      <c r="F673" s="4" t="str">
        <f ca="1">IFERROR(__xludf.DUMMYFUNCTION("""COMPUTED_VALUE"""),"www.instagram.com")</f>
        <v>www.instagram.com</v>
      </c>
      <c r="G673" s="3" t="str">
        <f ca="1">IFERROR(__xludf.DUMMYFUNCTION("""COMPUTED_VALUE"""),"instagram post mid season")</f>
        <v>instagram post mid season</v>
      </c>
      <c r="H673" s="3">
        <f ca="1">IFERROR(__xludf.DUMMYFUNCTION("""COMPUTED_VALUE"""),1)</f>
        <v>1</v>
      </c>
      <c r="I673" s="5">
        <f ca="1">IFERROR(__xludf.DUMMYFUNCTION("""COMPUTED_VALUE"""),1)</f>
        <v>1</v>
      </c>
      <c r="J673" s="5">
        <f ca="1">IFERROR(__xludf.DUMMYFUNCTION("""COMPUTED_VALUE"""),18000)</f>
        <v>18000</v>
      </c>
      <c r="K673" s="3"/>
      <c r="L673" s="3" t="str">
        <f ca="1">IFERROR(__xludf.DUMMYFUNCTION("""COMPUTED_VALUE"""),"Cost per instance")</f>
        <v>Cost per instance</v>
      </c>
      <c r="M673" s="3"/>
      <c r="N673" s="3"/>
      <c r="O673" s="3"/>
      <c r="P673" s="3"/>
      <c r="Q673" s="3"/>
      <c r="R673" s="3"/>
      <c r="S673" s="3" t="str">
        <f ca="1">IFERROR(__xludf.DUMMYFUNCTION("""COMPUTED_VALUE"""),"100")</f>
        <v>100</v>
      </c>
      <c r="T673" s="3"/>
      <c r="U673" s="3" t="str">
        <f ca="1">IFERROR(__xludf.DUMMYFUNCTION("""COMPUTED_VALUE"""),"SoMe instagram")</f>
        <v>SoMe instagram</v>
      </c>
      <c r="V673" s="3"/>
      <c r="W673" s="3"/>
      <c r="X673" s="3"/>
      <c r="Y673" s="3"/>
      <c r="Z673" s="3" t="str">
        <f ca="1">IFERROR(__xludf.DUMMYFUNCTION("""COMPUTED_VALUE"""),"podklady@cncenter.cz")</f>
        <v>podklady@cncenter.cz</v>
      </c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 t="str">
        <f ca="1">IFERROR(__xludf.DUMMYFUNCTION("""COMPUTED_VALUE"""),"cross-device")</f>
        <v>cross-device</v>
      </c>
      <c r="AO673" s="3"/>
      <c r="AP673" s="3"/>
      <c r="AQ673" s="3"/>
      <c r="AR673" s="3"/>
      <c r="AS673" s="3"/>
      <c r="AT673" s="3"/>
      <c r="AU673" s="3" t="str">
        <f ca="1">IFERROR(__xludf.DUMMYFUNCTION("""COMPUTED_VALUE"""),"instagram post")</f>
        <v>instagram post</v>
      </c>
    </row>
    <row r="674" spans="1:47" x14ac:dyDescent="0.3">
      <c r="A674" s="3">
        <f ca="1"/>
        <v>2346826</v>
      </c>
      <c r="B674" s="3" t="str">
        <f ca="1"/>
        <v>CZECH NEWS CENTER a. s.</v>
      </c>
      <c r="C674" s="3" t="str">
        <f ca="1">IFERROR(__xludf.DUMMYFUNCTION("""COMPUTED_VALUE"""),"Instagramový profil Ženy")</f>
        <v>Instagramový profil Ženy</v>
      </c>
      <c r="D674" s="4" t="str">
        <f ca="1">IFERROR(__xludf.DUMMYFUNCTION("""COMPUTED_VALUE"""),"www.instagram.com")</f>
        <v>www.instagram.com</v>
      </c>
      <c r="E674" s="3" t="str">
        <f ca="1">IFERROR(__xludf.DUMMYFUNCTION("""COMPUTED_VALUE"""),"IG účet")</f>
        <v>IG účet</v>
      </c>
      <c r="F674" s="4" t="str">
        <f ca="1">IFERROR(__xludf.DUMMYFUNCTION("""COMPUTED_VALUE"""),"www.instagram.com")</f>
        <v>www.instagram.com</v>
      </c>
      <c r="G674" s="3" t="str">
        <f ca="1">IFERROR(__xludf.DUMMYFUNCTION("""COMPUTED_VALUE"""),"instagram story mid season")</f>
        <v>instagram story mid season</v>
      </c>
      <c r="H674" s="3">
        <f ca="1">IFERROR(__xludf.DUMMYFUNCTION("""COMPUTED_VALUE"""),1)</f>
        <v>1</v>
      </c>
      <c r="I674" s="5">
        <f ca="1">IFERROR(__xludf.DUMMYFUNCTION("""COMPUTED_VALUE"""),1)</f>
        <v>1</v>
      </c>
      <c r="J674" s="5">
        <f ca="1">IFERROR(__xludf.DUMMYFUNCTION("""COMPUTED_VALUE"""),18000)</f>
        <v>18000</v>
      </c>
      <c r="K674" s="3"/>
      <c r="L674" s="3" t="str">
        <f ca="1">IFERROR(__xludf.DUMMYFUNCTION("""COMPUTED_VALUE"""),"Cost per instance")</f>
        <v>Cost per instance</v>
      </c>
      <c r="M674" s="3"/>
      <c r="N674" s="3"/>
      <c r="O674" s="3"/>
      <c r="P674" s="3"/>
      <c r="Q674" s="3"/>
      <c r="R674" s="3"/>
      <c r="S674" s="3" t="str">
        <f ca="1">IFERROR(__xludf.DUMMYFUNCTION("""COMPUTED_VALUE"""),"100")</f>
        <v>100</v>
      </c>
      <c r="T674" s="3"/>
      <c r="U674" s="3" t="str">
        <f ca="1">IFERROR(__xludf.DUMMYFUNCTION("""COMPUTED_VALUE"""),"SoMe instagram")</f>
        <v>SoMe instagram</v>
      </c>
      <c r="V674" s="3"/>
      <c r="W674" s="3"/>
      <c r="X674" s="3"/>
      <c r="Y674" s="3"/>
      <c r="Z674" s="3" t="str">
        <f ca="1">IFERROR(__xludf.DUMMYFUNCTION("""COMPUTED_VALUE"""),"podklady@cncenter.cz")</f>
        <v>podklady@cncenter.cz</v>
      </c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 t="str">
        <f ca="1">IFERROR(__xludf.DUMMYFUNCTION("""COMPUTED_VALUE"""),"cross-device")</f>
        <v>cross-device</v>
      </c>
      <c r="AO674" s="3"/>
      <c r="AP674" s="3"/>
      <c r="AQ674" s="3"/>
      <c r="AR674" s="3"/>
      <c r="AS674" s="3"/>
      <c r="AT674" s="3"/>
      <c r="AU674" s="3" t="str">
        <f ca="1">IFERROR(__xludf.DUMMYFUNCTION("""COMPUTED_VALUE"""),"instagram story")</f>
        <v>instagram story</v>
      </c>
    </row>
    <row r="675" spans="1:47" x14ac:dyDescent="0.3">
      <c r="A675" s="3">
        <f ca="1"/>
        <v>2346826</v>
      </c>
      <c r="B675" s="3" t="str">
        <f ca="1"/>
        <v>CZECH NEWS CENTER a. s.</v>
      </c>
      <c r="C675" s="3" t="str">
        <f ca="1">IFERROR(__xludf.DUMMYFUNCTION("""COMPUTED_VALUE"""),"Instagramový profil Živě")</f>
        <v>Instagramový profil Živě</v>
      </c>
      <c r="D675" s="4" t="str">
        <f ca="1">IFERROR(__xludf.DUMMYFUNCTION("""COMPUTED_VALUE"""),"www.instagram.com")</f>
        <v>www.instagram.com</v>
      </c>
      <c r="E675" s="3" t="str">
        <f ca="1">IFERROR(__xludf.DUMMYFUNCTION("""COMPUTED_VALUE"""),"IG účet")</f>
        <v>IG účet</v>
      </c>
      <c r="F675" s="4" t="str">
        <f ca="1">IFERROR(__xludf.DUMMYFUNCTION("""COMPUTED_VALUE"""),"www.instagram.com")</f>
        <v>www.instagram.com</v>
      </c>
      <c r="G675" s="3" t="str">
        <f ca="1">IFERROR(__xludf.DUMMYFUNCTION("""COMPUTED_VALUE"""),"instagram post mid season")</f>
        <v>instagram post mid season</v>
      </c>
      <c r="H675" s="3">
        <f ca="1">IFERROR(__xludf.DUMMYFUNCTION("""COMPUTED_VALUE"""),1)</f>
        <v>1</v>
      </c>
      <c r="I675" s="5">
        <f ca="1">IFERROR(__xludf.DUMMYFUNCTION("""COMPUTED_VALUE"""),1)</f>
        <v>1</v>
      </c>
      <c r="J675" s="5">
        <f ca="1">IFERROR(__xludf.DUMMYFUNCTION("""COMPUTED_VALUE"""),18000)</f>
        <v>18000</v>
      </c>
      <c r="K675" s="3"/>
      <c r="L675" s="3" t="str">
        <f ca="1">IFERROR(__xludf.DUMMYFUNCTION("""COMPUTED_VALUE"""),"Cost per instance")</f>
        <v>Cost per instance</v>
      </c>
      <c r="M675" s="3"/>
      <c r="N675" s="3"/>
      <c r="O675" s="3"/>
      <c r="P675" s="3"/>
      <c r="Q675" s="3"/>
      <c r="R675" s="3"/>
      <c r="S675" s="3" t="str">
        <f ca="1">IFERROR(__xludf.DUMMYFUNCTION("""COMPUTED_VALUE"""),"100")</f>
        <v>100</v>
      </c>
      <c r="T675" s="3"/>
      <c r="U675" s="3" t="str">
        <f ca="1">IFERROR(__xludf.DUMMYFUNCTION("""COMPUTED_VALUE"""),"SoMe instagram")</f>
        <v>SoMe instagram</v>
      </c>
      <c r="V675" s="3"/>
      <c r="W675" s="3"/>
      <c r="X675" s="3"/>
      <c r="Y675" s="3"/>
      <c r="Z675" s="3" t="str">
        <f ca="1">IFERROR(__xludf.DUMMYFUNCTION("""COMPUTED_VALUE"""),"podklady@cncenter.cz")</f>
        <v>podklady@cncenter.cz</v>
      </c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 t="str">
        <f ca="1">IFERROR(__xludf.DUMMYFUNCTION("""COMPUTED_VALUE"""),"cross-device")</f>
        <v>cross-device</v>
      </c>
      <c r="AO675" s="3"/>
      <c r="AP675" s="3"/>
      <c r="AQ675" s="3"/>
      <c r="AR675" s="3"/>
      <c r="AS675" s="3"/>
      <c r="AT675" s="3"/>
      <c r="AU675" s="3" t="str">
        <f ca="1">IFERROR(__xludf.DUMMYFUNCTION("""COMPUTED_VALUE"""),"instagram post")</f>
        <v>instagram post</v>
      </c>
    </row>
    <row r="676" spans="1:47" x14ac:dyDescent="0.3">
      <c r="A676" s="3">
        <f ca="1"/>
        <v>2346826</v>
      </c>
      <c r="B676" s="3" t="str">
        <f ca="1"/>
        <v>CZECH NEWS CENTER a. s.</v>
      </c>
      <c r="C676" s="3" t="str">
        <f ca="1">IFERROR(__xludf.DUMMYFUNCTION("""COMPUTED_VALUE"""),"Instagramový profil Živě")</f>
        <v>Instagramový profil Živě</v>
      </c>
      <c r="D676" s="4" t="str">
        <f ca="1">IFERROR(__xludf.DUMMYFUNCTION("""COMPUTED_VALUE"""),"www.instagram.com")</f>
        <v>www.instagram.com</v>
      </c>
      <c r="E676" s="3" t="str">
        <f ca="1">IFERROR(__xludf.DUMMYFUNCTION("""COMPUTED_VALUE"""),"IG účet")</f>
        <v>IG účet</v>
      </c>
      <c r="F676" s="4" t="str">
        <f ca="1">IFERROR(__xludf.DUMMYFUNCTION("""COMPUTED_VALUE"""),"www.instagram.com")</f>
        <v>www.instagram.com</v>
      </c>
      <c r="G676" s="3" t="str">
        <f ca="1">IFERROR(__xludf.DUMMYFUNCTION("""COMPUTED_VALUE"""),"instagram story mid season")</f>
        <v>instagram story mid season</v>
      </c>
      <c r="H676" s="3">
        <f ca="1">IFERROR(__xludf.DUMMYFUNCTION("""COMPUTED_VALUE"""),1)</f>
        <v>1</v>
      </c>
      <c r="I676" s="5">
        <f ca="1">IFERROR(__xludf.DUMMYFUNCTION("""COMPUTED_VALUE"""),1)</f>
        <v>1</v>
      </c>
      <c r="J676" s="5">
        <f ca="1">IFERROR(__xludf.DUMMYFUNCTION("""COMPUTED_VALUE"""),18000)</f>
        <v>18000</v>
      </c>
      <c r="K676" s="3"/>
      <c r="L676" s="3" t="str">
        <f ca="1">IFERROR(__xludf.DUMMYFUNCTION("""COMPUTED_VALUE"""),"Cost per instance")</f>
        <v>Cost per instance</v>
      </c>
      <c r="M676" s="3"/>
      <c r="N676" s="3"/>
      <c r="O676" s="3"/>
      <c r="P676" s="3"/>
      <c r="Q676" s="3"/>
      <c r="R676" s="3"/>
      <c r="S676" s="3" t="str">
        <f ca="1">IFERROR(__xludf.DUMMYFUNCTION("""COMPUTED_VALUE"""),"100")</f>
        <v>100</v>
      </c>
      <c r="T676" s="3"/>
      <c r="U676" s="3" t="str">
        <f ca="1">IFERROR(__xludf.DUMMYFUNCTION("""COMPUTED_VALUE"""),"SoMe instagram")</f>
        <v>SoMe instagram</v>
      </c>
      <c r="V676" s="3"/>
      <c r="W676" s="3"/>
      <c r="X676" s="3"/>
      <c r="Y676" s="3"/>
      <c r="Z676" s="3" t="str">
        <f ca="1">IFERROR(__xludf.DUMMYFUNCTION("""COMPUTED_VALUE"""),"podklady@cncenter.cz")</f>
        <v>podklady@cncenter.cz</v>
      </c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 t="str">
        <f ca="1">IFERROR(__xludf.DUMMYFUNCTION("""COMPUTED_VALUE"""),"cross-device")</f>
        <v>cross-device</v>
      </c>
      <c r="AO676" s="3"/>
      <c r="AP676" s="3"/>
      <c r="AQ676" s="3"/>
      <c r="AR676" s="3"/>
      <c r="AS676" s="3"/>
      <c r="AT676" s="3"/>
      <c r="AU676" s="3" t="str">
        <f ca="1">IFERROR(__xludf.DUMMYFUNCTION("""COMPUTED_VALUE"""),"instagram story")</f>
        <v>instagram story</v>
      </c>
    </row>
    <row r="677" spans="1:47" x14ac:dyDescent="0.3">
      <c r="A677" s="3">
        <f ca="1"/>
        <v>2346826</v>
      </c>
      <c r="B677" s="3" t="str">
        <f ca="1"/>
        <v>CZECH NEWS CENTER a. s.</v>
      </c>
      <c r="C677" s="3" t="str">
        <f ca="1">IFERROR(__xludf.DUMMYFUNCTION("""COMPUTED_VALUE"""),"iSport")</f>
        <v>iSport</v>
      </c>
      <c r="D677" s="3" t="str">
        <f ca="1">IFERROR(__xludf.DUMMYFUNCTION("""COMPUTED_VALUE"""),"https://isport.cz, https://sportrevue.cz")</f>
        <v>https://isport.cz, https://sportrevue.cz</v>
      </c>
      <c r="E677" s="3" t="str">
        <f ca="1">IFERROR(__xludf.DUMMYFUNCTION("""COMPUTED_VALUE"""),"celý web")</f>
        <v>celý web</v>
      </c>
      <c r="F677" s="3" t="str">
        <f ca="1">IFERROR(__xludf.DUMMYFUNCTION("""COMPUTED_VALUE"""),"https://isport.cz, https://sportrevue.cz")</f>
        <v>https://isport.cz, https://sportrevue.cz</v>
      </c>
      <c r="G677" s="3" t="str">
        <f ca="1">IFERROR(__xludf.DUMMYFUNCTION("""COMPUTED_VALUE"""),"Advertorial mid season")</f>
        <v>Advertorial mid season</v>
      </c>
      <c r="H677" s="3">
        <f ca="1">IFERROR(__xludf.DUMMYFUNCTION("""COMPUTED_VALUE"""),1)</f>
        <v>1</v>
      </c>
      <c r="I677" s="5">
        <f ca="1">IFERROR(__xludf.DUMMYFUNCTION("""COMPUTED_VALUE"""),1)</f>
        <v>1</v>
      </c>
      <c r="J677" s="5">
        <f ca="1">IFERROR(__xludf.DUMMYFUNCTION("""COMPUTED_VALUE"""),90000)</f>
        <v>90000</v>
      </c>
      <c r="K677" s="3"/>
      <c r="L677" s="3" t="str">
        <f ca="1">IFERROR(__xludf.DUMMYFUNCTION("""COMPUTED_VALUE"""),"Cost per instance")</f>
        <v>Cost per instance</v>
      </c>
      <c r="M677" s="3"/>
      <c r="N677" s="3"/>
      <c r="O677" s="3"/>
      <c r="P677" s="3"/>
      <c r="Q677" s="3"/>
      <c r="R677" s="3"/>
      <c r="S677" s="3" t="str">
        <f ca="1">IFERROR(__xludf.DUMMYFUNCTION("""COMPUTED_VALUE"""),"100")</f>
        <v>100</v>
      </c>
      <c r="T677" s="3"/>
      <c r="U677" s="3" t="str">
        <f ca="1">IFERROR(__xludf.DUMMYFUNCTION("""COMPUTED_VALUE"""),"pr článek")</f>
        <v>pr článek</v>
      </c>
      <c r="V677" s="3"/>
      <c r="W677" s="3"/>
      <c r="X677" s="3"/>
      <c r="Y677" s="3"/>
      <c r="Z677" s="3" t="str">
        <f ca="1">IFERROR(__xludf.DUMMYFUNCTION("""COMPUTED_VALUE"""),"podklady@cncenter.cz")</f>
        <v>podklady@cncenter.cz</v>
      </c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 t="str">
        <f ca="1">IFERROR(__xludf.DUMMYFUNCTION("""COMPUTED_VALUE"""),"cross-device")</f>
        <v>cross-device</v>
      </c>
      <c r="AO677" s="3"/>
      <c r="AP677" s="3"/>
      <c r="AQ677" s="3"/>
      <c r="AR677" s="3"/>
      <c r="AS677" s="3"/>
      <c r="AT677" s="3"/>
      <c r="AU677" s="3" t="str">
        <f ca="1">IFERROR(__xludf.DUMMYFUNCTION("""COMPUTED_VALUE"""),"Advertorial")</f>
        <v>Advertorial</v>
      </c>
    </row>
    <row r="678" spans="1:47" x14ac:dyDescent="0.3">
      <c r="A678" s="3">
        <f ca="1"/>
        <v>2346826</v>
      </c>
      <c r="B678" s="3" t="str">
        <f ca="1"/>
        <v>CZECH NEWS CENTER a. s.</v>
      </c>
      <c r="C678" s="3" t="str">
        <f ca="1">IFERROR(__xludf.DUMMYFUNCTION("""COMPUTED_VALUE"""),"iSport")</f>
        <v>iSport</v>
      </c>
      <c r="D678" s="3" t="str">
        <f ca="1">IFERROR(__xludf.DUMMYFUNCTION("""COMPUTED_VALUE"""),"https://isport.cz, https://sportrevue.cz")</f>
        <v>https://isport.cz, https://sportrevue.cz</v>
      </c>
      <c r="E678" s="3" t="str">
        <f ca="1">IFERROR(__xludf.DUMMYFUNCTION("""COMPUTED_VALUE"""),"celý web")</f>
        <v>celý web</v>
      </c>
      <c r="F678" s="3" t="str">
        <f ca="1">IFERROR(__xludf.DUMMYFUNCTION("""COMPUTED_VALUE"""),"https://isport.cz, https://sportrevue.cz")</f>
        <v>https://isport.cz, https://sportrevue.cz</v>
      </c>
      <c r="G678" s="3" t="str">
        <f ca="1">IFERROR(__xludf.DUMMYFUNCTION("""COMPUTED_VALUE"""),"billboard bottom mid season")</f>
        <v>billboard bottom mid season</v>
      </c>
      <c r="H678" s="3">
        <f ca="1">IFERROR(__xludf.DUMMYFUNCTION("""COMPUTED_VALUE"""),7)</f>
        <v>7</v>
      </c>
      <c r="I678" s="5">
        <f ca="1">IFERROR(__xludf.DUMMYFUNCTION("""COMPUTED_VALUE"""),1000)</f>
        <v>1000</v>
      </c>
      <c r="J678" s="5">
        <f ca="1">IFERROR(__xludf.DUMMYFUNCTION("""COMPUTED_VALUE"""),470)</f>
        <v>470</v>
      </c>
      <c r="K678" s="3"/>
      <c r="L678" s="3" t="str">
        <f ca="1">IFERROR(__xludf.DUMMYFUNCTION("""COMPUTED_VALUE"""),"Cost per period")</f>
        <v>Cost per period</v>
      </c>
      <c r="M678" s="3"/>
      <c r="N678" s="3"/>
      <c r="O678" s="3" t="str">
        <f ca="1">IFERROR(__xludf.DUMMYFUNCTION("""COMPUTED_VALUE"""),"970")</f>
        <v>970</v>
      </c>
      <c r="P678" s="3" t="str">
        <f ca="1">IFERROR(__xludf.DUMMYFUNCTION("""COMPUTED_VALUE"""),"250")</f>
        <v>250</v>
      </c>
      <c r="Q678" s="3" t="str">
        <f ca="1">IFERROR(__xludf.DUMMYFUNCTION("""COMPUTED_VALUE"""),"970x250")</f>
        <v>970x250</v>
      </c>
      <c r="R678" s="3"/>
      <c r="S678" s="3" t="str">
        <f ca="1">IFERROR(__xludf.DUMMYFUNCTION("""COMPUTED_VALUE"""),"100 (200 - HTML5)")</f>
        <v>100 (200 - HTML5)</v>
      </c>
      <c r="T678" s="3"/>
      <c r="U678" s="3" t="str">
        <f ca="1">IFERROR(__xludf.DUMMYFUNCTION("""COMPUTED_VALUE"""),"banner standard")</f>
        <v>banner standard</v>
      </c>
      <c r="V678" s="3"/>
      <c r="W678" s="4" t="str">
        <f ca="1">IFERROR(__xludf.DUMMYFUNCTION("""COMPUTED_VALUE"""),"https://reklama.cncenter.cz/Online/billboard-bottom")</f>
        <v>https://reklama.cncenter.cz/Online/billboard-bottom</v>
      </c>
      <c r="X678" s="3"/>
      <c r="Y678" s="3"/>
      <c r="Z678" s="3" t="str">
        <f ca="1">IFERROR(__xludf.DUMMYFUNCTION("""COMPUTED_VALUE"""),"podklady@cncenter.cz")</f>
        <v>podklady@cncenter.cz</v>
      </c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 t="str">
        <f ca="1">IFERROR(__xludf.DUMMYFUNCTION("""COMPUTED_VALUE"""),"desktop")</f>
        <v>desktop</v>
      </c>
      <c r="AO678" s="3"/>
      <c r="AP678" s="3"/>
      <c r="AQ678" s="3"/>
      <c r="AR678" s="3"/>
      <c r="AS678" s="3"/>
      <c r="AT678" s="3"/>
      <c r="AU678" s="3" t="str">
        <f ca="1">IFERROR(__xludf.DUMMYFUNCTION("""COMPUTED_VALUE"""),"billboard bottom")</f>
        <v>billboard bottom</v>
      </c>
    </row>
    <row r="679" spans="1:47" x14ac:dyDescent="0.3">
      <c r="A679" s="3">
        <f ca="1"/>
        <v>2346826</v>
      </c>
      <c r="B679" s="3" t="str">
        <f ca="1"/>
        <v>CZECH NEWS CENTER a. s.</v>
      </c>
      <c r="C679" s="3" t="str">
        <f ca="1">IFERROR(__xludf.DUMMYFUNCTION("""COMPUTED_VALUE"""),"iSport")</f>
        <v>iSport</v>
      </c>
      <c r="D679" s="3" t="str">
        <f ca="1">IFERROR(__xludf.DUMMYFUNCTION("""COMPUTED_VALUE"""),"https://isport.cz, https://sportrevue.cz")</f>
        <v>https://isport.cz, https://sportrevue.cz</v>
      </c>
      <c r="E679" s="3" t="str">
        <f ca="1">IFERROR(__xludf.DUMMYFUNCTION("""COMPUTED_VALUE"""),"celý web")</f>
        <v>celý web</v>
      </c>
      <c r="F679" s="3" t="str">
        <f ca="1">IFERROR(__xludf.DUMMYFUNCTION("""COMPUTED_VALUE"""),"https://isport.cz, https://sportrevue.cz")</f>
        <v>https://isport.cz, https://sportrevue.cz</v>
      </c>
      <c r="G679" s="3" t="str">
        <f ca="1">IFERROR(__xludf.DUMMYFUNCTION("""COMPUTED_VALUE"""),"branding cross-device mid season")</f>
        <v>branding cross-device mid season</v>
      </c>
      <c r="H679" s="3">
        <f ca="1">IFERROR(__xludf.DUMMYFUNCTION("""COMPUTED_VALUE"""),7)</f>
        <v>7</v>
      </c>
      <c r="I679" s="5">
        <f ca="1">IFERROR(__xludf.DUMMYFUNCTION("""COMPUTED_VALUE"""),1000)</f>
        <v>1000</v>
      </c>
      <c r="J679" s="5">
        <f ca="1">IFERROR(__xludf.DUMMYFUNCTION("""COMPUTED_VALUE"""),660)</f>
        <v>660</v>
      </c>
      <c r="K679" s="3"/>
      <c r="L679" s="3" t="str">
        <f ca="1">IFERROR(__xludf.DUMMYFUNCTION("""COMPUTED_VALUE"""),"Cost per period")</f>
        <v>Cost per period</v>
      </c>
      <c r="M679" s="3"/>
      <c r="N679" s="3"/>
      <c r="O679" s="3" t="str">
        <f ca="1">IFERROR(__xludf.DUMMYFUNCTION("""COMPUTED_VALUE"""),"2000")</f>
        <v>2000</v>
      </c>
      <c r="P679" s="3" t="str">
        <f ca="1">IFERROR(__xludf.DUMMYFUNCTION("""COMPUTED_VALUE"""),"1400")</f>
        <v>1400</v>
      </c>
      <c r="Q679" s="3" t="str">
        <f ca="1">IFERROR(__xludf.DUMMYFUNCTION("""COMPUTED_VALUE"""),"2000x1400 + 600x1080")</f>
        <v>2000x1400 + 600x1080</v>
      </c>
      <c r="R679" s="3"/>
      <c r="S679" s="3" t="str">
        <f ca="1">IFERROR(__xludf.DUMMYFUNCTION("""COMPUTED_VALUE"""),"500 (600 - HTLM5)")</f>
        <v>500 (600 - HTLM5)</v>
      </c>
      <c r="T679" s="3"/>
      <c r="U679" s="3" t="str">
        <f ca="1">IFERROR(__xludf.DUMMYFUNCTION("""COMPUTED_VALUE"""),"banner standard")</f>
        <v>banner standard</v>
      </c>
      <c r="V679" s="3"/>
      <c r="W679" s="4" t="str">
        <f ca="1">IFERROR(__xludf.DUMMYFUNCTION("""COMPUTED_VALUE"""),"https://reklama.cncenter.cz/Online/branding-cross-device")</f>
        <v>https://reklama.cncenter.cz/Online/branding-cross-device</v>
      </c>
      <c r="X679" s="3"/>
      <c r="Y679" s="3"/>
      <c r="Z679" s="3" t="str">
        <f ca="1">IFERROR(__xludf.DUMMYFUNCTION("""COMPUTED_VALUE"""),"podklady@cncenter.cz")</f>
        <v>podklady@cncenter.cz</v>
      </c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 t="str">
        <f ca="1">IFERROR(__xludf.DUMMYFUNCTION("""COMPUTED_VALUE"""),"cross-device")</f>
        <v>cross-device</v>
      </c>
      <c r="AO679" s="3"/>
      <c r="AP679" s="3"/>
      <c r="AQ679" s="3"/>
      <c r="AR679" s="3"/>
      <c r="AS679" s="3"/>
      <c r="AT679" s="3"/>
      <c r="AU679" s="3" t="str">
        <f ca="1">IFERROR(__xludf.DUMMYFUNCTION("""COMPUTED_VALUE"""),"branding cross-device")</f>
        <v>branding cross-device</v>
      </c>
    </row>
    <row r="680" spans="1:47" x14ac:dyDescent="0.3">
      <c r="A680" s="3">
        <f ca="1"/>
        <v>2346826</v>
      </c>
      <c r="B680" s="3" t="str">
        <f ca="1"/>
        <v>CZECH NEWS CENTER a. s.</v>
      </c>
      <c r="C680" s="3" t="str">
        <f ca="1">IFERROR(__xludf.DUMMYFUNCTION("""COMPUTED_VALUE"""),"iSport")</f>
        <v>iSport</v>
      </c>
      <c r="D680" s="3" t="str">
        <f ca="1">IFERROR(__xludf.DUMMYFUNCTION("""COMPUTED_VALUE"""),"https://isport.cz, https://sportrevue.cz")</f>
        <v>https://isport.cz, https://sportrevue.cz</v>
      </c>
      <c r="E680" s="3" t="str">
        <f ca="1">IFERROR(__xludf.DUMMYFUNCTION("""COMPUTED_VALUE"""),"celý web")</f>
        <v>celý web</v>
      </c>
      <c r="F680" s="3" t="str">
        <f ca="1">IFERROR(__xludf.DUMMYFUNCTION("""COMPUTED_VALUE"""),"https://isport.cz, https://sportrevue.cz")</f>
        <v>https://isport.cz, https://sportrevue.cz</v>
      </c>
      <c r="G680" s="3" t="str">
        <f ca="1">IFERROR(__xludf.DUMMYFUNCTION("""COMPUTED_VALUE"""),"branding mid season")</f>
        <v>branding mid season</v>
      </c>
      <c r="H680" s="3">
        <f ca="1">IFERROR(__xludf.DUMMYFUNCTION("""COMPUTED_VALUE"""),7)</f>
        <v>7</v>
      </c>
      <c r="I680" s="5">
        <f ca="1">IFERROR(__xludf.DUMMYFUNCTION("""COMPUTED_VALUE"""),1000)</f>
        <v>1000</v>
      </c>
      <c r="J680" s="5">
        <f ca="1">IFERROR(__xludf.DUMMYFUNCTION("""COMPUTED_VALUE"""),1080)</f>
        <v>1080</v>
      </c>
      <c r="K680" s="3"/>
      <c r="L680" s="3" t="str">
        <f ca="1">IFERROR(__xludf.DUMMYFUNCTION("""COMPUTED_VALUE"""),"Cost per period")</f>
        <v>Cost per period</v>
      </c>
      <c r="M680" s="3"/>
      <c r="N680" s="3"/>
      <c r="O680" s="3" t="str">
        <f ca="1">IFERROR(__xludf.DUMMYFUNCTION("""COMPUTED_VALUE"""),"2000")</f>
        <v>2000</v>
      </c>
      <c r="P680" s="3" t="str">
        <f ca="1">IFERROR(__xludf.DUMMYFUNCTION("""COMPUTED_VALUE"""),"1400")</f>
        <v>1400</v>
      </c>
      <c r="Q680" s="3" t="str">
        <f ca="1">IFERROR(__xludf.DUMMYFUNCTION("""COMPUTED_VALUE"""),"2000x1400")</f>
        <v>2000x1400</v>
      </c>
      <c r="R680" s="3"/>
      <c r="S680" s="3" t="str">
        <f ca="1">IFERROR(__xludf.DUMMYFUNCTION("""COMPUTED_VALUE"""),"500 + 200 (600+200 HTML5)")</f>
        <v>500 + 200 (600+200 HTML5)</v>
      </c>
      <c r="T680" s="3"/>
      <c r="U680" s="3" t="str">
        <f ca="1">IFERROR(__xludf.DUMMYFUNCTION("""COMPUTED_VALUE"""),"banner standard")</f>
        <v>banner standard</v>
      </c>
      <c r="V680" s="3"/>
      <c r="W680" s="4" t="str">
        <f ca="1">IFERROR(__xludf.DUMMYFUNCTION("""COMPUTED_VALUE"""),"https://reklama.cncenter.cz/Online/branding")</f>
        <v>https://reklama.cncenter.cz/Online/branding</v>
      </c>
      <c r="X680" s="3"/>
      <c r="Y680" s="3"/>
      <c r="Z680" s="3" t="str">
        <f ca="1">IFERROR(__xludf.DUMMYFUNCTION("""COMPUTED_VALUE"""),"podklady@cncenter.cz")</f>
        <v>podklady@cncenter.cz</v>
      </c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 t="str">
        <f ca="1">IFERROR(__xludf.DUMMYFUNCTION("""COMPUTED_VALUE"""),"desktop")</f>
        <v>desktop</v>
      </c>
      <c r="AO680" s="3"/>
      <c r="AP680" s="3"/>
      <c r="AQ680" s="3"/>
      <c r="AR680" s="3"/>
      <c r="AS680" s="3"/>
      <c r="AT680" s="3"/>
      <c r="AU680" s="3" t="str">
        <f ca="1">IFERROR(__xludf.DUMMYFUNCTION("""COMPUTED_VALUE"""),"branding")</f>
        <v>branding</v>
      </c>
    </row>
    <row r="681" spans="1:47" x14ac:dyDescent="0.3">
      <c r="A681" s="3">
        <f ca="1"/>
        <v>2346826</v>
      </c>
      <c r="B681" s="3" t="str">
        <f ca="1"/>
        <v>CZECH NEWS CENTER a. s.</v>
      </c>
      <c r="C681" s="3" t="str">
        <f ca="1">IFERROR(__xludf.DUMMYFUNCTION("""COMPUTED_VALUE"""),"iSport")</f>
        <v>iSport</v>
      </c>
      <c r="D681" s="3" t="str">
        <f ca="1">IFERROR(__xludf.DUMMYFUNCTION("""COMPUTED_VALUE"""),"https://isport.cz, https://sportrevue.cz")</f>
        <v>https://isport.cz, https://sportrevue.cz</v>
      </c>
      <c r="E681" s="3" t="str">
        <f ca="1">IFERROR(__xludf.DUMMYFUNCTION("""COMPUTED_VALUE"""),"celý web")</f>
        <v>celý web</v>
      </c>
      <c r="F681" s="3" t="str">
        <f ca="1">IFERROR(__xludf.DUMMYFUNCTION("""COMPUTED_VALUE"""),"https://isport.cz, https://sportrevue.cz")</f>
        <v>https://isport.cz, https://sportrevue.cz</v>
      </c>
      <c r="G681" s="3" t="str">
        <f ca="1">IFERROR(__xludf.DUMMYFUNCTION("""COMPUTED_VALUE"""),"cílený billboard bottom mid season")</f>
        <v>cílený billboard bottom mid season</v>
      </c>
      <c r="H681" s="3">
        <f ca="1">IFERROR(__xludf.DUMMYFUNCTION("""COMPUTED_VALUE"""),7)</f>
        <v>7</v>
      </c>
      <c r="I681" s="5">
        <f ca="1">IFERROR(__xludf.DUMMYFUNCTION("""COMPUTED_VALUE"""),1000)</f>
        <v>1000</v>
      </c>
      <c r="J681" s="5">
        <f ca="1">IFERROR(__xludf.DUMMYFUNCTION("""COMPUTED_VALUE"""),564)</f>
        <v>564</v>
      </c>
      <c r="K681" s="3"/>
      <c r="L681" s="3" t="str">
        <f ca="1">IFERROR(__xludf.DUMMYFUNCTION("""COMPUTED_VALUE"""),"Cost per period")</f>
        <v>Cost per period</v>
      </c>
      <c r="M681" s="3"/>
      <c r="N681" s="3"/>
      <c r="O681" s="3" t="str">
        <f ca="1">IFERROR(__xludf.DUMMYFUNCTION("""COMPUTED_VALUE"""),"970")</f>
        <v>970</v>
      </c>
      <c r="P681" s="3" t="str">
        <f ca="1">IFERROR(__xludf.DUMMYFUNCTION("""COMPUTED_VALUE"""),"250")</f>
        <v>250</v>
      </c>
      <c r="Q681" s="3" t="str">
        <f ca="1">IFERROR(__xludf.DUMMYFUNCTION("""COMPUTED_VALUE"""),"970x250")</f>
        <v>970x250</v>
      </c>
      <c r="R681" s="3"/>
      <c r="S681" s="3" t="str">
        <f ca="1">IFERROR(__xludf.DUMMYFUNCTION("""COMPUTED_VALUE"""),"100 (200 - HTML5)")</f>
        <v>100 (200 - HTML5)</v>
      </c>
      <c r="T681" s="3"/>
      <c r="U681" s="3" t="str">
        <f ca="1">IFERROR(__xludf.DUMMYFUNCTION("""COMPUTED_VALUE"""),"banner standard")</f>
        <v>banner standard</v>
      </c>
      <c r="V681" s="3"/>
      <c r="W681" s="4" t="str">
        <f ca="1">IFERROR(__xludf.DUMMYFUNCTION("""COMPUTED_VALUE"""),"https://reklama.cncenter.cz/Online/billboard-bottom")</f>
        <v>https://reklama.cncenter.cz/Online/billboard-bottom</v>
      </c>
      <c r="X681" s="3"/>
      <c r="Y681" s="3"/>
      <c r="Z681" s="3" t="str">
        <f ca="1">IFERROR(__xludf.DUMMYFUNCTION("""COMPUTED_VALUE"""),"podklady@cncenter.cz")</f>
        <v>podklady@cncenter.cz</v>
      </c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 t="str">
        <f ca="1">IFERROR(__xludf.DUMMYFUNCTION("""COMPUTED_VALUE"""),"desktop")</f>
        <v>desktop</v>
      </c>
      <c r="AO681" s="3"/>
      <c r="AP681" s="3"/>
      <c r="AQ681" s="3"/>
      <c r="AR681" s="3"/>
      <c r="AS681" s="3"/>
      <c r="AT681" s="3"/>
      <c r="AU681" s="3" t="str">
        <f ca="1">IFERROR(__xludf.DUMMYFUNCTION("""COMPUTED_VALUE"""),"cílený billboard bottom")</f>
        <v>cílený billboard bottom</v>
      </c>
    </row>
    <row r="682" spans="1:47" x14ac:dyDescent="0.3">
      <c r="A682" s="3">
        <f ca="1"/>
        <v>2346826</v>
      </c>
      <c r="B682" s="3" t="str">
        <f ca="1"/>
        <v>CZECH NEWS CENTER a. s.</v>
      </c>
      <c r="C682" s="3" t="str">
        <f ca="1">IFERROR(__xludf.DUMMYFUNCTION("""COMPUTED_VALUE"""),"iSport")</f>
        <v>iSport</v>
      </c>
      <c r="D682" s="3" t="str">
        <f ca="1">IFERROR(__xludf.DUMMYFUNCTION("""COMPUTED_VALUE"""),"https://isport.cz, https://sportrevue.cz")</f>
        <v>https://isport.cz, https://sportrevue.cz</v>
      </c>
      <c r="E682" s="3" t="str">
        <f ca="1">IFERROR(__xludf.DUMMYFUNCTION("""COMPUTED_VALUE"""),"celý web")</f>
        <v>celý web</v>
      </c>
      <c r="F682" s="3" t="str">
        <f ca="1">IFERROR(__xludf.DUMMYFUNCTION("""COMPUTED_VALUE"""),"https://isport.cz, https://sportrevue.cz")</f>
        <v>https://isport.cz, https://sportrevue.cz</v>
      </c>
      <c r="G682" s="3" t="str">
        <f ca="1">IFERROR(__xludf.DUMMYFUNCTION("""COMPUTED_VALUE"""),"cílený branding cross-device mid season")</f>
        <v>cílený branding cross-device mid season</v>
      </c>
      <c r="H682" s="3">
        <f ca="1">IFERROR(__xludf.DUMMYFUNCTION("""COMPUTED_VALUE"""),7)</f>
        <v>7</v>
      </c>
      <c r="I682" s="5">
        <f ca="1">IFERROR(__xludf.DUMMYFUNCTION("""COMPUTED_VALUE"""),1000)</f>
        <v>1000</v>
      </c>
      <c r="J682" s="5">
        <f ca="1">IFERROR(__xludf.DUMMYFUNCTION("""COMPUTED_VALUE"""),792)</f>
        <v>792</v>
      </c>
      <c r="K682" s="3"/>
      <c r="L682" s="3" t="str">
        <f ca="1">IFERROR(__xludf.DUMMYFUNCTION("""COMPUTED_VALUE"""),"Cost per period")</f>
        <v>Cost per period</v>
      </c>
      <c r="M682" s="3"/>
      <c r="N682" s="3"/>
      <c r="O682" s="3" t="str">
        <f ca="1">IFERROR(__xludf.DUMMYFUNCTION("""COMPUTED_VALUE"""),"2000")</f>
        <v>2000</v>
      </c>
      <c r="P682" s="3" t="str">
        <f ca="1">IFERROR(__xludf.DUMMYFUNCTION("""COMPUTED_VALUE"""),"1400")</f>
        <v>1400</v>
      </c>
      <c r="Q682" s="3" t="str">
        <f ca="1">IFERROR(__xludf.DUMMYFUNCTION("""COMPUTED_VALUE"""),"2000x1400 + 600x1080")</f>
        <v>2000x1400 + 600x1080</v>
      </c>
      <c r="R682" s="3"/>
      <c r="S682" s="3" t="str">
        <f ca="1">IFERROR(__xludf.DUMMYFUNCTION("""COMPUTED_VALUE"""),"500 (600 - HTLM5)")</f>
        <v>500 (600 - HTLM5)</v>
      </c>
      <c r="T682" s="3"/>
      <c r="U682" s="3" t="str">
        <f ca="1">IFERROR(__xludf.DUMMYFUNCTION("""COMPUTED_VALUE"""),"banner standard")</f>
        <v>banner standard</v>
      </c>
      <c r="V682" s="3"/>
      <c r="W682" s="4" t="str">
        <f ca="1">IFERROR(__xludf.DUMMYFUNCTION("""COMPUTED_VALUE"""),"https://reklama.cncenter.cz/Online/branding-cross-device")</f>
        <v>https://reklama.cncenter.cz/Online/branding-cross-device</v>
      </c>
      <c r="X682" s="3"/>
      <c r="Y682" s="3"/>
      <c r="Z682" s="3" t="str">
        <f ca="1">IFERROR(__xludf.DUMMYFUNCTION("""COMPUTED_VALUE"""),"podklady@cncenter.cz")</f>
        <v>podklady@cncenter.cz</v>
      </c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 t="str">
        <f ca="1">IFERROR(__xludf.DUMMYFUNCTION("""COMPUTED_VALUE"""),"cross-device")</f>
        <v>cross-device</v>
      </c>
      <c r="AO682" s="3"/>
      <c r="AP682" s="3"/>
      <c r="AQ682" s="3"/>
      <c r="AR682" s="3"/>
      <c r="AS682" s="3"/>
      <c r="AT682" s="3"/>
      <c r="AU682" s="3" t="str">
        <f ca="1">IFERROR(__xludf.DUMMYFUNCTION("""COMPUTED_VALUE"""),"cílený branding cross-device")</f>
        <v>cílený branding cross-device</v>
      </c>
    </row>
    <row r="683" spans="1:47" x14ac:dyDescent="0.3">
      <c r="A683" s="3">
        <f ca="1"/>
        <v>2346826</v>
      </c>
      <c r="B683" s="3" t="str">
        <f ca="1"/>
        <v>CZECH NEWS CENTER a. s.</v>
      </c>
      <c r="C683" s="3" t="str">
        <f ca="1">IFERROR(__xludf.DUMMYFUNCTION("""COMPUTED_VALUE"""),"iSport")</f>
        <v>iSport</v>
      </c>
      <c r="D683" s="3" t="str">
        <f ca="1">IFERROR(__xludf.DUMMYFUNCTION("""COMPUTED_VALUE"""),"https://isport.cz, https://sportrevue.cz")</f>
        <v>https://isport.cz, https://sportrevue.cz</v>
      </c>
      <c r="E683" s="3" t="str">
        <f ca="1">IFERROR(__xludf.DUMMYFUNCTION("""COMPUTED_VALUE"""),"celý web")</f>
        <v>celý web</v>
      </c>
      <c r="F683" s="3" t="str">
        <f ca="1">IFERROR(__xludf.DUMMYFUNCTION("""COMPUTED_VALUE"""),"https://isport.cz, https://sportrevue.cz")</f>
        <v>https://isport.cz, https://sportrevue.cz</v>
      </c>
      <c r="G683" s="3" t="str">
        <f ca="1">IFERROR(__xludf.DUMMYFUNCTION("""COMPUTED_VALUE"""),"cílený branding mid season")</f>
        <v>cílený branding mid season</v>
      </c>
      <c r="H683" s="3">
        <f ca="1">IFERROR(__xludf.DUMMYFUNCTION("""COMPUTED_VALUE"""),7)</f>
        <v>7</v>
      </c>
      <c r="I683" s="5">
        <f ca="1">IFERROR(__xludf.DUMMYFUNCTION("""COMPUTED_VALUE"""),1000)</f>
        <v>1000</v>
      </c>
      <c r="J683" s="5">
        <f ca="1">IFERROR(__xludf.DUMMYFUNCTION("""COMPUTED_VALUE"""),1296)</f>
        <v>1296</v>
      </c>
      <c r="K683" s="3"/>
      <c r="L683" s="3" t="str">
        <f ca="1">IFERROR(__xludf.DUMMYFUNCTION("""COMPUTED_VALUE"""),"Cost per period")</f>
        <v>Cost per period</v>
      </c>
      <c r="M683" s="3"/>
      <c r="N683" s="3"/>
      <c r="O683" s="3" t="str">
        <f ca="1">IFERROR(__xludf.DUMMYFUNCTION("""COMPUTED_VALUE"""),"2000")</f>
        <v>2000</v>
      </c>
      <c r="P683" s="3" t="str">
        <f ca="1">IFERROR(__xludf.DUMMYFUNCTION("""COMPUTED_VALUE"""),"1400")</f>
        <v>1400</v>
      </c>
      <c r="Q683" s="3" t="str">
        <f ca="1">IFERROR(__xludf.DUMMYFUNCTION("""COMPUTED_VALUE"""),"2000x1400")</f>
        <v>2000x1400</v>
      </c>
      <c r="R683" s="3"/>
      <c r="S683" s="3" t="str">
        <f ca="1">IFERROR(__xludf.DUMMYFUNCTION("""COMPUTED_VALUE"""),"500 + 200 (600+200 HTML5)")</f>
        <v>500 + 200 (600+200 HTML5)</v>
      </c>
      <c r="T683" s="3"/>
      <c r="U683" s="3" t="str">
        <f ca="1">IFERROR(__xludf.DUMMYFUNCTION("""COMPUTED_VALUE"""),"banner standard")</f>
        <v>banner standard</v>
      </c>
      <c r="V683" s="3"/>
      <c r="W683" s="4" t="str">
        <f ca="1">IFERROR(__xludf.DUMMYFUNCTION("""COMPUTED_VALUE"""),"https://reklama.cncenter.cz/Online/branding")</f>
        <v>https://reklama.cncenter.cz/Online/branding</v>
      </c>
      <c r="X683" s="3"/>
      <c r="Y683" s="3"/>
      <c r="Z683" s="3" t="str">
        <f ca="1">IFERROR(__xludf.DUMMYFUNCTION("""COMPUTED_VALUE"""),"podklady@cncenter.cz")</f>
        <v>podklady@cncenter.cz</v>
      </c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 t="str">
        <f ca="1">IFERROR(__xludf.DUMMYFUNCTION("""COMPUTED_VALUE"""),"desktop")</f>
        <v>desktop</v>
      </c>
      <c r="AO683" s="3"/>
      <c r="AP683" s="3"/>
      <c r="AQ683" s="3"/>
      <c r="AR683" s="3"/>
      <c r="AS683" s="3"/>
      <c r="AT683" s="3"/>
      <c r="AU683" s="3" t="str">
        <f ca="1">IFERROR(__xludf.DUMMYFUNCTION("""COMPUTED_VALUE"""),"cílený branding")</f>
        <v>cílený branding</v>
      </c>
    </row>
    <row r="684" spans="1:47" x14ac:dyDescent="0.3">
      <c r="A684" s="3">
        <f ca="1"/>
        <v>2346826</v>
      </c>
      <c r="B684" s="3" t="str">
        <f ca="1"/>
        <v>CZECH NEWS CENTER a. s.</v>
      </c>
      <c r="C684" s="3" t="str">
        <f ca="1">IFERROR(__xludf.DUMMYFUNCTION("""COMPUTED_VALUE"""),"iSport")</f>
        <v>iSport</v>
      </c>
      <c r="D684" s="3" t="str">
        <f ca="1">IFERROR(__xludf.DUMMYFUNCTION("""COMPUTED_VALUE"""),"https://isport.cz, https://sportrevue.cz")</f>
        <v>https://isport.cz, https://sportrevue.cz</v>
      </c>
      <c r="E684" s="3" t="str">
        <f ca="1">IFERROR(__xludf.DUMMYFUNCTION("""COMPUTED_VALUE"""),"celý web")</f>
        <v>celý web</v>
      </c>
      <c r="F684" s="3" t="str">
        <f ca="1">IFERROR(__xludf.DUMMYFUNCTION("""COMPUTED_VALUE"""),"https://isport.cz, https://sportrevue.cz")</f>
        <v>https://isport.cz, https://sportrevue.cz</v>
      </c>
      <c r="G684" s="3" t="str">
        <f ca="1">IFERROR(__xludf.DUMMYFUNCTION("""COMPUTED_VALUE"""),"cílený double skyscraper mid season")</f>
        <v>cílený double skyscraper mid season</v>
      </c>
      <c r="H684" s="3">
        <f ca="1">IFERROR(__xludf.DUMMYFUNCTION("""COMPUTED_VALUE"""),7)</f>
        <v>7</v>
      </c>
      <c r="I684" s="5">
        <f ca="1">IFERROR(__xludf.DUMMYFUNCTION("""COMPUTED_VALUE"""),1000)</f>
        <v>1000</v>
      </c>
      <c r="J684" s="5">
        <f ca="1">IFERROR(__xludf.DUMMYFUNCTION("""COMPUTED_VALUE"""),504)</f>
        <v>504</v>
      </c>
      <c r="K684" s="3"/>
      <c r="L684" s="3" t="str">
        <f ca="1">IFERROR(__xludf.DUMMYFUNCTION("""COMPUTED_VALUE"""),"Cost per period")</f>
        <v>Cost per period</v>
      </c>
      <c r="M684" s="3"/>
      <c r="N684" s="3"/>
      <c r="O684" s="3" t="str">
        <f ca="1">IFERROR(__xludf.DUMMYFUNCTION("""COMPUTED_VALUE"""),"300")</f>
        <v>300</v>
      </c>
      <c r="P684" s="3" t="str">
        <f ca="1">IFERROR(__xludf.DUMMYFUNCTION("""COMPUTED_VALUE"""),"600")</f>
        <v>600</v>
      </c>
      <c r="Q684" s="3" t="str">
        <f ca="1">IFERROR(__xludf.DUMMYFUNCTION("""COMPUTED_VALUE"""),"300x600")</f>
        <v>300x600</v>
      </c>
      <c r="R684" s="3"/>
      <c r="S684" s="3" t="str">
        <f ca="1">IFERROR(__xludf.DUMMYFUNCTION("""COMPUTED_VALUE"""),"100 (200 - HTML5)")</f>
        <v>100 (200 - HTML5)</v>
      </c>
      <c r="T684" s="3"/>
      <c r="U684" s="3" t="str">
        <f ca="1">IFERROR(__xludf.DUMMYFUNCTION("""COMPUTED_VALUE"""),"banner standard")</f>
        <v>banner standard</v>
      </c>
      <c r="V684" s="3"/>
      <c r="W684" s="4" t="str">
        <f ca="1">IFERROR(__xludf.DUMMYFUNCTION("""COMPUTED_VALUE"""),"https://reklama.cncenter.cz/Online/double-skyscraper")</f>
        <v>https://reklama.cncenter.cz/Online/double-skyscraper</v>
      </c>
      <c r="X684" s="3"/>
      <c r="Y684" s="3"/>
      <c r="Z684" s="3" t="str">
        <f ca="1">IFERROR(__xludf.DUMMYFUNCTION("""COMPUTED_VALUE"""),"podklady@cncenter.cz")</f>
        <v>podklady@cncenter.cz</v>
      </c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 t="str">
        <f ca="1">IFERROR(__xludf.DUMMYFUNCTION("""COMPUTED_VALUE"""),"desktop")</f>
        <v>desktop</v>
      </c>
      <c r="AO684" s="3"/>
      <c r="AP684" s="3"/>
      <c r="AQ684" s="3"/>
      <c r="AR684" s="3"/>
      <c r="AS684" s="3"/>
      <c r="AT684" s="3"/>
      <c r="AU684" s="3" t="str">
        <f ca="1">IFERROR(__xludf.DUMMYFUNCTION("""COMPUTED_VALUE"""),"cílený double skyscraper")</f>
        <v>cílený double skyscraper</v>
      </c>
    </row>
    <row r="685" spans="1:47" x14ac:dyDescent="0.3">
      <c r="A685" s="3">
        <f ca="1"/>
        <v>2346826</v>
      </c>
      <c r="B685" s="3" t="str">
        <f ca="1"/>
        <v>CZECH NEWS CENTER a. s.</v>
      </c>
      <c r="C685" s="3" t="str">
        <f ca="1">IFERROR(__xludf.DUMMYFUNCTION("""COMPUTED_VALUE"""),"iSport")</f>
        <v>iSport</v>
      </c>
      <c r="D685" s="3" t="str">
        <f ca="1">IFERROR(__xludf.DUMMYFUNCTION("""COMPUTED_VALUE"""),"https://isport.cz, https://sportrevue.cz")</f>
        <v>https://isport.cz, https://sportrevue.cz</v>
      </c>
      <c r="E685" s="3" t="str">
        <f ca="1">IFERROR(__xludf.DUMMYFUNCTION("""COMPUTED_VALUE"""),"celý web")</f>
        <v>celý web</v>
      </c>
      <c r="F685" s="3" t="str">
        <f ca="1">IFERROR(__xludf.DUMMYFUNCTION("""COMPUTED_VALUE"""),"https://isport.cz, https://sportrevue.cz")</f>
        <v>https://isport.cz, https://sportrevue.cz</v>
      </c>
      <c r="G685" s="3" t="str">
        <f ca="1">IFERROR(__xludf.DUMMYFUNCTION("""COMPUTED_VALUE"""),"cílený mini videospot - max. 30 sec. mid season")</f>
        <v>cílený mini videospot - max. 30 sec. mid season</v>
      </c>
      <c r="H685" s="3">
        <f ca="1">IFERROR(__xludf.DUMMYFUNCTION("""COMPUTED_VALUE"""),7)</f>
        <v>7</v>
      </c>
      <c r="I685" s="5">
        <f ca="1">IFERROR(__xludf.DUMMYFUNCTION("""COMPUTED_VALUE"""),1000)</f>
        <v>1000</v>
      </c>
      <c r="J685" s="5">
        <f ca="1">IFERROR(__xludf.DUMMYFUNCTION("""COMPUTED_VALUE"""),372)</f>
        <v>372</v>
      </c>
      <c r="K685" s="3"/>
      <c r="L685" s="3" t="str">
        <f ca="1">IFERROR(__xludf.DUMMYFUNCTION("""COMPUTED_VALUE"""),"Cost per period")</f>
        <v>Cost per period</v>
      </c>
      <c r="M685" s="3"/>
      <c r="N685" s="3"/>
      <c r="O685" s="3"/>
      <c r="P685" s="3"/>
      <c r="Q685" s="3" t="str">
        <f ca="1">IFERROR(__xludf.DUMMYFUNCTION("""COMPUTED_VALUE"""),"16:9 / umístění po domluvě dle možností")</f>
        <v>16:9 / umístění po domluvě dle možností</v>
      </c>
      <c r="R685" s="3" t="str">
        <f ca="1">IFERROR(__xludf.DUMMYFUNCTION("""COMPUTED_VALUE"""),"přeskočení po 7 sekundách")</f>
        <v>přeskočení po 7 sekundách</v>
      </c>
      <c r="S685" s="3" t="str">
        <f ca="1">IFERROR(__xludf.DUMMYFUNCTION("""COMPUTED_VALUE"""),"100")</f>
        <v>100</v>
      </c>
      <c r="T685" s="3"/>
      <c r="U685" s="3" t="str">
        <f ca="1">IFERROR(__xludf.DUMMYFUNCTION("""COMPUTED_VALUE"""),"videospot")</f>
        <v>videospot</v>
      </c>
      <c r="V685" s="3"/>
      <c r="W685" s="4" t="str">
        <f ca="1">IFERROR(__xludf.DUMMYFUNCTION("""COMPUTED_VALUE"""),"https://reklama.cncenter.cz/Online/Videospot")</f>
        <v>https://reklama.cncenter.cz/Online/Videospot</v>
      </c>
      <c r="X685" s="3"/>
      <c r="Y685" s="3"/>
      <c r="Z685" s="3" t="str">
        <f ca="1">IFERROR(__xludf.DUMMYFUNCTION("""COMPUTED_VALUE"""),"podklady@cncenter.cz")</f>
        <v>podklady@cncenter.cz</v>
      </c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 t="str">
        <f ca="1">IFERROR(__xludf.DUMMYFUNCTION("""COMPUTED_VALUE"""),"desktop")</f>
        <v>desktop</v>
      </c>
      <c r="AO685" s="3"/>
      <c r="AP685" s="3"/>
      <c r="AQ685" s="3"/>
      <c r="AR685" s="3"/>
      <c r="AS685" s="3"/>
      <c r="AT685" s="3"/>
      <c r="AU685" s="3" t="str">
        <f ca="1">IFERROR(__xludf.DUMMYFUNCTION("""COMPUTED_VALUE"""),"cílený mini videospot - max. 30 sec.")</f>
        <v>cílený mini videospot - max. 30 sec.</v>
      </c>
    </row>
    <row r="686" spans="1:47" x14ac:dyDescent="0.3">
      <c r="A686" s="3">
        <f ca="1"/>
        <v>2346826</v>
      </c>
      <c r="B686" s="3" t="str">
        <f ca="1"/>
        <v>CZECH NEWS CENTER a. s.</v>
      </c>
      <c r="C686" s="3" t="str">
        <f ca="1">IFERROR(__xludf.DUMMYFUNCTION("""COMPUTED_VALUE"""),"iSport")</f>
        <v>iSport</v>
      </c>
      <c r="D686" s="3" t="str">
        <f ca="1">IFERROR(__xludf.DUMMYFUNCTION("""COMPUTED_VALUE"""),"https://isport.cz, https://sportrevue.cz")</f>
        <v>https://isport.cz, https://sportrevue.cz</v>
      </c>
      <c r="E686" s="3" t="str">
        <f ca="1">IFERROR(__xludf.DUMMYFUNCTION("""COMPUTED_VALUE"""),"celý web")</f>
        <v>celý web</v>
      </c>
      <c r="F686" s="3" t="str">
        <f ca="1">IFERROR(__xludf.DUMMYFUNCTION("""COMPUTED_VALUE"""),"https://isport.cz, https://sportrevue.cz")</f>
        <v>https://isport.cz, https://sportrevue.cz</v>
      </c>
      <c r="G686" s="3" t="str">
        <f ca="1">IFERROR(__xludf.DUMMYFUNCTION("""COMPUTED_VALUE"""),"cílený mobilní interscroller mid season")</f>
        <v>cílený mobilní interscroller mid season</v>
      </c>
      <c r="H686" s="3">
        <f ca="1">IFERROR(__xludf.DUMMYFUNCTION("""COMPUTED_VALUE"""),7)</f>
        <v>7</v>
      </c>
      <c r="I686" s="5">
        <f ca="1">IFERROR(__xludf.DUMMYFUNCTION("""COMPUTED_VALUE"""),1000)</f>
        <v>1000</v>
      </c>
      <c r="J686" s="5">
        <f ca="1">IFERROR(__xludf.DUMMYFUNCTION("""COMPUTED_VALUE"""),672)</f>
        <v>672</v>
      </c>
      <c r="K686" s="3"/>
      <c r="L686" s="3" t="str">
        <f ca="1">IFERROR(__xludf.DUMMYFUNCTION("""COMPUTED_VALUE"""),"Cost per period")</f>
        <v>Cost per period</v>
      </c>
      <c r="M686" s="3"/>
      <c r="N686" s="3"/>
      <c r="O686" s="3" t="str">
        <f ca="1">IFERROR(__xludf.DUMMYFUNCTION("""COMPUTED_VALUE"""),"600")</f>
        <v>600</v>
      </c>
      <c r="P686" s="3" t="str">
        <f ca="1">IFERROR(__xludf.DUMMYFUNCTION("""COMPUTED_VALUE"""),"1080")</f>
        <v>1080</v>
      </c>
      <c r="Q686" s="3" t="str">
        <f ca="1">IFERROR(__xludf.DUMMYFUNCTION("""COMPUTED_VALUE"""),"600x1080")</f>
        <v>600x1080</v>
      </c>
      <c r="R686" s="3"/>
      <c r="S686" s="3" t="str">
        <f ca="1">IFERROR(__xludf.DUMMYFUNCTION("""COMPUTED_VALUE"""),"200")</f>
        <v>200</v>
      </c>
      <c r="T686" s="3"/>
      <c r="U686" s="3" t="str">
        <f ca="1">IFERROR(__xludf.DUMMYFUNCTION("""COMPUTED_VALUE"""),"banner standard")</f>
        <v>banner standard</v>
      </c>
      <c r="V686" s="3"/>
      <c r="W686" s="4" t="str">
        <f ca="1">IFERROR(__xludf.DUMMYFUNCTION("""COMPUTED_VALUE"""),"https://reklama.cncenter.cz/Online/mobilni-interscroller")</f>
        <v>https://reklama.cncenter.cz/Online/mobilni-interscroller</v>
      </c>
      <c r="X686" s="3"/>
      <c r="Y686" s="3"/>
      <c r="Z686" s="3" t="str">
        <f ca="1">IFERROR(__xludf.DUMMYFUNCTION("""COMPUTED_VALUE"""),"podklady@cncenter.cz")</f>
        <v>podklady@cncenter.cz</v>
      </c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 t="str">
        <f ca="1">IFERROR(__xludf.DUMMYFUNCTION("""COMPUTED_VALUE"""),"mobile")</f>
        <v>mobile</v>
      </c>
      <c r="AO686" s="3"/>
      <c r="AP686" s="3"/>
      <c r="AQ686" s="3"/>
      <c r="AR686" s="3"/>
      <c r="AS686" s="3"/>
      <c r="AT686" s="3"/>
      <c r="AU686" s="3" t="str">
        <f ca="1">IFERROR(__xludf.DUMMYFUNCTION("""COMPUTED_VALUE"""),"cílený mobilní interscroller")</f>
        <v>cílený mobilní interscroller</v>
      </c>
    </row>
    <row r="687" spans="1:47" x14ac:dyDescent="0.3">
      <c r="A687" s="3">
        <f ca="1"/>
        <v>2346826</v>
      </c>
      <c r="B687" s="3" t="str">
        <f ca="1"/>
        <v>CZECH NEWS CENTER a. s.</v>
      </c>
      <c r="C687" s="3" t="str">
        <f ca="1">IFERROR(__xludf.DUMMYFUNCTION("""COMPUTED_VALUE"""),"iSport")</f>
        <v>iSport</v>
      </c>
      <c r="D687" s="3" t="str">
        <f ca="1">IFERROR(__xludf.DUMMYFUNCTION("""COMPUTED_VALUE"""),"https://isport.cz, https://sportrevue.cz")</f>
        <v>https://isport.cz, https://sportrevue.cz</v>
      </c>
      <c r="E687" s="3" t="str">
        <f ca="1">IFERROR(__xludf.DUMMYFUNCTION("""COMPUTED_VALUE"""),"celý web")</f>
        <v>celý web</v>
      </c>
      <c r="F687" s="3" t="str">
        <f ca="1">IFERROR(__xludf.DUMMYFUNCTION("""COMPUTED_VALUE"""),"https://isport.cz, https://sportrevue.cz")</f>
        <v>https://isport.cz, https://sportrevue.cz</v>
      </c>
      <c r="G687" s="3" t="str">
        <f ca="1">IFERROR(__xludf.DUMMYFUNCTION("""COMPUTED_VALUE"""),"cílený mobilní slide-up mid season")</f>
        <v>cílený mobilní slide-up mid season</v>
      </c>
      <c r="H687" s="3">
        <f ca="1">IFERROR(__xludf.DUMMYFUNCTION("""COMPUTED_VALUE"""),7)</f>
        <v>7</v>
      </c>
      <c r="I687" s="5">
        <f ca="1">IFERROR(__xludf.DUMMYFUNCTION("""COMPUTED_VALUE"""),1000)</f>
        <v>1000</v>
      </c>
      <c r="J687" s="5">
        <f ca="1">IFERROR(__xludf.DUMMYFUNCTION("""COMPUTED_VALUE"""),1116)</f>
        <v>1116</v>
      </c>
      <c r="K687" s="3"/>
      <c r="L687" s="3" t="str">
        <f ca="1">IFERROR(__xludf.DUMMYFUNCTION("""COMPUTED_VALUE"""),"Cost per period")</f>
        <v>Cost per period</v>
      </c>
      <c r="M687" s="3"/>
      <c r="N687" s="3"/>
      <c r="O687" s="3" t="str">
        <f ca="1">IFERROR(__xludf.DUMMYFUNCTION("""COMPUTED_VALUE"""),"300")</f>
        <v>300</v>
      </c>
      <c r="P687" s="3" t="str">
        <f ca="1">IFERROR(__xludf.DUMMYFUNCTION("""COMPUTED_VALUE"""),"120")</f>
        <v>120</v>
      </c>
      <c r="Q687" s="3" t="str">
        <f ca="1">IFERROR(__xludf.DUMMYFUNCTION("""COMPUTED_VALUE"""),"300x120")</f>
        <v>300x120</v>
      </c>
      <c r="R687" s="3"/>
      <c r="S687" s="3" t="str">
        <f ca="1">IFERROR(__xludf.DUMMYFUNCTION("""COMPUTED_VALUE"""),"100")</f>
        <v>100</v>
      </c>
      <c r="T687" s="3"/>
      <c r="U687" s="3" t="str">
        <f ca="1">IFERROR(__xludf.DUMMYFUNCTION("""COMPUTED_VALUE"""),"banner standard")</f>
        <v>banner standard</v>
      </c>
      <c r="V687" s="3"/>
      <c r="W687" s="4" t="str">
        <f ca="1">IFERROR(__xludf.DUMMYFUNCTION("""COMPUTED_VALUE"""),"https://reklama.cncenter.cz/Online/mobilni-slide-up")</f>
        <v>https://reklama.cncenter.cz/Online/mobilni-slide-up</v>
      </c>
      <c r="X687" s="3"/>
      <c r="Y687" s="3"/>
      <c r="Z687" s="3" t="str">
        <f ca="1">IFERROR(__xludf.DUMMYFUNCTION("""COMPUTED_VALUE"""),"podklady@cncenter.cz")</f>
        <v>podklady@cncenter.cz</v>
      </c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 t="str">
        <f ca="1">IFERROR(__xludf.DUMMYFUNCTION("""COMPUTED_VALUE"""),"mobile")</f>
        <v>mobile</v>
      </c>
      <c r="AO687" s="3"/>
      <c r="AP687" s="3"/>
      <c r="AQ687" s="3"/>
      <c r="AR687" s="3"/>
      <c r="AS687" s="3"/>
      <c r="AT687" s="3"/>
      <c r="AU687" s="3" t="str">
        <f ca="1">IFERROR(__xludf.DUMMYFUNCTION("""COMPUTED_VALUE"""),"cílený mobilní slide-up")</f>
        <v>cílený mobilní slide-up</v>
      </c>
    </row>
    <row r="688" spans="1:47" x14ac:dyDescent="0.3">
      <c r="A688" s="3">
        <f ca="1"/>
        <v>2346826</v>
      </c>
      <c r="B688" s="3" t="str">
        <f ca="1"/>
        <v>CZECH NEWS CENTER a. s.</v>
      </c>
      <c r="C688" s="3" t="str">
        <f ca="1">IFERROR(__xludf.DUMMYFUNCTION("""COMPUTED_VALUE"""),"iSport")</f>
        <v>iSport</v>
      </c>
      <c r="D688" s="3" t="str">
        <f ca="1">IFERROR(__xludf.DUMMYFUNCTION("""COMPUTED_VALUE"""),"https://isport.cz, https://sportrevue.cz")</f>
        <v>https://isport.cz, https://sportrevue.cz</v>
      </c>
      <c r="E688" s="3" t="str">
        <f ca="1">IFERROR(__xludf.DUMMYFUNCTION("""COMPUTED_VALUE"""),"celý web")</f>
        <v>celý web</v>
      </c>
      <c r="F688" s="3" t="str">
        <f ca="1">IFERROR(__xludf.DUMMYFUNCTION("""COMPUTED_VALUE"""),"https://isport.cz, https://sportrevue.cz")</f>
        <v>https://isport.cz, https://sportrevue.cz</v>
      </c>
      <c r="G688" s="3" t="str">
        <f ca="1">IFERROR(__xludf.DUMMYFUNCTION("""COMPUTED_VALUE"""),"cílený mobilní viněta mid season")</f>
        <v>cílený mobilní viněta mid season</v>
      </c>
      <c r="H688" s="3">
        <f ca="1">IFERROR(__xludf.DUMMYFUNCTION("""COMPUTED_VALUE"""),7)</f>
        <v>7</v>
      </c>
      <c r="I688" s="5">
        <f ca="1">IFERROR(__xludf.DUMMYFUNCTION("""COMPUTED_VALUE"""),1000)</f>
        <v>1000</v>
      </c>
      <c r="J688" s="5">
        <f ca="1">IFERROR(__xludf.DUMMYFUNCTION("""COMPUTED_VALUE"""),1488)</f>
        <v>1488</v>
      </c>
      <c r="K688" s="3"/>
      <c r="L688" s="3" t="str">
        <f ca="1">IFERROR(__xludf.DUMMYFUNCTION("""COMPUTED_VALUE"""),"Cost per period")</f>
        <v>Cost per period</v>
      </c>
      <c r="M688" s="3"/>
      <c r="N688" s="3"/>
      <c r="O688" s="3" t="str">
        <f ca="1">IFERROR(__xludf.DUMMYFUNCTION("""COMPUTED_VALUE"""),"600")</f>
        <v>600</v>
      </c>
      <c r="P688" s="3" t="str">
        <f ca="1">IFERROR(__xludf.DUMMYFUNCTION("""COMPUTED_VALUE"""),"800")</f>
        <v>800</v>
      </c>
      <c r="Q688" s="3" t="str">
        <f ca="1">IFERROR(__xludf.DUMMYFUNCTION("""COMPUTED_VALUE"""),"300x250 nebo 600x800")</f>
        <v>300x250 nebo 600x800</v>
      </c>
      <c r="R688" s="3"/>
      <c r="S688" s="3" t="str">
        <f ca="1">IFERROR(__xludf.DUMMYFUNCTION("""COMPUTED_VALUE"""),"100")</f>
        <v>100</v>
      </c>
      <c r="T688" s="3"/>
      <c r="U688" s="3" t="str">
        <f ca="1">IFERROR(__xludf.DUMMYFUNCTION("""COMPUTED_VALUE"""),"banner standard")</f>
        <v>banner standard</v>
      </c>
      <c r="V688" s="3"/>
      <c r="W688" s="4" t="str">
        <f ca="1">IFERROR(__xludf.DUMMYFUNCTION("""COMPUTED_VALUE"""),"https://reklama.cncenter.cz/Online/mobilni-vineta")</f>
        <v>https://reklama.cncenter.cz/Online/mobilni-vineta</v>
      </c>
      <c r="X688" s="3"/>
      <c r="Y688" s="3"/>
      <c r="Z688" s="3" t="str">
        <f ca="1">IFERROR(__xludf.DUMMYFUNCTION("""COMPUTED_VALUE"""),"podklady@cncenter.cz")</f>
        <v>podklady@cncenter.cz</v>
      </c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 t="str">
        <f ca="1">IFERROR(__xludf.DUMMYFUNCTION("""COMPUTED_VALUE"""),"mobile")</f>
        <v>mobile</v>
      </c>
      <c r="AO688" s="3"/>
      <c r="AP688" s="3"/>
      <c r="AQ688" s="3"/>
      <c r="AR688" s="3"/>
      <c r="AS688" s="3"/>
      <c r="AT688" s="3"/>
      <c r="AU688" s="3" t="str">
        <f ca="1">IFERROR(__xludf.DUMMYFUNCTION("""COMPUTED_VALUE"""),"cílený mobilní viněta")</f>
        <v>cílený mobilní viněta</v>
      </c>
    </row>
    <row r="689" spans="1:47" x14ac:dyDescent="0.3">
      <c r="A689" s="3">
        <f ca="1"/>
        <v>2346826</v>
      </c>
      <c r="B689" s="3" t="str">
        <f ca="1"/>
        <v>CZECH NEWS CENTER a. s.</v>
      </c>
      <c r="C689" s="3" t="str">
        <f ca="1">IFERROR(__xludf.DUMMYFUNCTION("""COMPUTED_VALUE"""),"iSport")</f>
        <v>iSport</v>
      </c>
      <c r="D689" s="3" t="str">
        <f ca="1">IFERROR(__xludf.DUMMYFUNCTION("""COMPUTED_VALUE"""),"https://isport.cz, https://sportrevue.cz")</f>
        <v>https://isport.cz, https://sportrevue.cz</v>
      </c>
      <c r="E689" s="3" t="str">
        <f ca="1">IFERROR(__xludf.DUMMYFUNCTION("""COMPUTED_VALUE"""),"celý web")</f>
        <v>celý web</v>
      </c>
      <c r="F689" s="3" t="str">
        <f ca="1">IFERROR(__xludf.DUMMYFUNCTION("""COMPUTED_VALUE"""),"https://isport.cz, https://sportrevue.cz")</f>
        <v>https://isport.cz, https://sportrevue.cz</v>
      </c>
      <c r="G689" s="3" t="str">
        <f ca="1">IFERROR(__xludf.DUMMYFUNCTION("""COMPUTED_VALUE"""),"cílený nativní rectangle cross-device mid season")</f>
        <v>cílený nativní rectangle cross-device mid season</v>
      </c>
      <c r="H689" s="3">
        <f ca="1">IFERROR(__xludf.DUMMYFUNCTION("""COMPUTED_VALUE"""),7)</f>
        <v>7</v>
      </c>
      <c r="I689" s="5">
        <f ca="1">IFERROR(__xludf.DUMMYFUNCTION("""COMPUTED_VALUE"""),1000)</f>
        <v>1000</v>
      </c>
      <c r="J689" s="5">
        <f ca="1">IFERROR(__xludf.DUMMYFUNCTION("""COMPUTED_VALUE"""),480)</f>
        <v>480</v>
      </c>
      <c r="K689" s="3"/>
      <c r="L689" s="3" t="str">
        <f ca="1">IFERROR(__xludf.DUMMYFUNCTION("""COMPUTED_VALUE"""),"Cost per period")</f>
        <v>Cost per period</v>
      </c>
      <c r="M689" s="3"/>
      <c r="N689" s="3"/>
      <c r="O689" s="3" t="str">
        <f ca="1">IFERROR(__xludf.DUMMYFUNCTION("""COMPUTED_VALUE"""),"640")</f>
        <v>640</v>
      </c>
      <c r="P689" s="3" t="str">
        <f ca="1">IFERROR(__xludf.DUMMYFUNCTION("""COMPUTED_VALUE"""),"335, 640")</f>
        <v>335, 640</v>
      </c>
      <c r="Q689" s="3" t="str">
        <f ca="1">IFERROR(__xludf.DUMMYFUNCTION("""COMPUTED_VALUE"""),"640x640 a 640x335 + text + logo")</f>
        <v>640x640 a 640x335 + text + logo</v>
      </c>
      <c r="R689" s="3"/>
      <c r="S689" s="3" t="str">
        <f ca="1">IFERROR(__xludf.DUMMYFUNCTION("""COMPUTED_VALUE"""),"45")</f>
        <v>45</v>
      </c>
      <c r="T689" s="3"/>
      <c r="U689" s="3" t="str">
        <f ca="1">IFERROR(__xludf.DUMMYFUNCTION("""COMPUTED_VALUE"""),"nativní reklama")</f>
        <v>nativní reklama</v>
      </c>
      <c r="V689" s="3"/>
      <c r="W689" s="4" t="str">
        <f ca="1">IFERROR(__xludf.DUMMYFUNCTION("""COMPUTED_VALUE"""),"https://reklama.cncenter.cz/Online/nativni-rectangle-cross-device")</f>
        <v>https://reklama.cncenter.cz/Online/nativni-rectangle-cross-device</v>
      </c>
      <c r="X689" s="3"/>
      <c r="Y689" s="3"/>
      <c r="Z689" s="3" t="str">
        <f ca="1">IFERROR(__xludf.DUMMYFUNCTION("""COMPUTED_VALUE"""),"podklady@cncenter.cz")</f>
        <v>podklady@cncenter.cz</v>
      </c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 t="str">
        <f ca="1">IFERROR(__xludf.DUMMYFUNCTION("""COMPUTED_VALUE"""),"cross-device")</f>
        <v>cross-device</v>
      </c>
      <c r="AO689" s="3"/>
      <c r="AP689" s="3"/>
      <c r="AQ689" s="3"/>
      <c r="AR689" s="3"/>
      <c r="AS689" s="3"/>
      <c r="AT689" s="3"/>
      <c r="AU689" s="3" t="str">
        <f ca="1">IFERROR(__xludf.DUMMYFUNCTION("""COMPUTED_VALUE"""),"cílený nativní rectangle cross-device")</f>
        <v>cílený nativní rectangle cross-device</v>
      </c>
    </row>
    <row r="690" spans="1:47" x14ac:dyDescent="0.3">
      <c r="A690" s="3">
        <f ca="1"/>
        <v>2346826</v>
      </c>
      <c r="B690" s="3" t="str">
        <f ca="1"/>
        <v>CZECH NEWS CENTER a. s.</v>
      </c>
      <c r="C690" s="3" t="str">
        <f ca="1">IFERROR(__xludf.DUMMYFUNCTION("""COMPUTED_VALUE"""),"iSport")</f>
        <v>iSport</v>
      </c>
      <c r="D690" s="3" t="str">
        <f ca="1">IFERROR(__xludf.DUMMYFUNCTION("""COMPUTED_VALUE"""),"https://isport.cz, https://sportrevue.cz")</f>
        <v>https://isport.cz, https://sportrevue.cz</v>
      </c>
      <c r="E690" s="3" t="str">
        <f ca="1">IFERROR(__xludf.DUMMYFUNCTION("""COMPUTED_VALUE"""),"celý web")</f>
        <v>celý web</v>
      </c>
      <c r="F690" s="3" t="str">
        <f ca="1">IFERROR(__xludf.DUMMYFUNCTION("""COMPUTED_VALUE"""),"https://isport.cz, https://sportrevue.cz")</f>
        <v>https://isport.cz, https://sportrevue.cz</v>
      </c>
      <c r="G690" s="3" t="str">
        <f ca="1">IFERROR(__xludf.DUMMYFUNCTION("""COMPUTED_VALUE"""),"cílený outstream mid season")</f>
        <v>cílený outstream mid season</v>
      </c>
      <c r="H690" s="3">
        <f ca="1">IFERROR(__xludf.DUMMYFUNCTION("""COMPUTED_VALUE"""),7)</f>
        <v>7</v>
      </c>
      <c r="I690" s="5">
        <f ca="1">IFERROR(__xludf.DUMMYFUNCTION("""COMPUTED_VALUE"""),1000)</f>
        <v>1000</v>
      </c>
      <c r="J690" s="5">
        <f ca="1">IFERROR(__xludf.DUMMYFUNCTION("""COMPUTED_VALUE"""),612)</f>
        <v>612</v>
      </c>
      <c r="K690" s="3"/>
      <c r="L690" s="3" t="str">
        <f ca="1">IFERROR(__xludf.DUMMYFUNCTION("""COMPUTED_VALUE"""),"Cost per period")</f>
        <v>Cost per period</v>
      </c>
      <c r="M690" s="3"/>
      <c r="N690" s="3"/>
      <c r="O690" s="3" t="str">
        <f ca="1">IFERROR(__xludf.DUMMYFUNCTION("""COMPUTED_VALUE"""),"1280")</f>
        <v>1280</v>
      </c>
      <c r="P690" s="3" t="str">
        <f ca="1">IFERROR(__xludf.DUMMYFUNCTION("""COMPUTED_VALUE"""),"720")</f>
        <v>720</v>
      </c>
      <c r="Q690" s="3" t="str">
        <f ca="1">IFERROR(__xludf.DUMMYFUNCTION("""COMPUTED_VALUE"""),"16:9")</f>
        <v>16:9</v>
      </c>
      <c r="R690" s="3"/>
      <c r="S690" s="3" t="str">
        <f ca="1">IFERROR(__xludf.DUMMYFUNCTION("""COMPUTED_VALUE"""),"100")</f>
        <v>100</v>
      </c>
      <c r="T690" s="3"/>
      <c r="U690" s="3" t="str">
        <f ca="1">IFERROR(__xludf.DUMMYFUNCTION("""COMPUTED_VALUE"""),"videospot")</f>
        <v>videospot</v>
      </c>
      <c r="V690" s="3"/>
      <c r="W690" s="4" t="str">
        <f ca="1">IFERROR(__xludf.DUMMYFUNCTION("""COMPUTED_VALUE"""),"https://reklama.cncenter.cz/Online/Outstream")</f>
        <v>https://reklama.cncenter.cz/Online/Outstream</v>
      </c>
      <c r="X690" s="3"/>
      <c r="Y690" s="3"/>
      <c r="Z690" s="3" t="str">
        <f ca="1">IFERROR(__xludf.DUMMYFUNCTION("""COMPUTED_VALUE"""),"podklady@cncenter.cz")</f>
        <v>podklady@cncenter.cz</v>
      </c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 t="str">
        <f ca="1">IFERROR(__xludf.DUMMYFUNCTION("""COMPUTED_VALUE"""),"cross-device")</f>
        <v>cross-device</v>
      </c>
      <c r="AO690" s="3"/>
      <c r="AP690" s="3"/>
      <c r="AQ690" s="3"/>
      <c r="AR690" s="3"/>
      <c r="AS690" s="3"/>
      <c r="AT690" s="3"/>
      <c r="AU690" s="3" t="str">
        <f ca="1">IFERROR(__xludf.DUMMYFUNCTION("""COMPUTED_VALUE"""),"cílený outstream")</f>
        <v>cílený outstream</v>
      </c>
    </row>
    <row r="691" spans="1:47" x14ac:dyDescent="0.3">
      <c r="A691" s="3">
        <f ca="1"/>
        <v>2346826</v>
      </c>
      <c r="B691" s="3" t="str">
        <f ca="1"/>
        <v>CZECH NEWS CENTER a. s.</v>
      </c>
      <c r="C691" s="3" t="str">
        <f ca="1">IFERROR(__xludf.DUMMYFUNCTION("""COMPUTED_VALUE"""),"iSport")</f>
        <v>iSport</v>
      </c>
      <c r="D691" s="3" t="str">
        <f ca="1">IFERROR(__xludf.DUMMYFUNCTION("""COMPUTED_VALUE"""),"https://isport.cz, https://sportrevue.cz")</f>
        <v>https://isport.cz, https://sportrevue.cz</v>
      </c>
      <c r="E691" s="3" t="str">
        <f ca="1">IFERROR(__xludf.DUMMYFUNCTION("""COMPUTED_VALUE"""),"celý web")</f>
        <v>celý web</v>
      </c>
      <c r="F691" s="3" t="str">
        <f ca="1">IFERROR(__xludf.DUMMYFUNCTION("""COMPUTED_VALUE"""),"https://isport.cz, https://sportrevue.cz")</f>
        <v>https://isport.cz, https://sportrevue.cz</v>
      </c>
      <c r="G691" s="3" t="str">
        <f ca="1">IFERROR(__xludf.DUMMYFUNCTION("""COMPUTED_VALUE"""),"cílený videospot - max. 30 sec. / bumper mid season")</f>
        <v>cílený videospot - max. 30 sec. / bumper mid season</v>
      </c>
      <c r="H691" s="3">
        <f ca="1">IFERROR(__xludf.DUMMYFUNCTION("""COMPUTED_VALUE"""),7)</f>
        <v>7</v>
      </c>
      <c r="I691" s="5">
        <f ca="1">IFERROR(__xludf.DUMMYFUNCTION("""COMPUTED_VALUE"""),1000)</f>
        <v>1000</v>
      </c>
      <c r="J691" s="5">
        <f ca="1">IFERROR(__xludf.DUMMYFUNCTION("""COMPUTED_VALUE"""),1404)</f>
        <v>1404</v>
      </c>
      <c r="K691" s="3"/>
      <c r="L691" s="3" t="str">
        <f ca="1">IFERROR(__xludf.DUMMYFUNCTION("""COMPUTED_VALUE"""),"Cost per period")</f>
        <v>Cost per period</v>
      </c>
      <c r="M691" s="3"/>
      <c r="N691" s="3"/>
      <c r="O691" s="3" t="str">
        <f ca="1">IFERROR(__xludf.DUMMYFUNCTION("""COMPUTED_VALUE"""),"1280")</f>
        <v>1280</v>
      </c>
      <c r="P691" s="3" t="str">
        <f ca="1">IFERROR(__xludf.DUMMYFUNCTION("""COMPUTED_VALUE"""),"720")</f>
        <v>720</v>
      </c>
      <c r="Q691" s="3" t="str">
        <f ca="1">IFERROR(__xludf.DUMMYFUNCTION("""COMPUTED_VALUE"""),"16:9 / umístění po domluvě dle možností")</f>
        <v>16:9 / umístění po domluvě dle možností</v>
      </c>
      <c r="R691" s="3" t="str">
        <f ca="1">IFERROR(__xludf.DUMMYFUNCTION("""COMPUTED_VALUE"""),"přeskočení po 7 sekundách")</f>
        <v>přeskočení po 7 sekundách</v>
      </c>
      <c r="S691" s="3" t="str">
        <f ca="1">IFERROR(__xludf.DUMMYFUNCTION("""COMPUTED_VALUE"""),"100")</f>
        <v>100</v>
      </c>
      <c r="T691" s="3"/>
      <c r="U691" s="3" t="str">
        <f ca="1">IFERROR(__xludf.DUMMYFUNCTION("""COMPUTED_VALUE"""),"videospot")</f>
        <v>videospot</v>
      </c>
      <c r="V691" s="3"/>
      <c r="W691" s="4" t="str">
        <f ca="1">IFERROR(__xludf.DUMMYFUNCTION("""COMPUTED_VALUE"""),"https://reklama.cncenter.cz/Online/Bumper")</f>
        <v>https://reklama.cncenter.cz/Online/Bumper</v>
      </c>
      <c r="X691" s="3"/>
      <c r="Y691" s="3"/>
      <c r="Z691" s="3" t="str">
        <f ca="1">IFERROR(__xludf.DUMMYFUNCTION("""COMPUTED_VALUE"""),"podklady@cncenter.cz")</f>
        <v>podklady@cncenter.cz</v>
      </c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 t="str">
        <f ca="1">IFERROR(__xludf.DUMMYFUNCTION("""COMPUTED_VALUE"""),"cross-device")</f>
        <v>cross-device</v>
      </c>
      <c r="AO691" s="3"/>
      <c r="AP691" s="3"/>
      <c r="AQ691" s="3"/>
      <c r="AR691" s="3"/>
      <c r="AS691" s="3"/>
      <c r="AT691" s="3"/>
      <c r="AU691" s="3" t="str">
        <f ca="1">IFERROR(__xludf.DUMMYFUNCTION("""COMPUTED_VALUE"""),"cílený videospot - max. 30 sec. / bumper")</f>
        <v>cílený videospot - max. 30 sec. / bumper</v>
      </c>
    </row>
    <row r="692" spans="1:47" x14ac:dyDescent="0.3">
      <c r="A692" s="3">
        <f ca="1"/>
        <v>2346826</v>
      </c>
      <c r="B692" s="3" t="str">
        <f ca="1"/>
        <v>CZECH NEWS CENTER a. s.</v>
      </c>
      <c r="C692" s="3" t="str">
        <f ca="1">IFERROR(__xludf.DUMMYFUNCTION("""COMPUTED_VALUE"""),"iSport")</f>
        <v>iSport</v>
      </c>
      <c r="D692" s="3" t="str">
        <f ca="1">IFERROR(__xludf.DUMMYFUNCTION("""COMPUTED_VALUE"""),"https://isport.cz, https://sportrevue.cz")</f>
        <v>https://isport.cz, https://sportrevue.cz</v>
      </c>
      <c r="E692" s="3" t="str">
        <f ca="1">IFERROR(__xludf.DUMMYFUNCTION("""COMPUTED_VALUE"""),"celý web")</f>
        <v>celý web</v>
      </c>
      <c r="F692" s="3" t="str">
        <f ca="1">IFERROR(__xludf.DUMMYFUNCTION("""COMPUTED_VALUE"""),"https://isport.cz, https://sportrevue.cz")</f>
        <v>https://isport.cz, https://sportrevue.cz</v>
      </c>
      <c r="G692" s="3" t="str">
        <f ca="1">IFERROR(__xludf.DUMMYFUNCTION("""COMPUTED_VALUE"""),"dokoupení proma o 2 týdny - 10 000 PV *** mid season")</f>
        <v>dokoupení proma o 2 týdny - 10 000 PV *** mid season</v>
      </c>
      <c r="H692" s="3">
        <f ca="1">IFERROR(__xludf.DUMMYFUNCTION("""COMPUTED_VALUE"""),1)</f>
        <v>1</v>
      </c>
      <c r="I692" s="5">
        <f ca="1">IFERROR(__xludf.DUMMYFUNCTION("""COMPUTED_VALUE"""),1)</f>
        <v>1</v>
      </c>
      <c r="J692" s="5">
        <f ca="1">IFERROR(__xludf.DUMMYFUNCTION("""COMPUTED_VALUE"""),60000)</f>
        <v>60000</v>
      </c>
      <c r="K692" s="3"/>
      <c r="L692" s="3" t="str">
        <f ca="1">IFERROR(__xludf.DUMMYFUNCTION("""COMPUTED_VALUE"""),"Cost per instance")</f>
        <v>Cost per instance</v>
      </c>
      <c r="M692" s="3"/>
      <c r="N692" s="3"/>
      <c r="O692" s="3"/>
      <c r="P692" s="3"/>
      <c r="Q692" s="3"/>
      <c r="R692" s="3"/>
      <c r="S692" s="3" t="str">
        <f ca="1">IFERROR(__xludf.DUMMYFUNCTION("""COMPUTED_VALUE"""),"100")</f>
        <v>100</v>
      </c>
      <c r="T692" s="3"/>
      <c r="U692" s="3" t="str">
        <f ca="1">IFERROR(__xludf.DUMMYFUNCTION("""COMPUTED_VALUE"""),"microsite")</f>
        <v>microsite</v>
      </c>
      <c r="V692" s="3"/>
      <c r="W692" s="3"/>
      <c r="X692" s="3"/>
      <c r="Y692" s="3"/>
      <c r="Z692" s="3" t="str">
        <f ca="1">IFERROR(__xludf.DUMMYFUNCTION("""COMPUTED_VALUE"""),"podklady@cncenter.cz")</f>
        <v>podklady@cncenter.cz</v>
      </c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 t="str">
        <f ca="1">IFERROR(__xludf.DUMMYFUNCTION("""COMPUTED_VALUE"""),"cross-device")</f>
        <v>cross-device</v>
      </c>
      <c r="AO692" s="3"/>
      <c r="AP692" s="3"/>
      <c r="AQ692" s="3"/>
      <c r="AR692" s="3"/>
      <c r="AS692" s="3"/>
      <c r="AT692" s="3"/>
      <c r="AU692" s="3" t="str">
        <f ca="1">IFERROR(__xludf.DUMMYFUNCTION("""COMPUTED_VALUE"""),"dokoupení proma o 2 týdny - 10 000 PV ***")</f>
        <v>dokoupení proma o 2 týdny - 10 000 PV ***</v>
      </c>
    </row>
    <row r="693" spans="1:47" x14ac:dyDescent="0.3">
      <c r="A693" s="3">
        <f ca="1"/>
        <v>2346826</v>
      </c>
      <c r="B693" s="3" t="str">
        <f ca="1"/>
        <v>CZECH NEWS CENTER a. s.</v>
      </c>
      <c r="C693" s="3" t="str">
        <f ca="1">IFERROR(__xludf.DUMMYFUNCTION("""COMPUTED_VALUE"""),"iSport")</f>
        <v>iSport</v>
      </c>
      <c r="D693" s="3" t="str">
        <f ca="1">IFERROR(__xludf.DUMMYFUNCTION("""COMPUTED_VALUE"""),"https://isport.cz, https://sportrevue.cz")</f>
        <v>https://isport.cz, https://sportrevue.cz</v>
      </c>
      <c r="E693" s="3" t="str">
        <f ca="1">IFERROR(__xludf.DUMMYFUNCTION("""COMPUTED_VALUE"""),"celý web")</f>
        <v>celý web</v>
      </c>
      <c r="F693" s="3" t="str">
        <f ca="1">IFERROR(__xludf.DUMMYFUNCTION("""COMPUTED_VALUE"""),"https://isport.cz, https://sportrevue.cz")</f>
        <v>https://isport.cz, https://sportrevue.cz</v>
      </c>
      <c r="G693" s="3" t="str">
        <f ca="1">IFERROR(__xludf.DUMMYFUNCTION("""COMPUTED_VALUE"""),"double skyscraper mid season")</f>
        <v>double skyscraper mid season</v>
      </c>
      <c r="H693" s="3">
        <f ca="1">IFERROR(__xludf.DUMMYFUNCTION("""COMPUTED_VALUE"""),7)</f>
        <v>7</v>
      </c>
      <c r="I693" s="5">
        <f ca="1">IFERROR(__xludf.DUMMYFUNCTION("""COMPUTED_VALUE"""),1000)</f>
        <v>1000</v>
      </c>
      <c r="J693" s="5">
        <f ca="1">IFERROR(__xludf.DUMMYFUNCTION("""COMPUTED_VALUE"""),420)</f>
        <v>420</v>
      </c>
      <c r="K693" s="3"/>
      <c r="L693" s="3" t="str">
        <f ca="1">IFERROR(__xludf.DUMMYFUNCTION("""COMPUTED_VALUE"""),"Cost per period")</f>
        <v>Cost per period</v>
      </c>
      <c r="M693" s="3"/>
      <c r="N693" s="3"/>
      <c r="O693" s="3" t="str">
        <f ca="1">IFERROR(__xludf.DUMMYFUNCTION("""COMPUTED_VALUE"""),"300")</f>
        <v>300</v>
      </c>
      <c r="P693" s="3" t="str">
        <f ca="1">IFERROR(__xludf.DUMMYFUNCTION("""COMPUTED_VALUE"""),"600")</f>
        <v>600</v>
      </c>
      <c r="Q693" s="3" t="str">
        <f ca="1">IFERROR(__xludf.DUMMYFUNCTION("""COMPUTED_VALUE"""),"300x600")</f>
        <v>300x600</v>
      </c>
      <c r="R693" s="3"/>
      <c r="S693" s="3" t="str">
        <f ca="1">IFERROR(__xludf.DUMMYFUNCTION("""COMPUTED_VALUE"""),"100 (200 - HTML5)")</f>
        <v>100 (200 - HTML5)</v>
      </c>
      <c r="T693" s="3"/>
      <c r="U693" s="3" t="str">
        <f ca="1">IFERROR(__xludf.DUMMYFUNCTION("""COMPUTED_VALUE"""),"banner standard")</f>
        <v>banner standard</v>
      </c>
      <c r="V693" s="3"/>
      <c r="W693" s="4" t="str">
        <f ca="1">IFERROR(__xludf.DUMMYFUNCTION("""COMPUTED_VALUE"""),"https://reklama.cncenter.cz/Online/double-skyscraper")</f>
        <v>https://reklama.cncenter.cz/Online/double-skyscraper</v>
      </c>
      <c r="X693" s="3"/>
      <c r="Y693" s="3"/>
      <c r="Z693" s="3" t="str">
        <f ca="1">IFERROR(__xludf.DUMMYFUNCTION("""COMPUTED_VALUE"""),"podklady@cncenter.cz")</f>
        <v>podklady@cncenter.cz</v>
      </c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 t="str">
        <f ca="1">IFERROR(__xludf.DUMMYFUNCTION("""COMPUTED_VALUE"""),"desktop")</f>
        <v>desktop</v>
      </c>
      <c r="AO693" s="3"/>
      <c r="AP693" s="3"/>
      <c r="AQ693" s="3"/>
      <c r="AR693" s="3"/>
      <c r="AS693" s="3"/>
      <c r="AT693" s="3"/>
      <c r="AU693" s="3" t="str">
        <f ca="1">IFERROR(__xludf.DUMMYFUNCTION("""COMPUTED_VALUE"""),"double skyscraper")</f>
        <v>double skyscraper</v>
      </c>
    </row>
    <row r="694" spans="1:47" x14ac:dyDescent="0.3">
      <c r="A694" s="3">
        <f ca="1"/>
        <v>2346826</v>
      </c>
      <c r="B694" s="3" t="str">
        <f ca="1"/>
        <v>CZECH NEWS CENTER a. s.</v>
      </c>
      <c r="C694" s="3" t="str">
        <f ca="1">IFERROR(__xludf.DUMMYFUNCTION("""COMPUTED_VALUE"""),"iSport")</f>
        <v>iSport</v>
      </c>
      <c r="D694" s="3" t="str">
        <f ca="1">IFERROR(__xludf.DUMMYFUNCTION("""COMPUTED_VALUE"""),"https://isport.cz, https://sportrevue.cz")</f>
        <v>https://isport.cz, https://sportrevue.cz</v>
      </c>
      <c r="E694" s="3" t="str">
        <f ca="1">IFERROR(__xludf.DUMMYFUNCTION("""COMPUTED_VALUE"""),"celý web")</f>
        <v>celý web</v>
      </c>
      <c r="F694" s="3" t="str">
        <f ca="1">IFERROR(__xludf.DUMMYFUNCTION("""COMPUTED_VALUE"""),"https://isport.cz, https://sportrevue.cz")</f>
        <v>https://isport.cz, https://sportrevue.cz</v>
      </c>
      <c r="G694" s="3" t="str">
        <f ca="1">IFERROR(__xludf.DUMMYFUNCTION("""COMPUTED_VALUE"""),"mini videospot - max. 30 sec. mid season")</f>
        <v>mini videospot - max. 30 sec. mid season</v>
      </c>
      <c r="H694" s="3">
        <f ca="1">IFERROR(__xludf.DUMMYFUNCTION("""COMPUTED_VALUE"""),7)</f>
        <v>7</v>
      </c>
      <c r="I694" s="5">
        <f ca="1">IFERROR(__xludf.DUMMYFUNCTION("""COMPUTED_VALUE"""),1000)</f>
        <v>1000</v>
      </c>
      <c r="J694" s="5">
        <f ca="1">IFERROR(__xludf.DUMMYFUNCTION("""COMPUTED_VALUE"""),310)</f>
        <v>310</v>
      </c>
      <c r="K694" s="3"/>
      <c r="L694" s="3" t="str">
        <f ca="1">IFERROR(__xludf.DUMMYFUNCTION("""COMPUTED_VALUE"""),"Cost per period")</f>
        <v>Cost per period</v>
      </c>
      <c r="M694" s="3"/>
      <c r="N694" s="3"/>
      <c r="O694" s="3"/>
      <c r="P694" s="3"/>
      <c r="Q694" s="3" t="str">
        <f ca="1">IFERROR(__xludf.DUMMYFUNCTION("""COMPUTED_VALUE"""),"16:9 / umístění po domluvě dle možností")</f>
        <v>16:9 / umístění po domluvě dle možností</v>
      </c>
      <c r="R694" s="3" t="str">
        <f ca="1">IFERROR(__xludf.DUMMYFUNCTION("""COMPUTED_VALUE"""),"přeskočení po 7 sekundách")</f>
        <v>přeskočení po 7 sekundách</v>
      </c>
      <c r="S694" s="3" t="str">
        <f ca="1">IFERROR(__xludf.DUMMYFUNCTION("""COMPUTED_VALUE"""),"100")</f>
        <v>100</v>
      </c>
      <c r="T694" s="3"/>
      <c r="U694" s="3" t="str">
        <f ca="1">IFERROR(__xludf.DUMMYFUNCTION("""COMPUTED_VALUE"""),"videospot")</f>
        <v>videospot</v>
      </c>
      <c r="V694" s="3"/>
      <c r="W694" s="4" t="str">
        <f ca="1">IFERROR(__xludf.DUMMYFUNCTION("""COMPUTED_VALUE"""),"https://reklama.cncenter.cz/Online/Videospot")</f>
        <v>https://reklama.cncenter.cz/Online/Videospot</v>
      </c>
      <c r="X694" s="3"/>
      <c r="Y694" s="3"/>
      <c r="Z694" s="3" t="str">
        <f ca="1">IFERROR(__xludf.DUMMYFUNCTION("""COMPUTED_VALUE"""),"podklady@cncenter.cz")</f>
        <v>podklady@cncenter.cz</v>
      </c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 t="str">
        <f ca="1">IFERROR(__xludf.DUMMYFUNCTION("""COMPUTED_VALUE"""),"desktop")</f>
        <v>desktop</v>
      </c>
      <c r="AO694" s="3"/>
      <c r="AP694" s="3"/>
      <c r="AQ694" s="3"/>
      <c r="AR694" s="3"/>
      <c r="AS694" s="3"/>
      <c r="AT694" s="3"/>
      <c r="AU694" s="3" t="str">
        <f ca="1">IFERROR(__xludf.DUMMYFUNCTION("""COMPUTED_VALUE"""),"mini videospot - max. 30 sec.")</f>
        <v>mini videospot - max. 30 sec.</v>
      </c>
    </row>
    <row r="695" spans="1:47" x14ac:dyDescent="0.3">
      <c r="A695" s="3">
        <f ca="1"/>
        <v>2346826</v>
      </c>
      <c r="B695" s="3" t="str">
        <f ca="1"/>
        <v>CZECH NEWS CENTER a. s.</v>
      </c>
      <c r="C695" s="3" t="str">
        <f ca="1">IFERROR(__xludf.DUMMYFUNCTION("""COMPUTED_VALUE"""),"iSport")</f>
        <v>iSport</v>
      </c>
      <c r="D695" s="3" t="str">
        <f ca="1">IFERROR(__xludf.DUMMYFUNCTION("""COMPUTED_VALUE"""),"https://isport.cz, https://sportrevue.cz")</f>
        <v>https://isport.cz, https://sportrevue.cz</v>
      </c>
      <c r="E695" s="3" t="str">
        <f ca="1">IFERROR(__xludf.DUMMYFUNCTION("""COMPUTED_VALUE"""),"celý web")</f>
        <v>celý web</v>
      </c>
      <c r="F695" s="3" t="str">
        <f ca="1">IFERROR(__xludf.DUMMYFUNCTION("""COMPUTED_VALUE"""),"https://isport.cz, https://sportrevue.cz")</f>
        <v>https://isport.cz, https://sportrevue.cz</v>
      </c>
      <c r="G695" s="3" t="str">
        <f ca="1">IFERROR(__xludf.DUMMYFUNCTION("""COMPUTED_VALUE"""),"mobilní interscroller mid season")</f>
        <v>mobilní interscroller mid season</v>
      </c>
      <c r="H695" s="3">
        <f ca="1">IFERROR(__xludf.DUMMYFUNCTION("""COMPUTED_VALUE"""),7)</f>
        <v>7</v>
      </c>
      <c r="I695" s="5">
        <f ca="1">IFERROR(__xludf.DUMMYFUNCTION("""COMPUTED_VALUE"""),1000)</f>
        <v>1000</v>
      </c>
      <c r="J695" s="5">
        <f ca="1">IFERROR(__xludf.DUMMYFUNCTION("""COMPUTED_VALUE"""),560)</f>
        <v>560</v>
      </c>
      <c r="K695" s="3"/>
      <c r="L695" s="3" t="str">
        <f ca="1">IFERROR(__xludf.DUMMYFUNCTION("""COMPUTED_VALUE"""),"Cost per period")</f>
        <v>Cost per period</v>
      </c>
      <c r="M695" s="3"/>
      <c r="N695" s="3"/>
      <c r="O695" s="3" t="str">
        <f ca="1">IFERROR(__xludf.DUMMYFUNCTION("""COMPUTED_VALUE"""),"600")</f>
        <v>600</v>
      </c>
      <c r="P695" s="3" t="str">
        <f ca="1">IFERROR(__xludf.DUMMYFUNCTION("""COMPUTED_VALUE"""),"1080")</f>
        <v>1080</v>
      </c>
      <c r="Q695" s="3" t="str">
        <f ca="1">IFERROR(__xludf.DUMMYFUNCTION("""COMPUTED_VALUE"""),"600x1080")</f>
        <v>600x1080</v>
      </c>
      <c r="R695" s="3"/>
      <c r="S695" s="3" t="str">
        <f ca="1">IFERROR(__xludf.DUMMYFUNCTION("""COMPUTED_VALUE"""),"200")</f>
        <v>200</v>
      </c>
      <c r="T695" s="3"/>
      <c r="U695" s="3" t="str">
        <f ca="1">IFERROR(__xludf.DUMMYFUNCTION("""COMPUTED_VALUE"""),"banner standard")</f>
        <v>banner standard</v>
      </c>
      <c r="V695" s="3"/>
      <c r="W695" s="4" t="str">
        <f ca="1">IFERROR(__xludf.DUMMYFUNCTION("""COMPUTED_VALUE"""),"https://reklama.cncenter.cz/Online/mobilni-interscroller")</f>
        <v>https://reklama.cncenter.cz/Online/mobilni-interscroller</v>
      </c>
      <c r="X695" s="3"/>
      <c r="Y695" s="3"/>
      <c r="Z695" s="3" t="str">
        <f ca="1">IFERROR(__xludf.DUMMYFUNCTION("""COMPUTED_VALUE"""),"podklady@cncenter.cz")</f>
        <v>podklady@cncenter.cz</v>
      </c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 t="str">
        <f ca="1">IFERROR(__xludf.DUMMYFUNCTION("""COMPUTED_VALUE"""),"mobile")</f>
        <v>mobile</v>
      </c>
      <c r="AO695" s="3"/>
      <c r="AP695" s="3"/>
      <c r="AQ695" s="3"/>
      <c r="AR695" s="3"/>
      <c r="AS695" s="3"/>
      <c r="AT695" s="3"/>
      <c r="AU695" s="3" t="str">
        <f ca="1">IFERROR(__xludf.DUMMYFUNCTION("""COMPUTED_VALUE"""),"mobilní interscroller")</f>
        <v>mobilní interscroller</v>
      </c>
    </row>
    <row r="696" spans="1:47" x14ac:dyDescent="0.3">
      <c r="A696" s="3">
        <f ca="1"/>
        <v>2346826</v>
      </c>
      <c r="B696" s="3" t="str">
        <f ca="1"/>
        <v>CZECH NEWS CENTER a. s.</v>
      </c>
      <c r="C696" s="3" t="str">
        <f ca="1">IFERROR(__xludf.DUMMYFUNCTION("""COMPUTED_VALUE"""),"iSport")</f>
        <v>iSport</v>
      </c>
      <c r="D696" s="3" t="str">
        <f ca="1">IFERROR(__xludf.DUMMYFUNCTION("""COMPUTED_VALUE"""),"https://isport.cz, https://sportrevue.cz")</f>
        <v>https://isport.cz, https://sportrevue.cz</v>
      </c>
      <c r="E696" s="3" t="str">
        <f ca="1">IFERROR(__xludf.DUMMYFUNCTION("""COMPUTED_VALUE"""),"celý web")</f>
        <v>celý web</v>
      </c>
      <c r="F696" s="3" t="str">
        <f ca="1">IFERROR(__xludf.DUMMYFUNCTION("""COMPUTED_VALUE"""),"https://isport.cz, https://sportrevue.cz")</f>
        <v>https://isport.cz, https://sportrevue.cz</v>
      </c>
      <c r="G696" s="3" t="str">
        <f ca="1">IFERROR(__xludf.DUMMYFUNCTION("""COMPUTED_VALUE"""),"mobilní slide-up mid season")</f>
        <v>mobilní slide-up mid season</v>
      </c>
      <c r="H696" s="3">
        <f ca="1">IFERROR(__xludf.DUMMYFUNCTION("""COMPUTED_VALUE"""),7)</f>
        <v>7</v>
      </c>
      <c r="I696" s="5">
        <f ca="1">IFERROR(__xludf.DUMMYFUNCTION("""COMPUTED_VALUE"""),1000)</f>
        <v>1000</v>
      </c>
      <c r="J696" s="5">
        <f ca="1">IFERROR(__xludf.DUMMYFUNCTION("""COMPUTED_VALUE"""),930)</f>
        <v>930</v>
      </c>
      <c r="K696" s="3"/>
      <c r="L696" s="3" t="str">
        <f ca="1">IFERROR(__xludf.DUMMYFUNCTION("""COMPUTED_VALUE"""),"Cost per period")</f>
        <v>Cost per period</v>
      </c>
      <c r="M696" s="3"/>
      <c r="N696" s="3"/>
      <c r="O696" s="3" t="str">
        <f ca="1">IFERROR(__xludf.DUMMYFUNCTION("""COMPUTED_VALUE"""),"300")</f>
        <v>300</v>
      </c>
      <c r="P696" s="3" t="str">
        <f ca="1">IFERROR(__xludf.DUMMYFUNCTION("""COMPUTED_VALUE"""),"120")</f>
        <v>120</v>
      </c>
      <c r="Q696" s="3" t="str">
        <f ca="1">IFERROR(__xludf.DUMMYFUNCTION("""COMPUTED_VALUE"""),"300x120")</f>
        <v>300x120</v>
      </c>
      <c r="R696" s="3"/>
      <c r="S696" s="3" t="str">
        <f ca="1">IFERROR(__xludf.DUMMYFUNCTION("""COMPUTED_VALUE"""),"100")</f>
        <v>100</v>
      </c>
      <c r="T696" s="3"/>
      <c r="U696" s="3" t="str">
        <f ca="1">IFERROR(__xludf.DUMMYFUNCTION("""COMPUTED_VALUE"""),"banner standard")</f>
        <v>banner standard</v>
      </c>
      <c r="V696" s="3"/>
      <c r="W696" s="4" t="str">
        <f ca="1">IFERROR(__xludf.DUMMYFUNCTION("""COMPUTED_VALUE"""),"https://reklama.cncenter.cz/Online/mobilni-slide-up")</f>
        <v>https://reklama.cncenter.cz/Online/mobilni-slide-up</v>
      </c>
      <c r="X696" s="3"/>
      <c r="Y696" s="3"/>
      <c r="Z696" s="3" t="str">
        <f ca="1">IFERROR(__xludf.DUMMYFUNCTION("""COMPUTED_VALUE"""),"podklady@cncenter.cz")</f>
        <v>podklady@cncenter.cz</v>
      </c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 t="str">
        <f ca="1">IFERROR(__xludf.DUMMYFUNCTION("""COMPUTED_VALUE"""),"mobile")</f>
        <v>mobile</v>
      </c>
      <c r="AO696" s="3"/>
      <c r="AP696" s="3"/>
      <c r="AQ696" s="3"/>
      <c r="AR696" s="3"/>
      <c r="AS696" s="3"/>
      <c r="AT696" s="3"/>
      <c r="AU696" s="3" t="str">
        <f ca="1">IFERROR(__xludf.DUMMYFUNCTION("""COMPUTED_VALUE"""),"mobilní slide-up")</f>
        <v>mobilní slide-up</v>
      </c>
    </row>
    <row r="697" spans="1:47" x14ac:dyDescent="0.3">
      <c r="A697" s="3">
        <f ca="1"/>
        <v>2346826</v>
      </c>
      <c r="B697" s="3" t="str">
        <f ca="1"/>
        <v>CZECH NEWS CENTER a. s.</v>
      </c>
      <c r="C697" s="3" t="str">
        <f ca="1">IFERROR(__xludf.DUMMYFUNCTION("""COMPUTED_VALUE"""),"iSport")</f>
        <v>iSport</v>
      </c>
      <c r="D697" s="3" t="str">
        <f ca="1">IFERROR(__xludf.DUMMYFUNCTION("""COMPUTED_VALUE"""),"https://isport.cz, https://sportrevue.cz")</f>
        <v>https://isport.cz, https://sportrevue.cz</v>
      </c>
      <c r="E697" s="3" t="str">
        <f ca="1">IFERROR(__xludf.DUMMYFUNCTION("""COMPUTED_VALUE"""),"celý web")</f>
        <v>celý web</v>
      </c>
      <c r="F697" s="3" t="str">
        <f ca="1">IFERROR(__xludf.DUMMYFUNCTION("""COMPUTED_VALUE"""),"https://isport.cz, https://sportrevue.cz")</f>
        <v>https://isport.cz, https://sportrevue.cz</v>
      </c>
      <c r="G697" s="3" t="str">
        <f ca="1">IFERROR(__xludf.DUMMYFUNCTION("""COMPUTED_VALUE"""),"mobilní viněta mid season")</f>
        <v>mobilní viněta mid season</v>
      </c>
      <c r="H697" s="3">
        <f ca="1">IFERROR(__xludf.DUMMYFUNCTION("""COMPUTED_VALUE"""),7)</f>
        <v>7</v>
      </c>
      <c r="I697" s="5">
        <f ca="1">IFERROR(__xludf.DUMMYFUNCTION("""COMPUTED_VALUE"""),1000)</f>
        <v>1000</v>
      </c>
      <c r="J697" s="5">
        <f ca="1">IFERROR(__xludf.DUMMYFUNCTION("""COMPUTED_VALUE"""),1240)</f>
        <v>1240</v>
      </c>
      <c r="K697" s="3"/>
      <c r="L697" s="3" t="str">
        <f ca="1">IFERROR(__xludf.DUMMYFUNCTION("""COMPUTED_VALUE"""),"Cost per period")</f>
        <v>Cost per period</v>
      </c>
      <c r="M697" s="3"/>
      <c r="N697" s="3"/>
      <c r="O697" s="3" t="str">
        <f ca="1">IFERROR(__xludf.DUMMYFUNCTION("""COMPUTED_VALUE"""),"600")</f>
        <v>600</v>
      </c>
      <c r="P697" s="3" t="str">
        <f ca="1">IFERROR(__xludf.DUMMYFUNCTION("""COMPUTED_VALUE"""),"800")</f>
        <v>800</v>
      </c>
      <c r="Q697" s="3" t="str">
        <f ca="1">IFERROR(__xludf.DUMMYFUNCTION("""COMPUTED_VALUE"""),"300x250 nebo 600x800")</f>
        <v>300x250 nebo 600x800</v>
      </c>
      <c r="R697" s="3"/>
      <c r="S697" s="3" t="str">
        <f ca="1">IFERROR(__xludf.DUMMYFUNCTION("""COMPUTED_VALUE"""),"100")</f>
        <v>100</v>
      </c>
      <c r="T697" s="3"/>
      <c r="U697" s="3" t="str">
        <f ca="1">IFERROR(__xludf.DUMMYFUNCTION("""COMPUTED_VALUE"""),"banner standard")</f>
        <v>banner standard</v>
      </c>
      <c r="V697" s="3"/>
      <c r="W697" s="4" t="str">
        <f ca="1">IFERROR(__xludf.DUMMYFUNCTION("""COMPUTED_VALUE"""),"https://reklama.cncenter.cz/Online/mobilni-vineta")</f>
        <v>https://reklama.cncenter.cz/Online/mobilni-vineta</v>
      </c>
      <c r="X697" s="3"/>
      <c r="Y697" s="3"/>
      <c r="Z697" s="3" t="str">
        <f ca="1">IFERROR(__xludf.DUMMYFUNCTION("""COMPUTED_VALUE"""),"podklady@cncenter.cz")</f>
        <v>podklady@cncenter.cz</v>
      </c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 t="str">
        <f ca="1">IFERROR(__xludf.DUMMYFUNCTION("""COMPUTED_VALUE"""),"mobile")</f>
        <v>mobile</v>
      </c>
      <c r="AO697" s="3"/>
      <c r="AP697" s="3"/>
      <c r="AQ697" s="3"/>
      <c r="AR697" s="3"/>
      <c r="AS697" s="3"/>
      <c r="AT697" s="3"/>
      <c r="AU697" s="3" t="str">
        <f ca="1">IFERROR(__xludf.DUMMYFUNCTION("""COMPUTED_VALUE"""),"mobilní viněta")</f>
        <v>mobilní viněta</v>
      </c>
    </row>
    <row r="698" spans="1:47" x14ac:dyDescent="0.3">
      <c r="A698" s="3">
        <f ca="1"/>
        <v>2346826</v>
      </c>
      <c r="B698" s="3" t="str">
        <f ca="1"/>
        <v>CZECH NEWS CENTER a. s.</v>
      </c>
      <c r="C698" s="3" t="str">
        <f ca="1">IFERROR(__xludf.DUMMYFUNCTION("""COMPUTED_VALUE"""),"iSport")</f>
        <v>iSport</v>
      </c>
      <c r="D698" s="3" t="str">
        <f ca="1">IFERROR(__xludf.DUMMYFUNCTION("""COMPUTED_VALUE"""),"https://isport.cz, https://sportrevue.cz")</f>
        <v>https://isport.cz, https://sportrevue.cz</v>
      </c>
      <c r="E698" s="3" t="str">
        <f ca="1">IFERROR(__xludf.DUMMYFUNCTION("""COMPUTED_VALUE"""),"celý web")</f>
        <v>celý web</v>
      </c>
      <c r="F698" s="3" t="str">
        <f ca="1">IFERROR(__xludf.DUMMYFUNCTION("""COMPUTED_VALUE"""),"https://isport.cz, https://sportrevue.cz")</f>
        <v>https://isport.cz, https://sportrevue.cz</v>
      </c>
      <c r="G698" s="3" t="str">
        <f ca="1">IFERROR(__xludf.DUMMYFUNCTION("""COMPUTED_VALUE"""),"Native Standard mid season")</f>
        <v>Native Standard mid season</v>
      </c>
      <c r="H698" s="3">
        <f ca="1">IFERROR(__xludf.DUMMYFUNCTION("""COMPUTED_VALUE"""),1)</f>
        <v>1</v>
      </c>
      <c r="I698" s="5">
        <f ca="1">IFERROR(__xludf.DUMMYFUNCTION("""COMPUTED_VALUE"""),1)</f>
        <v>1</v>
      </c>
      <c r="J698" s="5">
        <f ca="1">IFERROR(__xludf.DUMMYFUNCTION("""COMPUTED_VALUE"""),330000)</f>
        <v>330000</v>
      </c>
      <c r="K698" s="3"/>
      <c r="L698" s="3" t="str">
        <f ca="1">IFERROR(__xludf.DUMMYFUNCTION("""COMPUTED_VALUE"""),"Cost per instance")</f>
        <v>Cost per instance</v>
      </c>
      <c r="M698" s="3"/>
      <c r="N698" s="3"/>
      <c r="O698" s="3"/>
      <c r="P698" s="3"/>
      <c r="Q698" s="3"/>
      <c r="R698" s="3"/>
      <c r="S698" s="3" t="str">
        <f ca="1">IFERROR(__xludf.DUMMYFUNCTION("""COMPUTED_VALUE"""),"100")</f>
        <v>100</v>
      </c>
      <c r="T698" s="3"/>
      <c r="U698" s="3" t="str">
        <f ca="1">IFERROR(__xludf.DUMMYFUNCTION("""COMPUTED_VALUE"""),"microsite")</f>
        <v>microsite</v>
      </c>
      <c r="V698" s="3"/>
      <c r="W698" s="3"/>
      <c r="X698" s="3"/>
      <c r="Y698" s="3"/>
      <c r="Z698" s="3" t="str">
        <f ca="1">IFERROR(__xludf.DUMMYFUNCTION("""COMPUTED_VALUE"""),"podklady@cncenter.cz")</f>
        <v>podklady@cncenter.cz</v>
      </c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 t="str">
        <f ca="1">IFERROR(__xludf.DUMMYFUNCTION("""COMPUTED_VALUE"""),"cross-device")</f>
        <v>cross-device</v>
      </c>
      <c r="AO698" s="3"/>
      <c r="AP698" s="3"/>
      <c r="AQ698" s="3"/>
      <c r="AR698" s="3"/>
      <c r="AS698" s="3"/>
      <c r="AT698" s="3"/>
      <c r="AU698" s="3" t="str">
        <f ca="1">IFERROR(__xludf.DUMMYFUNCTION("""COMPUTED_VALUE"""),"Native Standard")</f>
        <v>Native Standard</v>
      </c>
    </row>
    <row r="699" spans="1:47" x14ac:dyDescent="0.3">
      <c r="A699" s="3">
        <f ca="1"/>
        <v>2346826</v>
      </c>
      <c r="B699" s="3" t="str">
        <f ca="1"/>
        <v>CZECH NEWS CENTER a. s.</v>
      </c>
      <c r="C699" s="3" t="str">
        <f ca="1">IFERROR(__xludf.DUMMYFUNCTION("""COMPUTED_VALUE"""),"iSport")</f>
        <v>iSport</v>
      </c>
      <c r="D699" s="3" t="str">
        <f ca="1">IFERROR(__xludf.DUMMYFUNCTION("""COMPUTED_VALUE"""),"https://isport.cz, https://sportrevue.cz")</f>
        <v>https://isport.cz, https://sportrevue.cz</v>
      </c>
      <c r="E699" s="3" t="str">
        <f ca="1">IFERROR(__xludf.DUMMYFUNCTION("""COMPUTED_VALUE"""),"celý web")</f>
        <v>celý web</v>
      </c>
      <c r="F699" s="3" t="str">
        <f ca="1">IFERROR(__xludf.DUMMYFUNCTION("""COMPUTED_VALUE"""),"https://isport.cz, https://sportrevue.cz")</f>
        <v>https://isport.cz, https://sportrevue.cz</v>
      </c>
      <c r="G699" s="3" t="str">
        <f ca="1">IFERROR(__xludf.DUMMYFUNCTION("""COMPUTED_VALUE"""),"nativní rectangle cross-device mid season")</f>
        <v>nativní rectangle cross-device mid season</v>
      </c>
      <c r="H699" s="3">
        <f ca="1">IFERROR(__xludf.DUMMYFUNCTION("""COMPUTED_VALUE"""),7)</f>
        <v>7</v>
      </c>
      <c r="I699" s="5">
        <f ca="1">IFERROR(__xludf.DUMMYFUNCTION("""COMPUTED_VALUE"""),1000)</f>
        <v>1000</v>
      </c>
      <c r="J699" s="5">
        <f ca="1">IFERROR(__xludf.DUMMYFUNCTION("""COMPUTED_VALUE"""),400)</f>
        <v>400</v>
      </c>
      <c r="K699" s="3"/>
      <c r="L699" s="3" t="str">
        <f ca="1">IFERROR(__xludf.DUMMYFUNCTION("""COMPUTED_VALUE"""),"Cost per period")</f>
        <v>Cost per period</v>
      </c>
      <c r="M699" s="3"/>
      <c r="N699" s="3"/>
      <c r="O699" s="3" t="str">
        <f ca="1">IFERROR(__xludf.DUMMYFUNCTION("""COMPUTED_VALUE"""),"640")</f>
        <v>640</v>
      </c>
      <c r="P699" s="3" t="str">
        <f ca="1">IFERROR(__xludf.DUMMYFUNCTION("""COMPUTED_VALUE"""),"335, 640")</f>
        <v>335, 640</v>
      </c>
      <c r="Q699" s="3" t="str">
        <f ca="1">IFERROR(__xludf.DUMMYFUNCTION("""COMPUTED_VALUE"""),"640x640 a 640x335 + text + logo")</f>
        <v>640x640 a 640x335 + text + logo</v>
      </c>
      <c r="R699" s="3"/>
      <c r="S699" s="3" t="str">
        <f ca="1">IFERROR(__xludf.DUMMYFUNCTION("""COMPUTED_VALUE"""),"45")</f>
        <v>45</v>
      </c>
      <c r="T699" s="3"/>
      <c r="U699" s="3" t="str">
        <f ca="1">IFERROR(__xludf.DUMMYFUNCTION("""COMPUTED_VALUE"""),"nativní reklama")</f>
        <v>nativní reklama</v>
      </c>
      <c r="V699" s="3"/>
      <c r="W699" s="4" t="str">
        <f ca="1">IFERROR(__xludf.DUMMYFUNCTION("""COMPUTED_VALUE"""),"https://reklama.cncenter.cz/Online/nativni-rectangle-cross-device")</f>
        <v>https://reklama.cncenter.cz/Online/nativni-rectangle-cross-device</v>
      </c>
      <c r="X699" s="3"/>
      <c r="Y699" s="3"/>
      <c r="Z699" s="3" t="str">
        <f ca="1">IFERROR(__xludf.DUMMYFUNCTION("""COMPUTED_VALUE"""),"podklady@cncenter.cz")</f>
        <v>podklady@cncenter.cz</v>
      </c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 t="str">
        <f ca="1">IFERROR(__xludf.DUMMYFUNCTION("""COMPUTED_VALUE"""),"cross-device")</f>
        <v>cross-device</v>
      </c>
      <c r="AO699" s="3"/>
      <c r="AP699" s="3"/>
      <c r="AQ699" s="3"/>
      <c r="AR699" s="3"/>
      <c r="AS699" s="3"/>
      <c r="AT699" s="3"/>
      <c r="AU699" s="3" t="str">
        <f ca="1">IFERROR(__xludf.DUMMYFUNCTION("""COMPUTED_VALUE"""),"nativní rectangle cross-device")</f>
        <v>nativní rectangle cross-device</v>
      </c>
    </row>
    <row r="700" spans="1:47" x14ac:dyDescent="0.3">
      <c r="A700" s="3">
        <f ca="1"/>
        <v>2346826</v>
      </c>
      <c r="B700" s="3" t="str">
        <f ca="1"/>
        <v>CZECH NEWS CENTER a. s.</v>
      </c>
      <c r="C700" s="3" t="str">
        <f ca="1">IFERROR(__xludf.DUMMYFUNCTION("""COMPUTED_VALUE"""),"iSport")</f>
        <v>iSport</v>
      </c>
      <c r="D700" s="3" t="str">
        <f ca="1">IFERROR(__xludf.DUMMYFUNCTION("""COMPUTED_VALUE"""),"https://isport.cz, https://sportrevue.cz")</f>
        <v>https://isport.cz, https://sportrevue.cz</v>
      </c>
      <c r="E700" s="3" t="str">
        <f ca="1">IFERROR(__xludf.DUMMYFUNCTION("""COMPUTED_VALUE"""),"celý web")</f>
        <v>celý web</v>
      </c>
      <c r="F700" s="3" t="str">
        <f ca="1">IFERROR(__xludf.DUMMYFUNCTION("""COMPUTED_VALUE"""),"https://isport.cz, https://sportrevue.cz")</f>
        <v>https://isport.cz, https://sportrevue.cz</v>
      </c>
      <c r="G700" s="3" t="str">
        <f ca="1">IFERROR(__xludf.DUMMYFUNCTION("""COMPUTED_VALUE"""),"outstream mid season")</f>
        <v>outstream mid season</v>
      </c>
      <c r="H700" s="3">
        <f ca="1">IFERROR(__xludf.DUMMYFUNCTION("""COMPUTED_VALUE"""),7)</f>
        <v>7</v>
      </c>
      <c r="I700" s="5">
        <f ca="1">IFERROR(__xludf.DUMMYFUNCTION("""COMPUTED_VALUE"""),1000)</f>
        <v>1000</v>
      </c>
      <c r="J700" s="5">
        <f ca="1">IFERROR(__xludf.DUMMYFUNCTION("""COMPUTED_VALUE"""),510)</f>
        <v>510</v>
      </c>
      <c r="K700" s="3"/>
      <c r="L700" s="3" t="str">
        <f ca="1">IFERROR(__xludf.DUMMYFUNCTION("""COMPUTED_VALUE"""),"Cost per period")</f>
        <v>Cost per period</v>
      </c>
      <c r="M700" s="3"/>
      <c r="N700" s="3"/>
      <c r="O700" s="3" t="str">
        <f ca="1">IFERROR(__xludf.DUMMYFUNCTION("""COMPUTED_VALUE"""),"1280")</f>
        <v>1280</v>
      </c>
      <c r="P700" s="3" t="str">
        <f ca="1">IFERROR(__xludf.DUMMYFUNCTION("""COMPUTED_VALUE"""),"720")</f>
        <v>720</v>
      </c>
      <c r="Q700" s="3" t="str">
        <f ca="1">IFERROR(__xludf.DUMMYFUNCTION("""COMPUTED_VALUE"""),"16:9")</f>
        <v>16:9</v>
      </c>
      <c r="R700" s="3"/>
      <c r="S700" s="3" t="str">
        <f ca="1">IFERROR(__xludf.DUMMYFUNCTION("""COMPUTED_VALUE"""),"100")</f>
        <v>100</v>
      </c>
      <c r="T700" s="3"/>
      <c r="U700" s="3" t="str">
        <f ca="1">IFERROR(__xludf.DUMMYFUNCTION("""COMPUTED_VALUE"""),"videospot")</f>
        <v>videospot</v>
      </c>
      <c r="V700" s="3"/>
      <c r="W700" s="4" t="str">
        <f ca="1">IFERROR(__xludf.DUMMYFUNCTION("""COMPUTED_VALUE"""),"https://reklama.cncenter.cz/Online/Outstream")</f>
        <v>https://reklama.cncenter.cz/Online/Outstream</v>
      </c>
      <c r="X700" s="3"/>
      <c r="Y700" s="3"/>
      <c r="Z700" s="3" t="str">
        <f ca="1">IFERROR(__xludf.DUMMYFUNCTION("""COMPUTED_VALUE"""),"podklady@cncenter.cz")</f>
        <v>podklady@cncenter.cz</v>
      </c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 t="str">
        <f ca="1">IFERROR(__xludf.DUMMYFUNCTION("""COMPUTED_VALUE"""),"cross-device")</f>
        <v>cross-device</v>
      </c>
      <c r="AO700" s="3"/>
      <c r="AP700" s="3"/>
      <c r="AQ700" s="3"/>
      <c r="AR700" s="3"/>
      <c r="AS700" s="3"/>
      <c r="AT700" s="3"/>
      <c r="AU700" s="3" t="str">
        <f ca="1">IFERROR(__xludf.DUMMYFUNCTION("""COMPUTED_VALUE"""),"outstream")</f>
        <v>outstream</v>
      </c>
    </row>
    <row r="701" spans="1:47" x14ac:dyDescent="0.3">
      <c r="A701" s="3">
        <f ca="1"/>
        <v>2346826</v>
      </c>
      <c r="B701" s="3" t="str">
        <f ca="1"/>
        <v>CZECH NEWS CENTER a. s.</v>
      </c>
      <c r="C701" s="3" t="str">
        <f ca="1">IFERROR(__xludf.DUMMYFUNCTION("""COMPUTED_VALUE"""),"iSport")</f>
        <v>iSport</v>
      </c>
      <c r="D701" s="3" t="str">
        <f ca="1">IFERROR(__xludf.DUMMYFUNCTION("""COMPUTED_VALUE"""),"https://isport.cz, https://sportrevue.cz")</f>
        <v>https://isport.cz, https://sportrevue.cz</v>
      </c>
      <c r="E701" s="3" t="str">
        <f ca="1">IFERROR(__xludf.DUMMYFUNCTION("""COMPUTED_VALUE"""),"celý web")</f>
        <v>celý web</v>
      </c>
      <c r="F701" s="3" t="str">
        <f ca="1">IFERROR(__xludf.DUMMYFUNCTION("""COMPUTED_VALUE"""),"https://isport.cz, https://sportrevue.cz")</f>
        <v>https://isport.cz, https://sportrevue.cz</v>
      </c>
      <c r="G701" s="3" t="str">
        <f ca="1">IFERROR(__xludf.DUMMYFUNCTION("""COMPUTED_VALUE"""),"PR článek mid season")</f>
        <v>PR článek mid season</v>
      </c>
      <c r="H701" s="3">
        <f ca="1">IFERROR(__xludf.DUMMYFUNCTION("""COMPUTED_VALUE"""),1)</f>
        <v>1</v>
      </c>
      <c r="I701" s="5">
        <f ca="1">IFERROR(__xludf.DUMMYFUNCTION("""COMPUTED_VALUE"""),1)</f>
        <v>1</v>
      </c>
      <c r="J701" s="5">
        <f ca="1">IFERROR(__xludf.DUMMYFUNCTION("""COMPUTED_VALUE"""),30000)</f>
        <v>30000</v>
      </c>
      <c r="K701" s="3"/>
      <c r="L701" s="3" t="str">
        <f ca="1">IFERROR(__xludf.DUMMYFUNCTION("""COMPUTED_VALUE"""),"Cost per instance")</f>
        <v>Cost per instance</v>
      </c>
      <c r="M701" s="3"/>
      <c r="N701" s="3"/>
      <c r="O701" s="3"/>
      <c r="P701" s="3"/>
      <c r="Q701" s="3"/>
      <c r="R701" s="3"/>
      <c r="S701" s="3" t="str">
        <f ca="1">IFERROR(__xludf.DUMMYFUNCTION("""COMPUTED_VALUE"""),"100")</f>
        <v>100</v>
      </c>
      <c r="T701" s="3"/>
      <c r="U701" s="3" t="str">
        <f ca="1">IFERROR(__xludf.DUMMYFUNCTION("""COMPUTED_VALUE"""),"pr článek")</f>
        <v>pr článek</v>
      </c>
      <c r="V701" s="3"/>
      <c r="W701" s="4" t="str">
        <f ca="1">IFERROR(__xludf.DUMMYFUNCTION("""COMPUTED_VALUE"""),"https://reklama.cncenter.cz/?ads=PR%2520%25C4%258Dl%25C3%25A1nky")</f>
        <v>https://reklama.cncenter.cz/?ads=PR%2520%25C4%258Dl%25C3%25A1nky</v>
      </c>
      <c r="X701" s="3"/>
      <c r="Y701" s="3"/>
      <c r="Z701" s="3" t="str">
        <f ca="1">IFERROR(__xludf.DUMMYFUNCTION("""COMPUTED_VALUE"""),"podklady@cncenter.cz")</f>
        <v>podklady@cncenter.cz</v>
      </c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 t="str">
        <f ca="1">IFERROR(__xludf.DUMMYFUNCTION("""COMPUTED_VALUE"""),"cross-device")</f>
        <v>cross-device</v>
      </c>
      <c r="AO701" s="3"/>
      <c r="AP701" s="3"/>
      <c r="AQ701" s="3"/>
      <c r="AR701" s="3"/>
      <c r="AS701" s="3"/>
      <c r="AT701" s="3"/>
      <c r="AU701" s="3" t="str">
        <f ca="1">IFERROR(__xludf.DUMMYFUNCTION("""COMPUTED_VALUE"""),"PR článek")</f>
        <v>PR článek</v>
      </c>
    </row>
    <row r="702" spans="1:47" x14ac:dyDescent="0.3">
      <c r="A702" s="3">
        <f ca="1"/>
        <v>2346826</v>
      </c>
      <c r="B702" s="3" t="str">
        <f ca="1"/>
        <v>CZECH NEWS CENTER a. s.</v>
      </c>
      <c r="C702" s="3" t="str">
        <f ca="1">IFERROR(__xludf.DUMMYFUNCTION("""COMPUTED_VALUE"""),"iSport")</f>
        <v>iSport</v>
      </c>
      <c r="D702" s="3" t="str">
        <f ca="1">IFERROR(__xludf.DUMMYFUNCTION("""COMPUTED_VALUE"""),"https://isport.cz, https://sportrevue.cz")</f>
        <v>https://isport.cz, https://sportrevue.cz</v>
      </c>
      <c r="E702" s="3" t="str">
        <f ca="1">IFERROR(__xludf.DUMMYFUNCTION("""COMPUTED_VALUE"""),"celý web")</f>
        <v>celý web</v>
      </c>
      <c r="F702" s="3" t="str">
        <f ca="1">IFERROR(__xludf.DUMMYFUNCTION("""COMPUTED_VALUE"""),"https://isport.cz, https://sportrevue.cz")</f>
        <v>https://isport.cz, https://sportrevue.cz</v>
      </c>
      <c r="G702" s="3" t="str">
        <f ca="1">IFERROR(__xludf.DUMMYFUNCTION("""COMPUTED_VALUE"""),"Prodloužení existující microsite, bez úprav mid season")</f>
        <v>Prodloužení existující microsite, bez úprav mid season</v>
      </c>
      <c r="H702" s="3">
        <f ca="1">IFERROR(__xludf.DUMMYFUNCTION("""COMPUTED_VALUE"""),1)</f>
        <v>1</v>
      </c>
      <c r="I702" s="5">
        <f ca="1">IFERROR(__xludf.DUMMYFUNCTION("""COMPUTED_VALUE"""),1)</f>
        <v>1</v>
      </c>
      <c r="J702" s="5">
        <f ca="1">IFERROR(__xludf.DUMMYFUNCTION("""COMPUTED_VALUE"""),15000)</f>
        <v>15000</v>
      </c>
      <c r="K702" s="3"/>
      <c r="L702" s="3" t="str">
        <f ca="1">IFERROR(__xludf.DUMMYFUNCTION("""COMPUTED_VALUE"""),"Cost per instance")</f>
        <v>Cost per instance</v>
      </c>
      <c r="M702" s="3"/>
      <c r="N702" s="3"/>
      <c r="O702" s="3"/>
      <c r="P702" s="3"/>
      <c r="Q702" s="3"/>
      <c r="R702" s="3"/>
      <c r="S702" s="3" t="str">
        <f ca="1">IFERROR(__xludf.DUMMYFUNCTION("""COMPUTED_VALUE"""),"100")</f>
        <v>100</v>
      </c>
      <c r="T702" s="3"/>
      <c r="U702" s="3" t="str">
        <f ca="1">IFERROR(__xludf.DUMMYFUNCTION("""COMPUTED_VALUE"""),"microsite")</f>
        <v>microsite</v>
      </c>
      <c r="V702" s="3"/>
      <c r="W702" s="3"/>
      <c r="X702" s="3"/>
      <c r="Y702" s="3"/>
      <c r="Z702" s="3" t="str">
        <f ca="1">IFERROR(__xludf.DUMMYFUNCTION("""COMPUTED_VALUE"""),"podklady@cncenter.cz")</f>
        <v>podklady@cncenter.cz</v>
      </c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 t="str">
        <f ca="1">IFERROR(__xludf.DUMMYFUNCTION("""COMPUTED_VALUE"""),"cross-device")</f>
        <v>cross-device</v>
      </c>
      <c r="AO702" s="3"/>
      <c r="AP702" s="3"/>
      <c r="AQ702" s="3"/>
      <c r="AR702" s="3"/>
      <c r="AS702" s="3"/>
      <c r="AT702" s="3"/>
      <c r="AU702" s="3" t="str">
        <f ca="1">IFERROR(__xludf.DUMMYFUNCTION("""COMPUTED_VALUE"""),"Prodloužení existující microsite, bez úprav")</f>
        <v>Prodloužení existující microsite, bez úprav</v>
      </c>
    </row>
    <row r="703" spans="1:47" x14ac:dyDescent="0.3">
      <c r="A703" s="3">
        <f ca="1"/>
        <v>2346826</v>
      </c>
      <c r="B703" s="3" t="str">
        <f ca="1"/>
        <v>CZECH NEWS CENTER a. s.</v>
      </c>
      <c r="C703" s="3" t="str">
        <f ca="1">IFERROR(__xludf.DUMMYFUNCTION("""COMPUTED_VALUE"""),"iSport")</f>
        <v>iSport</v>
      </c>
      <c r="D703" s="3" t="str">
        <f ca="1">IFERROR(__xludf.DUMMYFUNCTION("""COMPUTED_VALUE"""),"https://isport.cz, https://sportrevue.cz")</f>
        <v>https://isport.cz, https://sportrevue.cz</v>
      </c>
      <c r="E703" s="3" t="str">
        <f ca="1">IFERROR(__xludf.DUMMYFUNCTION("""COMPUTED_VALUE"""),"celý web")</f>
        <v>celý web</v>
      </c>
      <c r="F703" s="3" t="str">
        <f ca="1">IFERROR(__xludf.DUMMYFUNCTION("""COMPUTED_VALUE"""),"https://isport.cz, https://sportrevue.cz")</f>
        <v>https://isport.cz, https://sportrevue.cz</v>
      </c>
      <c r="G703" s="3" t="str">
        <f ca="1">IFERROR(__xludf.DUMMYFUNCTION("""COMPUTED_VALUE"""),"Prodloužení existující microsite, bez úprav mid season")</f>
        <v>Prodloužení existující microsite, bez úprav mid season</v>
      </c>
      <c r="H703" s="3">
        <f ca="1">IFERROR(__xludf.DUMMYFUNCTION("""COMPUTED_VALUE"""),1)</f>
        <v>1</v>
      </c>
      <c r="I703" s="5">
        <f ca="1">IFERROR(__xludf.DUMMYFUNCTION("""COMPUTED_VALUE"""),1)</f>
        <v>1</v>
      </c>
      <c r="J703" s="5">
        <f ca="1">IFERROR(__xludf.DUMMYFUNCTION("""COMPUTED_VALUE"""),15000)</f>
        <v>15000</v>
      </c>
      <c r="K703" s="3"/>
      <c r="L703" s="3" t="str">
        <f ca="1">IFERROR(__xludf.DUMMYFUNCTION("""COMPUTED_VALUE"""),"Cost per instance")</f>
        <v>Cost per instance</v>
      </c>
      <c r="M703" s="3"/>
      <c r="N703" s="3"/>
      <c r="O703" s="3"/>
      <c r="P703" s="3"/>
      <c r="Q703" s="3"/>
      <c r="R703" s="3"/>
      <c r="S703" s="3" t="str">
        <f ca="1">IFERROR(__xludf.DUMMYFUNCTION("""COMPUTED_VALUE"""),"100")</f>
        <v>100</v>
      </c>
      <c r="T703" s="3"/>
      <c r="U703" s="3" t="str">
        <f ca="1">IFERROR(__xludf.DUMMYFUNCTION("""COMPUTED_VALUE"""),"microsite")</f>
        <v>microsite</v>
      </c>
      <c r="V703" s="3"/>
      <c r="W703" s="3"/>
      <c r="X703" s="3"/>
      <c r="Y703" s="3"/>
      <c r="Z703" s="3" t="str">
        <f ca="1">IFERROR(__xludf.DUMMYFUNCTION("""COMPUTED_VALUE"""),"podklady@cncenter.cz")</f>
        <v>podklady@cncenter.cz</v>
      </c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 t="str">
        <f ca="1">IFERROR(__xludf.DUMMYFUNCTION("""COMPUTED_VALUE"""),"cross-device")</f>
        <v>cross-device</v>
      </c>
      <c r="AO703" s="3"/>
      <c r="AP703" s="3"/>
      <c r="AQ703" s="3"/>
      <c r="AR703" s="3"/>
      <c r="AS703" s="3"/>
      <c r="AT703" s="3"/>
      <c r="AU703" s="3" t="str">
        <f ca="1">IFERROR(__xludf.DUMMYFUNCTION("""COMPUTED_VALUE"""),"Prodloužení existující microsite, bez úprav")</f>
        <v>Prodloužení existující microsite, bez úprav</v>
      </c>
    </row>
    <row r="704" spans="1:47" x14ac:dyDescent="0.3">
      <c r="A704" s="3">
        <f ca="1"/>
        <v>2346826</v>
      </c>
      <c r="B704" s="3" t="str">
        <f ca="1"/>
        <v>CZECH NEWS CENTER a. s.</v>
      </c>
      <c r="C704" s="3" t="str">
        <f ca="1">IFERROR(__xludf.DUMMYFUNCTION("""COMPUTED_VALUE"""),"iSport")</f>
        <v>iSport</v>
      </c>
      <c r="D704" s="3" t="str">
        <f ca="1">IFERROR(__xludf.DUMMYFUNCTION("""COMPUTED_VALUE"""),"https://isport.cz, https://sportrevue.cz")</f>
        <v>https://isport.cz, https://sportrevue.cz</v>
      </c>
      <c r="E704" s="3" t="str">
        <f ca="1">IFERROR(__xludf.DUMMYFUNCTION("""COMPUTED_VALUE"""),"celý web")</f>
        <v>celý web</v>
      </c>
      <c r="F704" s="3" t="str">
        <f ca="1">IFERROR(__xludf.DUMMYFUNCTION("""COMPUTED_VALUE"""),"https://isport.cz, https://sportrevue.cz")</f>
        <v>https://isport.cz, https://sportrevue.cz</v>
      </c>
      <c r="G704" s="3" t="str">
        <f ca="1">IFERROR(__xludf.DUMMYFUNCTION("""COMPUTED_VALUE"""),"Prodloužení existující microsite, bez úprav mid season")</f>
        <v>Prodloužení existující microsite, bez úprav mid season</v>
      </c>
      <c r="H704" s="3">
        <f ca="1">IFERROR(__xludf.DUMMYFUNCTION("""COMPUTED_VALUE"""),1)</f>
        <v>1</v>
      </c>
      <c r="I704" s="5">
        <f ca="1">IFERROR(__xludf.DUMMYFUNCTION("""COMPUTED_VALUE"""),1)</f>
        <v>1</v>
      </c>
      <c r="J704" s="5">
        <f ca="1">IFERROR(__xludf.DUMMYFUNCTION("""COMPUTED_VALUE"""),15000)</f>
        <v>15000</v>
      </c>
      <c r="K704" s="3"/>
      <c r="L704" s="3" t="str">
        <f ca="1">IFERROR(__xludf.DUMMYFUNCTION("""COMPUTED_VALUE"""),"Cost per instance")</f>
        <v>Cost per instance</v>
      </c>
      <c r="M704" s="3"/>
      <c r="N704" s="3"/>
      <c r="O704" s="3"/>
      <c r="P704" s="3"/>
      <c r="Q704" s="3"/>
      <c r="R704" s="3"/>
      <c r="S704" s="3" t="str">
        <f ca="1">IFERROR(__xludf.DUMMYFUNCTION("""COMPUTED_VALUE"""),"100")</f>
        <v>100</v>
      </c>
      <c r="T704" s="3"/>
      <c r="U704" s="3" t="str">
        <f ca="1">IFERROR(__xludf.DUMMYFUNCTION("""COMPUTED_VALUE"""),"microsite")</f>
        <v>microsite</v>
      </c>
      <c r="V704" s="3"/>
      <c r="W704" s="3"/>
      <c r="X704" s="3"/>
      <c r="Y704" s="3"/>
      <c r="Z704" s="3" t="str">
        <f ca="1">IFERROR(__xludf.DUMMYFUNCTION("""COMPUTED_VALUE"""),"podklady@cncenter.cz")</f>
        <v>podklady@cncenter.cz</v>
      </c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 t="str">
        <f ca="1">IFERROR(__xludf.DUMMYFUNCTION("""COMPUTED_VALUE"""),"cross-device")</f>
        <v>cross-device</v>
      </c>
      <c r="AO704" s="3"/>
      <c r="AP704" s="3"/>
      <c r="AQ704" s="3"/>
      <c r="AR704" s="3"/>
      <c r="AS704" s="3"/>
      <c r="AT704" s="3"/>
      <c r="AU704" s="3" t="str">
        <f ca="1">IFERROR(__xludf.DUMMYFUNCTION("""COMPUTED_VALUE"""),"Prodloužení existující microsite, bez úprav")</f>
        <v>Prodloužení existující microsite, bez úprav</v>
      </c>
    </row>
    <row r="705" spans="1:47" x14ac:dyDescent="0.3">
      <c r="A705" s="3">
        <f ca="1"/>
        <v>2346826</v>
      </c>
      <c r="B705" s="3" t="str">
        <f ca="1"/>
        <v>CZECH NEWS CENTER a. s.</v>
      </c>
      <c r="C705" s="3" t="str">
        <f ca="1">IFERROR(__xludf.DUMMYFUNCTION("""COMPUTED_VALUE"""),"iSport")</f>
        <v>iSport</v>
      </c>
      <c r="D705" s="3" t="str">
        <f ca="1">IFERROR(__xludf.DUMMYFUNCTION("""COMPUTED_VALUE"""),"https://isport.cz, https://sportrevue.cz")</f>
        <v>https://isport.cz, https://sportrevue.cz</v>
      </c>
      <c r="E705" s="3" t="str">
        <f ca="1">IFERROR(__xludf.DUMMYFUNCTION("""COMPUTED_VALUE"""),"celý web")</f>
        <v>celý web</v>
      </c>
      <c r="F705" s="3" t="str">
        <f ca="1">IFERROR(__xludf.DUMMYFUNCTION("""COMPUTED_VALUE"""),"https://isport.cz, https://sportrevue.cz")</f>
        <v>https://isport.cz, https://sportrevue.cz</v>
      </c>
      <c r="G705" s="3" t="str">
        <f ca="1">IFERROR(__xludf.DUMMYFUNCTION("""COMPUTED_VALUE"""),"videospot - max. 30 sec. / bumper mid season")</f>
        <v>videospot - max. 30 sec. / bumper mid season</v>
      </c>
      <c r="H705" s="3">
        <f ca="1">IFERROR(__xludf.DUMMYFUNCTION("""COMPUTED_VALUE"""),7)</f>
        <v>7</v>
      </c>
      <c r="I705" s="5">
        <f ca="1">IFERROR(__xludf.DUMMYFUNCTION("""COMPUTED_VALUE"""),1000)</f>
        <v>1000</v>
      </c>
      <c r="J705" s="5">
        <f ca="1">IFERROR(__xludf.DUMMYFUNCTION("""COMPUTED_VALUE"""),1170)</f>
        <v>1170</v>
      </c>
      <c r="K705" s="3"/>
      <c r="L705" s="3" t="str">
        <f ca="1">IFERROR(__xludf.DUMMYFUNCTION("""COMPUTED_VALUE"""),"Cost per period")</f>
        <v>Cost per period</v>
      </c>
      <c r="M705" s="3"/>
      <c r="N705" s="3"/>
      <c r="O705" s="3" t="str">
        <f ca="1">IFERROR(__xludf.DUMMYFUNCTION("""COMPUTED_VALUE"""),"1280")</f>
        <v>1280</v>
      </c>
      <c r="P705" s="3" t="str">
        <f ca="1">IFERROR(__xludf.DUMMYFUNCTION("""COMPUTED_VALUE"""),"720")</f>
        <v>720</v>
      </c>
      <c r="Q705" s="3" t="str">
        <f ca="1">IFERROR(__xludf.DUMMYFUNCTION("""COMPUTED_VALUE"""),"16:9 / umístění po domluvě dle možností")</f>
        <v>16:9 / umístění po domluvě dle možností</v>
      </c>
      <c r="R705" s="3" t="str">
        <f ca="1">IFERROR(__xludf.DUMMYFUNCTION("""COMPUTED_VALUE"""),"přeskočení po 7 sekundách")</f>
        <v>přeskočení po 7 sekundách</v>
      </c>
      <c r="S705" s="3" t="str">
        <f ca="1">IFERROR(__xludf.DUMMYFUNCTION("""COMPUTED_VALUE"""),"100")</f>
        <v>100</v>
      </c>
      <c r="T705" s="3"/>
      <c r="U705" s="3" t="str">
        <f ca="1">IFERROR(__xludf.DUMMYFUNCTION("""COMPUTED_VALUE"""),"videospot")</f>
        <v>videospot</v>
      </c>
      <c r="V705" s="3"/>
      <c r="W705" s="4" t="str">
        <f ca="1">IFERROR(__xludf.DUMMYFUNCTION("""COMPUTED_VALUE"""),"https://reklama.cncenter.cz/Online/Bumper")</f>
        <v>https://reklama.cncenter.cz/Online/Bumper</v>
      </c>
      <c r="X705" s="3"/>
      <c r="Y705" s="3"/>
      <c r="Z705" s="3" t="str">
        <f ca="1">IFERROR(__xludf.DUMMYFUNCTION("""COMPUTED_VALUE"""),"podklady@cncenter.cz")</f>
        <v>podklady@cncenter.cz</v>
      </c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 t="str">
        <f ca="1">IFERROR(__xludf.DUMMYFUNCTION("""COMPUTED_VALUE"""),"cross-device")</f>
        <v>cross-device</v>
      </c>
      <c r="AO705" s="3"/>
      <c r="AP705" s="3"/>
      <c r="AQ705" s="3"/>
      <c r="AR705" s="3"/>
      <c r="AS705" s="3"/>
      <c r="AT705" s="3"/>
      <c r="AU705" s="3" t="str">
        <f ca="1">IFERROR(__xludf.DUMMYFUNCTION("""COMPUTED_VALUE"""),"videospot - max. 30 sec. / bumper")</f>
        <v>videospot - max. 30 sec. / bumper</v>
      </c>
    </row>
    <row r="706" spans="1:47" x14ac:dyDescent="0.3">
      <c r="A706" s="3">
        <f ca="1"/>
        <v>2346826</v>
      </c>
      <c r="B706" s="3" t="str">
        <f ca="1"/>
        <v>CZECH NEWS CENTER a. s.</v>
      </c>
      <c r="C706" s="3" t="str">
        <f ca="1">IFERROR(__xludf.DUMMYFUNCTION("""COMPUTED_VALUE"""),"Lidé a země")</f>
        <v>Lidé a země</v>
      </c>
      <c r="D706" s="4" t="str">
        <f ca="1">IFERROR(__xludf.DUMMYFUNCTION("""COMPUTED_VALUE"""),"https://lideazeme.cz")</f>
        <v>https://lideazeme.cz</v>
      </c>
      <c r="E706" s="3" t="str">
        <f ca="1">IFERROR(__xludf.DUMMYFUNCTION("""COMPUTED_VALUE"""),"celý web")</f>
        <v>celý web</v>
      </c>
      <c r="F706" s="4" t="str">
        <f ca="1">IFERROR(__xludf.DUMMYFUNCTION("""COMPUTED_VALUE"""),"https://lideazeme.cz")</f>
        <v>https://lideazeme.cz</v>
      </c>
      <c r="G706" s="3" t="str">
        <f ca="1">IFERROR(__xludf.DUMMYFUNCTION("""COMPUTED_VALUE"""),"Advertorial mid season")</f>
        <v>Advertorial mid season</v>
      </c>
      <c r="H706" s="3">
        <f ca="1">IFERROR(__xludf.DUMMYFUNCTION("""COMPUTED_VALUE"""),1)</f>
        <v>1</v>
      </c>
      <c r="I706" s="5">
        <f ca="1">IFERROR(__xludf.DUMMYFUNCTION("""COMPUTED_VALUE"""),1)</f>
        <v>1</v>
      </c>
      <c r="J706" s="5">
        <f ca="1">IFERROR(__xludf.DUMMYFUNCTION("""COMPUTED_VALUE"""),90000)</f>
        <v>90000</v>
      </c>
      <c r="K706" s="3"/>
      <c r="L706" s="3" t="str">
        <f ca="1">IFERROR(__xludf.DUMMYFUNCTION("""COMPUTED_VALUE"""),"Cost per instance")</f>
        <v>Cost per instance</v>
      </c>
      <c r="M706" s="3"/>
      <c r="N706" s="3"/>
      <c r="O706" s="3"/>
      <c r="P706" s="3"/>
      <c r="Q706" s="3"/>
      <c r="R706" s="3"/>
      <c r="S706" s="3" t="str">
        <f ca="1">IFERROR(__xludf.DUMMYFUNCTION("""COMPUTED_VALUE"""),"100")</f>
        <v>100</v>
      </c>
      <c r="T706" s="3"/>
      <c r="U706" s="3" t="str">
        <f ca="1">IFERROR(__xludf.DUMMYFUNCTION("""COMPUTED_VALUE"""),"pr článek")</f>
        <v>pr článek</v>
      </c>
      <c r="V706" s="3"/>
      <c r="W706" s="3"/>
      <c r="X706" s="3"/>
      <c r="Y706" s="3"/>
      <c r="Z706" s="3" t="str">
        <f ca="1">IFERROR(__xludf.DUMMYFUNCTION("""COMPUTED_VALUE"""),"podklady@cncenter.cz")</f>
        <v>podklady@cncenter.cz</v>
      </c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 t="str">
        <f ca="1">IFERROR(__xludf.DUMMYFUNCTION("""COMPUTED_VALUE"""),"cross-device")</f>
        <v>cross-device</v>
      </c>
      <c r="AO706" s="3"/>
      <c r="AP706" s="3"/>
      <c r="AQ706" s="3"/>
      <c r="AR706" s="3"/>
      <c r="AS706" s="3"/>
      <c r="AT706" s="3"/>
      <c r="AU706" s="3" t="str">
        <f ca="1">IFERROR(__xludf.DUMMYFUNCTION("""COMPUTED_VALUE"""),"Advertorial")</f>
        <v>Advertorial</v>
      </c>
    </row>
    <row r="707" spans="1:47" x14ac:dyDescent="0.3">
      <c r="A707" s="3">
        <f ca="1"/>
        <v>2346826</v>
      </c>
      <c r="B707" s="3" t="str">
        <f ca="1"/>
        <v>CZECH NEWS CENTER a. s.</v>
      </c>
      <c r="C707" s="3" t="str">
        <f ca="1">IFERROR(__xludf.DUMMYFUNCTION("""COMPUTED_VALUE"""),"Lidé a Země")</f>
        <v>Lidé a Země</v>
      </c>
      <c r="D707" s="4" t="str">
        <f ca="1">IFERROR(__xludf.DUMMYFUNCTION("""COMPUTED_VALUE"""),"https://lideazeme.cz")</f>
        <v>https://lideazeme.cz</v>
      </c>
      <c r="E707" s="3" t="str">
        <f ca="1">IFERROR(__xludf.DUMMYFUNCTION("""COMPUTED_VALUE"""),"celý web")</f>
        <v>celý web</v>
      </c>
      <c r="F707" s="4" t="str">
        <f ca="1">IFERROR(__xludf.DUMMYFUNCTION("""COMPUTED_VALUE"""),"https://lideazeme.cz")</f>
        <v>https://lideazeme.cz</v>
      </c>
      <c r="G707" s="3" t="str">
        <f ca="1">IFERROR(__xludf.DUMMYFUNCTION("""COMPUTED_VALUE"""),"billboard bottom mid season")</f>
        <v>billboard bottom mid season</v>
      </c>
      <c r="H707" s="3">
        <f ca="1">IFERROR(__xludf.DUMMYFUNCTION("""COMPUTED_VALUE"""),7)</f>
        <v>7</v>
      </c>
      <c r="I707" s="5">
        <f ca="1">IFERROR(__xludf.DUMMYFUNCTION("""COMPUTED_VALUE"""),1000)</f>
        <v>1000</v>
      </c>
      <c r="J707" s="5">
        <f ca="1">IFERROR(__xludf.DUMMYFUNCTION("""COMPUTED_VALUE"""),340)</f>
        <v>340</v>
      </c>
      <c r="K707" s="3"/>
      <c r="L707" s="3" t="str">
        <f ca="1">IFERROR(__xludf.DUMMYFUNCTION("""COMPUTED_VALUE"""),"Cost per period")</f>
        <v>Cost per period</v>
      </c>
      <c r="M707" s="3"/>
      <c r="N707" s="3"/>
      <c r="O707" s="3" t="str">
        <f ca="1">IFERROR(__xludf.DUMMYFUNCTION("""COMPUTED_VALUE"""),"970")</f>
        <v>970</v>
      </c>
      <c r="P707" s="3" t="str">
        <f ca="1">IFERROR(__xludf.DUMMYFUNCTION("""COMPUTED_VALUE"""),"250")</f>
        <v>250</v>
      </c>
      <c r="Q707" s="3" t="str">
        <f ca="1">IFERROR(__xludf.DUMMYFUNCTION("""COMPUTED_VALUE"""),"970x250")</f>
        <v>970x250</v>
      </c>
      <c r="R707" s="3"/>
      <c r="S707" s="3" t="str">
        <f ca="1">IFERROR(__xludf.DUMMYFUNCTION("""COMPUTED_VALUE"""),"100 (200 - HTML5)")</f>
        <v>100 (200 - HTML5)</v>
      </c>
      <c r="T707" s="3"/>
      <c r="U707" s="3" t="str">
        <f ca="1">IFERROR(__xludf.DUMMYFUNCTION("""COMPUTED_VALUE"""),"banner standard")</f>
        <v>banner standard</v>
      </c>
      <c r="V707" s="3"/>
      <c r="W707" s="4" t="str">
        <f ca="1">IFERROR(__xludf.DUMMYFUNCTION("""COMPUTED_VALUE"""),"https://reklama.cncenter.cz/Online/billboard-bottom")</f>
        <v>https://reklama.cncenter.cz/Online/billboard-bottom</v>
      </c>
      <c r="X707" s="3"/>
      <c r="Y707" s="3"/>
      <c r="Z707" s="3" t="str">
        <f ca="1">IFERROR(__xludf.DUMMYFUNCTION("""COMPUTED_VALUE"""),"podklady@cncenter.cz")</f>
        <v>podklady@cncenter.cz</v>
      </c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 t="str">
        <f ca="1">IFERROR(__xludf.DUMMYFUNCTION("""COMPUTED_VALUE"""),"desktop")</f>
        <v>desktop</v>
      </c>
      <c r="AO707" s="3"/>
      <c r="AP707" s="3"/>
      <c r="AQ707" s="3"/>
      <c r="AR707" s="3"/>
      <c r="AS707" s="3"/>
      <c r="AT707" s="3"/>
      <c r="AU707" s="3" t="str">
        <f ca="1">IFERROR(__xludf.DUMMYFUNCTION("""COMPUTED_VALUE"""),"billboard bottom")</f>
        <v>billboard bottom</v>
      </c>
    </row>
    <row r="708" spans="1:47" x14ac:dyDescent="0.3">
      <c r="A708" s="3">
        <f ca="1"/>
        <v>2346826</v>
      </c>
      <c r="B708" s="3" t="str">
        <f ca="1"/>
        <v>CZECH NEWS CENTER a. s.</v>
      </c>
      <c r="C708" s="3" t="str">
        <f ca="1">IFERROR(__xludf.DUMMYFUNCTION("""COMPUTED_VALUE"""),"Lidé a Země")</f>
        <v>Lidé a Země</v>
      </c>
      <c r="D708" s="4" t="str">
        <f ca="1">IFERROR(__xludf.DUMMYFUNCTION("""COMPUTED_VALUE"""),"https://lideazeme.cz")</f>
        <v>https://lideazeme.cz</v>
      </c>
      <c r="E708" s="3" t="str">
        <f ca="1">IFERROR(__xludf.DUMMYFUNCTION("""COMPUTED_VALUE"""),"celý web")</f>
        <v>celý web</v>
      </c>
      <c r="F708" s="4" t="str">
        <f ca="1">IFERROR(__xludf.DUMMYFUNCTION("""COMPUTED_VALUE"""),"https://lideazeme.cz")</f>
        <v>https://lideazeme.cz</v>
      </c>
      <c r="G708" s="3" t="str">
        <f ca="1">IFERROR(__xludf.DUMMYFUNCTION("""COMPUTED_VALUE"""),"branding cross-device mid season")</f>
        <v>branding cross-device mid season</v>
      </c>
      <c r="H708" s="3">
        <f ca="1">IFERROR(__xludf.DUMMYFUNCTION("""COMPUTED_VALUE"""),7)</f>
        <v>7</v>
      </c>
      <c r="I708" s="5">
        <f ca="1">IFERROR(__xludf.DUMMYFUNCTION("""COMPUTED_VALUE"""),1000)</f>
        <v>1000</v>
      </c>
      <c r="J708" s="5">
        <f ca="1">IFERROR(__xludf.DUMMYFUNCTION("""COMPUTED_VALUE"""),420)</f>
        <v>420</v>
      </c>
      <c r="K708" s="3"/>
      <c r="L708" s="3" t="str">
        <f ca="1">IFERROR(__xludf.DUMMYFUNCTION("""COMPUTED_VALUE"""),"Cost per period")</f>
        <v>Cost per period</v>
      </c>
      <c r="M708" s="3"/>
      <c r="N708" s="3"/>
      <c r="O708" s="3" t="str">
        <f ca="1">IFERROR(__xludf.DUMMYFUNCTION("""COMPUTED_VALUE"""),"2000")</f>
        <v>2000</v>
      </c>
      <c r="P708" s="3" t="str">
        <f ca="1">IFERROR(__xludf.DUMMYFUNCTION("""COMPUTED_VALUE"""),"1400")</f>
        <v>1400</v>
      </c>
      <c r="Q708" s="3" t="str">
        <f ca="1">IFERROR(__xludf.DUMMYFUNCTION("""COMPUTED_VALUE"""),"2000x1400 + 600x1080")</f>
        <v>2000x1400 + 600x1080</v>
      </c>
      <c r="R708" s="3"/>
      <c r="S708" s="3" t="str">
        <f ca="1">IFERROR(__xludf.DUMMYFUNCTION("""COMPUTED_VALUE"""),"500 (600 - HTLM5)")</f>
        <v>500 (600 - HTLM5)</v>
      </c>
      <c r="T708" s="3"/>
      <c r="U708" s="3" t="str">
        <f ca="1">IFERROR(__xludf.DUMMYFUNCTION("""COMPUTED_VALUE"""),"banner standard")</f>
        <v>banner standard</v>
      </c>
      <c r="V708" s="3"/>
      <c r="W708" s="4" t="str">
        <f ca="1">IFERROR(__xludf.DUMMYFUNCTION("""COMPUTED_VALUE"""),"https://reklama.cncenter.cz/Online/branding-cross-device")</f>
        <v>https://reklama.cncenter.cz/Online/branding-cross-device</v>
      </c>
      <c r="X708" s="3"/>
      <c r="Y708" s="3"/>
      <c r="Z708" s="3" t="str">
        <f ca="1">IFERROR(__xludf.DUMMYFUNCTION("""COMPUTED_VALUE"""),"podklady@cncenter.cz")</f>
        <v>podklady@cncenter.cz</v>
      </c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 t="str">
        <f ca="1">IFERROR(__xludf.DUMMYFUNCTION("""COMPUTED_VALUE"""),"cross-device")</f>
        <v>cross-device</v>
      </c>
      <c r="AO708" s="3"/>
      <c r="AP708" s="3"/>
      <c r="AQ708" s="3"/>
      <c r="AR708" s="3"/>
      <c r="AS708" s="3"/>
      <c r="AT708" s="3"/>
      <c r="AU708" s="3" t="str">
        <f ca="1">IFERROR(__xludf.DUMMYFUNCTION("""COMPUTED_VALUE"""),"branding cross-device")</f>
        <v>branding cross-device</v>
      </c>
    </row>
    <row r="709" spans="1:47" x14ac:dyDescent="0.3">
      <c r="A709" s="3">
        <f ca="1"/>
        <v>2346826</v>
      </c>
      <c r="B709" s="3" t="str">
        <f ca="1"/>
        <v>CZECH NEWS CENTER a. s.</v>
      </c>
      <c r="C709" s="3" t="str">
        <f ca="1">IFERROR(__xludf.DUMMYFUNCTION("""COMPUTED_VALUE"""),"Lidé a Země")</f>
        <v>Lidé a Země</v>
      </c>
      <c r="D709" s="4" t="str">
        <f ca="1">IFERROR(__xludf.DUMMYFUNCTION("""COMPUTED_VALUE"""),"https://lideazeme.cz")</f>
        <v>https://lideazeme.cz</v>
      </c>
      <c r="E709" s="3" t="str">
        <f ca="1">IFERROR(__xludf.DUMMYFUNCTION("""COMPUTED_VALUE"""),"celý web")</f>
        <v>celý web</v>
      </c>
      <c r="F709" s="4" t="str">
        <f ca="1">IFERROR(__xludf.DUMMYFUNCTION("""COMPUTED_VALUE"""),"https://lideazeme.cz")</f>
        <v>https://lideazeme.cz</v>
      </c>
      <c r="G709" s="3" t="str">
        <f ca="1">IFERROR(__xludf.DUMMYFUNCTION("""COMPUTED_VALUE"""),"branding mid season")</f>
        <v>branding mid season</v>
      </c>
      <c r="H709" s="3">
        <f ca="1">IFERROR(__xludf.DUMMYFUNCTION("""COMPUTED_VALUE"""),7)</f>
        <v>7</v>
      </c>
      <c r="I709" s="5">
        <f ca="1">IFERROR(__xludf.DUMMYFUNCTION("""COMPUTED_VALUE"""),1000)</f>
        <v>1000</v>
      </c>
      <c r="J709" s="5">
        <f ca="1">IFERROR(__xludf.DUMMYFUNCTION("""COMPUTED_VALUE"""),690)</f>
        <v>690</v>
      </c>
      <c r="K709" s="3"/>
      <c r="L709" s="3" t="str">
        <f ca="1">IFERROR(__xludf.DUMMYFUNCTION("""COMPUTED_VALUE"""),"Cost per period")</f>
        <v>Cost per period</v>
      </c>
      <c r="M709" s="3"/>
      <c r="N709" s="3"/>
      <c r="O709" s="3" t="str">
        <f ca="1">IFERROR(__xludf.DUMMYFUNCTION("""COMPUTED_VALUE"""),"2000")</f>
        <v>2000</v>
      </c>
      <c r="P709" s="3" t="str">
        <f ca="1">IFERROR(__xludf.DUMMYFUNCTION("""COMPUTED_VALUE"""),"1400")</f>
        <v>1400</v>
      </c>
      <c r="Q709" s="3" t="str">
        <f ca="1">IFERROR(__xludf.DUMMYFUNCTION("""COMPUTED_VALUE"""),"2000x1400")</f>
        <v>2000x1400</v>
      </c>
      <c r="R709" s="3"/>
      <c r="S709" s="3" t="str">
        <f ca="1">IFERROR(__xludf.DUMMYFUNCTION("""COMPUTED_VALUE"""),"500 + 200 (600+200 HTML5)")</f>
        <v>500 + 200 (600+200 HTML5)</v>
      </c>
      <c r="T709" s="3"/>
      <c r="U709" s="3" t="str">
        <f ca="1">IFERROR(__xludf.DUMMYFUNCTION("""COMPUTED_VALUE"""),"banner standard")</f>
        <v>banner standard</v>
      </c>
      <c r="V709" s="3"/>
      <c r="W709" s="4" t="str">
        <f ca="1">IFERROR(__xludf.DUMMYFUNCTION("""COMPUTED_VALUE"""),"https://reklama.cncenter.cz/Online/branding")</f>
        <v>https://reklama.cncenter.cz/Online/branding</v>
      </c>
      <c r="X709" s="3"/>
      <c r="Y709" s="3"/>
      <c r="Z709" s="3" t="str">
        <f ca="1">IFERROR(__xludf.DUMMYFUNCTION("""COMPUTED_VALUE"""),"podklady@cncenter.cz")</f>
        <v>podklady@cncenter.cz</v>
      </c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 t="str">
        <f ca="1">IFERROR(__xludf.DUMMYFUNCTION("""COMPUTED_VALUE"""),"desktop")</f>
        <v>desktop</v>
      </c>
      <c r="AO709" s="3"/>
      <c r="AP709" s="3"/>
      <c r="AQ709" s="3"/>
      <c r="AR709" s="3"/>
      <c r="AS709" s="3"/>
      <c r="AT709" s="3"/>
      <c r="AU709" s="3" t="str">
        <f ca="1">IFERROR(__xludf.DUMMYFUNCTION("""COMPUTED_VALUE"""),"branding")</f>
        <v>branding</v>
      </c>
    </row>
    <row r="710" spans="1:47" x14ac:dyDescent="0.3">
      <c r="A710" s="3">
        <f ca="1"/>
        <v>2346826</v>
      </c>
      <c r="B710" s="3" t="str">
        <f ca="1"/>
        <v>CZECH NEWS CENTER a. s.</v>
      </c>
      <c r="C710" s="3" t="str">
        <f ca="1">IFERROR(__xludf.DUMMYFUNCTION("""COMPUTED_VALUE"""),"Lidé a Země")</f>
        <v>Lidé a Země</v>
      </c>
      <c r="D710" s="4" t="str">
        <f ca="1">IFERROR(__xludf.DUMMYFUNCTION("""COMPUTED_VALUE"""),"https://lideazeme.cz")</f>
        <v>https://lideazeme.cz</v>
      </c>
      <c r="E710" s="3" t="str">
        <f ca="1">IFERROR(__xludf.DUMMYFUNCTION("""COMPUTED_VALUE"""),"celý web")</f>
        <v>celý web</v>
      </c>
      <c r="F710" s="4" t="str">
        <f ca="1">IFERROR(__xludf.DUMMYFUNCTION("""COMPUTED_VALUE"""),"https://lideazeme.cz")</f>
        <v>https://lideazeme.cz</v>
      </c>
      <c r="G710" s="3" t="str">
        <f ca="1">IFERROR(__xludf.DUMMYFUNCTION("""COMPUTED_VALUE"""),"cílený billboard bottom mid season")</f>
        <v>cílený billboard bottom mid season</v>
      </c>
      <c r="H710" s="3">
        <f ca="1">IFERROR(__xludf.DUMMYFUNCTION("""COMPUTED_VALUE"""),7)</f>
        <v>7</v>
      </c>
      <c r="I710" s="5">
        <f ca="1">IFERROR(__xludf.DUMMYFUNCTION("""COMPUTED_VALUE"""),1000)</f>
        <v>1000</v>
      </c>
      <c r="J710" s="5">
        <f ca="1">IFERROR(__xludf.DUMMYFUNCTION("""COMPUTED_VALUE"""),408)</f>
        <v>408</v>
      </c>
      <c r="K710" s="3"/>
      <c r="L710" s="3" t="str">
        <f ca="1">IFERROR(__xludf.DUMMYFUNCTION("""COMPUTED_VALUE"""),"Cost per period")</f>
        <v>Cost per period</v>
      </c>
      <c r="M710" s="3"/>
      <c r="N710" s="3"/>
      <c r="O710" s="3" t="str">
        <f ca="1">IFERROR(__xludf.DUMMYFUNCTION("""COMPUTED_VALUE"""),"970")</f>
        <v>970</v>
      </c>
      <c r="P710" s="3" t="str">
        <f ca="1">IFERROR(__xludf.DUMMYFUNCTION("""COMPUTED_VALUE"""),"250")</f>
        <v>250</v>
      </c>
      <c r="Q710" s="3" t="str">
        <f ca="1">IFERROR(__xludf.DUMMYFUNCTION("""COMPUTED_VALUE"""),"970x250")</f>
        <v>970x250</v>
      </c>
      <c r="R710" s="3"/>
      <c r="S710" s="3" t="str">
        <f ca="1">IFERROR(__xludf.DUMMYFUNCTION("""COMPUTED_VALUE"""),"100 (200 - HTML5)")</f>
        <v>100 (200 - HTML5)</v>
      </c>
      <c r="T710" s="3"/>
      <c r="U710" s="3" t="str">
        <f ca="1">IFERROR(__xludf.DUMMYFUNCTION("""COMPUTED_VALUE"""),"banner standard")</f>
        <v>banner standard</v>
      </c>
      <c r="V710" s="3"/>
      <c r="W710" s="4" t="str">
        <f ca="1">IFERROR(__xludf.DUMMYFUNCTION("""COMPUTED_VALUE"""),"https://reklama.cncenter.cz/Online/billboard-bottom")</f>
        <v>https://reklama.cncenter.cz/Online/billboard-bottom</v>
      </c>
      <c r="X710" s="3"/>
      <c r="Y710" s="3"/>
      <c r="Z710" s="3" t="str">
        <f ca="1">IFERROR(__xludf.DUMMYFUNCTION("""COMPUTED_VALUE"""),"podklady@cncenter.cz")</f>
        <v>podklady@cncenter.cz</v>
      </c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 t="str">
        <f ca="1">IFERROR(__xludf.DUMMYFUNCTION("""COMPUTED_VALUE"""),"desktop")</f>
        <v>desktop</v>
      </c>
      <c r="AO710" s="3"/>
      <c r="AP710" s="3"/>
      <c r="AQ710" s="3"/>
      <c r="AR710" s="3"/>
      <c r="AS710" s="3"/>
      <c r="AT710" s="3"/>
      <c r="AU710" s="3" t="str">
        <f ca="1">IFERROR(__xludf.DUMMYFUNCTION("""COMPUTED_VALUE"""),"cílený billboard bottom")</f>
        <v>cílený billboard bottom</v>
      </c>
    </row>
    <row r="711" spans="1:47" x14ac:dyDescent="0.3">
      <c r="A711" s="3">
        <f ca="1"/>
        <v>2346826</v>
      </c>
      <c r="B711" s="3" t="str">
        <f ca="1"/>
        <v>CZECH NEWS CENTER a. s.</v>
      </c>
      <c r="C711" s="3" t="str">
        <f ca="1">IFERROR(__xludf.DUMMYFUNCTION("""COMPUTED_VALUE"""),"Lidé a Země")</f>
        <v>Lidé a Země</v>
      </c>
      <c r="D711" s="4" t="str">
        <f ca="1">IFERROR(__xludf.DUMMYFUNCTION("""COMPUTED_VALUE"""),"https://lideazeme.cz")</f>
        <v>https://lideazeme.cz</v>
      </c>
      <c r="E711" s="3" t="str">
        <f ca="1">IFERROR(__xludf.DUMMYFUNCTION("""COMPUTED_VALUE"""),"celý web")</f>
        <v>celý web</v>
      </c>
      <c r="F711" s="4" t="str">
        <f ca="1">IFERROR(__xludf.DUMMYFUNCTION("""COMPUTED_VALUE"""),"https://lideazeme.cz")</f>
        <v>https://lideazeme.cz</v>
      </c>
      <c r="G711" s="3" t="str">
        <f ca="1">IFERROR(__xludf.DUMMYFUNCTION("""COMPUTED_VALUE"""),"cílený branding cross-device mid season")</f>
        <v>cílený branding cross-device mid season</v>
      </c>
      <c r="H711" s="3">
        <f ca="1">IFERROR(__xludf.DUMMYFUNCTION("""COMPUTED_VALUE"""),7)</f>
        <v>7</v>
      </c>
      <c r="I711" s="5">
        <f ca="1">IFERROR(__xludf.DUMMYFUNCTION("""COMPUTED_VALUE"""),1000)</f>
        <v>1000</v>
      </c>
      <c r="J711" s="5">
        <f ca="1">IFERROR(__xludf.DUMMYFUNCTION("""COMPUTED_VALUE"""),504)</f>
        <v>504</v>
      </c>
      <c r="K711" s="3"/>
      <c r="L711" s="3" t="str">
        <f ca="1">IFERROR(__xludf.DUMMYFUNCTION("""COMPUTED_VALUE"""),"Cost per period")</f>
        <v>Cost per period</v>
      </c>
      <c r="M711" s="3"/>
      <c r="N711" s="3"/>
      <c r="O711" s="3" t="str">
        <f ca="1">IFERROR(__xludf.DUMMYFUNCTION("""COMPUTED_VALUE"""),"2000")</f>
        <v>2000</v>
      </c>
      <c r="P711" s="3" t="str">
        <f ca="1">IFERROR(__xludf.DUMMYFUNCTION("""COMPUTED_VALUE"""),"1400")</f>
        <v>1400</v>
      </c>
      <c r="Q711" s="3" t="str">
        <f ca="1">IFERROR(__xludf.DUMMYFUNCTION("""COMPUTED_VALUE"""),"2000x1400 + 600x1080")</f>
        <v>2000x1400 + 600x1080</v>
      </c>
      <c r="R711" s="3"/>
      <c r="S711" s="3" t="str">
        <f ca="1">IFERROR(__xludf.DUMMYFUNCTION("""COMPUTED_VALUE"""),"500 (600 - HTLM5)")</f>
        <v>500 (600 - HTLM5)</v>
      </c>
      <c r="T711" s="3"/>
      <c r="U711" s="3" t="str">
        <f ca="1">IFERROR(__xludf.DUMMYFUNCTION("""COMPUTED_VALUE"""),"banner standard")</f>
        <v>banner standard</v>
      </c>
      <c r="V711" s="3"/>
      <c r="W711" s="4" t="str">
        <f ca="1">IFERROR(__xludf.DUMMYFUNCTION("""COMPUTED_VALUE"""),"https://reklama.cncenter.cz/Online/branding-cross-device")</f>
        <v>https://reklama.cncenter.cz/Online/branding-cross-device</v>
      </c>
      <c r="X711" s="3"/>
      <c r="Y711" s="3"/>
      <c r="Z711" s="3" t="str">
        <f ca="1">IFERROR(__xludf.DUMMYFUNCTION("""COMPUTED_VALUE"""),"podklady@cncenter.cz")</f>
        <v>podklady@cncenter.cz</v>
      </c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 t="str">
        <f ca="1">IFERROR(__xludf.DUMMYFUNCTION("""COMPUTED_VALUE"""),"cross-device")</f>
        <v>cross-device</v>
      </c>
      <c r="AO711" s="3"/>
      <c r="AP711" s="3"/>
      <c r="AQ711" s="3"/>
      <c r="AR711" s="3"/>
      <c r="AS711" s="3"/>
      <c r="AT711" s="3"/>
      <c r="AU711" s="3" t="str">
        <f ca="1">IFERROR(__xludf.DUMMYFUNCTION("""COMPUTED_VALUE"""),"cílený branding cross-device")</f>
        <v>cílený branding cross-device</v>
      </c>
    </row>
    <row r="712" spans="1:47" x14ac:dyDescent="0.3">
      <c r="A712" s="3">
        <f ca="1"/>
        <v>2346826</v>
      </c>
      <c r="B712" s="3" t="str">
        <f ca="1"/>
        <v>CZECH NEWS CENTER a. s.</v>
      </c>
      <c r="C712" s="3" t="str">
        <f ca="1">IFERROR(__xludf.DUMMYFUNCTION("""COMPUTED_VALUE"""),"Lidé a Země")</f>
        <v>Lidé a Země</v>
      </c>
      <c r="D712" s="4" t="str">
        <f ca="1">IFERROR(__xludf.DUMMYFUNCTION("""COMPUTED_VALUE"""),"https://lideazeme.cz")</f>
        <v>https://lideazeme.cz</v>
      </c>
      <c r="E712" s="3" t="str">
        <f ca="1">IFERROR(__xludf.DUMMYFUNCTION("""COMPUTED_VALUE"""),"celý web")</f>
        <v>celý web</v>
      </c>
      <c r="F712" s="4" t="str">
        <f ca="1">IFERROR(__xludf.DUMMYFUNCTION("""COMPUTED_VALUE"""),"https://lideazeme.cz")</f>
        <v>https://lideazeme.cz</v>
      </c>
      <c r="G712" s="3" t="str">
        <f ca="1">IFERROR(__xludf.DUMMYFUNCTION("""COMPUTED_VALUE"""),"cílený branding mid season")</f>
        <v>cílený branding mid season</v>
      </c>
      <c r="H712" s="3">
        <f ca="1">IFERROR(__xludf.DUMMYFUNCTION("""COMPUTED_VALUE"""),7)</f>
        <v>7</v>
      </c>
      <c r="I712" s="5">
        <f ca="1">IFERROR(__xludf.DUMMYFUNCTION("""COMPUTED_VALUE"""),1000)</f>
        <v>1000</v>
      </c>
      <c r="J712" s="5">
        <f ca="1">IFERROR(__xludf.DUMMYFUNCTION("""COMPUTED_VALUE"""),828)</f>
        <v>828</v>
      </c>
      <c r="K712" s="3"/>
      <c r="L712" s="3" t="str">
        <f ca="1">IFERROR(__xludf.DUMMYFUNCTION("""COMPUTED_VALUE"""),"Cost per period")</f>
        <v>Cost per period</v>
      </c>
      <c r="M712" s="3"/>
      <c r="N712" s="3"/>
      <c r="O712" s="3" t="str">
        <f ca="1">IFERROR(__xludf.DUMMYFUNCTION("""COMPUTED_VALUE"""),"2000")</f>
        <v>2000</v>
      </c>
      <c r="P712" s="3" t="str">
        <f ca="1">IFERROR(__xludf.DUMMYFUNCTION("""COMPUTED_VALUE"""),"1400")</f>
        <v>1400</v>
      </c>
      <c r="Q712" s="3" t="str">
        <f ca="1">IFERROR(__xludf.DUMMYFUNCTION("""COMPUTED_VALUE"""),"2000x1400")</f>
        <v>2000x1400</v>
      </c>
      <c r="R712" s="3"/>
      <c r="S712" s="3" t="str">
        <f ca="1">IFERROR(__xludf.DUMMYFUNCTION("""COMPUTED_VALUE"""),"500 + 200 (600+200 HTML5)")</f>
        <v>500 + 200 (600+200 HTML5)</v>
      </c>
      <c r="T712" s="3"/>
      <c r="U712" s="3" t="str">
        <f ca="1">IFERROR(__xludf.DUMMYFUNCTION("""COMPUTED_VALUE"""),"banner standard")</f>
        <v>banner standard</v>
      </c>
      <c r="V712" s="3"/>
      <c r="W712" s="4" t="str">
        <f ca="1">IFERROR(__xludf.DUMMYFUNCTION("""COMPUTED_VALUE"""),"https://reklama.cncenter.cz/Online/branding")</f>
        <v>https://reklama.cncenter.cz/Online/branding</v>
      </c>
      <c r="X712" s="3"/>
      <c r="Y712" s="3"/>
      <c r="Z712" s="3" t="str">
        <f ca="1">IFERROR(__xludf.DUMMYFUNCTION("""COMPUTED_VALUE"""),"podklady@cncenter.cz")</f>
        <v>podklady@cncenter.cz</v>
      </c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 t="str">
        <f ca="1">IFERROR(__xludf.DUMMYFUNCTION("""COMPUTED_VALUE"""),"desktop")</f>
        <v>desktop</v>
      </c>
      <c r="AO712" s="3"/>
      <c r="AP712" s="3"/>
      <c r="AQ712" s="3"/>
      <c r="AR712" s="3"/>
      <c r="AS712" s="3"/>
      <c r="AT712" s="3"/>
      <c r="AU712" s="3" t="str">
        <f ca="1">IFERROR(__xludf.DUMMYFUNCTION("""COMPUTED_VALUE"""),"cílený branding")</f>
        <v>cílený branding</v>
      </c>
    </row>
    <row r="713" spans="1:47" x14ac:dyDescent="0.3">
      <c r="A713" s="3">
        <f ca="1"/>
        <v>2346826</v>
      </c>
      <c r="B713" s="3" t="str">
        <f ca="1"/>
        <v>CZECH NEWS CENTER a. s.</v>
      </c>
      <c r="C713" s="3" t="str">
        <f ca="1">IFERROR(__xludf.DUMMYFUNCTION("""COMPUTED_VALUE"""),"Lidé a Země")</f>
        <v>Lidé a Země</v>
      </c>
      <c r="D713" s="4" t="str">
        <f ca="1">IFERROR(__xludf.DUMMYFUNCTION("""COMPUTED_VALUE"""),"https://lideazeme.cz")</f>
        <v>https://lideazeme.cz</v>
      </c>
      <c r="E713" s="3" t="str">
        <f ca="1">IFERROR(__xludf.DUMMYFUNCTION("""COMPUTED_VALUE"""),"celý web")</f>
        <v>celý web</v>
      </c>
      <c r="F713" s="4" t="str">
        <f ca="1">IFERROR(__xludf.DUMMYFUNCTION("""COMPUTED_VALUE"""),"https://lideazeme.cz")</f>
        <v>https://lideazeme.cz</v>
      </c>
      <c r="G713" s="3" t="str">
        <f ca="1">IFERROR(__xludf.DUMMYFUNCTION("""COMPUTED_VALUE"""),"cílený double skyscraper mid season")</f>
        <v>cílený double skyscraper mid season</v>
      </c>
      <c r="H713" s="3">
        <f ca="1">IFERROR(__xludf.DUMMYFUNCTION("""COMPUTED_VALUE"""),7)</f>
        <v>7</v>
      </c>
      <c r="I713" s="5">
        <f ca="1">IFERROR(__xludf.DUMMYFUNCTION("""COMPUTED_VALUE"""),1000)</f>
        <v>1000</v>
      </c>
      <c r="J713" s="5">
        <f ca="1">IFERROR(__xludf.DUMMYFUNCTION("""COMPUTED_VALUE"""),324)</f>
        <v>324</v>
      </c>
      <c r="K713" s="3"/>
      <c r="L713" s="3" t="str">
        <f ca="1">IFERROR(__xludf.DUMMYFUNCTION("""COMPUTED_VALUE"""),"Cost per period")</f>
        <v>Cost per period</v>
      </c>
      <c r="M713" s="3"/>
      <c r="N713" s="3"/>
      <c r="O713" s="3" t="str">
        <f ca="1">IFERROR(__xludf.DUMMYFUNCTION("""COMPUTED_VALUE"""),"300")</f>
        <v>300</v>
      </c>
      <c r="P713" s="3" t="str">
        <f ca="1">IFERROR(__xludf.DUMMYFUNCTION("""COMPUTED_VALUE"""),"600")</f>
        <v>600</v>
      </c>
      <c r="Q713" s="3" t="str">
        <f ca="1">IFERROR(__xludf.DUMMYFUNCTION("""COMPUTED_VALUE"""),"300x600")</f>
        <v>300x600</v>
      </c>
      <c r="R713" s="3"/>
      <c r="S713" s="3" t="str">
        <f ca="1">IFERROR(__xludf.DUMMYFUNCTION("""COMPUTED_VALUE"""),"100 (200 - HTML5)")</f>
        <v>100 (200 - HTML5)</v>
      </c>
      <c r="T713" s="3"/>
      <c r="U713" s="3" t="str">
        <f ca="1">IFERROR(__xludf.DUMMYFUNCTION("""COMPUTED_VALUE"""),"banner standard")</f>
        <v>banner standard</v>
      </c>
      <c r="V713" s="3"/>
      <c r="W713" s="4" t="str">
        <f ca="1">IFERROR(__xludf.DUMMYFUNCTION("""COMPUTED_VALUE"""),"https://reklama.cncenter.cz/Online/double-skyscraper")</f>
        <v>https://reklama.cncenter.cz/Online/double-skyscraper</v>
      </c>
      <c r="X713" s="3"/>
      <c r="Y713" s="3"/>
      <c r="Z713" s="3" t="str">
        <f ca="1">IFERROR(__xludf.DUMMYFUNCTION("""COMPUTED_VALUE"""),"podklady@cncenter.cz")</f>
        <v>podklady@cncenter.cz</v>
      </c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 t="str">
        <f ca="1">IFERROR(__xludf.DUMMYFUNCTION("""COMPUTED_VALUE"""),"desktop")</f>
        <v>desktop</v>
      </c>
      <c r="AO713" s="3"/>
      <c r="AP713" s="3"/>
      <c r="AQ713" s="3"/>
      <c r="AR713" s="3"/>
      <c r="AS713" s="3"/>
      <c r="AT713" s="3"/>
      <c r="AU713" s="3" t="str">
        <f ca="1">IFERROR(__xludf.DUMMYFUNCTION("""COMPUTED_VALUE"""),"cílený double skyscraper")</f>
        <v>cílený double skyscraper</v>
      </c>
    </row>
    <row r="714" spans="1:47" x14ac:dyDescent="0.3">
      <c r="A714" s="3">
        <f ca="1"/>
        <v>2346826</v>
      </c>
      <c r="B714" s="3" t="str">
        <f ca="1"/>
        <v>CZECH NEWS CENTER a. s.</v>
      </c>
      <c r="C714" s="3" t="str">
        <f ca="1">IFERROR(__xludf.DUMMYFUNCTION("""COMPUTED_VALUE"""),"Lidé a Země")</f>
        <v>Lidé a Země</v>
      </c>
      <c r="D714" s="4" t="str">
        <f ca="1">IFERROR(__xludf.DUMMYFUNCTION("""COMPUTED_VALUE"""),"https://lideazeme.cz")</f>
        <v>https://lideazeme.cz</v>
      </c>
      <c r="E714" s="3" t="str">
        <f ca="1">IFERROR(__xludf.DUMMYFUNCTION("""COMPUTED_VALUE"""),"celý web")</f>
        <v>celý web</v>
      </c>
      <c r="F714" s="4" t="str">
        <f ca="1">IFERROR(__xludf.DUMMYFUNCTION("""COMPUTED_VALUE"""),"https://lideazeme.cz")</f>
        <v>https://lideazeme.cz</v>
      </c>
      <c r="G714" s="3" t="str">
        <f ca="1">IFERROR(__xludf.DUMMYFUNCTION("""COMPUTED_VALUE"""),"cílený mobilní interscroller mid season")</f>
        <v>cílený mobilní interscroller mid season</v>
      </c>
      <c r="H714" s="3">
        <f ca="1">IFERROR(__xludf.DUMMYFUNCTION("""COMPUTED_VALUE"""),7)</f>
        <v>7</v>
      </c>
      <c r="I714" s="5">
        <f ca="1">IFERROR(__xludf.DUMMYFUNCTION("""COMPUTED_VALUE"""),1000)</f>
        <v>1000</v>
      </c>
      <c r="J714" s="5">
        <f ca="1">IFERROR(__xludf.DUMMYFUNCTION("""COMPUTED_VALUE"""),420)</f>
        <v>420</v>
      </c>
      <c r="K714" s="3"/>
      <c r="L714" s="3" t="str">
        <f ca="1">IFERROR(__xludf.DUMMYFUNCTION("""COMPUTED_VALUE"""),"Cost per period")</f>
        <v>Cost per period</v>
      </c>
      <c r="M714" s="3"/>
      <c r="N714" s="3"/>
      <c r="O714" s="3" t="str">
        <f ca="1">IFERROR(__xludf.DUMMYFUNCTION("""COMPUTED_VALUE"""),"600")</f>
        <v>600</v>
      </c>
      <c r="P714" s="3" t="str">
        <f ca="1">IFERROR(__xludf.DUMMYFUNCTION("""COMPUTED_VALUE"""),"1080")</f>
        <v>1080</v>
      </c>
      <c r="Q714" s="3" t="str">
        <f ca="1">IFERROR(__xludf.DUMMYFUNCTION("""COMPUTED_VALUE"""),"600x1080")</f>
        <v>600x1080</v>
      </c>
      <c r="R714" s="3"/>
      <c r="S714" s="3" t="str">
        <f ca="1">IFERROR(__xludf.DUMMYFUNCTION("""COMPUTED_VALUE"""),"200")</f>
        <v>200</v>
      </c>
      <c r="T714" s="3"/>
      <c r="U714" s="3" t="str">
        <f ca="1">IFERROR(__xludf.DUMMYFUNCTION("""COMPUTED_VALUE"""),"banner standard")</f>
        <v>banner standard</v>
      </c>
      <c r="V714" s="3"/>
      <c r="W714" s="4" t="str">
        <f ca="1">IFERROR(__xludf.DUMMYFUNCTION("""COMPUTED_VALUE"""),"https://reklama.cncenter.cz/Online/mobilni-interscroller")</f>
        <v>https://reklama.cncenter.cz/Online/mobilni-interscroller</v>
      </c>
      <c r="X714" s="3"/>
      <c r="Y714" s="3"/>
      <c r="Z714" s="3" t="str">
        <f ca="1">IFERROR(__xludf.DUMMYFUNCTION("""COMPUTED_VALUE"""),"podklady@cncenter.cz")</f>
        <v>podklady@cncenter.cz</v>
      </c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 t="str">
        <f ca="1">IFERROR(__xludf.DUMMYFUNCTION("""COMPUTED_VALUE"""),"mobile")</f>
        <v>mobile</v>
      </c>
      <c r="AO714" s="3"/>
      <c r="AP714" s="3"/>
      <c r="AQ714" s="3"/>
      <c r="AR714" s="3"/>
      <c r="AS714" s="3"/>
      <c r="AT714" s="3"/>
      <c r="AU714" s="3" t="str">
        <f ca="1">IFERROR(__xludf.DUMMYFUNCTION("""COMPUTED_VALUE"""),"cílený mobilní interscroller")</f>
        <v>cílený mobilní interscroller</v>
      </c>
    </row>
    <row r="715" spans="1:47" x14ac:dyDescent="0.3">
      <c r="A715" s="3">
        <f ca="1"/>
        <v>2346826</v>
      </c>
      <c r="B715" s="3" t="str">
        <f ca="1"/>
        <v>CZECH NEWS CENTER a. s.</v>
      </c>
      <c r="C715" s="3" t="str">
        <f ca="1">IFERROR(__xludf.DUMMYFUNCTION("""COMPUTED_VALUE"""),"Lidé a Země")</f>
        <v>Lidé a Země</v>
      </c>
      <c r="D715" s="4" t="str">
        <f ca="1">IFERROR(__xludf.DUMMYFUNCTION("""COMPUTED_VALUE"""),"https://lideazeme.cz")</f>
        <v>https://lideazeme.cz</v>
      </c>
      <c r="E715" s="3" t="str">
        <f ca="1">IFERROR(__xludf.DUMMYFUNCTION("""COMPUTED_VALUE"""),"celý web")</f>
        <v>celý web</v>
      </c>
      <c r="F715" s="4" t="str">
        <f ca="1">IFERROR(__xludf.DUMMYFUNCTION("""COMPUTED_VALUE"""),"https://lideazeme.cz")</f>
        <v>https://lideazeme.cz</v>
      </c>
      <c r="G715" s="3" t="str">
        <f ca="1">IFERROR(__xludf.DUMMYFUNCTION("""COMPUTED_VALUE"""),"cílený mobilní slide-up mid season")</f>
        <v>cílený mobilní slide-up mid season</v>
      </c>
      <c r="H715" s="3">
        <f ca="1">IFERROR(__xludf.DUMMYFUNCTION("""COMPUTED_VALUE"""),7)</f>
        <v>7</v>
      </c>
      <c r="I715" s="5">
        <f ca="1">IFERROR(__xludf.DUMMYFUNCTION("""COMPUTED_VALUE"""),1000)</f>
        <v>1000</v>
      </c>
      <c r="J715" s="5">
        <f ca="1">IFERROR(__xludf.DUMMYFUNCTION("""COMPUTED_VALUE"""),864)</f>
        <v>864</v>
      </c>
      <c r="K715" s="3"/>
      <c r="L715" s="3" t="str">
        <f ca="1">IFERROR(__xludf.DUMMYFUNCTION("""COMPUTED_VALUE"""),"Cost per period")</f>
        <v>Cost per period</v>
      </c>
      <c r="M715" s="3"/>
      <c r="N715" s="3"/>
      <c r="O715" s="3" t="str">
        <f ca="1">IFERROR(__xludf.DUMMYFUNCTION("""COMPUTED_VALUE"""),"300")</f>
        <v>300</v>
      </c>
      <c r="P715" s="3" t="str">
        <f ca="1">IFERROR(__xludf.DUMMYFUNCTION("""COMPUTED_VALUE"""),"120")</f>
        <v>120</v>
      </c>
      <c r="Q715" s="3" t="str">
        <f ca="1">IFERROR(__xludf.DUMMYFUNCTION("""COMPUTED_VALUE"""),"300x120")</f>
        <v>300x120</v>
      </c>
      <c r="R715" s="3"/>
      <c r="S715" s="3" t="str">
        <f ca="1">IFERROR(__xludf.DUMMYFUNCTION("""COMPUTED_VALUE"""),"100")</f>
        <v>100</v>
      </c>
      <c r="T715" s="3"/>
      <c r="U715" s="3" t="str">
        <f ca="1">IFERROR(__xludf.DUMMYFUNCTION("""COMPUTED_VALUE"""),"banner standard")</f>
        <v>banner standard</v>
      </c>
      <c r="V715" s="3"/>
      <c r="W715" s="4" t="str">
        <f ca="1">IFERROR(__xludf.DUMMYFUNCTION("""COMPUTED_VALUE"""),"https://reklama.cncenter.cz/Online/mobilni-slide-up")</f>
        <v>https://reklama.cncenter.cz/Online/mobilni-slide-up</v>
      </c>
      <c r="X715" s="3"/>
      <c r="Y715" s="3"/>
      <c r="Z715" s="3" t="str">
        <f ca="1">IFERROR(__xludf.DUMMYFUNCTION("""COMPUTED_VALUE"""),"podklady@cncenter.cz")</f>
        <v>podklady@cncenter.cz</v>
      </c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 t="str">
        <f ca="1">IFERROR(__xludf.DUMMYFUNCTION("""COMPUTED_VALUE"""),"mobile")</f>
        <v>mobile</v>
      </c>
      <c r="AO715" s="3"/>
      <c r="AP715" s="3"/>
      <c r="AQ715" s="3"/>
      <c r="AR715" s="3"/>
      <c r="AS715" s="3"/>
      <c r="AT715" s="3"/>
      <c r="AU715" s="3" t="str">
        <f ca="1">IFERROR(__xludf.DUMMYFUNCTION("""COMPUTED_VALUE"""),"cílený mobilní slide-up")</f>
        <v>cílený mobilní slide-up</v>
      </c>
    </row>
    <row r="716" spans="1:47" x14ac:dyDescent="0.3">
      <c r="A716" s="3">
        <f ca="1"/>
        <v>2346826</v>
      </c>
      <c r="B716" s="3" t="str">
        <f ca="1"/>
        <v>CZECH NEWS CENTER a. s.</v>
      </c>
      <c r="C716" s="3" t="str">
        <f ca="1">IFERROR(__xludf.DUMMYFUNCTION("""COMPUTED_VALUE"""),"Lidé a Země")</f>
        <v>Lidé a Země</v>
      </c>
      <c r="D716" s="4" t="str">
        <f ca="1">IFERROR(__xludf.DUMMYFUNCTION("""COMPUTED_VALUE"""),"https://lideazeme.cz")</f>
        <v>https://lideazeme.cz</v>
      </c>
      <c r="E716" s="3" t="str">
        <f ca="1">IFERROR(__xludf.DUMMYFUNCTION("""COMPUTED_VALUE"""),"celý web")</f>
        <v>celý web</v>
      </c>
      <c r="F716" s="4" t="str">
        <f ca="1">IFERROR(__xludf.DUMMYFUNCTION("""COMPUTED_VALUE"""),"https://lideazeme.cz")</f>
        <v>https://lideazeme.cz</v>
      </c>
      <c r="G716" s="3" t="str">
        <f ca="1">IFERROR(__xludf.DUMMYFUNCTION("""COMPUTED_VALUE"""),"cílený mobilní viněta mid season")</f>
        <v>cílený mobilní viněta mid season</v>
      </c>
      <c r="H716" s="3">
        <f ca="1">IFERROR(__xludf.DUMMYFUNCTION("""COMPUTED_VALUE"""),7)</f>
        <v>7</v>
      </c>
      <c r="I716" s="5">
        <f ca="1">IFERROR(__xludf.DUMMYFUNCTION("""COMPUTED_VALUE"""),1000)</f>
        <v>1000</v>
      </c>
      <c r="J716" s="5">
        <f ca="1">IFERROR(__xludf.DUMMYFUNCTION("""COMPUTED_VALUE"""),1488)</f>
        <v>1488</v>
      </c>
      <c r="K716" s="3"/>
      <c r="L716" s="3" t="str">
        <f ca="1">IFERROR(__xludf.DUMMYFUNCTION("""COMPUTED_VALUE"""),"Cost per period")</f>
        <v>Cost per period</v>
      </c>
      <c r="M716" s="3"/>
      <c r="N716" s="3"/>
      <c r="O716" s="3" t="str">
        <f ca="1">IFERROR(__xludf.DUMMYFUNCTION("""COMPUTED_VALUE"""),"600")</f>
        <v>600</v>
      </c>
      <c r="P716" s="3" t="str">
        <f ca="1">IFERROR(__xludf.DUMMYFUNCTION("""COMPUTED_VALUE"""),"800")</f>
        <v>800</v>
      </c>
      <c r="Q716" s="3" t="str">
        <f ca="1">IFERROR(__xludf.DUMMYFUNCTION("""COMPUTED_VALUE"""),"300x250 nebo 600x800")</f>
        <v>300x250 nebo 600x800</v>
      </c>
      <c r="R716" s="3"/>
      <c r="S716" s="3" t="str">
        <f ca="1">IFERROR(__xludf.DUMMYFUNCTION("""COMPUTED_VALUE"""),"100")</f>
        <v>100</v>
      </c>
      <c r="T716" s="3"/>
      <c r="U716" s="3" t="str">
        <f ca="1">IFERROR(__xludf.DUMMYFUNCTION("""COMPUTED_VALUE"""),"banner standard")</f>
        <v>banner standard</v>
      </c>
      <c r="V716" s="3"/>
      <c r="W716" s="4" t="str">
        <f ca="1">IFERROR(__xludf.DUMMYFUNCTION("""COMPUTED_VALUE"""),"https://reklama.cncenter.cz/Online/mobilni-vineta")</f>
        <v>https://reklama.cncenter.cz/Online/mobilni-vineta</v>
      </c>
      <c r="X716" s="3"/>
      <c r="Y716" s="3"/>
      <c r="Z716" s="3" t="str">
        <f ca="1">IFERROR(__xludf.DUMMYFUNCTION("""COMPUTED_VALUE"""),"podklady@cncenter.cz")</f>
        <v>podklady@cncenter.cz</v>
      </c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 t="str">
        <f ca="1">IFERROR(__xludf.DUMMYFUNCTION("""COMPUTED_VALUE"""),"mobile")</f>
        <v>mobile</v>
      </c>
      <c r="AO716" s="3"/>
      <c r="AP716" s="3"/>
      <c r="AQ716" s="3"/>
      <c r="AR716" s="3"/>
      <c r="AS716" s="3"/>
      <c r="AT716" s="3"/>
      <c r="AU716" s="3" t="str">
        <f ca="1">IFERROR(__xludf.DUMMYFUNCTION("""COMPUTED_VALUE"""),"cílený mobilní viněta")</f>
        <v>cílený mobilní viněta</v>
      </c>
    </row>
    <row r="717" spans="1:47" x14ac:dyDescent="0.3">
      <c r="A717" s="3">
        <f ca="1"/>
        <v>2346826</v>
      </c>
      <c r="B717" s="3" t="str">
        <f ca="1"/>
        <v>CZECH NEWS CENTER a. s.</v>
      </c>
      <c r="C717" s="3" t="str">
        <f ca="1">IFERROR(__xludf.DUMMYFUNCTION("""COMPUTED_VALUE"""),"Lidé a Země")</f>
        <v>Lidé a Země</v>
      </c>
      <c r="D717" s="4" t="str">
        <f ca="1">IFERROR(__xludf.DUMMYFUNCTION("""COMPUTED_VALUE"""),"https://lideazeme.cz")</f>
        <v>https://lideazeme.cz</v>
      </c>
      <c r="E717" s="3" t="str">
        <f ca="1">IFERROR(__xludf.DUMMYFUNCTION("""COMPUTED_VALUE"""),"celý web")</f>
        <v>celý web</v>
      </c>
      <c r="F717" s="4" t="str">
        <f ca="1">IFERROR(__xludf.DUMMYFUNCTION("""COMPUTED_VALUE"""),"https://lideazeme.cz")</f>
        <v>https://lideazeme.cz</v>
      </c>
      <c r="G717" s="3" t="str">
        <f ca="1">IFERROR(__xludf.DUMMYFUNCTION("""COMPUTED_VALUE"""),"cílený nativní rectangle cross-device mid season")</f>
        <v>cílený nativní rectangle cross-device mid season</v>
      </c>
      <c r="H717" s="3">
        <f ca="1">IFERROR(__xludf.DUMMYFUNCTION("""COMPUTED_VALUE"""),7)</f>
        <v>7</v>
      </c>
      <c r="I717" s="5">
        <f ca="1">IFERROR(__xludf.DUMMYFUNCTION("""COMPUTED_VALUE"""),1000)</f>
        <v>1000</v>
      </c>
      <c r="J717" s="5">
        <f ca="1">IFERROR(__xludf.DUMMYFUNCTION("""COMPUTED_VALUE"""),336)</f>
        <v>336</v>
      </c>
      <c r="K717" s="3"/>
      <c r="L717" s="3" t="str">
        <f ca="1">IFERROR(__xludf.DUMMYFUNCTION("""COMPUTED_VALUE"""),"Cost per period")</f>
        <v>Cost per period</v>
      </c>
      <c r="M717" s="3"/>
      <c r="N717" s="3"/>
      <c r="O717" s="3" t="str">
        <f ca="1">IFERROR(__xludf.DUMMYFUNCTION("""COMPUTED_VALUE"""),"640")</f>
        <v>640</v>
      </c>
      <c r="P717" s="3" t="str">
        <f ca="1">IFERROR(__xludf.DUMMYFUNCTION("""COMPUTED_VALUE"""),"335, 640")</f>
        <v>335, 640</v>
      </c>
      <c r="Q717" s="3" t="str">
        <f ca="1">IFERROR(__xludf.DUMMYFUNCTION("""COMPUTED_VALUE"""),"640x640 a 640x335 + text + logo")</f>
        <v>640x640 a 640x335 + text + logo</v>
      </c>
      <c r="R717" s="3"/>
      <c r="S717" s="3" t="str">
        <f ca="1">IFERROR(__xludf.DUMMYFUNCTION("""COMPUTED_VALUE"""),"45")</f>
        <v>45</v>
      </c>
      <c r="T717" s="3"/>
      <c r="U717" s="3" t="str">
        <f ca="1">IFERROR(__xludf.DUMMYFUNCTION("""COMPUTED_VALUE"""),"nativní reklama")</f>
        <v>nativní reklama</v>
      </c>
      <c r="V717" s="3"/>
      <c r="W717" s="4" t="str">
        <f ca="1">IFERROR(__xludf.DUMMYFUNCTION("""COMPUTED_VALUE"""),"https://reklama.cncenter.cz/Online/nativni-rectangle-cross-device")</f>
        <v>https://reklama.cncenter.cz/Online/nativni-rectangle-cross-device</v>
      </c>
      <c r="X717" s="3"/>
      <c r="Y717" s="3"/>
      <c r="Z717" s="3" t="str">
        <f ca="1">IFERROR(__xludf.DUMMYFUNCTION("""COMPUTED_VALUE"""),"podklady@cncenter.cz")</f>
        <v>podklady@cncenter.cz</v>
      </c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 t="str">
        <f ca="1">IFERROR(__xludf.DUMMYFUNCTION("""COMPUTED_VALUE"""),"cross-device")</f>
        <v>cross-device</v>
      </c>
      <c r="AO717" s="3"/>
      <c r="AP717" s="3"/>
      <c r="AQ717" s="3"/>
      <c r="AR717" s="3"/>
      <c r="AS717" s="3"/>
      <c r="AT717" s="3"/>
      <c r="AU717" s="3" t="str">
        <f ca="1">IFERROR(__xludf.DUMMYFUNCTION("""COMPUTED_VALUE"""),"cílený nativní rectangle cross-device")</f>
        <v>cílený nativní rectangle cross-device</v>
      </c>
    </row>
    <row r="718" spans="1:47" x14ac:dyDescent="0.3">
      <c r="A718" s="3">
        <f ca="1"/>
        <v>2346826</v>
      </c>
      <c r="B718" s="3" t="str">
        <f ca="1"/>
        <v>CZECH NEWS CENTER a. s.</v>
      </c>
      <c r="C718" s="3" t="str">
        <f ca="1">IFERROR(__xludf.DUMMYFUNCTION("""COMPUTED_VALUE"""),"Lidé a Země")</f>
        <v>Lidé a Země</v>
      </c>
      <c r="D718" s="4" t="str">
        <f ca="1">IFERROR(__xludf.DUMMYFUNCTION("""COMPUTED_VALUE"""),"https://lideazeme.cz")</f>
        <v>https://lideazeme.cz</v>
      </c>
      <c r="E718" s="3" t="str">
        <f ca="1">IFERROR(__xludf.DUMMYFUNCTION("""COMPUTED_VALUE"""),"celý web")</f>
        <v>celý web</v>
      </c>
      <c r="F718" s="4" t="str">
        <f ca="1">IFERROR(__xludf.DUMMYFUNCTION("""COMPUTED_VALUE"""),"https://lideazeme.cz")</f>
        <v>https://lideazeme.cz</v>
      </c>
      <c r="G718" s="3" t="str">
        <f ca="1">IFERROR(__xludf.DUMMYFUNCTION("""COMPUTED_VALUE"""),"cílený outstream mid season")</f>
        <v>cílený outstream mid season</v>
      </c>
      <c r="H718" s="3">
        <f ca="1">IFERROR(__xludf.DUMMYFUNCTION("""COMPUTED_VALUE"""),7)</f>
        <v>7</v>
      </c>
      <c r="I718" s="5">
        <f ca="1">IFERROR(__xludf.DUMMYFUNCTION("""COMPUTED_VALUE"""),1000)</f>
        <v>1000</v>
      </c>
      <c r="J718" s="5">
        <f ca="1">IFERROR(__xludf.DUMMYFUNCTION("""COMPUTED_VALUE"""),420)</f>
        <v>420</v>
      </c>
      <c r="K718" s="3"/>
      <c r="L718" s="3" t="str">
        <f ca="1">IFERROR(__xludf.DUMMYFUNCTION("""COMPUTED_VALUE"""),"Cost per period")</f>
        <v>Cost per period</v>
      </c>
      <c r="M718" s="3"/>
      <c r="N718" s="3"/>
      <c r="O718" s="3" t="str">
        <f ca="1">IFERROR(__xludf.DUMMYFUNCTION("""COMPUTED_VALUE"""),"1280")</f>
        <v>1280</v>
      </c>
      <c r="P718" s="3" t="str">
        <f ca="1">IFERROR(__xludf.DUMMYFUNCTION("""COMPUTED_VALUE"""),"720")</f>
        <v>720</v>
      </c>
      <c r="Q718" s="3" t="str">
        <f ca="1">IFERROR(__xludf.DUMMYFUNCTION("""COMPUTED_VALUE"""),"16:9")</f>
        <v>16:9</v>
      </c>
      <c r="R718" s="3"/>
      <c r="S718" s="3" t="str">
        <f ca="1">IFERROR(__xludf.DUMMYFUNCTION("""COMPUTED_VALUE"""),"100")</f>
        <v>100</v>
      </c>
      <c r="T718" s="3"/>
      <c r="U718" s="3" t="str">
        <f ca="1">IFERROR(__xludf.DUMMYFUNCTION("""COMPUTED_VALUE"""),"videospot")</f>
        <v>videospot</v>
      </c>
      <c r="V718" s="3"/>
      <c r="W718" s="4" t="str">
        <f ca="1">IFERROR(__xludf.DUMMYFUNCTION("""COMPUTED_VALUE"""),"https://reklama.cncenter.cz/Online/Outstream")</f>
        <v>https://reklama.cncenter.cz/Online/Outstream</v>
      </c>
      <c r="X718" s="3"/>
      <c r="Y718" s="3"/>
      <c r="Z718" s="3" t="str">
        <f ca="1">IFERROR(__xludf.DUMMYFUNCTION("""COMPUTED_VALUE"""),"podklady@cncenter.cz")</f>
        <v>podklady@cncenter.cz</v>
      </c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 t="str">
        <f ca="1">IFERROR(__xludf.DUMMYFUNCTION("""COMPUTED_VALUE"""),"cross-device")</f>
        <v>cross-device</v>
      </c>
      <c r="AO718" s="3"/>
      <c r="AP718" s="3"/>
      <c r="AQ718" s="3"/>
      <c r="AR718" s="3"/>
      <c r="AS718" s="3"/>
      <c r="AT718" s="3"/>
      <c r="AU718" s="3" t="str">
        <f ca="1">IFERROR(__xludf.DUMMYFUNCTION("""COMPUTED_VALUE"""),"cílený outstream")</f>
        <v>cílený outstream</v>
      </c>
    </row>
    <row r="719" spans="1:47" x14ac:dyDescent="0.3">
      <c r="A719" s="3">
        <f ca="1"/>
        <v>2346826</v>
      </c>
      <c r="B719" s="3" t="str">
        <f ca="1"/>
        <v>CZECH NEWS CENTER a. s.</v>
      </c>
      <c r="C719" s="3" t="str">
        <f ca="1">IFERROR(__xludf.DUMMYFUNCTION("""COMPUTED_VALUE"""),"Lidé a země")</f>
        <v>Lidé a země</v>
      </c>
      <c r="D719" s="4" t="str">
        <f ca="1">IFERROR(__xludf.DUMMYFUNCTION("""COMPUTED_VALUE"""),"https://lideazeme.cz")</f>
        <v>https://lideazeme.cz</v>
      </c>
      <c r="E719" s="3" t="str">
        <f ca="1">IFERROR(__xludf.DUMMYFUNCTION("""COMPUTED_VALUE"""),"celý web")</f>
        <v>celý web</v>
      </c>
      <c r="F719" s="4" t="str">
        <f ca="1">IFERROR(__xludf.DUMMYFUNCTION("""COMPUTED_VALUE"""),"https://lideazeme.cz")</f>
        <v>https://lideazeme.cz</v>
      </c>
      <c r="G719" s="3" t="str">
        <f ca="1">IFERROR(__xludf.DUMMYFUNCTION("""COMPUTED_VALUE"""),"dokoupení proma o 2 týdny - 10 000 PV *** mid season")</f>
        <v>dokoupení proma o 2 týdny - 10 000 PV *** mid season</v>
      </c>
      <c r="H719" s="3">
        <f ca="1">IFERROR(__xludf.DUMMYFUNCTION("""COMPUTED_VALUE"""),1)</f>
        <v>1</v>
      </c>
      <c r="I719" s="5">
        <f ca="1">IFERROR(__xludf.DUMMYFUNCTION("""COMPUTED_VALUE"""),1)</f>
        <v>1</v>
      </c>
      <c r="J719" s="5">
        <f ca="1">IFERROR(__xludf.DUMMYFUNCTION("""COMPUTED_VALUE"""),60000)</f>
        <v>60000</v>
      </c>
      <c r="K719" s="3"/>
      <c r="L719" s="3" t="str">
        <f ca="1">IFERROR(__xludf.DUMMYFUNCTION("""COMPUTED_VALUE"""),"Cost per instance")</f>
        <v>Cost per instance</v>
      </c>
      <c r="M719" s="3"/>
      <c r="N719" s="3"/>
      <c r="O719" s="3"/>
      <c r="P719" s="3"/>
      <c r="Q719" s="3"/>
      <c r="R719" s="3"/>
      <c r="S719" s="3" t="str">
        <f ca="1">IFERROR(__xludf.DUMMYFUNCTION("""COMPUTED_VALUE"""),"100")</f>
        <v>100</v>
      </c>
      <c r="T719" s="3"/>
      <c r="U719" s="3" t="str">
        <f ca="1">IFERROR(__xludf.DUMMYFUNCTION("""COMPUTED_VALUE"""),"microsite")</f>
        <v>microsite</v>
      </c>
      <c r="V719" s="3"/>
      <c r="W719" s="3"/>
      <c r="X719" s="3"/>
      <c r="Y719" s="3"/>
      <c r="Z719" s="3" t="str">
        <f ca="1">IFERROR(__xludf.DUMMYFUNCTION("""COMPUTED_VALUE"""),"podklady@cncenter.cz")</f>
        <v>podklady@cncenter.cz</v>
      </c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 t="str">
        <f ca="1">IFERROR(__xludf.DUMMYFUNCTION("""COMPUTED_VALUE"""),"cross-device")</f>
        <v>cross-device</v>
      </c>
      <c r="AO719" s="3"/>
      <c r="AP719" s="3"/>
      <c r="AQ719" s="3"/>
      <c r="AR719" s="3"/>
      <c r="AS719" s="3"/>
      <c r="AT719" s="3"/>
      <c r="AU719" s="3" t="str">
        <f ca="1">IFERROR(__xludf.DUMMYFUNCTION("""COMPUTED_VALUE"""),"dokoupení proma o 2 týdny - 10 000 PV ***")</f>
        <v>dokoupení proma o 2 týdny - 10 000 PV ***</v>
      </c>
    </row>
    <row r="720" spans="1:47" x14ac:dyDescent="0.3">
      <c r="A720" s="3">
        <f ca="1"/>
        <v>2346826</v>
      </c>
      <c r="B720" s="3" t="str">
        <f ca="1"/>
        <v>CZECH NEWS CENTER a. s.</v>
      </c>
      <c r="C720" s="3" t="str">
        <f ca="1">IFERROR(__xludf.DUMMYFUNCTION("""COMPUTED_VALUE"""),"Lidé a Země")</f>
        <v>Lidé a Země</v>
      </c>
      <c r="D720" s="4" t="str">
        <f ca="1">IFERROR(__xludf.DUMMYFUNCTION("""COMPUTED_VALUE"""),"https://lideazeme.cz")</f>
        <v>https://lideazeme.cz</v>
      </c>
      <c r="E720" s="3" t="str">
        <f ca="1">IFERROR(__xludf.DUMMYFUNCTION("""COMPUTED_VALUE"""),"celý web")</f>
        <v>celý web</v>
      </c>
      <c r="F720" s="4" t="str">
        <f ca="1">IFERROR(__xludf.DUMMYFUNCTION("""COMPUTED_VALUE"""),"https://lideazeme.cz")</f>
        <v>https://lideazeme.cz</v>
      </c>
      <c r="G720" s="3" t="str">
        <f ca="1">IFERROR(__xludf.DUMMYFUNCTION("""COMPUTED_VALUE"""),"double skyscraper mid season")</f>
        <v>double skyscraper mid season</v>
      </c>
      <c r="H720" s="3">
        <f ca="1">IFERROR(__xludf.DUMMYFUNCTION("""COMPUTED_VALUE"""),7)</f>
        <v>7</v>
      </c>
      <c r="I720" s="5">
        <f ca="1">IFERROR(__xludf.DUMMYFUNCTION("""COMPUTED_VALUE"""),1000)</f>
        <v>1000</v>
      </c>
      <c r="J720" s="5">
        <f ca="1">IFERROR(__xludf.DUMMYFUNCTION("""COMPUTED_VALUE"""),270)</f>
        <v>270</v>
      </c>
      <c r="K720" s="3"/>
      <c r="L720" s="3" t="str">
        <f ca="1">IFERROR(__xludf.DUMMYFUNCTION("""COMPUTED_VALUE"""),"Cost per period")</f>
        <v>Cost per period</v>
      </c>
      <c r="M720" s="3"/>
      <c r="N720" s="3"/>
      <c r="O720" s="3" t="str">
        <f ca="1">IFERROR(__xludf.DUMMYFUNCTION("""COMPUTED_VALUE"""),"300")</f>
        <v>300</v>
      </c>
      <c r="P720" s="3" t="str">
        <f ca="1">IFERROR(__xludf.DUMMYFUNCTION("""COMPUTED_VALUE"""),"600")</f>
        <v>600</v>
      </c>
      <c r="Q720" s="3" t="str">
        <f ca="1">IFERROR(__xludf.DUMMYFUNCTION("""COMPUTED_VALUE"""),"300x600")</f>
        <v>300x600</v>
      </c>
      <c r="R720" s="3"/>
      <c r="S720" s="3" t="str">
        <f ca="1">IFERROR(__xludf.DUMMYFUNCTION("""COMPUTED_VALUE"""),"100 (200 - HTML5)")</f>
        <v>100 (200 - HTML5)</v>
      </c>
      <c r="T720" s="3"/>
      <c r="U720" s="3" t="str">
        <f ca="1">IFERROR(__xludf.DUMMYFUNCTION("""COMPUTED_VALUE"""),"banner standard")</f>
        <v>banner standard</v>
      </c>
      <c r="V720" s="3"/>
      <c r="W720" s="4" t="str">
        <f ca="1">IFERROR(__xludf.DUMMYFUNCTION("""COMPUTED_VALUE"""),"https://reklama.cncenter.cz/Online/double-skyscraper")</f>
        <v>https://reklama.cncenter.cz/Online/double-skyscraper</v>
      </c>
      <c r="X720" s="3"/>
      <c r="Y720" s="3"/>
      <c r="Z720" s="3" t="str">
        <f ca="1">IFERROR(__xludf.DUMMYFUNCTION("""COMPUTED_VALUE"""),"podklady@cncenter.cz")</f>
        <v>podklady@cncenter.cz</v>
      </c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 t="str">
        <f ca="1">IFERROR(__xludf.DUMMYFUNCTION("""COMPUTED_VALUE"""),"desktop")</f>
        <v>desktop</v>
      </c>
      <c r="AO720" s="3"/>
      <c r="AP720" s="3"/>
      <c r="AQ720" s="3"/>
      <c r="AR720" s="3"/>
      <c r="AS720" s="3"/>
      <c r="AT720" s="3"/>
      <c r="AU720" s="3" t="str">
        <f ca="1">IFERROR(__xludf.DUMMYFUNCTION("""COMPUTED_VALUE"""),"double skyscraper")</f>
        <v>double skyscraper</v>
      </c>
    </row>
    <row r="721" spans="1:47" x14ac:dyDescent="0.3">
      <c r="A721" s="3">
        <f ca="1"/>
        <v>2346826</v>
      </c>
      <c r="B721" s="3" t="str">
        <f ca="1"/>
        <v>CZECH NEWS CENTER a. s.</v>
      </c>
      <c r="C721" s="3" t="str">
        <f ca="1">IFERROR(__xludf.DUMMYFUNCTION("""COMPUTED_VALUE"""),"Lidé a Země")</f>
        <v>Lidé a Země</v>
      </c>
      <c r="D721" s="4" t="str">
        <f ca="1">IFERROR(__xludf.DUMMYFUNCTION("""COMPUTED_VALUE"""),"https://lideazeme.cz")</f>
        <v>https://lideazeme.cz</v>
      </c>
      <c r="E721" s="3" t="str">
        <f ca="1">IFERROR(__xludf.DUMMYFUNCTION("""COMPUTED_VALUE"""),"celý web")</f>
        <v>celý web</v>
      </c>
      <c r="F721" s="4" t="str">
        <f ca="1">IFERROR(__xludf.DUMMYFUNCTION("""COMPUTED_VALUE"""),"https://lideazeme.cz")</f>
        <v>https://lideazeme.cz</v>
      </c>
      <c r="G721" s="3" t="str">
        <f ca="1">IFERROR(__xludf.DUMMYFUNCTION("""COMPUTED_VALUE"""),"mobilní interscroller mid season")</f>
        <v>mobilní interscroller mid season</v>
      </c>
      <c r="H721" s="3">
        <f ca="1">IFERROR(__xludf.DUMMYFUNCTION("""COMPUTED_VALUE"""),7)</f>
        <v>7</v>
      </c>
      <c r="I721" s="5">
        <f ca="1">IFERROR(__xludf.DUMMYFUNCTION("""COMPUTED_VALUE"""),1000)</f>
        <v>1000</v>
      </c>
      <c r="J721" s="5">
        <f ca="1">IFERROR(__xludf.DUMMYFUNCTION("""COMPUTED_VALUE"""),350)</f>
        <v>350</v>
      </c>
      <c r="K721" s="3"/>
      <c r="L721" s="3" t="str">
        <f ca="1">IFERROR(__xludf.DUMMYFUNCTION("""COMPUTED_VALUE"""),"Cost per period")</f>
        <v>Cost per period</v>
      </c>
      <c r="M721" s="3"/>
      <c r="N721" s="3"/>
      <c r="O721" s="3" t="str">
        <f ca="1">IFERROR(__xludf.DUMMYFUNCTION("""COMPUTED_VALUE"""),"600")</f>
        <v>600</v>
      </c>
      <c r="P721" s="3" t="str">
        <f ca="1">IFERROR(__xludf.DUMMYFUNCTION("""COMPUTED_VALUE"""),"1080")</f>
        <v>1080</v>
      </c>
      <c r="Q721" s="3" t="str">
        <f ca="1">IFERROR(__xludf.DUMMYFUNCTION("""COMPUTED_VALUE"""),"600x1080")</f>
        <v>600x1080</v>
      </c>
      <c r="R721" s="3"/>
      <c r="S721" s="3" t="str">
        <f ca="1">IFERROR(__xludf.DUMMYFUNCTION("""COMPUTED_VALUE"""),"200")</f>
        <v>200</v>
      </c>
      <c r="T721" s="3"/>
      <c r="U721" s="3" t="str">
        <f ca="1">IFERROR(__xludf.DUMMYFUNCTION("""COMPUTED_VALUE"""),"banner standard")</f>
        <v>banner standard</v>
      </c>
      <c r="V721" s="3"/>
      <c r="W721" s="4" t="str">
        <f ca="1">IFERROR(__xludf.DUMMYFUNCTION("""COMPUTED_VALUE"""),"https://reklama.cncenter.cz/Online/mobilni-interscroller")</f>
        <v>https://reklama.cncenter.cz/Online/mobilni-interscroller</v>
      </c>
      <c r="X721" s="3"/>
      <c r="Y721" s="3"/>
      <c r="Z721" s="3" t="str">
        <f ca="1">IFERROR(__xludf.DUMMYFUNCTION("""COMPUTED_VALUE"""),"podklady@cncenter.cz")</f>
        <v>podklady@cncenter.cz</v>
      </c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 t="str">
        <f ca="1">IFERROR(__xludf.DUMMYFUNCTION("""COMPUTED_VALUE"""),"mobile")</f>
        <v>mobile</v>
      </c>
      <c r="AO721" s="3"/>
      <c r="AP721" s="3"/>
      <c r="AQ721" s="3"/>
      <c r="AR721" s="3"/>
      <c r="AS721" s="3"/>
      <c r="AT721" s="3"/>
      <c r="AU721" s="3" t="str">
        <f ca="1">IFERROR(__xludf.DUMMYFUNCTION("""COMPUTED_VALUE"""),"mobilní interscroller")</f>
        <v>mobilní interscroller</v>
      </c>
    </row>
    <row r="722" spans="1:47" x14ac:dyDescent="0.3">
      <c r="A722" s="3">
        <f ca="1"/>
        <v>2346826</v>
      </c>
      <c r="B722" s="3" t="str">
        <f ca="1"/>
        <v>CZECH NEWS CENTER a. s.</v>
      </c>
      <c r="C722" s="3" t="str">
        <f ca="1">IFERROR(__xludf.DUMMYFUNCTION("""COMPUTED_VALUE"""),"Lidé a Země")</f>
        <v>Lidé a Země</v>
      </c>
      <c r="D722" s="4" t="str">
        <f ca="1">IFERROR(__xludf.DUMMYFUNCTION("""COMPUTED_VALUE"""),"https://lideazeme.cz")</f>
        <v>https://lideazeme.cz</v>
      </c>
      <c r="E722" s="3" t="str">
        <f ca="1">IFERROR(__xludf.DUMMYFUNCTION("""COMPUTED_VALUE"""),"celý web")</f>
        <v>celý web</v>
      </c>
      <c r="F722" s="4" t="str">
        <f ca="1">IFERROR(__xludf.DUMMYFUNCTION("""COMPUTED_VALUE"""),"https://lideazeme.cz")</f>
        <v>https://lideazeme.cz</v>
      </c>
      <c r="G722" s="3" t="str">
        <f ca="1">IFERROR(__xludf.DUMMYFUNCTION("""COMPUTED_VALUE"""),"mobilní slide-up mid season")</f>
        <v>mobilní slide-up mid season</v>
      </c>
      <c r="H722" s="3">
        <f ca="1">IFERROR(__xludf.DUMMYFUNCTION("""COMPUTED_VALUE"""),7)</f>
        <v>7</v>
      </c>
      <c r="I722" s="5">
        <f ca="1">IFERROR(__xludf.DUMMYFUNCTION("""COMPUTED_VALUE"""),1000)</f>
        <v>1000</v>
      </c>
      <c r="J722" s="5">
        <f ca="1">IFERROR(__xludf.DUMMYFUNCTION("""COMPUTED_VALUE"""),720)</f>
        <v>720</v>
      </c>
      <c r="K722" s="3"/>
      <c r="L722" s="3" t="str">
        <f ca="1">IFERROR(__xludf.DUMMYFUNCTION("""COMPUTED_VALUE"""),"Cost per period")</f>
        <v>Cost per period</v>
      </c>
      <c r="M722" s="3"/>
      <c r="N722" s="3"/>
      <c r="O722" s="3" t="str">
        <f ca="1">IFERROR(__xludf.DUMMYFUNCTION("""COMPUTED_VALUE"""),"300")</f>
        <v>300</v>
      </c>
      <c r="P722" s="3" t="str">
        <f ca="1">IFERROR(__xludf.DUMMYFUNCTION("""COMPUTED_VALUE"""),"120")</f>
        <v>120</v>
      </c>
      <c r="Q722" s="3" t="str">
        <f ca="1">IFERROR(__xludf.DUMMYFUNCTION("""COMPUTED_VALUE"""),"300x120")</f>
        <v>300x120</v>
      </c>
      <c r="R722" s="3"/>
      <c r="S722" s="3" t="str">
        <f ca="1">IFERROR(__xludf.DUMMYFUNCTION("""COMPUTED_VALUE"""),"100")</f>
        <v>100</v>
      </c>
      <c r="T722" s="3"/>
      <c r="U722" s="3" t="str">
        <f ca="1">IFERROR(__xludf.DUMMYFUNCTION("""COMPUTED_VALUE"""),"banner standard")</f>
        <v>banner standard</v>
      </c>
      <c r="V722" s="3"/>
      <c r="W722" s="4" t="str">
        <f ca="1">IFERROR(__xludf.DUMMYFUNCTION("""COMPUTED_VALUE"""),"https://reklama.cncenter.cz/Online/mobilni-slide-up")</f>
        <v>https://reklama.cncenter.cz/Online/mobilni-slide-up</v>
      </c>
      <c r="X722" s="3"/>
      <c r="Y722" s="3"/>
      <c r="Z722" s="3" t="str">
        <f ca="1">IFERROR(__xludf.DUMMYFUNCTION("""COMPUTED_VALUE"""),"podklady@cncenter.cz")</f>
        <v>podklady@cncenter.cz</v>
      </c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 t="str">
        <f ca="1">IFERROR(__xludf.DUMMYFUNCTION("""COMPUTED_VALUE"""),"mobile")</f>
        <v>mobile</v>
      </c>
      <c r="AO722" s="3"/>
      <c r="AP722" s="3"/>
      <c r="AQ722" s="3"/>
      <c r="AR722" s="3"/>
      <c r="AS722" s="3"/>
      <c r="AT722" s="3"/>
      <c r="AU722" s="3" t="str">
        <f ca="1">IFERROR(__xludf.DUMMYFUNCTION("""COMPUTED_VALUE"""),"mobilní slide-up")</f>
        <v>mobilní slide-up</v>
      </c>
    </row>
    <row r="723" spans="1:47" x14ac:dyDescent="0.3">
      <c r="A723" s="3">
        <f ca="1"/>
        <v>2346826</v>
      </c>
      <c r="B723" s="3" t="str">
        <f ca="1"/>
        <v>CZECH NEWS CENTER a. s.</v>
      </c>
      <c r="C723" s="3" t="str">
        <f ca="1">IFERROR(__xludf.DUMMYFUNCTION("""COMPUTED_VALUE"""),"Lidé a Země")</f>
        <v>Lidé a Země</v>
      </c>
      <c r="D723" s="4" t="str">
        <f ca="1">IFERROR(__xludf.DUMMYFUNCTION("""COMPUTED_VALUE"""),"https://lideazeme.cz")</f>
        <v>https://lideazeme.cz</v>
      </c>
      <c r="E723" s="3" t="str">
        <f ca="1">IFERROR(__xludf.DUMMYFUNCTION("""COMPUTED_VALUE"""),"celý web")</f>
        <v>celý web</v>
      </c>
      <c r="F723" s="4" t="str">
        <f ca="1">IFERROR(__xludf.DUMMYFUNCTION("""COMPUTED_VALUE"""),"https://lideazeme.cz")</f>
        <v>https://lideazeme.cz</v>
      </c>
      <c r="G723" s="3" t="str">
        <f ca="1">IFERROR(__xludf.DUMMYFUNCTION("""COMPUTED_VALUE"""),"mobilní viněta mid season")</f>
        <v>mobilní viněta mid season</v>
      </c>
      <c r="H723" s="3">
        <f ca="1">IFERROR(__xludf.DUMMYFUNCTION("""COMPUTED_VALUE"""),7)</f>
        <v>7</v>
      </c>
      <c r="I723" s="5">
        <f ca="1">IFERROR(__xludf.DUMMYFUNCTION("""COMPUTED_VALUE"""),1000)</f>
        <v>1000</v>
      </c>
      <c r="J723" s="5">
        <f ca="1">IFERROR(__xludf.DUMMYFUNCTION("""COMPUTED_VALUE"""),1240)</f>
        <v>1240</v>
      </c>
      <c r="K723" s="3"/>
      <c r="L723" s="3" t="str">
        <f ca="1">IFERROR(__xludf.DUMMYFUNCTION("""COMPUTED_VALUE"""),"Cost per period")</f>
        <v>Cost per period</v>
      </c>
      <c r="M723" s="3"/>
      <c r="N723" s="3"/>
      <c r="O723" s="3" t="str">
        <f ca="1">IFERROR(__xludf.DUMMYFUNCTION("""COMPUTED_VALUE"""),"600")</f>
        <v>600</v>
      </c>
      <c r="P723" s="3" t="str">
        <f ca="1">IFERROR(__xludf.DUMMYFUNCTION("""COMPUTED_VALUE"""),"800")</f>
        <v>800</v>
      </c>
      <c r="Q723" s="3" t="str">
        <f ca="1">IFERROR(__xludf.DUMMYFUNCTION("""COMPUTED_VALUE"""),"300x250 nebo 600x800")</f>
        <v>300x250 nebo 600x800</v>
      </c>
      <c r="R723" s="3"/>
      <c r="S723" s="3" t="str">
        <f ca="1">IFERROR(__xludf.DUMMYFUNCTION("""COMPUTED_VALUE"""),"100")</f>
        <v>100</v>
      </c>
      <c r="T723" s="3"/>
      <c r="U723" s="3" t="str">
        <f ca="1">IFERROR(__xludf.DUMMYFUNCTION("""COMPUTED_VALUE"""),"banner standard")</f>
        <v>banner standard</v>
      </c>
      <c r="V723" s="3"/>
      <c r="W723" s="4" t="str">
        <f ca="1">IFERROR(__xludf.DUMMYFUNCTION("""COMPUTED_VALUE"""),"https://reklama.cncenter.cz/Online/mobilni-vineta")</f>
        <v>https://reklama.cncenter.cz/Online/mobilni-vineta</v>
      </c>
      <c r="X723" s="3"/>
      <c r="Y723" s="3"/>
      <c r="Z723" s="3" t="str">
        <f ca="1">IFERROR(__xludf.DUMMYFUNCTION("""COMPUTED_VALUE"""),"podklady@cncenter.cz")</f>
        <v>podklady@cncenter.cz</v>
      </c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 t="str">
        <f ca="1">IFERROR(__xludf.DUMMYFUNCTION("""COMPUTED_VALUE"""),"mobile")</f>
        <v>mobile</v>
      </c>
      <c r="AO723" s="3"/>
      <c r="AP723" s="3"/>
      <c r="AQ723" s="3"/>
      <c r="AR723" s="3"/>
      <c r="AS723" s="3"/>
      <c r="AT723" s="3"/>
      <c r="AU723" s="3" t="str">
        <f ca="1">IFERROR(__xludf.DUMMYFUNCTION("""COMPUTED_VALUE"""),"mobilní viněta")</f>
        <v>mobilní viněta</v>
      </c>
    </row>
    <row r="724" spans="1:47" x14ac:dyDescent="0.3">
      <c r="A724" s="3">
        <f ca="1"/>
        <v>2346826</v>
      </c>
      <c r="B724" s="3" t="str">
        <f ca="1"/>
        <v>CZECH NEWS CENTER a. s.</v>
      </c>
      <c r="C724" s="3" t="str">
        <f ca="1">IFERROR(__xludf.DUMMYFUNCTION("""COMPUTED_VALUE"""),"Lidé a země")</f>
        <v>Lidé a země</v>
      </c>
      <c r="D724" s="4" t="str">
        <f ca="1">IFERROR(__xludf.DUMMYFUNCTION("""COMPUTED_VALUE"""),"https://lideazeme.cz")</f>
        <v>https://lideazeme.cz</v>
      </c>
      <c r="E724" s="3" t="str">
        <f ca="1">IFERROR(__xludf.DUMMYFUNCTION("""COMPUTED_VALUE"""),"celý web")</f>
        <v>celý web</v>
      </c>
      <c r="F724" s="4" t="str">
        <f ca="1">IFERROR(__xludf.DUMMYFUNCTION("""COMPUTED_VALUE"""),"https://lideazeme.cz")</f>
        <v>https://lideazeme.cz</v>
      </c>
      <c r="G724" s="3" t="str">
        <f ca="1">IFERROR(__xludf.DUMMYFUNCTION("""COMPUTED_VALUE"""),"Native Standard mid season")</f>
        <v>Native Standard mid season</v>
      </c>
      <c r="H724" s="3">
        <f ca="1">IFERROR(__xludf.DUMMYFUNCTION("""COMPUTED_VALUE"""),1)</f>
        <v>1</v>
      </c>
      <c r="I724" s="5">
        <f ca="1">IFERROR(__xludf.DUMMYFUNCTION("""COMPUTED_VALUE"""),1)</f>
        <v>1</v>
      </c>
      <c r="J724" s="5">
        <f ca="1">IFERROR(__xludf.DUMMYFUNCTION("""COMPUTED_VALUE"""),330000)</f>
        <v>330000</v>
      </c>
      <c r="K724" s="3"/>
      <c r="L724" s="3" t="str">
        <f ca="1">IFERROR(__xludf.DUMMYFUNCTION("""COMPUTED_VALUE"""),"Cost per instance")</f>
        <v>Cost per instance</v>
      </c>
      <c r="M724" s="3"/>
      <c r="N724" s="3"/>
      <c r="O724" s="3"/>
      <c r="P724" s="3"/>
      <c r="Q724" s="3"/>
      <c r="R724" s="3"/>
      <c r="S724" s="3" t="str">
        <f ca="1">IFERROR(__xludf.DUMMYFUNCTION("""COMPUTED_VALUE"""),"100")</f>
        <v>100</v>
      </c>
      <c r="T724" s="3"/>
      <c r="U724" s="3" t="str">
        <f ca="1">IFERROR(__xludf.DUMMYFUNCTION("""COMPUTED_VALUE"""),"microsite")</f>
        <v>microsite</v>
      </c>
      <c r="V724" s="3"/>
      <c r="W724" s="3"/>
      <c r="X724" s="3"/>
      <c r="Y724" s="3"/>
      <c r="Z724" s="3" t="str">
        <f ca="1">IFERROR(__xludf.DUMMYFUNCTION("""COMPUTED_VALUE"""),"podklady@cncenter.cz")</f>
        <v>podklady@cncenter.cz</v>
      </c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 t="str">
        <f ca="1">IFERROR(__xludf.DUMMYFUNCTION("""COMPUTED_VALUE"""),"cross-device")</f>
        <v>cross-device</v>
      </c>
      <c r="AO724" s="3"/>
      <c r="AP724" s="3"/>
      <c r="AQ724" s="3"/>
      <c r="AR724" s="3"/>
      <c r="AS724" s="3"/>
      <c r="AT724" s="3"/>
      <c r="AU724" s="3" t="str">
        <f ca="1">IFERROR(__xludf.DUMMYFUNCTION("""COMPUTED_VALUE"""),"Native Standard")</f>
        <v>Native Standard</v>
      </c>
    </row>
    <row r="725" spans="1:47" x14ac:dyDescent="0.3">
      <c r="A725" s="3">
        <f ca="1"/>
        <v>2346826</v>
      </c>
      <c r="B725" s="3" t="str">
        <f ca="1"/>
        <v>CZECH NEWS CENTER a. s.</v>
      </c>
      <c r="C725" s="3" t="str">
        <f ca="1">IFERROR(__xludf.DUMMYFUNCTION("""COMPUTED_VALUE"""),"Lidé a Země")</f>
        <v>Lidé a Země</v>
      </c>
      <c r="D725" s="4" t="str">
        <f ca="1">IFERROR(__xludf.DUMMYFUNCTION("""COMPUTED_VALUE"""),"https://lideazeme.cz")</f>
        <v>https://lideazeme.cz</v>
      </c>
      <c r="E725" s="3" t="str">
        <f ca="1">IFERROR(__xludf.DUMMYFUNCTION("""COMPUTED_VALUE"""),"celý web")</f>
        <v>celý web</v>
      </c>
      <c r="F725" s="4" t="str">
        <f ca="1">IFERROR(__xludf.DUMMYFUNCTION("""COMPUTED_VALUE"""),"https://lideazeme.cz")</f>
        <v>https://lideazeme.cz</v>
      </c>
      <c r="G725" s="3" t="str">
        <f ca="1">IFERROR(__xludf.DUMMYFUNCTION("""COMPUTED_VALUE"""),"nativní rectangle cross-device mid season")</f>
        <v>nativní rectangle cross-device mid season</v>
      </c>
      <c r="H725" s="3">
        <f ca="1">IFERROR(__xludf.DUMMYFUNCTION("""COMPUTED_VALUE"""),7)</f>
        <v>7</v>
      </c>
      <c r="I725" s="5">
        <f ca="1">IFERROR(__xludf.DUMMYFUNCTION("""COMPUTED_VALUE"""),1000)</f>
        <v>1000</v>
      </c>
      <c r="J725" s="5">
        <f ca="1">IFERROR(__xludf.DUMMYFUNCTION("""COMPUTED_VALUE"""),280)</f>
        <v>280</v>
      </c>
      <c r="K725" s="3"/>
      <c r="L725" s="3" t="str">
        <f ca="1">IFERROR(__xludf.DUMMYFUNCTION("""COMPUTED_VALUE"""),"Cost per period")</f>
        <v>Cost per period</v>
      </c>
      <c r="M725" s="3"/>
      <c r="N725" s="3"/>
      <c r="O725" s="3" t="str">
        <f ca="1">IFERROR(__xludf.DUMMYFUNCTION("""COMPUTED_VALUE"""),"640")</f>
        <v>640</v>
      </c>
      <c r="P725" s="3" t="str">
        <f ca="1">IFERROR(__xludf.DUMMYFUNCTION("""COMPUTED_VALUE"""),"335, 640")</f>
        <v>335, 640</v>
      </c>
      <c r="Q725" s="3" t="str">
        <f ca="1">IFERROR(__xludf.DUMMYFUNCTION("""COMPUTED_VALUE"""),"640x640 a 640x335 + text + logo")</f>
        <v>640x640 a 640x335 + text + logo</v>
      </c>
      <c r="R725" s="3"/>
      <c r="S725" s="3" t="str">
        <f ca="1">IFERROR(__xludf.DUMMYFUNCTION("""COMPUTED_VALUE"""),"45")</f>
        <v>45</v>
      </c>
      <c r="T725" s="3"/>
      <c r="U725" s="3" t="str">
        <f ca="1">IFERROR(__xludf.DUMMYFUNCTION("""COMPUTED_VALUE"""),"nativní reklama")</f>
        <v>nativní reklama</v>
      </c>
      <c r="V725" s="3"/>
      <c r="W725" s="4" t="str">
        <f ca="1">IFERROR(__xludf.DUMMYFUNCTION("""COMPUTED_VALUE"""),"https://reklama.cncenter.cz/Online/nativni-rectangle-cross-device")</f>
        <v>https://reklama.cncenter.cz/Online/nativni-rectangle-cross-device</v>
      </c>
      <c r="X725" s="3"/>
      <c r="Y725" s="3"/>
      <c r="Z725" s="3" t="str">
        <f ca="1">IFERROR(__xludf.DUMMYFUNCTION("""COMPUTED_VALUE"""),"podklady@cncenter.cz")</f>
        <v>podklady@cncenter.cz</v>
      </c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 t="str">
        <f ca="1">IFERROR(__xludf.DUMMYFUNCTION("""COMPUTED_VALUE"""),"cross-device")</f>
        <v>cross-device</v>
      </c>
      <c r="AO725" s="3"/>
      <c r="AP725" s="3"/>
      <c r="AQ725" s="3"/>
      <c r="AR725" s="3"/>
      <c r="AS725" s="3"/>
      <c r="AT725" s="3"/>
      <c r="AU725" s="3" t="str">
        <f ca="1">IFERROR(__xludf.DUMMYFUNCTION("""COMPUTED_VALUE"""),"nativní rectangle cross-device")</f>
        <v>nativní rectangle cross-device</v>
      </c>
    </row>
    <row r="726" spans="1:47" x14ac:dyDescent="0.3">
      <c r="A726" s="3">
        <f ca="1"/>
        <v>2346826</v>
      </c>
      <c r="B726" s="3" t="str">
        <f ca="1"/>
        <v>CZECH NEWS CENTER a. s.</v>
      </c>
      <c r="C726" s="3" t="str">
        <f ca="1">IFERROR(__xludf.DUMMYFUNCTION("""COMPUTED_VALUE"""),"Lidé a Země")</f>
        <v>Lidé a Země</v>
      </c>
      <c r="D726" s="4" t="str">
        <f ca="1">IFERROR(__xludf.DUMMYFUNCTION("""COMPUTED_VALUE"""),"https://lideazeme.cz")</f>
        <v>https://lideazeme.cz</v>
      </c>
      <c r="E726" s="3" t="str">
        <f ca="1">IFERROR(__xludf.DUMMYFUNCTION("""COMPUTED_VALUE"""),"celý web")</f>
        <v>celý web</v>
      </c>
      <c r="F726" s="4" t="str">
        <f ca="1">IFERROR(__xludf.DUMMYFUNCTION("""COMPUTED_VALUE"""),"https://lideazeme.cz")</f>
        <v>https://lideazeme.cz</v>
      </c>
      <c r="G726" s="3" t="str">
        <f ca="1">IFERROR(__xludf.DUMMYFUNCTION("""COMPUTED_VALUE"""),"outstream mid season")</f>
        <v>outstream mid season</v>
      </c>
      <c r="H726" s="3">
        <f ca="1">IFERROR(__xludf.DUMMYFUNCTION("""COMPUTED_VALUE"""),7)</f>
        <v>7</v>
      </c>
      <c r="I726" s="5">
        <f ca="1">IFERROR(__xludf.DUMMYFUNCTION("""COMPUTED_VALUE"""),1000)</f>
        <v>1000</v>
      </c>
      <c r="J726" s="5">
        <f ca="1">IFERROR(__xludf.DUMMYFUNCTION("""COMPUTED_VALUE"""),350)</f>
        <v>350</v>
      </c>
      <c r="K726" s="3"/>
      <c r="L726" s="3" t="str">
        <f ca="1">IFERROR(__xludf.DUMMYFUNCTION("""COMPUTED_VALUE"""),"Cost per period")</f>
        <v>Cost per period</v>
      </c>
      <c r="M726" s="3"/>
      <c r="N726" s="3"/>
      <c r="O726" s="3" t="str">
        <f ca="1">IFERROR(__xludf.DUMMYFUNCTION("""COMPUTED_VALUE"""),"1280")</f>
        <v>1280</v>
      </c>
      <c r="P726" s="3" t="str">
        <f ca="1">IFERROR(__xludf.DUMMYFUNCTION("""COMPUTED_VALUE"""),"720")</f>
        <v>720</v>
      </c>
      <c r="Q726" s="3" t="str">
        <f ca="1">IFERROR(__xludf.DUMMYFUNCTION("""COMPUTED_VALUE"""),"16:9")</f>
        <v>16:9</v>
      </c>
      <c r="R726" s="3"/>
      <c r="S726" s="3" t="str">
        <f ca="1">IFERROR(__xludf.DUMMYFUNCTION("""COMPUTED_VALUE"""),"100")</f>
        <v>100</v>
      </c>
      <c r="T726" s="3"/>
      <c r="U726" s="3" t="str">
        <f ca="1">IFERROR(__xludf.DUMMYFUNCTION("""COMPUTED_VALUE"""),"videospot")</f>
        <v>videospot</v>
      </c>
      <c r="V726" s="3"/>
      <c r="W726" s="4" t="str">
        <f ca="1">IFERROR(__xludf.DUMMYFUNCTION("""COMPUTED_VALUE"""),"https://reklama.cncenter.cz/Online/Outstream")</f>
        <v>https://reklama.cncenter.cz/Online/Outstream</v>
      </c>
      <c r="X726" s="3"/>
      <c r="Y726" s="3"/>
      <c r="Z726" s="3" t="str">
        <f ca="1">IFERROR(__xludf.DUMMYFUNCTION("""COMPUTED_VALUE"""),"podklady@cncenter.cz")</f>
        <v>podklady@cncenter.cz</v>
      </c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 t="str">
        <f ca="1">IFERROR(__xludf.DUMMYFUNCTION("""COMPUTED_VALUE"""),"cross-device")</f>
        <v>cross-device</v>
      </c>
      <c r="AO726" s="3"/>
      <c r="AP726" s="3"/>
      <c r="AQ726" s="3"/>
      <c r="AR726" s="3"/>
      <c r="AS726" s="3"/>
      <c r="AT726" s="3"/>
      <c r="AU726" s="3" t="str">
        <f ca="1">IFERROR(__xludf.DUMMYFUNCTION("""COMPUTED_VALUE"""),"outstream")</f>
        <v>outstream</v>
      </c>
    </row>
    <row r="727" spans="1:47" x14ac:dyDescent="0.3">
      <c r="A727" s="3">
        <f ca="1"/>
        <v>2346826</v>
      </c>
      <c r="B727" s="3" t="str">
        <f ca="1"/>
        <v>CZECH NEWS CENTER a. s.</v>
      </c>
      <c r="C727" s="3" t="str">
        <f ca="1">IFERROR(__xludf.DUMMYFUNCTION("""COMPUTED_VALUE"""),"Lidé a země")</f>
        <v>Lidé a země</v>
      </c>
      <c r="D727" s="4" t="str">
        <f ca="1">IFERROR(__xludf.DUMMYFUNCTION("""COMPUTED_VALUE"""),"https://lideazeme.cz")</f>
        <v>https://lideazeme.cz</v>
      </c>
      <c r="E727" s="3" t="str">
        <f ca="1">IFERROR(__xludf.DUMMYFUNCTION("""COMPUTED_VALUE"""),"celý web")</f>
        <v>celý web</v>
      </c>
      <c r="F727" s="4" t="str">
        <f ca="1">IFERROR(__xludf.DUMMYFUNCTION("""COMPUTED_VALUE"""),"https://lideazeme.cz")</f>
        <v>https://lideazeme.cz</v>
      </c>
      <c r="G727" s="3" t="str">
        <f ca="1">IFERROR(__xludf.DUMMYFUNCTION("""COMPUTED_VALUE"""),"PR článek mid season")</f>
        <v>PR článek mid season</v>
      </c>
      <c r="H727" s="3">
        <f ca="1">IFERROR(__xludf.DUMMYFUNCTION("""COMPUTED_VALUE"""),1)</f>
        <v>1</v>
      </c>
      <c r="I727" s="5">
        <f ca="1">IFERROR(__xludf.DUMMYFUNCTION("""COMPUTED_VALUE"""),1)</f>
        <v>1</v>
      </c>
      <c r="J727" s="5">
        <f ca="1">IFERROR(__xludf.DUMMYFUNCTION("""COMPUTED_VALUE"""),20000)</f>
        <v>20000</v>
      </c>
      <c r="K727" s="3"/>
      <c r="L727" s="3" t="str">
        <f ca="1">IFERROR(__xludf.DUMMYFUNCTION("""COMPUTED_VALUE"""),"Cost per instance")</f>
        <v>Cost per instance</v>
      </c>
      <c r="M727" s="3"/>
      <c r="N727" s="3"/>
      <c r="O727" s="3"/>
      <c r="P727" s="3"/>
      <c r="Q727" s="3"/>
      <c r="R727" s="3"/>
      <c r="S727" s="3" t="str">
        <f ca="1">IFERROR(__xludf.DUMMYFUNCTION("""COMPUTED_VALUE"""),"100")</f>
        <v>100</v>
      </c>
      <c r="T727" s="3"/>
      <c r="U727" s="3" t="str">
        <f ca="1">IFERROR(__xludf.DUMMYFUNCTION("""COMPUTED_VALUE"""),"pr článek")</f>
        <v>pr článek</v>
      </c>
      <c r="V727" s="3"/>
      <c r="W727" s="4" t="str">
        <f ca="1">IFERROR(__xludf.DUMMYFUNCTION("""COMPUTED_VALUE"""),"https://reklama.cncenter.cz/?ads=PR%2520%25C4%258Dl%25C3%25A1nky")</f>
        <v>https://reklama.cncenter.cz/?ads=PR%2520%25C4%258Dl%25C3%25A1nky</v>
      </c>
      <c r="X727" s="3"/>
      <c r="Y727" s="3"/>
      <c r="Z727" s="3" t="str">
        <f ca="1">IFERROR(__xludf.DUMMYFUNCTION("""COMPUTED_VALUE"""),"podklady@cncenter.cz")</f>
        <v>podklady@cncenter.cz</v>
      </c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 t="str">
        <f ca="1">IFERROR(__xludf.DUMMYFUNCTION("""COMPUTED_VALUE"""),"cross-device")</f>
        <v>cross-device</v>
      </c>
      <c r="AO727" s="3"/>
      <c r="AP727" s="3"/>
      <c r="AQ727" s="3"/>
      <c r="AR727" s="3"/>
      <c r="AS727" s="3"/>
      <c r="AT727" s="3"/>
      <c r="AU727" s="3" t="str">
        <f ca="1">IFERROR(__xludf.DUMMYFUNCTION("""COMPUTED_VALUE"""),"PR článek")</f>
        <v>PR článek</v>
      </c>
    </row>
    <row r="728" spans="1:47" x14ac:dyDescent="0.3">
      <c r="A728" s="3">
        <f ca="1"/>
        <v>2346826</v>
      </c>
      <c r="B728" s="3" t="str">
        <f ca="1"/>
        <v>CZECH NEWS CENTER a. s.</v>
      </c>
      <c r="C728" s="3" t="str">
        <f ca="1">IFERROR(__xludf.DUMMYFUNCTION("""COMPUTED_VALUE"""),"Lidé a země")</f>
        <v>Lidé a země</v>
      </c>
      <c r="D728" s="4" t="str">
        <f ca="1">IFERROR(__xludf.DUMMYFUNCTION("""COMPUTED_VALUE"""),"https://lideazeme.cz")</f>
        <v>https://lideazeme.cz</v>
      </c>
      <c r="E728" s="3" t="str">
        <f ca="1">IFERROR(__xludf.DUMMYFUNCTION("""COMPUTED_VALUE"""),"celý web")</f>
        <v>celý web</v>
      </c>
      <c r="F728" s="4" t="str">
        <f ca="1">IFERROR(__xludf.DUMMYFUNCTION("""COMPUTED_VALUE"""),"https://lideazeme.cz")</f>
        <v>https://lideazeme.cz</v>
      </c>
      <c r="G728" s="3" t="str">
        <f ca="1">IFERROR(__xludf.DUMMYFUNCTION("""COMPUTED_VALUE"""),"Prodloužení existující microsite, bez úprav mid season")</f>
        <v>Prodloužení existující microsite, bez úprav mid season</v>
      </c>
      <c r="H728" s="3">
        <f ca="1">IFERROR(__xludf.DUMMYFUNCTION("""COMPUTED_VALUE"""),1)</f>
        <v>1</v>
      </c>
      <c r="I728" s="5">
        <f ca="1">IFERROR(__xludf.DUMMYFUNCTION("""COMPUTED_VALUE"""),1)</f>
        <v>1</v>
      </c>
      <c r="J728" s="5">
        <f ca="1">IFERROR(__xludf.DUMMYFUNCTION("""COMPUTED_VALUE"""),15000)</f>
        <v>15000</v>
      </c>
      <c r="K728" s="3"/>
      <c r="L728" s="3" t="str">
        <f ca="1">IFERROR(__xludf.DUMMYFUNCTION("""COMPUTED_VALUE"""),"Cost per instance")</f>
        <v>Cost per instance</v>
      </c>
      <c r="M728" s="3"/>
      <c r="N728" s="3"/>
      <c r="O728" s="3"/>
      <c r="P728" s="3"/>
      <c r="Q728" s="3"/>
      <c r="R728" s="3"/>
      <c r="S728" s="3" t="str">
        <f ca="1">IFERROR(__xludf.DUMMYFUNCTION("""COMPUTED_VALUE"""),"100")</f>
        <v>100</v>
      </c>
      <c r="T728" s="3"/>
      <c r="U728" s="3" t="str">
        <f ca="1">IFERROR(__xludf.DUMMYFUNCTION("""COMPUTED_VALUE"""),"microsite")</f>
        <v>microsite</v>
      </c>
      <c r="V728" s="3"/>
      <c r="W728" s="3"/>
      <c r="X728" s="3"/>
      <c r="Y728" s="3"/>
      <c r="Z728" s="3" t="str">
        <f ca="1">IFERROR(__xludf.DUMMYFUNCTION("""COMPUTED_VALUE"""),"podklady@cncenter.cz")</f>
        <v>podklady@cncenter.cz</v>
      </c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 t="str">
        <f ca="1">IFERROR(__xludf.DUMMYFUNCTION("""COMPUTED_VALUE"""),"cross-device")</f>
        <v>cross-device</v>
      </c>
      <c r="AO728" s="3"/>
      <c r="AP728" s="3"/>
      <c r="AQ728" s="3"/>
      <c r="AR728" s="3"/>
      <c r="AS728" s="3"/>
      <c r="AT728" s="3"/>
      <c r="AU728" s="3" t="str">
        <f ca="1">IFERROR(__xludf.DUMMYFUNCTION("""COMPUTED_VALUE"""),"Prodloužení existující microsite, bez úprav")</f>
        <v>Prodloužení existující microsite, bez úprav</v>
      </c>
    </row>
    <row r="729" spans="1:47" x14ac:dyDescent="0.3">
      <c r="A729" s="3">
        <f ca="1"/>
        <v>2346826</v>
      </c>
      <c r="B729" s="3" t="str">
        <f ca="1"/>
        <v>CZECH NEWS CENTER a. s.</v>
      </c>
      <c r="C729" s="3" t="str">
        <f ca="1">IFERROR(__xludf.DUMMYFUNCTION("""COMPUTED_VALUE"""),"Lidé a země")</f>
        <v>Lidé a země</v>
      </c>
      <c r="D729" s="4" t="str">
        <f ca="1">IFERROR(__xludf.DUMMYFUNCTION("""COMPUTED_VALUE"""),"https://lideazeme.cz")</f>
        <v>https://lideazeme.cz</v>
      </c>
      <c r="E729" s="3" t="str">
        <f ca="1">IFERROR(__xludf.DUMMYFUNCTION("""COMPUTED_VALUE"""),"celý web")</f>
        <v>celý web</v>
      </c>
      <c r="F729" s="4" t="str">
        <f ca="1">IFERROR(__xludf.DUMMYFUNCTION("""COMPUTED_VALUE"""),"https://lideazeme.cz")</f>
        <v>https://lideazeme.cz</v>
      </c>
      <c r="G729" s="3" t="str">
        <f ca="1">IFERROR(__xludf.DUMMYFUNCTION("""COMPUTED_VALUE"""),"Prodloužení existující microsite, bez úprav mid season")</f>
        <v>Prodloužení existující microsite, bez úprav mid season</v>
      </c>
      <c r="H729" s="3">
        <f ca="1">IFERROR(__xludf.DUMMYFUNCTION("""COMPUTED_VALUE"""),1)</f>
        <v>1</v>
      </c>
      <c r="I729" s="5">
        <f ca="1">IFERROR(__xludf.DUMMYFUNCTION("""COMPUTED_VALUE"""),1)</f>
        <v>1</v>
      </c>
      <c r="J729" s="5">
        <f ca="1">IFERROR(__xludf.DUMMYFUNCTION("""COMPUTED_VALUE"""),15000)</f>
        <v>15000</v>
      </c>
      <c r="K729" s="3"/>
      <c r="L729" s="3" t="str">
        <f ca="1">IFERROR(__xludf.DUMMYFUNCTION("""COMPUTED_VALUE"""),"Cost per instance")</f>
        <v>Cost per instance</v>
      </c>
      <c r="M729" s="3"/>
      <c r="N729" s="3"/>
      <c r="O729" s="3"/>
      <c r="P729" s="3"/>
      <c r="Q729" s="3"/>
      <c r="R729" s="3"/>
      <c r="S729" s="3" t="str">
        <f ca="1">IFERROR(__xludf.DUMMYFUNCTION("""COMPUTED_VALUE"""),"100")</f>
        <v>100</v>
      </c>
      <c r="T729" s="3"/>
      <c r="U729" s="3" t="str">
        <f ca="1">IFERROR(__xludf.DUMMYFUNCTION("""COMPUTED_VALUE"""),"microsite")</f>
        <v>microsite</v>
      </c>
      <c r="V729" s="3"/>
      <c r="W729" s="3"/>
      <c r="X729" s="3"/>
      <c r="Y729" s="3"/>
      <c r="Z729" s="3" t="str">
        <f ca="1">IFERROR(__xludf.DUMMYFUNCTION("""COMPUTED_VALUE"""),"podklady@cncenter.cz")</f>
        <v>podklady@cncenter.cz</v>
      </c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 t="str">
        <f ca="1">IFERROR(__xludf.DUMMYFUNCTION("""COMPUTED_VALUE"""),"cross-device")</f>
        <v>cross-device</v>
      </c>
      <c r="AO729" s="3"/>
      <c r="AP729" s="3"/>
      <c r="AQ729" s="3"/>
      <c r="AR729" s="3"/>
      <c r="AS729" s="3"/>
      <c r="AT729" s="3"/>
      <c r="AU729" s="3" t="str">
        <f ca="1">IFERROR(__xludf.DUMMYFUNCTION("""COMPUTED_VALUE"""),"Prodloužení existující microsite, bez úprav")</f>
        <v>Prodloužení existující microsite, bez úprav</v>
      </c>
    </row>
    <row r="730" spans="1:47" x14ac:dyDescent="0.3">
      <c r="A730" s="3">
        <f ca="1"/>
        <v>2346826</v>
      </c>
      <c r="B730" s="3" t="str">
        <f ca="1"/>
        <v>CZECH NEWS CENTER a. s.</v>
      </c>
      <c r="C730" s="3" t="str">
        <f ca="1">IFERROR(__xludf.DUMMYFUNCTION("""COMPUTED_VALUE"""),"Lidé a země")</f>
        <v>Lidé a země</v>
      </c>
      <c r="D730" s="4" t="str">
        <f ca="1">IFERROR(__xludf.DUMMYFUNCTION("""COMPUTED_VALUE"""),"https://lideazeme.cz")</f>
        <v>https://lideazeme.cz</v>
      </c>
      <c r="E730" s="3" t="str">
        <f ca="1">IFERROR(__xludf.DUMMYFUNCTION("""COMPUTED_VALUE"""),"celý web")</f>
        <v>celý web</v>
      </c>
      <c r="F730" s="4" t="str">
        <f ca="1">IFERROR(__xludf.DUMMYFUNCTION("""COMPUTED_VALUE"""),"https://lideazeme.cz")</f>
        <v>https://lideazeme.cz</v>
      </c>
      <c r="G730" s="3" t="str">
        <f ca="1">IFERROR(__xludf.DUMMYFUNCTION("""COMPUTED_VALUE"""),"Prodloužení existující microsite, bez úprav mid season")</f>
        <v>Prodloužení existující microsite, bez úprav mid season</v>
      </c>
      <c r="H730" s="3">
        <f ca="1">IFERROR(__xludf.DUMMYFUNCTION("""COMPUTED_VALUE"""),1)</f>
        <v>1</v>
      </c>
      <c r="I730" s="5">
        <f ca="1">IFERROR(__xludf.DUMMYFUNCTION("""COMPUTED_VALUE"""),1)</f>
        <v>1</v>
      </c>
      <c r="J730" s="5">
        <f ca="1">IFERROR(__xludf.DUMMYFUNCTION("""COMPUTED_VALUE"""),15000)</f>
        <v>15000</v>
      </c>
      <c r="K730" s="3"/>
      <c r="L730" s="3" t="str">
        <f ca="1">IFERROR(__xludf.DUMMYFUNCTION("""COMPUTED_VALUE"""),"Cost per instance")</f>
        <v>Cost per instance</v>
      </c>
      <c r="M730" s="3"/>
      <c r="N730" s="3"/>
      <c r="O730" s="3"/>
      <c r="P730" s="3"/>
      <c r="Q730" s="3"/>
      <c r="R730" s="3"/>
      <c r="S730" s="3" t="str">
        <f ca="1">IFERROR(__xludf.DUMMYFUNCTION("""COMPUTED_VALUE"""),"100")</f>
        <v>100</v>
      </c>
      <c r="T730" s="3"/>
      <c r="U730" s="3" t="str">
        <f ca="1">IFERROR(__xludf.DUMMYFUNCTION("""COMPUTED_VALUE"""),"microsite")</f>
        <v>microsite</v>
      </c>
      <c r="V730" s="3"/>
      <c r="W730" s="3"/>
      <c r="X730" s="3"/>
      <c r="Y730" s="3"/>
      <c r="Z730" s="3" t="str">
        <f ca="1">IFERROR(__xludf.DUMMYFUNCTION("""COMPUTED_VALUE"""),"podklady@cncenter.cz")</f>
        <v>podklady@cncenter.cz</v>
      </c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 t="str">
        <f ca="1">IFERROR(__xludf.DUMMYFUNCTION("""COMPUTED_VALUE"""),"cross-device")</f>
        <v>cross-device</v>
      </c>
      <c r="AO730" s="3"/>
      <c r="AP730" s="3"/>
      <c r="AQ730" s="3"/>
      <c r="AR730" s="3"/>
      <c r="AS730" s="3"/>
      <c r="AT730" s="3"/>
      <c r="AU730" s="3" t="str">
        <f ca="1">IFERROR(__xludf.DUMMYFUNCTION("""COMPUTED_VALUE"""),"Prodloužení existující microsite, bez úprav")</f>
        <v>Prodloužení existující microsite, bez úprav</v>
      </c>
    </row>
    <row r="731" spans="1:47" x14ac:dyDescent="0.3">
      <c r="A731" s="3">
        <f ca="1"/>
        <v>2346826</v>
      </c>
      <c r="B731" s="3" t="str">
        <f ca="1"/>
        <v>CZECH NEWS CENTER a. s.</v>
      </c>
      <c r="C731" s="3" t="str">
        <f ca="1">IFERROR(__xludf.DUMMYFUNCTION("""COMPUTED_VALUE"""),"Maminka")</f>
        <v>Maminka</v>
      </c>
      <c r="D731" s="4" t="str">
        <f ca="1">IFERROR(__xludf.DUMMYFUNCTION("""COMPUTED_VALUE"""),"https://maminka.cz")</f>
        <v>https://maminka.cz</v>
      </c>
      <c r="E731" s="3" t="str">
        <f ca="1">IFERROR(__xludf.DUMMYFUNCTION("""COMPUTED_VALUE"""),"celý web")</f>
        <v>celý web</v>
      </c>
      <c r="F731" s="4" t="str">
        <f ca="1">IFERROR(__xludf.DUMMYFUNCTION("""COMPUTED_VALUE"""),"https://maminka.cz")</f>
        <v>https://maminka.cz</v>
      </c>
      <c r="G731" s="3" t="str">
        <f ca="1">IFERROR(__xludf.DUMMYFUNCTION("""COMPUTED_VALUE"""),"Advertorial mid season")</f>
        <v>Advertorial mid season</v>
      </c>
      <c r="H731" s="3">
        <f ca="1">IFERROR(__xludf.DUMMYFUNCTION("""COMPUTED_VALUE"""),1)</f>
        <v>1</v>
      </c>
      <c r="I731" s="5">
        <f ca="1">IFERROR(__xludf.DUMMYFUNCTION("""COMPUTED_VALUE"""),1)</f>
        <v>1</v>
      </c>
      <c r="J731" s="5">
        <f ca="1">IFERROR(__xludf.DUMMYFUNCTION("""COMPUTED_VALUE"""),90000)</f>
        <v>90000</v>
      </c>
      <c r="K731" s="3"/>
      <c r="L731" s="3" t="str">
        <f ca="1">IFERROR(__xludf.DUMMYFUNCTION("""COMPUTED_VALUE"""),"Cost per instance")</f>
        <v>Cost per instance</v>
      </c>
      <c r="M731" s="3"/>
      <c r="N731" s="3"/>
      <c r="O731" s="3"/>
      <c r="P731" s="3"/>
      <c r="Q731" s="3"/>
      <c r="R731" s="3"/>
      <c r="S731" s="3" t="str">
        <f ca="1">IFERROR(__xludf.DUMMYFUNCTION("""COMPUTED_VALUE"""),"100")</f>
        <v>100</v>
      </c>
      <c r="T731" s="3"/>
      <c r="U731" s="3" t="str">
        <f ca="1">IFERROR(__xludf.DUMMYFUNCTION("""COMPUTED_VALUE"""),"pr článek")</f>
        <v>pr článek</v>
      </c>
      <c r="V731" s="3"/>
      <c r="W731" s="3"/>
      <c r="X731" s="3"/>
      <c r="Y731" s="3"/>
      <c r="Z731" s="3" t="str">
        <f ca="1">IFERROR(__xludf.DUMMYFUNCTION("""COMPUTED_VALUE"""),"podklady@cncenter.cz")</f>
        <v>podklady@cncenter.cz</v>
      </c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 t="str">
        <f ca="1">IFERROR(__xludf.DUMMYFUNCTION("""COMPUTED_VALUE"""),"cross-device")</f>
        <v>cross-device</v>
      </c>
      <c r="AO731" s="3"/>
      <c r="AP731" s="3"/>
      <c r="AQ731" s="3"/>
      <c r="AR731" s="3"/>
      <c r="AS731" s="3"/>
      <c r="AT731" s="3"/>
      <c r="AU731" s="3" t="str">
        <f ca="1">IFERROR(__xludf.DUMMYFUNCTION("""COMPUTED_VALUE"""),"Advertorial")</f>
        <v>Advertorial</v>
      </c>
    </row>
    <row r="732" spans="1:47" x14ac:dyDescent="0.3">
      <c r="A732" s="3">
        <f ca="1"/>
        <v>2346826</v>
      </c>
      <c r="B732" s="3" t="str">
        <f ca="1"/>
        <v>CZECH NEWS CENTER a. s.</v>
      </c>
      <c r="C732" s="3" t="str">
        <f ca="1">IFERROR(__xludf.DUMMYFUNCTION("""COMPUTED_VALUE"""),"Maminka")</f>
        <v>Maminka</v>
      </c>
      <c r="D732" s="4" t="str">
        <f ca="1">IFERROR(__xludf.DUMMYFUNCTION("""COMPUTED_VALUE"""),"https://maminka.cz")</f>
        <v>https://maminka.cz</v>
      </c>
      <c r="E732" s="3" t="str">
        <f ca="1">IFERROR(__xludf.DUMMYFUNCTION("""COMPUTED_VALUE"""),"celý web")</f>
        <v>celý web</v>
      </c>
      <c r="F732" s="4" t="str">
        <f ca="1">IFERROR(__xludf.DUMMYFUNCTION("""COMPUTED_VALUE"""),"https://maminka.cz")</f>
        <v>https://maminka.cz</v>
      </c>
      <c r="G732" s="3" t="str">
        <f ca="1">IFERROR(__xludf.DUMMYFUNCTION("""COMPUTED_VALUE"""),"billboard bottom mid season")</f>
        <v>billboard bottom mid season</v>
      </c>
      <c r="H732" s="3">
        <f ca="1">IFERROR(__xludf.DUMMYFUNCTION("""COMPUTED_VALUE"""),7)</f>
        <v>7</v>
      </c>
      <c r="I732" s="5">
        <f ca="1">IFERROR(__xludf.DUMMYFUNCTION("""COMPUTED_VALUE"""),1000)</f>
        <v>1000</v>
      </c>
      <c r="J732" s="5">
        <f ca="1">IFERROR(__xludf.DUMMYFUNCTION("""COMPUTED_VALUE"""),340)</f>
        <v>340</v>
      </c>
      <c r="K732" s="3"/>
      <c r="L732" s="3" t="str">
        <f ca="1">IFERROR(__xludf.DUMMYFUNCTION("""COMPUTED_VALUE"""),"Cost per period")</f>
        <v>Cost per period</v>
      </c>
      <c r="M732" s="3"/>
      <c r="N732" s="3"/>
      <c r="O732" s="3" t="str">
        <f ca="1">IFERROR(__xludf.DUMMYFUNCTION("""COMPUTED_VALUE"""),"970")</f>
        <v>970</v>
      </c>
      <c r="P732" s="3" t="str">
        <f ca="1">IFERROR(__xludf.DUMMYFUNCTION("""COMPUTED_VALUE"""),"250")</f>
        <v>250</v>
      </c>
      <c r="Q732" s="3" t="str">
        <f ca="1">IFERROR(__xludf.DUMMYFUNCTION("""COMPUTED_VALUE"""),"970x250")</f>
        <v>970x250</v>
      </c>
      <c r="R732" s="3"/>
      <c r="S732" s="3" t="str">
        <f ca="1">IFERROR(__xludf.DUMMYFUNCTION("""COMPUTED_VALUE"""),"100 (200 - HTML5)")</f>
        <v>100 (200 - HTML5)</v>
      </c>
      <c r="T732" s="3"/>
      <c r="U732" s="3" t="str">
        <f ca="1">IFERROR(__xludf.DUMMYFUNCTION("""COMPUTED_VALUE"""),"banner standard")</f>
        <v>banner standard</v>
      </c>
      <c r="V732" s="3"/>
      <c r="W732" s="4" t="str">
        <f ca="1">IFERROR(__xludf.DUMMYFUNCTION("""COMPUTED_VALUE"""),"https://reklama.cncenter.cz/Online/billboard-bottom")</f>
        <v>https://reklama.cncenter.cz/Online/billboard-bottom</v>
      </c>
      <c r="X732" s="3"/>
      <c r="Y732" s="3"/>
      <c r="Z732" s="3" t="str">
        <f ca="1">IFERROR(__xludf.DUMMYFUNCTION("""COMPUTED_VALUE"""),"podklady@cncenter.cz")</f>
        <v>podklady@cncenter.cz</v>
      </c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 t="str">
        <f ca="1">IFERROR(__xludf.DUMMYFUNCTION("""COMPUTED_VALUE"""),"desktop")</f>
        <v>desktop</v>
      </c>
      <c r="AO732" s="3"/>
      <c r="AP732" s="3"/>
      <c r="AQ732" s="3"/>
      <c r="AR732" s="3"/>
      <c r="AS732" s="3"/>
      <c r="AT732" s="3"/>
      <c r="AU732" s="3" t="str">
        <f ca="1">IFERROR(__xludf.DUMMYFUNCTION("""COMPUTED_VALUE"""),"billboard bottom")</f>
        <v>billboard bottom</v>
      </c>
    </row>
    <row r="733" spans="1:47" x14ac:dyDescent="0.3">
      <c r="A733" s="3">
        <f ca="1"/>
        <v>2346826</v>
      </c>
      <c r="B733" s="3" t="str">
        <f ca="1"/>
        <v>CZECH NEWS CENTER a. s.</v>
      </c>
      <c r="C733" s="3" t="str">
        <f ca="1">IFERROR(__xludf.DUMMYFUNCTION("""COMPUTED_VALUE"""),"Maminka")</f>
        <v>Maminka</v>
      </c>
      <c r="D733" s="4" t="str">
        <f ca="1">IFERROR(__xludf.DUMMYFUNCTION("""COMPUTED_VALUE"""),"https://maminka.cz")</f>
        <v>https://maminka.cz</v>
      </c>
      <c r="E733" s="3" t="str">
        <f ca="1">IFERROR(__xludf.DUMMYFUNCTION("""COMPUTED_VALUE"""),"celý web")</f>
        <v>celý web</v>
      </c>
      <c r="F733" s="4" t="str">
        <f ca="1">IFERROR(__xludf.DUMMYFUNCTION("""COMPUTED_VALUE"""),"https://maminka.cz")</f>
        <v>https://maminka.cz</v>
      </c>
      <c r="G733" s="3" t="str">
        <f ca="1">IFERROR(__xludf.DUMMYFUNCTION("""COMPUTED_VALUE"""),"branding cross-device mid season")</f>
        <v>branding cross-device mid season</v>
      </c>
      <c r="H733" s="3">
        <f ca="1">IFERROR(__xludf.DUMMYFUNCTION("""COMPUTED_VALUE"""),7)</f>
        <v>7</v>
      </c>
      <c r="I733" s="5">
        <f ca="1">IFERROR(__xludf.DUMMYFUNCTION("""COMPUTED_VALUE"""),1000)</f>
        <v>1000</v>
      </c>
      <c r="J733" s="5">
        <f ca="1">IFERROR(__xludf.DUMMYFUNCTION("""COMPUTED_VALUE"""),420)</f>
        <v>420</v>
      </c>
      <c r="K733" s="3"/>
      <c r="L733" s="3" t="str">
        <f ca="1">IFERROR(__xludf.DUMMYFUNCTION("""COMPUTED_VALUE"""),"Cost per period")</f>
        <v>Cost per period</v>
      </c>
      <c r="M733" s="3"/>
      <c r="N733" s="3"/>
      <c r="O733" s="3" t="str">
        <f ca="1">IFERROR(__xludf.DUMMYFUNCTION("""COMPUTED_VALUE"""),"2000")</f>
        <v>2000</v>
      </c>
      <c r="P733" s="3" t="str">
        <f ca="1">IFERROR(__xludf.DUMMYFUNCTION("""COMPUTED_VALUE"""),"1400")</f>
        <v>1400</v>
      </c>
      <c r="Q733" s="3" t="str">
        <f ca="1">IFERROR(__xludf.DUMMYFUNCTION("""COMPUTED_VALUE"""),"2000x1400 + 600x1080")</f>
        <v>2000x1400 + 600x1080</v>
      </c>
      <c r="R733" s="3"/>
      <c r="S733" s="3" t="str">
        <f ca="1">IFERROR(__xludf.DUMMYFUNCTION("""COMPUTED_VALUE"""),"500 (600 - HTLM5)")</f>
        <v>500 (600 - HTLM5)</v>
      </c>
      <c r="T733" s="3"/>
      <c r="U733" s="3" t="str">
        <f ca="1">IFERROR(__xludf.DUMMYFUNCTION("""COMPUTED_VALUE"""),"banner standard")</f>
        <v>banner standard</v>
      </c>
      <c r="V733" s="3"/>
      <c r="W733" s="4" t="str">
        <f ca="1">IFERROR(__xludf.DUMMYFUNCTION("""COMPUTED_VALUE"""),"https://reklama.cncenter.cz/Online/branding-cross-device")</f>
        <v>https://reklama.cncenter.cz/Online/branding-cross-device</v>
      </c>
      <c r="X733" s="3"/>
      <c r="Y733" s="3"/>
      <c r="Z733" s="3" t="str">
        <f ca="1">IFERROR(__xludf.DUMMYFUNCTION("""COMPUTED_VALUE"""),"podklady@cncenter.cz")</f>
        <v>podklady@cncenter.cz</v>
      </c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 t="str">
        <f ca="1">IFERROR(__xludf.DUMMYFUNCTION("""COMPUTED_VALUE"""),"cross-device")</f>
        <v>cross-device</v>
      </c>
      <c r="AO733" s="3"/>
      <c r="AP733" s="3"/>
      <c r="AQ733" s="3"/>
      <c r="AR733" s="3"/>
      <c r="AS733" s="3"/>
      <c r="AT733" s="3"/>
      <c r="AU733" s="3" t="str">
        <f ca="1">IFERROR(__xludf.DUMMYFUNCTION("""COMPUTED_VALUE"""),"branding cross-device")</f>
        <v>branding cross-device</v>
      </c>
    </row>
    <row r="734" spans="1:47" x14ac:dyDescent="0.3">
      <c r="A734" s="3">
        <f ca="1"/>
        <v>2346826</v>
      </c>
      <c r="B734" s="3" t="str">
        <f ca="1"/>
        <v>CZECH NEWS CENTER a. s.</v>
      </c>
      <c r="C734" s="3" t="str">
        <f ca="1">IFERROR(__xludf.DUMMYFUNCTION("""COMPUTED_VALUE"""),"Maminka")</f>
        <v>Maminka</v>
      </c>
      <c r="D734" s="4" t="str">
        <f ca="1">IFERROR(__xludf.DUMMYFUNCTION("""COMPUTED_VALUE"""),"https://maminka.cz")</f>
        <v>https://maminka.cz</v>
      </c>
      <c r="E734" s="3" t="str">
        <f ca="1">IFERROR(__xludf.DUMMYFUNCTION("""COMPUTED_VALUE"""),"celý web")</f>
        <v>celý web</v>
      </c>
      <c r="F734" s="4" t="str">
        <f ca="1">IFERROR(__xludf.DUMMYFUNCTION("""COMPUTED_VALUE"""),"https://maminka.cz")</f>
        <v>https://maminka.cz</v>
      </c>
      <c r="G734" s="3" t="str">
        <f ca="1">IFERROR(__xludf.DUMMYFUNCTION("""COMPUTED_VALUE"""),"branding mid season")</f>
        <v>branding mid season</v>
      </c>
      <c r="H734" s="3">
        <f ca="1">IFERROR(__xludf.DUMMYFUNCTION("""COMPUTED_VALUE"""),7)</f>
        <v>7</v>
      </c>
      <c r="I734" s="5">
        <f ca="1">IFERROR(__xludf.DUMMYFUNCTION("""COMPUTED_VALUE"""),1000)</f>
        <v>1000</v>
      </c>
      <c r="J734" s="5">
        <f ca="1">IFERROR(__xludf.DUMMYFUNCTION("""COMPUTED_VALUE"""),690)</f>
        <v>690</v>
      </c>
      <c r="K734" s="3"/>
      <c r="L734" s="3" t="str">
        <f ca="1">IFERROR(__xludf.DUMMYFUNCTION("""COMPUTED_VALUE"""),"Cost per period")</f>
        <v>Cost per period</v>
      </c>
      <c r="M734" s="3"/>
      <c r="N734" s="3"/>
      <c r="O734" s="3" t="str">
        <f ca="1">IFERROR(__xludf.DUMMYFUNCTION("""COMPUTED_VALUE"""),"2000")</f>
        <v>2000</v>
      </c>
      <c r="P734" s="3" t="str">
        <f ca="1">IFERROR(__xludf.DUMMYFUNCTION("""COMPUTED_VALUE"""),"1400")</f>
        <v>1400</v>
      </c>
      <c r="Q734" s="3" t="str">
        <f ca="1">IFERROR(__xludf.DUMMYFUNCTION("""COMPUTED_VALUE"""),"2000x1400")</f>
        <v>2000x1400</v>
      </c>
      <c r="R734" s="3"/>
      <c r="S734" s="3" t="str">
        <f ca="1">IFERROR(__xludf.DUMMYFUNCTION("""COMPUTED_VALUE"""),"500 + 200 (600+200 HTML5)")</f>
        <v>500 + 200 (600+200 HTML5)</v>
      </c>
      <c r="T734" s="3"/>
      <c r="U734" s="3" t="str">
        <f ca="1">IFERROR(__xludf.DUMMYFUNCTION("""COMPUTED_VALUE"""),"banner standard")</f>
        <v>banner standard</v>
      </c>
      <c r="V734" s="3"/>
      <c r="W734" s="4" t="str">
        <f ca="1">IFERROR(__xludf.DUMMYFUNCTION("""COMPUTED_VALUE"""),"https://reklama.cncenter.cz/Online/branding")</f>
        <v>https://reklama.cncenter.cz/Online/branding</v>
      </c>
      <c r="X734" s="3"/>
      <c r="Y734" s="3"/>
      <c r="Z734" s="3" t="str">
        <f ca="1">IFERROR(__xludf.DUMMYFUNCTION("""COMPUTED_VALUE"""),"podklady@cncenter.cz")</f>
        <v>podklady@cncenter.cz</v>
      </c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 t="str">
        <f ca="1">IFERROR(__xludf.DUMMYFUNCTION("""COMPUTED_VALUE"""),"desktop")</f>
        <v>desktop</v>
      </c>
      <c r="AO734" s="3"/>
      <c r="AP734" s="3"/>
      <c r="AQ734" s="3"/>
      <c r="AR734" s="3"/>
      <c r="AS734" s="3"/>
      <c r="AT734" s="3"/>
      <c r="AU734" s="3" t="str">
        <f ca="1">IFERROR(__xludf.DUMMYFUNCTION("""COMPUTED_VALUE"""),"branding")</f>
        <v>branding</v>
      </c>
    </row>
    <row r="735" spans="1:47" x14ac:dyDescent="0.3">
      <c r="A735" s="3">
        <f ca="1"/>
        <v>2346826</v>
      </c>
      <c r="B735" s="3" t="str">
        <f ca="1"/>
        <v>CZECH NEWS CENTER a. s.</v>
      </c>
      <c r="C735" s="3" t="str">
        <f ca="1">IFERROR(__xludf.DUMMYFUNCTION("""COMPUTED_VALUE"""),"Maminka")</f>
        <v>Maminka</v>
      </c>
      <c r="D735" s="4" t="str">
        <f ca="1">IFERROR(__xludf.DUMMYFUNCTION("""COMPUTED_VALUE"""),"https://maminka.cz")</f>
        <v>https://maminka.cz</v>
      </c>
      <c r="E735" s="3" t="str">
        <f ca="1">IFERROR(__xludf.DUMMYFUNCTION("""COMPUTED_VALUE"""),"celý web")</f>
        <v>celý web</v>
      </c>
      <c r="F735" s="4" t="str">
        <f ca="1">IFERROR(__xludf.DUMMYFUNCTION("""COMPUTED_VALUE"""),"https://maminka.cz")</f>
        <v>https://maminka.cz</v>
      </c>
      <c r="G735" s="3" t="str">
        <f ca="1">IFERROR(__xludf.DUMMYFUNCTION("""COMPUTED_VALUE"""),"cílený billboard bottom mid season")</f>
        <v>cílený billboard bottom mid season</v>
      </c>
      <c r="H735" s="3">
        <f ca="1">IFERROR(__xludf.DUMMYFUNCTION("""COMPUTED_VALUE"""),7)</f>
        <v>7</v>
      </c>
      <c r="I735" s="5">
        <f ca="1">IFERROR(__xludf.DUMMYFUNCTION("""COMPUTED_VALUE"""),1000)</f>
        <v>1000</v>
      </c>
      <c r="J735" s="5">
        <f ca="1">IFERROR(__xludf.DUMMYFUNCTION("""COMPUTED_VALUE"""),408)</f>
        <v>408</v>
      </c>
      <c r="K735" s="3"/>
      <c r="L735" s="3" t="str">
        <f ca="1">IFERROR(__xludf.DUMMYFUNCTION("""COMPUTED_VALUE"""),"Cost per period")</f>
        <v>Cost per period</v>
      </c>
      <c r="M735" s="3"/>
      <c r="N735" s="3"/>
      <c r="O735" s="3" t="str">
        <f ca="1">IFERROR(__xludf.DUMMYFUNCTION("""COMPUTED_VALUE"""),"970")</f>
        <v>970</v>
      </c>
      <c r="P735" s="3" t="str">
        <f ca="1">IFERROR(__xludf.DUMMYFUNCTION("""COMPUTED_VALUE"""),"250")</f>
        <v>250</v>
      </c>
      <c r="Q735" s="3" t="str">
        <f ca="1">IFERROR(__xludf.DUMMYFUNCTION("""COMPUTED_VALUE"""),"970x250")</f>
        <v>970x250</v>
      </c>
      <c r="R735" s="3"/>
      <c r="S735" s="3" t="str">
        <f ca="1">IFERROR(__xludf.DUMMYFUNCTION("""COMPUTED_VALUE"""),"100 (200 - HTML5)")</f>
        <v>100 (200 - HTML5)</v>
      </c>
      <c r="T735" s="3"/>
      <c r="U735" s="3" t="str">
        <f ca="1">IFERROR(__xludf.DUMMYFUNCTION("""COMPUTED_VALUE"""),"banner standard")</f>
        <v>banner standard</v>
      </c>
      <c r="V735" s="3"/>
      <c r="W735" s="4" t="str">
        <f ca="1">IFERROR(__xludf.DUMMYFUNCTION("""COMPUTED_VALUE"""),"https://reklama.cncenter.cz/Online/billboard-bottom")</f>
        <v>https://reklama.cncenter.cz/Online/billboard-bottom</v>
      </c>
      <c r="X735" s="3"/>
      <c r="Y735" s="3"/>
      <c r="Z735" s="3" t="str">
        <f ca="1">IFERROR(__xludf.DUMMYFUNCTION("""COMPUTED_VALUE"""),"podklady@cncenter.cz")</f>
        <v>podklady@cncenter.cz</v>
      </c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 t="str">
        <f ca="1">IFERROR(__xludf.DUMMYFUNCTION("""COMPUTED_VALUE"""),"desktop")</f>
        <v>desktop</v>
      </c>
      <c r="AO735" s="3"/>
      <c r="AP735" s="3"/>
      <c r="AQ735" s="3"/>
      <c r="AR735" s="3"/>
      <c r="AS735" s="3"/>
      <c r="AT735" s="3"/>
      <c r="AU735" s="3" t="str">
        <f ca="1">IFERROR(__xludf.DUMMYFUNCTION("""COMPUTED_VALUE"""),"cílený billboard bottom")</f>
        <v>cílený billboard bottom</v>
      </c>
    </row>
    <row r="736" spans="1:47" x14ac:dyDescent="0.3">
      <c r="A736" s="3">
        <f ca="1"/>
        <v>2346826</v>
      </c>
      <c r="B736" s="3" t="str">
        <f ca="1"/>
        <v>CZECH NEWS CENTER a. s.</v>
      </c>
      <c r="C736" s="3" t="str">
        <f ca="1">IFERROR(__xludf.DUMMYFUNCTION("""COMPUTED_VALUE"""),"Maminka")</f>
        <v>Maminka</v>
      </c>
      <c r="D736" s="4" t="str">
        <f ca="1">IFERROR(__xludf.DUMMYFUNCTION("""COMPUTED_VALUE"""),"https://maminka.cz")</f>
        <v>https://maminka.cz</v>
      </c>
      <c r="E736" s="3" t="str">
        <f ca="1">IFERROR(__xludf.DUMMYFUNCTION("""COMPUTED_VALUE"""),"celý web")</f>
        <v>celý web</v>
      </c>
      <c r="F736" s="4" t="str">
        <f ca="1">IFERROR(__xludf.DUMMYFUNCTION("""COMPUTED_VALUE"""),"https://maminka.cz")</f>
        <v>https://maminka.cz</v>
      </c>
      <c r="G736" s="3" t="str">
        <f ca="1">IFERROR(__xludf.DUMMYFUNCTION("""COMPUTED_VALUE"""),"cílený branding cross-device mid season")</f>
        <v>cílený branding cross-device mid season</v>
      </c>
      <c r="H736" s="3">
        <f ca="1">IFERROR(__xludf.DUMMYFUNCTION("""COMPUTED_VALUE"""),7)</f>
        <v>7</v>
      </c>
      <c r="I736" s="5">
        <f ca="1">IFERROR(__xludf.DUMMYFUNCTION("""COMPUTED_VALUE"""),1000)</f>
        <v>1000</v>
      </c>
      <c r="J736" s="5">
        <f ca="1">IFERROR(__xludf.DUMMYFUNCTION("""COMPUTED_VALUE"""),504)</f>
        <v>504</v>
      </c>
      <c r="K736" s="3"/>
      <c r="L736" s="3" t="str">
        <f ca="1">IFERROR(__xludf.DUMMYFUNCTION("""COMPUTED_VALUE"""),"Cost per period")</f>
        <v>Cost per period</v>
      </c>
      <c r="M736" s="3"/>
      <c r="N736" s="3"/>
      <c r="O736" s="3" t="str">
        <f ca="1">IFERROR(__xludf.DUMMYFUNCTION("""COMPUTED_VALUE"""),"2000")</f>
        <v>2000</v>
      </c>
      <c r="P736" s="3" t="str">
        <f ca="1">IFERROR(__xludf.DUMMYFUNCTION("""COMPUTED_VALUE"""),"1400")</f>
        <v>1400</v>
      </c>
      <c r="Q736" s="3" t="str">
        <f ca="1">IFERROR(__xludf.DUMMYFUNCTION("""COMPUTED_VALUE"""),"2000x1400 + 600x1080")</f>
        <v>2000x1400 + 600x1080</v>
      </c>
      <c r="R736" s="3"/>
      <c r="S736" s="3" t="str">
        <f ca="1">IFERROR(__xludf.DUMMYFUNCTION("""COMPUTED_VALUE"""),"500 (600 - HTLM5)")</f>
        <v>500 (600 - HTLM5)</v>
      </c>
      <c r="T736" s="3"/>
      <c r="U736" s="3" t="str">
        <f ca="1">IFERROR(__xludf.DUMMYFUNCTION("""COMPUTED_VALUE"""),"banner standard")</f>
        <v>banner standard</v>
      </c>
      <c r="V736" s="3"/>
      <c r="W736" s="4" t="str">
        <f ca="1">IFERROR(__xludf.DUMMYFUNCTION("""COMPUTED_VALUE"""),"https://reklama.cncenter.cz/Online/branding-cross-device")</f>
        <v>https://reklama.cncenter.cz/Online/branding-cross-device</v>
      </c>
      <c r="X736" s="3"/>
      <c r="Y736" s="3"/>
      <c r="Z736" s="3" t="str">
        <f ca="1">IFERROR(__xludf.DUMMYFUNCTION("""COMPUTED_VALUE"""),"podklady@cncenter.cz")</f>
        <v>podklady@cncenter.cz</v>
      </c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 t="str">
        <f ca="1">IFERROR(__xludf.DUMMYFUNCTION("""COMPUTED_VALUE"""),"cross-device")</f>
        <v>cross-device</v>
      </c>
      <c r="AO736" s="3"/>
      <c r="AP736" s="3"/>
      <c r="AQ736" s="3"/>
      <c r="AR736" s="3"/>
      <c r="AS736" s="3"/>
      <c r="AT736" s="3"/>
      <c r="AU736" s="3" t="str">
        <f ca="1">IFERROR(__xludf.DUMMYFUNCTION("""COMPUTED_VALUE"""),"cílený branding cross-device")</f>
        <v>cílený branding cross-device</v>
      </c>
    </row>
    <row r="737" spans="1:47" x14ac:dyDescent="0.3">
      <c r="A737" s="3">
        <f ca="1"/>
        <v>2346826</v>
      </c>
      <c r="B737" s="3" t="str">
        <f ca="1"/>
        <v>CZECH NEWS CENTER a. s.</v>
      </c>
      <c r="C737" s="3" t="str">
        <f ca="1">IFERROR(__xludf.DUMMYFUNCTION("""COMPUTED_VALUE"""),"Maminka")</f>
        <v>Maminka</v>
      </c>
      <c r="D737" s="4" t="str">
        <f ca="1">IFERROR(__xludf.DUMMYFUNCTION("""COMPUTED_VALUE"""),"https://maminka.cz")</f>
        <v>https://maminka.cz</v>
      </c>
      <c r="E737" s="3" t="str">
        <f ca="1">IFERROR(__xludf.DUMMYFUNCTION("""COMPUTED_VALUE"""),"celý web")</f>
        <v>celý web</v>
      </c>
      <c r="F737" s="4" t="str">
        <f ca="1">IFERROR(__xludf.DUMMYFUNCTION("""COMPUTED_VALUE"""),"https://maminka.cz")</f>
        <v>https://maminka.cz</v>
      </c>
      <c r="G737" s="3" t="str">
        <f ca="1">IFERROR(__xludf.DUMMYFUNCTION("""COMPUTED_VALUE"""),"cílený branding mid season")</f>
        <v>cílený branding mid season</v>
      </c>
      <c r="H737" s="3">
        <f ca="1">IFERROR(__xludf.DUMMYFUNCTION("""COMPUTED_VALUE"""),7)</f>
        <v>7</v>
      </c>
      <c r="I737" s="5">
        <f ca="1">IFERROR(__xludf.DUMMYFUNCTION("""COMPUTED_VALUE"""),1000)</f>
        <v>1000</v>
      </c>
      <c r="J737" s="5">
        <f ca="1">IFERROR(__xludf.DUMMYFUNCTION("""COMPUTED_VALUE"""),828)</f>
        <v>828</v>
      </c>
      <c r="K737" s="3"/>
      <c r="L737" s="3" t="str">
        <f ca="1">IFERROR(__xludf.DUMMYFUNCTION("""COMPUTED_VALUE"""),"Cost per period")</f>
        <v>Cost per period</v>
      </c>
      <c r="M737" s="3"/>
      <c r="N737" s="3"/>
      <c r="O737" s="3" t="str">
        <f ca="1">IFERROR(__xludf.DUMMYFUNCTION("""COMPUTED_VALUE"""),"2000")</f>
        <v>2000</v>
      </c>
      <c r="P737" s="3" t="str">
        <f ca="1">IFERROR(__xludf.DUMMYFUNCTION("""COMPUTED_VALUE"""),"1400")</f>
        <v>1400</v>
      </c>
      <c r="Q737" s="3" t="str">
        <f ca="1">IFERROR(__xludf.DUMMYFUNCTION("""COMPUTED_VALUE"""),"2000x1400")</f>
        <v>2000x1400</v>
      </c>
      <c r="R737" s="3"/>
      <c r="S737" s="3" t="str">
        <f ca="1">IFERROR(__xludf.DUMMYFUNCTION("""COMPUTED_VALUE"""),"500 + 200 (600+200 HTML5)")</f>
        <v>500 + 200 (600+200 HTML5)</v>
      </c>
      <c r="T737" s="3"/>
      <c r="U737" s="3" t="str">
        <f ca="1">IFERROR(__xludf.DUMMYFUNCTION("""COMPUTED_VALUE"""),"banner standard")</f>
        <v>banner standard</v>
      </c>
      <c r="V737" s="3"/>
      <c r="W737" s="4" t="str">
        <f ca="1">IFERROR(__xludf.DUMMYFUNCTION("""COMPUTED_VALUE"""),"https://reklama.cncenter.cz/Online/branding")</f>
        <v>https://reklama.cncenter.cz/Online/branding</v>
      </c>
      <c r="X737" s="3"/>
      <c r="Y737" s="3"/>
      <c r="Z737" s="3" t="str">
        <f ca="1">IFERROR(__xludf.DUMMYFUNCTION("""COMPUTED_VALUE"""),"podklady@cncenter.cz")</f>
        <v>podklady@cncenter.cz</v>
      </c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 t="str">
        <f ca="1">IFERROR(__xludf.DUMMYFUNCTION("""COMPUTED_VALUE"""),"desktop")</f>
        <v>desktop</v>
      </c>
      <c r="AO737" s="3"/>
      <c r="AP737" s="3"/>
      <c r="AQ737" s="3"/>
      <c r="AR737" s="3"/>
      <c r="AS737" s="3"/>
      <c r="AT737" s="3"/>
      <c r="AU737" s="3" t="str">
        <f ca="1">IFERROR(__xludf.DUMMYFUNCTION("""COMPUTED_VALUE"""),"cílený branding")</f>
        <v>cílený branding</v>
      </c>
    </row>
    <row r="738" spans="1:47" x14ac:dyDescent="0.3">
      <c r="A738" s="3">
        <f ca="1"/>
        <v>2346826</v>
      </c>
      <c r="B738" s="3" t="str">
        <f ca="1"/>
        <v>CZECH NEWS CENTER a. s.</v>
      </c>
      <c r="C738" s="3" t="str">
        <f ca="1">IFERROR(__xludf.DUMMYFUNCTION("""COMPUTED_VALUE"""),"Maminka")</f>
        <v>Maminka</v>
      </c>
      <c r="D738" s="4" t="str">
        <f ca="1">IFERROR(__xludf.DUMMYFUNCTION("""COMPUTED_VALUE"""),"https://maminka.cz")</f>
        <v>https://maminka.cz</v>
      </c>
      <c r="E738" s="3" t="str">
        <f ca="1">IFERROR(__xludf.DUMMYFUNCTION("""COMPUTED_VALUE"""),"celý web")</f>
        <v>celý web</v>
      </c>
      <c r="F738" s="4" t="str">
        <f ca="1">IFERROR(__xludf.DUMMYFUNCTION("""COMPUTED_VALUE"""),"https://maminka.cz")</f>
        <v>https://maminka.cz</v>
      </c>
      <c r="G738" s="3" t="str">
        <f ca="1">IFERROR(__xludf.DUMMYFUNCTION("""COMPUTED_VALUE"""),"cílený double skyscraper mid season")</f>
        <v>cílený double skyscraper mid season</v>
      </c>
      <c r="H738" s="3">
        <f ca="1">IFERROR(__xludf.DUMMYFUNCTION("""COMPUTED_VALUE"""),7)</f>
        <v>7</v>
      </c>
      <c r="I738" s="5">
        <f ca="1">IFERROR(__xludf.DUMMYFUNCTION("""COMPUTED_VALUE"""),1000)</f>
        <v>1000</v>
      </c>
      <c r="J738" s="5">
        <f ca="1">IFERROR(__xludf.DUMMYFUNCTION("""COMPUTED_VALUE"""),324)</f>
        <v>324</v>
      </c>
      <c r="K738" s="3"/>
      <c r="L738" s="3" t="str">
        <f ca="1">IFERROR(__xludf.DUMMYFUNCTION("""COMPUTED_VALUE"""),"Cost per period")</f>
        <v>Cost per period</v>
      </c>
      <c r="M738" s="3"/>
      <c r="N738" s="3"/>
      <c r="O738" s="3" t="str">
        <f ca="1">IFERROR(__xludf.DUMMYFUNCTION("""COMPUTED_VALUE"""),"300")</f>
        <v>300</v>
      </c>
      <c r="P738" s="3" t="str">
        <f ca="1">IFERROR(__xludf.DUMMYFUNCTION("""COMPUTED_VALUE"""),"600")</f>
        <v>600</v>
      </c>
      <c r="Q738" s="3" t="str">
        <f ca="1">IFERROR(__xludf.DUMMYFUNCTION("""COMPUTED_VALUE"""),"300x600")</f>
        <v>300x600</v>
      </c>
      <c r="R738" s="3"/>
      <c r="S738" s="3" t="str">
        <f ca="1">IFERROR(__xludf.DUMMYFUNCTION("""COMPUTED_VALUE"""),"100 (200 - HTML5)")</f>
        <v>100 (200 - HTML5)</v>
      </c>
      <c r="T738" s="3"/>
      <c r="U738" s="3" t="str">
        <f ca="1">IFERROR(__xludf.DUMMYFUNCTION("""COMPUTED_VALUE"""),"banner standard")</f>
        <v>banner standard</v>
      </c>
      <c r="V738" s="3"/>
      <c r="W738" s="4" t="str">
        <f ca="1">IFERROR(__xludf.DUMMYFUNCTION("""COMPUTED_VALUE"""),"https://reklama.cncenter.cz/Online/double-skyscraper")</f>
        <v>https://reklama.cncenter.cz/Online/double-skyscraper</v>
      </c>
      <c r="X738" s="3"/>
      <c r="Y738" s="3"/>
      <c r="Z738" s="3" t="str">
        <f ca="1">IFERROR(__xludf.DUMMYFUNCTION("""COMPUTED_VALUE"""),"podklady@cncenter.cz")</f>
        <v>podklady@cncenter.cz</v>
      </c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 t="str">
        <f ca="1">IFERROR(__xludf.DUMMYFUNCTION("""COMPUTED_VALUE"""),"desktop")</f>
        <v>desktop</v>
      </c>
      <c r="AO738" s="3"/>
      <c r="AP738" s="3"/>
      <c r="AQ738" s="3"/>
      <c r="AR738" s="3"/>
      <c r="AS738" s="3"/>
      <c r="AT738" s="3"/>
      <c r="AU738" s="3" t="str">
        <f ca="1">IFERROR(__xludf.DUMMYFUNCTION("""COMPUTED_VALUE"""),"cílený double skyscraper")</f>
        <v>cílený double skyscraper</v>
      </c>
    </row>
    <row r="739" spans="1:47" x14ac:dyDescent="0.3">
      <c r="A739" s="3">
        <f ca="1"/>
        <v>2346826</v>
      </c>
      <c r="B739" s="3" t="str">
        <f ca="1"/>
        <v>CZECH NEWS CENTER a. s.</v>
      </c>
      <c r="C739" s="3" t="str">
        <f ca="1">IFERROR(__xludf.DUMMYFUNCTION("""COMPUTED_VALUE"""),"Maminka")</f>
        <v>Maminka</v>
      </c>
      <c r="D739" s="4" t="str">
        <f ca="1">IFERROR(__xludf.DUMMYFUNCTION("""COMPUTED_VALUE"""),"https://maminka.cz")</f>
        <v>https://maminka.cz</v>
      </c>
      <c r="E739" s="3" t="str">
        <f ca="1">IFERROR(__xludf.DUMMYFUNCTION("""COMPUTED_VALUE"""),"celý web")</f>
        <v>celý web</v>
      </c>
      <c r="F739" s="4" t="str">
        <f ca="1">IFERROR(__xludf.DUMMYFUNCTION("""COMPUTED_VALUE"""),"https://maminka.cz")</f>
        <v>https://maminka.cz</v>
      </c>
      <c r="G739" s="3" t="str">
        <f ca="1">IFERROR(__xludf.DUMMYFUNCTION("""COMPUTED_VALUE"""),"cílený mini videospot - max. 30 sec. mid season")</f>
        <v>cílený mini videospot - max. 30 sec. mid season</v>
      </c>
      <c r="H739" s="3">
        <f ca="1">IFERROR(__xludf.DUMMYFUNCTION("""COMPUTED_VALUE"""),7)</f>
        <v>7</v>
      </c>
      <c r="I739" s="5">
        <f ca="1">IFERROR(__xludf.DUMMYFUNCTION("""COMPUTED_VALUE"""),1000)</f>
        <v>1000</v>
      </c>
      <c r="J739" s="5">
        <f ca="1">IFERROR(__xludf.DUMMYFUNCTION("""COMPUTED_VALUE"""),240)</f>
        <v>240</v>
      </c>
      <c r="K739" s="3"/>
      <c r="L739" s="3" t="str">
        <f ca="1">IFERROR(__xludf.DUMMYFUNCTION("""COMPUTED_VALUE"""),"Cost per period")</f>
        <v>Cost per period</v>
      </c>
      <c r="M739" s="3"/>
      <c r="N739" s="3"/>
      <c r="O739" s="3"/>
      <c r="P739" s="3"/>
      <c r="Q739" s="3" t="str">
        <f ca="1">IFERROR(__xludf.DUMMYFUNCTION("""COMPUTED_VALUE"""),"16:9 / umístění po domluvě dle možností")</f>
        <v>16:9 / umístění po domluvě dle možností</v>
      </c>
      <c r="R739" s="3" t="str">
        <f ca="1">IFERROR(__xludf.DUMMYFUNCTION("""COMPUTED_VALUE"""),"přeskočení po 7 sekundách")</f>
        <v>přeskočení po 7 sekundách</v>
      </c>
      <c r="S739" s="3" t="str">
        <f ca="1">IFERROR(__xludf.DUMMYFUNCTION("""COMPUTED_VALUE"""),"100")</f>
        <v>100</v>
      </c>
      <c r="T739" s="3"/>
      <c r="U739" s="3" t="str">
        <f ca="1">IFERROR(__xludf.DUMMYFUNCTION("""COMPUTED_VALUE"""),"videospot")</f>
        <v>videospot</v>
      </c>
      <c r="V739" s="3"/>
      <c r="W739" s="4" t="str">
        <f ca="1">IFERROR(__xludf.DUMMYFUNCTION("""COMPUTED_VALUE"""),"https://reklama.cncenter.cz/Online/Videospot")</f>
        <v>https://reklama.cncenter.cz/Online/Videospot</v>
      </c>
      <c r="X739" s="3"/>
      <c r="Y739" s="3"/>
      <c r="Z739" s="3" t="str">
        <f ca="1">IFERROR(__xludf.DUMMYFUNCTION("""COMPUTED_VALUE"""),"podklady@cncenter.cz")</f>
        <v>podklady@cncenter.cz</v>
      </c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 t="str">
        <f ca="1">IFERROR(__xludf.DUMMYFUNCTION("""COMPUTED_VALUE"""),"desktop")</f>
        <v>desktop</v>
      </c>
      <c r="AO739" s="3"/>
      <c r="AP739" s="3"/>
      <c r="AQ739" s="3"/>
      <c r="AR739" s="3"/>
      <c r="AS739" s="3"/>
      <c r="AT739" s="3"/>
      <c r="AU739" s="3" t="str">
        <f ca="1">IFERROR(__xludf.DUMMYFUNCTION("""COMPUTED_VALUE"""),"cílený mini videospot - max. 30 sec.")</f>
        <v>cílený mini videospot - max. 30 sec.</v>
      </c>
    </row>
    <row r="740" spans="1:47" x14ac:dyDescent="0.3">
      <c r="A740" s="3">
        <f ca="1"/>
        <v>2346826</v>
      </c>
      <c r="B740" s="3" t="str">
        <f ca="1"/>
        <v>CZECH NEWS CENTER a. s.</v>
      </c>
      <c r="C740" s="3" t="str">
        <f ca="1">IFERROR(__xludf.DUMMYFUNCTION("""COMPUTED_VALUE"""),"Maminka")</f>
        <v>Maminka</v>
      </c>
      <c r="D740" s="4" t="str">
        <f ca="1">IFERROR(__xludf.DUMMYFUNCTION("""COMPUTED_VALUE"""),"https://maminka.cz")</f>
        <v>https://maminka.cz</v>
      </c>
      <c r="E740" s="3" t="str">
        <f ca="1">IFERROR(__xludf.DUMMYFUNCTION("""COMPUTED_VALUE"""),"celý web")</f>
        <v>celý web</v>
      </c>
      <c r="F740" s="4" t="str">
        <f ca="1">IFERROR(__xludf.DUMMYFUNCTION("""COMPUTED_VALUE"""),"https://maminka.cz")</f>
        <v>https://maminka.cz</v>
      </c>
      <c r="G740" s="3" t="str">
        <f ca="1">IFERROR(__xludf.DUMMYFUNCTION("""COMPUTED_VALUE"""),"cílený mobilní interscroller mid season")</f>
        <v>cílený mobilní interscroller mid season</v>
      </c>
      <c r="H740" s="3">
        <f ca="1">IFERROR(__xludf.DUMMYFUNCTION("""COMPUTED_VALUE"""),7)</f>
        <v>7</v>
      </c>
      <c r="I740" s="5">
        <f ca="1">IFERROR(__xludf.DUMMYFUNCTION("""COMPUTED_VALUE"""),1000)</f>
        <v>1000</v>
      </c>
      <c r="J740" s="5">
        <f ca="1">IFERROR(__xludf.DUMMYFUNCTION("""COMPUTED_VALUE"""),420)</f>
        <v>420</v>
      </c>
      <c r="K740" s="3"/>
      <c r="L740" s="3" t="str">
        <f ca="1">IFERROR(__xludf.DUMMYFUNCTION("""COMPUTED_VALUE"""),"Cost per period")</f>
        <v>Cost per period</v>
      </c>
      <c r="M740" s="3"/>
      <c r="N740" s="3"/>
      <c r="O740" s="3" t="str">
        <f ca="1">IFERROR(__xludf.DUMMYFUNCTION("""COMPUTED_VALUE"""),"600")</f>
        <v>600</v>
      </c>
      <c r="P740" s="3" t="str">
        <f ca="1">IFERROR(__xludf.DUMMYFUNCTION("""COMPUTED_VALUE"""),"1080")</f>
        <v>1080</v>
      </c>
      <c r="Q740" s="3" t="str">
        <f ca="1">IFERROR(__xludf.DUMMYFUNCTION("""COMPUTED_VALUE"""),"600x1080")</f>
        <v>600x1080</v>
      </c>
      <c r="R740" s="3"/>
      <c r="S740" s="3" t="str">
        <f ca="1">IFERROR(__xludf.DUMMYFUNCTION("""COMPUTED_VALUE"""),"200")</f>
        <v>200</v>
      </c>
      <c r="T740" s="3"/>
      <c r="U740" s="3" t="str">
        <f ca="1">IFERROR(__xludf.DUMMYFUNCTION("""COMPUTED_VALUE"""),"banner standard")</f>
        <v>banner standard</v>
      </c>
      <c r="V740" s="3"/>
      <c r="W740" s="4" t="str">
        <f ca="1">IFERROR(__xludf.DUMMYFUNCTION("""COMPUTED_VALUE"""),"https://reklama.cncenter.cz/Online/mobilni-interscroller")</f>
        <v>https://reklama.cncenter.cz/Online/mobilni-interscroller</v>
      </c>
      <c r="X740" s="3"/>
      <c r="Y740" s="3"/>
      <c r="Z740" s="3" t="str">
        <f ca="1">IFERROR(__xludf.DUMMYFUNCTION("""COMPUTED_VALUE"""),"podklady@cncenter.cz")</f>
        <v>podklady@cncenter.cz</v>
      </c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 t="str">
        <f ca="1">IFERROR(__xludf.DUMMYFUNCTION("""COMPUTED_VALUE"""),"mobile")</f>
        <v>mobile</v>
      </c>
      <c r="AO740" s="3"/>
      <c r="AP740" s="3"/>
      <c r="AQ740" s="3"/>
      <c r="AR740" s="3"/>
      <c r="AS740" s="3"/>
      <c r="AT740" s="3"/>
      <c r="AU740" s="3" t="str">
        <f ca="1">IFERROR(__xludf.DUMMYFUNCTION("""COMPUTED_VALUE"""),"cílený mobilní interscroller")</f>
        <v>cílený mobilní interscroller</v>
      </c>
    </row>
    <row r="741" spans="1:47" x14ac:dyDescent="0.3">
      <c r="A741" s="3">
        <f ca="1"/>
        <v>2346826</v>
      </c>
      <c r="B741" s="3" t="str">
        <f ca="1"/>
        <v>CZECH NEWS CENTER a. s.</v>
      </c>
      <c r="C741" s="3" t="str">
        <f ca="1">IFERROR(__xludf.DUMMYFUNCTION("""COMPUTED_VALUE"""),"Maminka")</f>
        <v>Maminka</v>
      </c>
      <c r="D741" s="4" t="str">
        <f ca="1">IFERROR(__xludf.DUMMYFUNCTION("""COMPUTED_VALUE"""),"https://maminka.cz")</f>
        <v>https://maminka.cz</v>
      </c>
      <c r="E741" s="3" t="str">
        <f ca="1">IFERROR(__xludf.DUMMYFUNCTION("""COMPUTED_VALUE"""),"celý web")</f>
        <v>celý web</v>
      </c>
      <c r="F741" s="4" t="str">
        <f ca="1">IFERROR(__xludf.DUMMYFUNCTION("""COMPUTED_VALUE"""),"https://maminka.cz")</f>
        <v>https://maminka.cz</v>
      </c>
      <c r="G741" s="3" t="str">
        <f ca="1">IFERROR(__xludf.DUMMYFUNCTION("""COMPUTED_VALUE"""),"cílený mobilní slide-up mid season")</f>
        <v>cílený mobilní slide-up mid season</v>
      </c>
      <c r="H741" s="3">
        <f ca="1">IFERROR(__xludf.DUMMYFUNCTION("""COMPUTED_VALUE"""),7)</f>
        <v>7</v>
      </c>
      <c r="I741" s="5">
        <f ca="1">IFERROR(__xludf.DUMMYFUNCTION("""COMPUTED_VALUE"""),1000)</f>
        <v>1000</v>
      </c>
      <c r="J741" s="5">
        <f ca="1">IFERROR(__xludf.DUMMYFUNCTION("""COMPUTED_VALUE"""),864)</f>
        <v>864</v>
      </c>
      <c r="K741" s="3"/>
      <c r="L741" s="3" t="str">
        <f ca="1">IFERROR(__xludf.DUMMYFUNCTION("""COMPUTED_VALUE"""),"Cost per period")</f>
        <v>Cost per period</v>
      </c>
      <c r="M741" s="3"/>
      <c r="N741" s="3"/>
      <c r="O741" s="3" t="str">
        <f ca="1">IFERROR(__xludf.DUMMYFUNCTION("""COMPUTED_VALUE"""),"300")</f>
        <v>300</v>
      </c>
      <c r="P741" s="3" t="str">
        <f ca="1">IFERROR(__xludf.DUMMYFUNCTION("""COMPUTED_VALUE"""),"120")</f>
        <v>120</v>
      </c>
      <c r="Q741" s="3" t="str">
        <f ca="1">IFERROR(__xludf.DUMMYFUNCTION("""COMPUTED_VALUE"""),"300x120")</f>
        <v>300x120</v>
      </c>
      <c r="R741" s="3"/>
      <c r="S741" s="3" t="str">
        <f ca="1">IFERROR(__xludf.DUMMYFUNCTION("""COMPUTED_VALUE"""),"100")</f>
        <v>100</v>
      </c>
      <c r="T741" s="3"/>
      <c r="U741" s="3" t="str">
        <f ca="1">IFERROR(__xludf.DUMMYFUNCTION("""COMPUTED_VALUE"""),"banner standard")</f>
        <v>banner standard</v>
      </c>
      <c r="V741" s="3"/>
      <c r="W741" s="4" t="str">
        <f ca="1">IFERROR(__xludf.DUMMYFUNCTION("""COMPUTED_VALUE"""),"https://reklama.cncenter.cz/Online/mobilni-slide-up")</f>
        <v>https://reklama.cncenter.cz/Online/mobilni-slide-up</v>
      </c>
      <c r="X741" s="3"/>
      <c r="Y741" s="3"/>
      <c r="Z741" s="3" t="str">
        <f ca="1">IFERROR(__xludf.DUMMYFUNCTION("""COMPUTED_VALUE"""),"podklady@cncenter.cz")</f>
        <v>podklady@cncenter.cz</v>
      </c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 t="str">
        <f ca="1">IFERROR(__xludf.DUMMYFUNCTION("""COMPUTED_VALUE"""),"mobile")</f>
        <v>mobile</v>
      </c>
      <c r="AO741" s="3"/>
      <c r="AP741" s="3"/>
      <c r="AQ741" s="3"/>
      <c r="AR741" s="3"/>
      <c r="AS741" s="3"/>
      <c r="AT741" s="3"/>
      <c r="AU741" s="3" t="str">
        <f ca="1">IFERROR(__xludf.DUMMYFUNCTION("""COMPUTED_VALUE"""),"cílený mobilní slide-up")</f>
        <v>cílený mobilní slide-up</v>
      </c>
    </row>
    <row r="742" spans="1:47" x14ac:dyDescent="0.3">
      <c r="A742" s="3">
        <f ca="1"/>
        <v>2346826</v>
      </c>
      <c r="B742" s="3" t="str">
        <f ca="1"/>
        <v>CZECH NEWS CENTER a. s.</v>
      </c>
      <c r="C742" s="3" t="str">
        <f ca="1">IFERROR(__xludf.DUMMYFUNCTION("""COMPUTED_VALUE"""),"Maminka")</f>
        <v>Maminka</v>
      </c>
      <c r="D742" s="4" t="str">
        <f ca="1">IFERROR(__xludf.DUMMYFUNCTION("""COMPUTED_VALUE"""),"https://maminka.cz")</f>
        <v>https://maminka.cz</v>
      </c>
      <c r="E742" s="3" t="str">
        <f ca="1">IFERROR(__xludf.DUMMYFUNCTION("""COMPUTED_VALUE"""),"celý web")</f>
        <v>celý web</v>
      </c>
      <c r="F742" s="4" t="str">
        <f ca="1">IFERROR(__xludf.DUMMYFUNCTION("""COMPUTED_VALUE"""),"https://maminka.cz")</f>
        <v>https://maminka.cz</v>
      </c>
      <c r="G742" s="3" t="str">
        <f ca="1">IFERROR(__xludf.DUMMYFUNCTION("""COMPUTED_VALUE"""),"cílený mobilní viněta mid season")</f>
        <v>cílený mobilní viněta mid season</v>
      </c>
      <c r="H742" s="3">
        <f ca="1">IFERROR(__xludf.DUMMYFUNCTION("""COMPUTED_VALUE"""),7)</f>
        <v>7</v>
      </c>
      <c r="I742" s="5">
        <f ca="1">IFERROR(__xludf.DUMMYFUNCTION("""COMPUTED_VALUE"""),1000)</f>
        <v>1000</v>
      </c>
      <c r="J742" s="5">
        <f ca="1">IFERROR(__xludf.DUMMYFUNCTION("""COMPUTED_VALUE"""),1488)</f>
        <v>1488</v>
      </c>
      <c r="K742" s="3"/>
      <c r="L742" s="3" t="str">
        <f ca="1">IFERROR(__xludf.DUMMYFUNCTION("""COMPUTED_VALUE"""),"Cost per period")</f>
        <v>Cost per period</v>
      </c>
      <c r="M742" s="3"/>
      <c r="N742" s="3"/>
      <c r="O742" s="3" t="str">
        <f ca="1">IFERROR(__xludf.DUMMYFUNCTION("""COMPUTED_VALUE"""),"600")</f>
        <v>600</v>
      </c>
      <c r="P742" s="3" t="str">
        <f ca="1">IFERROR(__xludf.DUMMYFUNCTION("""COMPUTED_VALUE"""),"800")</f>
        <v>800</v>
      </c>
      <c r="Q742" s="3" t="str">
        <f ca="1">IFERROR(__xludf.DUMMYFUNCTION("""COMPUTED_VALUE"""),"300x250 nebo 600x800")</f>
        <v>300x250 nebo 600x800</v>
      </c>
      <c r="R742" s="3"/>
      <c r="S742" s="3" t="str">
        <f ca="1">IFERROR(__xludf.DUMMYFUNCTION("""COMPUTED_VALUE"""),"100")</f>
        <v>100</v>
      </c>
      <c r="T742" s="3"/>
      <c r="U742" s="3" t="str">
        <f ca="1">IFERROR(__xludf.DUMMYFUNCTION("""COMPUTED_VALUE"""),"banner standard")</f>
        <v>banner standard</v>
      </c>
      <c r="V742" s="3"/>
      <c r="W742" s="4" t="str">
        <f ca="1">IFERROR(__xludf.DUMMYFUNCTION("""COMPUTED_VALUE"""),"https://reklama.cncenter.cz/Online/mobilni-vineta")</f>
        <v>https://reklama.cncenter.cz/Online/mobilni-vineta</v>
      </c>
      <c r="X742" s="3"/>
      <c r="Y742" s="3"/>
      <c r="Z742" s="3" t="str">
        <f ca="1">IFERROR(__xludf.DUMMYFUNCTION("""COMPUTED_VALUE"""),"podklady@cncenter.cz")</f>
        <v>podklady@cncenter.cz</v>
      </c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 t="str">
        <f ca="1">IFERROR(__xludf.DUMMYFUNCTION("""COMPUTED_VALUE"""),"mobile")</f>
        <v>mobile</v>
      </c>
      <c r="AO742" s="3"/>
      <c r="AP742" s="3"/>
      <c r="AQ742" s="3"/>
      <c r="AR742" s="3"/>
      <c r="AS742" s="3"/>
      <c r="AT742" s="3"/>
      <c r="AU742" s="3" t="str">
        <f ca="1">IFERROR(__xludf.DUMMYFUNCTION("""COMPUTED_VALUE"""),"cílený mobilní viněta")</f>
        <v>cílený mobilní viněta</v>
      </c>
    </row>
    <row r="743" spans="1:47" x14ac:dyDescent="0.3">
      <c r="A743" s="3">
        <f ca="1"/>
        <v>2346826</v>
      </c>
      <c r="B743" s="3" t="str">
        <f ca="1"/>
        <v>CZECH NEWS CENTER a. s.</v>
      </c>
      <c r="C743" s="3" t="str">
        <f ca="1">IFERROR(__xludf.DUMMYFUNCTION("""COMPUTED_VALUE"""),"Maminka")</f>
        <v>Maminka</v>
      </c>
      <c r="D743" s="4" t="str">
        <f ca="1">IFERROR(__xludf.DUMMYFUNCTION("""COMPUTED_VALUE"""),"https://maminka.cz")</f>
        <v>https://maminka.cz</v>
      </c>
      <c r="E743" s="3" t="str">
        <f ca="1">IFERROR(__xludf.DUMMYFUNCTION("""COMPUTED_VALUE"""),"celý web")</f>
        <v>celý web</v>
      </c>
      <c r="F743" s="4" t="str">
        <f ca="1">IFERROR(__xludf.DUMMYFUNCTION("""COMPUTED_VALUE"""),"https://maminka.cz")</f>
        <v>https://maminka.cz</v>
      </c>
      <c r="G743" s="3" t="str">
        <f ca="1">IFERROR(__xludf.DUMMYFUNCTION("""COMPUTED_VALUE"""),"cílený nativní pr premium mid season")</f>
        <v>cílený nativní pr premium mid season</v>
      </c>
      <c r="H743" s="3">
        <f ca="1">IFERROR(__xludf.DUMMYFUNCTION("""COMPUTED_VALUE"""),7)</f>
        <v>7</v>
      </c>
      <c r="I743" s="5">
        <f ca="1">IFERROR(__xludf.DUMMYFUNCTION("""COMPUTED_VALUE"""),1000)</f>
        <v>1000</v>
      </c>
      <c r="J743" s="5">
        <f ca="1">IFERROR(__xludf.DUMMYFUNCTION("""COMPUTED_VALUE"""),168)</f>
        <v>168</v>
      </c>
      <c r="K743" s="3"/>
      <c r="L743" s="3" t="str">
        <f ca="1">IFERROR(__xludf.DUMMYFUNCTION("""COMPUTED_VALUE"""),"Cost per period")</f>
        <v>Cost per period</v>
      </c>
      <c r="M743" s="3"/>
      <c r="N743" s="3"/>
      <c r="O743" s="3" t="str">
        <f ca="1">IFERROR(__xludf.DUMMYFUNCTION("""COMPUTED_VALUE"""),"640")</f>
        <v>640</v>
      </c>
      <c r="P743" s="3" t="str">
        <f ca="1">IFERROR(__xludf.DUMMYFUNCTION("""COMPUTED_VALUE"""),"335, 640")</f>
        <v>335, 640</v>
      </c>
      <c r="Q743" s="3" t="str">
        <f ca="1">IFERROR(__xludf.DUMMYFUNCTION("""COMPUTED_VALUE"""),"640x640 a 640x335 + text + logo")</f>
        <v>640x640 a 640x335 + text + logo</v>
      </c>
      <c r="R743" s="3" t="str">
        <f ca="1">IFERROR(__xludf.DUMMYFUNCTION("""COMPUTED_VALUE"""),"detailní specifikace na URL odkaze")</f>
        <v>detailní specifikace na URL odkaze</v>
      </c>
      <c r="S743" s="3" t="str">
        <f ca="1">IFERROR(__xludf.DUMMYFUNCTION("""COMPUTED_VALUE"""),"100")</f>
        <v>100</v>
      </c>
      <c r="T743" s="3"/>
      <c r="U743" s="3" t="str">
        <f ca="1">IFERROR(__xludf.DUMMYFUNCTION("""COMPUTED_VALUE"""),"nativní reklama")</f>
        <v>nativní reklama</v>
      </c>
      <c r="V743" s="3"/>
      <c r="W743" s="4" t="str">
        <f ca="1">IFERROR(__xludf.DUMMYFUNCTION("""COMPUTED_VALUE"""),"https://reklama.cncenter.cz/Online/nativni-PR-premium")</f>
        <v>https://reklama.cncenter.cz/Online/nativni-PR-premium</v>
      </c>
      <c r="X743" s="3"/>
      <c r="Y743" s="3"/>
      <c r="Z743" s="3" t="str">
        <f ca="1">IFERROR(__xludf.DUMMYFUNCTION("""COMPUTED_VALUE"""),"podklady@cncenter.cz")</f>
        <v>podklady@cncenter.cz</v>
      </c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 t="str">
        <f ca="1">IFERROR(__xludf.DUMMYFUNCTION("""COMPUTED_VALUE"""),"cross-device")</f>
        <v>cross-device</v>
      </c>
      <c r="AO743" s="3"/>
      <c r="AP743" s="3"/>
      <c r="AQ743" s="3"/>
      <c r="AR743" s="3"/>
      <c r="AS743" s="3"/>
      <c r="AT743" s="3"/>
      <c r="AU743" s="3" t="str">
        <f ca="1">IFERROR(__xludf.DUMMYFUNCTION("""COMPUTED_VALUE"""),"cílený nativní pr premium")</f>
        <v>cílený nativní pr premium</v>
      </c>
    </row>
    <row r="744" spans="1:47" x14ac:dyDescent="0.3">
      <c r="A744" s="3">
        <f ca="1"/>
        <v>2346826</v>
      </c>
      <c r="B744" s="3" t="str">
        <f ca="1"/>
        <v>CZECH NEWS CENTER a. s.</v>
      </c>
      <c r="C744" s="3" t="str">
        <f ca="1">IFERROR(__xludf.DUMMYFUNCTION("""COMPUTED_VALUE"""),"Maminka")</f>
        <v>Maminka</v>
      </c>
      <c r="D744" s="4" t="str">
        <f ca="1">IFERROR(__xludf.DUMMYFUNCTION("""COMPUTED_VALUE"""),"https://maminka.cz")</f>
        <v>https://maminka.cz</v>
      </c>
      <c r="E744" s="3" t="str">
        <f ca="1">IFERROR(__xludf.DUMMYFUNCTION("""COMPUTED_VALUE"""),"celý web")</f>
        <v>celý web</v>
      </c>
      <c r="F744" s="4" t="str">
        <f ca="1">IFERROR(__xludf.DUMMYFUNCTION("""COMPUTED_VALUE"""),"https://maminka.cz")</f>
        <v>https://maminka.cz</v>
      </c>
      <c r="G744" s="3" t="str">
        <f ca="1">IFERROR(__xludf.DUMMYFUNCTION("""COMPUTED_VALUE"""),"cílený nativní rectangle cross-device mid season")</f>
        <v>cílený nativní rectangle cross-device mid season</v>
      </c>
      <c r="H744" s="3">
        <f ca="1">IFERROR(__xludf.DUMMYFUNCTION("""COMPUTED_VALUE"""),7)</f>
        <v>7</v>
      </c>
      <c r="I744" s="5">
        <f ca="1">IFERROR(__xludf.DUMMYFUNCTION("""COMPUTED_VALUE"""),1000)</f>
        <v>1000</v>
      </c>
      <c r="J744" s="5">
        <f ca="1">IFERROR(__xludf.DUMMYFUNCTION("""COMPUTED_VALUE"""),336)</f>
        <v>336</v>
      </c>
      <c r="K744" s="3"/>
      <c r="L744" s="3" t="str">
        <f ca="1">IFERROR(__xludf.DUMMYFUNCTION("""COMPUTED_VALUE"""),"Cost per period")</f>
        <v>Cost per period</v>
      </c>
      <c r="M744" s="3"/>
      <c r="N744" s="3"/>
      <c r="O744" s="3" t="str">
        <f ca="1">IFERROR(__xludf.DUMMYFUNCTION("""COMPUTED_VALUE"""),"640")</f>
        <v>640</v>
      </c>
      <c r="P744" s="3" t="str">
        <f ca="1">IFERROR(__xludf.DUMMYFUNCTION("""COMPUTED_VALUE"""),"335, 640")</f>
        <v>335, 640</v>
      </c>
      <c r="Q744" s="3" t="str">
        <f ca="1">IFERROR(__xludf.DUMMYFUNCTION("""COMPUTED_VALUE"""),"640x640 a 640x335 + text + logo")</f>
        <v>640x640 a 640x335 + text + logo</v>
      </c>
      <c r="R744" s="3"/>
      <c r="S744" s="3" t="str">
        <f ca="1">IFERROR(__xludf.DUMMYFUNCTION("""COMPUTED_VALUE"""),"45")</f>
        <v>45</v>
      </c>
      <c r="T744" s="3"/>
      <c r="U744" s="3" t="str">
        <f ca="1">IFERROR(__xludf.DUMMYFUNCTION("""COMPUTED_VALUE"""),"nativní reklama")</f>
        <v>nativní reklama</v>
      </c>
      <c r="V744" s="3"/>
      <c r="W744" s="4" t="str">
        <f ca="1">IFERROR(__xludf.DUMMYFUNCTION("""COMPUTED_VALUE"""),"https://reklama.cncenter.cz/Online/nativni-rectangle-cross-device")</f>
        <v>https://reklama.cncenter.cz/Online/nativni-rectangle-cross-device</v>
      </c>
      <c r="X744" s="3"/>
      <c r="Y744" s="3"/>
      <c r="Z744" s="3" t="str">
        <f ca="1">IFERROR(__xludf.DUMMYFUNCTION("""COMPUTED_VALUE"""),"podklady@cncenter.cz")</f>
        <v>podklady@cncenter.cz</v>
      </c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 t="str">
        <f ca="1">IFERROR(__xludf.DUMMYFUNCTION("""COMPUTED_VALUE"""),"cross-device")</f>
        <v>cross-device</v>
      </c>
      <c r="AO744" s="3"/>
      <c r="AP744" s="3"/>
      <c r="AQ744" s="3"/>
      <c r="AR744" s="3"/>
      <c r="AS744" s="3"/>
      <c r="AT744" s="3"/>
      <c r="AU744" s="3" t="str">
        <f ca="1">IFERROR(__xludf.DUMMYFUNCTION("""COMPUTED_VALUE"""),"cílený nativní rectangle cross-device")</f>
        <v>cílený nativní rectangle cross-device</v>
      </c>
    </row>
    <row r="745" spans="1:47" x14ac:dyDescent="0.3">
      <c r="A745" s="3">
        <f ca="1"/>
        <v>2346826</v>
      </c>
      <c r="B745" s="3" t="str">
        <f ca="1"/>
        <v>CZECH NEWS CENTER a. s.</v>
      </c>
      <c r="C745" s="3" t="str">
        <f ca="1">IFERROR(__xludf.DUMMYFUNCTION("""COMPUTED_VALUE"""),"Maminka")</f>
        <v>Maminka</v>
      </c>
      <c r="D745" s="4" t="str">
        <f ca="1">IFERROR(__xludf.DUMMYFUNCTION("""COMPUTED_VALUE"""),"https://maminka.cz")</f>
        <v>https://maminka.cz</v>
      </c>
      <c r="E745" s="3" t="str">
        <f ca="1">IFERROR(__xludf.DUMMYFUNCTION("""COMPUTED_VALUE"""),"celý web")</f>
        <v>celý web</v>
      </c>
      <c r="F745" s="4" t="str">
        <f ca="1">IFERROR(__xludf.DUMMYFUNCTION("""COMPUTED_VALUE"""),"https://maminka.cz")</f>
        <v>https://maminka.cz</v>
      </c>
      <c r="G745" s="3" t="str">
        <f ca="1">IFERROR(__xludf.DUMMYFUNCTION("""COMPUTED_VALUE"""),"cílený outstream mid season")</f>
        <v>cílený outstream mid season</v>
      </c>
      <c r="H745" s="3">
        <f ca="1">IFERROR(__xludf.DUMMYFUNCTION("""COMPUTED_VALUE"""),7)</f>
        <v>7</v>
      </c>
      <c r="I745" s="5">
        <f ca="1">IFERROR(__xludf.DUMMYFUNCTION("""COMPUTED_VALUE"""),1000)</f>
        <v>1000</v>
      </c>
      <c r="J745" s="5">
        <f ca="1">IFERROR(__xludf.DUMMYFUNCTION("""COMPUTED_VALUE"""),420)</f>
        <v>420</v>
      </c>
      <c r="K745" s="3"/>
      <c r="L745" s="3" t="str">
        <f ca="1">IFERROR(__xludf.DUMMYFUNCTION("""COMPUTED_VALUE"""),"Cost per period")</f>
        <v>Cost per period</v>
      </c>
      <c r="M745" s="3"/>
      <c r="N745" s="3"/>
      <c r="O745" s="3" t="str">
        <f ca="1">IFERROR(__xludf.DUMMYFUNCTION("""COMPUTED_VALUE"""),"1280")</f>
        <v>1280</v>
      </c>
      <c r="P745" s="3" t="str">
        <f ca="1">IFERROR(__xludf.DUMMYFUNCTION("""COMPUTED_VALUE"""),"720")</f>
        <v>720</v>
      </c>
      <c r="Q745" s="3" t="str">
        <f ca="1">IFERROR(__xludf.DUMMYFUNCTION("""COMPUTED_VALUE"""),"16:9")</f>
        <v>16:9</v>
      </c>
      <c r="R745" s="3"/>
      <c r="S745" s="3" t="str">
        <f ca="1">IFERROR(__xludf.DUMMYFUNCTION("""COMPUTED_VALUE"""),"100")</f>
        <v>100</v>
      </c>
      <c r="T745" s="3"/>
      <c r="U745" s="3" t="str">
        <f ca="1">IFERROR(__xludf.DUMMYFUNCTION("""COMPUTED_VALUE"""),"videospot")</f>
        <v>videospot</v>
      </c>
      <c r="V745" s="3"/>
      <c r="W745" s="4" t="str">
        <f ca="1">IFERROR(__xludf.DUMMYFUNCTION("""COMPUTED_VALUE"""),"https://reklama.cncenter.cz/Online/Outstream")</f>
        <v>https://reklama.cncenter.cz/Online/Outstream</v>
      </c>
      <c r="X745" s="3"/>
      <c r="Y745" s="3"/>
      <c r="Z745" s="3" t="str">
        <f ca="1">IFERROR(__xludf.DUMMYFUNCTION("""COMPUTED_VALUE"""),"podklady@cncenter.cz")</f>
        <v>podklady@cncenter.cz</v>
      </c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 t="str">
        <f ca="1">IFERROR(__xludf.DUMMYFUNCTION("""COMPUTED_VALUE"""),"cross-device")</f>
        <v>cross-device</v>
      </c>
      <c r="AO745" s="3"/>
      <c r="AP745" s="3"/>
      <c r="AQ745" s="3"/>
      <c r="AR745" s="3"/>
      <c r="AS745" s="3"/>
      <c r="AT745" s="3"/>
      <c r="AU745" s="3" t="str">
        <f ca="1">IFERROR(__xludf.DUMMYFUNCTION("""COMPUTED_VALUE"""),"cílený outstream")</f>
        <v>cílený outstream</v>
      </c>
    </row>
    <row r="746" spans="1:47" x14ac:dyDescent="0.3">
      <c r="A746" s="3">
        <f ca="1"/>
        <v>2346826</v>
      </c>
      <c r="B746" s="3" t="str">
        <f ca="1"/>
        <v>CZECH NEWS CENTER a. s.</v>
      </c>
      <c r="C746" s="3" t="str">
        <f ca="1">IFERROR(__xludf.DUMMYFUNCTION("""COMPUTED_VALUE"""),"Maminka")</f>
        <v>Maminka</v>
      </c>
      <c r="D746" s="4" t="str">
        <f ca="1">IFERROR(__xludf.DUMMYFUNCTION("""COMPUTED_VALUE"""),"https://maminka.cz")</f>
        <v>https://maminka.cz</v>
      </c>
      <c r="E746" s="3" t="str">
        <f ca="1">IFERROR(__xludf.DUMMYFUNCTION("""COMPUTED_VALUE"""),"celý web")</f>
        <v>celý web</v>
      </c>
      <c r="F746" s="4" t="str">
        <f ca="1">IFERROR(__xludf.DUMMYFUNCTION("""COMPUTED_VALUE"""),"https://maminka.cz")</f>
        <v>https://maminka.cz</v>
      </c>
      <c r="G746" s="3" t="str">
        <f ca="1">IFERROR(__xludf.DUMMYFUNCTION("""COMPUTED_VALUE"""),"cílený videospot - max. 30 sec. / bumper mid season")</f>
        <v>cílený videospot - max. 30 sec. / bumper mid season</v>
      </c>
      <c r="H746" s="3">
        <f ca="1">IFERROR(__xludf.DUMMYFUNCTION("""COMPUTED_VALUE"""),7)</f>
        <v>7</v>
      </c>
      <c r="I746" s="5">
        <f ca="1">IFERROR(__xludf.DUMMYFUNCTION("""COMPUTED_VALUE"""),1000)</f>
        <v>1000</v>
      </c>
      <c r="J746" s="5">
        <f ca="1">IFERROR(__xludf.DUMMYFUNCTION("""COMPUTED_VALUE"""),1248)</f>
        <v>1248</v>
      </c>
      <c r="K746" s="3"/>
      <c r="L746" s="3" t="str">
        <f ca="1">IFERROR(__xludf.DUMMYFUNCTION("""COMPUTED_VALUE"""),"Cost per period")</f>
        <v>Cost per period</v>
      </c>
      <c r="M746" s="3"/>
      <c r="N746" s="3"/>
      <c r="O746" s="3" t="str">
        <f ca="1">IFERROR(__xludf.DUMMYFUNCTION("""COMPUTED_VALUE"""),"1280")</f>
        <v>1280</v>
      </c>
      <c r="P746" s="3" t="str">
        <f ca="1">IFERROR(__xludf.DUMMYFUNCTION("""COMPUTED_VALUE"""),"720")</f>
        <v>720</v>
      </c>
      <c r="Q746" s="3" t="str">
        <f ca="1">IFERROR(__xludf.DUMMYFUNCTION("""COMPUTED_VALUE"""),"16:9 / umístění po domluvě dle možností")</f>
        <v>16:9 / umístění po domluvě dle možností</v>
      </c>
      <c r="R746" s="3" t="str">
        <f ca="1">IFERROR(__xludf.DUMMYFUNCTION("""COMPUTED_VALUE"""),"přeskočení po 7 sekundách")</f>
        <v>přeskočení po 7 sekundách</v>
      </c>
      <c r="S746" s="3" t="str">
        <f ca="1">IFERROR(__xludf.DUMMYFUNCTION("""COMPUTED_VALUE"""),"100")</f>
        <v>100</v>
      </c>
      <c r="T746" s="3"/>
      <c r="U746" s="3" t="str">
        <f ca="1">IFERROR(__xludf.DUMMYFUNCTION("""COMPUTED_VALUE"""),"videospot")</f>
        <v>videospot</v>
      </c>
      <c r="V746" s="3"/>
      <c r="W746" s="4" t="str">
        <f ca="1">IFERROR(__xludf.DUMMYFUNCTION("""COMPUTED_VALUE"""),"https://reklama.cncenter.cz/Online/Bumper")</f>
        <v>https://reklama.cncenter.cz/Online/Bumper</v>
      </c>
      <c r="X746" s="3"/>
      <c r="Y746" s="3"/>
      <c r="Z746" s="3" t="str">
        <f ca="1">IFERROR(__xludf.DUMMYFUNCTION("""COMPUTED_VALUE"""),"podklady@cncenter.cz")</f>
        <v>podklady@cncenter.cz</v>
      </c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 t="str">
        <f ca="1">IFERROR(__xludf.DUMMYFUNCTION("""COMPUTED_VALUE"""),"cross-device")</f>
        <v>cross-device</v>
      </c>
      <c r="AO746" s="3"/>
      <c r="AP746" s="3"/>
      <c r="AQ746" s="3"/>
      <c r="AR746" s="3"/>
      <c r="AS746" s="3"/>
      <c r="AT746" s="3"/>
      <c r="AU746" s="3" t="str">
        <f ca="1">IFERROR(__xludf.DUMMYFUNCTION("""COMPUTED_VALUE"""),"cílený videospot - max. 30 sec. / bumper")</f>
        <v>cílený videospot - max. 30 sec. / bumper</v>
      </c>
    </row>
    <row r="747" spans="1:47" x14ac:dyDescent="0.3">
      <c r="A747" s="3">
        <f ca="1"/>
        <v>2346826</v>
      </c>
      <c r="B747" s="3" t="str">
        <f ca="1"/>
        <v>CZECH NEWS CENTER a. s.</v>
      </c>
      <c r="C747" s="3" t="str">
        <f ca="1">IFERROR(__xludf.DUMMYFUNCTION("""COMPUTED_VALUE"""),"Maminka")</f>
        <v>Maminka</v>
      </c>
      <c r="D747" s="4" t="str">
        <f ca="1">IFERROR(__xludf.DUMMYFUNCTION("""COMPUTED_VALUE"""),"https://maminka.cz")</f>
        <v>https://maminka.cz</v>
      </c>
      <c r="E747" s="3" t="str">
        <f ca="1">IFERROR(__xludf.DUMMYFUNCTION("""COMPUTED_VALUE"""),"celý web")</f>
        <v>celý web</v>
      </c>
      <c r="F747" s="4" t="str">
        <f ca="1">IFERROR(__xludf.DUMMYFUNCTION("""COMPUTED_VALUE"""),"https://maminka.cz")</f>
        <v>https://maminka.cz</v>
      </c>
      <c r="G747" s="3" t="str">
        <f ca="1">IFERROR(__xludf.DUMMYFUNCTION("""COMPUTED_VALUE"""),"dokoupení proma o 2 týdny - 10 000 PV *** mid season")</f>
        <v>dokoupení proma o 2 týdny - 10 000 PV *** mid season</v>
      </c>
      <c r="H747" s="3">
        <f ca="1">IFERROR(__xludf.DUMMYFUNCTION("""COMPUTED_VALUE"""),1)</f>
        <v>1</v>
      </c>
      <c r="I747" s="5">
        <f ca="1">IFERROR(__xludf.DUMMYFUNCTION("""COMPUTED_VALUE"""),1)</f>
        <v>1</v>
      </c>
      <c r="J747" s="5">
        <f ca="1">IFERROR(__xludf.DUMMYFUNCTION("""COMPUTED_VALUE"""),60000)</f>
        <v>60000</v>
      </c>
      <c r="K747" s="3"/>
      <c r="L747" s="3" t="str">
        <f ca="1">IFERROR(__xludf.DUMMYFUNCTION("""COMPUTED_VALUE"""),"Cost per instance")</f>
        <v>Cost per instance</v>
      </c>
      <c r="M747" s="3"/>
      <c r="N747" s="3"/>
      <c r="O747" s="3"/>
      <c r="P747" s="3"/>
      <c r="Q747" s="3"/>
      <c r="R747" s="3"/>
      <c r="S747" s="3" t="str">
        <f ca="1">IFERROR(__xludf.DUMMYFUNCTION("""COMPUTED_VALUE"""),"100")</f>
        <v>100</v>
      </c>
      <c r="T747" s="3"/>
      <c r="U747" s="3" t="str">
        <f ca="1">IFERROR(__xludf.DUMMYFUNCTION("""COMPUTED_VALUE"""),"microsite")</f>
        <v>microsite</v>
      </c>
      <c r="V747" s="3"/>
      <c r="W747" s="3"/>
      <c r="X747" s="3"/>
      <c r="Y747" s="3"/>
      <c r="Z747" s="3" t="str">
        <f ca="1">IFERROR(__xludf.DUMMYFUNCTION("""COMPUTED_VALUE"""),"podklady@cncenter.cz")</f>
        <v>podklady@cncenter.cz</v>
      </c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 t="str">
        <f ca="1">IFERROR(__xludf.DUMMYFUNCTION("""COMPUTED_VALUE"""),"cross-device")</f>
        <v>cross-device</v>
      </c>
      <c r="AO747" s="3"/>
      <c r="AP747" s="3"/>
      <c r="AQ747" s="3"/>
      <c r="AR747" s="3"/>
      <c r="AS747" s="3"/>
      <c r="AT747" s="3"/>
      <c r="AU747" s="3" t="str">
        <f ca="1">IFERROR(__xludf.DUMMYFUNCTION("""COMPUTED_VALUE"""),"dokoupení proma o 2 týdny - 10 000 PV ***")</f>
        <v>dokoupení proma o 2 týdny - 10 000 PV ***</v>
      </c>
    </row>
    <row r="748" spans="1:47" x14ac:dyDescent="0.3">
      <c r="A748" s="3">
        <f ca="1"/>
        <v>2346826</v>
      </c>
      <c r="B748" s="3" t="str">
        <f ca="1"/>
        <v>CZECH NEWS CENTER a. s.</v>
      </c>
      <c r="C748" s="3" t="str">
        <f ca="1">IFERROR(__xludf.DUMMYFUNCTION("""COMPUTED_VALUE"""),"Maminka")</f>
        <v>Maminka</v>
      </c>
      <c r="D748" s="4" t="str">
        <f ca="1">IFERROR(__xludf.DUMMYFUNCTION("""COMPUTED_VALUE"""),"https://maminka.cz")</f>
        <v>https://maminka.cz</v>
      </c>
      <c r="E748" s="3" t="str">
        <f ca="1">IFERROR(__xludf.DUMMYFUNCTION("""COMPUTED_VALUE"""),"celý web")</f>
        <v>celý web</v>
      </c>
      <c r="F748" s="4" t="str">
        <f ca="1">IFERROR(__xludf.DUMMYFUNCTION("""COMPUTED_VALUE"""),"https://maminka.cz")</f>
        <v>https://maminka.cz</v>
      </c>
      <c r="G748" s="3" t="str">
        <f ca="1">IFERROR(__xludf.DUMMYFUNCTION("""COMPUTED_VALUE"""),"double skyscraper mid season")</f>
        <v>double skyscraper mid season</v>
      </c>
      <c r="H748" s="3">
        <f ca="1">IFERROR(__xludf.DUMMYFUNCTION("""COMPUTED_VALUE"""),7)</f>
        <v>7</v>
      </c>
      <c r="I748" s="5">
        <f ca="1">IFERROR(__xludf.DUMMYFUNCTION("""COMPUTED_VALUE"""),1000)</f>
        <v>1000</v>
      </c>
      <c r="J748" s="5">
        <f ca="1">IFERROR(__xludf.DUMMYFUNCTION("""COMPUTED_VALUE"""),270)</f>
        <v>270</v>
      </c>
      <c r="K748" s="3"/>
      <c r="L748" s="3" t="str">
        <f ca="1">IFERROR(__xludf.DUMMYFUNCTION("""COMPUTED_VALUE"""),"Cost per period")</f>
        <v>Cost per period</v>
      </c>
      <c r="M748" s="3"/>
      <c r="N748" s="3"/>
      <c r="O748" s="3" t="str">
        <f ca="1">IFERROR(__xludf.DUMMYFUNCTION("""COMPUTED_VALUE"""),"300")</f>
        <v>300</v>
      </c>
      <c r="P748" s="3" t="str">
        <f ca="1">IFERROR(__xludf.DUMMYFUNCTION("""COMPUTED_VALUE"""),"600")</f>
        <v>600</v>
      </c>
      <c r="Q748" s="3" t="str">
        <f ca="1">IFERROR(__xludf.DUMMYFUNCTION("""COMPUTED_VALUE"""),"300x600")</f>
        <v>300x600</v>
      </c>
      <c r="R748" s="3"/>
      <c r="S748" s="3" t="str">
        <f ca="1">IFERROR(__xludf.DUMMYFUNCTION("""COMPUTED_VALUE"""),"100 (200 - HTML5)")</f>
        <v>100 (200 - HTML5)</v>
      </c>
      <c r="T748" s="3"/>
      <c r="U748" s="3" t="str">
        <f ca="1">IFERROR(__xludf.DUMMYFUNCTION("""COMPUTED_VALUE"""),"banner standard")</f>
        <v>banner standard</v>
      </c>
      <c r="V748" s="3"/>
      <c r="W748" s="4" t="str">
        <f ca="1">IFERROR(__xludf.DUMMYFUNCTION("""COMPUTED_VALUE"""),"https://reklama.cncenter.cz/Online/double-skyscraper")</f>
        <v>https://reklama.cncenter.cz/Online/double-skyscraper</v>
      </c>
      <c r="X748" s="3"/>
      <c r="Y748" s="3"/>
      <c r="Z748" s="3" t="str">
        <f ca="1">IFERROR(__xludf.DUMMYFUNCTION("""COMPUTED_VALUE"""),"podklady@cncenter.cz")</f>
        <v>podklady@cncenter.cz</v>
      </c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 t="str">
        <f ca="1">IFERROR(__xludf.DUMMYFUNCTION("""COMPUTED_VALUE"""),"desktop")</f>
        <v>desktop</v>
      </c>
      <c r="AO748" s="3"/>
      <c r="AP748" s="3"/>
      <c r="AQ748" s="3"/>
      <c r="AR748" s="3"/>
      <c r="AS748" s="3"/>
      <c r="AT748" s="3"/>
      <c r="AU748" s="3" t="str">
        <f ca="1">IFERROR(__xludf.DUMMYFUNCTION("""COMPUTED_VALUE"""),"double skyscraper")</f>
        <v>double skyscraper</v>
      </c>
    </row>
    <row r="749" spans="1:47" x14ac:dyDescent="0.3">
      <c r="A749" s="3">
        <f ca="1"/>
        <v>2346826</v>
      </c>
      <c r="B749" s="3" t="str">
        <f ca="1"/>
        <v>CZECH NEWS CENTER a. s.</v>
      </c>
      <c r="C749" s="3" t="str">
        <f ca="1">IFERROR(__xludf.DUMMYFUNCTION("""COMPUTED_VALUE"""),"Maminka")</f>
        <v>Maminka</v>
      </c>
      <c r="D749" s="4" t="str">
        <f ca="1">IFERROR(__xludf.DUMMYFUNCTION("""COMPUTED_VALUE"""),"https://maminka.cz")</f>
        <v>https://maminka.cz</v>
      </c>
      <c r="E749" s="3" t="str">
        <f ca="1">IFERROR(__xludf.DUMMYFUNCTION("""COMPUTED_VALUE"""),"celý web")</f>
        <v>celý web</v>
      </c>
      <c r="F749" s="4" t="str">
        <f ca="1">IFERROR(__xludf.DUMMYFUNCTION("""COMPUTED_VALUE"""),"https://maminka.cz")</f>
        <v>https://maminka.cz</v>
      </c>
      <c r="G749" s="3" t="str">
        <f ca="1">IFERROR(__xludf.DUMMYFUNCTION("""COMPUTED_VALUE"""),"mini videospot - max. 30 sec. mid season")</f>
        <v>mini videospot - max. 30 sec. mid season</v>
      </c>
      <c r="H749" s="3">
        <f ca="1">IFERROR(__xludf.DUMMYFUNCTION("""COMPUTED_VALUE"""),7)</f>
        <v>7</v>
      </c>
      <c r="I749" s="5">
        <f ca="1">IFERROR(__xludf.DUMMYFUNCTION("""COMPUTED_VALUE"""),1000)</f>
        <v>1000</v>
      </c>
      <c r="J749" s="5">
        <f ca="1">IFERROR(__xludf.DUMMYFUNCTION("""COMPUTED_VALUE"""),200)</f>
        <v>200</v>
      </c>
      <c r="K749" s="3"/>
      <c r="L749" s="3" t="str">
        <f ca="1">IFERROR(__xludf.DUMMYFUNCTION("""COMPUTED_VALUE"""),"Cost per period")</f>
        <v>Cost per period</v>
      </c>
      <c r="M749" s="3"/>
      <c r="N749" s="3"/>
      <c r="O749" s="3"/>
      <c r="P749" s="3"/>
      <c r="Q749" s="3" t="str">
        <f ca="1">IFERROR(__xludf.DUMMYFUNCTION("""COMPUTED_VALUE"""),"16:9 / umístění po domluvě dle možností")</f>
        <v>16:9 / umístění po domluvě dle možností</v>
      </c>
      <c r="R749" s="3" t="str">
        <f ca="1">IFERROR(__xludf.DUMMYFUNCTION("""COMPUTED_VALUE"""),"přeskočení po 7 sekundách")</f>
        <v>přeskočení po 7 sekundách</v>
      </c>
      <c r="S749" s="3" t="str">
        <f ca="1">IFERROR(__xludf.DUMMYFUNCTION("""COMPUTED_VALUE"""),"100")</f>
        <v>100</v>
      </c>
      <c r="T749" s="3"/>
      <c r="U749" s="3" t="str">
        <f ca="1">IFERROR(__xludf.DUMMYFUNCTION("""COMPUTED_VALUE"""),"videospot")</f>
        <v>videospot</v>
      </c>
      <c r="V749" s="3"/>
      <c r="W749" s="4" t="str">
        <f ca="1">IFERROR(__xludf.DUMMYFUNCTION("""COMPUTED_VALUE"""),"https://reklama.cncenter.cz/Online/Videospot")</f>
        <v>https://reklama.cncenter.cz/Online/Videospot</v>
      </c>
      <c r="X749" s="3"/>
      <c r="Y749" s="3"/>
      <c r="Z749" s="3" t="str">
        <f ca="1">IFERROR(__xludf.DUMMYFUNCTION("""COMPUTED_VALUE"""),"podklady@cncenter.cz")</f>
        <v>podklady@cncenter.cz</v>
      </c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 t="str">
        <f ca="1">IFERROR(__xludf.DUMMYFUNCTION("""COMPUTED_VALUE"""),"desktop")</f>
        <v>desktop</v>
      </c>
      <c r="AO749" s="3"/>
      <c r="AP749" s="3"/>
      <c r="AQ749" s="3"/>
      <c r="AR749" s="3"/>
      <c r="AS749" s="3"/>
      <c r="AT749" s="3"/>
      <c r="AU749" s="3" t="str">
        <f ca="1">IFERROR(__xludf.DUMMYFUNCTION("""COMPUTED_VALUE"""),"mini videospot - max. 30 sec.")</f>
        <v>mini videospot - max. 30 sec.</v>
      </c>
    </row>
    <row r="750" spans="1:47" x14ac:dyDescent="0.3">
      <c r="A750" s="3">
        <f ca="1"/>
        <v>2346826</v>
      </c>
      <c r="B750" s="3" t="str">
        <f ca="1"/>
        <v>CZECH NEWS CENTER a. s.</v>
      </c>
      <c r="C750" s="3" t="str">
        <f ca="1">IFERROR(__xludf.DUMMYFUNCTION("""COMPUTED_VALUE"""),"Maminka")</f>
        <v>Maminka</v>
      </c>
      <c r="D750" s="4" t="str">
        <f ca="1">IFERROR(__xludf.DUMMYFUNCTION("""COMPUTED_VALUE"""),"https://maminka.cz")</f>
        <v>https://maminka.cz</v>
      </c>
      <c r="E750" s="3" t="str">
        <f ca="1">IFERROR(__xludf.DUMMYFUNCTION("""COMPUTED_VALUE"""),"celý web")</f>
        <v>celý web</v>
      </c>
      <c r="F750" s="4" t="str">
        <f ca="1">IFERROR(__xludf.DUMMYFUNCTION("""COMPUTED_VALUE"""),"https://maminka.cz")</f>
        <v>https://maminka.cz</v>
      </c>
      <c r="G750" s="3" t="str">
        <f ca="1">IFERROR(__xludf.DUMMYFUNCTION("""COMPUTED_VALUE"""),"mobilní interscroller mid season")</f>
        <v>mobilní interscroller mid season</v>
      </c>
      <c r="H750" s="3">
        <f ca="1">IFERROR(__xludf.DUMMYFUNCTION("""COMPUTED_VALUE"""),7)</f>
        <v>7</v>
      </c>
      <c r="I750" s="5">
        <f ca="1">IFERROR(__xludf.DUMMYFUNCTION("""COMPUTED_VALUE"""),1000)</f>
        <v>1000</v>
      </c>
      <c r="J750" s="5">
        <f ca="1">IFERROR(__xludf.DUMMYFUNCTION("""COMPUTED_VALUE"""),350)</f>
        <v>350</v>
      </c>
      <c r="K750" s="3"/>
      <c r="L750" s="3" t="str">
        <f ca="1">IFERROR(__xludf.DUMMYFUNCTION("""COMPUTED_VALUE"""),"Cost per period")</f>
        <v>Cost per period</v>
      </c>
      <c r="M750" s="3"/>
      <c r="N750" s="3"/>
      <c r="O750" s="3" t="str">
        <f ca="1">IFERROR(__xludf.DUMMYFUNCTION("""COMPUTED_VALUE"""),"600")</f>
        <v>600</v>
      </c>
      <c r="P750" s="3" t="str">
        <f ca="1">IFERROR(__xludf.DUMMYFUNCTION("""COMPUTED_VALUE"""),"1080")</f>
        <v>1080</v>
      </c>
      <c r="Q750" s="3" t="str">
        <f ca="1">IFERROR(__xludf.DUMMYFUNCTION("""COMPUTED_VALUE"""),"600x1080")</f>
        <v>600x1080</v>
      </c>
      <c r="R750" s="3"/>
      <c r="S750" s="3" t="str">
        <f ca="1">IFERROR(__xludf.DUMMYFUNCTION("""COMPUTED_VALUE"""),"200")</f>
        <v>200</v>
      </c>
      <c r="T750" s="3"/>
      <c r="U750" s="3" t="str">
        <f ca="1">IFERROR(__xludf.DUMMYFUNCTION("""COMPUTED_VALUE"""),"banner standard")</f>
        <v>banner standard</v>
      </c>
      <c r="V750" s="3"/>
      <c r="W750" s="4" t="str">
        <f ca="1">IFERROR(__xludf.DUMMYFUNCTION("""COMPUTED_VALUE"""),"https://reklama.cncenter.cz/Online/mobilni-interscroller")</f>
        <v>https://reklama.cncenter.cz/Online/mobilni-interscroller</v>
      </c>
      <c r="X750" s="3"/>
      <c r="Y750" s="3"/>
      <c r="Z750" s="3" t="str">
        <f ca="1">IFERROR(__xludf.DUMMYFUNCTION("""COMPUTED_VALUE"""),"podklady@cncenter.cz")</f>
        <v>podklady@cncenter.cz</v>
      </c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 t="str">
        <f ca="1">IFERROR(__xludf.DUMMYFUNCTION("""COMPUTED_VALUE"""),"mobile")</f>
        <v>mobile</v>
      </c>
      <c r="AO750" s="3"/>
      <c r="AP750" s="3"/>
      <c r="AQ750" s="3"/>
      <c r="AR750" s="3"/>
      <c r="AS750" s="3"/>
      <c r="AT750" s="3"/>
      <c r="AU750" s="3" t="str">
        <f ca="1">IFERROR(__xludf.DUMMYFUNCTION("""COMPUTED_VALUE"""),"mobilní interscroller")</f>
        <v>mobilní interscroller</v>
      </c>
    </row>
    <row r="751" spans="1:47" x14ac:dyDescent="0.3">
      <c r="A751" s="3">
        <f ca="1"/>
        <v>2346826</v>
      </c>
      <c r="B751" s="3" t="str">
        <f ca="1"/>
        <v>CZECH NEWS CENTER a. s.</v>
      </c>
      <c r="C751" s="3" t="str">
        <f ca="1">IFERROR(__xludf.DUMMYFUNCTION("""COMPUTED_VALUE"""),"Maminka")</f>
        <v>Maminka</v>
      </c>
      <c r="D751" s="4" t="str">
        <f ca="1">IFERROR(__xludf.DUMMYFUNCTION("""COMPUTED_VALUE"""),"https://maminka.cz")</f>
        <v>https://maminka.cz</v>
      </c>
      <c r="E751" s="3" t="str">
        <f ca="1">IFERROR(__xludf.DUMMYFUNCTION("""COMPUTED_VALUE"""),"celý web")</f>
        <v>celý web</v>
      </c>
      <c r="F751" s="4" t="str">
        <f ca="1">IFERROR(__xludf.DUMMYFUNCTION("""COMPUTED_VALUE"""),"https://maminka.cz")</f>
        <v>https://maminka.cz</v>
      </c>
      <c r="G751" s="3" t="str">
        <f ca="1">IFERROR(__xludf.DUMMYFUNCTION("""COMPUTED_VALUE"""),"mobilní slide-up mid season")</f>
        <v>mobilní slide-up mid season</v>
      </c>
      <c r="H751" s="3">
        <f ca="1">IFERROR(__xludf.DUMMYFUNCTION("""COMPUTED_VALUE"""),7)</f>
        <v>7</v>
      </c>
      <c r="I751" s="5">
        <f ca="1">IFERROR(__xludf.DUMMYFUNCTION("""COMPUTED_VALUE"""),1000)</f>
        <v>1000</v>
      </c>
      <c r="J751" s="5">
        <f ca="1">IFERROR(__xludf.DUMMYFUNCTION("""COMPUTED_VALUE"""),720)</f>
        <v>720</v>
      </c>
      <c r="K751" s="3"/>
      <c r="L751" s="3" t="str">
        <f ca="1">IFERROR(__xludf.DUMMYFUNCTION("""COMPUTED_VALUE"""),"Cost per period")</f>
        <v>Cost per period</v>
      </c>
      <c r="M751" s="3"/>
      <c r="N751" s="3"/>
      <c r="O751" s="3" t="str">
        <f ca="1">IFERROR(__xludf.DUMMYFUNCTION("""COMPUTED_VALUE"""),"300")</f>
        <v>300</v>
      </c>
      <c r="P751" s="3" t="str">
        <f ca="1">IFERROR(__xludf.DUMMYFUNCTION("""COMPUTED_VALUE"""),"120")</f>
        <v>120</v>
      </c>
      <c r="Q751" s="3" t="str">
        <f ca="1">IFERROR(__xludf.DUMMYFUNCTION("""COMPUTED_VALUE"""),"300x120")</f>
        <v>300x120</v>
      </c>
      <c r="R751" s="3"/>
      <c r="S751" s="3" t="str">
        <f ca="1">IFERROR(__xludf.DUMMYFUNCTION("""COMPUTED_VALUE"""),"100")</f>
        <v>100</v>
      </c>
      <c r="T751" s="3"/>
      <c r="U751" s="3" t="str">
        <f ca="1">IFERROR(__xludf.DUMMYFUNCTION("""COMPUTED_VALUE"""),"banner standard")</f>
        <v>banner standard</v>
      </c>
      <c r="V751" s="3"/>
      <c r="W751" s="4" t="str">
        <f ca="1">IFERROR(__xludf.DUMMYFUNCTION("""COMPUTED_VALUE"""),"https://reklama.cncenter.cz/Online/mobilni-slide-up")</f>
        <v>https://reklama.cncenter.cz/Online/mobilni-slide-up</v>
      </c>
      <c r="X751" s="3"/>
      <c r="Y751" s="3"/>
      <c r="Z751" s="3" t="str">
        <f ca="1">IFERROR(__xludf.DUMMYFUNCTION("""COMPUTED_VALUE"""),"podklady@cncenter.cz")</f>
        <v>podklady@cncenter.cz</v>
      </c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 t="str">
        <f ca="1">IFERROR(__xludf.DUMMYFUNCTION("""COMPUTED_VALUE"""),"mobile")</f>
        <v>mobile</v>
      </c>
      <c r="AO751" s="3"/>
      <c r="AP751" s="3"/>
      <c r="AQ751" s="3"/>
      <c r="AR751" s="3"/>
      <c r="AS751" s="3"/>
      <c r="AT751" s="3"/>
      <c r="AU751" s="3" t="str">
        <f ca="1">IFERROR(__xludf.DUMMYFUNCTION("""COMPUTED_VALUE"""),"mobilní slide-up")</f>
        <v>mobilní slide-up</v>
      </c>
    </row>
    <row r="752" spans="1:47" x14ac:dyDescent="0.3">
      <c r="A752" s="3">
        <f ca="1"/>
        <v>2346826</v>
      </c>
      <c r="B752" s="3" t="str">
        <f ca="1"/>
        <v>CZECH NEWS CENTER a. s.</v>
      </c>
      <c r="C752" s="3" t="str">
        <f ca="1">IFERROR(__xludf.DUMMYFUNCTION("""COMPUTED_VALUE"""),"Maminka")</f>
        <v>Maminka</v>
      </c>
      <c r="D752" s="4" t="str">
        <f ca="1">IFERROR(__xludf.DUMMYFUNCTION("""COMPUTED_VALUE"""),"https://maminka.cz")</f>
        <v>https://maminka.cz</v>
      </c>
      <c r="E752" s="3" t="str">
        <f ca="1">IFERROR(__xludf.DUMMYFUNCTION("""COMPUTED_VALUE"""),"celý web")</f>
        <v>celý web</v>
      </c>
      <c r="F752" s="4" t="str">
        <f ca="1">IFERROR(__xludf.DUMMYFUNCTION("""COMPUTED_VALUE"""),"https://maminka.cz")</f>
        <v>https://maminka.cz</v>
      </c>
      <c r="G752" s="3" t="str">
        <f ca="1">IFERROR(__xludf.DUMMYFUNCTION("""COMPUTED_VALUE"""),"mobilní viněta mid season")</f>
        <v>mobilní viněta mid season</v>
      </c>
      <c r="H752" s="3">
        <f ca="1">IFERROR(__xludf.DUMMYFUNCTION("""COMPUTED_VALUE"""),7)</f>
        <v>7</v>
      </c>
      <c r="I752" s="5">
        <f ca="1">IFERROR(__xludf.DUMMYFUNCTION("""COMPUTED_VALUE"""),1000)</f>
        <v>1000</v>
      </c>
      <c r="J752" s="5">
        <f ca="1">IFERROR(__xludf.DUMMYFUNCTION("""COMPUTED_VALUE"""),1240)</f>
        <v>1240</v>
      </c>
      <c r="K752" s="3"/>
      <c r="L752" s="3" t="str">
        <f ca="1">IFERROR(__xludf.DUMMYFUNCTION("""COMPUTED_VALUE"""),"Cost per period")</f>
        <v>Cost per period</v>
      </c>
      <c r="M752" s="3"/>
      <c r="N752" s="3"/>
      <c r="O752" s="3" t="str">
        <f ca="1">IFERROR(__xludf.DUMMYFUNCTION("""COMPUTED_VALUE"""),"600")</f>
        <v>600</v>
      </c>
      <c r="P752" s="3" t="str">
        <f ca="1">IFERROR(__xludf.DUMMYFUNCTION("""COMPUTED_VALUE"""),"800")</f>
        <v>800</v>
      </c>
      <c r="Q752" s="3" t="str">
        <f ca="1">IFERROR(__xludf.DUMMYFUNCTION("""COMPUTED_VALUE"""),"300x250 nebo 600x800")</f>
        <v>300x250 nebo 600x800</v>
      </c>
      <c r="R752" s="3"/>
      <c r="S752" s="3" t="str">
        <f ca="1">IFERROR(__xludf.DUMMYFUNCTION("""COMPUTED_VALUE"""),"100")</f>
        <v>100</v>
      </c>
      <c r="T752" s="3"/>
      <c r="U752" s="3" t="str">
        <f ca="1">IFERROR(__xludf.DUMMYFUNCTION("""COMPUTED_VALUE"""),"banner standard")</f>
        <v>banner standard</v>
      </c>
      <c r="V752" s="3"/>
      <c r="W752" s="4" t="str">
        <f ca="1">IFERROR(__xludf.DUMMYFUNCTION("""COMPUTED_VALUE"""),"https://reklama.cncenter.cz/Online/mobilni-vineta")</f>
        <v>https://reklama.cncenter.cz/Online/mobilni-vineta</v>
      </c>
      <c r="X752" s="3"/>
      <c r="Y752" s="3"/>
      <c r="Z752" s="3" t="str">
        <f ca="1">IFERROR(__xludf.DUMMYFUNCTION("""COMPUTED_VALUE"""),"podklady@cncenter.cz")</f>
        <v>podklady@cncenter.cz</v>
      </c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 t="str">
        <f ca="1">IFERROR(__xludf.DUMMYFUNCTION("""COMPUTED_VALUE"""),"mobile")</f>
        <v>mobile</v>
      </c>
      <c r="AO752" s="3"/>
      <c r="AP752" s="3"/>
      <c r="AQ752" s="3"/>
      <c r="AR752" s="3"/>
      <c r="AS752" s="3"/>
      <c r="AT752" s="3"/>
      <c r="AU752" s="3" t="str">
        <f ca="1">IFERROR(__xludf.DUMMYFUNCTION("""COMPUTED_VALUE"""),"mobilní viněta")</f>
        <v>mobilní viněta</v>
      </c>
    </row>
    <row r="753" spans="1:47" x14ac:dyDescent="0.3">
      <c r="A753" s="3">
        <f ca="1"/>
        <v>2346826</v>
      </c>
      <c r="B753" s="3" t="str">
        <f ca="1"/>
        <v>CZECH NEWS CENTER a. s.</v>
      </c>
      <c r="C753" s="3" t="str">
        <f ca="1">IFERROR(__xludf.DUMMYFUNCTION("""COMPUTED_VALUE"""),"Maminka")</f>
        <v>Maminka</v>
      </c>
      <c r="D753" s="4" t="str">
        <f ca="1">IFERROR(__xludf.DUMMYFUNCTION("""COMPUTED_VALUE"""),"https://maminka.cz")</f>
        <v>https://maminka.cz</v>
      </c>
      <c r="E753" s="3" t="str">
        <f ca="1">IFERROR(__xludf.DUMMYFUNCTION("""COMPUTED_VALUE"""),"celý web")</f>
        <v>celý web</v>
      </c>
      <c r="F753" s="4" t="str">
        <f ca="1">IFERROR(__xludf.DUMMYFUNCTION("""COMPUTED_VALUE"""),"https://maminka.cz")</f>
        <v>https://maminka.cz</v>
      </c>
      <c r="G753" s="3" t="str">
        <f ca="1">IFERROR(__xludf.DUMMYFUNCTION("""COMPUTED_VALUE"""),"Native Standard mid season")</f>
        <v>Native Standard mid season</v>
      </c>
      <c r="H753" s="3">
        <f ca="1">IFERROR(__xludf.DUMMYFUNCTION("""COMPUTED_VALUE"""),1)</f>
        <v>1</v>
      </c>
      <c r="I753" s="5">
        <f ca="1">IFERROR(__xludf.DUMMYFUNCTION("""COMPUTED_VALUE"""),1)</f>
        <v>1</v>
      </c>
      <c r="J753" s="5">
        <f ca="1">IFERROR(__xludf.DUMMYFUNCTION("""COMPUTED_VALUE"""),330000)</f>
        <v>330000</v>
      </c>
      <c r="K753" s="3"/>
      <c r="L753" s="3" t="str">
        <f ca="1">IFERROR(__xludf.DUMMYFUNCTION("""COMPUTED_VALUE"""),"Cost per instance")</f>
        <v>Cost per instance</v>
      </c>
      <c r="M753" s="3"/>
      <c r="N753" s="3"/>
      <c r="O753" s="3"/>
      <c r="P753" s="3"/>
      <c r="Q753" s="3"/>
      <c r="R753" s="3"/>
      <c r="S753" s="3" t="str">
        <f ca="1">IFERROR(__xludf.DUMMYFUNCTION("""COMPUTED_VALUE"""),"100")</f>
        <v>100</v>
      </c>
      <c r="T753" s="3"/>
      <c r="U753" s="3" t="str">
        <f ca="1">IFERROR(__xludf.DUMMYFUNCTION("""COMPUTED_VALUE"""),"microsite")</f>
        <v>microsite</v>
      </c>
      <c r="V753" s="3"/>
      <c r="W753" s="3"/>
      <c r="X753" s="3"/>
      <c r="Y753" s="3"/>
      <c r="Z753" s="3" t="str">
        <f ca="1">IFERROR(__xludf.DUMMYFUNCTION("""COMPUTED_VALUE"""),"podklady@cncenter.cz")</f>
        <v>podklady@cncenter.cz</v>
      </c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 t="str">
        <f ca="1">IFERROR(__xludf.DUMMYFUNCTION("""COMPUTED_VALUE"""),"cross-device")</f>
        <v>cross-device</v>
      </c>
      <c r="AO753" s="3"/>
      <c r="AP753" s="3"/>
      <c r="AQ753" s="3"/>
      <c r="AR753" s="3"/>
      <c r="AS753" s="3"/>
      <c r="AT753" s="3"/>
      <c r="AU753" s="3" t="str">
        <f ca="1">IFERROR(__xludf.DUMMYFUNCTION("""COMPUTED_VALUE"""),"Native Standard")</f>
        <v>Native Standard</v>
      </c>
    </row>
    <row r="754" spans="1:47" x14ac:dyDescent="0.3">
      <c r="A754" s="3">
        <f ca="1"/>
        <v>2346826</v>
      </c>
      <c r="B754" s="3" t="str">
        <f ca="1"/>
        <v>CZECH NEWS CENTER a. s.</v>
      </c>
      <c r="C754" s="3" t="str">
        <f ca="1">IFERROR(__xludf.DUMMYFUNCTION("""COMPUTED_VALUE"""),"Maminka")</f>
        <v>Maminka</v>
      </c>
      <c r="D754" s="4" t="str">
        <f ca="1">IFERROR(__xludf.DUMMYFUNCTION("""COMPUTED_VALUE"""),"https://maminka.cz")</f>
        <v>https://maminka.cz</v>
      </c>
      <c r="E754" s="3" t="str">
        <f ca="1">IFERROR(__xludf.DUMMYFUNCTION("""COMPUTED_VALUE"""),"celý web")</f>
        <v>celý web</v>
      </c>
      <c r="F754" s="4" t="str">
        <f ca="1">IFERROR(__xludf.DUMMYFUNCTION("""COMPUTED_VALUE"""),"https://maminka.cz")</f>
        <v>https://maminka.cz</v>
      </c>
      <c r="G754" s="3" t="str">
        <f ca="1">IFERROR(__xludf.DUMMYFUNCTION("""COMPUTED_VALUE"""),"nativní pr premium mid season")</f>
        <v>nativní pr premium mid season</v>
      </c>
      <c r="H754" s="3">
        <f ca="1">IFERROR(__xludf.DUMMYFUNCTION("""COMPUTED_VALUE"""),7)</f>
        <v>7</v>
      </c>
      <c r="I754" s="5">
        <f ca="1">IFERROR(__xludf.DUMMYFUNCTION("""COMPUTED_VALUE"""),1000)</f>
        <v>1000</v>
      </c>
      <c r="J754" s="5">
        <f ca="1">IFERROR(__xludf.DUMMYFUNCTION("""COMPUTED_VALUE"""),140)</f>
        <v>140</v>
      </c>
      <c r="K754" s="3"/>
      <c r="L754" s="3" t="str">
        <f ca="1">IFERROR(__xludf.DUMMYFUNCTION("""COMPUTED_VALUE"""),"Cost per period")</f>
        <v>Cost per period</v>
      </c>
      <c r="M754" s="3"/>
      <c r="N754" s="3"/>
      <c r="O754" s="3" t="str">
        <f ca="1">IFERROR(__xludf.DUMMYFUNCTION("""COMPUTED_VALUE"""),"640")</f>
        <v>640</v>
      </c>
      <c r="P754" s="3" t="str">
        <f ca="1">IFERROR(__xludf.DUMMYFUNCTION("""COMPUTED_VALUE"""),"335, 640")</f>
        <v>335, 640</v>
      </c>
      <c r="Q754" s="3" t="str">
        <f ca="1">IFERROR(__xludf.DUMMYFUNCTION("""COMPUTED_VALUE"""),"640x640 a 640x335 + text + logo")</f>
        <v>640x640 a 640x335 + text + logo</v>
      </c>
      <c r="R754" s="3" t="str">
        <f ca="1">IFERROR(__xludf.DUMMYFUNCTION("""COMPUTED_VALUE"""),"detailní specifikace na URL odkaze")</f>
        <v>detailní specifikace na URL odkaze</v>
      </c>
      <c r="S754" s="3" t="str">
        <f ca="1">IFERROR(__xludf.DUMMYFUNCTION("""COMPUTED_VALUE"""),"100")</f>
        <v>100</v>
      </c>
      <c r="T754" s="3"/>
      <c r="U754" s="3" t="str">
        <f ca="1">IFERROR(__xludf.DUMMYFUNCTION("""COMPUTED_VALUE"""),"nativní reklama")</f>
        <v>nativní reklama</v>
      </c>
      <c r="V754" s="3"/>
      <c r="W754" s="4" t="str">
        <f ca="1">IFERROR(__xludf.DUMMYFUNCTION("""COMPUTED_VALUE"""),"https://reklama.cncenter.cz/Online/nativni-PR-premium")</f>
        <v>https://reklama.cncenter.cz/Online/nativni-PR-premium</v>
      </c>
      <c r="X754" s="3"/>
      <c r="Y754" s="3"/>
      <c r="Z754" s="3" t="str">
        <f ca="1">IFERROR(__xludf.DUMMYFUNCTION("""COMPUTED_VALUE"""),"podklady@cncenter.cz")</f>
        <v>podklady@cncenter.cz</v>
      </c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 t="str">
        <f ca="1">IFERROR(__xludf.DUMMYFUNCTION("""COMPUTED_VALUE"""),"cross-device")</f>
        <v>cross-device</v>
      </c>
      <c r="AO754" s="3"/>
      <c r="AP754" s="3"/>
      <c r="AQ754" s="3"/>
      <c r="AR754" s="3"/>
      <c r="AS754" s="3"/>
      <c r="AT754" s="3"/>
      <c r="AU754" s="3" t="str">
        <f ca="1">IFERROR(__xludf.DUMMYFUNCTION("""COMPUTED_VALUE"""),"nativní pr premium")</f>
        <v>nativní pr premium</v>
      </c>
    </row>
    <row r="755" spans="1:47" x14ac:dyDescent="0.3">
      <c r="A755" s="3">
        <f ca="1"/>
        <v>2346826</v>
      </c>
      <c r="B755" s="3" t="str">
        <f ca="1"/>
        <v>CZECH NEWS CENTER a. s.</v>
      </c>
      <c r="C755" s="3" t="str">
        <f ca="1">IFERROR(__xludf.DUMMYFUNCTION("""COMPUTED_VALUE"""),"Maminka")</f>
        <v>Maminka</v>
      </c>
      <c r="D755" s="4" t="str">
        <f ca="1">IFERROR(__xludf.DUMMYFUNCTION("""COMPUTED_VALUE"""),"https://maminka.cz")</f>
        <v>https://maminka.cz</v>
      </c>
      <c r="E755" s="3" t="str">
        <f ca="1">IFERROR(__xludf.DUMMYFUNCTION("""COMPUTED_VALUE"""),"celý web")</f>
        <v>celý web</v>
      </c>
      <c r="F755" s="4" t="str">
        <f ca="1">IFERROR(__xludf.DUMMYFUNCTION("""COMPUTED_VALUE"""),"https://maminka.cz")</f>
        <v>https://maminka.cz</v>
      </c>
      <c r="G755" s="3" t="str">
        <f ca="1">IFERROR(__xludf.DUMMYFUNCTION("""COMPUTED_VALUE"""),"nativní rectangle cross-device mid season")</f>
        <v>nativní rectangle cross-device mid season</v>
      </c>
      <c r="H755" s="3">
        <f ca="1">IFERROR(__xludf.DUMMYFUNCTION("""COMPUTED_VALUE"""),7)</f>
        <v>7</v>
      </c>
      <c r="I755" s="5">
        <f ca="1">IFERROR(__xludf.DUMMYFUNCTION("""COMPUTED_VALUE"""),1000)</f>
        <v>1000</v>
      </c>
      <c r="J755" s="5">
        <f ca="1">IFERROR(__xludf.DUMMYFUNCTION("""COMPUTED_VALUE"""),280)</f>
        <v>280</v>
      </c>
      <c r="K755" s="3"/>
      <c r="L755" s="3" t="str">
        <f ca="1">IFERROR(__xludf.DUMMYFUNCTION("""COMPUTED_VALUE"""),"Cost per period")</f>
        <v>Cost per period</v>
      </c>
      <c r="M755" s="3"/>
      <c r="N755" s="3"/>
      <c r="O755" s="3" t="str">
        <f ca="1">IFERROR(__xludf.DUMMYFUNCTION("""COMPUTED_VALUE"""),"640")</f>
        <v>640</v>
      </c>
      <c r="P755" s="3" t="str">
        <f ca="1">IFERROR(__xludf.DUMMYFUNCTION("""COMPUTED_VALUE"""),"335, 640")</f>
        <v>335, 640</v>
      </c>
      <c r="Q755" s="3" t="str">
        <f ca="1">IFERROR(__xludf.DUMMYFUNCTION("""COMPUTED_VALUE"""),"640x640 a 640x335 + text + logo")</f>
        <v>640x640 a 640x335 + text + logo</v>
      </c>
      <c r="R755" s="3"/>
      <c r="S755" s="3" t="str">
        <f ca="1">IFERROR(__xludf.DUMMYFUNCTION("""COMPUTED_VALUE"""),"45")</f>
        <v>45</v>
      </c>
      <c r="T755" s="3"/>
      <c r="U755" s="3" t="str">
        <f ca="1">IFERROR(__xludf.DUMMYFUNCTION("""COMPUTED_VALUE"""),"nativní reklama")</f>
        <v>nativní reklama</v>
      </c>
      <c r="V755" s="3"/>
      <c r="W755" s="4" t="str">
        <f ca="1">IFERROR(__xludf.DUMMYFUNCTION("""COMPUTED_VALUE"""),"https://reklama.cncenter.cz/Online/nativni-rectangle-cross-device")</f>
        <v>https://reklama.cncenter.cz/Online/nativni-rectangle-cross-device</v>
      </c>
      <c r="X755" s="3"/>
      <c r="Y755" s="3"/>
      <c r="Z755" s="3" t="str">
        <f ca="1">IFERROR(__xludf.DUMMYFUNCTION("""COMPUTED_VALUE"""),"podklady@cncenter.cz")</f>
        <v>podklady@cncenter.cz</v>
      </c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 t="str">
        <f ca="1">IFERROR(__xludf.DUMMYFUNCTION("""COMPUTED_VALUE"""),"cross-device")</f>
        <v>cross-device</v>
      </c>
      <c r="AO755" s="3"/>
      <c r="AP755" s="3"/>
      <c r="AQ755" s="3"/>
      <c r="AR755" s="3"/>
      <c r="AS755" s="3"/>
      <c r="AT755" s="3"/>
      <c r="AU755" s="3" t="str">
        <f ca="1">IFERROR(__xludf.DUMMYFUNCTION("""COMPUTED_VALUE"""),"nativní rectangle cross-device")</f>
        <v>nativní rectangle cross-device</v>
      </c>
    </row>
    <row r="756" spans="1:47" x14ac:dyDescent="0.3">
      <c r="A756" s="3">
        <f ca="1"/>
        <v>2346826</v>
      </c>
      <c r="B756" s="3" t="str">
        <f ca="1"/>
        <v>CZECH NEWS CENTER a. s.</v>
      </c>
      <c r="C756" s="3" t="str">
        <f ca="1">IFERROR(__xludf.DUMMYFUNCTION("""COMPUTED_VALUE"""),"Maminka")</f>
        <v>Maminka</v>
      </c>
      <c r="D756" s="4" t="str">
        <f ca="1">IFERROR(__xludf.DUMMYFUNCTION("""COMPUTED_VALUE"""),"https://maminka.cz")</f>
        <v>https://maminka.cz</v>
      </c>
      <c r="E756" s="3" t="str">
        <f ca="1">IFERROR(__xludf.DUMMYFUNCTION("""COMPUTED_VALUE"""),"celý web")</f>
        <v>celý web</v>
      </c>
      <c r="F756" s="4" t="str">
        <f ca="1">IFERROR(__xludf.DUMMYFUNCTION("""COMPUTED_VALUE"""),"https://maminka.cz")</f>
        <v>https://maminka.cz</v>
      </c>
      <c r="G756" s="3" t="str">
        <f ca="1">IFERROR(__xludf.DUMMYFUNCTION("""COMPUTED_VALUE"""),"outstream mid season")</f>
        <v>outstream mid season</v>
      </c>
      <c r="H756" s="3">
        <f ca="1">IFERROR(__xludf.DUMMYFUNCTION("""COMPUTED_VALUE"""),7)</f>
        <v>7</v>
      </c>
      <c r="I756" s="5">
        <f ca="1">IFERROR(__xludf.DUMMYFUNCTION("""COMPUTED_VALUE"""),1000)</f>
        <v>1000</v>
      </c>
      <c r="J756" s="5">
        <f ca="1">IFERROR(__xludf.DUMMYFUNCTION("""COMPUTED_VALUE"""),350)</f>
        <v>350</v>
      </c>
      <c r="K756" s="3"/>
      <c r="L756" s="3" t="str">
        <f ca="1">IFERROR(__xludf.DUMMYFUNCTION("""COMPUTED_VALUE"""),"Cost per period")</f>
        <v>Cost per period</v>
      </c>
      <c r="M756" s="3"/>
      <c r="N756" s="3"/>
      <c r="O756" s="3" t="str">
        <f ca="1">IFERROR(__xludf.DUMMYFUNCTION("""COMPUTED_VALUE"""),"1280")</f>
        <v>1280</v>
      </c>
      <c r="P756" s="3" t="str">
        <f ca="1">IFERROR(__xludf.DUMMYFUNCTION("""COMPUTED_VALUE"""),"720")</f>
        <v>720</v>
      </c>
      <c r="Q756" s="3" t="str">
        <f ca="1">IFERROR(__xludf.DUMMYFUNCTION("""COMPUTED_VALUE"""),"16:9")</f>
        <v>16:9</v>
      </c>
      <c r="R756" s="3"/>
      <c r="S756" s="3" t="str">
        <f ca="1">IFERROR(__xludf.DUMMYFUNCTION("""COMPUTED_VALUE"""),"100")</f>
        <v>100</v>
      </c>
      <c r="T756" s="3"/>
      <c r="U756" s="3" t="str">
        <f ca="1">IFERROR(__xludf.DUMMYFUNCTION("""COMPUTED_VALUE"""),"videospot")</f>
        <v>videospot</v>
      </c>
      <c r="V756" s="3"/>
      <c r="W756" s="4" t="str">
        <f ca="1">IFERROR(__xludf.DUMMYFUNCTION("""COMPUTED_VALUE"""),"https://reklama.cncenter.cz/Online/Outstream")</f>
        <v>https://reklama.cncenter.cz/Online/Outstream</v>
      </c>
      <c r="X756" s="3"/>
      <c r="Y756" s="3"/>
      <c r="Z756" s="3" t="str">
        <f ca="1">IFERROR(__xludf.DUMMYFUNCTION("""COMPUTED_VALUE"""),"podklady@cncenter.cz")</f>
        <v>podklady@cncenter.cz</v>
      </c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 t="str">
        <f ca="1">IFERROR(__xludf.DUMMYFUNCTION("""COMPUTED_VALUE"""),"cross-device")</f>
        <v>cross-device</v>
      </c>
      <c r="AO756" s="3"/>
      <c r="AP756" s="3"/>
      <c r="AQ756" s="3"/>
      <c r="AR756" s="3"/>
      <c r="AS756" s="3"/>
      <c r="AT756" s="3"/>
      <c r="AU756" s="3" t="str">
        <f ca="1">IFERROR(__xludf.DUMMYFUNCTION("""COMPUTED_VALUE"""),"outstream")</f>
        <v>outstream</v>
      </c>
    </row>
    <row r="757" spans="1:47" x14ac:dyDescent="0.3">
      <c r="A757" s="3">
        <f ca="1"/>
        <v>2346826</v>
      </c>
      <c r="B757" s="3" t="str">
        <f ca="1"/>
        <v>CZECH NEWS CENTER a. s.</v>
      </c>
      <c r="C757" s="3" t="str">
        <f ca="1">IFERROR(__xludf.DUMMYFUNCTION("""COMPUTED_VALUE"""),"Maminka")</f>
        <v>Maminka</v>
      </c>
      <c r="D757" s="4" t="str">
        <f ca="1">IFERROR(__xludf.DUMMYFUNCTION("""COMPUTED_VALUE"""),"https://maminka.cz")</f>
        <v>https://maminka.cz</v>
      </c>
      <c r="E757" s="3" t="str">
        <f ca="1">IFERROR(__xludf.DUMMYFUNCTION("""COMPUTED_VALUE"""),"celý web")</f>
        <v>celý web</v>
      </c>
      <c r="F757" s="4" t="str">
        <f ca="1">IFERROR(__xludf.DUMMYFUNCTION("""COMPUTED_VALUE"""),"https://maminka.cz")</f>
        <v>https://maminka.cz</v>
      </c>
      <c r="G757" s="3" t="str">
        <f ca="1">IFERROR(__xludf.DUMMYFUNCTION("""COMPUTED_VALUE"""),"PR článek mid season")</f>
        <v>PR článek mid season</v>
      </c>
      <c r="H757" s="3">
        <f ca="1">IFERROR(__xludf.DUMMYFUNCTION("""COMPUTED_VALUE"""),1)</f>
        <v>1</v>
      </c>
      <c r="I757" s="5">
        <f ca="1">IFERROR(__xludf.DUMMYFUNCTION("""COMPUTED_VALUE"""),1)</f>
        <v>1</v>
      </c>
      <c r="J757" s="5">
        <f ca="1">IFERROR(__xludf.DUMMYFUNCTION("""COMPUTED_VALUE"""),20000)</f>
        <v>20000</v>
      </c>
      <c r="K757" s="3"/>
      <c r="L757" s="3" t="str">
        <f ca="1">IFERROR(__xludf.DUMMYFUNCTION("""COMPUTED_VALUE"""),"Cost per instance")</f>
        <v>Cost per instance</v>
      </c>
      <c r="M757" s="3"/>
      <c r="N757" s="3"/>
      <c r="O757" s="3"/>
      <c r="P757" s="3"/>
      <c r="Q757" s="3"/>
      <c r="R757" s="3"/>
      <c r="S757" s="3" t="str">
        <f ca="1">IFERROR(__xludf.DUMMYFUNCTION("""COMPUTED_VALUE"""),"100")</f>
        <v>100</v>
      </c>
      <c r="T757" s="3"/>
      <c r="U757" s="3" t="str">
        <f ca="1">IFERROR(__xludf.DUMMYFUNCTION("""COMPUTED_VALUE"""),"pr článek")</f>
        <v>pr článek</v>
      </c>
      <c r="V757" s="3"/>
      <c r="W757" s="4" t="str">
        <f ca="1">IFERROR(__xludf.DUMMYFUNCTION("""COMPUTED_VALUE"""),"https://reklama.cncenter.cz/?ads=PR%2520%25C4%258Dl%25C3%25A1nky")</f>
        <v>https://reklama.cncenter.cz/?ads=PR%2520%25C4%258Dl%25C3%25A1nky</v>
      </c>
      <c r="X757" s="3"/>
      <c r="Y757" s="3"/>
      <c r="Z757" s="3" t="str">
        <f ca="1">IFERROR(__xludf.DUMMYFUNCTION("""COMPUTED_VALUE"""),"podklady@cncenter.cz")</f>
        <v>podklady@cncenter.cz</v>
      </c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 t="str">
        <f ca="1">IFERROR(__xludf.DUMMYFUNCTION("""COMPUTED_VALUE"""),"cross-device")</f>
        <v>cross-device</v>
      </c>
      <c r="AO757" s="3"/>
      <c r="AP757" s="3"/>
      <c r="AQ757" s="3"/>
      <c r="AR757" s="3"/>
      <c r="AS757" s="3"/>
      <c r="AT757" s="3"/>
      <c r="AU757" s="3" t="str">
        <f ca="1">IFERROR(__xludf.DUMMYFUNCTION("""COMPUTED_VALUE"""),"PR článek")</f>
        <v>PR článek</v>
      </c>
    </row>
    <row r="758" spans="1:47" x14ac:dyDescent="0.3">
      <c r="A758" s="3">
        <f ca="1"/>
        <v>2346826</v>
      </c>
      <c r="B758" s="3" t="str">
        <f ca="1"/>
        <v>CZECH NEWS CENTER a. s.</v>
      </c>
      <c r="C758" s="3" t="str">
        <f ca="1">IFERROR(__xludf.DUMMYFUNCTION("""COMPUTED_VALUE"""),"Maminka")</f>
        <v>Maminka</v>
      </c>
      <c r="D758" s="4" t="str">
        <f ca="1">IFERROR(__xludf.DUMMYFUNCTION("""COMPUTED_VALUE"""),"https://maminka.cz")</f>
        <v>https://maminka.cz</v>
      </c>
      <c r="E758" s="3" t="str">
        <f ca="1">IFERROR(__xludf.DUMMYFUNCTION("""COMPUTED_VALUE"""),"celý web")</f>
        <v>celý web</v>
      </c>
      <c r="F758" s="4" t="str">
        <f ca="1">IFERROR(__xludf.DUMMYFUNCTION("""COMPUTED_VALUE"""),"https://maminka.cz")</f>
        <v>https://maminka.cz</v>
      </c>
      <c r="G758" s="3" t="str">
        <f ca="1">IFERROR(__xludf.DUMMYFUNCTION("""COMPUTED_VALUE"""),"Prodloužení existující microsite, bez úprav mid season")</f>
        <v>Prodloužení existující microsite, bez úprav mid season</v>
      </c>
      <c r="H758" s="3">
        <f ca="1">IFERROR(__xludf.DUMMYFUNCTION("""COMPUTED_VALUE"""),1)</f>
        <v>1</v>
      </c>
      <c r="I758" s="5">
        <f ca="1">IFERROR(__xludf.DUMMYFUNCTION("""COMPUTED_VALUE"""),1)</f>
        <v>1</v>
      </c>
      <c r="J758" s="5">
        <f ca="1">IFERROR(__xludf.DUMMYFUNCTION("""COMPUTED_VALUE"""),15000)</f>
        <v>15000</v>
      </c>
      <c r="K758" s="3"/>
      <c r="L758" s="3" t="str">
        <f ca="1">IFERROR(__xludf.DUMMYFUNCTION("""COMPUTED_VALUE"""),"Cost per instance")</f>
        <v>Cost per instance</v>
      </c>
      <c r="M758" s="3"/>
      <c r="N758" s="3"/>
      <c r="O758" s="3"/>
      <c r="P758" s="3"/>
      <c r="Q758" s="3"/>
      <c r="R758" s="3"/>
      <c r="S758" s="3" t="str">
        <f ca="1">IFERROR(__xludf.DUMMYFUNCTION("""COMPUTED_VALUE"""),"100")</f>
        <v>100</v>
      </c>
      <c r="T758" s="3"/>
      <c r="U758" s="3" t="str">
        <f ca="1">IFERROR(__xludf.DUMMYFUNCTION("""COMPUTED_VALUE"""),"microsite")</f>
        <v>microsite</v>
      </c>
      <c r="V758" s="3"/>
      <c r="W758" s="3"/>
      <c r="X758" s="3"/>
      <c r="Y758" s="3"/>
      <c r="Z758" s="3" t="str">
        <f ca="1">IFERROR(__xludf.DUMMYFUNCTION("""COMPUTED_VALUE"""),"podklady@cncenter.cz")</f>
        <v>podklady@cncenter.cz</v>
      </c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 t="str">
        <f ca="1">IFERROR(__xludf.DUMMYFUNCTION("""COMPUTED_VALUE"""),"cross-device")</f>
        <v>cross-device</v>
      </c>
      <c r="AO758" s="3"/>
      <c r="AP758" s="3"/>
      <c r="AQ758" s="3"/>
      <c r="AR758" s="3"/>
      <c r="AS758" s="3"/>
      <c r="AT758" s="3"/>
      <c r="AU758" s="3" t="str">
        <f ca="1">IFERROR(__xludf.DUMMYFUNCTION("""COMPUTED_VALUE"""),"Prodloužení existující microsite, bez úprav")</f>
        <v>Prodloužení existující microsite, bez úprav</v>
      </c>
    </row>
    <row r="759" spans="1:47" x14ac:dyDescent="0.3">
      <c r="A759" s="3">
        <f ca="1"/>
        <v>2346826</v>
      </c>
      <c r="B759" s="3" t="str">
        <f ca="1"/>
        <v>CZECH NEWS CENTER a. s.</v>
      </c>
      <c r="C759" s="3" t="str">
        <f ca="1">IFERROR(__xludf.DUMMYFUNCTION("""COMPUTED_VALUE"""),"Maminka")</f>
        <v>Maminka</v>
      </c>
      <c r="D759" s="4" t="str">
        <f ca="1">IFERROR(__xludf.DUMMYFUNCTION("""COMPUTED_VALUE"""),"https://maminka.cz")</f>
        <v>https://maminka.cz</v>
      </c>
      <c r="E759" s="3" t="str">
        <f ca="1">IFERROR(__xludf.DUMMYFUNCTION("""COMPUTED_VALUE"""),"celý web")</f>
        <v>celý web</v>
      </c>
      <c r="F759" s="4" t="str">
        <f ca="1">IFERROR(__xludf.DUMMYFUNCTION("""COMPUTED_VALUE"""),"https://maminka.cz")</f>
        <v>https://maminka.cz</v>
      </c>
      <c r="G759" s="3" t="str">
        <f ca="1">IFERROR(__xludf.DUMMYFUNCTION("""COMPUTED_VALUE"""),"Prodloužení existující microsite, bez úprav mid season")</f>
        <v>Prodloužení existující microsite, bez úprav mid season</v>
      </c>
      <c r="H759" s="3">
        <f ca="1">IFERROR(__xludf.DUMMYFUNCTION("""COMPUTED_VALUE"""),1)</f>
        <v>1</v>
      </c>
      <c r="I759" s="5">
        <f ca="1">IFERROR(__xludf.DUMMYFUNCTION("""COMPUTED_VALUE"""),1)</f>
        <v>1</v>
      </c>
      <c r="J759" s="5">
        <f ca="1">IFERROR(__xludf.DUMMYFUNCTION("""COMPUTED_VALUE"""),15000)</f>
        <v>15000</v>
      </c>
      <c r="K759" s="3"/>
      <c r="L759" s="3" t="str">
        <f ca="1">IFERROR(__xludf.DUMMYFUNCTION("""COMPUTED_VALUE"""),"Cost per instance")</f>
        <v>Cost per instance</v>
      </c>
      <c r="M759" s="3"/>
      <c r="N759" s="3"/>
      <c r="O759" s="3"/>
      <c r="P759" s="3"/>
      <c r="Q759" s="3"/>
      <c r="R759" s="3"/>
      <c r="S759" s="3" t="str">
        <f ca="1">IFERROR(__xludf.DUMMYFUNCTION("""COMPUTED_VALUE"""),"100")</f>
        <v>100</v>
      </c>
      <c r="T759" s="3"/>
      <c r="U759" s="3" t="str">
        <f ca="1">IFERROR(__xludf.DUMMYFUNCTION("""COMPUTED_VALUE"""),"microsite")</f>
        <v>microsite</v>
      </c>
      <c r="V759" s="3"/>
      <c r="W759" s="3"/>
      <c r="X759" s="3"/>
      <c r="Y759" s="3"/>
      <c r="Z759" s="3" t="str">
        <f ca="1">IFERROR(__xludf.DUMMYFUNCTION("""COMPUTED_VALUE"""),"podklady@cncenter.cz")</f>
        <v>podklady@cncenter.cz</v>
      </c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 t="str">
        <f ca="1">IFERROR(__xludf.DUMMYFUNCTION("""COMPUTED_VALUE"""),"cross-device")</f>
        <v>cross-device</v>
      </c>
      <c r="AO759" s="3"/>
      <c r="AP759" s="3"/>
      <c r="AQ759" s="3"/>
      <c r="AR759" s="3"/>
      <c r="AS759" s="3"/>
      <c r="AT759" s="3"/>
      <c r="AU759" s="3" t="str">
        <f ca="1">IFERROR(__xludf.DUMMYFUNCTION("""COMPUTED_VALUE"""),"Prodloužení existující microsite, bez úprav")</f>
        <v>Prodloužení existující microsite, bez úprav</v>
      </c>
    </row>
    <row r="760" spans="1:47" x14ac:dyDescent="0.3">
      <c r="A760" s="3">
        <f ca="1"/>
        <v>2346826</v>
      </c>
      <c r="B760" s="3" t="str">
        <f ca="1"/>
        <v>CZECH NEWS CENTER a. s.</v>
      </c>
      <c r="C760" s="3" t="str">
        <f ca="1">IFERROR(__xludf.DUMMYFUNCTION("""COMPUTED_VALUE"""),"Maminka")</f>
        <v>Maminka</v>
      </c>
      <c r="D760" s="4" t="str">
        <f ca="1">IFERROR(__xludf.DUMMYFUNCTION("""COMPUTED_VALUE"""),"https://maminka.cz")</f>
        <v>https://maminka.cz</v>
      </c>
      <c r="E760" s="3" t="str">
        <f ca="1">IFERROR(__xludf.DUMMYFUNCTION("""COMPUTED_VALUE"""),"celý web")</f>
        <v>celý web</v>
      </c>
      <c r="F760" s="4" t="str">
        <f ca="1">IFERROR(__xludf.DUMMYFUNCTION("""COMPUTED_VALUE"""),"https://maminka.cz")</f>
        <v>https://maminka.cz</v>
      </c>
      <c r="G760" s="3" t="str">
        <f ca="1">IFERROR(__xludf.DUMMYFUNCTION("""COMPUTED_VALUE"""),"Prodloužení existující microsite, bez úprav mid season")</f>
        <v>Prodloužení existující microsite, bez úprav mid season</v>
      </c>
      <c r="H760" s="3">
        <f ca="1">IFERROR(__xludf.DUMMYFUNCTION("""COMPUTED_VALUE"""),1)</f>
        <v>1</v>
      </c>
      <c r="I760" s="5">
        <f ca="1">IFERROR(__xludf.DUMMYFUNCTION("""COMPUTED_VALUE"""),1)</f>
        <v>1</v>
      </c>
      <c r="J760" s="5">
        <f ca="1">IFERROR(__xludf.DUMMYFUNCTION("""COMPUTED_VALUE"""),15000)</f>
        <v>15000</v>
      </c>
      <c r="K760" s="3"/>
      <c r="L760" s="3" t="str">
        <f ca="1">IFERROR(__xludf.DUMMYFUNCTION("""COMPUTED_VALUE"""),"Cost per instance")</f>
        <v>Cost per instance</v>
      </c>
      <c r="M760" s="3"/>
      <c r="N760" s="3"/>
      <c r="O760" s="3"/>
      <c r="P760" s="3"/>
      <c r="Q760" s="3"/>
      <c r="R760" s="3"/>
      <c r="S760" s="3" t="str">
        <f ca="1">IFERROR(__xludf.DUMMYFUNCTION("""COMPUTED_VALUE"""),"100")</f>
        <v>100</v>
      </c>
      <c r="T760" s="3"/>
      <c r="U760" s="3" t="str">
        <f ca="1">IFERROR(__xludf.DUMMYFUNCTION("""COMPUTED_VALUE"""),"microsite")</f>
        <v>microsite</v>
      </c>
      <c r="V760" s="3"/>
      <c r="W760" s="3"/>
      <c r="X760" s="3"/>
      <c r="Y760" s="3"/>
      <c r="Z760" s="3" t="str">
        <f ca="1">IFERROR(__xludf.DUMMYFUNCTION("""COMPUTED_VALUE"""),"podklady@cncenter.cz")</f>
        <v>podklady@cncenter.cz</v>
      </c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 t="str">
        <f ca="1">IFERROR(__xludf.DUMMYFUNCTION("""COMPUTED_VALUE"""),"cross-device")</f>
        <v>cross-device</v>
      </c>
      <c r="AO760" s="3"/>
      <c r="AP760" s="3"/>
      <c r="AQ760" s="3"/>
      <c r="AR760" s="3"/>
      <c r="AS760" s="3"/>
      <c r="AT760" s="3"/>
      <c r="AU760" s="3" t="str">
        <f ca="1">IFERROR(__xludf.DUMMYFUNCTION("""COMPUTED_VALUE"""),"Prodloužení existující microsite, bez úprav")</f>
        <v>Prodloužení existující microsite, bez úprav</v>
      </c>
    </row>
    <row r="761" spans="1:47" x14ac:dyDescent="0.3">
      <c r="A761" s="3">
        <f ca="1"/>
        <v>2346826</v>
      </c>
      <c r="B761" s="3" t="str">
        <f ca="1"/>
        <v>CZECH NEWS CENTER a. s.</v>
      </c>
      <c r="C761" s="3" t="str">
        <f ca="1">IFERROR(__xludf.DUMMYFUNCTION("""COMPUTED_VALUE"""),"Maminka")</f>
        <v>Maminka</v>
      </c>
      <c r="D761" s="4" t="str">
        <f ca="1">IFERROR(__xludf.DUMMYFUNCTION("""COMPUTED_VALUE"""),"https://maminka.cz")</f>
        <v>https://maminka.cz</v>
      </c>
      <c r="E761" s="3" t="str">
        <f ca="1">IFERROR(__xludf.DUMMYFUNCTION("""COMPUTED_VALUE"""),"celý web")</f>
        <v>celý web</v>
      </c>
      <c r="F761" s="4" t="str">
        <f ca="1">IFERROR(__xludf.DUMMYFUNCTION("""COMPUTED_VALUE"""),"https://maminka.cz")</f>
        <v>https://maminka.cz</v>
      </c>
      <c r="G761" s="3" t="str">
        <f ca="1">IFERROR(__xludf.DUMMYFUNCTION("""COMPUTED_VALUE"""),"videospot - max. 30 sec. / bumper mid season")</f>
        <v>videospot - max. 30 sec. / bumper mid season</v>
      </c>
      <c r="H761" s="3">
        <f ca="1">IFERROR(__xludf.DUMMYFUNCTION("""COMPUTED_VALUE"""),7)</f>
        <v>7</v>
      </c>
      <c r="I761" s="5">
        <f ca="1">IFERROR(__xludf.DUMMYFUNCTION("""COMPUTED_VALUE"""),1000)</f>
        <v>1000</v>
      </c>
      <c r="J761" s="5">
        <f ca="1">IFERROR(__xludf.DUMMYFUNCTION("""COMPUTED_VALUE"""),1040)</f>
        <v>1040</v>
      </c>
      <c r="K761" s="3"/>
      <c r="L761" s="3" t="str">
        <f ca="1">IFERROR(__xludf.DUMMYFUNCTION("""COMPUTED_VALUE"""),"Cost per period")</f>
        <v>Cost per period</v>
      </c>
      <c r="M761" s="3"/>
      <c r="N761" s="3"/>
      <c r="O761" s="3" t="str">
        <f ca="1">IFERROR(__xludf.DUMMYFUNCTION("""COMPUTED_VALUE"""),"1280")</f>
        <v>1280</v>
      </c>
      <c r="P761" s="3" t="str">
        <f ca="1">IFERROR(__xludf.DUMMYFUNCTION("""COMPUTED_VALUE"""),"720")</f>
        <v>720</v>
      </c>
      <c r="Q761" s="3" t="str">
        <f ca="1">IFERROR(__xludf.DUMMYFUNCTION("""COMPUTED_VALUE"""),"16:9 / umístění po domluvě dle možností")</f>
        <v>16:9 / umístění po domluvě dle možností</v>
      </c>
      <c r="R761" s="3" t="str">
        <f ca="1">IFERROR(__xludf.DUMMYFUNCTION("""COMPUTED_VALUE"""),"přeskočení po 7 sekundách")</f>
        <v>přeskočení po 7 sekundách</v>
      </c>
      <c r="S761" s="3" t="str">
        <f ca="1">IFERROR(__xludf.DUMMYFUNCTION("""COMPUTED_VALUE"""),"100")</f>
        <v>100</v>
      </c>
      <c r="T761" s="3"/>
      <c r="U761" s="3" t="str">
        <f ca="1">IFERROR(__xludf.DUMMYFUNCTION("""COMPUTED_VALUE"""),"videospot")</f>
        <v>videospot</v>
      </c>
      <c r="V761" s="3"/>
      <c r="W761" s="4" t="str">
        <f ca="1">IFERROR(__xludf.DUMMYFUNCTION("""COMPUTED_VALUE"""),"https://reklama.cncenter.cz/Online/Bumper")</f>
        <v>https://reklama.cncenter.cz/Online/Bumper</v>
      </c>
      <c r="X761" s="3"/>
      <c r="Y761" s="3"/>
      <c r="Z761" s="3" t="str">
        <f ca="1">IFERROR(__xludf.DUMMYFUNCTION("""COMPUTED_VALUE"""),"podklady@cncenter.cz")</f>
        <v>podklady@cncenter.cz</v>
      </c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 t="str">
        <f ca="1">IFERROR(__xludf.DUMMYFUNCTION("""COMPUTED_VALUE"""),"cross-device")</f>
        <v>cross-device</v>
      </c>
      <c r="AO761" s="3"/>
      <c r="AP761" s="3"/>
      <c r="AQ761" s="3"/>
      <c r="AR761" s="3"/>
      <c r="AS761" s="3"/>
      <c r="AT761" s="3"/>
      <c r="AU761" s="3" t="str">
        <f ca="1">IFERROR(__xludf.DUMMYFUNCTION("""COMPUTED_VALUE"""),"videospot - max. 30 sec. / bumper")</f>
        <v>videospot - max. 30 sec. / bumper</v>
      </c>
    </row>
    <row r="762" spans="1:47" x14ac:dyDescent="0.3">
      <c r="A762" s="3">
        <f ca="1"/>
        <v>2346826</v>
      </c>
      <c r="B762" s="3" t="str">
        <f ca="1"/>
        <v>CZECH NEWS CENTER a. s.</v>
      </c>
      <c r="C762" s="3" t="str">
        <f ca="1">IFERROR(__xludf.DUMMYFUNCTION("""COMPUTED_VALUE"""),"Mimibazar")</f>
        <v>Mimibazar</v>
      </c>
      <c r="D762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2" s="3" t="str">
        <f ca="1">IFERROR(__xludf.DUMMYFUNCTION("""COMPUTED_VALUE"""),"celý web")</f>
        <v>celý web</v>
      </c>
      <c r="F762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2" s="3" t="str">
        <f ca="1">IFERROR(__xludf.DUMMYFUNCTION("""COMPUTED_VALUE"""),"Advertorial mid season")</f>
        <v>Advertorial mid season</v>
      </c>
      <c r="H762" s="3">
        <f ca="1">IFERROR(__xludf.DUMMYFUNCTION("""COMPUTED_VALUE"""),1)</f>
        <v>1</v>
      </c>
      <c r="I762" s="5">
        <f ca="1">IFERROR(__xludf.DUMMYFUNCTION("""COMPUTED_VALUE"""),1)</f>
        <v>1</v>
      </c>
      <c r="J762" s="5">
        <f ca="1">IFERROR(__xludf.DUMMYFUNCTION("""COMPUTED_VALUE"""),90000)</f>
        <v>90000</v>
      </c>
      <c r="K762" s="3"/>
      <c r="L762" s="3" t="str">
        <f ca="1">IFERROR(__xludf.DUMMYFUNCTION("""COMPUTED_VALUE"""),"Cost per instance")</f>
        <v>Cost per instance</v>
      </c>
      <c r="M762" s="3"/>
      <c r="N762" s="3"/>
      <c r="O762" s="3"/>
      <c r="P762" s="3"/>
      <c r="Q762" s="3"/>
      <c r="R762" s="3"/>
      <c r="S762" s="3" t="str">
        <f ca="1">IFERROR(__xludf.DUMMYFUNCTION("""COMPUTED_VALUE"""),"100")</f>
        <v>100</v>
      </c>
      <c r="T762" s="3"/>
      <c r="U762" s="3" t="str">
        <f ca="1">IFERROR(__xludf.DUMMYFUNCTION("""COMPUTED_VALUE"""),"pr článek")</f>
        <v>pr článek</v>
      </c>
      <c r="V762" s="3"/>
      <c r="W762" s="3"/>
      <c r="X762" s="3"/>
      <c r="Y762" s="3"/>
      <c r="Z762" s="3" t="str">
        <f ca="1">IFERROR(__xludf.DUMMYFUNCTION("""COMPUTED_VALUE"""),"podklady@cncenter.cz")</f>
        <v>podklady@cncenter.cz</v>
      </c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 t="str">
        <f ca="1">IFERROR(__xludf.DUMMYFUNCTION("""COMPUTED_VALUE"""),"cross-device")</f>
        <v>cross-device</v>
      </c>
      <c r="AO762" s="3"/>
      <c r="AP762" s="3"/>
      <c r="AQ762" s="3"/>
      <c r="AR762" s="3"/>
      <c r="AS762" s="3"/>
      <c r="AT762" s="3"/>
      <c r="AU762" s="3" t="str">
        <f ca="1">IFERROR(__xludf.DUMMYFUNCTION("""COMPUTED_VALUE"""),"Advertorial")</f>
        <v>Advertorial</v>
      </c>
    </row>
    <row r="763" spans="1:47" x14ac:dyDescent="0.3">
      <c r="A763" s="3">
        <f ca="1"/>
        <v>2346826</v>
      </c>
      <c r="B763" s="3" t="str">
        <f ca="1"/>
        <v>CZECH NEWS CENTER a. s.</v>
      </c>
      <c r="C763" s="3" t="str">
        <f ca="1">IFERROR(__xludf.DUMMYFUNCTION("""COMPUTED_VALUE"""),"Mimibazar")</f>
        <v>Mimibazar</v>
      </c>
      <c r="D763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3" s="3" t="str">
        <f ca="1">IFERROR(__xludf.DUMMYFUNCTION("""COMPUTED_VALUE"""),"celý web")</f>
        <v>celý web</v>
      </c>
      <c r="F763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3" s="3" t="str">
        <f ca="1">IFERROR(__xludf.DUMMYFUNCTION("""COMPUTED_VALUE"""),"billboard bottom mid season")</f>
        <v>billboard bottom mid season</v>
      </c>
      <c r="H763" s="3">
        <f ca="1">IFERROR(__xludf.DUMMYFUNCTION("""COMPUTED_VALUE"""),7)</f>
        <v>7</v>
      </c>
      <c r="I763" s="5">
        <f ca="1">IFERROR(__xludf.DUMMYFUNCTION("""COMPUTED_VALUE"""),1000)</f>
        <v>1000</v>
      </c>
      <c r="J763" s="5">
        <f ca="1">IFERROR(__xludf.DUMMYFUNCTION("""COMPUTED_VALUE"""),340)</f>
        <v>340</v>
      </c>
      <c r="K763" s="3"/>
      <c r="L763" s="3" t="str">
        <f ca="1">IFERROR(__xludf.DUMMYFUNCTION("""COMPUTED_VALUE"""),"Cost per period")</f>
        <v>Cost per period</v>
      </c>
      <c r="M763" s="3"/>
      <c r="N763" s="3"/>
      <c r="O763" s="3" t="str">
        <f ca="1">IFERROR(__xludf.DUMMYFUNCTION("""COMPUTED_VALUE"""),"970")</f>
        <v>970</v>
      </c>
      <c r="P763" s="3" t="str">
        <f ca="1">IFERROR(__xludf.DUMMYFUNCTION("""COMPUTED_VALUE"""),"250")</f>
        <v>250</v>
      </c>
      <c r="Q763" s="3" t="str">
        <f ca="1">IFERROR(__xludf.DUMMYFUNCTION("""COMPUTED_VALUE"""),"970x250")</f>
        <v>970x250</v>
      </c>
      <c r="R763" s="3"/>
      <c r="S763" s="3" t="str">
        <f ca="1">IFERROR(__xludf.DUMMYFUNCTION("""COMPUTED_VALUE"""),"100 (200 - HTML5)")</f>
        <v>100 (200 - HTML5)</v>
      </c>
      <c r="T763" s="3"/>
      <c r="U763" s="3" t="str">
        <f ca="1">IFERROR(__xludf.DUMMYFUNCTION("""COMPUTED_VALUE"""),"banner standard")</f>
        <v>banner standard</v>
      </c>
      <c r="V763" s="3"/>
      <c r="W763" s="4" t="str">
        <f ca="1">IFERROR(__xludf.DUMMYFUNCTION("""COMPUTED_VALUE"""),"https://reklama.cncenter.cz/Online/billboard-bottom")</f>
        <v>https://reklama.cncenter.cz/Online/billboard-bottom</v>
      </c>
      <c r="X763" s="3"/>
      <c r="Y763" s="3"/>
      <c r="Z763" s="3" t="str">
        <f ca="1">IFERROR(__xludf.DUMMYFUNCTION("""COMPUTED_VALUE"""),"podklady@cncenter.cz")</f>
        <v>podklady@cncenter.cz</v>
      </c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 t="str">
        <f ca="1">IFERROR(__xludf.DUMMYFUNCTION("""COMPUTED_VALUE"""),"desktop")</f>
        <v>desktop</v>
      </c>
      <c r="AO763" s="3"/>
      <c r="AP763" s="3"/>
      <c r="AQ763" s="3"/>
      <c r="AR763" s="3"/>
      <c r="AS763" s="3"/>
      <c r="AT763" s="3"/>
      <c r="AU763" s="3" t="str">
        <f ca="1">IFERROR(__xludf.DUMMYFUNCTION("""COMPUTED_VALUE"""),"billboard bottom")</f>
        <v>billboard bottom</v>
      </c>
    </row>
    <row r="764" spans="1:47" x14ac:dyDescent="0.3">
      <c r="A764" s="3">
        <f ca="1"/>
        <v>2346826</v>
      </c>
      <c r="B764" s="3" t="str">
        <f ca="1"/>
        <v>CZECH NEWS CENTER a. s.</v>
      </c>
      <c r="C764" s="3" t="str">
        <f ca="1">IFERROR(__xludf.DUMMYFUNCTION("""COMPUTED_VALUE"""),"Mimibazar")</f>
        <v>Mimibazar</v>
      </c>
      <c r="D764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4" s="3" t="str">
        <f ca="1">IFERROR(__xludf.DUMMYFUNCTION("""COMPUTED_VALUE"""),"celý web")</f>
        <v>celý web</v>
      </c>
      <c r="F764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4" s="3" t="str">
        <f ca="1">IFERROR(__xludf.DUMMYFUNCTION("""COMPUTED_VALUE"""),"branding cross-device mid season")</f>
        <v>branding cross-device mid season</v>
      </c>
      <c r="H764" s="3">
        <f ca="1">IFERROR(__xludf.DUMMYFUNCTION("""COMPUTED_VALUE"""),7)</f>
        <v>7</v>
      </c>
      <c r="I764" s="5">
        <f ca="1">IFERROR(__xludf.DUMMYFUNCTION("""COMPUTED_VALUE"""),1000)</f>
        <v>1000</v>
      </c>
      <c r="J764" s="5">
        <f ca="1">IFERROR(__xludf.DUMMYFUNCTION("""COMPUTED_VALUE"""),420)</f>
        <v>420</v>
      </c>
      <c r="K764" s="3"/>
      <c r="L764" s="3" t="str">
        <f ca="1">IFERROR(__xludf.DUMMYFUNCTION("""COMPUTED_VALUE"""),"Cost per period")</f>
        <v>Cost per period</v>
      </c>
      <c r="M764" s="3"/>
      <c r="N764" s="3"/>
      <c r="O764" s="3" t="str">
        <f ca="1">IFERROR(__xludf.DUMMYFUNCTION("""COMPUTED_VALUE"""),"2000")</f>
        <v>2000</v>
      </c>
      <c r="P764" s="3" t="str">
        <f ca="1">IFERROR(__xludf.DUMMYFUNCTION("""COMPUTED_VALUE"""),"1400")</f>
        <v>1400</v>
      </c>
      <c r="Q764" s="3" t="str">
        <f ca="1">IFERROR(__xludf.DUMMYFUNCTION("""COMPUTED_VALUE"""),"2000x1400 + 600x1080")</f>
        <v>2000x1400 + 600x1080</v>
      </c>
      <c r="R764" s="3"/>
      <c r="S764" s="3" t="str">
        <f ca="1">IFERROR(__xludf.DUMMYFUNCTION("""COMPUTED_VALUE"""),"500 (600 - HTLM5)")</f>
        <v>500 (600 - HTLM5)</v>
      </c>
      <c r="T764" s="3"/>
      <c r="U764" s="3" t="str">
        <f ca="1">IFERROR(__xludf.DUMMYFUNCTION("""COMPUTED_VALUE"""),"banner standard")</f>
        <v>banner standard</v>
      </c>
      <c r="V764" s="3"/>
      <c r="W764" s="4" t="str">
        <f ca="1">IFERROR(__xludf.DUMMYFUNCTION("""COMPUTED_VALUE"""),"https://reklama.cncenter.cz/Online/branding-cross-device")</f>
        <v>https://reklama.cncenter.cz/Online/branding-cross-device</v>
      </c>
      <c r="X764" s="3"/>
      <c r="Y764" s="3"/>
      <c r="Z764" s="3" t="str">
        <f ca="1">IFERROR(__xludf.DUMMYFUNCTION("""COMPUTED_VALUE"""),"podklady@cncenter.cz")</f>
        <v>podklady@cncenter.cz</v>
      </c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 t="str">
        <f ca="1">IFERROR(__xludf.DUMMYFUNCTION("""COMPUTED_VALUE"""),"cross-device")</f>
        <v>cross-device</v>
      </c>
      <c r="AO764" s="3"/>
      <c r="AP764" s="3"/>
      <c r="AQ764" s="3"/>
      <c r="AR764" s="3"/>
      <c r="AS764" s="3"/>
      <c r="AT764" s="3"/>
      <c r="AU764" s="3" t="str">
        <f ca="1">IFERROR(__xludf.DUMMYFUNCTION("""COMPUTED_VALUE"""),"branding cross-device")</f>
        <v>branding cross-device</v>
      </c>
    </row>
    <row r="765" spans="1:47" x14ac:dyDescent="0.3">
      <c r="A765" s="3">
        <f ca="1"/>
        <v>2346826</v>
      </c>
      <c r="B765" s="3" t="str">
        <f ca="1"/>
        <v>CZECH NEWS CENTER a. s.</v>
      </c>
      <c r="C765" s="3" t="str">
        <f ca="1">IFERROR(__xludf.DUMMYFUNCTION("""COMPUTED_VALUE"""),"Mimibazar")</f>
        <v>Mimibazar</v>
      </c>
      <c r="D765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5" s="3" t="str">
        <f ca="1">IFERROR(__xludf.DUMMYFUNCTION("""COMPUTED_VALUE"""),"celý web")</f>
        <v>celý web</v>
      </c>
      <c r="F765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5" s="3" t="str">
        <f ca="1">IFERROR(__xludf.DUMMYFUNCTION("""COMPUTED_VALUE"""),"branding mid season")</f>
        <v>branding mid season</v>
      </c>
      <c r="H765" s="3">
        <f ca="1">IFERROR(__xludf.DUMMYFUNCTION("""COMPUTED_VALUE"""),7)</f>
        <v>7</v>
      </c>
      <c r="I765" s="5">
        <f ca="1">IFERROR(__xludf.DUMMYFUNCTION("""COMPUTED_VALUE"""),1000)</f>
        <v>1000</v>
      </c>
      <c r="J765" s="5">
        <f ca="1">IFERROR(__xludf.DUMMYFUNCTION("""COMPUTED_VALUE"""),690)</f>
        <v>690</v>
      </c>
      <c r="K765" s="3"/>
      <c r="L765" s="3" t="str">
        <f ca="1">IFERROR(__xludf.DUMMYFUNCTION("""COMPUTED_VALUE"""),"Cost per period")</f>
        <v>Cost per period</v>
      </c>
      <c r="M765" s="3"/>
      <c r="N765" s="3"/>
      <c r="O765" s="3" t="str">
        <f ca="1">IFERROR(__xludf.DUMMYFUNCTION("""COMPUTED_VALUE"""),"2000")</f>
        <v>2000</v>
      </c>
      <c r="P765" s="3" t="str">
        <f ca="1">IFERROR(__xludf.DUMMYFUNCTION("""COMPUTED_VALUE"""),"1400")</f>
        <v>1400</v>
      </c>
      <c r="Q765" s="3" t="str">
        <f ca="1">IFERROR(__xludf.DUMMYFUNCTION("""COMPUTED_VALUE"""),"2000x1400")</f>
        <v>2000x1400</v>
      </c>
      <c r="R765" s="3"/>
      <c r="S765" s="3" t="str">
        <f ca="1">IFERROR(__xludf.DUMMYFUNCTION("""COMPUTED_VALUE"""),"500 + 200 (600+200 HTML5)")</f>
        <v>500 + 200 (600+200 HTML5)</v>
      </c>
      <c r="T765" s="3"/>
      <c r="U765" s="3" t="str">
        <f ca="1">IFERROR(__xludf.DUMMYFUNCTION("""COMPUTED_VALUE"""),"banner standard")</f>
        <v>banner standard</v>
      </c>
      <c r="V765" s="3"/>
      <c r="W765" s="4" t="str">
        <f ca="1">IFERROR(__xludf.DUMMYFUNCTION("""COMPUTED_VALUE"""),"https://reklama.cncenter.cz/Online/branding")</f>
        <v>https://reklama.cncenter.cz/Online/branding</v>
      </c>
      <c r="X765" s="3"/>
      <c r="Y765" s="3"/>
      <c r="Z765" s="3" t="str">
        <f ca="1">IFERROR(__xludf.DUMMYFUNCTION("""COMPUTED_VALUE"""),"podklady@cncenter.cz")</f>
        <v>podklady@cncenter.cz</v>
      </c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 t="str">
        <f ca="1">IFERROR(__xludf.DUMMYFUNCTION("""COMPUTED_VALUE"""),"desktop")</f>
        <v>desktop</v>
      </c>
      <c r="AO765" s="3"/>
      <c r="AP765" s="3"/>
      <c r="AQ765" s="3"/>
      <c r="AR765" s="3"/>
      <c r="AS765" s="3"/>
      <c r="AT765" s="3"/>
      <c r="AU765" s="3" t="str">
        <f ca="1">IFERROR(__xludf.DUMMYFUNCTION("""COMPUTED_VALUE"""),"branding")</f>
        <v>branding</v>
      </c>
    </row>
    <row r="766" spans="1:47" x14ac:dyDescent="0.3">
      <c r="A766" s="3">
        <f ca="1"/>
        <v>2346826</v>
      </c>
      <c r="B766" s="3" t="str">
        <f ca="1"/>
        <v>CZECH NEWS CENTER a. s.</v>
      </c>
      <c r="C766" s="3" t="str">
        <f ca="1">IFERROR(__xludf.DUMMYFUNCTION("""COMPUTED_VALUE"""),"Mimibazar")</f>
        <v>Mimibazar</v>
      </c>
      <c r="D766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6" s="3" t="str">
        <f ca="1">IFERROR(__xludf.DUMMYFUNCTION("""COMPUTED_VALUE"""),"celý web")</f>
        <v>celý web</v>
      </c>
      <c r="F766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6" s="3" t="str">
        <f ca="1">IFERROR(__xludf.DUMMYFUNCTION("""COMPUTED_VALUE"""),"cílený billboard bottom mid season")</f>
        <v>cílený billboard bottom mid season</v>
      </c>
      <c r="H766" s="3">
        <f ca="1">IFERROR(__xludf.DUMMYFUNCTION("""COMPUTED_VALUE"""),7)</f>
        <v>7</v>
      </c>
      <c r="I766" s="5">
        <f ca="1">IFERROR(__xludf.DUMMYFUNCTION("""COMPUTED_VALUE"""),1000)</f>
        <v>1000</v>
      </c>
      <c r="J766" s="5">
        <f ca="1">IFERROR(__xludf.DUMMYFUNCTION("""COMPUTED_VALUE"""),408)</f>
        <v>408</v>
      </c>
      <c r="K766" s="3"/>
      <c r="L766" s="3" t="str">
        <f ca="1">IFERROR(__xludf.DUMMYFUNCTION("""COMPUTED_VALUE"""),"Cost per period")</f>
        <v>Cost per period</v>
      </c>
      <c r="M766" s="3"/>
      <c r="N766" s="3"/>
      <c r="O766" s="3" t="str">
        <f ca="1">IFERROR(__xludf.DUMMYFUNCTION("""COMPUTED_VALUE"""),"970")</f>
        <v>970</v>
      </c>
      <c r="P766" s="3" t="str">
        <f ca="1">IFERROR(__xludf.DUMMYFUNCTION("""COMPUTED_VALUE"""),"250")</f>
        <v>250</v>
      </c>
      <c r="Q766" s="3" t="str">
        <f ca="1">IFERROR(__xludf.DUMMYFUNCTION("""COMPUTED_VALUE"""),"970x250")</f>
        <v>970x250</v>
      </c>
      <c r="R766" s="3"/>
      <c r="S766" s="3" t="str">
        <f ca="1">IFERROR(__xludf.DUMMYFUNCTION("""COMPUTED_VALUE"""),"100 (200 - HTML5)")</f>
        <v>100 (200 - HTML5)</v>
      </c>
      <c r="T766" s="3"/>
      <c r="U766" s="3" t="str">
        <f ca="1">IFERROR(__xludf.DUMMYFUNCTION("""COMPUTED_VALUE"""),"banner standard")</f>
        <v>banner standard</v>
      </c>
      <c r="V766" s="3"/>
      <c r="W766" s="4" t="str">
        <f ca="1">IFERROR(__xludf.DUMMYFUNCTION("""COMPUTED_VALUE"""),"https://reklama.cncenter.cz/Online/billboard-bottom")</f>
        <v>https://reklama.cncenter.cz/Online/billboard-bottom</v>
      </c>
      <c r="X766" s="3"/>
      <c r="Y766" s="3"/>
      <c r="Z766" s="3" t="str">
        <f ca="1">IFERROR(__xludf.DUMMYFUNCTION("""COMPUTED_VALUE"""),"podklady@cncenter.cz")</f>
        <v>podklady@cncenter.cz</v>
      </c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 t="str">
        <f ca="1">IFERROR(__xludf.DUMMYFUNCTION("""COMPUTED_VALUE"""),"desktop")</f>
        <v>desktop</v>
      </c>
      <c r="AO766" s="3"/>
      <c r="AP766" s="3"/>
      <c r="AQ766" s="3"/>
      <c r="AR766" s="3"/>
      <c r="AS766" s="3"/>
      <c r="AT766" s="3"/>
      <c r="AU766" s="3" t="str">
        <f ca="1">IFERROR(__xludf.DUMMYFUNCTION("""COMPUTED_VALUE"""),"cílený billboard bottom")</f>
        <v>cílený billboard bottom</v>
      </c>
    </row>
    <row r="767" spans="1:47" x14ac:dyDescent="0.3">
      <c r="A767" s="3">
        <f ca="1"/>
        <v>2346826</v>
      </c>
      <c r="B767" s="3" t="str">
        <f ca="1"/>
        <v>CZECH NEWS CENTER a. s.</v>
      </c>
      <c r="C767" s="3" t="str">
        <f ca="1">IFERROR(__xludf.DUMMYFUNCTION("""COMPUTED_VALUE"""),"Mimibazar")</f>
        <v>Mimibazar</v>
      </c>
      <c r="D767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7" s="3" t="str">
        <f ca="1">IFERROR(__xludf.DUMMYFUNCTION("""COMPUTED_VALUE"""),"celý web")</f>
        <v>celý web</v>
      </c>
      <c r="F767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7" s="3" t="str">
        <f ca="1">IFERROR(__xludf.DUMMYFUNCTION("""COMPUTED_VALUE"""),"cílený branding cross-device mid season")</f>
        <v>cílený branding cross-device mid season</v>
      </c>
      <c r="H767" s="3">
        <f ca="1">IFERROR(__xludf.DUMMYFUNCTION("""COMPUTED_VALUE"""),7)</f>
        <v>7</v>
      </c>
      <c r="I767" s="5">
        <f ca="1">IFERROR(__xludf.DUMMYFUNCTION("""COMPUTED_VALUE"""),1000)</f>
        <v>1000</v>
      </c>
      <c r="J767" s="5">
        <f ca="1">IFERROR(__xludf.DUMMYFUNCTION("""COMPUTED_VALUE"""),504)</f>
        <v>504</v>
      </c>
      <c r="K767" s="3"/>
      <c r="L767" s="3" t="str">
        <f ca="1">IFERROR(__xludf.DUMMYFUNCTION("""COMPUTED_VALUE"""),"Cost per period")</f>
        <v>Cost per period</v>
      </c>
      <c r="M767" s="3"/>
      <c r="N767" s="3"/>
      <c r="O767" s="3" t="str">
        <f ca="1">IFERROR(__xludf.DUMMYFUNCTION("""COMPUTED_VALUE"""),"2000")</f>
        <v>2000</v>
      </c>
      <c r="P767" s="3" t="str">
        <f ca="1">IFERROR(__xludf.DUMMYFUNCTION("""COMPUTED_VALUE"""),"1400")</f>
        <v>1400</v>
      </c>
      <c r="Q767" s="3" t="str">
        <f ca="1">IFERROR(__xludf.DUMMYFUNCTION("""COMPUTED_VALUE"""),"2000x1400 + 600x1080")</f>
        <v>2000x1400 + 600x1080</v>
      </c>
      <c r="R767" s="3"/>
      <c r="S767" s="3" t="str">
        <f ca="1">IFERROR(__xludf.DUMMYFUNCTION("""COMPUTED_VALUE"""),"500 (600 - HTLM5)")</f>
        <v>500 (600 - HTLM5)</v>
      </c>
      <c r="T767" s="3"/>
      <c r="U767" s="3" t="str">
        <f ca="1">IFERROR(__xludf.DUMMYFUNCTION("""COMPUTED_VALUE"""),"banner standard")</f>
        <v>banner standard</v>
      </c>
      <c r="V767" s="3"/>
      <c r="W767" s="4" t="str">
        <f ca="1">IFERROR(__xludf.DUMMYFUNCTION("""COMPUTED_VALUE"""),"https://reklama.cncenter.cz/Online/branding-cross-device")</f>
        <v>https://reklama.cncenter.cz/Online/branding-cross-device</v>
      </c>
      <c r="X767" s="3"/>
      <c r="Y767" s="3"/>
      <c r="Z767" s="3" t="str">
        <f ca="1">IFERROR(__xludf.DUMMYFUNCTION("""COMPUTED_VALUE"""),"podklady@cncenter.cz")</f>
        <v>podklady@cncenter.cz</v>
      </c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 t="str">
        <f ca="1">IFERROR(__xludf.DUMMYFUNCTION("""COMPUTED_VALUE"""),"cross-device")</f>
        <v>cross-device</v>
      </c>
      <c r="AO767" s="3"/>
      <c r="AP767" s="3"/>
      <c r="AQ767" s="3"/>
      <c r="AR767" s="3"/>
      <c r="AS767" s="3"/>
      <c r="AT767" s="3"/>
      <c r="AU767" s="3" t="str">
        <f ca="1">IFERROR(__xludf.DUMMYFUNCTION("""COMPUTED_VALUE"""),"cílený branding cross-device")</f>
        <v>cílený branding cross-device</v>
      </c>
    </row>
    <row r="768" spans="1:47" x14ac:dyDescent="0.3">
      <c r="A768" s="3">
        <f ca="1"/>
        <v>2346826</v>
      </c>
      <c r="B768" s="3" t="str">
        <f ca="1"/>
        <v>CZECH NEWS CENTER a. s.</v>
      </c>
      <c r="C768" s="3" t="str">
        <f ca="1">IFERROR(__xludf.DUMMYFUNCTION("""COMPUTED_VALUE"""),"Mimibazar")</f>
        <v>Mimibazar</v>
      </c>
      <c r="D768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8" s="3" t="str">
        <f ca="1">IFERROR(__xludf.DUMMYFUNCTION("""COMPUTED_VALUE"""),"celý web")</f>
        <v>celý web</v>
      </c>
      <c r="F768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8" s="3" t="str">
        <f ca="1">IFERROR(__xludf.DUMMYFUNCTION("""COMPUTED_VALUE"""),"cílený branding mid season")</f>
        <v>cílený branding mid season</v>
      </c>
      <c r="H768" s="3">
        <f ca="1">IFERROR(__xludf.DUMMYFUNCTION("""COMPUTED_VALUE"""),7)</f>
        <v>7</v>
      </c>
      <c r="I768" s="5">
        <f ca="1">IFERROR(__xludf.DUMMYFUNCTION("""COMPUTED_VALUE"""),1000)</f>
        <v>1000</v>
      </c>
      <c r="J768" s="5">
        <f ca="1">IFERROR(__xludf.DUMMYFUNCTION("""COMPUTED_VALUE"""),828)</f>
        <v>828</v>
      </c>
      <c r="K768" s="3"/>
      <c r="L768" s="3" t="str">
        <f ca="1">IFERROR(__xludf.DUMMYFUNCTION("""COMPUTED_VALUE"""),"Cost per period")</f>
        <v>Cost per period</v>
      </c>
      <c r="M768" s="3"/>
      <c r="N768" s="3"/>
      <c r="O768" s="3" t="str">
        <f ca="1">IFERROR(__xludf.DUMMYFUNCTION("""COMPUTED_VALUE"""),"2000")</f>
        <v>2000</v>
      </c>
      <c r="P768" s="3" t="str">
        <f ca="1">IFERROR(__xludf.DUMMYFUNCTION("""COMPUTED_VALUE"""),"1400")</f>
        <v>1400</v>
      </c>
      <c r="Q768" s="3" t="str">
        <f ca="1">IFERROR(__xludf.DUMMYFUNCTION("""COMPUTED_VALUE"""),"2000x1400")</f>
        <v>2000x1400</v>
      </c>
      <c r="R768" s="3"/>
      <c r="S768" s="3" t="str">
        <f ca="1">IFERROR(__xludf.DUMMYFUNCTION("""COMPUTED_VALUE"""),"500 + 200 (600+200 HTML5)")</f>
        <v>500 + 200 (600+200 HTML5)</v>
      </c>
      <c r="T768" s="3"/>
      <c r="U768" s="3" t="str">
        <f ca="1">IFERROR(__xludf.DUMMYFUNCTION("""COMPUTED_VALUE"""),"banner standard")</f>
        <v>banner standard</v>
      </c>
      <c r="V768" s="3"/>
      <c r="W768" s="4" t="str">
        <f ca="1">IFERROR(__xludf.DUMMYFUNCTION("""COMPUTED_VALUE"""),"https://reklama.cncenter.cz/Online/branding")</f>
        <v>https://reklama.cncenter.cz/Online/branding</v>
      </c>
      <c r="X768" s="3"/>
      <c r="Y768" s="3"/>
      <c r="Z768" s="3" t="str">
        <f ca="1">IFERROR(__xludf.DUMMYFUNCTION("""COMPUTED_VALUE"""),"podklady@cncenter.cz")</f>
        <v>podklady@cncenter.cz</v>
      </c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 t="str">
        <f ca="1">IFERROR(__xludf.DUMMYFUNCTION("""COMPUTED_VALUE"""),"desktop")</f>
        <v>desktop</v>
      </c>
      <c r="AO768" s="3"/>
      <c r="AP768" s="3"/>
      <c r="AQ768" s="3"/>
      <c r="AR768" s="3"/>
      <c r="AS768" s="3"/>
      <c r="AT768" s="3"/>
      <c r="AU768" s="3" t="str">
        <f ca="1">IFERROR(__xludf.DUMMYFUNCTION("""COMPUTED_VALUE"""),"cílený branding")</f>
        <v>cílený branding</v>
      </c>
    </row>
    <row r="769" spans="1:47" x14ac:dyDescent="0.3">
      <c r="A769" s="3">
        <f ca="1"/>
        <v>2346826</v>
      </c>
      <c r="B769" s="3" t="str">
        <f ca="1"/>
        <v>CZECH NEWS CENTER a. s.</v>
      </c>
      <c r="C769" s="3" t="str">
        <f ca="1">IFERROR(__xludf.DUMMYFUNCTION("""COMPUTED_VALUE"""),"Mimibazar")</f>
        <v>Mimibazar</v>
      </c>
      <c r="D769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9" s="3" t="str">
        <f ca="1">IFERROR(__xludf.DUMMYFUNCTION("""COMPUTED_VALUE"""),"celý web")</f>
        <v>celý web</v>
      </c>
      <c r="F769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9" s="3" t="str">
        <f ca="1">IFERROR(__xludf.DUMMYFUNCTION("""COMPUTED_VALUE"""),"cílený double skyscraper mid season")</f>
        <v>cílený double skyscraper mid season</v>
      </c>
      <c r="H769" s="3">
        <f ca="1">IFERROR(__xludf.DUMMYFUNCTION("""COMPUTED_VALUE"""),7)</f>
        <v>7</v>
      </c>
      <c r="I769" s="5">
        <f ca="1">IFERROR(__xludf.DUMMYFUNCTION("""COMPUTED_VALUE"""),1000)</f>
        <v>1000</v>
      </c>
      <c r="J769" s="5">
        <f ca="1">IFERROR(__xludf.DUMMYFUNCTION("""COMPUTED_VALUE"""),324)</f>
        <v>324</v>
      </c>
      <c r="K769" s="3"/>
      <c r="L769" s="3" t="str">
        <f ca="1">IFERROR(__xludf.DUMMYFUNCTION("""COMPUTED_VALUE"""),"Cost per period")</f>
        <v>Cost per period</v>
      </c>
      <c r="M769" s="3"/>
      <c r="N769" s="3"/>
      <c r="O769" s="3" t="str">
        <f ca="1">IFERROR(__xludf.DUMMYFUNCTION("""COMPUTED_VALUE"""),"300")</f>
        <v>300</v>
      </c>
      <c r="P769" s="3" t="str">
        <f ca="1">IFERROR(__xludf.DUMMYFUNCTION("""COMPUTED_VALUE"""),"600")</f>
        <v>600</v>
      </c>
      <c r="Q769" s="3" t="str">
        <f ca="1">IFERROR(__xludf.DUMMYFUNCTION("""COMPUTED_VALUE"""),"300x600")</f>
        <v>300x600</v>
      </c>
      <c r="R769" s="3"/>
      <c r="S769" s="3" t="str">
        <f ca="1">IFERROR(__xludf.DUMMYFUNCTION("""COMPUTED_VALUE"""),"100 (200 - HTML5)")</f>
        <v>100 (200 - HTML5)</v>
      </c>
      <c r="T769" s="3"/>
      <c r="U769" s="3" t="str">
        <f ca="1">IFERROR(__xludf.DUMMYFUNCTION("""COMPUTED_VALUE"""),"banner standard")</f>
        <v>banner standard</v>
      </c>
      <c r="V769" s="3"/>
      <c r="W769" s="4" t="str">
        <f ca="1">IFERROR(__xludf.DUMMYFUNCTION("""COMPUTED_VALUE"""),"https://reklama.cncenter.cz/Online/double-skyscraper")</f>
        <v>https://reklama.cncenter.cz/Online/double-skyscraper</v>
      </c>
      <c r="X769" s="3"/>
      <c r="Y769" s="3"/>
      <c r="Z769" s="3" t="str">
        <f ca="1">IFERROR(__xludf.DUMMYFUNCTION("""COMPUTED_VALUE"""),"podklady@cncenter.cz")</f>
        <v>podklady@cncenter.cz</v>
      </c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 t="str">
        <f ca="1">IFERROR(__xludf.DUMMYFUNCTION("""COMPUTED_VALUE"""),"desktop")</f>
        <v>desktop</v>
      </c>
      <c r="AO769" s="3"/>
      <c r="AP769" s="3"/>
      <c r="AQ769" s="3"/>
      <c r="AR769" s="3"/>
      <c r="AS769" s="3"/>
      <c r="AT769" s="3"/>
      <c r="AU769" s="3" t="str">
        <f ca="1">IFERROR(__xludf.DUMMYFUNCTION("""COMPUTED_VALUE"""),"cílený double skyscraper")</f>
        <v>cílený double skyscraper</v>
      </c>
    </row>
    <row r="770" spans="1:47" x14ac:dyDescent="0.3">
      <c r="A770" s="3">
        <f ca="1"/>
        <v>2346826</v>
      </c>
      <c r="B770" s="3" t="str">
        <f ca="1"/>
        <v>CZECH NEWS CENTER a. s.</v>
      </c>
      <c r="C770" s="3" t="str">
        <f ca="1">IFERROR(__xludf.DUMMYFUNCTION("""COMPUTED_VALUE"""),"Mimibazar")</f>
        <v>Mimibazar</v>
      </c>
      <c r="D770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0" s="3" t="str">
        <f ca="1">IFERROR(__xludf.DUMMYFUNCTION("""COMPUTED_VALUE"""),"celý web")</f>
        <v>celý web</v>
      </c>
      <c r="F770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0" s="3" t="str">
        <f ca="1">IFERROR(__xludf.DUMMYFUNCTION("""COMPUTED_VALUE"""),"cílený mobilní interscroller mid season")</f>
        <v>cílený mobilní interscroller mid season</v>
      </c>
      <c r="H770" s="3">
        <f ca="1">IFERROR(__xludf.DUMMYFUNCTION("""COMPUTED_VALUE"""),7)</f>
        <v>7</v>
      </c>
      <c r="I770" s="5">
        <f ca="1">IFERROR(__xludf.DUMMYFUNCTION("""COMPUTED_VALUE"""),1000)</f>
        <v>1000</v>
      </c>
      <c r="J770" s="5">
        <f ca="1">IFERROR(__xludf.DUMMYFUNCTION("""COMPUTED_VALUE"""),420)</f>
        <v>420</v>
      </c>
      <c r="K770" s="3"/>
      <c r="L770" s="3" t="str">
        <f ca="1">IFERROR(__xludf.DUMMYFUNCTION("""COMPUTED_VALUE"""),"Cost per period")</f>
        <v>Cost per period</v>
      </c>
      <c r="M770" s="3"/>
      <c r="N770" s="3"/>
      <c r="O770" s="3" t="str">
        <f ca="1">IFERROR(__xludf.DUMMYFUNCTION("""COMPUTED_VALUE"""),"600")</f>
        <v>600</v>
      </c>
      <c r="P770" s="3" t="str">
        <f ca="1">IFERROR(__xludf.DUMMYFUNCTION("""COMPUTED_VALUE"""),"1080")</f>
        <v>1080</v>
      </c>
      <c r="Q770" s="3" t="str">
        <f ca="1">IFERROR(__xludf.DUMMYFUNCTION("""COMPUTED_VALUE"""),"600x1080")</f>
        <v>600x1080</v>
      </c>
      <c r="R770" s="3"/>
      <c r="S770" s="3" t="str">
        <f ca="1">IFERROR(__xludf.DUMMYFUNCTION("""COMPUTED_VALUE"""),"200")</f>
        <v>200</v>
      </c>
      <c r="T770" s="3"/>
      <c r="U770" s="3" t="str">
        <f ca="1">IFERROR(__xludf.DUMMYFUNCTION("""COMPUTED_VALUE"""),"banner standard")</f>
        <v>banner standard</v>
      </c>
      <c r="V770" s="3"/>
      <c r="W770" s="4" t="str">
        <f ca="1">IFERROR(__xludf.DUMMYFUNCTION("""COMPUTED_VALUE"""),"https://reklama.cncenter.cz/Online/mobilni-interscroller")</f>
        <v>https://reklama.cncenter.cz/Online/mobilni-interscroller</v>
      </c>
      <c r="X770" s="3"/>
      <c r="Y770" s="3"/>
      <c r="Z770" s="3" t="str">
        <f ca="1">IFERROR(__xludf.DUMMYFUNCTION("""COMPUTED_VALUE"""),"podklady@cncenter.cz")</f>
        <v>podklady@cncenter.cz</v>
      </c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 t="str">
        <f ca="1">IFERROR(__xludf.DUMMYFUNCTION("""COMPUTED_VALUE"""),"mobile")</f>
        <v>mobile</v>
      </c>
      <c r="AO770" s="3"/>
      <c r="AP770" s="3"/>
      <c r="AQ770" s="3"/>
      <c r="AR770" s="3"/>
      <c r="AS770" s="3"/>
      <c r="AT770" s="3"/>
      <c r="AU770" s="3" t="str">
        <f ca="1">IFERROR(__xludf.DUMMYFUNCTION("""COMPUTED_VALUE"""),"cílený mobilní interscroller")</f>
        <v>cílený mobilní interscroller</v>
      </c>
    </row>
    <row r="771" spans="1:47" x14ac:dyDescent="0.3">
      <c r="A771" s="3">
        <f ca="1"/>
        <v>2346826</v>
      </c>
      <c r="B771" s="3" t="str">
        <f ca="1"/>
        <v>CZECH NEWS CENTER a. s.</v>
      </c>
      <c r="C771" s="3" t="str">
        <f ca="1">IFERROR(__xludf.DUMMYFUNCTION("""COMPUTED_VALUE"""),"Mimibazar")</f>
        <v>Mimibazar</v>
      </c>
      <c r="D771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1" s="3" t="str">
        <f ca="1">IFERROR(__xludf.DUMMYFUNCTION("""COMPUTED_VALUE"""),"celý web")</f>
        <v>celý web</v>
      </c>
      <c r="F771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1" s="3" t="str">
        <f ca="1">IFERROR(__xludf.DUMMYFUNCTION("""COMPUTED_VALUE"""),"cílený mobilní slide-up mid season")</f>
        <v>cílený mobilní slide-up mid season</v>
      </c>
      <c r="H771" s="3">
        <f ca="1">IFERROR(__xludf.DUMMYFUNCTION("""COMPUTED_VALUE"""),7)</f>
        <v>7</v>
      </c>
      <c r="I771" s="5">
        <f ca="1">IFERROR(__xludf.DUMMYFUNCTION("""COMPUTED_VALUE"""),1000)</f>
        <v>1000</v>
      </c>
      <c r="J771" s="5">
        <f ca="1">IFERROR(__xludf.DUMMYFUNCTION("""COMPUTED_VALUE"""),864)</f>
        <v>864</v>
      </c>
      <c r="K771" s="3"/>
      <c r="L771" s="3" t="str">
        <f ca="1">IFERROR(__xludf.DUMMYFUNCTION("""COMPUTED_VALUE"""),"Cost per period")</f>
        <v>Cost per period</v>
      </c>
      <c r="M771" s="3"/>
      <c r="N771" s="3"/>
      <c r="O771" s="3" t="str">
        <f ca="1">IFERROR(__xludf.DUMMYFUNCTION("""COMPUTED_VALUE"""),"300")</f>
        <v>300</v>
      </c>
      <c r="P771" s="3" t="str">
        <f ca="1">IFERROR(__xludf.DUMMYFUNCTION("""COMPUTED_VALUE"""),"120")</f>
        <v>120</v>
      </c>
      <c r="Q771" s="3" t="str">
        <f ca="1">IFERROR(__xludf.DUMMYFUNCTION("""COMPUTED_VALUE"""),"300x120")</f>
        <v>300x120</v>
      </c>
      <c r="R771" s="3"/>
      <c r="S771" s="3" t="str">
        <f ca="1">IFERROR(__xludf.DUMMYFUNCTION("""COMPUTED_VALUE"""),"100")</f>
        <v>100</v>
      </c>
      <c r="T771" s="3"/>
      <c r="U771" s="3" t="str">
        <f ca="1">IFERROR(__xludf.DUMMYFUNCTION("""COMPUTED_VALUE"""),"banner standard")</f>
        <v>banner standard</v>
      </c>
      <c r="V771" s="3"/>
      <c r="W771" s="4" t="str">
        <f ca="1">IFERROR(__xludf.DUMMYFUNCTION("""COMPUTED_VALUE"""),"https://reklama.cncenter.cz/Online/mobilni-slide-up")</f>
        <v>https://reklama.cncenter.cz/Online/mobilni-slide-up</v>
      </c>
      <c r="X771" s="3"/>
      <c r="Y771" s="3"/>
      <c r="Z771" s="3" t="str">
        <f ca="1">IFERROR(__xludf.DUMMYFUNCTION("""COMPUTED_VALUE"""),"podklady@cncenter.cz")</f>
        <v>podklady@cncenter.cz</v>
      </c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 t="str">
        <f ca="1">IFERROR(__xludf.DUMMYFUNCTION("""COMPUTED_VALUE"""),"mobile")</f>
        <v>mobile</v>
      </c>
      <c r="AO771" s="3"/>
      <c r="AP771" s="3"/>
      <c r="AQ771" s="3"/>
      <c r="AR771" s="3"/>
      <c r="AS771" s="3"/>
      <c r="AT771" s="3"/>
      <c r="AU771" s="3" t="str">
        <f ca="1">IFERROR(__xludf.DUMMYFUNCTION("""COMPUTED_VALUE"""),"cílený mobilní slide-up")</f>
        <v>cílený mobilní slide-up</v>
      </c>
    </row>
    <row r="772" spans="1:47" x14ac:dyDescent="0.3">
      <c r="A772" s="3">
        <f ca="1"/>
        <v>2346826</v>
      </c>
      <c r="B772" s="3" t="str">
        <f ca="1"/>
        <v>CZECH NEWS CENTER a. s.</v>
      </c>
      <c r="C772" s="3" t="str">
        <f ca="1">IFERROR(__xludf.DUMMYFUNCTION("""COMPUTED_VALUE"""),"Mimibazar")</f>
        <v>Mimibazar</v>
      </c>
      <c r="D772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2" s="3" t="str">
        <f ca="1">IFERROR(__xludf.DUMMYFUNCTION("""COMPUTED_VALUE"""),"celý web")</f>
        <v>celý web</v>
      </c>
      <c r="F772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2" s="3" t="str">
        <f ca="1">IFERROR(__xludf.DUMMYFUNCTION("""COMPUTED_VALUE"""),"cílený mobilní viněta mid season")</f>
        <v>cílený mobilní viněta mid season</v>
      </c>
      <c r="H772" s="3">
        <f ca="1">IFERROR(__xludf.DUMMYFUNCTION("""COMPUTED_VALUE"""),7)</f>
        <v>7</v>
      </c>
      <c r="I772" s="5">
        <f ca="1">IFERROR(__xludf.DUMMYFUNCTION("""COMPUTED_VALUE"""),1000)</f>
        <v>1000</v>
      </c>
      <c r="J772" s="5">
        <f ca="1">IFERROR(__xludf.DUMMYFUNCTION("""COMPUTED_VALUE"""),1488)</f>
        <v>1488</v>
      </c>
      <c r="K772" s="3"/>
      <c r="L772" s="3" t="str">
        <f ca="1">IFERROR(__xludf.DUMMYFUNCTION("""COMPUTED_VALUE"""),"Cost per period")</f>
        <v>Cost per period</v>
      </c>
      <c r="M772" s="3"/>
      <c r="N772" s="3"/>
      <c r="O772" s="3" t="str">
        <f ca="1">IFERROR(__xludf.DUMMYFUNCTION("""COMPUTED_VALUE"""),"600")</f>
        <v>600</v>
      </c>
      <c r="P772" s="3" t="str">
        <f ca="1">IFERROR(__xludf.DUMMYFUNCTION("""COMPUTED_VALUE"""),"800")</f>
        <v>800</v>
      </c>
      <c r="Q772" s="3" t="str">
        <f ca="1">IFERROR(__xludf.DUMMYFUNCTION("""COMPUTED_VALUE"""),"300x250 nebo 600x800")</f>
        <v>300x250 nebo 600x800</v>
      </c>
      <c r="R772" s="3"/>
      <c r="S772" s="3" t="str">
        <f ca="1">IFERROR(__xludf.DUMMYFUNCTION("""COMPUTED_VALUE"""),"100")</f>
        <v>100</v>
      </c>
      <c r="T772" s="3"/>
      <c r="U772" s="3" t="str">
        <f ca="1">IFERROR(__xludf.DUMMYFUNCTION("""COMPUTED_VALUE"""),"banner standard")</f>
        <v>banner standard</v>
      </c>
      <c r="V772" s="3"/>
      <c r="W772" s="4" t="str">
        <f ca="1">IFERROR(__xludf.DUMMYFUNCTION("""COMPUTED_VALUE"""),"https://reklama.cncenter.cz/Online/mobilni-vineta")</f>
        <v>https://reklama.cncenter.cz/Online/mobilni-vineta</v>
      </c>
      <c r="X772" s="3"/>
      <c r="Y772" s="3"/>
      <c r="Z772" s="3" t="str">
        <f ca="1">IFERROR(__xludf.DUMMYFUNCTION("""COMPUTED_VALUE"""),"podklady@cncenter.cz")</f>
        <v>podklady@cncenter.cz</v>
      </c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 t="str">
        <f ca="1">IFERROR(__xludf.DUMMYFUNCTION("""COMPUTED_VALUE"""),"mobile")</f>
        <v>mobile</v>
      </c>
      <c r="AO772" s="3"/>
      <c r="AP772" s="3"/>
      <c r="AQ772" s="3"/>
      <c r="AR772" s="3"/>
      <c r="AS772" s="3"/>
      <c r="AT772" s="3"/>
      <c r="AU772" s="3" t="str">
        <f ca="1">IFERROR(__xludf.DUMMYFUNCTION("""COMPUTED_VALUE"""),"cílený mobilní viněta")</f>
        <v>cílený mobilní viněta</v>
      </c>
    </row>
    <row r="773" spans="1:47" x14ac:dyDescent="0.3">
      <c r="A773" s="3">
        <f ca="1"/>
        <v>2346826</v>
      </c>
      <c r="B773" s="3" t="str">
        <f ca="1"/>
        <v>CZECH NEWS CENTER a. s.</v>
      </c>
      <c r="C773" s="3" t="str">
        <f ca="1">IFERROR(__xludf.DUMMYFUNCTION("""COMPUTED_VALUE"""),"Mimibazar")</f>
        <v>Mimibazar</v>
      </c>
      <c r="D773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3" s="3" t="str">
        <f ca="1">IFERROR(__xludf.DUMMYFUNCTION("""COMPUTED_VALUE"""),"celý web")</f>
        <v>celý web</v>
      </c>
      <c r="F773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3" s="3" t="str">
        <f ca="1">IFERROR(__xludf.DUMMYFUNCTION("""COMPUTED_VALUE"""),"cílený nativní rectangle cross-device mid season")</f>
        <v>cílený nativní rectangle cross-device mid season</v>
      </c>
      <c r="H773" s="3">
        <f ca="1">IFERROR(__xludf.DUMMYFUNCTION("""COMPUTED_VALUE"""),7)</f>
        <v>7</v>
      </c>
      <c r="I773" s="5">
        <f ca="1">IFERROR(__xludf.DUMMYFUNCTION("""COMPUTED_VALUE"""),1000)</f>
        <v>1000</v>
      </c>
      <c r="J773" s="5">
        <f ca="1">IFERROR(__xludf.DUMMYFUNCTION("""COMPUTED_VALUE"""),336)</f>
        <v>336</v>
      </c>
      <c r="K773" s="3"/>
      <c r="L773" s="3" t="str">
        <f ca="1">IFERROR(__xludf.DUMMYFUNCTION("""COMPUTED_VALUE"""),"Cost per period")</f>
        <v>Cost per period</v>
      </c>
      <c r="M773" s="3"/>
      <c r="N773" s="3"/>
      <c r="O773" s="3" t="str">
        <f ca="1">IFERROR(__xludf.DUMMYFUNCTION("""COMPUTED_VALUE"""),"640")</f>
        <v>640</v>
      </c>
      <c r="P773" s="3" t="str">
        <f ca="1">IFERROR(__xludf.DUMMYFUNCTION("""COMPUTED_VALUE"""),"335, 640")</f>
        <v>335, 640</v>
      </c>
      <c r="Q773" s="3" t="str">
        <f ca="1">IFERROR(__xludf.DUMMYFUNCTION("""COMPUTED_VALUE"""),"640x640 a 640x335 + text + logo")</f>
        <v>640x640 a 640x335 + text + logo</v>
      </c>
      <c r="R773" s="3"/>
      <c r="S773" s="3" t="str">
        <f ca="1">IFERROR(__xludf.DUMMYFUNCTION("""COMPUTED_VALUE"""),"45")</f>
        <v>45</v>
      </c>
      <c r="T773" s="3"/>
      <c r="U773" s="3" t="str">
        <f ca="1">IFERROR(__xludf.DUMMYFUNCTION("""COMPUTED_VALUE"""),"nativní reklama")</f>
        <v>nativní reklama</v>
      </c>
      <c r="V773" s="3"/>
      <c r="W773" s="4" t="str">
        <f ca="1">IFERROR(__xludf.DUMMYFUNCTION("""COMPUTED_VALUE"""),"https://reklama.cncenter.cz/Online/nativni-rectangle-cross-device")</f>
        <v>https://reklama.cncenter.cz/Online/nativni-rectangle-cross-device</v>
      </c>
      <c r="X773" s="3"/>
      <c r="Y773" s="3"/>
      <c r="Z773" s="3" t="str">
        <f ca="1">IFERROR(__xludf.DUMMYFUNCTION("""COMPUTED_VALUE"""),"podklady@cncenter.cz")</f>
        <v>podklady@cncenter.cz</v>
      </c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 t="str">
        <f ca="1">IFERROR(__xludf.DUMMYFUNCTION("""COMPUTED_VALUE"""),"cross-device")</f>
        <v>cross-device</v>
      </c>
      <c r="AO773" s="3"/>
      <c r="AP773" s="3"/>
      <c r="AQ773" s="3"/>
      <c r="AR773" s="3"/>
      <c r="AS773" s="3"/>
      <c r="AT773" s="3"/>
      <c r="AU773" s="3" t="str">
        <f ca="1">IFERROR(__xludf.DUMMYFUNCTION("""COMPUTED_VALUE"""),"cílený nativní rectangle cross-device")</f>
        <v>cílený nativní rectangle cross-device</v>
      </c>
    </row>
    <row r="774" spans="1:47" x14ac:dyDescent="0.3">
      <c r="A774" s="3">
        <f ca="1"/>
        <v>2346826</v>
      </c>
      <c r="B774" s="3" t="str">
        <f ca="1"/>
        <v>CZECH NEWS CENTER a. s.</v>
      </c>
      <c r="C774" s="3" t="str">
        <f ca="1">IFERROR(__xludf.DUMMYFUNCTION("""COMPUTED_VALUE"""),"Mimibazar")</f>
        <v>Mimibazar</v>
      </c>
      <c r="D774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4" s="3" t="str">
        <f ca="1">IFERROR(__xludf.DUMMYFUNCTION("""COMPUTED_VALUE"""),"celý web")</f>
        <v>celý web</v>
      </c>
      <c r="F774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4" s="3" t="str">
        <f ca="1">IFERROR(__xludf.DUMMYFUNCTION("""COMPUTED_VALUE"""),"cílený outstream mid season")</f>
        <v>cílený outstream mid season</v>
      </c>
      <c r="H774" s="3">
        <f ca="1">IFERROR(__xludf.DUMMYFUNCTION("""COMPUTED_VALUE"""),7)</f>
        <v>7</v>
      </c>
      <c r="I774" s="5">
        <f ca="1">IFERROR(__xludf.DUMMYFUNCTION("""COMPUTED_VALUE"""),1000)</f>
        <v>1000</v>
      </c>
      <c r="J774" s="5">
        <f ca="1">IFERROR(__xludf.DUMMYFUNCTION("""COMPUTED_VALUE"""),420)</f>
        <v>420</v>
      </c>
      <c r="K774" s="3"/>
      <c r="L774" s="3" t="str">
        <f ca="1">IFERROR(__xludf.DUMMYFUNCTION("""COMPUTED_VALUE"""),"Cost per period")</f>
        <v>Cost per period</v>
      </c>
      <c r="M774" s="3"/>
      <c r="N774" s="3"/>
      <c r="O774" s="3" t="str">
        <f ca="1">IFERROR(__xludf.DUMMYFUNCTION("""COMPUTED_VALUE"""),"1280")</f>
        <v>1280</v>
      </c>
      <c r="P774" s="3" t="str">
        <f ca="1">IFERROR(__xludf.DUMMYFUNCTION("""COMPUTED_VALUE"""),"720")</f>
        <v>720</v>
      </c>
      <c r="Q774" s="3" t="str">
        <f ca="1">IFERROR(__xludf.DUMMYFUNCTION("""COMPUTED_VALUE"""),"16:9")</f>
        <v>16:9</v>
      </c>
      <c r="R774" s="3"/>
      <c r="S774" s="3" t="str">
        <f ca="1">IFERROR(__xludf.DUMMYFUNCTION("""COMPUTED_VALUE"""),"100")</f>
        <v>100</v>
      </c>
      <c r="T774" s="3"/>
      <c r="U774" s="3" t="str">
        <f ca="1">IFERROR(__xludf.DUMMYFUNCTION("""COMPUTED_VALUE"""),"videospot")</f>
        <v>videospot</v>
      </c>
      <c r="V774" s="3"/>
      <c r="W774" s="4" t="str">
        <f ca="1">IFERROR(__xludf.DUMMYFUNCTION("""COMPUTED_VALUE"""),"https://reklama.cncenter.cz/Online/Outstream")</f>
        <v>https://reklama.cncenter.cz/Online/Outstream</v>
      </c>
      <c r="X774" s="3"/>
      <c r="Y774" s="3"/>
      <c r="Z774" s="3" t="str">
        <f ca="1">IFERROR(__xludf.DUMMYFUNCTION("""COMPUTED_VALUE"""),"podklady@cncenter.cz")</f>
        <v>podklady@cncenter.cz</v>
      </c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 t="str">
        <f ca="1">IFERROR(__xludf.DUMMYFUNCTION("""COMPUTED_VALUE"""),"cross-device")</f>
        <v>cross-device</v>
      </c>
      <c r="AO774" s="3"/>
      <c r="AP774" s="3"/>
      <c r="AQ774" s="3"/>
      <c r="AR774" s="3"/>
      <c r="AS774" s="3"/>
      <c r="AT774" s="3"/>
      <c r="AU774" s="3" t="str">
        <f ca="1">IFERROR(__xludf.DUMMYFUNCTION("""COMPUTED_VALUE"""),"cílený outstream")</f>
        <v>cílený outstream</v>
      </c>
    </row>
    <row r="775" spans="1:47" x14ac:dyDescent="0.3">
      <c r="A775" s="3">
        <f ca="1"/>
        <v>2346826</v>
      </c>
      <c r="B775" s="3" t="str">
        <f ca="1"/>
        <v>CZECH NEWS CENTER a. s.</v>
      </c>
      <c r="C775" s="3" t="str">
        <f ca="1">IFERROR(__xludf.DUMMYFUNCTION("""COMPUTED_VALUE"""),"Mimibazar")</f>
        <v>Mimibazar</v>
      </c>
      <c r="D775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5" s="3" t="str">
        <f ca="1">IFERROR(__xludf.DUMMYFUNCTION("""COMPUTED_VALUE"""),"celý web")</f>
        <v>celý web</v>
      </c>
      <c r="F775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5" s="3" t="str">
        <f ca="1">IFERROR(__xludf.DUMMYFUNCTION("""COMPUTED_VALUE"""),"cílený videospot - max. 30 sec. / bumper mid season")</f>
        <v>cílený videospot - max. 30 sec. / bumper mid season</v>
      </c>
      <c r="H775" s="3">
        <f ca="1">IFERROR(__xludf.DUMMYFUNCTION("""COMPUTED_VALUE"""),7)</f>
        <v>7</v>
      </c>
      <c r="I775" s="5">
        <f ca="1">IFERROR(__xludf.DUMMYFUNCTION("""COMPUTED_VALUE"""),1000)</f>
        <v>1000</v>
      </c>
      <c r="J775" s="5">
        <f ca="1">IFERROR(__xludf.DUMMYFUNCTION("""COMPUTED_VALUE"""),1248)</f>
        <v>1248</v>
      </c>
      <c r="K775" s="3"/>
      <c r="L775" s="3" t="str">
        <f ca="1">IFERROR(__xludf.DUMMYFUNCTION("""COMPUTED_VALUE"""),"Cost per period")</f>
        <v>Cost per period</v>
      </c>
      <c r="M775" s="3"/>
      <c r="N775" s="3"/>
      <c r="O775" s="3" t="str">
        <f ca="1">IFERROR(__xludf.DUMMYFUNCTION("""COMPUTED_VALUE"""),"1280")</f>
        <v>1280</v>
      </c>
      <c r="P775" s="3" t="str">
        <f ca="1">IFERROR(__xludf.DUMMYFUNCTION("""COMPUTED_VALUE"""),"720")</f>
        <v>720</v>
      </c>
      <c r="Q775" s="3" t="str">
        <f ca="1">IFERROR(__xludf.DUMMYFUNCTION("""COMPUTED_VALUE"""),"16:9 / umístění po domluvě dle možností")</f>
        <v>16:9 / umístění po domluvě dle možností</v>
      </c>
      <c r="R775" s="3" t="str">
        <f ca="1">IFERROR(__xludf.DUMMYFUNCTION("""COMPUTED_VALUE"""),"přeskočení po 7 sekundách")</f>
        <v>přeskočení po 7 sekundách</v>
      </c>
      <c r="S775" s="3" t="str">
        <f ca="1">IFERROR(__xludf.DUMMYFUNCTION("""COMPUTED_VALUE"""),"100")</f>
        <v>100</v>
      </c>
      <c r="T775" s="3"/>
      <c r="U775" s="3" t="str">
        <f ca="1">IFERROR(__xludf.DUMMYFUNCTION("""COMPUTED_VALUE"""),"videospot")</f>
        <v>videospot</v>
      </c>
      <c r="V775" s="3"/>
      <c r="W775" s="4" t="str">
        <f ca="1">IFERROR(__xludf.DUMMYFUNCTION("""COMPUTED_VALUE"""),"https://reklama.cncenter.cz/Online/Bumper")</f>
        <v>https://reklama.cncenter.cz/Online/Bumper</v>
      </c>
      <c r="X775" s="3"/>
      <c r="Y775" s="3"/>
      <c r="Z775" s="3" t="str">
        <f ca="1">IFERROR(__xludf.DUMMYFUNCTION("""COMPUTED_VALUE"""),"podklady@cncenter.cz")</f>
        <v>podklady@cncenter.cz</v>
      </c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 t="str">
        <f ca="1">IFERROR(__xludf.DUMMYFUNCTION("""COMPUTED_VALUE"""),"cross-device")</f>
        <v>cross-device</v>
      </c>
      <c r="AO775" s="3"/>
      <c r="AP775" s="3"/>
      <c r="AQ775" s="3"/>
      <c r="AR775" s="3"/>
      <c r="AS775" s="3"/>
      <c r="AT775" s="3"/>
      <c r="AU775" s="3" t="str">
        <f ca="1">IFERROR(__xludf.DUMMYFUNCTION("""COMPUTED_VALUE"""),"cílený videospot - max. 30 sec. / bumper")</f>
        <v>cílený videospot - max. 30 sec. / bumper</v>
      </c>
    </row>
    <row r="776" spans="1:47" x14ac:dyDescent="0.3">
      <c r="A776" s="3">
        <f ca="1"/>
        <v>2346826</v>
      </c>
      <c r="B776" s="3" t="str">
        <f ca="1"/>
        <v>CZECH NEWS CENTER a. s.</v>
      </c>
      <c r="C776" s="3" t="str">
        <f ca="1">IFERROR(__xludf.DUMMYFUNCTION("""COMPUTED_VALUE"""),"Mimibazar")</f>
        <v>Mimibazar</v>
      </c>
      <c r="D776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6" s="3" t="str">
        <f ca="1">IFERROR(__xludf.DUMMYFUNCTION("""COMPUTED_VALUE"""),"celý web")</f>
        <v>celý web</v>
      </c>
      <c r="F776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6" s="3" t="str">
        <f ca="1">IFERROR(__xludf.DUMMYFUNCTION("""COMPUTED_VALUE"""),"dokoupení proma o 2 týdny - 10 000 PV *** mid season")</f>
        <v>dokoupení proma o 2 týdny - 10 000 PV *** mid season</v>
      </c>
      <c r="H776" s="3">
        <f ca="1">IFERROR(__xludf.DUMMYFUNCTION("""COMPUTED_VALUE"""),1)</f>
        <v>1</v>
      </c>
      <c r="I776" s="5">
        <f ca="1">IFERROR(__xludf.DUMMYFUNCTION("""COMPUTED_VALUE"""),1)</f>
        <v>1</v>
      </c>
      <c r="J776" s="5">
        <f ca="1">IFERROR(__xludf.DUMMYFUNCTION("""COMPUTED_VALUE"""),60000)</f>
        <v>60000</v>
      </c>
      <c r="K776" s="3"/>
      <c r="L776" s="3" t="str">
        <f ca="1">IFERROR(__xludf.DUMMYFUNCTION("""COMPUTED_VALUE"""),"Cost per instance")</f>
        <v>Cost per instance</v>
      </c>
      <c r="M776" s="3"/>
      <c r="N776" s="3"/>
      <c r="O776" s="3"/>
      <c r="P776" s="3"/>
      <c r="Q776" s="3"/>
      <c r="R776" s="3"/>
      <c r="S776" s="3" t="str">
        <f ca="1">IFERROR(__xludf.DUMMYFUNCTION("""COMPUTED_VALUE"""),"100")</f>
        <v>100</v>
      </c>
      <c r="T776" s="3"/>
      <c r="U776" s="3" t="str">
        <f ca="1">IFERROR(__xludf.DUMMYFUNCTION("""COMPUTED_VALUE"""),"microsite")</f>
        <v>microsite</v>
      </c>
      <c r="V776" s="3"/>
      <c r="W776" s="3"/>
      <c r="X776" s="3"/>
      <c r="Y776" s="3"/>
      <c r="Z776" s="3" t="str">
        <f ca="1">IFERROR(__xludf.DUMMYFUNCTION("""COMPUTED_VALUE"""),"podklady@cncenter.cz")</f>
        <v>podklady@cncenter.cz</v>
      </c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 t="str">
        <f ca="1">IFERROR(__xludf.DUMMYFUNCTION("""COMPUTED_VALUE"""),"cross-device")</f>
        <v>cross-device</v>
      </c>
      <c r="AO776" s="3"/>
      <c r="AP776" s="3"/>
      <c r="AQ776" s="3"/>
      <c r="AR776" s="3"/>
      <c r="AS776" s="3"/>
      <c r="AT776" s="3"/>
      <c r="AU776" s="3" t="str">
        <f ca="1">IFERROR(__xludf.DUMMYFUNCTION("""COMPUTED_VALUE"""),"dokoupení proma o 2 týdny - 10 000 PV ***")</f>
        <v>dokoupení proma o 2 týdny - 10 000 PV ***</v>
      </c>
    </row>
    <row r="777" spans="1:47" x14ac:dyDescent="0.3">
      <c r="A777" s="3">
        <f ca="1"/>
        <v>2346826</v>
      </c>
      <c r="B777" s="3" t="str">
        <f ca="1"/>
        <v>CZECH NEWS CENTER a. s.</v>
      </c>
      <c r="C777" s="3" t="str">
        <f ca="1">IFERROR(__xludf.DUMMYFUNCTION("""COMPUTED_VALUE"""),"Mimibazar")</f>
        <v>Mimibazar</v>
      </c>
      <c r="D777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7" s="3" t="str">
        <f ca="1">IFERROR(__xludf.DUMMYFUNCTION("""COMPUTED_VALUE"""),"celý web")</f>
        <v>celý web</v>
      </c>
      <c r="F777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7" s="3" t="str">
        <f ca="1">IFERROR(__xludf.DUMMYFUNCTION("""COMPUTED_VALUE"""),"double skyscraper mid season")</f>
        <v>double skyscraper mid season</v>
      </c>
      <c r="H777" s="3">
        <f ca="1">IFERROR(__xludf.DUMMYFUNCTION("""COMPUTED_VALUE"""),7)</f>
        <v>7</v>
      </c>
      <c r="I777" s="5">
        <f ca="1">IFERROR(__xludf.DUMMYFUNCTION("""COMPUTED_VALUE"""),1000)</f>
        <v>1000</v>
      </c>
      <c r="J777" s="5">
        <f ca="1">IFERROR(__xludf.DUMMYFUNCTION("""COMPUTED_VALUE"""),270)</f>
        <v>270</v>
      </c>
      <c r="K777" s="3"/>
      <c r="L777" s="3" t="str">
        <f ca="1">IFERROR(__xludf.DUMMYFUNCTION("""COMPUTED_VALUE"""),"Cost per period")</f>
        <v>Cost per period</v>
      </c>
      <c r="M777" s="3"/>
      <c r="N777" s="3"/>
      <c r="O777" s="3" t="str">
        <f ca="1">IFERROR(__xludf.DUMMYFUNCTION("""COMPUTED_VALUE"""),"300")</f>
        <v>300</v>
      </c>
      <c r="P777" s="3" t="str">
        <f ca="1">IFERROR(__xludf.DUMMYFUNCTION("""COMPUTED_VALUE"""),"600")</f>
        <v>600</v>
      </c>
      <c r="Q777" s="3" t="str">
        <f ca="1">IFERROR(__xludf.DUMMYFUNCTION("""COMPUTED_VALUE"""),"300x600")</f>
        <v>300x600</v>
      </c>
      <c r="R777" s="3"/>
      <c r="S777" s="3" t="str">
        <f ca="1">IFERROR(__xludf.DUMMYFUNCTION("""COMPUTED_VALUE"""),"100 (200 - HTML5)")</f>
        <v>100 (200 - HTML5)</v>
      </c>
      <c r="T777" s="3"/>
      <c r="U777" s="3" t="str">
        <f ca="1">IFERROR(__xludf.DUMMYFUNCTION("""COMPUTED_VALUE"""),"banner standard")</f>
        <v>banner standard</v>
      </c>
      <c r="V777" s="3"/>
      <c r="W777" s="4" t="str">
        <f ca="1">IFERROR(__xludf.DUMMYFUNCTION("""COMPUTED_VALUE"""),"https://reklama.cncenter.cz/Online/double-skyscraper")</f>
        <v>https://reklama.cncenter.cz/Online/double-skyscraper</v>
      </c>
      <c r="X777" s="3"/>
      <c r="Y777" s="3"/>
      <c r="Z777" s="3" t="str">
        <f ca="1">IFERROR(__xludf.DUMMYFUNCTION("""COMPUTED_VALUE"""),"podklady@cncenter.cz")</f>
        <v>podklady@cncenter.cz</v>
      </c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 t="str">
        <f ca="1">IFERROR(__xludf.DUMMYFUNCTION("""COMPUTED_VALUE"""),"desktop")</f>
        <v>desktop</v>
      </c>
      <c r="AO777" s="3"/>
      <c r="AP777" s="3"/>
      <c r="AQ777" s="3"/>
      <c r="AR777" s="3"/>
      <c r="AS777" s="3"/>
      <c r="AT777" s="3"/>
      <c r="AU777" s="3" t="str">
        <f ca="1">IFERROR(__xludf.DUMMYFUNCTION("""COMPUTED_VALUE"""),"double skyscraper")</f>
        <v>double skyscraper</v>
      </c>
    </row>
    <row r="778" spans="1:47" x14ac:dyDescent="0.3">
      <c r="A778" s="3">
        <f ca="1"/>
        <v>2346826</v>
      </c>
      <c r="B778" s="3" t="str">
        <f ca="1"/>
        <v>CZECH NEWS CENTER a. s.</v>
      </c>
      <c r="C778" s="3" t="str">
        <f ca="1">IFERROR(__xludf.DUMMYFUNCTION("""COMPUTED_VALUE"""),"Mimibazar")</f>
        <v>Mimibazar</v>
      </c>
      <c r="D778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8" s="3" t="str">
        <f ca="1">IFERROR(__xludf.DUMMYFUNCTION("""COMPUTED_VALUE"""),"celý web")</f>
        <v>celý web</v>
      </c>
      <c r="F778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8" s="3" t="str">
        <f ca="1">IFERROR(__xludf.DUMMYFUNCTION("""COMPUTED_VALUE"""),"mobilní interscroller mid season")</f>
        <v>mobilní interscroller mid season</v>
      </c>
      <c r="H778" s="3">
        <f ca="1">IFERROR(__xludf.DUMMYFUNCTION("""COMPUTED_VALUE"""),7)</f>
        <v>7</v>
      </c>
      <c r="I778" s="5">
        <f ca="1">IFERROR(__xludf.DUMMYFUNCTION("""COMPUTED_VALUE"""),1000)</f>
        <v>1000</v>
      </c>
      <c r="J778" s="5">
        <f ca="1">IFERROR(__xludf.DUMMYFUNCTION("""COMPUTED_VALUE"""),350)</f>
        <v>350</v>
      </c>
      <c r="K778" s="3"/>
      <c r="L778" s="3" t="str">
        <f ca="1">IFERROR(__xludf.DUMMYFUNCTION("""COMPUTED_VALUE"""),"Cost per period")</f>
        <v>Cost per period</v>
      </c>
      <c r="M778" s="3"/>
      <c r="N778" s="3"/>
      <c r="O778" s="3" t="str">
        <f ca="1">IFERROR(__xludf.DUMMYFUNCTION("""COMPUTED_VALUE"""),"600")</f>
        <v>600</v>
      </c>
      <c r="P778" s="3" t="str">
        <f ca="1">IFERROR(__xludf.DUMMYFUNCTION("""COMPUTED_VALUE"""),"1080")</f>
        <v>1080</v>
      </c>
      <c r="Q778" s="3" t="str">
        <f ca="1">IFERROR(__xludf.DUMMYFUNCTION("""COMPUTED_VALUE"""),"600x1080")</f>
        <v>600x1080</v>
      </c>
      <c r="R778" s="3"/>
      <c r="S778" s="3" t="str">
        <f ca="1">IFERROR(__xludf.DUMMYFUNCTION("""COMPUTED_VALUE"""),"200")</f>
        <v>200</v>
      </c>
      <c r="T778" s="3"/>
      <c r="U778" s="3" t="str">
        <f ca="1">IFERROR(__xludf.DUMMYFUNCTION("""COMPUTED_VALUE"""),"banner standard")</f>
        <v>banner standard</v>
      </c>
      <c r="V778" s="3"/>
      <c r="W778" s="4" t="str">
        <f ca="1">IFERROR(__xludf.DUMMYFUNCTION("""COMPUTED_VALUE"""),"https://reklama.cncenter.cz/Online/mobilni-interscroller")</f>
        <v>https://reklama.cncenter.cz/Online/mobilni-interscroller</v>
      </c>
      <c r="X778" s="3"/>
      <c r="Y778" s="3"/>
      <c r="Z778" s="3" t="str">
        <f ca="1">IFERROR(__xludf.DUMMYFUNCTION("""COMPUTED_VALUE"""),"podklady@cncenter.cz")</f>
        <v>podklady@cncenter.cz</v>
      </c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 t="str">
        <f ca="1">IFERROR(__xludf.DUMMYFUNCTION("""COMPUTED_VALUE"""),"mobile")</f>
        <v>mobile</v>
      </c>
      <c r="AO778" s="3"/>
      <c r="AP778" s="3"/>
      <c r="AQ778" s="3"/>
      <c r="AR778" s="3"/>
      <c r="AS778" s="3"/>
      <c r="AT778" s="3"/>
      <c r="AU778" s="3" t="str">
        <f ca="1">IFERROR(__xludf.DUMMYFUNCTION("""COMPUTED_VALUE"""),"mobilní interscroller")</f>
        <v>mobilní interscroller</v>
      </c>
    </row>
    <row r="779" spans="1:47" x14ac:dyDescent="0.3">
      <c r="A779" s="3">
        <f ca="1"/>
        <v>2346826</v>
      </c>
      <c r="B779" s="3" t="str">
        <f ca="1"/>
        <v>CZECH NEWS CENTER a. s.</v>
      </c>
      <c r="C779" s="3" t="str">
        <f ca="1">IFERROR(__xludf.DUMMYFUNCTION("""COMPUTED_VALUE"""),"Mimibazar")</f>
        <v>Mimibazar</v>
      </c>
      <c r="D779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9" s="3" t="str">
        <f ca="1">IFERROR(__xludf.DUMMYFUNCTION("""COMPUTED_VALUE"""),"celý web")</f>
        <v>celý web</v>
      </c>
      <c r="F779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9" s="3" t="str">
        <f ca="1">IFERROR(__xludf.DUMMYFUNCTION("""COMPUTED_VALUE"""),"mobilní slide-up mid season")</f>
        <v>mobilní slide-up mid season</v>
      </c>
      <c r="H779" s="3">
        <f ca="1">IFERROR(__xludf.DUMMYFUNCTION("""COMPUTED_VALUE"""),7)</f>
        <v>7</v>
      </c>
      <c r="I779" s="5">
        <f ca="1">IFERROR(__xludf.DUMMYFUNCTION("""COMPUTED_VALUE"""),1000)</f>
        <v>1000</v>
      </c>
      <c r="J779" s="5">
        <f ca="1">IFERROR(__xludf.DUMMYFUNCTION("""COMPUTED_VALUE"""),720)</f>
        <v>720</v>
      </c>
      <c r="K779" s="3"/>
      <c r="L779" s="3" t="str">
        <f ca="1">IFERROR(__xludf.DUMMYFUNCTION("""COMPUTED_VALUE"""),"Cost per period")</f>
        <v>Cost per period</v>
      </c>
      <c r="M779" s="3"/>
      <c r="N779" s="3"/>
      <c r="O779" s="3" t="str">
        <f ca="1">IFERROR(__xludf.DUMMYFUNCTION("""COMPUTED_VALUE"""),"300")</f>
        <v>300</v>
      </c>
      <c r="P779" s="3" t="str">
        <f ca="1">IFERROR(__xludf.DUMMYFUNCTION("""COMPUTED_VALUE"""),"120")</f>
        <v>120</v>
      </c>
      <c r="Q779" s="3" t="str">
        <f ca="1">IFERROR(__xludf.DUMMYFUNCTION("""COMPUTED_VALUE"""),"300x120")</f>
        <v>300x120</v>
      </c>
      <c r="R779" s="3"/>
      <c r="S779" s="3" t="str">
        <f ca="1">IFERROR(__xludf.DUMMYFUNCTION("""COMPUTED_VALUE"""),"100")</f>
        <v>100</v>
      </c>
      <c r="T779" s="3"/>
      <c r="U779" s="3" t="str">
        <f ca="1">IFERROR(__xludf.DUMMYFUNCTION("""COMPUTED_VALUE"""),"banner standard")</f>
        <v>banner standard</v>
      </c>
      <c r="V779" s="3"/>
      <c r="W779" s="4" t="str">
        <f ca="1">IFERROR(__xludf.DUMMYFUNCTION("""COMPUTED_VALUE"""),"https://reklama.cncenter.cz/Online/mobilni-slide-up")</f>
        <v>https://reklama.cncenter.cz/Online/mobilni-slide-up</v>
      </c>
      <c r="X779" s="3"/>
      <c r="Y779" s="3"/>
      <c r="Z779" s="3" t="str">
        <f ca="1">IFERROR(__xludf.DUMMYFUNCTION("""COMPUTED_VALUE"""),"podklady@cncenter.cz")</f>
        <v>podklady@cncenter.cz</v>
      </c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 t="str">
        <f ca="1">IFERROR(__xludf.DUMMYFUNCTION("""COMPUTED_VALUE"""),"mobile")</f>
        <v>mobile</v>
      </c>
      <c r="AO779" s="3"/>
      <c r="AP779" s="3"/>
      <c r="AQ779" s="3"/>
      <c r="AR779" s="3"/>
      <c r="AS779" s="3"/>
      <c r="AT779" s="3"/>
      <c r="AU779" s="3" t="str">
        <f ca="1">IFERROR(__xludf.DUMMYFUNCTION("""COMPUTED_VALUE"""),"mobilní slide-up")</f>
        <v>mobilní slide-up</v>
      </c>
    </row>
    <row r="780" spans="1:47" x14ac:dyDescent="0.3">
      <c r="A780" s="3">
        <f ca="1"/>
        <v>2346826</v>
      </c>
      <c r="B780" s="3" t="str">
        <f ca="1"/>
        <v>CZECH NEWS CENTER a. s.</v>
      </c>
      <c r="C780" s="3" t="str">
        <f ca="1">IFERROR(__xludf.DUMMYFUNCTION("""COMPUTED_VALUE"""),"Mimibazar")</f>
        <v>Mimibazar</v>
      </c>
      <c r="D780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0" s="3" t="str">
        <f ca="1">IFERROR(__xludf.DUMMYFUNCTION("""COMPUTED_VALUE"""),"celý web")</f>
        <v>celý web</v>
      </c>
      <c r="F780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0" s="3" t="str">
        <f ca="1">IFERROR(__xludf.DUMMYFUNCTION("""COMPUTED_VALUE"""),"mobilní viněta mid season")</f>
        <v>mobilní viněta mid season</v>
      </c>
      <c r="H780" s="3">
        <f ca="1">IFERROR(__xludf.DUMMYFUNCTION("""COMPUTED_VALUE"""),7)</f>
        <v>7</v>
      </c>
      <c r="I780" s="5">
        <f ca="1">IFERROR(__xludf.DUMMYFUNCTION("""COMPUTED_VALUE"""),1000)</f>
        <v>1000</v>
      </c>
      <c r="J780" s="5">
        <f ca="1">IFERROR(__xludf.DUMMYFUNCTION("""COMPUTED_VALUE"""),1240)</f>
        <v>1240</v>
      </c>
      <c r="K780" s="3"/>
      <c r="L780" s="3" t="str">
        <f ca="1">IFERROR(__xludf.DUMMYFUNCTION("""COMPUTED_VALUE"""),"Cost per period")</f>
        <v>Cost per period</v>
      </c>
      <c r="M780" s="3"/>
      <c r="N780" s="3"/>
      <c r="O780" s="3" t="str">
        <f ca="1">IFERROR(__xludf.DUMMYFUNCTION("""COMPUTED_VALUE"""),"600")</f>
        <v>600</v>
      </c>
      <c r="P780" s="3" t="str">
        <f ca="1">IFERROR(__xludf.DUMMYFUNCTION("""COMPUTED_VALUE"""),"800")</f>
        <v>800</v>
      </c>
      <c r="Q780" s="3" t="str">
        <f ca="1">IFERROR(__xludf.DUMMYFUNCTION("""COMPUTED_VALUE"""),"300x250 nebo 600x800")</f>
        <v>300x250 nebo 600x800</v>
      </c>
      <c r="R780" s="3"/>
      <c r="S780" s="3" t="str">
        <f ca="1">IFERROR(__xludf.DUMMYFUNCTION("""COMPUTED_VALUE"""),"100")</f>
        <v>100</v>
      </c>
      <c r="T780" s="3"/>
      <c r="U780" s="3" t="str">
        <f ca="1">IFERROR(__xludf.DUMMYFUNCTION("""COMPUTED_VALUE"""),"banner standard")</f>
        <v>banner standard</v>
      </c>
      <c r="V780" s="3"/>
      <c r="W780" s="4" t="str">
        <f ca="1">IFERROR(__xludf.DUMMYFUNCTION("""COMPUTED_VALUE"""),"https://reklama.cncenter.cz/Online/mobilni-vineta")</f>
        <v>https://reklama.cncenter.cz/Online/mobilni-vineta</v>
      </c>
      <c r="X780" s="3"/>
      <c r="Y780" s="3"/>
      <c r="Z780" s="3" t="str">
        <f ca="1">IFERROR(__xludf.DUMMYFUNCTION("""COMPUTED_VALUE"""),"podklady@cncenter.cz")</f>
        <v>podklady@cncenter.cz</v>
      </c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 t="str">
        <f ca="1">IFERROR(__xludf.DUMMYFUNCTION("""COMPUTED_VALUE"""),"mobile")</f>
        <v>mobile</v>
      </c>
      <c r="AO780" s="3"/>
      <c r="AP780" s="3"/>
      <c r="AQ780" s="3"/>
      <c r="AR780" s="3"/>
      <c r="AS780" s="3"/>
      <c r="AT780" s="3"/>
      <c r="AU780" s="3" t="str">
        <f ca="1">IFERROR(__xludf.DUMMYFUNCTION("""COMPUTED_VALUE"""),"mobilní viněta")</f>
        <v>mobilní viněta</v>
      </c>
    </row>
    <row r="781" spans="1:47" x14ac:dyDescent="0.3">
      <c r="A781" s="3">
        <f ca="1"/>
        <v>2346826</v>
      </c>
      <c r="B781" s="3" t="str">
        <f ca="1"/>
        <v>CZECH NEWS CENTER a. s.</v>
      </c>
      <c r="C781" s="3" t="str">
        <f ca="1">IFERROR(__xludf.DUMMYFUNCTION("""COMPUTED_VALUE"""),"Mimibazar")</f>
        <v>Mimibazar</v>
      </c>
      <c r="D781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1" s="3" t="str">
        <f ca="1">IFERROR(__xludf.DUMMYFUNCTION("""COMPUTED_VALUE"""),"celý web")</f>
        <v>celý web</v>
      </c>
      <c r="F781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1" s="3" t="str">
        <f ca="1">IFERROR(__xludf.DUMMYFUNCTION("""COMPUTED_VALUE"""),"Native Standard mid season")</f>
        <v>Native Standard mid season</v>
      </c>
      <c r="H781" s="3">
        <f ca="1">IFERROR(__xludf.DUMMYFUNCTION("""COMPUTED_VALUE"""),1)</f>
        <v>1</v>
      </c>
      <c r="I781" s="5">
        <f ca="1">IFERROR(__xludf.DUMMYFUNCTION("""COMPUTED_VALUE"""),1)</f>
        <v>1</v>
      </c>
      <c r="J781" s="5">
        <f ca="1">IFERROR(__xludf.DUMMYFUNCTION("""COMPUTED_VALUE"""),330000)</f>
        <v>330000</v>
      </c>
      <c r="K781" s="3"/>
      <c r="L781" s="3" t="str">
        <f ca="1">IFERROR(__xludf.DUMMYFUNCTION("""COMPUTED_VALUE"""),"Cost per instance")</f>
        <v>Cost per instance</v>
      </c>
      <c r="M781" s="3"/>
      <c r="N781" s="3"/>
      <c r="O781" s="3"/>
      <c r="P781" s="3"/>
      <c r="Q781" s="3"/>
      <c r="R781" s="3"/>
      <c r="S781" s="3" t="str">
        <f ca="1">IFERROR(__xludf.DUMMYFUNCTION("""COMPUTED_VALUE"""),"100")</f>
        <v>100</v>
      </c>
      <c r="T781" s="3"/>
      <c r="U781" s="3" t="str">
        <f ca="1">IFERROR(__xludf.DUMMYFUNCTION("""COMPUTED_VALUE"""),"microsite")</f>
        <v>microsite</v>
      </c>
      <c r="V781" s="3"/>
      <c r="W781" s="3"/>
      <c r="X781" s="3"/>
      <c r="Y781" s="3"/>
      <c r="Z781" s="3" t="str">
        <f ca="1">IFERROR(__xludf.DUMMYFUNCTION("""COMPUTED_VALUE"""),"podklady@cncenter.cz")</f>
        <v>podklady@cncenter.cz</v>
      </c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 t="str">
        <f ca="1">IFERROR(__xludf.DUMMYFUNCTION("""COMPUTED_VALUE"""),"cross-device")</f>
        <v>cross-device</v>
      </c>
      <c r="AO781" s="3"/>
      <c r="AP781" s="3"/>
      <c r="AQ781" s="3"/>
      <c r="AR781" s="3"/>
      <c r="AS781" s="3"/>
      <c r="AT781" s="3"/>
      <c r="AU781" s="3" t="str">
        <f ca="1">IFERROR(__xludf.DUMMYFUNCTION("""COMPUTED_VALUE"""),"Native Standard")</f>
        <v>Native Standard</v>
      </c>
    </row>
    <row r="782" spans="1:47" x14ac:dyDescent="0.3">
      <c r="A782" s="3">
        <f ca="1"/>
        <v>2346826</v>
      </c>
      <c r="B782" s="3" t="str">
        <f ca="1"/>
        <v>CZECH NEWS CENTER a. s.</v>
      </c>
      <c r="C782" s="3" t="str">
        <f ca="1">IFERROR(__xludf.DUMMYFUNCTION("""COMPUTED_VALUE"""),"Mimibazar")</f>
        <v>Mimibazar</v>
      </c>
      <c r="D782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2" s="3" t="str">
        <f ca="1">IFERROR(__xludf.DUMMYFUNCTION("""COMPUTED_VALUE"""),"celý web")</f>
        <v>celý web</v>
      </c>
      <c r="F782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2" s="3" t="str">
        <f ca="1">IFERROR(__xludf.DUMMYFUNCTION("""COMPUTED_VALUE"""),"nativní rectangle cross-device mid season")</f>
        <v>nativní rectangle cross-device mid season</v>
      </c>
      <c r="H782" s="3">
        <f ca="1">IFERROR(__xludf.DUMMYFUNCTION("""COMPUTED_VALUE"""),7)</f>
        <v>7</v>
      </c>
      <c r="I782" s="5">
        <f ca="1">IFERROR(__xludf.DUMMYFUNCTION("""COMPUTED_VALUE"""),1000)</f>
        <v>1000</v>
      </c>
      <c r="J782" s="5">
        <f ca="1">IFERROR(__xludf.DUMMYFUNCTION("""COMPUTED_VALUE"""),280)</f>
        <v>280</v>
      </c>
      <c r="K782" s="3"/>
      <c r="L782" s="3" t="str">
        <f ca="1">IFERROR(__xludf.DUMMYFUNCTION("""COMPUTED_VALUE"""),"Cost per period")</f>
        <v>Cost per period</v>
      </c>
      <c r="M782" s="3"/>
      <c r="N782" s="3"/>
      <c r="O782" s="3" t="str">
        <f ca="1">IFERROR(__xludf.DUMMYFUNCTION("""COMPUTED_VALUE"""),"640")</f>
        <v>640</v>
      </c>
      <c r="P782" s="3" t="str">
        <f ca="1">IFERROR(__xludf.DUMMYFUNCTION("""COMPUTED_VALUE"""),"335, 640")</f>
        <v>335, 640</v>
      </c>
      <c r="Q782" s="3" t="str">
        <f ca="1">IFERROR(__xludf.DUMMYFUNCTION("""COMPUTED_VALUE"""),"640x640 a 640x335 + text + logo")</f>
        <v>640x640 a 640x335 + text + logo</v>
      </c>
      <c r="R782" s="3"/>
      <c r="S782" s="3" t="str">
        <f ca="1">IFERROR(__xludf.DUMMYFUNCTION("""COMPUTED_VALUE"""),"45")</f>
        <v>45</v>
      </c>
      <c r="T782" s="3"/>
      <c r="U782" s="3" t="str">
        <f ca="1">IFERROR(__xludf.DUMMYFUNCTION("""COMPUTED_VALUE"""),"nativní reklama")</f>
        <v>nativní reklama</v>
      </c>
      <c r="V782" s="3"/>
      <c r="W782" s="4" t="str">
        <f ca="1">IFERROR(__xludf.DUMMYFUNCTION("""COMPUTED_VALUE"""),"https://reklama.cncenter.cz/Online/nativni-rectangle-cross-device")</f>
        <v>https://reklama.cncenter.cz/Online/nativni-rectangle-cross-device</v>
      </c>
      <c r="X782" s="3"/>
      <c r="Y782" s="3"/>
      <c r="Z782" s="3" t="str">
        <f ca="1">IFERROR(__xludf.DUMMYFUNCTION("""COMPUTED_VALUE"""),"podklady@cncenter.cz")</f>
        <v>podklady@cncenter.cz</v>
      </c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 t="str">
        <f ca="1">IFERROR(__xludf.DUMMYFUNCTION("""COMPUTED_VALUE"""),"cross-device")</f>
        <v>cross-device</v>
      </c>
      <c r="AO782" s="3"/>
      <c r="AP782" s="3"/>
      <c r="AQ782" s="3"/>
      <c r="AR782" s="3"/>
      <c r="AS782" s="3"/>
      <c r="AT782" s="3"/>
      <c r="AU782" s="3" t="str">
        <f ca="1">IFERROR(__xludf.DUMMYFUNCTION("""COMPUTED_VALUE"""),"nativní rectangle cross-device")</f>
        <v>nativní rectangle cross-device</v>
      </c>
    </row>
    <row r="783" spans="1:47" x14ac:dyDescent="0.3">
      <c r="A783" s="3">
        <f ca="1"/>
        <v>2346826</v>
      </c>
      <c r="B783" s="3" t="str">
        <f ca="1"/>
        <v>CZECH NEWS CENTER a. s.</v>
      </c>
      <c r="C783" s="3" t="str">
        <f ca="1">IFERROR(__xludf.DUMMYFUNCTION("""COMPUTED_VALUE"""),"Mimibazar")</f>
        <v>Mimibazar</v>
      </c>
      <c r="D783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3" s="3" t="str">
        <f ca="1">IFERROR(__xludf.DUMMYFUNCTION("""COMPUTED_VALUE"""),"celý web")</f>
        <v>celý web</v>
      </c>
      <c r="F783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3" s="3" t="str">
        <f ca="1">IFERROR(__xludf.DUMMYFUNCTION("""COMPUTED_VALUE"""),"outstream mid season")</f>
        <v>outstream mid season</v>
      </c>
      <c r="H783" s="3">
        <f ca="1">IFERROR(__xludf.DUMMYFUNCTION("""COMPUTED_VALUE"""),7)</f>
        <v>7</v>
      </c>
      <c r="I783" s="5">
        <f ca="1">IFERROR(__xludf.DUMMYFUNCTION("""COMPUTED_VALUE"""),1000)</f>
        <v>1000</v>
      </c>
      <c r="J783" s="5">
        <f ca="1">IFERROR(__xludf.DUMMYFUNCTION("""COMPUTED_VALUE"""),350)</f>
        <v>350</v>
      </c>
      <c r="K783" s="3"/>
      <c r="L783" s="3" t="str">
        <f ca="1">IFERROR(__xludf.DUMMYFUNCTION("""COMPUTED_VALUE"""),"Cost per period")</f>
        <v>Cost per period</v>
      </c>
      <c r="M783" s="3"/>
      <c r="N783" s="3"/>
      <c r="O783" s="3" t="str">
        <f ca="1">IFERROR(__xludf.DUMMYFUNCTION("""COMPUTED_VALUE"""),"1280")</f>
        <v>1280</v>
      </c>
      <c r="P783" s="3" t="str">
        <f ca="1">IFERROR(__xludf.DUMMYFUNCTION("""COMPUTED_VALUE"""),"720")</f>
        <v>720</v>
      </c>
      <c r="Q783" s="3" t="str">
        <f ca="1">IFERROR(__xludf.DUMMYFUNCTION("""COMPUTED_VALUE"""),"16:9")</f>
        <v>16:9</v>
      </c>
      <c r="R783" s="3"/>
      <c r="S783" s="3" t="str">
        <f ca="1">IFERROR(__xludf.DUMMYFUNCTION("""COMPUTED_VALUE"""),"100")</f>
        <v>100</v>
      </c>
      <c r="T783" s="3"/>
      <c r="U783" s="3" t="str">
        <f ca="1">IFERROR(__xludf.DUMMYFUNCTION("""COMPUTED_VALUE"""),"videospot")</f>
        <v>videospot</v>
      </c>
      <c r="V783" s="3"/>
      <c r="W783" s="4" t="str">
        <f ca="1">IFERROR(__xludf.DUMMYFUNCTION("""COMPUTED_VALUE"""),"https://reklama.cncenter.cz/Online/Outstream")</f>
        <v>https://reklama.cncenter.cz/Online/Outstream</v>
      </c>
      <c r="X783" s="3"/>
      <c r="Y783" s="3"/>
      <c r="Z783" s="3" t="str">
        <f ca="1">IFERROR(__xludf.DUMMYFUNCTION("""COMPUTED_VALUE"""),"podklady@cncenter.cz")</f>
        <v>podklady@cncenter.cz</v>
      </c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 t="str">
        <f ca="1">IFERROR(__xludf.DUMMYFUNCTION("""COMPUTED_VALUE"""),"cross-device")</f>
        <v>cross-device</v>
      </c>
      <c r="AO783" s="3"/>
      <c r="AP783" s="3"/>
      <c r="AQ783" s="3"/>
      <c r="AR783" s="3"/>
      <c r="AS783" s="3"/>
      <c r="AT783" s="3"/>
      <c r="AU783" s="3" t="str">
        <f ca="1">IFERROR(__xludf.DUMMYFUNCTION("""COMPUTED_VALUE"""),"outstream")</f>
        <v>outstream</v>
      </c>
    </row>
    <row r="784" spans="1:47" x14ac:dyDescent="0.3">
      <c r="A784" s="3">
        <f ca="1"/>
        <v>2346826</v>
      </c>
      <c r="B784" s="3" t="str">
        <f ca="1"/>
        <v>CZECH NEWS CENTER a. s.</v>
      </c>
      <c r="C784" s="3" t="str">
        <f ca="1">IFERROR(__xludf.DUMMYFUNCTION("""COMPUTED_VALUE"""),"Mimibazar")</f>
        <v>Mimibazar</v>
      </c>
      <c r="D784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4" s="3" t="str">
        <f ca="1">IFERROR(__xludf.DUMMYFUNCTION("""COMPUTED_VALUE"""),"celý web")</f>
        <v>celý web</v>
      </c>
      <c r="F784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4" s="3" t="str">
        <f ca="1">IFERROR(__xludf.DUMMYFUNCTION("""COMPUTED_VALUE"""),"PR článek mid season")</f>
        <v>PR článek mid season</v>
      </c>
      <c r="H784" s="3">
        <f ca="1">IFERROR(__xludf.DUMMYFUNCTION("""COMPUTED_VALUE"""),1)</f>
        <v>1</v>
      </c>
      <c r="I784" s="5">
        <f ca="1">IFERROR(__xludf.DUMMYFUNCTION("""COMPUTED_VALUE"""),1)</f>
        <v>1</v>
      </c>
      <c r="J784" s="5">
        <f ca="1">IFERROR(__xludf.DUMMYFUNCTION("""COMPUTED_VALUE"""),20000)</f>
        <v>20000</v>
      </c>
      <c r="K784" s="3"/>
      <c r="L784" s="3" t="str">
        <f ca="1">IFERROR(__xludf.DUMMYFUNCTION("""COMPUTED_VALUE"""),"Cost per instance")</f>
        <v>Cost per instance</v>
      </c>
      <c r="M784" s="3"/>
      <c r="N784" s="3"/>
      <c r="O784" s="3"/>
      <c r="P784" s="3"/>
      <c r="Q784" s="3"/>
      <c r="R784" s="3"/>
      <c r="S784" s="3" t="str">
        <f ca="1">IFERROR(__xludf.DUMMYFUNCTION("""COMPUTED_VALUE"""),"100")</f>
        <v>100</v>
      </c>
      <c r="T784" s="3"/>
      <c r="U784" s="3" t="str">
        <f ca="1">IFERROR(__xludf.DUMMYFUNCTION("""COMPUTED_VALUE"""),"pr článek")</f>
        <v>pr článek</v>
      </c>
      <c r="V784" s="3"/>
      <c r="W784" s="4" t="str">
        <f ca="1">IFERROR(__xludf.DUMMYFUNCTION("""COMPUTED_VALUE"""),"https://reklama.cncenter.cz/?ads=PR%2520%25C4%258Dl%25C3%25A1nky")</f>
        <v>https://reklama.cncenter.cz/?ads=PR%2520%25C4%258Dl%25C3%25A1nky</v>
      </c>
      <c r="X784" s="3"/>
      <c r="Y784" s="3"/>
      <c r="Z784" s="3" t="str">
        <f ca="1">IFERROR(__xludf.DUMMYFUNCTION("""COMPUTED_VALUE"""),"podklady@cncenter.cz")</f>
        <v>podklady@cncenter.cz</v>
      </c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 t="str">
        <f ca="1">IFERROR(__xludf.DUMMYFUNCTION("""COMPUTED_VALUE"""),"cross-device")</f>
        <v>cross-device</v>
      </c>
      <c r="AO784" s="3"/>
      <c r="AP784" s="3"/>
      <c r="AQ784" s="3"/>
      <c r="AR784" s="3"/>
      <c r="AS784" s="3"/>
      <c r="AT784" s="3"/>
      <c r="AU784" s="3" t="str">
        <f ca="1">IFERROR(__xludf.DUMMYFUNCTION("""COMPUTED_VALUE"""),"PR článek")</f>
        <v>PR článek</v>
      </c>
    </row>
    <row r="785" spans="1:47" x14ac:dyDescent="0.3">
      <c r="A785" s="3">
        <f ca="1"/>
        <v>2346826</v>
      </c>
      <c r="B785" s="3" t="str">
        <f ca="1"/>
        <v>CZECH NEWS CENTER a. s.</v>
      </c>
      <c r="C785" s="3" t="str">
        <f ca="1">IFERROR(__xludf.DUMMYFUNCTION("""COMPUTED_VALUE"""),"Mimibazar")</f>
        <v>Mimibazar</v>
      </c>
      <c r="D785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5" s="3" t="str">
        <f ca="1">IFERROR(__xludf.DUMMYFUNCTION("""COMPUTED_VALUE"""),"celý web")</f>
        <v>celý web</v>
      </c>
      <c r="F785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5" s="3" t="str">
        <f ca="1">IFERROR(__xludf.DUMMYFUNCTION("""COMPUTED_VALUE"""),"Prodloužení existující microsite, bez úprav mid season")</f>
        <v>Prodloužení existující microsite, bez úprav mid season</v>
      </c>
      <c r="H785" s="3">
        <f ca="1">IFERROR(__xludf.DUMMYFUNCTION("""COMPUTED_VALUE"""),1)</f>
        <v>1</v>
      </c>
      <c r="I785" s="5">
        <f ca="1">IFERROR(__xludf.DUMMYFUNCTION("""COMPUTED_VALUE"""),1)</f>
        <v>1</v>
      </c>
      <c r="J785" s="5">
        <f ca="1">IFERROR(__xludf.DUMMYFUNCTION("""COMPUTED_VALUE"""),15000)</f>
        <v>15000</v>
      </c>
      <c r="K785" s="3"/>
      <c r="L785" s="3" t="str">
        <f ca="1">IFERROR(__xludf.DUMMYFUNCTION("""COMPUTED_VALUE"""),"Cost per instance")</f>
        <v>Cost per instance</v>
      </c>
      <c r="M785" s="3"/>
      <c r="N785" s="3"/>
      <c r="O785" s="3"/>
      <c r="P785" s="3"/>
      <c r="Q785" s="3"/>
      <c r="R785" s="3"/>
      <c r="S785" s="3" t="str">
        <f ca="1">IFERROR(__xludf.DUMMYFUNCTION("""COMPUTED_VALUE"""),"100")</f>
        <v>100</v>
      </c>
      <c r="T785" s="3"/>
      <c r="U785" s="3" t="str">
        <f ca="1">IFERROR(__xludf.DUMMYFUNCTION("""COMPUTED_VALUE"""),"microsite")</f>
        <v>microsite</v>
      </c>
      <c r="V785" s="3"/>
      <c r="W785" s="3"/>
      <c r="X785" s="3"/>
      <c r="Y785" s="3"/>
      <c r="Z785" s="3" t="str">
        <f ca="1">IFERROR(__xludf.DUMMYFUNCTION("""COMPUTED_VALUE"""),"podklady@cncenter.cz")</f>
        <v>podklady@cncenter.cz</v>
      </c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 t="str">
        <f ca="1">IFERROR(__xludf.DUMMYFUNCTION("""COMPUTED_VALUE"""),"cross-device")</f>
        <v>cross-device</v>
      </c>
      <c r="AO785" s="3"/>
      <c r="AP785" s="3"/>
      <c r="AQ785" s="3"/>
      <c r="AR785" s="3"/>
      <c r="AS785" s="3"/>
      <c r="AT785" s="3"/>
      <c r="AU785" s="3" t="str">
        <f ca="1">IFERROR(__xludf.DUMMYFUNCTION("""COMPUTED_VALUE"""),"Prodloužení existující microsite, bez úprav")</f>
        <v>Prodloužení existující microsite, bez úprav</v>
      </c>
    </row>
    <row r="786" spans="1:47" x14ac:dyDescent="0.3">
      <c r="A786" s="3">
        <f ca="1"/>
        <v>2346826</v>
      </c>
      <c r="B786" s="3" t="str">
        <f ca="1"/>
        <v>CZECH NEWS CENTER a. s.</v>
      </c>
      <c r="C786" s="3" t="str">
        <f ca="1">IFERROR(__xludf.DUMMYFUNCTION("""COMPUTED_VALUE"""),"Mimibazar")</f>
        <v>Mimibazar</v>
      </c>
      <c r="D786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6" s="3" t="str">
        <f ca="1">IFERROR(__xludf.DUMMYFUNCTION("""COMPUTED_VALUE"""),"celý web")</f>
        <v>celý web</v>
      </c>
      <c r="F786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6" s="3" t="str">
        <f ca="1">IFERROR(__xludf.DUMMYFUNCTION("""COMPUTED_VALUE"""),"Prodloužení existující microsite, bez úprav mid season")</f>
        <v>Prodloužení existující microsite, bez úprav mid season</v>
      </c>
      <c r="H786" s="3">
        <f ca="1">IFERROR(__xludf.DUMMYFUNCTION("""COMPUTED_VALUE"""),1)</f>
        <v>1</v>
      </c>
      <c r="I786" s="5">
        <f ca="1">IFERROR(__xludf.DUMMYFUNCTION("""COMPUTED_VALUE"""),1)</f>
        <v>1</v>
      </c>
      <c r="J786" s="5">
        <f ca="1">IFERROR(__xludf.DUMMYFUNCTION("""COMPUTED_VALUE"""),15000)</f>
        <v>15000</v>
      </c>
      <c r="K786" s="3"/>
      <c r="L786" s="3" t="str">
        <f ca="1">IFERROR(__xludf.DUMMYFUNCTION("""COMPUTED_VALUE"""),"Cost per instance")</f>
        <v>Cost per instance</v>
      </c>
      <c r="M786" s="3"/>
      <c r="N786" s="3"/>
      <c r="O786" s="3"/>
      <c r="P786" s="3"/>
      <c r="Q786" s="3"/>
      <c r="R786" s="3"/>
      <c r="S786" s="3" t="str">
        <f ca="1">IFERROR(__xludf.DUMMYFUNCTION("""COMPUTED_VALUE"""),"100")</f>
        <v>100</v>
      </c>
      <c r="T786" s="3"/>
      <c r="U786" s="3" t="str">
        <f ca="1">IFERROR(__xludf.DUMMYFUNCTION("""COMPUTED_VALUE"""),"microsite")</f>
        <v>microsite</v>
      </c>
      <c r="V786" s="3"/>
      <c r="W786" s="3"/>
      <c r="X786" s="3"/>
      <c r="Y786" s="3"/>
      <c r="Z786" s="3" t="str">
        <f ca="1">IFERROR(__xludf.DUMMYFUNCTION("""COMPUTED_VALUE"""),"podklady@cncenter.cz")</f>
        <v>podklady@cncenter.cz</v>
      </c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 t="str">
        <f ca="1">IFERROR(__xludf.DUMMYFUNCTION("""COMPUTED_VALUE"""),"cross-device")</f>
        <v>cross-device</v>
      </c>
      <c r="AO786" s="3"/>
      <c r="AP786" s="3"/>
      <c r="AQ786" s="3"/>
      <c r="AR786" s="3"/>
      <c r="AS786" s="3"/>
      <c r="AT786" s="3"/>
      <c r="AU786" s="3" t="str">
        <f ca="1">IFERROR(__xludf.DUMMYFUNCTION("""COMPUTED_VALUE"""),"Prodloužení existující microsite, bez úprav")</f>
        <v>Prodloužení existující microsite, bez úprav</v>
      </c>
    </row>
    <row r="787" spans="1:47" x14ac:dyDescent="0.3">
      <c r="A787" s="3">
        <f ca="1"/>
        <v>2346826</v>
      </c>
      <c r="B787" s="3" t="str">
        <f ca="1"/>
        <v>CZECH NEWS CENTER a. s.</v>
      </c>
      <c r="C787" s="3" t="str">
        <f ca="1">IFERROR(__xludf.DUMMYFUNCTION("""COMPUTED_VALUE"""),"Mimibazar")</f>
        <v>Mimibazar</v>
      </c>
      <c r="D787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7" s="3" t="str">
        <f ca="1">IFERROR(__xludf.DUMMYFUNCTION("""COMPUTED_VALUE"""),"celý web")</f>
        <v>celý web</v>
      </c>
      <c r="F787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7" s="3" t="str">
        <f ca="1">IFERROR(__xludf.DUMMYFUNCTION("""COMPUTED_VALUE"""),"Prodloužení existující microsite, bez úprav mid season")</f>
        <v>Prodloužení existující microsite, bez úprav mid season</v>
      </c>
      <c r="H787" s="3">
        <f ca="1">IFERROR(__xludf.DUMMYFUNCTION("""COMPUTED_VALUE"""),1)</f>
        <v>1</v>
      </c>
      <c r="I787" s="5">
        <f ca="1">IFERROR(__xludf.DUMMYFUNCTION("""COMPUTED_VALUE"""),1)</f>
        <v>1</v>
      </c>
      <c r="J787" s="5">
        <f ca="1">IFERROR(__xludf.DUMMYFUNCTION("""COMPUTED_VALUE"""),15000)</f>
        <v>15000</v>
      </c>
      <c r="K787" s="3"/>
      <c r="L787" s="3" t="str">
        <f ca="1">IFERROR(__xludf.DUMMYFUNCTION("""COMPUTED_VALUE"""),"Cost per instance")</f>
        <v>Cost per instance</v>
      </c>
      <c r="M787" s="3"/>
      <c r="N787" s="3"/>
      <c r="O787" s="3"/>
      <c r="P787" s="3"/>
      <c r="Q787" s="3"/>
      <c r="R787" s="3"/>
      <c r="S787" s="3" t="str">
        <f ca="1">IFERROR(__xludf.DUMMYFUNCTION("""COMPUTED_VALUE"""),"100")</f>
        <v>100</v>
      </c>
      <c r="T787" s="3"/>
      <c r="U787" s="3" t="str">
        <f ca="1">IFERROR(__xludf.DUMMYFUNCTION("""COMPUTED_VALUE"""),"microsite")</f>
        <v>microsite</v>
      </c>
      <c r="V787" s="3"/>
      <c r="W787" s="3"/>
      <c r="X787" s="3"/>
      <c r="Y787" s="3"/>
      <c r="Z787" s="3" t="str">
        <f ca="1">IFERROR(__xludf.DUMMYFUNCTION("""COMPUTED_VALUE"""),"podklady@cncenter.cz")</f>
        <v>podklady@cncenter.cz</v>
      </c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 t="str">
        <f ca="1">IFERROR(__xludf.DUMMYFUNCTION("""COMPUTED_VALUE"""),"cross-device")</f>
        <v>cross-device</v>
      </c>
      <c r="AO787" s="3"/>
      <c r="AP787" s="3"/>
      <c r="AQ787" s="3"/>
      <c r="AR787" s="3"/>
      <c r="AS787" s="3"/>
      <c r="AT787" s="3"/>
      <c r="AU787" s="3" t="str">
        <f ca="1">IFERROR(__xludf.DUMMYFUNCTION("""COMPUTED_VALUE"""),"Prodloužení existující microsite, bez úprav")</f>
        <v>Prodloužení existující microsite, bez úprav</v>
      </c>
    </row>
    <row r="788" spans="1:47" x14ac:dyDescent="0.3">
      <c r="A788" s="3">
        <f ca="1"/>
        <v>2346826</v>
      </c>
      <c r="B788" s="3" t="str">
        <f ca="1"/>
        <v>CZECH NEWS CENTER a. s.</v>
      </c>
      <c r="C788" s="3" t="str">
        <f ca="1">IFERROR(__xludf.DUMMYFUNCTION("""COMPUTED_VALUE"""),"Mimibazar")</f>
        <v>Mimibazar</v>
      </c>
      <c r="D788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8" s="3" t="str">
        <f ca="1">IFERROR(__xludf.DUMMYFUNCTION("""COMPUTED_VALUE"""),"celý web")</f>
        <v>celý web</v>
      </c>
      <c r="F788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8" s="3" t="str">
        <f ca="1">IFERROR(__xludf.DUMMYFUNCTION("""COMPUTED_VALUE"""),"videospot - max. 30 sec. / bumper mid season")</f>
        <v>videospot - max. 30 sec. / bumper mid season</v>
      </c>
      <c r="H788" s="3">
        <f ca="1">IFERROR(__xludf.DUMMYFUNCTION("""COMPUTED_VALUE"""),7)</f>
        <v>7</v>
      </c>
      <c r="I788" s="5">
        <f ca="1">IFERROR(__xludf.DUMMYFUNCTION("""COMPUTED_VALUE"""),1000)</f>
        <v>1000</v>
      </c>
      <c r="J788" s="5">
        <f ca="1">IFERROR(__xludf.DUMMYFUNCTION("""COMPUTED_VALUE"""),1040)</f>
        <v>1040</v>
      </c>
      <c r="K788" s="3"/>
      <c r="L788" s="3" t="str">
        <f ca="1">IFERROR(__xludf.DUMMYFUNCTION("""COMPUTED_VALUE"""),"Cost per period")</f>
        <v>Cost per period</v>
      </c>
      <c r="M788" s="3"/>
      <c r="N788" s="3"/>
      <c r="O788" s="3" t="str">
        <f ca="1">IFERROR(__xludf.DUMMYFUNCTION("""COMPUTED_VALUE"""),"1280")</f>
        <v>1280</v>
      </c>
      <c r="P788" s="3" t="str">
        <f ca="1">IFERROR(__xludf.DUMMYFUNCTION("""COMPUTED_VALUE"""),"720")</f>
        <v>720</v>
      </c>
      <c r="Q788" s="3" t="str">
        <f ca="1">IFERROR(__xludf.DUMMYFUNCTION("""COMPUTED_VALUE"""),"16:9 / umístění po domluvě dle možností")</f>
        <v>16:9 / umístění po domluvě dle možností</v>
      </c>
      <c r="R788" s="3" t="str">
        <f ca="1">IFERROR(__xludf.DUMMYFUNCTION("""COMPUTED_VALUE"""),"přeskočení po 7 sekundách")</f>
        <v>přeskočení po 7 sekundách</v>
      </c>
      <c r="S788" s="3" t="str">
        <f ca="1">IFERROR(__xludf.DUMMYFUNCTION("""COMPUTED_VALUE"""),"100")</f>
        <v>100</v>
      </c>
      <c r="T788" s="3"/>
      <c r="U788" s="3" t="str">
        <f ca="1">IFERROR(__xludf.DUMMYFUNCTION("""COMPUTED_VALUE"""),"videospot")</f>
        <v>videospot</v>
      </c>
      <c r="V788" s="3"/>
      <c r="W788" s="4" t="str">
        <f ca="1">IFERROR(__xludf.DUMMYFUNCTION("""COMPUTED_VALUE"""),"https://reklama.cncenter.cz/Online/Bumper")</f>
        <v>https://reklama.cncenter.cz/Online/Bumper</v>
      </c>
      <c r="X788" s="3"/>
      <c r="Y788" s="3"/>
      <c r="Z788" s="3" t="str">
        <f ca="1">IFERROR(__xludf.DUMMYFUNCTION("""COMPUTED_VALUE"""),"podklady@cncenter.cz")</f>
        <v>podklady@cncenter.cz</v>
      </c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 t="str">
        <f ca="1">IFERROR(__xludf.DUMMYFUNCTION("""COMPUTED_VALUE"""),"cross-device")</f>
        <v>cross-device</v>
      </c>
      <c r="AO788" s="3"/>
      <c r="AP788" s="3"/>
      <c r="AQ788" s="3"/>
      <c r="AR788" s="3"/>
      <c r="AS788" s="3"/>
      <c r="AT788" s="3"/>
      <c r="AU788" s="3" t="str">
        <f ca="1">IFERROR(__xludf.DUMMYFUNCTION("""COMPUTED_VALUE"""),"videospot - max. 30 sec. / bumper")</f>
        <v>videospot - max. 30 sec. / bumper</v>
      </c>
    </row>
    <row r="789" spans="1:47" x14ac:dyDescent="0.3">
      <c r="A789" s="3">
        <f ca="1"/>
        <v>2346826</v>
      </c>
      <c r="B789" s="3" t="str">
        <f ca="1"/>
        <v>CZECH NEWS CENTER a. s.</v>
      </c>
      <c r="C789" s="3" t="str">
        <f ca="1">IFERROR(__xludf.DUMMYFUNCTION("""COMPUTED_VALUE"""),"Mobilmania")</f>
        <v>Mobilmania</v>
      </c>
      <c r="D789" s="4" t="str">
        <f ca="1">IFERROR(__xludf.DUMMYFUNCTION("""COMPUTED_VALUE"""),"https://mobilmania.cz")</f>
        <v>https://mobilmania.cz</v>
      </c>
      <c r="E789" s="3" t="str">
        <f ca="1">IFERROR(__xludf.DUMMYFUNCTION("""COMPUTED_VALUE"""),"celý web")</f>
        <v>celý web</v>
      </c>
      <c r="F789" s="4" t="str">
        <f ca="1">IFERROR(__xludf.DUMMYFUNCTION("""COMPUTED_VALUE"""),"https://mobilmania.cz")</f>
        <v>https://mobilmania.cz</v>
      </c>
      <c r="G789" s="3" t="str">
        <f ca="1">IFERROR(__xludf.DUMMYFUNCTION("""COMPUTED_VALUE"""),"Advertorial mid season")</f>
        <v>Advertorial mid season</v>
      </c>
      <c r="H789" s="3">
        <f ca="1">IFERROR(__xludf.DUMMYFUNCTION("""COMPUTED_VALUE"""),1)</f>
        <v>1</v>
      </c>
      <c r="I789" s="5">
        <f ca="1">IFERROR(__xludf.DUMMYFUNCTION("""COMPUTED_VALUE"""),1)</f>
        <v>1</v>
      </c>
      <c r="J789" s="5">
        <f ca="1">IFERROR(__xludf.DUMMYFUNCTION("""COMPUTED_VALUE"""),90000)</f>
        <v>90000</v>
      </c>
      <c r="K789" s="3"/>
      <c r="L789" s="3" t="str">
        <f ca="1">IFERROR(__xludf.DUMMYFUNCTION("""COMPUTED_VALUE"""),"Cost per instance")</f>
        <v>Cost per instance</v>
      </c>
      <c r="M789" s="3"/>
      <c r="N789" s="3"/>
      <c r="O789" s="3"/>
      <c r="P789" s="3"/>
      <c r="Q789" s="3"/>
      <c r="R789" s="3"/>
      <c r="S789" s="3" t="str">
        <f ca="1">IFERROR(__xludf.DUMMYFUNCTION("""COMPUTED_VALUE"""),"100")</f>
        <v>100</v>
      </c>
      <c r="T789" s="3"/>
      <c r="U789" s="3" t="str">
        <f ca="1">IFERROR(__xludf.DUMMYFUNCTION("""COMPUTED_VALUE"""),"pr článek")</f>
        <v>pr článek</v>
      </c>
      <c r="V789" s="3"/>
      <c r="W789" s="3"/>
      <c r="X789" s="3"/>
      <c r="Y789" s="3"/>
      <c r="Z789" s="3" t="str">
        <f ca="1">IFERROR(__xludf.DUMMYFUNCTION("""COMPUTED_VALUE"""),"podklady@cncenter.cz")</f>
        <v>podklady@cncenter.cz</v>
      </c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 t="str">
        <f ca="1">IFERROR(__xludf.DUMMYFUNCTION("""COMPUTED_VALUE"""),"cross-device")</f>
        <v>cross-device</v>
      </c>
      <c r="AO789" s="3"/>
      <c r="AP789" s="3"/>
      <c r="AQ789" s="3"/>
      <c r="AR789" s="3"/>
      <c r="AS789" s="3"/>
      <c r="AT789" s="3"/>
      <c r="AU789" s="3" t="str">
        <f ca="1">IFERROR(__xludf.DUMMYFUNCTION("""COMPUTED_VALUE"""),"Advertorial")</f>
        <v>Advertorial</v>
      </c>
    </row>
    <row r="790" spans="1:47" x14ac:dyDescent="0.3">
      <c r="A790" s="3">
        <f ca="1"/>
        <v>2346826</v>
      </c>
      <c r="B790" s="3" t="str">
        <f ca="1"/>
        <v>CZECH NEWS CENTER a. s.</v>
      </c>
      <c r="C790" s="3" t="str">
        <f ca="1">IFERROR(__xludf.DUMMYFUNCTION("""COMPUTED_VALUE"""),"Mobilmania")</f>
        <v>Mobilmania</v>
      </c>
      <c r="D790" s="4" t="str">
        <f ca="1">IFERROR(__xludf.DUMMYFUNCTION("""COMPUTED_VALUE"""),"https://mobilmania.cz")</f>
        <v>https://mobilmania.cz</v>
      </c>
      <c r="E790" s="3" t="str">
        <f ca="1">IFERROR(__xludf.DUMMYFUNCTION("""COMPUTED_VALUE"""),"celý web")</f>
        <v>celý web</v>
      </c>
      <c r="F790" s="4" t="str">
        <f ca="1">IFERROR(__xludf.DUMMYFUNCTION("""COMPUTED_VALUE"""),"https://mobilmania.cz")</f>
        <v>https://mobilmania.cz</v>
      </c>
      <c r="G790" s="3" t="str">
        <f ca="1">IFERROR(__xludf.DUMMYFUNCTION("""COMPUTED_VALUE"""),"billboard bottom mid season")</f>
        <v>billboard bottom mid season</v>
      </c>
      <c r="H790" s="3">
        <f ca="1">IFERROR(__xludf.DUMMYFUNCTION("""COMPUTED_VALUE"""),7)</f>
        <v>7</v>
      </c>
      <c r="I790" s="5">
        <f ca="1">IFERROR(__xludf.DUMMYFUNCTION("""COMPUTED_VALUE"""),1000)</f>
        <v>1000</v>
      </c>
      <c r="J790" s="5">
        <f ca="1">IFERROR(__xludf.DUMMYFUNCTION("""COMPUTED_VALUE"""),340)</f>
        <v>340</v>
      </c>
      <c r="K790" s="3"/>
      <c r="L790" s="3" t="str">
        <f ca="1">IFERROR(__xludf.DUMMYFUNCTION("""COMPUTED_VALUE"""),"Cost per period")</f>
        <v>Cost per period</v>
      </c>
      <c r="M790" s="3"/>
      <c r="N790" s="3"/>
      <c r="O790" s="3" t="str">
        <f ca="1">IFERROR(__xludf.DUMMYFUNCTION("""COMPUTED_VALUE"""),"970")</f>
        <v>970</v>
      </c>
      <c r="P790" s="3" t="str">
        <f ca="1">IFERROR(__xludf.DUMMYFUNCTION("""COMPUTED_VALUE"""),"250")</f>
        <v>250</v>
      </c>
      <c r="Q790" s="3" t="str">
        <f ca="1">IFERROR(__xludf.DUMMYFUNCTION("""COMPUTED_VALUE"""),"970x250")</f>
        <v>970x250</v>
      </c>
      <c r="R790" s="3"/>
      <c r="S790" s="3" t="str">
        <f ca="1">IFERROR(__xludf.DUMMYFUNCTION("""COMPUTED_VALUE"""),"100 (200 - HTML5)")</f>
        <v>100 (200 - HTML5)</v>
      </c>
      <c r="T790" s="3"/>
      <c r="U790" s="3" t="str">
        <f ca="1">IFERROR(__xludf.DUMMYFUNCTION("""COMPUTED_VALUE"""),"banner standard")</f>
        <v>banner standard</v>
      </c>
      <c r="V790" s="3"/>
      <c r="W790" s="4" t="str">
        <f ca="1">IFERROR(__xludf.DUMMYFUNCTION("""COMPUTED_VALUE"""),"https://reklama.cncenter.cz/Online/billboard-bottom")</f>
        <v>https://reklama.cncenter.cz/Online/billboard-bottom</v>
      </c>
      <c r="X790" s="3"/>
      <c r="Y790" s="3"/>
      <c r="Z790" s="3" t="str">
        <f ca="1">IFERROR(__xludf.DUMMYFUNCTION("""COMPUTED_VALUE"""),"podklady@cncenter.cz")</f>
        <v>podklady@cncenter.cz</v>
      </c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 t="str">
        <f ca="1">IFERROR(__xludf.DUMMYFUNCTION("""COMPUTED_VALUE"""),"desktop")</f>
        <v>desktop</v>
      </c>
      <c r="AO790" s="3"/>
      <c r="AP790" s="3"/>
      <c r="AQ790" s="3"/>
      <c r="AR790" s="3"/>
      <c r="AS790" s="3"/>
      <c r="AT790" s="3"/>
      <c r="AU790" s="3" t="str">
        <f ca="1">IFERROR(__xludf.DUMMYFUNCTION("""COMPUTED_VALUE"""),"billboard bottom")</f>
        <v>billboard bottom</v>
      </c>
    </row>
    <row r="791" spans="1:47" x14ac:dyDescent="0.3">
      <c r="A791" s="3">
        <f ca="1"/>
        <v>2346826</v>
      </c>
      <c r="B791" s="3" t="str">
        <f ca="1"/>
        <v>CZECH NEWS CENTER a. s.</v>
      </c>
      <c r="C791" s="3" t="str">
        <f ca="1">IFERROR(__xludf.DUMMYFUNCTION("""COMPUTED_VALUE"""),"Mobilmania")</f>
        <v>Mobilmania</v>
      </c>
      <c r="D791" s="4" t="str">
        <f ca="1">IFERROR(__xludf.DUMMYFUNCTION("""COMPUTED_VALUE"""),"https://mobilmania.cz")</f>
        <v>https://mobilmania.cz</v>
      </c>
      <c r="E791" s="3" t="str">
        <f ca="1">IFERROR(__xludf.DUMMYFUNCTION("""COMPUTED_VALUE"""),"celý web")</f>
        <v>celý web</v>
      </c>
      <c r="F791" s="4" t="str">
        <f ca="1">IFERROR(__xludf.DUMMYFUNCTION("""COMPUTED_VALUE"""),"https://mobilmania.cz")</f>
        <v>https://mobilmania.cz</v>
      </c>
      <c r="G791" s="3" t="str">
        <f ca="1">IFERROR(__xludf.DUMMYFUNCTION("""COMPUTED_VALUE"""),"branding cross-device mid season")</f>
        <v>branding cross-device mid season</v>
      </c>
      <c r="H791" s="3">
        <f ca="1">IFERROR(__xludf.DUMMYFUNCTION("""COMPUTED_VALUE"""),7)</f>
        <v>7</v>
      </c>
      <c r="I791" s="5">
        <f ca="1">IFERROR(__xludf.DUMMYFUNCTION("""COMPUTED_VALUE"""),1000)</f>
        <v>1000</v>
      </c>
      <c r="J791" s="5">
        <f ca="1">IFERROR(__xludf.DUMMYFUNCTION("""COMPUTED_VALUE"""),420)</f>
        <v>420</v>
      </c>
      <c r="K791" s="3"/>
      <c r="L791" s="3" t="str">
        <f ca="1">IFERROR(__xludf.DUMMYFUNCTION("""COMPUTED_VALUE"""),"Cost per period")</f>
        <v>Cost per period</v>
      </c>
      <c r="M791" s="3"/>
      <c r="N791" s="3"/>
      <c r="O791" s="3" t="str">
        <f ca="1">IFERROR(__xludf.DUMMYFUNCTION("""COMPUTED_VALUE"""),"2000")</f>
        <v>2000</v>
      </c>
      <c r="P791" s="3" t="str">
        <f ca="1">IFERROR(__xludf.DUMMYFUNCTION("""COMPUTED_VALUE"""),"1400")</f>
        <v>1400</v>
      </c>
      <c r="Q791" s="3" t="str">
        <f ca="1">IFERROR(__xludf.DUMMYFUNCTION("""COMPUTED_VALUE"""),"2000x1400 + 600x1080")</f>
        <v>2000x1400 + 600x1080</v>
      </c>
      <c r="R791" s="3"/>
      <c r="S791" s="3" t="str">
        <f ca="1">IFERROR(__xludf.DUMMYFUNCTION("""COMPUTED_VALUE"""),"500 (600 - HTLM5)")</f>
        <v>500 (600 - HTLM5)</v>
      </c>
      <c r="T791" s="3"/>
      <c r="U791" s="3" t="str">
        <f ca="1">IFERROR(__xludf.DUMMYFUNCTION("""COMPUTED_VALUE"""),"banner standard")</f>
        <v>banner standard</v>
      </c>
      <c r="V791" s="3"/>
      <c r="W791" s="4" t="str">
        <f ca="1">IFERROR(__xludf.DUMMYFUNCTION("""COMPUTED_VALUE"""),"https://reklama.cncenter.cz/Online/branding-cross-device")</f>
        <v>https://reklama.cncenter.cz/Online/branding-cross-device</v>
      </c>
      <c r="X791" s="3"/>
      <c r="Y791" s="3"/>
      <c r="Z791" s="3" t="str">
        <f ca="1">IFERROR(__xludf.DUMMYFUNCTION("""COMPUTED_VALUE"""),"podklady@cncenter.cz")</f>
        <v>podklady@cncenter.cz</v>
      </c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 t="str">
        <f ca="1">IFERROR(__xludf.DUMMYFUNCTION("""COMPUTED_VALUE"""),"cross-device")</f>
        <v>cross-device</v>
      </c>
      <c r="AO791" s="3"/>
      <c r="AP791" s="3"/>
      <c r="AQ791" s="3"/>
      <c r="AR791" s="3"/>
      <c r="AS791" s="3"/>
      <c r="AT791" s="3"/>
      <c r="AU791" s="3" t="str">
        <f ca="1">IFERROR(__xludf.DUMMYFUNCTION("""COMPUTED_VALUE"""),"branding cross-device")</f>
        <v>branding cross-device</v>
      </c>
    </row>
    <row r="792" spans="1:47" x14ac:dyDescent="0.3">
      <c r="A792" s="3">
        <f ca="1"/>
        <v>2346826</v>
      </c>
      <c r="B792" s="3" t="str">
        <f ca="1"/>
        <v>CZECH NEWS CENTER a. s.</v>
      </c>
      <c r="C792" s="3" t="str">
        <f ca="1">IFERROR(__xludf.DUMMYFUNCTION("""COMPUTED_VALUE"""),"Mobilmania")</f>
        <v>Mobilmania</v>
      </c>
      <c r="D792" s="4" t="str">
        <f ca="1">IFERROR(__xludf.DUMMYFUNCTION("""COMPUTED_VALUE"""),"https://mobilmania.cz")</f>
        <v>https://mobilmania.cz</v>
      </c>
      <c r="E792" s="3" t="str">
        <f ca="1">IFERROR(__xludf.DUMMYFUNCTION("""COMPUTED_VALUE"""),"celý web")</f>
        <v>celý web</v>
      </c>
      <c r="F792" s="4" t="str">
        <f ca="1">IFERROR(__xludf.DUMMYFUNCTION("""COMPUTED_VALUE"""),"https://mobilmania.cz")</f>
        <v>https://mobilmania.cz</v>
      </c>
      <c r="G792" s="3" t="str">
        <f ca="1">IFERROR(__xludf.DUMMYFUNCTION("""COMPUTED_VALUE"""),"branding mid season")</f>
        <v>branding mid season</v>
      </c>
      <c r="H792" s="3">
        <f ca="1">IFERROR(__xludf.DUMMYFUNCTION("""COMPUTED_VALUE"""),7)</f>
        <v>7</v>
      </c>
      <c r="I792" s="5">
        <f ca="1">IFERROR(__xludf.DUMMYFUNCTION("""COMPUTED_VALUE"""),1000)</f>
        <v>1000</v>
      </c>
      <c r="J792" s="5">
        <f ca="1">IFERROR(__xludf.DUMMYFUNCTION("""COMPUTED_VALUE"""),690)</f>
        <v>690</v>
      </c>
      <c r="K792" s="3"/>
      <c r="L792" s="3" t="str">
        <f ca="1">IFERROR(__xludf.DUMMYFUNCTION("""COMPUTED_VALUE"""),"Cost per period")</f>
        <v>Cost per period</v>
      </c>
      <c r="M792" s="3"/>
      <c r="N792" s="3"/>
      <c r="O792" s="3" t="str">
        <f ca="1">IFERROR(__xludf.DUMMYFUNCTION("""COMPUTED_VALUE"""),"2000")</f>
        <v>2000</v>
      </c>
      <c r="P792" s="3" t="str">
        <f ca="1">IFERROR(__xludf.DUMMYFUNCTION("""COMPUTED_VALUE"""),"1400")</f>
        <v>1400</v>
      </c>
      <c r="Q792" s="3" t="str">
        <f ca="1">IFERROR(__xludf.DUMMYFUNCTION("""COMPUTED_VALUE"""),"2000x1400")</f>
        <v>2000x1400</v>
      </c>
      <c r="R792" s="3"/>
      <c r="S792" s="3" t="str">
        <f ca="1">IFERROR(__xludf.DUMMYFUNCTION("""COMPUTED_VALUE"""),"500 + 200 (600+200 HTML5)")</f>
        <v>500 + 200 (600+200 HTML5)</v>
      </c>
      <c r="T792" s="3"/>
      <c r="U792" s="3" t="str">
        <f ca="1">IFERROR(__xludf.DUMMYFUNCTION("""COMPUTED_VALUE"""),"banner standard")</f>
        <v>banner standard</v>
      </c>
      <c r="V792" s="3"/>
      <c r="W792" s="4" t="str">
        <f ca="1">IFERROR(__xludf.DUMMYFUNCTION("""COMPUTED_VALUE"""),"https://reklama.cncenter.cz/Online/branding")</f>
        <v>https://reklama.cncenter.cz/Online/branding</v>
      </c>
      <c r="X792" s="3"/>
      <c r="Y792" s="3"/>
      <c r="Z792" s="3" t="str">
        <f ca="1">IFERROR(__xludf.DUMMYFUNCTION("""COMPUTED_VALUE"""),"podklady@cncenter.cz")</f>
        <v>podklady@cncenter.cz</v>
      </c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 t="str">
        <f ca="1">IFERROR(__xludf.DUMMYFUNCTION("""COMPUTED_VALUE"""),"desktop")</f>
        <v>desktop</v>
      </c>
      <c r="AO792" s="3"/>
      <c r="AP792" s="3"/>
      <c r="AQ792" s="3"/>
      <c r="AR792" s="3"/>
      <c r="AS792" s="3"/>
      <c r="AT792" s="3"/>
      <c r="AU792" s="3" t="str">
        <f ca="1">IFERROR(__xludf.DUMMYFUNCTION("""COMPUTED_VALUE"""),"branding")</f>
        <v>branding</v>
      </c>
    </row>
    <row r="793" spans="1:47" x14ac:dyDescent="0.3">
      <c r="A793" s="3">
        <f ca="1"/>
        <v>2346826</v>
      </c>
      <c r="B793" s="3" t="str">
        <f ca="1"/>
        <v>CZECH NEWS CENTER a. s.</v>
      </c>
      <c r="C793" s="3" t="str">
        <f ca="1">IFERROR(__xludf.DUMMYFUNCTION("""COMPUTED_VALUE"""),"Mobilmania")</f>
        <v>Mobilmania</v>
      </c>
      <c r="D793" s="4" t="str">
        <f ca="1">IFERROR(__xludf.DUMMYFUNCTION("""COMPUTED_VALUE"""),"https://mobilmania.cz")</f>
        <v>https://mobilmania.cz</v>
      </c>
      <c r="E793" s="3" t="str">
        <f ca="1">IFERROR(__xludf.DUMMYFUNCTION("""COMPUTED_VALUE"""),"celý web")</f>
        <v>celý web</v>
      </c>
      <c r="F793" s="4" t="str">
        <f ca="1">IFERROR(__xludf.DUMMYFUNCTION("""COMPUTED_VALUE"""),"https://mobilmania.cz")</f>
        <v>https://mobilmania.cz</v>
      </c>
      <c r="G793" s="3" t="str">
        <f ca="1">IFERROR(__xludf.DUMMYFUNCTION("""COMPUTED_VALUE"""),"cílený billboard bottom mid season")</f>
        <v>cílený billboard bottom mid season</v>
      </c>
      <c r="H793" s="3">
        <f ca="1">IFERROR(__xludf.DUMMYFUNCTION("""COMPUTED_VALUE"""),7)</f>
        <v>7</v>
      </c>
      <c r="I793" s="5">
        <f ca="1">IFERROR(__xludf.DUMMYFUNCTION("""COMPUTED_VALUE"""),1000)</f>
        <v>1000</v>
      </c>
      <c r="J793" s="5">
        <f ca="1">IFERROR(__xludf.DUMMYFUNCTION("""COMPUTED_VALUE"""),408)</f>
        <v>408</v>
      </c>
      <c r="K793" s="3"/>
      <c r="L793" s="3" t="str">
        <f ca="1">IFERROR(__xludf.DUMMYFUNCTION("""COMPUTED_VALUE"""),"Cost per period")</f>
        <v>Cost per period</v>
      </c>
      <c r="M793" s="3"/>
      <c r="N793" s="3"/>
      <c r="O793" s="3" t="str">
        <f ca="1">IFERROR(__xludf.DUMMYFUNCTION("""COMPUTED_VALUE"""),"970")</f>
        <v>970</v>
      </c>
      <c r="P793" s="3" t="str">
        <f ca="1">IFERROR(__xludf.DUMMYFUNCTION("""COMPUTED_VALUE"""),"250")</f>
        <v>250</v>
      </c>
      <c r="Q793" s="3" t="str">
        <f ca="1">IFERROR(__xludf.DUMMYFUNCTION("""COMPUTED_VALUE"""),"970x250")</f>
        <v>970x250</v>
      </c>
      <c r="R793" s="3"/>
      <c r="S793" s="3" t="str">
        <f ca="1">IFERROR(__xludf.DUMMYFUNCTION("""COMPUTED_VALUE"""),"100 (200 - HTML5)")</f>
        <v>100 (200 - HTML5)</v>
      </c>
      <c r="T793" s="3"/>
      <c r="U793" s="3" t="str">
        <f ca="1">IFERROR(__xludf.DUMMYFUNCTION("""COMPUTED_VALUE"""),"banner standard")</f>
        <v>banner standard</v>
      </c>
      <c r="V793" s="3"/>
      <c r="W793" s="4" t="str">
        <f ca="1">IFERROR(__xludf.DUMMYFUNCTION("""COMPUTED_VALUE"""),"https://reklama.cncenter.cz/Online/billboard-bottom")</f>
        <v>https://reklama.cncenter.cz/Online/billboard-bottom</v>
      </c>
      <c r="X793" s="3"/>
      <c r="Y793" s="3"/>
      <c r="Z793" s="3" t="str">
        <f ca="1">IFERROR(__xludf.DUMMYFUNCTION("""COMPUTED_VALUE"""),"podklady@cncenter.cz")</f>
        <v>podklady@cncenter.cz</v>
      </c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 t="str">
        <f ca="1">IFERROR(__xludf.DUMMYFUNCTION("""COMPUTED_VALUE"""),"desktop")</f>
        <v>desktop</v>
      </c>
      <c r="AO793" s="3"/>
      <c r="AP793" s="3"/>
      <c r="AQ793" s="3"/>
      <c r="AR793" s="3"/>
      <c r="AS793" s="3"/>
      <c r="AT793" s="3"/>
      <c r="AU793" s="3" t="str">
        <f ca="1">IFERROR(__xludf.DUMMYFUNCTION("""COMPUTED_VALUE"""),"cílený billboard bottom")</f>
        <v>cílený billboard bottom</v>
      </c>
    </row>
    <row r="794" spans="1:47" x14ac:dyDescent="0.3">
      <c r="A794" s="3">
        <f ca="1"/>
        <v>2346826</v>
      </c>
      <c r="B794" s="3" t="str">
        <f ca="1"/>
        <v>CZECH NEWS CENTER a. s.</v>
      </c>
      <c r="C794" s="3" t="str">
        <f ca="1">IFERROR(__xludf.DUMMYFUNCTION("""COMPUTED_VALUE"""),"Mobilmania")</f>
        <v>Mobilmania</v>
      </c>
      <c r="D794" s="4" t="str">
        <f ca="1">IFERROR(__xludf.DUMMYFUNCTION("""COMPUTED_VALUE"""),"https://mobilmania.cz")</f>
        <v>https://mobilmania.cz</v>
      </c>
      <c r="E794" s="3" t="str">
        <f ca="1">IFERROR(__xludf.DUMMYFUNCTION("""COMPUTED_VALUE"""),"celý web")</f>
        <v>celý web</v>
      </c>
      <c r="F794" s="4" t="str">
        <f ca="1">IFERROR(__xludf.DUMMYFUNCTION("""COMPUTED_VALUE"""),"https://mobilmania.cz")</f>
        <v>https://mobilmania.cz</v>
      </c>
      <c r="G794" s="3" t="str">
        <f ca="1">IFERROR(__xludf.DUMMYFUNCTION("""COMPUTED_VALUE"""),"cílený branding cross-device mid season")</f>
        <v>cílený branding cross-device mid season</v>
      </c>
      <c r="H794" s="3">
        <f ca="1">IFERROR(__xludf.DUMMYFUNCTION("""COMPUTED_VALUE"""),7)</f>
        <v>7</v>
      </c>
      <c r="I794" s="5">
        <f ca="1">IFERROR(__xludf.DUMMYFUNCTION("""COMPUTED_VALUE"""),1000)</f>
        <v>1000</v>
      </c>
      <c r="J794" s="5">
        <f ca="1">IFERROR(__xludf.DUMMYFUNCTION("""COMPUTED_VALUE"""),504)</f>
        <v>504</v>
      </c>
      <c r="K794" s="3"/>
      <c r="L794" s="3" t="str">
        <f ca="1">IFERROR(__xludf.DUMMYFUNCTION("""COMPUTED_VALUE"""),"Cost per period")</f>
        <v>Cost per period</v>
      </c>
      <c r="M794" s="3"/>
      <c r="N794" s="3"/>
      <c r="O794" s="3" t="str">
        <f ca="1">IFERROR(__xludf.DUMMYFUNCTION("""COMPUTED_VALUE"""),"2000")</f>
        <v>2000</v>
      </c>
      <c r="P794" s="3" t="str">
        <f ca="1">IFERROR(__xludf.DUMMYFUNCTION("""COMPUTED_VALUE"""),"1400")</f>
        <v>1400</v>
      </c>
      <c r="Q794" s="3" t="str">
        <f ca="1">IFERROR(__xludf.DUMMYFUNCTION("""COMPUTED_VALUE"""),"2000x1400 + 600x1080")</f>
        <v>2000x1400 + 600x1080</v>
      </c>
      <c r="R794" s="3"/>
      <c r="S794" s="3" t="str">
        <f ca="1">IFERROR(__xludf.DUMMYFUNCTION("""COMPUTED_VALUE"""),"500 (600 - HTLM5)")</f>
        <v>500 (600 - HTLM5)</v>
      </c>
      <c r="T794" s="3"/>
      <c r="U794" s="3" t="str">
        <f ca="1">IFERROR(__xludf.DUMMYFUNCTION("""COMPUTED_VALUE"""),"banner standard")</f>
        <v>banner standard</v>
      </c>
      <c r="V794" s="3"/>
      <c r="W794" s="4" t="str">
        <f ca="1">IFERROR(__xludf.DUMMYFUNCTION("""COMPUTED_VALUE"""),"https://reklama.cncenter.cz/Online/branding-cross-device")</f>
        <v>https://reklama.cncenter.cz/Online/branding-cross-device</v>
      </c>
      <c r="X794" s="3"/>
      <c r="Y794" s="3"/>
      <c r="Z794" s="3" t="str">
        <f ca="1">IFERROR(__xludf.DUMMYFUNCTION("""COMPUTED_VALUE"""),"podklady@cncenter.cz")</f>
        <v>podklady@cncenter.cz</v>
      </c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 t="str">
        <f ca="1">IFERROR(__xludf.DUMMYFUNCTION("""COMPUTED_VALUE"""),"cross-device")</f>
        <v>cross-device</v>
      </c>
      <c r="AO794" s="3"/>
      <c r="AP794" s="3"/>
      <c r="AQ794" s="3"/>
      <c r="AR794" s="3"/>
      <c r="AS794" s="3"/>
      <c r="AT794" s="3"/>
      <c r="AU794" s="3" t="str">
        <f ca="1">IFERROR(__xludf.DUMMYFUNCTION("""COMPUTED_VALUE"""),"cílený branding cross-device")</f>
        <v>cílený branding cross-device</v>
      </c>
    </row>
    <row r="795" spans="1:47" x14ac:dyDescent="0.3">
      <c r="A795" s="3">
        <f ca="1"/>
        <v>2346826</v>
      </c>
      <c r="B795" s="3" t="str">
        <f ca="1"/>
        <v>CZECH NEWS CENTER a. s.</v>
      </c>
      <c r="C795" s="3" t="str">
        <f ca="1">IFERROR(__xludf.DUMMYFUNCTION("""COMPUTED_VALUE"""),"Mobilmania")</f>
        <v>Mobilmania</v>
      </c>
      <c r="D795" s="4" t="str">
        <f ca="1">IFERROR(__xludf.DUMMYFUNCTION("""COMPUTED_VALUE"""),"https://mobilmania.cz")</f>
        <v>https://mobilmania.cz</v>
      </c>
      <c r="E795" s="3" t="str">
        <f ca="1">IFERROR(__xludf.DUMMYFUNCTION("""COMPUTED_VALUE"""),"celý web")</f>
        <v>celý web</v>
      </c>
      <c r="F795" s="4" t="str">
        <f ca="1">IFERROR(__xludf.DUMMYFUNCTION("""COMPUTED_VALUE"""),"https://mobilmania.cz")</f>
        <v>https://mobilmania.cz</v>
      </c>
      <c r="G795" s="3" t="str">
        <f ca="1">IFERROR(__xludf.DUMMYFUNCTION("""COMPUTED_VALUE"""),"cílený branding mid season")</f>
        <v>cílený branding mid season</v>
      </c>
      <c r="H795" s="3">
        <f ca="1">IFERROR(__xludf.DUMMYFUNCTION("""COMPUTED_VALUE"""),7)</f>
        <v>7</v>
      </c>
      <c r="I795" s="5">
        <f ca="1">IFERROR(__xludf.DUMMYFUNCTION("""COMPUTED_VALUE"""),1000)</f>
        <v>1000</v>
      </c>
      <c r="J795" s="5">
        <f ca="1">IFERROR(__xludf.DUMMYFUNCTION("""COMPUTED_VALUE"""),828)</f>
        <v>828</v>
      </c>
      <c r="K795" s="3"/>
      <c r="L795" s="3" t="str">
        <f ca="1">IFERROR(__xludf.DUMMYFUNCTION("""COMPUTED_VALUE"""),"Cost per period")</f>
        <v>Cost per period</v>
      </c>
      <c r="M795" s="3"/>
      <c r="N795" s="3"/>
      <c r="O795" s="3" t="str">
        <f ca="1">IFERROR(__xludf.DUMMYFUNCTION("""COMPUTED_VALUE"""),"2000")</f>
        <v>2000</v>
      </c>
      <c r="P795" s="3" t="str">
        <f ca="1">IFERROR(__xludf.DUMMYFUNCTION("""COMPUTED_VALUE"""),"1400")</f>
        <v>1400</v>
      </c>
      <c r="Q795" s="3" t="str">
        <f ca="1">IFERROR(__xludf.DUMMYFUNCTION("""COMPUTED_VALUE"""),"2000x1400")</f>
        <v>2000x1400</v>
      </c>
      <c r="R795" s="3"/>
      <c r="S795" s="3" t="str">
        <f ca="1">IFERROR(__xludf.DUMMYFUNCTION("""COMPUTED_VALUE"""),"500 + 200 (600+200 HTML5)")</f>
        <v>500 + 200 (600+200 HTML5)</v>
      </c>
      <c r="T795" s="3"/>
      <c r="U795" s="3" t="str">
        <f ca="1">IFERROR(__xludf.DUMMYFUNCTION("""COMPUTED_VALUE"""),"banner standard")</f>
        <v>banner standard</v>
      </c>
      <c r="V795" s="3"/>
      <c r="W795" s="4" t="str">
        <f ca="1">IFERROR(__xludf.DUMMYFUNCTION("""COMPUTED_VALUE"""),"https://reklama.cncenter.cz/Online/branding")</f>
        <v>https://reklama.cncenter.cz/Online/branding</v>
      </c>
      <c r="X795" s="3"/>
      <c r="Y795" s="3"/>
      <c r="Z795" s="3" t="str">
        <f ca="1">IFERROR(__xludf.DUMMYFUNCTION("""COMPUTED_VALUE"""),"podklady@cncenter.cz")</f>
        <v>podklady@cncenter.cz</v>
      </c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 t="str">
        <f ca="1">IFERROR(__xludf.DUMMYFUNCTION("""COMPUTED_VALUE"""),"desktop")</f>
        <v>desktop</v>
      </c>
      <c r="AO795" s="3"/>
      <c r="AP795" s="3"/>
      <c r="AQ795" s="3"/>
      <c r="AR795" s="3"/>
      <c r="AS795" s="3"/>
      <c r="AT795" s="3"/>
      <c r="AU795" s="3" t="str">
        <f ca="1">IFERROR(__xludf.DUMMYFUNCTION("""COMPUTED_VALUE"""),"cílený branding")</f>
        <v>cílený branding</v>
      </c>
    </row>
    <row r="796" spans="1:47" x14ac:dyDescent="0.3">
      <c r="A796" s="3">
        <f ca="1"/>
        <v>2346826</v>
      </c>
      <c r="B796" s="3" t="str">
        <f ca="1"/>
        <v>CZECH NEWS CENTER a. s.</v>
      </c>
      <c r="C796" s="3" t="str">
        <f ca="1">IFERROR(__xludf.DUMMYFUNCTION("""COMPUTED_VALUE"""),"Mobilmania")</f>
        <v>Mobilmania</v>
      </c>
      <c r="D796" s="4" t="str">
        <f ca="1">IFERROR(__xludf.DUMMYFUNCTION("""COMPUTED_VALUE"""),"https://mobilmania.cz")</f>
        <v>https://mobilmania.cz</v>
      </c>
      <c r="E796" s="3" t="str">
        <f ca="1">IFERROR(__xludf.DUMMYFUNCTION("""COMPUTED_VALUE"""),"celý web")</f>
        <v>celý web</v>
      </c>
      <c r="F796" s="4" t="str">
        <f ca="1">IFERROR(__xludf.DUMMYFUNCTION("""COMPUTED_VALUE"""),"https://mobilmania.cz")</f>
        <v>https://mobilmania.cz</v>
      </c>
      <c r="G796" s="3" t="str">
        <f ca="1">IFERROR(__xludf.DUMMYFUNCTION("""COMPUTED_VALUE"""),"cílený double skyscraper mid season")</f>
        <v>cílený double skyscraper mid season</v>
      </c>
      <c r="H796" s="3">
        <f ca="1">IFERROR(__xludf.DUMMYFUNCTION("""COMPUTED_VALUE"""),7)</f>
        <v>7</v>
      </c>
      <c r="I796" s="5">
        <f ca="1">IFERROR(__xludf.DUMMYFUNCTION("""COMPUTED_VALUE"""),1000)</f>
        <v>1000</v>
      </c>
      <c r="J796" s="5">
        <f ca="1">IFERROR(__xludf.DUMMYFUNCTION("""COMPUTED_VALUE"""),324)</f>
        <v>324</v>
      </c>
      <c r="K796" s="3"/>
      <c r="L796" s="3" t="str">
        <f ca="1">IFERROR(__xludf.DUMMYFUNCTION("""COMPUTED_VALUE"""),"Cost per period")</f>
        <v>Cost per period</v>
      </c>
      <c r="M796" s="3"/>
      <c r="N796" s="3"/>
      <c r="O796" s="3" t="str">
        <f ca="1">IFERROR(__xludf.DUMMYFUNCTION("""COMPUTED_VALUE"""),"300")</f>
        <v>300</v>
      </c>
      <c r="P796" s="3" t="str">
        <f ca="1">IFERROR(__xludf.DUMMYFUNCTION("""COMPUTED_VALUE"""),"600")</f>
        <v>600</v>
      </c>
      <c r="Q796" s="3" t="str">
        <f ca="1">IFERROR(__xludf.DUMMYFUNCTION("""COMPUTED_VALUE"""),"300x600")</f>
        <v>300x600</v>
      </c>
      <c r="R796" s="3"/>
      <c r="S796" s="3" t="str">
        <f ca="1">IFERROR(__xludf.DUMMYFUNCTION("""COMPUTED_VALUE"""),"100 (200 - HTML5)")</f>
        <v>100 (200 - HTML5)</v>
      </c>
      <c r="T796" s="3"/>
      <c r="U796" s="3" t="str">
        <f ca="1">IFERROR(__xludf.DUMMYFUNCTION("""COMPUTED_VALUE"""),"banner standard")</f>
        <v>banner standard</v>
      </c>
      <c r="V796" s="3"/>
      <c r="W796" s="4" t="str">
        <f ca="1">IFERROR(__xludf.DUMMYFUNCTION("""COMPUTED_VALUE"""),"https://reklama.cncenter.cz/Online/double-skyscraper")</f>
        <v>https://reklama.cncenter.cz/Online/double-skyscraper</v>
      </c>
      <c r="X796" s="3"/>
      <c r="Y796" s="3"/>
      <c r="Z796" s="3" t="str">
        <f ca="1">IFERROR(__xludf.DUMMYFUNCTION("""COMPUTED_VALUE"""),"podklady@cncenter.cz")</f>
        <v>podklady@cncenter.cz</v>
      </c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 t="str">
        <f ca="1">IFERROR(__xludf.DUMMYFUNCTION("""COMPUTED_VALUE"""),"desktop")</f>
        <v>desktop</v>
      </c>
      <c r="AO796" s="3"/>
      <c r="AP796" s="3"/>
      <c r="AQ796" s="3"/>
      <c r="AR796" s="3"/>
      <c r="AS796" s="3"/>
      <c r="AT796" s="3"/>
      <c r="AU796" s="3" t="str">
        <f ca="1">IFERROR(__xludf.DUMMYFUNCTION("""COMPUTED_VALUE"""),"cílený double skyscraper")</f>
        <v>cílený double skyscraper</v>
      </c>
    </row>
    <row r="797" spans="1:47" x14ac:dyDescent="0.3">
      <c r="A797" s="3">
        <f ca="1"/>
        <v>2346826</v>
      </c>
      <c r="B797" s="3" t="str">
        <f ca="1"/>
        <v>CZECH NEWS CENTER a. s.</v>
      </c>
      <c r="C797" s="3" t="str">
        <f ca="1">IFERROR(__xludf.DUMMYFUNCTION("""COMPUTED_VALUE"""),"Mobilmania")</f>
        <v>Mobilmania</v>
      </c>
      <c r="D797" s="4" t="str">
        <f ca="1">IFERROR(__xludf.DUMMYFUNCTION("""COMPUTED_VALUE"""),"https://mobilmania.cz")</f>
        <v>https://mobilmania.cz</v>
      </c>
      <c r="E797" s="3" t="str">
        <f ca="1">IFERROR(__xludf.DUMMYFUNCTION("""COMPUTED_VALUE"""),"celý web")</f>
        <v>celý web</v>
      </c>
      <c r="F797" s="4" t="str">
        <f ca="1">IFERROR(__xludf.DUMMYFUNCTION("""COMPUTED_VALUE"""),"https://mobilmania.cz")</f>
        <v>https://mobilmania.cz</v>
      </c>
      <c r="G797" s="3" t="str">
        <f ca="1">IFERROR(__xludf.DUMMYFUNCTION("""COMPUTED_VALUE"""),"cílený mobilní interscroller mid season")</f>
        <v>cílený mobilní interscroller mid season</v>
      </c>
      <c r="H797" s="3">
        <f ca="1">IFERROR(__xludf.DUMMYFUNCTION("""COMPUTED_VALUE"""),7)</f>
        <v>7</v>
      </c>
      <c r="I797" s="5">
        <f ca="1">IFERROR(__xludf.DUMMYFUNCTION("""COMPUTED_VALUE"""),1000)</f>
        <v>1000</v>
      </c>
      <c r="J797" s="5">
        <f ca="1">IFERROR(__xludf.DUMMYFUNCTION("""COMPUTED_VALUE"""),420)</f>
        <v>420</v>
      </c>
      <c r="K797" s="3"/>
      <c r="L797" s="3" t="str">
        <f ca="1">IFERROR(__xludf.DUMMYFUNCTION("""COMPUTED_VALUE"""),"Cost per period")</f>
        <v>Cost per period</v>
      </c>
      <c r="M797" s="3"/>
      <c r="N797" s="3"/>
      <c r="O797" s="3" t="str">
        <f ca="1">IFERROR(__xludf.DUMMYFUNCTION("""COMPUTED_VALUE"""),"600")</f>
        <v>600</v>
      </c>
      <c r="P797" s="3" t="str">
        <f ca="1">IFERROR(__xludf.DUMMYFUNCTION("""COMPUTED_VALUE"""),"1080")</f>
        <v>1080</v>
      </c>
      <c r="Q797" s="3" t="str">
        <f ca="1">IFERROR(__xludf.DUMMYFUNCTION("""COMPUTED_VALUE"""),"600x1080")</f>
        <v>600x1080</v>
      </c>
      <c r="R797" s="3"/>
      <c r="S797" s="3" t="str">
        <f ca="1">IFERROR(__xludf.DUMMYFUNCTION("""COMPUTED_VALUE"""),"200")</f>
        <v>200</v>
      </c>
      <c r="T797" s="3"/>
      <c r="U797" s="3" t="str">
        <f ca="1">IFERROR(__xludf.DUMMYFUNCTION("""COMPUTED_VALUE"""),"banner standard")</f>
        <v>banner standard</v>
      </c>
      <c r="V797" s="3"/>
      <c r="W797" s="4" t="str">
        <f ca="1">IFERROR(__xludf.DUMMYFUNCTION("""COMPUTED_VALUE"""),"https://reklama.cncenter.cz/Online/mobilni-interscroller")</f>
        <v>https://reklama.cncenter.cz/Online/mobilni-interscroller</v>
      </c>
      <c r="X797" s="3"/>
      <c r="Y797" s="3"/>
      <c r="Z797" s="3" t="str">
        <f ca="1">IFERROR(__xludf.DUMMYFUNCTION("""COMPUTED_VALUE"""),"podklady@cncenter.cz")</f>
        <v>podklady@cncenter.cz</v>
      </c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 t="str">
        <f ca="1">IFERROR(__xludf.DUMMYFUNCTION("""COMPUTED_VALUE"""),"mobile")</f>
        <v>mobile</v>
      </c>
      <c r="AO797" s="3"/>
      <c r="AP797" s="3"/>
      <c r="AQ797" s="3"/>
      <c r="AR797" s="3"/>
      <c r="AS797" s="3"/>
      <c r="AT797" s="3"/>
      <c r="AU797" s="3" t="str">
        <f ca="1">IFERROR(__xludf.DUMMYFUNCTION("""COMPUTED_VALUE"""),"cílený mobilní interscroller")</f>
        <v>cílený mobilní interscroller</v>
      </c>
    </row>
    <row r="798" spans="1:47" x14ac:dyDescent="0.3">
      <c r="A798" s="3">
        <f ca="1"/>
        <v>2346826</v>
      </c>
      <c r="B798" s="3" t="str">
        <f ca="1"/>
        <v>CZECH NEWS CENTER a. s.</v>
      </c>
      <c r="C798" s="3" t="str">
        <f ca="1">IFERROR(__xludf.DUMMYFUNCTION("""COMPUTED_VALUE"""),"Mobilmania")</f>
        <v>Mobilmania</v>
      </c>
      <c r="D798" s="4" t="str">
        <f ca="1">IFERROR(__xludf.DUMMYFUNCTION("""COMPUTED_VALUE"""),"https://mobilmania.cz")</f>
        <v>https://mobilmania.cz</v>
      </c>
      <c r="E798" s="3" t="str">
        <f ca="1">IFERROR(__xludf.DUMMYFUNCTION("""COMPUTED_VALUE"""),"celý web")</f>
        <v>celý web</v>
      </c>
      <c r="F798" s="4" t="str">
        <f ca="1">IFERROR(__xludf.DUMMYFUNCTION("""COMPUTED_VALUE"""),"https://mobilmania.cz")</f>
        <v>https://mobilmania.cz</v>
      </c>
      <c r="G798" s="3" t="str">
        <f ca="1">IFERROR(__xludf.DUMMYFUNCTION("""COMPUTED_VALUE"""),"cílený mobilní slide-up mid season")</f>
        <v>cílený mobilní slide-up mid season</v>
      </c>
      <c r="H798" s="3">
        <f ca="1">IFERROR(__xludf.DUMMYFUNCTION("""COMPUTED_VALUE"""),7)</f>
        <v>7</v>
      </c>
      <c r="I798" s="5">
        <f ca="1">IFERROR(__xludf.DUMMYFUNCTION("""COMPUTED_VALUE"""),1000)</f>
        <v>1000</v>
      </c>
      <c r="J798" s="5">
        <f ca="1">IFERROR(__xludf.DUMMYFUNCTION("""COMPUTED_VALUE"""),864)</f>
        <v>864</v>
      </c>
      <c r="K798" s="3"/>
      <c r="L798" s="3" t="str">
        <f ca="1">IFERROR(__xludf.DUMMYFUNCTION("""COMPUTED_VALUE"""),"Cost per period")</f>
        <v>Cost per period</v>
      </c>
      <c r="M798" s="3"/>
      <c r="N798" s="3"/>
      <c r="O798" s="3" t="str">
        <f ca="1">IFERROR(__xludf.DUMMYFUNCTION("""COMPUTED_VALUE"""),"300")</f>
        <v>300</v>
      </c>
      <c r="P798" s="3" t="str">
        <f ca="1">IFERROR(__xludf.DUMMYFUNCTION("""COMPUTED_VALUE"""),"120")</f>
        <v>120</v>
      </c>
      <c r="Q798" s="3" t="str">
        <f ca="1">IFERROR(__xludf.DUMMYFUNCTION("""COMPUTED_VALUE"""),"300x120")</f>
        <v>300x120</v>
      </c>
      <c r="R798" s="3"/>
      <c r="S798" s="3" t="str">
        <f ca="1">IFERROR(__xludf.DUMMYFUNCTION("""COMPUTED_VALUE"""),"100")</f>
        <v>100</v>
      </c>
      <c r="T798" s="3"/>
      <c r="U798" s="3" t="str">
        <f ca="1">IFERROR(__xludf.DUMMYFUNCTION("""COMPUTED_VALUE"""),"banner standard")</f>
        <v>banner standard</v>
      </c>
      <c r="V798" s="3"/>
      <c r="W798" s="4" t="str">
        <f ca="1">IFERROR(__xludf.DUMMYFUNCTION("""COMPUTED_VALUE"""),"https://reklama.cncenter.cz/Online/mobilni-slide-up")</f>
        <v>https://reklama.cncenter.cz/Online/mobilni-slide-up</v>
      </c>
      <c r="X798" s="3"/>
      <c r="Y798" s="3"/>
      <c r="Z798" s="3" t="str">
        <f ca="1">IFERROR(__xludf.DUMMYFUNCTION("""COMPUTED_VALUE"""),"podklady@cncenter.cz")</f>
        <v>podklady@cncenter.cz</v>
      </c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 t="str">
        <f ca="1">IFERROR(__xludf.DUMMYFUNCTION("""COMPUTED_VALUE"""),"mobile")</f>
        <v>mobile</v>
      </c>
      <c r="AO798" s="3"/>
      <c r="AP798" s="3"/>
      <c r="AQ798" s="3"/>
      <c r="AR798" s="3"/>
      <c r="AS798" s="3"/>
      <c r="AT798" s="3"/>
      <c r="AU798" s="3" t="str">
        <f ca="1">IFERROR(__xludf.DUMMYFUNCTION("""COMPUTED_VALUE"""),"cílený mobilní slide-up")</f>
        <v>cílený mobilní slide-up</v>
      </c>
    </row>
    <row r="799" spans="1:47" x14ac:dyDescent="0.3">
      <c r="A799" s="3">
        <f ca="1"/>
        <v>2346826</v>
      </c>
      <c r="B799" s="3" t="str">
        <f ca="1"/>
        <v>CZECH NEWS CENTER a. s.</v>
      </c>
      <c r="C799" s="3" t="str">
        <f ca="1">IFERROR(__xludf.DUMMYFUNCTION("""COMPUTED_VALUE"""),"Mobilmania")</f>
        <v>Mobilmania</v>
      </c>
      <c r="D799" s="4" t="str">
        <f ca="1">IFERROR(__xludf.DUMMYFUNCTION("""COMPUTED_VALUE"""),"https://mobilmania.cz")</f>
        <v>https://mobilmania.cz</v>
      </c>
      <c r="E799" s="3" t="str">
        <f ca="1">IFERROR(__xludf.DUMMYFUNCTION("""COMPUTED_VALUE"""),"celý web")</f>
        <v>celý web</v>
      </c>
      <c r="F799" s="4" t="str">
        <f ca="1">IFERROR(__xludf.DUMMYFUNCTION("""COMPUTED_VALUE"""),"https://mobilmania.cz")</f>
        <v>https://mobilmania.cz</v>
      </c>
      <c r="G799" s="3" t="str">
        <f ca="1">IFERROR(__xludf.DUMMYFUNCTION("""COMPUTED_VALUE"""),"cílený mobilní viněta mid season")</f>
        <v>cílený mobilní viněta mid season</v>
      </c>
      <c r="H799" s="3">
        <f ca="1">IFERROR(__xludf.DUMMYFUNCTION("""COMPUTED_VALUE"""),7)</f>
        <v>7</v>
      </c>
      <c r="I799" s="5">
        <f ca="1">IFERROR(__xludf.DUMMYFUNCTION("""COMPUTED_VALUE"""),1000)</f>
        <v>1000</v>
      </c>
      <c r="J799" s="5">
        <f ca="1">IFERROR(__xludf.DUMMYFUNCTION("""COMPUTED_VALUE"""),1488)</f>
        <v>1488</v>
      </c>
      <c r="K799" s="3"/>
      <c r="L799" s="3" t="str">
        <f ca="1">IFERROR(__xludf.DUMMYFUNCTION("""COMPUTED_VALUE"""),"Cost per period")</f>
        <v>Cost per period</v>
      </c>
      <c r="M799" s="3"/>
      <c r="N799" s="3"/>
      <c r="O799" s="3" t="str">
        <f ca="1">IFERROR(__xludf.DUMMYFUNCTION("""COMPUTED_VALUE"""),"600")</f>
        <v>600</v>
      </c>
      <c r="P799" s="3" t="str">
        <f ca="1">IFERROR(__xludf.DUMMYFUNCTION("""COMPUTED_VALUE"""),"800")</f>
        <v>800</v>
      </c>
      <c r="Q799" s="3" t="str">
        <f ca="1">IFERROR(__xludf.DUMMYFUNCTION("""COMPUTED_VALUE"""),"300x250 nebo 600x800")</f>
        <v>300x250 nebo 600x800</v>
      </c>
      <c r="R799" s="3"/>
      <c r="S799" s="3" t="str">
        <f ca="1">IFERROR(__xludf.DUMMYFUNCTION("""COMPUTED_VALUE"""),"100")</f>
        <v>100</v>
      </c>
      <c r="T799" s="3"/>
      <c r="U799" s="3" t="str">
        <f ca="1">IFERROR(__xludf.DUMMYFUNCTION("""COMPUTED_VALUE"""),"banner standard")</f>
        <v>banner standard</v>
      </c>
      <c r="V799" s="3"/>
      <c r="W799" s="4" t="str">
        <f ca="1">IFERROR(__xludf.DUMMYFUNCTION("""COMPUTED_VALUE"""),"https://reklama.cncenter.cz/Online/mobilni-vineta")</f>
        <v>https://reklama.cncenter.cz/Online/mobilni-vineta</v>
      </c>
      <c r="X799" s="3"/>
      <c r="Y799" s="3"/>
      <c r="Z799" s="3" t="str">
        <f ca="1">IFERROR(__xludf.DUMMYFUNCTION("""COMPUTED_VALUE"""),"podklady@cncenter.cz")</f>
        <v>podklady@cncenter.cz</v>
      </c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 t="str">
        <f ca="1">IFERROR(__xludf.DUMMYFUNCTION("""COMPUTED_VALUE"""),"mobile")</f>
        <v>mobile</v>
      </c>
      <c r="AO799" s="3"/>
      <c r="AP799" s="3"/>
      <c r="AQ799" s="3"/>
      <c r="AR799" s="3"/>
      <c r="AS799" s="3"/>
      <c r="AT799" s="3"/>
      <c r="AU799" s="3" t="str">
        <f ca="1">IFERROR(__xludf.DUMMYFUNCTION("""COMPUTED_VALUE"""),"cílený mobilní viněta")</f>
        <v>cílený mobilní viněta</v>
      </c>
    </row>
    <row r="800" spans="1:47" x14ac:dyDescent="0.3">
      <c r="A800" s="3">
        <f ca="1"/>
        <v>2346826</v>
      </c>
      <c r="B800" s="3" t="str">
        <f ca="1"/>
        <v>CZECH NEWS CENTER a. s.</v>
      </c>
      <c r="C800" s="3" t="str">
        <f ca="1">IFERROR(__xludf.DUMMYFUNCTION("""COMPUTED_VALUE"""),"Mobilmania")</f>
        <v>Mobilmania</v>
      </c>
      <c r="D800" s="4" t="str">
        <f ca="1">IFERROR(__xludf.DUMMYFUNCTION("""COMPUTED_VALUE"""),"https://mobilmania.cz")</f>
        <v>https://mobilmania.cz</v>
      </c>
      <c r="E800" s="3" t="str">
        <f ca="1">IFERROR(__xludf.DUMMYFUNCTION("""COMPUTED_VALUE"""),"celý web")</f>
        <v>celý web</v>
      </c>
      <c r="F800" s="4" t="str">
        <f ca="1">IFERROR(__xludf.DUMMYFUNCTION("""COMPUTED_VALUE"""),"https://mobilmania.cz")</f>
        <v>https://mobilmania.cz</v>
      </c>
      <c r="G800" s="3" t="str">
        <f ca="1">IFERROR(__xludf.DUMMYFUNCTION("""COMPUTED_VALUE"""),"cílený nativní pr premium mid season")</f>
        <v>cílený nativní pr premium mid season</v>
      </c>
      <c r="H800" s="3">
        <f ca="1">IFERROR(__xludf.DUMMYFUNCTION("""COMPUTED_VALUE"""),7)</f>
        <v>7</v>
      </c>
      <c r="I800" s="5">
        <f ca="1">IFERROR(__xludf.DUMMYFUNCTION("""COMPUTED_VALUE"""),1000)</f>
        <v>1000</v>
      </c>
      <c r="J800" s="5">
        <f ca="1">IFERROR(__xludf.DUMMYFUNCTION("""COMPUTED_VALUE"""),168)</f>
        <v>168</v>
      </c>
      <c r="K800" s="3"/>
      <c r="L800" s="3" t="str">
        <f ca="1">IFERROR(__xludf.DUMMYFUNCTION("""COMPUTED_VALUE"""),"Cost per period")</f>
        <v>Cost per period</v>
      </c>
      <c r="M800" s="3"/>
      <c r="N800" s="3"/>
      <c r="O800" s="3" t="str">
        <f ca="1">IFERROR(__xludf.DUMMYFUNCTION("""COMPUTED_VALUE"""),"640")</f>
        <v>640</v>
      </c>
      <c r="P800" s="3" t="str">
        <f ca="1">IFERROR(__xludf.DUMMYFUNCTION("""COMPUTED_VALUE"""),"335, 640")</f>
        <v>335, 640</v>
      </c>
      <c r="Q800" s="3" t="str">
        <f ca="1">IFERROR(__xludf.DUMMYFUNCTION("""COMPUTED_VALUE"""),"640x640 a 640x335 + text + logo")</f>
        <v>640x640 a 640x335 + text + logo</v>
      </c>
      <c r="R800" s="3" t="str">
        <f ca="1">IFERROR(__xludf.DUMMYFUNCTION("""COMPUTED_VALUE"""),"detailní specifikace na URL odkaze")</f>
        <v>detailní specifikace na URL odkaze</v>
      </c>
      <c r="S800" s="3" t="str">
        <f ca="1">IFERROR(__xludf.DUMMYFUNCTION("""COMPUTED_VALUE"""),"100")</f>
        <v>100</v>
      </c>
      <c r="T800" s="3"/>
      <c r="U800" s="3" t="str">
        <f ca="1">IFERROR(__xludf.DUMMYFUNCTION("""COMPUTED_VALUE"""),"nativní reklama")</f>
        <v>nativní reklama</v>
      </c>
      <c r="V800" s="3"/>
      <c r="W800" s="4" t="str">
        <f ca="1">IFERROR(__xludf.DUMMYFUNCTION("""COMPUTED_VALUE"""),"https://reklama.cncenter.cz/Online/nativni-PR-premium")</f>
        <v>https://reklama.cncenter.cz/Online/nativni-PR-premium</v>
      </c>
      <c r="X800" s="3"/>
      <c r="Y800" s="3"/>
      <c r="Z800" s="3" t="str">
        <f ca="1">IFERROR(__xludf.DUMMYFUNCTION("""COMPUTED_VALUE"""),"podklady@cncenter.cz")</f>
        <v>podklady@cncenter.cz</v>
      </c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 t="str">
        <f ca="1">IFERROR(__xludf.DUMMYFUNCTION("""COMPUTED_VALUE"""),"cross-device")</f>
        <v>cross-device</v>
      </c>
      <c r="AO800" s="3"/>
      <c r="AP800" s="3"/>
      <c r="AQ800" s="3"/>
      <c r="AR800" s="3"/>
      <c r="AS800" s="3"/>
      <c r="AT800" s="3"/>
      <c r="AU800" s="3" t="str">
        <f ca="1">IFERROR(__xludf.DUMMYFUNCTION("""COMPUTED_VALUE"""),"cílený nativní pr premium")</f>
        <v>cílený nativní pr premium</v>
      </c>
    </row>
    <row r="801" spans="1:47" x14ac:dyDescent="0.3">
      <c r="A801" s="3">
        <f ca="1"/>
        <v>2346826</v>
      </c>
      <c r="B801" s="3" t="str">
        <f ca="1"/>
        <v>CZECH NEWS CENTER a. s.</v>
      </c>
      <c r="C801" s="3" t="str">
        <f ca="1">IFERROR(__xludf.DUMMYFUNCTION("""COMPUTED_VALUE"""),"Mobilmania")</f>
        <v>Mobilmania</v>
      </c>
      <c r="D801" s="4" t="str">
        <f ca="1">IFERROR(__xludf.DUMMYFUNCTION("""COMPUTED_VALUE"""),"https://mobilmania.cz")</f>
        <v>https://mobilmania.cz</v>
      </c>
      <c r="E801" s="3" t="str">
        <f ca="1">IFERROR(__xludf.DUMMYFUNCTION("""COMPUTED_VALUE"""),"celý web")</f>
        <v>celý web</v>
      </c>
      <c r="F801" s="4" t="str">
        <f ca="1">IFERROR(__xludf.DUMMYFUNCTION("""COMPUTED_VALUE"""),"https://mobilmania.cz")</f>
        <v>https://mobilmania.cz</v>
      </c>
      <c r="G801" s="3" t="str">
        <f ca="1">IFERROR(__xludf.DUMMYFUNCTION("""COMPUTED_VALUE"""),"cílený nativní rectangle cross-device mid season")</f>
        <v>cílený nativní rectangle cross-device mid season</v>
      </c>
      <c r="H801" s="3">
        <f ca="1">IFERROR(__xludf.DUMMYFUNCTION("""COMPUTED_VALUE"""),7)</f>
        <v>7</v>
      </c>
      <c r="I801" s="5">
        <f ca="1">IFERROR(__xludf.DUMMYFUNCTION("""COMPUTED_VALUE"""),1000)</f>
        <v>1000</v>
      </c>
      <c r="J801" s="5">
        <f ca="1">IFERROR(__xludf.DUMMYFUNCTION("""COMPUTED_VALUE"""),336)</f>
        <v>336</v>
      </c>
      <c r="K801" s="3"/>
      <c r="L801" s="3" t="str">
        <f ca="1">IFERROR(__xludf.DUMMYFUNCTION("""COMPUTED_VALUE"""),"Cost per period")</f>
        <v>Cost per period</v>
      </c>
      <c r="M801" s="3"/>
      <c r="N801" s="3"/>
      <c r="O801" s="3" t="str">
        <f ca="1">IFERROR(__xludf.DUMMYFUNCTION("""COMPUTED_VALUE"""),"640")</f>
        <v>640</v>
      </c>
      <c r="P801" s="3" t="str">
        <f ca="1">IFERROR(__xludf.DUMMYFUNCTION("""COMPUTED_VALUE"""),"335, 640")</f>
        <v>335, 640</v>
      </c>
      <c r="Q801" s="3" t="str">
        <f ca="1">IFERROR(__xludf.DUMMYFUNCTION("""COMPUTED_VALUE"""),"640x640 a 640x335 + text + logo")</f>
        <v>640x640 a 640x335 + text + logo</v>
      </c>
      <c r="R801" s="3"/>
      <c r="S801" s="3" t="str">
        <f ca="1">IFERROR(__xludf.DUMMYFUNCTION("""COMPUTED_VALUE"""),"45")</f>
        <v>45</v>
      </c>
      <c r="T801" s="3"/>
      <c r="U801" s="3" t="str">
        <f ca="1">IFERROR(__xludf.DUMMYFUNCTION("""COMPUTED_VALUE"""),"nativní reklama")</f>
        <v>nativní reklama</v>
      </c>
      <c r="V801" s="3"/>
      <c r="W801" s="4" t="str">
        <f ca="1">IFERROR(__xludf.DUMMYFUNCTION("""COMPUTED_VALUE"""),"https://reklama.cncenter.cz/Online/nativni-rectangle-cross-device")</f>
        <v>https://reklama.cncenter.cz/Online/nativni-rectangle-cross-device</v>
      </c>
      <c r="X801" s="3"/>
      <c r="Y801" s="3"/>
      <c r="Z801" s="3" t="str">
        <f ca="1">IFERROR(__xludf.DUMMYFUNCTION("""COMPUTED_VALUE"""),"podklady@cncenter.cz")</f>
        <v>podklady@cncenter.cz</v>
      </c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 t="str">
        <f ca="1">IFERROR(__xludf.DUMMYFUNCTION("""COMPUTED_VALUE"""),"cross-device")</f>
        <v>cross-device</v>
      </c>
      <c r="AO801" s="3"/>
      <c r="AP801" s="3"/>
      <c r="AQ801" s="3"/>
      <c r="AR801" s="3"/>
      <c r="AS801" s="3"/>
      <c r="AT801" s="3"/>
      <c r="AU801" s="3" t="str">
        <f ca="1">IFERROR(__xludf.DUMMYFUNCTION("""COMPUTED_VALUE"""),"cílený nativní rectangle cross-device")</f>
        <v>cílený nativní rectangle cross-device</v>
      </c>
    </row>
    <row r="802" spans="1:47" x14ac:dyDescent="0.3">
      <c r="A802" s="3">
        <f ca="1"/>
        <v>2346826</v>
      </c>
      <c r="B802" s="3" t="str">
        <f ca="1"/>
        <v>CZECH NEWS CENTER a. s.</v>
      </c>
      <c r="C802" s="3" t="str">
        <f ca="1">IFERROR(__xludf.DUMMYFUNCTION("""COMPUTED_VALUE"""),"Mobilmania")</f>
        <v>Mobilmania</v>
      </c>
      <c r="D802" s="4" t="str">
        <f ca="1">IFERROR(__xludf.DUMMYFUNCTION("""COMPUTED_VALUE"""),"https://mobilmania.cz")</f>
        <v>https://mobilmania.cz</v>
      </c>
      <c r="E802" s="3" t="str">
        <f ca="1">IFERROR(__xludf.DUMMYFUNCTION("""COMPUTED_VALUE"""),"celý web")</f>
        <v>celý web</v>
      </c>
      <c r="F802" s="4" t="str">
        <f ca="1">IFERROR(__xludf.DUMMYFUNCTION("""COMPUTED_VALUE"""),"https://mobilmania.cz")</f>
        <v>https://mobilmania.cz</v>
      </c>
      <c r="G802" s="3" t="str">
        <f ca="1">IFERROR(__xludf.DUMMYFUNCTION("""COMPUTED_VALUE"""),"cílený outstream mid season")</f>
        <v>cílený outstream mid season</v>
      </c>
      <c r="H802" s="3">
        <f ca="1">IFERROR(__xludf.DUMMYFUNCTION("""COMPUTED_VALUE"""),7)</f>
        <v>7</v>
      </c>
      <c r="I802" s="5">
        <f ca="1">IFERROR(__xludf.DUMMYFUNCTION("""COMPUTED_VALUE"""),1000)</f>
        <v>1000</v>
      </c>
      <c r="J802" s="5">
        <f ca="1">IFERROR(__xludf.DUMMYFUNCTION("""COMPUTED_VALUE"""),420)</f>
        <v>420</v>
      </c>
      <c r="K802" s="3"/>
      <c r="L802" s="3" t="str">
        <f ca="1">IFERROR(__xludf.DUMMYFUNCTION("""COMPUTED_VALUE"""),"Cost per period")</f>
        <v>Cost per period</v>
      </c>
      <c r="M802" s="3"/>
      <c r="N802" s="3"/>
      <c r="O802" s="3" t="str">
        <f ca="1">IFERROR(__xludf.DUMMYFUNCTION("""COMPUTED_VALUE"""),"1280")</f>
        <v>1280</v>
      </c>
      <c r="P802" s="3" t="str">
        <f ca="1">IFERROR(__xludf.DUMMYFUNCTION("""COMPUTED_VALUE"""),"720")</f>
        <v>720</v>
      </c>
      <c r="Q802" s="3" t="str">
        <f ca="1">IFERROR(__xludf.DUMMYFUNCTION("""COMPUTED_VALUE"""),"16:9")</f>
        <v>16:9</v>
      </c>
      <c r="R802" s="3"/>
      <c r="S802" s="3" t="str">
        <f ca="1">IFERROR(__xludf.DUMMYFUNCTION("""COMPUTED_VALUE"""),"100")</f>
        <v>100</v>
      </c>
      <c r="T802" s="3"/>
      <c r="U802" s="3" t="str">
        <f ca="1">IFERROR(__xludf.DUMMYFUNCTION("""COMPUTED_VALUE"""),"videospot")</f>
        <v>videospot</v>
      </c>
      <c r="V802" s="3"/>
      <c r="W802" s="4" t="str">
        <f ca="1">IFERROR(__xludf.DUMMYFUNCTION("""COMPUTED_VALUE"""),"https://reklama.cncenter.cz/Online/Outstream")</f>
        <v>https://reklama.cncenter.cz/Online/Outstream</v>
      </c>
      <c r="X802" s="3"/>
      <c r="Y802" s="3"/>
      <c r="Z802" s="3" t="str">
        <f ca="1">IFERROR(__xludf.DUMMYFUNCTION("""COMPUTED_VALUE"""),"podklady@cncenter.cz")</f>
        <v>podklady@cncenter.cz</v>
      </c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 t="str">
        <f ca="1">IFERROR(__xludf.DUMMYFUNCTION("""COMPUTED_VALUE"""),"cross-device")</f>
        <v>cross-device</v>
      </c>
      <c r="AO802" s="3"/>
      <c r="AP802" s="3"/>
      <c r="AQ802" s="3"/>
      <c r="AR802" s="3"/>
      <c r="AS802" s="3"/>
      <c r="AT802" s="3"/>
      <c r="AU802" s="3" t="str">
        <f ca="1">IFERROR(__xludf.DUMMYFUNCTION("""COMPUTED_VALUE"""),"cílený outstream")</f>
        <v>cílený outstream</v>
      </c>
    </row>
    <row r="803" spans="1:47" x14ac:dyDescent="0.3">
      <c r="A803" s="3">
        <f ca="1"/>
        <v>2346826</v>
      </c>
      <c r="B803" s="3" t="str">
        <f ca="1"/>
        <v>CZECH NEWS CENTER a. s.</v>
      </c>
      <c r="C803" s="3" t="str">
        <f ca="1">IFERROR(__xludf.DUMMYFUNCTION("""COMPUTED_VALUE"""),"Mobilmania")</f>
        <v>Mobilmania</v>
      </c>
      <c r="D803" s="4" t="str">
        <f ca="1">IFERROR(__xludf.DUMMYFUNCTION("""COMPUTED_VALUE"""),"https://mobilmania.cz")</f>
        <v>https://mobilmania.cz</v>
      </c>
      <c r="E803" s="3" t="str">
        <f ca="1">IFERROR(__xludf.DUMMYFUNCTION("""COMPUTED_VALUE"""),"celý web")</f>
        <v>celý web</v>
      </c>
      <c r="F803" s="4" t="str">
        <f ca="1">IFERROR(__xludf.DUMMYFUNCTION("""COMPUTED_VALUE"""),"https://mobilmania.cz")</f>
        <v>https://mobilmania.cz</v>
      </c>
      <c r="G803" s="3" t="str">
        <f ca="1">IFERROR(__xludf.DUMMYFUNCTION("""COMPUTED_VALUE"""),"cílený videospot - max. 30 sec. / bumper mid season")</f>
        <v>cílený videospot - max. 30 sec. / bumper mid season</v>
      </c>
      <c r="H803" s="3">
        <f ca="1">IFERROR(__xludf.DUMMYFUNCTION("""COMPUTED_VALUE"""),7)</f>
        <v>7</v>
      </c>
      <c r="I803" s="5">
        <f ca="1">IFERROR(__xludf.DUMMYFUNCTION("""COMPUTED_VALUE"""),1000)</f>
        <v>1000</v>
      </c>
      <c r="J803" s="5">
        <f ca="1">IFERROR(__xludf.DUMMYFUNCTION("""COMPUTED_VALUE"""),1248)</f>
        <v>1248</v>
      </c>
      <c r="K803" s="3"/>
      <c r="L803" s="3" t="str">
        <f ca="1">IFERROR(__xludf.DUMMYFUNCTION("""COMPUTED_VALUE"""),"Cost per period")</f>
        <v>Cost per period</v>
      </c>
      <c r="M803" s="3"/>
      <c r="N803" s="3"/>
      <c r="O803" s="3" t="str">
        <f ca="1">IFERROR(__xludf.DUMMYFUNCTION("""COMPUTED_VALUE"""),"1280")</f>
        <v>1280</v>
      </c>
      <c r="P803" s="3" t="str">
        <f ca="1">IFERROR(__xludf.DUMMYFUNCTION("""COMPUTED_VALUE"""),"720")</f>
        <v>720</v>
      </c>
      <c r="Q803" s="3" t="str">
        <f ca="1">IFERROR(__xludf.DUMMYFUNCTION("""COMPUTED_VALUE"""),"16:9 / umístění po domluvě dle možností")</f>
        <v>16:9 / umístění po domluvě dle možností</v>
      </c>
      <c r="R803" s="3" t="str">
        <f ca="1">IFERROR(__xludf.DUMMYFUNCTION("""COMPUTED_VALUE"""),"přeskočení po 7 sekundách")</f>
        <v>přeskočení po 7 sekundách</v>
      </c>
      <c r="S803" s="3" t="str">
        <f ca="1">IFERROR(__xludf.DUMMYFUNCTION("""COMPUTED_VALUE"""),"100")</f>
        <v>100</v>
      </c>
      <c r="T803" s="3"/>
      <c r="U803" s="3" t="str">
        <f ca="1">IFERROR(__xludf.DUMMYFUNCTION("""COMPUTED_VALUE"""),"videospot")</f>
        <v>videospot</v>
      </c>
      <c r="V803" s="3"/>
      <c r="W803" s="4" t="str">
        <f ca="1">IFERROR(__xludf.DUMMYFUNCTION("""COMPUTED_VALUE"""),"https://reklama.cncenter.cz/Online/Bumper")</f>
        <v>https://reklama.cncenter.cz/Online/Bumper</v>
      </c>
      <c r="X803" s="3"/>
      <c r="Y803" s="3"/>
      <c r="Z803" s="3" t="str">
        <f ca="1">IFERROR(__xludf.DUMMYFUNCTION("""COMPUTED_VALUE"""),"podklady@cncenter.cz")</f>
        <v>podklady@cncenter.cz</v>
      </c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 t="str">
        <f ca="1">IFERROR(__xludf.DUMMYFUNCTION("""COMPUTED_VALUE"""),"cross-device")</f>
        <v>cross-device</v>
      </c>
      <c r="AO803" s="3"/>
      <c r="AP803" s="3"/>
      <c r="AQ803" s="3"/>
      <c r="AR803" s="3"/>
      <c r="AS803" s="3"/>
      <c r="AT803" s="3"/>
      <c r="AU803" s="3" t="str">
        <f ca="1">IFERROR(__xludf.DUMMYFUNCTION("""COMPUTED_VALUE"""),"cílený videospot - max. 30 sec. / bumper")</f>
        <v>cílený videospot - max. 30 sec. / bumper</v>
      </c>
    </row>
    <row r="804" spans="1:47" x14ac:dyDescent="0.3">
      <c r="A804" s="3">
        <f ca="1"/>
        <v>2346826</v>
      </c>
      <c r="B804" s="3" t="str">
        <f ca="1"/>
        <v>CZECH NEWS CENTER a. s.</v>
      </c>
      <c r="C804" s="3" t="str">
        <f ca="1">IFERROR(__xludf.DUMMYFUNCTION("""COMPUTED_VALUE"""),"Mobilmania")</f>
        <v>Mobilmania</v>
      </c>
      <c r="D804" s="4" t="str">
        <f ca="1">IFERROR(__xludf.DUMMYFUNCTION("""COMPUTED_VALUE"""),"https://mobilmania.cz")</f>
        <v>https://mobilmania.cz</v>
      </c>
      <c r="E804" s="3" t="str">
        <f ca="1">IFERROR(__xludf.DUMMYFUNCTION("""COMPUTED_VALUE"""),"celý web")</f>
        <v>celý web</v>
      </c>
      <c r="F804" s="4" t="str">
        <f ca="1">IFERROR(__xludf.DUMMYFUNCTION("""COMPUTED_VALUE"""),"https://mobilmania.cz")</f>
        <v>https://mobilmania.cz</v>
      </c>
      <c r="G804" s="3" t="str">
        <f ca="1">IFERROR(__xludf.DUMMYFUNCTION("""COMPUTED_VALUE"""),"dokoupení proma o 2 týdny - 10 000 PV *** mid season")</f>
        <v>dokoupení proma o 2 týdny - 10 000 PV *** mid season</v>
      </c>
      <c r="H804" s="3">
        <f ca="1">IFERROR(__xludf.DUMMYFUNCTION("""COMPUTED_VALUE"""),1)</f>
        <v>1</v>
      </c>
      <c r="I804" s="5">
        <f ca="1">IFERROR(__xludf.DUMMYFUNCTION("""COMPUTED_VALUE"""),1)</f>
        <v>1</v>
      </c>
      <c r="J804" s="5">
        <f ca="1">IFERROR(__xludf.DUMMYFUNCTION("""COMPUTED_VALUE"""),60000)</f>
        <v>60000</v>
      </c>
      <c r="K804" s="3"/>
      <c r="L804" s="3" t="str">
        <f ca="1">IFERROR(__xludf.DUMMYFUNCTION("""COMPUTED_VALUE"""),"Cost per instance")</f>
        <v>Cost per instance</v>
      </c>
      <c r="M804" s="3"/>
      <c r="N804" s="3"/>
      <c r="O804" s="3"/>
      <c r="P804" s="3"/>
      <c r="Q804" s="3"/>
      <c r="R804" s="3"/>
      <c r="S804" s="3" t="str">
        <f ca="1">IFERROR(__xludf.DUMMYFUNCTION("""COMPUTED_VALUE"""),"100")</f>
        <v>100</v>
      </c>
      <c r="T804" s="3"/>
      <c r="U804" s="3" t="str">
        <f ca="1">IFERROR(__xludf.DUMMYFUNCTION("""COMPUTED_VALUE"""),"microsite")</f>
        <v>microsite</v>
      </c>
      <c r="V804" s="3"/>
      <c r="W804" s="3"/>
      <c r="X804" s="3"/>
      <c r="Y804" s="3"/>
      <c r="Z804" s="3" t="str">
        <f ca="1">IFERROR(__xludf.DUMMYFUNCTION("""COMPUTED_VALUE"""),"podklady@cncenter.cz")</f>
        <v>podklady@cncenter.cz</v>
      </c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 t="str">
        <f ca="1">IFERROR(__xludf.DUMMYFUNCTION("""COMPUTED_VALUE"""),"cross-device")</f>
        <v>cross-device</v>
      </c>
      <c r="AO804" s="3"/>
      <c r="AP804" s="3"/>
      <c r="AQ804" s="3"/>
      <c r="AR804" s="3"/>
      <c r="AS804" s="3"/>
      <c r="AT804" s="3"/>
      <c r="AU804" s="3" t="str">
        <f ca="1">IFERROR(__xludf.DUMMYFUNCTION("""COMPUTED_VALUE"""),"dokoupení proma o 2 týdny - 10 000 PV ***")</f>
        <v>dokoupení proma o 2 týdny - 10 000 PV ***</v>
      </c>
    </row>
    <row r="805" spans="1:47" x14ac:dyDescent="0.3">
      <c r="A805" s="3">
        <f ca="1"/>
        <v>2346826</v>
      </c>
      <c r="B805" s="3" t="str">
        <f ca="1"/>
        <v>CZECH NEWS CENTER a. s.</v>
      </c>
      <c r="C805" s="3" t="str">
        <f ca="1">IFERROR(__xludf.DUMMYFUNCTION("""COMPUTED_VALUE"""),"Mobilmania")</f>
        <v>Mobilmania</v>
      </c>
      <c r="D805" s="4" t="str">
        <f ca="1">IFERROR(__xludf.DUMMYFUNCTION("""COMPUTED_VALUE"""),"https://mobilmania.cz")</f>
        <v>https://mobilmania.cz</v>
      </c>
      <c r="E805" s="3" t="str">
        <f ca="1">IFERROR(__xludf.DUMMYFUNCTION("""COMPUTED_VALUE"""),"celý web")</f>
        <v>celý web</v>
      </c>
      <c r="F805" s="4" t="str">
        <f ca="1">IFERROR(__xludf.DUMMYFUNCTION("""COMPUTED_VALUE"""),"https://mobilmania.cz")</f>
        <v>https://mobilmania.cz</v>
      </c>
      <c r="G805" s="3" t="str">
        <f ca="1">IFERROR(__xludf.DUMMYFUNCTION("""COMPUTED_VALUE"""),"double skyscraper mid season")</f>
        <v>double skyscraper mid season</v>
      </c>
      <c r="H805" s="3">
        <f ca="1">IFERROR(__xludf.DUMMYFUNCTION("""COMPUTED_VALUE"""),7)</f>
        <v>7</v>
      </c>
      <c r="I805" s="5">
        <f ca="1">IFERROR(__xludf.DUMMYFUNCTION("""COMPUTED_VALUE"""),1000)</f>
        <v>1000</v>
      </c>
      <c r="J805" s="5">
        <f ca="1">IFERROR(__xludf.DUMMYFUNCTION("""COMPUTED_VALUE"""),270)</f>
        <v>270</v>
      </c>
      <c r="K805" s="3"/>
      <c r="L805" s="3" t="str">
        <f ca="1">IFERROR(__xludf.DUMMYFUNCTION("""COMPUTED_VALUE"""),"Cost per period")</f>
        <v>Cost per period</v>
      </c>
      <c r="M805" s="3"/>
      <c r="N805" s="3"/>
      <c r="O805" s="3" t="str">
        <f ca="1">IFERROR(__xludf.DUMMYFUNCTION("""COMPUTED_VALUE"""),"300")</f>
        <v>300</v>
      </c>
      <c r="P805" s="3" t="str">
        <f ca="1">IFERROR(__xludf.DUMMYFUNCTION("""COMPUTED_VALUE"""),"600")</f>
        <v>600</v>
      </c>
      <c r="Q805" s="3" t="str">
        <f ca="1">IFERROR(__xludf.DUMMYFUNCTION("""COMPUTED_VALUE"""),"300x600")</f>
        <v>300x600</v>
      </c>
      <c r="R805" s="3"/>
      <c r="S805" s="3" t="str">
        <f ca="1">IFERROR(__xludf.DUMMYFUNCTION("""COMPUTED_VALUE"""),"100 (200 - HTML5)")</f>
        <v>100 (200 - HTML5)</v>
      </c>
      <c r="T805" s="3"/>
      <c r="U805" s="3" t="str">
        <f ca="1">IFERROR(__xludf.DUMMYFUNCTION("""COMPUTED_VALUE"""),"banner standard")</f>
        <v>banner standard</v>
      </c>
      <c r="V805" s="3"/>
      <c r="W805" s="4" t="str">
        <f ca="1">IFERROR(__xludf.DUMMYFUNCTION("""COMPUTED_VALUE"""),"https://reklama.cncenter.cz/Online/double-skyscraper")</f>
        <v>https://reklama.cncenter.cz/Online/double-skyscraper</v>
      </c>
      <c r="X805" s="3"/>
      <c r="Y805" s="3"/>
      <c r="Z805" s="3" t="str">
        <f ca="1">IFERROR(__xludf.DUMMYFUNCTION("""COMPUTED_VALUE"""),"podklady@cncenter.cz")</f>
        <v>podklady@cncenter.cz</v>
      </c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 t="str">
        <f ca="1">IFERROR(__xludf.DUMMYFUNCTION("""COMPUTED_VALUE"""),"desktop")</f>
        <v>desktop</v>
      </c>
      <c r="AO805" s="3"/>
      <c r="AP805" s="3"/>
      <c r="AQ805" s="3"/>
      <c r="AR805" s="3"/>
      <c r="AS805" s="3"/>
      <c r="AT805" s="3"/>
      <c r="AU805" s="3" t="str">
        <f ca="1">IFERROR(__xludf.DUMMYFUNCTION("""COMPUTED_VALUE"""),"double skyscraper")</f>
        <v>double skyscraper</v>
      </c>
    </row>
    <row r="806" spans="1:47" x14ac:dyDescent="0.3">
      <c r="A806" s="3">
        <f ca="1"/>
        <v>2346826</v>
      </c>
      <c r="B806" s="3" t="str">
        <f ca="1"/>
        <v>CZECH NEWS CENTER a. s.</v>
      </c>
      <c r="C806" s="3" t="str">
        <f ca="1">IFERROR(__xludf.DUMMYFUNCTION("""COMPUTED_VALUE"""),"Mobilmania")</f>
        <v>Mobilmania</v>
      </c>
      <c r="D806" s="4" t="str">
        <f ca="1">IFERROR(__xludf.DUMMYFUNCTION("""COMPUTED_VALUE"""),"https://mobilmania.cz")</f>
        <v>https://mobilmania.cz</v>
      </c>
      <c r="E806" s="3" t="str">
        <f ca="1">IFERROR(__xludf.DUMMYFUNCTION("""COMPUTED_VALUE"""),"celý web")</f>
        <v>celý web</v>
      </c>
      <c r="F806" s="4" t="str">
        <f ca="1">IFERROR(__xludf.DUMMYFUNCTION("""COMPUTED_VALUE"""),"https://mobilmania.cz")</f>
        <v>https://mobilmania.cz</v>
      </c>
      <c r="G806" s="3" t="str">
        <f ca="1">IFERROR(__xludf.DUMMYFUNCTION("""COMPUTED_VALUE"""),"mobilní interscroller mid season")</f>
        <v>mobilní interscroller mid season</v>
      </c>
      <c r="H806" s="3">
        <f ca="1">IFERROR(__xludf.DUMMYFUNCTION("""COMPUTED_VALUE"""),7)</f>
        <v>7</v>
      </c>
      <c r="I806" s="5">
        <f ca="1">IFERROR(__xludf.DUMMYFUNCTION("""COMPUTED_VALUE"""),1000)</f>
        <v>1000</v>
      </c>
      <c r="J806" s="5">
        <f ca="1">IFERROR(__xludf.DUMMYFUNCTION("""COMPUTED_VALUE"""),350)</f>
        <v>350</v>
      </c>
      <c r="K806" s="3"/>
      <c r="L806" s="3" t="str">
        <f ca="1">IFERROR(__xludf.DUMMYFUNCTION("""COMPUTED_VALUE"""),"Cost per period")</f>
        <v>Cost per period</v>
      </c>
      <c r="M806" s="3"/>
      <c r="N806" s="3"/>
      <c r="O806" s="3" t="str">
        <f ca="1">IFERROR(__xludf.DUMMYFUNCTION("""COMPUTED_VALUE"""),"600")</f>
        <v>600</v>
      </c>
      <c r="P806" s="3" t="str">
        <f ca="1">IFERROR(__xludf.DUMMYFUNCTION("""COMPUTED_VALUE"""),"1080")</f>
        <v>1080</v>
      </c>
      <c r="Q806" s="3" t="str">
        <f ca="1">IFERROR(__xludf.DUMMYFUNCTION("""COMPUTED_VALUE"""),"600x1080")</f>
        <v>600x1080</v>
      </c>
      <c r="R806" s="3"/>
      <c r="S806" s="3" t="str">
        <f ca="1">IFERROR(__xludf.DUMMYFUNCTION("""COMPUTED_VALUE"""),"200")</f>
        <v>200</v>
      </c>
      <c r="T806" s="3"/>
      <c r="U806" s="3" t="str">
        <f ca="1">IFERROR(__xludf.DUMMYFUNCTION("""COMPUTED_VALUE"""),"banner standard")</f>
        <v>banner standard</v>
      </c>
      <c r="V806" s="3"/>
      <c r="W806" s="4" t="str">
        <f ca="1">IFERROR(__xludf.DUMMYFUNCTION("""COMPUTED_VALUE"""),"https://reklama.cncenter.cz/Online/mobilni-interscroller")</f>
        <v>https://reklama.cncenter.cz/Online/mobilni-interscroller</v>
      </c>
      <c r="X806" s="3"/>
      <c r="Y806" s="3"/>
      <c r="Z806" s="3" t="str">
        <f ca="1">IFERROR(__xludf.DUMMYFUNCTION("""COMPUTED_VALUE"""),"podklady@cncenter.cz")</f>
        <v>podklady@cncenter.cz</v>
      </c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 t="str">
        <f ca="1">IFERROR(__xludf.DUMMYFUNCTION("""COMPUTED_VALUE"""),"mobile")</f>
        <v>mobile</v>
      </c>
      <c r="AO806" s="3"/>
      <c r="AP806" s="3"/>
      <c r="AQ806" s="3"/>
      <c r="AR806" s="3"/>
      <c r="AS806" s="3"/>
      <c r="AT806" s="3"/>
      <c r="AU806" s="3" t="str">
        <f ca="1">IFERROR(__xludf.DUMMYFUNCTION("""COMPUTED_VALUE"""),"mobilní interscroller")</f>
        <v>mobilní interscroller</v>
      </c>
    </row>
    <row r="807" spans="1:47" x14ac:dyDescent="0.3">
      <c r="A807" s="3">
        <f ca="1"/>
        <v>2346826</v>
      </c>
      <c r="B807" s="3" t="str">
        <f ca="1"/>
        <v>CZECH NEWS CENTER a. s.</v>
      </c>
      <c r="C807" s="3" t="str">
        <f ca="1">IFERROR(__xludf.DUMMYFUNCTION("""COMPUTED_VALUE"""),"Mobilmania")</f>
        <v>Mobilmania</v>
      </c>
      <c r="D807" s="4" t="str">
        <f ca="1">IFERROR(__xludf.DUMMYFUNCTION("""COMPUTED_VALUE"""),"https://mobilmania.cz")</f>
        <v>https://mobilmania.cz</v>
      </c>
      <c r="E807" s="3" t="str">
        <f ca="1">IFERROR(__xludf.DUMMYFUNCTION("""COMPUTED_VALUE"""),"celý web")</f>
        <v>celý web</v>
      </c>
      <c r="F807" s="4" t="str">
        <f ca="1">IFERROR(__xludf.DUMMYFUNCTION("""COMPUTED_VALUE"""),"https://mobilmania.cz")</f>
        <v>https://mobilmania.cz</v>
      </c>
      <c r="G807" s="3" t="str">
        <f ca="1">IFERROR(__xludf.DUMMYFUNCTION("""COMPUTED_VALUE"""),"mobilní slide-up mid season")</f>
        <v>mobilní slide-up mid season</v>
      </c>
      <c r="H807" s="3">
        <f ca="1">IFERROR(__xludf.DUMMYFUNCTION("""COMPUTED_VALUE"""),7)</f>
        <v>7</v>
      </c>
      <c r="I807" s="5">
        <f ca="1">IFERROR(__xludf.DUMMYFUNCTION("""COMPUTED_VALUE"""),1000)</f>
        <v>1000</v>
      </c>
      <c r="J807" s="5">
        <f ca="1">IFERROR(__xludf.DUMMYFUNCTION("""COMPUTED_VALUE"""),720)</f>
        <v>720</v>
      </c>
      <c r="K807" s="3"/>
      <c r="L807" s="3" t="str">
        <f ca="1">IFERROR(__xludf.DUMMYFUNCTION("""COMPUTED_VALUE"""),"Cost per period")</f>
        <v>Cost per period</v>
      </c>
      <c r="M807" s="3"/>
      <c r="N807" s="3"/>
      <c r="O807" s="3" t="str">
        <f ca="1">IFERROR(__xludf.DUMMYFUNCTION("""COMPUTED_VALUE"""),"300")</f>
        <v>300</v>
      </c>
      <c r="P807" s="3" t="str">
        <f ca="1">IFERROR(__xludf.DUMMYFUNCTION("""COMPUTED_VALUE"""),"120")</f>
        <v>120</v>
      </c>
      <c r="Q807" s="3" t="str">
        <f ca="1">IFERROR(__xludf.DUMMYFUNCTION("""COMPUTED_VALUE"""),"300x120")</f>
        <v>300x120</v>
      </c>
      <c r="R807" s="3"/>
      <c r="S807" s="3" t="str">
        <f ca="1">IFERROR(__xludf.DUMMYFUNCTION("""COMPUTED_VALUE"""),"100")</f>
        <v>100</v>
      </c>
      <c r="T807" s="3"/>
      <c r="U807" s="3" t="str">
        <f ca="1">IFERROR(__xludf.DUMMYFUNCTION("""COMPUTED_VALUE"""),"banner standard")</f>
        <v>banner standard</v>
      </c>
      <c r="V807" s="3"/>
      <c r="W807" s="4" t="str">
        <f ca="1">IFERROR(__xludf.DUMMYFUNCTION("""COMPUTED_VALUE"""),"https://reklama.cncenter.cz/Online/mobilni-slide-up")</f>
        <v>https://reklama.cncenter.cz/Online/mobilni-slide-up</v>
      </c>
      <c r="X807" s="3"/>
      <c r="Y807" s="3"/>
      <c r="Z807" s="3" t="str">
        <f ca="1">IFERROR(__xludf.DUMMYFUNCTION("""COMPUTED_VALUE"""),"podklady@cncenter.cz")</f>
        <v>podklady@cncenter.cz</v>
      </c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 t="str">
        <f ca="1">IFERROR(__xludf.DUMMYFUNCTION("""COMPUTED_VALUE"""),"mobile")</f>
        <v>mobile</v>
      </c>
      <c r="AO807" s="3"/>
      <c r="AP807" s="3"/>
      <c r="AQ807" s="3"/>
      <c r="AR807" s="3"/>
      <c r="AS807" s="3"/>
      <c r="AT807" s="3"/>
      <c r="AU807" s="3" t="str">
        <f ca="1">IFERROR(__xludf.DUMMYFUNCTION("""COMPUTED_VALUE"""),"mobilní slide-up")</f>
        <v>mobilní slide-up</v>
      </c>
    </row>
    <row r="808" spans="1:47" x14ac:dyDescent="0.3">
      <c r="A808" s="3">
        <f ca="1"/>
        <v>2346826</v>
      </c>
      <c r="B808" s="3" t="str">
        <f ca="1"/>
        <v>CZECH NEWS CENTER a. s.</v>
      </c>
      <c r="C808" s="3" t="str">
        <f ca="1">IFERROR(__xludf.DUMMYFUNCTION("""COMPUTED_VALUE"""),"Mobilmania")</f>
        <v>Mobilmania</v>
      </c>
      <c r="D808" s="4" t="str">
        <f ca="1">IFERROR(__xludf.DUMMYFUNCTION("""COMPUTED_VALUE"""),"https://mobilmania.cz")</f>
        <v>https://mobilmania.cz</v>
      </c>
      <c r="E808" s="3" t="str">
        <f ca="1">IFERROR(__xludf.DUMMYFUNCTION("""COMPUTED_VALUE"""),"celý web")</f>
        <v>celý web</v>
      </c>
      <c r="F808" s="4" t="str">
        <f ca="1">IFERROR(__xludf.DUMMYFUNCTION("""COMPUTED_VALUE"""),"https://mobilmania.cz")</f>
        <v>https://mobilmania.cz</v>
      </c>
      <c r="G808" s="3" t="str">
        <f ca="1">IFERROR(__xludf.DUMMYFUNCTION("""COMPUTED_VALUE"""),"mobilní viněta mid season")</f>
        <v>mobilní viněta mid season</v>
      </c>
      <c r="H808" s="3">
        <f ca="1">IFERROR(__xludf.DUMMYFUNCTION("""COMPUTED_VALUE"""),7)</f>
        <v>7</v>
      </c>
      <c r="I808" s="5">
        <f ca="1">IFERROR(__xludf.DUMMYFUNCTION("""COMPUTED_VALUE"""),1000)</f>
        <v>1000</v>
      </c>
      <c r="J808" s="5">
        <f ca="1">IFERROR(__xludf.DUMMYFUNCTION("""COMPUTED_VALUE"""),1240)</f>
        <v>1240</v>
      </c>
      <c r="K808" s="3"/>
      <c r="L808" s="3" t="str">
        <f ca="1">IFERROR(__xludf.DUMMYFUNCTION("""COMPUTED_VALUE"""),"Cost per period")</f>
        <v>Cost per period</v>
      </c>
      <c r="M808" s="3"/>
      <c r="N808" s="3"/>
      <c r="O808" s="3" t="str">
        <f ca="1">IFERROR(__xludf.DUMMYFUNCTION("""COMPUTED_VALUE"""),"600")</f>
        <v>600</v>
      </c>
      <c r="P808" s="3" t="str">
        <f ca="1">IFERROR(__xludf.DUMMYFUNCTION("""COMPUTED_VALUE"""),"800")</f>
        <v>800</v>
      </c>
      <c r="Q808" s="3" t="str">
        <f ca="1">IFERROR(__xludf.DUMMYFUNCTION("""COMPUTED_VALUE"""),"300x250 nebo 600x800")</f>
        <v>300x250 nebo 600x800</v>
      </c>
      <c r="R808" s="3"/>
      <c r="S808" s="3" t="str">
        <f ca="1">IFERROR(__xludf.DUMMYFUNCTION("""COMPUTED_VALUE"""),"100")</f>
        <v>100</v>
      </c>
      <c r="T808" s="3"/>
      <c r="U808" s="3" t="str">
        <f ca="1">IFERROR(__xludf.DUMMYFUNCTION("""COMPUTED_VALUE"""),"banner standard")</f>
        <v>banner standard</v>
      </c>
      <c r="V808" s="3"/>
      <c r="W808" s="4" t="str">
        <f ca="1">IFERROR(__xludf.DUMMYFUNCTION("""COMPUTED_VALUE"""),"https://reklama.cncenter.cz/Online/mobilni-vineta")</f>
        <v>https://reklama.cncenter.cz/Online/mobilni-vineta</v>
      </c>
      <c r="X808" s="3"/>
      <c r="Y808" s="3"/>
      <c r="Z808" s="3" t="str">
        <f ca="1">IFERROR(__xludf.DUMMYFUNCTION("""COMPUTED_VALUE"""),"podklady@cncenter.cz")</f>
        <v>podklady@cncenter.cz</v>
      </c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 t="str">
        <f ca="1">IFERROR(__xludf.DUMMYFUNCTION("""COMPUTED_VALUE"""),"mobile")</f>
        <v>mobile</v>
      </c>
      <c r="AO808" s="3"/>
      <c r="AP808" s="3"/>
      <c r="AQ808" s="3"/>
      <c r="AR808" s="3"/>
      <c r="AS808" s="3"/>
      <c r="AT808" s="3"/>
      <c r="AU808" s="3" t="str">
        <f ca="1">IFERROR(__xludf.DUMMYFUNCTION("""COMPUTED_VALUE"""),"mobilní viněta")</f>
        <v>mobilní viněta</v>
      </c>
    </row>
    <row r="809" spans="1:47" x14ac:dyDescent="0.3">
      <c r="A809" s="3">
        <f ca="1"/>
        <v>2346826</v>
      </c>
      <c r="B809" s="3" t="str">
        <f ca="1"/>
        <v>CZECH NEWS CENTER a. s.</v>
      </c>
      <c r="C809" s="3" t="str">
        <f ca="1">IFERROR(__xludf.DUMMYFUNCTION("""COMPUTED_VALUE"""),"Mobilmania")</f>
        <v>Mobilmania</v>
      </c>
      <c r="D809" s="4" t="str">
        <f ca="1">IFERROR(__xludf.DUMMYFUNCTION("""COMPUTED_VALUE"""),"https://mobilmania.cz")</f>
        <v>https://mobilmania.cz</v>
      </c>
      <c r="E809" s="3" t="str">
        <f ca="1">IFERROR(__xludf.DUMMYFUNCTION("""COMPUTED_VALUE"""),"celý web")</f>
        <v>celý web</v>
      </c>
      <c r="F809" s="4" t="str">
        <f ca="1">IFERROR(__xludf.DUMMYFUNCTION("""COMPUTED_VALUE"""),"https://mobilmania.cz")</f>
        <v>https://mobilmania.cz</v>
      </c>
      <c r="G809" s="3" t="str">
        <f ca="1">IFERROR(__xludf.DUMMYFUNCTION("""COMPUTED_VALUE"""),"Native Standard mid season")</f>
        <v>Native Standard mid season</v>
      </c>
      <c r="H809" s="3">
        <f ca="1">IFERROR(__xludf.DUMMYFUNCTION("""COMPUTED_VALUE"""),1)</f>
        <v>1</v>
      </c>
      <c r="I809" s="5">
        <f ca="1">IFERROR(__xludf.DUMMYFUNCTION("""COMPUTED_VALUE"""),1)</f>
        <v>1</v>
      </c>
      <c r="J809" s="5">
        <f ca="1">IFERROR(__xludf.DUMMYFUNCTION("""COMPUTED_VALUE"""),330000)</f>
        <v>330000</v>
      </c>
      <c r="K809" s="3"/>
      <c r="L809" s="3" t="str">
        <f ca="1">IFERROR(__xludf.DUMMYFUNCTION("""COMPUTED_VALUE"""),"Cost per instance")</f>
        <v>Cost per instance</v>
      </c>
      <c r="M809" s="3"/>
      <c r="N809" s="3"/>
      <c r="O809" s="3"/>
      <c r="P809" s="3"/>
      <c r="Q809" s="3"/>
      <c r="R809" s="3"/>
      <c r="S809" s="3" t="str">
        <f ca="1">IFERROR(__xludf.DUMMYFUNCTION("""COMPUTED_VALUE"""),"100")</f>
        <v>100</v>
      </c>
      <c r="T809" s="3"/>
      <c r="U809" s="3" t="str">
        <f ca="1">IFERROR(__xludf.DUMMYFUNCTION("""COMPUTED_VALUE"""),"microsite")</f>
        <v>microsite</v>
      </c>
      <c r="V809" s="3"/>
      <c r="W809" s="3"/>
      <c r="X809" s="3"/>
      <c r="Y809" s="3"/>
      <c r="Z809" s="3" t="str">
        <f ca="1">IFERROR(__xludf.DUMMYFUNCTION("""COMPUTED_VALUE"""),"podklady@cncenter.cz")</f>
        <v>podklady@cncenter.cz</v>
      </c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 t="str">
        <f ca="1">IFERROR(__xludf.DUMMYFUNCTION("""COMPUTED_VALUE"""),"cross-device")</f>
        <v>cross-device</v>
      </c>
      <c r="AO809" s="3"/>
      <c r="AP809" s="3"/>
      <c r="AQ809" s="3"/>
      <c r="AR809" s="3"/>
      <c r="AS809" s="3"/>
      <c r="AT809" s="3"/>
      <c r="AU809" s="3" t="str">
        <f ca="1">IFERROR(__xludf.DUMMYFUNCTION("""COMPUTED_VALUE"""),"Native Standard")</f>
        <v>Native Standard</v>
      </c>
    </row>
    <row r="810" spans="1:47" x14ac:dyDescent="0.3">
      <c r="A810" s="3">
        <f ca="1"/>
        <v>2346826</v>
      </c>
      <c r="B810" s="3" t="str">
        <f ca="1"/>
        <v>CZECH NEWS CENTER a. s.</v>
      </c>
      <c r="C810" s="3" t="str">
        <f ca="1">IFERROR(__xludf.DUMMYFUNCTION("""COMPUTED_VALUE"""),"Mobilmania")</f>
        <v>Mobilmania</v>
      </c>
      <c r="D810" s="4" t="str">
        <f ca="1">IFERROR(__xludf.DUMMYFUNCTION("""COMPUTED_VALUE"""),"https://mobilmania.cz")</f>
        <v>https://mobilmania.cz</v>
      </c>
      <c r="E810" s="3" t="str">
        <f ca="1">IFERROR(__xludf.DUMMYFUNCTION("""COMPUTED_VALUE"""),"celý web")</f>
        <v>celý web</v>
      </c>
      <c r="F810" s="4" t="str">
        <f ca="1">IFERROR(__xludf.DUMMYFUNCTION("""COMPUTED_VALUE"""),"https://mobilmania.cz")</f>
        <v>https://mobilmania.cz</v>
      </c>
      <c r="G810" s="3" t="str">
        <f ca="1">IFERROR(__xludf.DUMMYFUNCTION("""COMPUTED_VALUE"""),"nativní pr premium mid season")</f>
        <v>nativní pr premium mid season</v>
      </c>
      <c r="H810" s="3">
        <f ca="1">IFERROR(__xludf.DUMMYFUNCTION("""COMPUTED_VALUE"""),7)</f>
        <v>7</v>
      </c>
      <c r="I810" s="5">
        <f ca="1">IFERROR(__xludf.DUMMYFUNCTION("""COMPUTED_VALUE"""),1000)</f>
        <v>1000</v>
      </c>
      <c r="J810" s="5">
        <f ca="1">IFERROR(__xludf.DUMMYFUNCTION("""COMPUTED_VALUE"""),140)</f>
        <v>140</v>
      </c>
      <c r="K810" s="3"/>
      <c r="L810" s="3" t="str">
        <f ca="1">IFERROR(__xludf.DUMMYFUNCTION("""COMPUTED_VALUE"""),"Cost per period")</f>
        <v>Cost per period</v>
      </c>
      <c r="M810" s="3"/>
      <c r="N810" s="3"/>
      <c r="O810" s="3" t="str">
        <f ca="1">IFERROR(__xludf.DUMMYFUNCTION("""COMPUTED_VALUE"""),"640")</f>
        <v>640</v>
      </c>
      <c r="P810" s="3" t="str">
        <f ca="1">IFERROR(__xludf.DUMMYFUNCTION("""COMPUTED_VALUE"""),"335, 640")</f>
        <v>335, 640</v>
      </c>
      <c r="Q810" s="3" t="str">
        <f ca="1">IFERROR(__xludf.DUMMYFUNCTION("""COMPUTED_VALUE"""),"640x640 a 640x335 + text + logo")</f>
        <v>640x640 a 640x335 + text + logo</v>
      </c>
      <c r="R810" s="3" t="str">
        <f ca="1">IFERROR(__xludf.DUMMYFUNCTION("""COMPUTED_VALUE"""),"detailní specifikace na URL odkaze")</f>
        <v>detailní specifikace na URL odkaze</v>
      </c>
      <c r="S810" s="3" t="str">
        <f ca="1">IFERROR(__xludf.DUMMYFUNCTION("""COMPUTED_VALUE"""),"100")</f>
        <v>100</v>
      </c>
      <c r="T810" s="3"/>
      <c r="U810" s="3" t="str">
        <f ca="1">IFERROR(__xludf.DUMMYFUNCTION("""COMPUTED_VALUE"""),"nativní reklama")</f>
        <v>nativní reklama</v>
      </c>
      <c r="V810" s="3"/>
      <c r="W810" s="4" t="str">
        <f ca="1">IFERROR(__xludf.DUMMYFUNCTION("""COMPUTED_VALUE"""),"https://reklama.cncenter.cz/Online/nativni-PR-premium")</f>
        <v>https://reklama.cncenter.cz/Online/nativni-PR-premium</v>
      </c>
      <c r="X810" s="3"/>
      <c r="Y810" s="3"/>
      <c r="Z810" s="3" t="str">
        <f ca="1">IFERROR(__xludf.DUMMYFUNCTION("""COMPUTED_VALUE"""),"podklady@cncenter.cz")</f>
        <v>podklady@cncenter.cz</v>
      </c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 t="str">
        <f ca="1">IFERROR(__xludf.DUMMYFUNCTION("""COMPUTED_VALUE"""),"cross-device")</f>
        <v>cross-device</v>
      </c>
      <c r="AO810" s="3"/>
      <c r="AP810" s="3"/>
      <c r="AQ810" s="3"/>
      <c r="AR810" s="3"/>
      <c r="AS810" s="3"/>
      <c r="AT810" s="3"/>
      <c r="AU810" s="3" t="str">
        <f ca="1">IFERROR(__xludf.DUMMYFUNCTION("""COMPUTED_VALUE"""),"nativní pr premium")</f>
        <v>nativní pr premium</v>
      </c>
    </row>
    <row r="811" spans="1:47" x14ac:dyDescent="0.3">
      <c r="A811" s="3">
        <f ca="1"/>
        <v>2346826</v>
      </c>
      <c r="B811" s="3" t="str">
        <f ca="1"/>
        <v>CZECH NEWS CENTER a. s.</v>
      </c>
      <c r="C811" s="3" t="str">
        <f ca="1">IFERROR(__xludf.DUMMYFUNCTION("""COMPUTED_VALUE"""),"Mobilmania")</f>
        <v>Mobilmania</v>
      </c>
      <c r="D811" s="4" t="str">
        <f ca="1">IFERROR(__xludf.DUMMYFUNCTION("""COMPUTED_VALUE"""),"https://mobilmania.cz")</f>
        <v>https://mobilmania.cz</v>
      </c>
      <c r="E811" s="3" t="str">
        <f ca="1">IFERROR(__xludf.DUMMYFUNCTION("""COMPUTED_VALUE"""),"celý web")</f>
        <v>celý web</v>
      </c>
      <c r="F811" s="4" t="str">
        <f ca="1">IFERROR(__xludf.DUMMYFUNCTION("""COMPUTED_VALUE"""),"https://mobilmania.cz")</f>
        <v>https://mobilmania.cz</v>
      </c>
      <c r="G811" s="3" t="str">
        <f ca="1">IFERROR(__xludf.DUMMYFUNCTION("""COMPUTED_VALUE"""),"nativní rectangle cross-device mid season")</f>
        <v>nativní rectangle cross-device mid season</v>
      </c>
      <c r="H811" s="3">
        <f ca="1">IFERROR(__xludf.DUMMYFUNCTION("""COMPUTED_VALUE"""),7)</f>
        <v>7</v>
      </c>
      <c r="I811" s="5">
        <f ca="1">IFERROR(__xludf.DUMMYFUNCTION("""COMPUTED_VALUE"""),1000)</f>
        <v>1000</v>
      </c>
      <c r="J811" s="5">
        <f ca="1">IFERROR(__xludf.DUMMYFUNCTION("""COMPUTED_VALUE"""),280)</f>
        <v>280</v>
      </c>
      <c r="K811" s="3"/>
      <c r="L811" s="3" t="str">
        <f ca="1">IFERROR(__xludf.DUMMYFUNCTION("""COMPUTED_VALUE"""),"Cost per period")</f>
        <v>Cost per period</v>
      </c>
      <c r="M811" s="3"/>
      <c r="N811" s="3"/>
      <c r="O811" s="3" t="str">
        <f ca="1">IFERROR(__xludf.DUMMYFUNCTION("""COMPUTED_VALUE"""),"640")</f>
        <v>640</v>
      </c>
      <c r="P811" s="3" t="str">
        <f ca="1">IFERROR(__xludf.DUMMYFUNCTION("""COMPUTED_VALUE"""),"335, 640")</f>
        <v>335, 640</v>
      </c>
      <c r="Q811" s="3" t="str">
        <f ca="1">IFERROR(__xludf.DUMMYFUNCTION("""COMPUTED_VALUE"""),"640x640 a 640x335 + text + logo")</f>
        <v>640x640 a 640x335 + text + logo</v>
      </c>
      <c r="R811" s="3"/>
      <c r="S811" s="3" t="str">
        <f ca="1">IFERROR(__xludf.DUMMYFUNCTION("""COMPUTED_VALUE"""),"45")</f>
        <v>45</v>
      </c>
      <c r="T811" s="3"/>
      <c r="U811" s="3" t="str">
        <f ca="1">IFERROR(__xludf.DUMMYFUNCTION("""COMPUTED_VALUE"""),"nativní reklama")</f>
        <v>nativní reklama</v>
      </c>
      <c r="V811" s="3"/>
      <c r="W811" s="4" t="str">
        <f ca="1">IFERROR(__xludf.DUMMYFUNCTION("""COMPUTED_VALUE"""),"https://reklama.cncenter.cz/Online/nativni-rectangle-cross-device")</f>
        <v>https://reklama.cncenter.cz/Online/nativni-rectangle-cross-device</v>
      </c>
      <c r="X811" s="3"/>
      <c r="Y811" s="3"/>
      <c r="Z811" s="3" t="str">
        <f ca="1">IFERROR(__xludf.DUMMYFUNCTION("""COMPUTED_VALUE"""),"podklady@cncenter.cz")</f>
        <v>podklady@cncenter.cz</v>
      </c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 t="str">
        <f ca="1">IFERROR(__xludf.DUMMYFUNCTION("""COMPUTED_VALUE"""),"cross-device")</f>
        <v>cross-device</v>
      </c>
      <c r="AO811" s="3"/>
      <c r="AP811" s="3"/>
      <c r="AQ811" s="3"/>
      <c r="AR811" s="3"/>
      <c r="AS811" s="3"/>
      <c r="AT811" s="3"/>
      <c r="AU811" s="3" t="str">
        <f ca="1">IFERROR(__xludf.DUMMYFUNCTION("""COMPUTED_VALUE"""),"nativní rectangle cross-device")</f>
        <v>nativní rectangle cross-device</v>
      </c>
    </row>
    <row r="812" spans="1:47" x14ac:dyDescent="0.3">
      <c r="A812" s="3">
        <f ca="1"/>
        <v>2346826</v>
      </c>
      <c r="B812" s="3" t="str">
        <f ca="1"/>
        <v>CZECH NEWS CENTER a. s.</v>
      </c>
      <c r="C812" s="3" t="str">
        <f ca="1">IFERROR(__xludf.DUMMYFUNCTION("""COMPUTED_VALUE"""),"Mobilmania")</f>
        <v>Mobilmania</v>
      </c>
      <c r="D812" s="4" t="str">
        <f ca="1">IFERROR(__xludf.DUMMYFUNCTION("""COMPUTED_VALUE"""),"https://mobilmania.cz")</f>
        <v>https://mobilmania.cz</v>
      </c>
      <c r="E812" s="3" t="str">
        <f ca="1">IFERROR(__xludf.DUMMYFUNCTION("""COMPUTED_VALUE"""),"celý web")</f>
        <v>celý web</v>
      </c>
      <c r="F812" s="4" t="str">
        <f ca="1">IFERROR(__xludf.DUMMYFUNCTION("""COMPUTED_VALUE"""),"https://mobilmania.cz")</f>
        <v>https://mobilmania.cz</v>
      </c>
      <c r="G812" s="3" t="str">
        <f ca="1">IFERROR(__xludf.DUMMYFUNCTION("""COMPUTED_VALUE"""),"outstream mid season")</f>
        <v>outstream mid season</v>
      </c>
      <c r="H812" s="3">
        <f ca="1">IFERROR(__xludf.DUMMYFUNCTION("""COMPUTED_VALUE"""),7)</f>
        <v>7</v>
      </c>
      <c r="I812" s="5">
        <f ca="1">IFERROR(__xludf.DUMMYFUNCTION("""COMPUTED_VALUE"""),1000)</f>
        <v>1000</v>
      </c>
      <c r="J812" s="5">
        <f ca="1">IFERROR(__xludf.DUMMYFUNCTION("""COMPUTED_VALUE"""),350)</f>
        <v>350</v>
      </c>
      <c r="K812" s="3"/>
      <c r="L812" s="3" t="str">
        <f ca="1">IFERROR(__xludf.DUMMYFUNCTION("""COMPUTED_VALUE"""),"Cost per period")</f>
        <v>Cost per period</v>
      </c>
      <c r="M812" s="3"/>
      <c r="N812" s="3"/>
      <c r="O812" s="3" t="str">
        <f ca="1">IFERROR(__xludf.DUMMYFUNCTION("""COMPUTED_VALUE"""),"1280")</f>
        <v>1280</v>
      </c>
      <c r="P812" s="3" t="str">
        <f ca="1">IFERROR(__xludf.DUMMYFUNCTION("""COMPUTED_VALUE"""),"720")</f>
        <v>720</v>
      </c>
      <c r="Q812" s="3" t="str">
        <f ca="1">IFERROR(__xludf.DUMMYFUNCTION("""COMPUTED_VALUE"""),"16:9")</f>
        <v>16:9</v>
      </c>
      <c r="R812" s="3"/>
      <c r="S812" s="3" t="str">
        <f ca="1">IFERROR(__xludf.DUMMYFUNCTION("""COMPUTED_VALUE"""),"100")</f>
        <v>100</v>
      </c>
      <c r="T812" s="3"/>
      <c r="U812" s="3" t="str">
        <f ca="1">IFERROR(__xludf.DUMMYFUNCTION("""COMPUTED_VALUE"""),"videospot")</f>
        <v>videospot</v>
      </c>
      <c r="V812" s="3"/>
      <c r="W812" s="4" t="str">
        <f ca="1">IFERROR(__xludf.DUMMYFUNCTION("""COMPUTED_VALUE"""),"https://reklama.cncenter.cz/Online/Outstream")</f>
        <v>https://reklama.cncenter.cz/Online/Outstream</v>
      </c>
      <c r="X812" s="3"/>
      <c r="Y812" s="3"/>
      <c r="Z812" s="3" t="str">
        <f ca="1">IFERROR(__xludf.DUMMYFUNCTION("""COMPUTED_VALUE"""),"podklady@cncenter.cz")</f>
        <v>podklady@cncenter.cz</v>
      </c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 t="str">
        <f ca="1">IFERROR(__xludf.DUMMYFUNCTION("""COMPUTED_VALUE"""),"cross-device")</f>
        <v>cross-device</v>
      </c>
      <c r="AO812" s="3"/>
      <c r="AP812" s="3"/>
      <c r="AQ812" s="3"/>
      <c r="AR812" s="3"/>
      <c r="AS812" s="3"/>
      <c r="AT812" s="3"/>
      <c r="AU812" s="3" t="str">
        <f ca="1">IFERROR(__xludf.DUMMYFUNCTION("""COMPUTED_VALUE"""),"outstream")</f>
        <v>outstream</v>
      </c>
    </row>
    <row r="813" spans="1:47" x14ac:dyDescent="0.3">
      <c r="A813" s="3">
        <f ca="1"/>
        <v>2346826</v>
      </c>
      <c r="B813" s="3" t="str">
        <f ca="1"/>
        <v>CZECH NEWS CENTER a. s.</v>
      </c>
      <c r="C813" s="3" t="str">
        <f ca="1">IFERROR(__xludf.DUMMYFUNCTION("""COMPUTED_VALUE"""),"Mobilmania")</f>
        <v>Mobilmania</v>
      </c>
      <c r="D813" s="4" t="str">
        <f ca="1">IFERROR(__xludf.DUMMYFUNCTION("""COMPUTED_VALUE"""),"https://mobilmania.cz")</f>
        <v>https://mobilmania.cz</v>
      </c>
      <c r="E813" s="3" t="str">
        <f ca="1">IFERROR(__xludf.DUMMYFUNCTION("""COMPUTED_VALUE"""),"celý web")</f>
        <v>celý web</v>
      </c>
      <c r="F813" s="4" t="str">
        <f ca="1">IFERROR(__xludf.DUMMYFUNCTION("""COMPUTED_VALUE"""),"https://mobilmania.cz")</f>
        <v>https://mobilmania.cz</v>
      </c>
      <c r="G813" s="3" t="str">
        <f ca="1">IFERROR(__xludf.DUMMYFUNCTION("""COMPUTED_VALUE"""),"PR článek mid season")</f>
        <v>PR článek mid season</v>
      </c>
      <c r="H813" s="3">
        <f ca="1">IFERROR(__xludf.DUMMYFUNCTION("""COMPUTED_VALUE"""),1)</f>
        <v>1</v>
      </c>
      <c r="I813" s="5">
        <f ca="1">IFERROR(__xludf.DUMMYFUNCTION("""COMPUTED_VALUE"""),1)</f>
        <v>1</v>
      </c>
      <c r="J813" s="5">
        <f ca="1">IFERROR(__xludf.DUMMYFUNCTION("""COMPUTED_VALUE"""),50000)</f>
        <v>50000</v>
      </c>
      <c r="K813" s="3"/>
      <c r="L813" s="3" t="str">
        <f ca="1">IFERROR(__xludf.DUMMYFUNCTION("""COMPUTED_VALUE"""),"Cost per instance")</f>
        <v>Cost per instance</v>
      </c>
      <c r="M813" s="3"/>
      <c r="N813" s="3"/>
      <c r="O813" s="3"/>
      <c r="P813" s="3"/>
      <c r="Q813" s="3"/>
      <c r="R813" s="3"/>
      <c r="S813" s="3" t="str">
        <f ca="1">IFERROR(__xludf.DUMMYFUNCTION("""COMPUTED_VALUE"""),"100")</f>
        <v>100</v>
      </c>
      <c r="T813" s="3"/>
      <c r="U813" s="3" t="str">
        <f ca="1">IFERROR(__xludf.DUMMYFUNCTION("""COMPUTED_VALUE"""),"pr článek")</f>
        <v>pr článek</v>
      </c>
      <c r="V813" s="3"/>
      <c r="W813" s="4" t="str">
        <f ca="1">IFERROR(__xludf.DUMMYFUNCTION("""COMPUTED_VALUE"""),"https://reklama.cncenter.cz/?ads=PR%2520%25C4%258Dl%25C3%25A1nky")</f>
        <v>https://reklama.cncenter.cz/?ads=PR%2520%25C4%258Dl%25C3%25A1nky</v>
      </c>
      <c r="X813" s="3"/>
      <c r="Y813" s="3"/>
      <c r="Z813" s="3" t="str">
        <f ca="1">IFERROR(__xludf.DUMMYFUNCTION("""COMPUTED_VALUE"""),"podklady@cncenter.cz")</f>
        <v>podklady@cncenter.cz</v>
      </c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 t="str">
        <f ca="1">IFERROR(__xludf.DUMMYFUNCTION("""COMPUTED_VALUE"""),"cross-device")</f>
        <v>cross-device</v>
      </c>
      <c r="AO813" s="3"/>
      <c r="AP813" s="3"/>
      <c r="AQ813" s="3"/>
      <c r="AR813" s="3"/>
      <c r="AS813" s="3"/>
      <c r="AT813" s="3"/>
      <c r="AU813" s="3" t="str">
        <f ca="1">IFERROR(__xludf.DUMMYFUNCTION("""COMPUTED_VALUE"""),"PR článek")</f>
        <v>PR článek</v>
      </c>
    </row>
    <row r="814" spans="1:47" x14ac:dyDescent="0.3">
      <c r="A814" s="3">
        <f ca="1"/>
        <v>2346826</v>
      </c>
      <c r="B814" s="3" t="str">
        <f ca="1"/>
        <v>CZECH NEWS CENTER a. s.</v>
      </c>
      <c r="C814" s="3" t="str">
        <f ca="1">IFERROR(__xludf.DUMMYFUNCTION("""COMPUTED_VALUE"""),"Mobilmania")</f>
        <v>Mobilmania</v>
      </c>
      <c r="D814" s="4" t="str">
        <f ca="1">IFERROR(__xludf.DUMMYFUNCTION("""COMPUTED_VALUE"""),"https://mobilmania.cz")</f>
        <v>https://mobilmania.cz</v>
      </c>
      <c r="E814" s="3" t="str">
        <f ca="1">IFERROR(__xludf.DUMMYFUNCTION("""COMPUTED_VALUE"""),"celý web")</f>
        <v>celý web</v>
      </c>
      <c r="F814" s="4" t="str">
        <f ca="1">IFERROR(__xludf.DUMMYFUNCTION("""COMPUTED_VALUE"""),"https://mobilmania.cz")</f>
        <v>https://mobilmania.cz</v>
      </c>
      <c r="G814" s="3" t="str">
        <f ca="1">IFERROR(__xludf.DUMMYFUNCTION("""COMPUTED_VALUE"""),"Prodloužení existující microsite, bez úprav mid season")</f>
        <v>Prodloužení existující microsite, bez úprav mid season</v>
      </c>
      <c r="H814" s="3">
        <f ca="1">IFERROR(__xludf.DUMMYFUNCTION("""COMPUTED_VALUE"""),1)</f>
        <v>1</v>
      </c>
      <c r="I814" s="5">
        <f ca="1">IFERROR(__xludf.DUMMYFUNCTION("""COMPUTED_VALUE"""),1)</f>
        <v>1</v>
      </c>
      <c r="J814" s="5">
        <f ca="1">IFERROR(__xludf.DUMMYFUNCTION("""COMPUTED_VALUE"""),15000)</f>
        <v>15000</v>
      </c>
      <c r="K814" s="3"/>
      <c r="L814" s="3" t="str">
        <f ca="1">IFERROR(__xludf.DUMMYFUNCTION("""COMPUTED_VALUE"""),"Cost per instance")</f>
        <v>Cost per instance</v>
      </c>
      <c r="M814" s="3"/>
      <c r="N814" s="3"/>
      <c r="O814" s="3"/>
      <c r="P814" s="3"/>
      <c r="Q814" s="3"/>
      <c r="R814" s="3"/>
      <c r="S814" s="3" t="str">
        <f ca="1">IFERROR(__xludf.DUMMYFUNCTION("""COMPUTED_VALUE"""),"100")</f>
        <v>100</v>
      </c>
      <c r="T814" s="3"/>
      <c r="U814" s="3" t="str">
        <f ca="1">IFERROR(__xludf.DUMMYFUNCTION("""COMPUTED_VALUE"""),"microsite")</f>
        <v>microsite</v>
      </c>
      <c r="V814" s="3"/>
      <c r="W814" s="3"/>
      <c r="X814" s="3"/>
      <c r="Y814" s="3"/>
      <c r="Z814" s="3" t="str">
        <f ca="1">IFERROR(__xludf.DUMMYFUNCTION("""COMPUTED_VALUE"""),"podklady@cncenter.cz")</f>
        <v>podklady@cncenter.cz</v>
      </c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 t="str">
        <f ca="1">IFERROR(__xludf.DUMMYFUNCTION("""COMPUTED_VALUE"""),"cross-device")</f>
        <v>cross-device</v>
      </c>
      <c r="AO814" s="3"/>
      <c r="AP814" s="3"/>
      <c r="AQ814" s="3"/>
      <c r="AR814" s="3"/>
      <c r="AS814" s="3"/>
      <c r="AT814" s="3"/>
      <c r="AU814" s="3" t="str">
        <f ca="1">IFERROR(__xludf.DUMMYFUNCTION("""COMPUTED_VALUE"""),"Prodloužení existující microsite, bez úprav")</f>
        <v>Prodloužení existující microsite, bez úprav</v>
      </c>
    </row>
    <row r="815" spans="1:47" x14ac:dyDescent="0.3">
      <c r="A815" s="3">
        <f ca="1"/>
        <v>2346826</v>
      </c>
      <c r="B815" s="3" t="str">
        <f ca="1"/>
        <v>CZECH NEWS CENTER a. s.</v>
      </c>
      <c r="C815" s="3" t="str">
        <f ca="1">IFERROR(__xludf.DUMMYFUNCTION("""COMPUTED_VALUE"""),"Mobilmania")</f>
        <v>Mobilmania</v>
      </c>
      <c r="D815" s="4" t="str">
        <f ca="1">IFERROR(__xludf.DUMMYFUNCTION("""COMPUTED_VALUE"""),"https://mobilmania.cz")</f>
        <v>https://mobilmania.cz</v>
      </c>
      <c r="E815" s="3" t="str">
        <f ca="1">IFERROR(__xludf.DUMMYFUNCTION("""COMPUTED_VALUE"""),"celý web")</f>
        <v>celý web</v>
      </c>
      <c r="F815" s="4" t="str">
        <f ca="1">IFERROR(__xludf.DUMMYFUNCTION("""COMPUTED_VALUE"""),"https://mobilmania.cz")</f>
        <v>https://mobilmania.cz</v>
      </c>
      <c r="G815" s="3" t="str">
        <f ca="1">IFERROR(__xludf.DUMMYFUNCTION("""COMPUTED_VALUE"""),"Prodloužení existující microsite, bez úprav mid season")</f>
        <v>Prodloužení existující microsite, bez úprav mid season</v>
      </c>
      <c r="H815" s="3">
        <f ca="1">IFERROR(__xludf.DUMMYFUNCTION("""COMPUTED_VALUE"""),1)</f>
        <v>1</v>
      </c>
      <c r="I815" s="5">
        <f ca="1">IFERROR(__xludf.DUMMYFUNCTION("""COMPUTED_VALUE"""),1)</f>
        <v>1</v>
      </c>
      <c r="J815" s="5">
        <f ca="1">IFERROR(__xludf.DUMMYFUNCTION("""COMPUTED_VALUE"""),15000)</f>
        <v>15000</v>
      </c>
      <c r="K815" s="3"/>
      <c r="L815" s="3" t="str">
        <f ca="1">IFERROR(__xludf.DUMMYFUNCTION("""COMPUTED_VALUE"""),"Cost per instance")</f>
        <v>Cost per instance</v>
      </c>
      <c r="M815" s="3"/>
      <c r="N815" s="3"/>
      <c r="O815" s="3"/>
      <c r="P815" s="3"/>
      <c r="Q815" s="3"/>
      <c r="R815" s="3"/>
      <c r="S815" s="3" t="str">
        <f ca="1">IFERROR(__xludf.DUMMYFUNCTION("""COMPUTED_VALUE"""),"100")</f>
        <v>100</v>
      </c>
      <c r="T815" s="3"/>
      <c r="U815" s="3" t="str">
        <f ca="1">IFERROR(__xludf.DUMMYFUNCTION("""COMPUTED_VALUE"""),"microsite")</f>
        <v>microsite</v>
      </c>
      <c r="V815" s="3"/>
      <c r="W815" s="3"/>
      <c r="X815" s="3"/>
      <c r="Y815" s="3"/>
      <c r="Z815" s="3" t="str">
        <f ca="1">IFERROR(__xludf.DUMMYFUNCTION("""COMPUTED_VALUE"""),"podklady@cncenter.cz")</f>
        <v>podklady@cncenter.cz</v>
      </c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 t="str">
        <f ca="1">IFERROR(__xludf.DUMMYFUNCTION("""COMPUTED_VALUE"""),"cross-device")</f>
        <v>cross-device</v>
      </c>
      <c r="AO815" s="3"/>
      <c r="AP815" s="3"/>
      <c r="AQ815" s="3"/>
      <c r="AR815" s="3"/>
      <c r="AS815" s="3"/>
      <c r="AT815" s="3"/>
      <c r="AU815" s="3" t="str">
        <f ca="1">IFERROR(__xludf.DUMMYFUNCTION("""COMPUTED_VALUE"""),"Prodloužení existující microsite, bez úprav")</f>
        <v>Prodloužení existující microsite, bez úprav</v>
      </c>
    </row>
    <row r="816" spans="1:47" x14ac:dyDescent="0.3">
      <c r="A816" s="3">
        <f ca="1"/>
        <v>2346826</v>
      </c>
      <c r="B816" s="3" t="str">
        <f ca="1"/>
        <v>CZECH NEWS CENTER a. s.</v>
      </c>
      <c r="C816" s="3" t="str">
        <f ca="1">IFERROR(__xludf.DUMMYFUNCTION("""COMPUTED_VALUE"""),"Mobilmania")</f>
        <v>Mobilmania</v>
      </c>
      <c r="D816" s="4" t="str">
        <f ca="1">IFERROR(__xludf.DUMMYFUNCTION("""COMPUTED_VALUE"""),"https://mobilmania.cz")</f>
        <v>https://mobilmania.cz</v>
      </c>
      <c r="E816" s="3" t="str">
        <f ca="1">IFERROR(__xludf.DUMMYFUNCTION("""COMPUTED_VALUE"""),"celý web")</f>
        <v>celý web</v>
      </c>
      <c r="F816" s="4" t="str">
        <f ca="1">IFERROR(__xludf.DUMMYFUNCTION("""COMPUTED_VALUE"""),"https://mobilmania.cz")</f>
        <v>https://mobilmania.cz</v>
      </c>
      <c r="G816" s="3" t="str">
        <f ca="1">IFERROR(__xludf.DUMMYFUNCTION("""COMPUTED_VALUE"""),"Prodloužení existující microsite, bez úprav mid season")</f>
        <v>Prodloužení existující microsite, bez úprav mid season</v>
      </c>
      <c r="H816" s="3">
        <f ca="1">IFERROR(__xludf.DUMMYFUNCTION("""COMPUTED_VALUE"""),1)</f>
        <v>1</v>
      </c>
      <c r="I816" s="5">
        <f ca="1">IFERROR(__xludf.DUMMYFUNCTION("""COMPUTED_VALUE"""),1)</f>
        <v>1</v>
      </c>
      <c r="J816" s="5">
        <f ca="1">IFERROR(__xludf.DUMMYFUNCTION("""COMPUTED_VALUE"""),15000)</f>
        <v>15000</v>
      </c>
      <c r="K816" s="3"/>
      <c r="L816" s="3" t="str">
        <f ca="1">IFERROR(__xludf.DUMMYFUNCTION("""COMPUTED_VALUE"""),"Cost per instance")</f>
        <v>Cost per instance</v>
      </c>
      <c r="M816" s="3"/>
      <c r="N816" s="3"/>
      <c r="O816" s="3"/>
      <c r="P816" s="3"/>
      <c r="Q816" s="3"/>
      <c r="R816" s="3"/>
      <c r="S816" s="3" t="str">
        <f ca="1">IFERROR(__xludf.DUMMYFUNCTION("""COMPUTED_VALUE"""),"100")</f>
        <v>100</v>
      </c>
      <c r="T816" s="3"/>
      <c r="U816" s="3" t="str">
        <f ca="1">IFERROR(__xludf.DUMMYFUNCTION("""COMPUTED_VALUE"""),"microsite")</f>
        <v>microsite</v>
      </c>
      <c r="V816" s="3"/>
      <c r="W816" s="3"/>
      <c r="X816" s="3"/>
      <c r="Y816" s="3"/>
      <c r="Z816" s="3" t="str">
        <f ca="1">IFERROR(__xludf.DUMMYFUNCTION("""COMPUTED_VALUE"""),"podklady@cncenter.cz")</f>
        <v>podklady@cncenter.cz</v>
      </c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 t="str">
        <f ca="1">IFERROR(__xludf.DUMMYFUNCTION("""COMPUTED_VALUE"""),"cross-device")</f>
        <v>cross-device</v>
      </c>
      <c r="AO816" s="3"/>
      <c r="AP816" s="3"/>
      <c r="AQ816" s="3"/>
      <c r="AR816" s="3"/>
      <c r="AS816" s="3"/>
      <c r="AT816" s="3"/>
      <c r="AU816" s="3" t="str">
        <f ca="1">IFERROR(__xludf.DUMMYFUNCTION("""COMPUTED_VALUE"""),"Prodloužení existující microsite, bez úprav")</f>
        <v>Prodloužení existující microsite, bez úprav</v>
      </c>
    </row>
    <row r="817" spans="1:47" x14ac:dyDescent="0.3">
      <c r="A817" s="3">
        <f ca="1"/>
        <v>2346826</v>
      </c>
      <c r="B817" s="3" t="str">
        <f ca="1"/>
        <v>CZECH NEWS CENTER a. s.</v>
      </c>
      <c r="C817" s="3" t="str">
        <f ca="1">IFERROR(__xludf.DUMMYFUNCTION("""COMPUTED_VALUE"""),"Mobilmania")</f>
        <v>Mobilmania</v>
      </c>
      <c r="D817" s="4" t="str">
        <f ca="1">IFERROR(__xludf.DUMMYFUNCTION("""COMPUTED_VALUE"""),"https://mobilmania.cz")</f>
        <v>https://mobilmania.cz</v>
      </c>
      <c r="E817" s="3" t="str">
        <f ca="1">IFERROR(__xludf.DUMMYFUNCTION("""COMPUTED_VALUE"""),"celý web")</f>
        <v>celý web</v>
      </c>
      <c r="F817" s="4" t="str">
        <f ca="1">IFERROR(__xludf.DUMMYFUNCTION("""COMPUTED_VALUE"""),"https://mobilmania.cz")</f>
        <v>https://mobilmania.cz</v>
      </c>
      <c r="G817" s="3" t="str">
        <f ca="1">IFERROR(__xludf.DUMMYFUNCTION("""COMPUTED_VALUE"""),"videospot - max. 30 sec. / bumper mid season")</f>
        <v>videospot - max. 30 sec. / bumper mid season</v>
      </c>
      <c r="H817" s="3">
        <f ca="1">IFERROR(__xludf.DUMMYFUNCTION("""COMPUTED_VALUE"""),7)</f>
        <v>7</v>
      </c>
      <c r="I817" s="5">
        <f ca="1">IFERROR(__xludf.DUMMYFUNCTION("""COMPUTED_VALUE"""),1000)</f>
        <v>1000</v>
      </c>
      <c r="J817" s="5">
        <f ca="1">IFERROR(__xludf.DUMMYFUNCTION("""COMPUTED_VALUE"""),1040)</f>
        <v>1040</v>
      </c>
      <c r="K817" s="3"/>
      <c r="L817" s="3" t="str">
        <f ca="1">IFERROR(__xludf.DUMMYFUNCTION("""COMPUTED_VALUE"""),"Cost per period")</f>
        <v>Cost per period</v>
      </c>
      <c r="M817" s="3"/>
      <c r="N817" s="3"/>
      <c r="O817" s="3" t="str">
        <f ca="1">IFERROR(__xludf.DUMMYFUNCTION("""COMPUTED_VALUE"""),"1280")</f>
        <v>1280</v>
      </c>
      <c r="P817" s="3" t="str">
        <f ca="1">IFERROR(__xludf.DUMMYFUNCTION("""COMPUTED_VALUE"""),"720")</f>
        <v>720</v>
      </c>
      <c r="Q817" s="3" t="str">
        <f ca="1">IFERROR(__xludf.DUMMYFUNCTION("""COMPUTED_VALUE"""),"16:9 / umístění po domluvě dle možností")</f>
        <v>16:9 / umístění po domluvě dle možností</v>
      </c>
      <c r="R817" s="3" t="str">
        <f ca="1">IFERROR(__xludf.DUMMYFUNCTION("""COMPUTED_VALUE"""),"přeskočení po 7 sekundách")</f>
        <v>přeskočení po 7 sekundách</v>
      </c>
      <c r="S817" s="3" t="str">
        <f ca="1">IFERROR(__xludf.DUMMYFUNCTION("""COMPUTED_VALUE"""),"100")</f>
        <v>100</v>
      </c>
      <c r="T817" s="3"/>
      <c r="U817" s="3" t="str">
        <f ca="1">IFERROR(__xludf.DUMMYFUNCTION("""COMPUTED_VALUE"""),"videospot")</f>
        <v>videospot</v>
      </c>
      <c r="V817" s="3"/>
      <c r="W817" s="4" t="str">
        <f ca="1">IFERROR(__xludf.DUMMYFUNCTION("""COMPUTED_VALUE"""),"https://reklama.cncenter.cz/Online/Bumper")</f>
        <v>https://reklama.cncenter.cz/Online/Bumper</v>
      </c>
      <c r="X817" s="3"/>
      <c r="Y817" s="3"/>
      <c r="Z817" s="3" t="str">
        <f ca="1">IFERROR(__xludf.DUMMYFUNCTION("""COMPUTED_VALUE"""),"podklady@cncenter.cz")</f>
        <v>podklady@cncenter.cz</v>
      </c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 t="str">
        <f ca="1">IFERROR(__xludf.DUMMYFUNCTION("""COMPUTED_VALUE"""),"cross-device")</f>
        <v>cross-device</v>
      </c>
      <c r="AO817" s="3"/>
      <c r="AP817" s="3"/>
      <c r="AQ817" s="3"/>
      <c r="AR817" s="3"/>
      <c r="AS817" s="3"/>
      <c r="AT817" s="3"/>
      <c r="AU817" s="3" t="str">
        <f ca="1">IFERROR(__xludf.DUMMYFUNCTION("""COMPUTED_VALUE"""),"videospot - max. 30 sec. / bumper")</f>
        <v>videospot - max. 30 sec. / bumper</v>
      </c>
    </row>
    <row r="818" spans="1:47" x14ac:dyDescent="0.3">
      <c r="A818" s="3">
        <f ca="1"/>
        <v>2346826</v>
      </c>
      <c r="B818" s="3" t="str">
        <f ca="1"/>
        <v>CZECH NEWS CENTER a. s.</v>
      </c>
      <c r="C818" s="3" t="str">
        <f ca="1">IFERROR(__xludf.DUMMYFUNCTION("""COMPUTED_VALUE"""),"Moje zdraví")</f>
        <v>Moje zdraví</v>
      </c>
      <c r="D818" s="4" t="str">
        <f ca="1">IFERROR(__xludf.DUMMYFUNCTION("""COMPUTED_VALUE"""),"https://mojezdravi.cz")</f>
        <v>https://mojezdravi.cz</v>
      </c>
      <c r="E818" s="3" t="str">
        <f ca="1">IFERROR(__xludf.DUMMYFUNCTION("""COMPUTED_VALUE"""),"celý web")</f>
        <v>celý web</v>
      </c>
      <c r="F818" s="4" t="str">
        <f ca="1">IFERROR(__xludf.DUMMYFUNCTION("""COMPUTED_VALUE"""),"https://mojezdravi.cz")</f>
        <v>https://mojezdravi.cz</v>
      </c>
      <c r="G818" s="3" t="str">
        <f ca="1">IFERROR(__xludf.DUMMYFUNCTION("""COMPUTED_VALUE"""),"Advertorial mid season")</f>
        <v>Advertorial mid season</v>
      </c>
      <c r="H818" s="3">
        <f ca="1">IFERROR(__xludf.DUMMYFUNCTION("""COMPUTED_VALUE"""),1)</f>
        <v>1</v>
      </c>
      <c r="I818" s="5">
        <f ca="1">IFERROR(__xludf.DUMMYFUNCTION("""COMPUTED_VALUE"""),1)</f>
        <v>1</v>
      </c>
      <c r="J818" s="5">
        <f ca="1">IFERROR(__xludf.DUMMYFUNCTION("""COMPUTED_VALUE"""),90000)</f>
        <v>90000</v>
      </c>
      <c r="K818" s="3"/>
      <c r="L818" s="3" t="str">
        <f ca="1">IFERROR(__xludf.DUMMYFUNCTION("""COMPUTED_VALUE"""),"Cost per instance")</f>
        <v>Cost per instance</v>
      </c>
      <c r="M818" s="3"/>
      <c r="N818" s="3"/>
      <c r="O818" s="3"/>
      <c r="P818" s="3"/>
      <c r="Q818" s="3"/>
      <c r="R818" s="3"/>
      <c r="S818" s="3" t="str">
        <f ca="1">IFERROR(__xludf.DUMMYFUNCTION("""COMPUTED_VALUE"""),"100")</f>
        <v>100</v>
      </c>
      <c r="T818" s="3"/>
      <c r="U818" s="3" t="str">
        <f ca="1">IFERROR(__xludf.DUMMYFUNCTION("""COMPUTED_VALUE"""),"pr článek")</f>
        <v>pr článek</v>
      </c>
      <c r="V818" s="3"/>
      <c r="W818" s="3"/>
      <c r="X818" s="3"/>
      <c r="Y818" s="3"/>
      <c r="Z818" s="3" t="str">
        <f ca="1">IFERROR(__xludf.DUMMYFUNCTION("""COMPUTED_VALUE"""),"podklady@cncenter.cz")</f>
        <v>podklady@cncenter.cz</v>
      </c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 t="str">
        <f ca="1">IFERROR(__xludf.DUMMYFUNCTION("""COMPUTED_VALUE"""),"cross-device")</f>
        <v>cross-device</v>
      </c>
      <c r="AO818" s="3"/>
      <c r="AP818" s="3"/>
      <c r="AQ818" s="3"/>
      <c r="AR818" s="3"/>
      <c r="AS818" s="3"/>
      <c r="AT818" s="3"/>
      <c r="AU818" s="3" t="str">
        <f ca="1">IFERROR(__xludf.DUMMYFUNCTION("""COMPUTED_VALUE"""),"Advertorial")</f>
        <v>Advertorial</v>
      </c>
    </row>
    <row r="819" spans="1:47" x14ac:dyDescent="0.3">
      <c r="A819" s="3">
        <f ca="1"/>
        <v>2346826</v>
      </c>
      <c r="B819" s="3" t="str">
        <f ca="1"/>
        <v>CZECH NEWS CENTER a. s.</v>
      </c>
      <c r="C819" s="3" t="str">
        <f ca="1">IFERROR(__xludf.DUMMYFUNCTION("""COMPUTED_VALUE"""),"Moje zdraví")</f>
        <v>Moje zdraví</v>
      </c>
      <c r="D819" s="4" t="str">
        <f ca="1">IFERROR(__xludf.DUMMYFUNCTION("""COMPUTED_VALUE"""),"https://mojezdravi.cz")</f>
        <v>https://mojezdravi.cz</v>
      </c>
      <c r="E819" s="3" t="str">
        <f ca="1">IFERROR(__xludf.DUMMYFUNCTION("""COMPUTED_VALUE"""),"celý web")</f>
        <v>celý web</v>
      </c>
      <c r="F819" s="4" t="str">
        <f ca="1">IFERROR(__xludf.DUMMYFUNCTION("""COMPUTED_VALUE"""),"https://mojezdravi.cz")</f>
        <v>https://mojezdravi.cz</v>
      </c>
      <c r="G819" s="3" t="str">
        <f ca="1">IFERROR(__xludf.DUMMYFUNCTION("""COMPUTED_VALUE"""),"billboard bottom mid season")</f>
        <v>billboard bottom mid season</v>
      </c>
      <c r="H819" s="3">
        <f ca="1">IFERROR(__xludf.DUMMYFUNCTION("""COMPUTED_VALUE"""),7)</f>
        <v>7</v>
      </c>
      <c r="I819" s="5">
        <f ca="1">IFERROR(__xludf.DUMMYFUNCTION("""COMPUTED_VALUE"""),1000)</f>
        <v>1000</v>
      </c>
      <c r="J819" s="5">
        <f ca="1">IFERROR(__xludf.DUMMYFUNCTION("""COMPUTED_VALUE"""),340)</f>
        <v>340</v>
      </c>
      <c r="K819" s="3"/>
      <c r="L819" s="3" t="str">
        <f ca="1">IFERROR(__xludf.DUMMYFUNCTION("""COMPUTED_VALUE"""),"Cost per period")</f>
        <v>Cost per period</v>
      </c>
      <c r="M819" s="3"/>
      <c r="N819" s="3"/>
      <c r="O819" s="3" t="str">
        <f ca="1">IFERROR(__xludf.DUMMYFUNCTION("""COMPUTED_VALUE"""),"970")</f>
        <v>970</v>
      </c>
      <c r="P819" s="3" t="str">
        <f ca="1">IFERROR(__xludf.DUMMYFUNCTION("""COMPUTED_VALUE"""),"250")</f>
        <v>250</v>
      </c>
      <c r="Q819" s="3" t="str">
        <f ca="1">IFERROR(__xludf.DUMMYFUNCTION("""COMPUTED_VALUE"""),"970x250")</f>
        <v>970x250</v>
      </c>
      <c r="R819" s="3"/>
      <c r="S819" s="3" t="str">
        <f ca="1">IFERROR(__xludf.DUMMYFUNCTION("""COMPUTED_VALUE"""),"100 (200 - HTML5)")</f>
        <v>100 (200 - HTML5)</v>
      </c>
      <c r="T819" s="3"/>
      <c r="U819" s="3" t="str">
        <f ca="1">IFERROR(__xludf.DUMMYFUNCTION("""COMPUTED_VALUE"""),"banner standard")</f>
        <v>banner standard</v>
      </c>
      <c r="V819" s="3"/>
      <c r="W819" s="4" t="str">
        <f ca="1">IFERROR(__xludf.DUMMYFUNCTION("""COMPUTED_VALUE"""),"https://reklama.cncenter.cz/Online/billboard-bottom")</f>
        <v>https://reklama.cncenter.cz/Online/billboard-bottom</v>
      </c>
      <c r="X819" s="3"/>
      <c r="Y819" s="3"/>
      <c r="Z819" s="3" t="str">
        <f ca="1">IFERROR(__xludf.DUMMYFUNCTION("""COMPUTED_VALUE"""),"podklady@cncenter.cz")</f>
        <v>podklady@cncenter.cz</v>
      </c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 t="str">
        <f ca="1">IFERROR(__xludf.DUMMYFUNCTION("""COMPUTED_VALUE"""),"desktop")</f>
        <v>desktop</v>
      </c>
      <c r="AO819" s="3"/>
      <c r="AP819" s="3"/>
      <c r="AQ819" s="3"/>
      <c r="AR819" s="3"/>
      <c r="AS819" s="3"/>
      <c r="AT819" s="3"/>
      <c r="AU819" s="3" t="str">
        <f ca="1">IFERROR(__xludf.DUMMYFUNCTION("""COMPUTED_VALUE"""),"billboard bottom")</f>
        <v>billboard bottom</v>
      </c>
    </row>
    <row r="820" spans="1:47" x14ac:dyDescent="0.3">
      <c r="A820" s="3">
        <f ca="1"/>
        <v>2346826</v>
      </c>
      <c r="B820" s="3" t="str">
        <f ca="1"/>
        <v>CZECH NEWS CENTER a. s.</v>
      </c>
      <c r="C820" s="3" t="str">
        <f ca="1">IFERROR(__xludf.DUMMYFUNCTION("""COMPUTED_VALUE"""),"Moje zdraví")</f>
        <v>Moje zdraví</v>
      </c>
      <c r="D820" s="4" t="str">
        <f ca="1">IFERROR(__xludf.DUMMYFUNCTION("""COMPUTED_VALUE"""),"https://mojezdravi.cz")</f>
        <v>https://mojezdravi.cz</v>
      </c>
      <c r="E820" s="3" t="str">
        <f ca="1">IFERROR(__xludf.DUMMYFUNCTION("""COMPUTED_VALUE"""),"celý web")</f>
        <v>celý web</v>
      </c>
      <c r="F820" s="4" t="str">
        <f ca="1">IFERROR(__xludf.DUMMYFUNCTION("""COMPUTED_VALUE"""),"https://mojezdravi.cz")</f>
        <v>https://mojezdravi.cz</v>
      </c>
      <c r="G820" s="3" t="str">
        <f ca="1">IFERROR(__xludf.DUMMYFUNCTION("""COMPUTED_VALUE"""),"branding cross-device mid season")</f>
        <v>branding cross-device mid season</v>
      </c>
      <c r="H820" s="3">
        <f ca="1">IFERROR(__xludf.DUMMYFUNCTION("""COMPUTED_VALUE"""),7)</f>
        <v>7</v>
      </c>
      <c r="I820" s="5">
        <f ca="1">IFERROR(__xludf.DUMMYFUNCTION("""COMPUTED_VALUE"""),1000)</f>
        <v>1000</v>
      </c>
      <c r="J820" s="5">
        <f ca="1">IFERROR(__xludf.DUMMYFUNCTION("""COMPUTED_VALUE"""),420)</f>
        <v>420</v>
      </c>
      <c r="K820" s="3"/>
      <c r="L820" s="3" t="str">
        <f ca="1">IFERROR(__xludf.DUMMYFUNCTION("""COMPUTED_VALUE"""),"Cost per period")</f>
        <v>Cost per period</v>
      </c>
      <c r="M820" s="3"/>
      <c r="N820" s="3"/>
      <c r="O820" s="3" t="str">
        <f ca="1">IFERROR(__xludf.DUMMYFUNCTION("""COMPUTED_VALUE"""),"2000")</f>
        <v>2000</v>
      </c>
      <c r="P820" s="3" t="str">
        <f ca="1">IFERROR(__xludf.DUMMYFUNCTION("""COMPUTED_VALUE"""),"1400")</f>
        <v>1400</v>
      </c>
      <c r="Q820" s="3" t="str">
        <f ca="1">IFERROR(__xludf.DUMMYFUNCTION("""COMPUTED_VALUE"""),"2000x1400 + 600x1080")</f>
        <v>2000x1400 + 600x1080</v>
      </c>
      <c r="R820" s="3"/>
      <c r="S820" s="3" t="str">
        <f ca="1">IFERROR(__xludf.DUMMYFUNCTION("""COMPUTED_VALUE"""),"500 (600 - HTLM5)")</f>
        <v>500 (600 - HTLM5)</v>
      </c>
      <c r="T820" s="3"/>
      <c r="U820" s="3" t="str">
        <f ca="1">IFERROR(__xludf.DUMMYFUNCTION("""COMPUTED_VALUE"""),"banner standard")</f>
        <v>banner standard</v>
      </c>
      <c r="V820" s="3"/>
      <c r="W820" s="4" t="str">
        <f ca="1">IFERROR(__xludf.DUMMYFUNCTION("""COMPUTED_VALUE"""),"https://reklama.cncenter.cz/Online/branding-cross-device")</f>
        <v>https://reklama.cncenter.cz/Online/branding-cross-device</v>
      </c>
      <c r="X820" s="3"/>
      <c r="Y820" s="3"/>
      <c r="Z820" s="3" t="str">
        <f ca="1">IFERROR(__xludf.DUMMYFUNCTION("""COMPUTED_VALUE"""),"podklady@cncenter.cz")</f>
        <v>podklady@cncenter.cz</v>
      </c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 t="str">
        <f ca="1">IFERROR(__xludf.DUMMYFUNCTION("""COMPUTED_VALUE"""),"cross-device")</f>
        <v>cross-device</v>
      </c>
      <c r="AO820" s="3"/>
      <c r="AP820" s="3"/>
      <c r="AQ820" s="3"/>
      <c r="AR820" s="3"/>
      <c r="AS820" s="3"/>
      <c r="AT820" s="3"/>
      <c r="AU820" s="3" t="str">
        <f ca="1">IFERROR(__xludf.DUMMYFUNCTION("""COMPUTED_VALUE"""),"branding cross-device")</f>
        <v>branding cross-device</v>
      </c>
    </row>
    <row r="821" spans="1:47" x14ac:dyDescent="0.3">
      <c r="A821" s="3">
        <f ca="1"/>
        <v>2346826</v>
      </c>
      <c r="B821" s="3" t="str">
        <f ca="1"/>
        <v>CZECH NEWS CENTER a. s.</v>
      </c>
      <c r="C821" s="3" t="str">
        <f ca="1">IFERROR(__xludf.DUMMYFUNCTION("""COMPUTED_VALUE"""),"Moje zdraví")</f>
        <v>Moje zdraví</v>
      </c>
      <c r="D821" s="4" t="str">
        <f ca="1">IFERROR(__xludf.DUMMYFUNCTION("""COMPUTED_VALUE"""),"https://mojezdravi.cz")</f>
        <v>https://mojezdravi.cz</v>
      </c>
      <c r="E821" s="3" t="str">
        <f ca="1">IFERROR(__xludf.DUMMYFUNCTION("""COMPUTED_VALUE"""),"celý web")</f>
        <v>celý web</v>
      </c>
      <c r="F821" s="4" t="str">
        <f ca="1">IFERROR(__xludf.DUMMYFUNCTION("""COMPUTED_VALUE"""),"https://mojezdravi.cz")</f>
        <v>https://mojezdravi.cz</v>
      </c>
      <c r="G821" s="3" t="str">
        <f ca="1">IFERROR(__xludf.DUMMYFUNCTION("""COMPUTED_VALUE"""),"branding mid season")</f>
        <v>branding mid season</v>
      </c>
      <c r="H821" s="3">
        <f ca="1">IFERROR(__xludf.DUMMYFUNCTION("""COMPUTED_VALUE"""),7)</f>
        <v>7</v>
      </c>
      <c r="I821" s="5">
        <f ca="1">IFERROR(__xludf.DUMMYFUNCTION("""COMPUTED_VALUE"""),1000)</f>
        <v>1000</v>
      </c>
      <c r="J821" s="5">
        <f ca="1">IFERROR(__xludf.DUMMYFUNCTION("""COMPUTED_VALUE"""),690)</f>
        <v>690</v>
      </c>
      <c r="K821" s="3"/>
      <c r="L821" s="3" t="str">
        <f ca="1">IFERROR(__xludf.DUMMYFUNCTION("""COMPUTED_VALUE"""),"Cost per period")</f>
        <v>Cost per period</v>
      </c>
      <c r="M821" s="3"/>
      <c r="N821" s="3"/>
      <c r="O821" s="3" t="str">
        <f ca="1">IFERROR(__xludf.DUMMYFUNCTION("""COMPUTED_VALUE"""),"2000")</f>
        <v>2000</v>
      </c>
      <c r="P821" s="3" t="str">
        <f ca="1">IFERROR(__xludf.DUMMYFUNCTION("""COMPUTED_VALUE"""),"1400")</f>
        <v>1400</v>
      </c>
      <c r="Q821" s="3" t="str">
        <f ca="1">IFERROR(__xludf.DUMMYFUNCTION("""COMPUTED_VALUE"""),"2000x1400")</f>
        <v>2000x1400</v>
      </c>
      <c r="R821" s="3"/>
      <c r="S821" s="3" t="str">
        <f ca="1">IFERROR(__xludf.DUMMYFUNCTION("""COMPUTED_VALUE"""),"500 + 200 (600+200 HTML5)")</f>
        <v>500 + 200 (600+200 HTML5)</v>
      </c>
      <c r="T821" s="3"/>
      <c r="U821" s="3" t="str">
        <f ca="1">IFERROR(__xludf.DUMMYFUNCTION("""COMPUTED_VALUE"""),"banner standard")</f>
        <v>banner standard</v>
      </c>
      <c r="V821" s="3"/>
      <c r="W821" s="4" t="str">
        <f ca="1">IFERROR(__xludf.DUMMYFUNCTION("""COMPUTED_VALUE"""),"https://reklama.cncenter.cz/Online/branding")</f>
        <v>https://reklama.cncenter.cz/Online/branding</v>
      </c>
      <c r="X821" s="3"/>
      <c r="Y821" s="3"/>
      <c r="Z821" s="3" t="str">
        <f ca="1">IFERROR(__xludf.DUMMYFUNCTION("""COMPUTED_VALUE"""),"podklady@cncenter.cz")</f>
        <v>podklady@cncenter.cz</v>
      </c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 t="str">
        <f ca="1">IFERROR(__xludf.DUMMYFUNCTION("""COMPUTED_VALUE"""),"desktop")</f>
        <v>desktop</v>
      </c>
      <c r="AO821" s="3"/>
      <c r="AP821" s="3"/>
      <c r="AQ821" s="3"/>
      <c r="AR821" s="3"/>
      <c r="AS821" s="3"/>
      <c r="AT821" s="3"/>
      <c r="AU821" s="3" t="str">
        <f ca="1">IFERROR(__xludf.DUMMYFUNCTION("""COMPUTED_VALUE"""),"branding")</f>
        <v>branding</v>
      </c>
    </row>
    <row r="822" spans="1:47" x14ac:dyDescent="0.3">
      <c r="A822" s="3">
        <f ca="1"/>
        <v>2346826</v>
      </c>
      <c r="B822" s="3" t="str">
        <f ca="1"/>
        <v>CZECH NEWS CENTER a. s.</v>
      </c>
      <c r="C822" s="3" t="str">
        <f ca="1">IFERROR(__xludf.DUMMYFUNCTION("""COMPUTED_VALUE"""),"Moje zdraví")</f>
        <v>Moje zdraví</v>
      </c>
      <c r="D822" s="4" t="str">
        <f ca="1">IFERROR(__xludf.DUMMYFUNCTION("""COMPUTED_VALUE"""),"https://mojezdravi.cz")</f>
        <v>https://mojezdravi.cz</v>
      </c>
      <c r="E822" s="3" t="str">
        <f ca="1">IFERROR(__xludf.DUMMYFUNCTION("""COMPUTED_VALUE"""),"celý web")</f>
        <v>celý web</v>
      </c>
      <c r="F822" s="4" t="str">
        <f ca="1">IFERROR(__xludf.DUMMYFUNCTION("""COMPUTED_VALUE"""),"https://mojezdravi.cz")</f>
        <v>https://mojezdravi.cz</v>
      </c>
      <c r="G822" s="3" t="str">
        <f ca="1">IFERROR(__xludf.DUMMYFUNCTION("""COMPUTED_VALUE"""),"cílený billboard bottom mid season")</f>
        <v>cílený billboard bottom mid season</v>
      </c>
      <c r="H822" s="3">
        <f ca="1">IFERROR(__xludf.DUMMYFUNCTION("""COMPUTED_VALUE"""),7)</f>
        <v>7</v>
      </c>
      <c r="I822" s="5">
        <f ca="1">IFERROR(__xludf.DUMMYFUNCTION("""COMPUTED_VALUE"""),1000)</f>
        <v>1000</v>
      </c>
      <c r="J822" s="5">
        <f ca="1">IFERROR(__xludf.DUMMYFUNCTION("""COMPUTED_VALUE"""),408)</f>
        <v>408</v>
      </c>
      <c r="K822" s="3"/>
      <c r="L822" s="3" t="str">
        <f ca="1">IFERROR(__xludf.DUMMYFUNCTION("""COMPUTED_VALUE"""),"Cost per period")</f>
        <v>Cost per period</v>
      </c>
      <c r="M822" s="3"/>
      <c r="N822" s="3"/>
      <c r="O822" s="3" t="str">
        <f ca="1">IFERROR(__xludf.DUMMYFUNCTION("""COMPUTED_VALUE"""),"970")</f>
        <v>970</v>
      </c>
      <c r="P822" s="3" t="str">
        <f ca="1">IFERROR(__xludf.DUMMYFUNCTION("""COMPUTED_VALUE"""),"250")</f>
        <v>250</v>
      </c>
      <c r="Q822" s="3" t="str">
        <f ca="1">IFERROR(__xludf.DUMMYFUNCTION("""COMPUTED_VALUE"""),"970x250")</f>
        <v>970x250</v>
      </c>
      <c r="R822" s="3"/>
      <c r="S822" s="3" t="str">
        <f ca="1">IFERROR(__xludf.DUMMYFUNCTION("""COMPUTED_VALUE"""),"100 (200 - HTML5)")</f>
        <v>100 (200 - HTML5)</v>
      </c>
      <c r="T822" s="3"/>
      <c r="U822" s="3" t="str">
        <f ca="1">IFERROR(__xludf.DUMMYFUNCTION("""COMPUTED_VALUE"""),"banner standard")</f>
        <v>banner standard</v>
      </c>
      <c r="V822" s="3"/>
      <c r="W822" s="4" t="str">
        <f ca="1">IFERROR(__xludf.DUMMYFUNCTION("""COMPUTED_VALUE"""),"https://reklama.cncenter.cz/Online/billboard-bottom")</f>
        <v>https://reklama.cncenter.cz/Online/billboard-bottom</v>
      </c>
      <c r="X822" s="3"/>
      <c r="Y822" s="3"/>
      <c r="Z822" s="3" t="str">
        <f ca="1">IFERROR(__xludf.DUMMYFUNCTION("""COMPUTED_VALUE"""),"podklady@cncenter.cz")</f>
        <v>podklady@cncenter.cz</v>
      </c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 t="str">
        <f ca="1">IFERROR(__xludf.DUMMYFUNCTION("""COMPUTED_VALUE"""),"desktop")</f>
        <v>desktop</v>
      </c>
      <c r="AO822" s="3"/>
      <c r="AP822" s="3"/>
      <c r="AQ822" s="3"/>
      <c r="AR822" s="3"/>
      <c r="AS822" s="3"/>
      <c r="AT822" s="3"/>
      <c r="AU822" s="3" t="str">
        <f ca="1">IFERROR(__xludf.DUMMYFUNCTION("""COMPUTED_VALUE"""),"cílený billboard bottom")</f>
        <v>cílený billboard bottom</v>
      </c>
    </row>
    <row r="823" spans="1:47" x14ac:dyDescent="0.3">
      <c r="A823" s="3">
        <f ca="1"/>
        <v>2346826</v>
      </c>
      <c r="B823" s="3" t="str">
        <f ca="1"/>
        <v>CZECH NEWS CENTER a. s.</v>
      </c>
      <c r="C823" s="3" t="str">
        <f ca="1">IFERROR(__xludf.DUMMYFUNCTION("""COMPUTED_VALUE"""),"Moje zdraví")</f>
        <v>Moje zdraví</v>
      </c>
      <c r="D823" s="4" t="str">
        <f ca="1">IFERROR(__xludf.DUMMYFUNCTION("""COMPUTED_VALUE"""),"https://mojezdravi.cz")</f>
        <v>https://mojezdravi.cz</v>
      </c>
      <c r="E823" s="3" t="str">
        <f ca="1">IFERROR(__xludf.DUMMYFUNCTION("""COMPUTED_VALUE"""),"celý web")</f>
        <v>celý web</v>
      </c>
      <c r="F823" s="4" t="str">
        <f ca="1">IFERROR(__xludf.DUMMYFUNCTION("""COMPUTED_VALUE"""),"https://mojezdravi.cz")</f>
        <v>https://mojezdravi.cz</v>
      </c>
      <c r="G823" s="3" t="str">
        <f ca="1">IFERROR(__xludf.DUMMYFUNCTION("""COMPUTED_VALUE"""),"cílený branding cross-device mid season")</f>
        <v>cílený branding cross-device mid season</v>
      </c>
      <c r="H823" s="3">
        <f ca="1">IFERROR(__xludf.DUMMYFUNCTION("""COMPUTED_VALUE"""),7)</f>
        <v>7</v>
      </c>
      <c r="I823" s="5">
        <f ca="1">IFERROR(__xludf.DUMMYFUNCTION("""COMPUTED_VALUE"""),1000)</f>
        <v>1000</v>
      </c>
      <c r="J823" s="5">
        <f ca="1">IFERROR(__xludf.DUMMYFUNCTION("""COMPUTED_VALUE"""),504)</f>
        <v>504</v>
      </c>
      <c r="K823" s="3"/>
      <c r="L823" s="3" t="str">
        <f ca="1">IFERROR(__xludf.DUMMYFUNCTION("""COMPUTED_VALUE"""),"Cost per period")</f>
        <v>Cost per period</v>
      </c>
      <c r="M823" s="3"/>
      <c r="N823" s="3"/>
      <c r="O823" s="3" t="str">
        <f ca="1">IFERROR(__xludf.DUMMYFUNCTION("""COMPUTED_VALUE"""),"2000")</f>
        <v>2000</v>
      </c>
      <c r="P823" s="3" t="str">
        <f ca="1">IFERROR(__xludf.DUMMYFUNCTION("""COMPUTED_VALUE"""),"1400")</f>
        <v>1400</v>
      </c>
      <c r="Q823" s="3" t="str">
        <f ca="1">IFERROR(__xludf.DUMMYFUNCTION("""COMPUTED_VALUE"""),"2000x1400 + 600x1080")</f>
        <v>2000x1400 + 600x1080</v>
      </c>
      <c r="R823" s="3"/>
      <c r="S823" s="3" t="str">
        <f ca="1">IFERROR(__xludf.DUMMYFUNCTION("""COMPUTED_VALUE"""),"500 (600 - HTLM5)")</f>
        <v>500 (600 - HTLM5)</v>
      </c>
      <c r="T823" s="3"/>
      <c r="U823" s="3" t="str">
        <f ca="1">IFERROR(__xludf.DUMMYFUNCTION("""COMPUTED_VALUE"""),"banner standard")</f>
        <v>banner standard</v>
      </c>
      <c r="V823" s="3"/>
      <c r="W823" s="4" t="str">
        <f ca="1">IFERROR(__xludf.DUMMYFUNCTION("""COMPUTED_VALUE"""),"https://reklama.cncenter.cz/Online/branding-cross-device")</f>
        <v>https://reklama.cncenter.cz/Online/branding-cross-device</v>
      </c>
      <c r="X823" s="3"/>
      <c r="Y823" s="3"/>
      <c r="Z823" s="3" t="str">
        <f ca="1">IFERROR(__xludf.DUMMYFUNCTION("""COMPUTED_VALUE"""),"podklady@cncenter.cz")</f>
        <v>podklady@cncenter.cz</v>
      </c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 t="str">
        <f ca="1">IFERROR(__xludf.DUMMYFUNCTION("""COMPUTED_VALUE"""),"cross-device")</f>
        <v>cross-device</v>
      </c>
      <c r="AO823" s="3"/>
      <c r="AP823" s="3"/>
      <c r="AQ823" s="3"/>
      <c r="AR823" s="3"/>
      <c r="AS823" s="3"/>
      <c r="AT823" s="3"/>
      <c r="AU823" s="3" t="str">
        <f ca="1">IFERROR(__xludf.DUMMYFUNCTION("""COMPUTED_VALUE"""),"cílený branding cross-device")</f>
        <v>cílený branding cross-device</v>
      </c>
    </row>
    <row r="824" spans="1:47" x14ac:dyDescent="0.3">
      <c r="A824" s="3">
        <f ca="1"/>
        <v>2346826</v>
      </c>
      <c r="B824" s="3" t="str">
        <f ca="1"/>
        <v>CZECH NEWS CENTER a. s.</v>
      </c>
      <c r="C824" s="3" t="str">
        <f ca="1">IFERROR(__xludf.DUMMYFUNCTION("""COMPUTED_VALUE"""),"Moje zdraví")</f>
        <v>Moje zdraví</v>
      </c>
      <c r="D824" s="4" t="str">
        <f ca="1">IFERROR(__xludf.DUMMYFUNCTION("""COMPUTED_VALUE"""),"https://mojezdravi.cz")</f>
        <v>https://mojezdravi.cz</v>
      </c>
      <c r="E824" s="3" t="str">
        <f ca="1">IFERROR(__xludf.DUMMYFUNCTION("""COMPUTED_VALUE"""),"celý web")</f>
        <v>celý web</v>
      </c>
      <c r="F824" s="4" t="str">
        <f ca="1">IFERROR(__xludf.DUMMYFUNCTION("""COMPUTED_VALUE"""),"https://mojezdravi.cz")</f>
        <v>https://mojezdravi.cz</v>
      </c>
      <c r="G824" s="3" t="str">
        <f ca="1">IFERROR(__xludf.DUMMYFUNCTION("""COMPUTED_VALUE"""),"cílený branding mid season")</f>
        <v>cílený branding mid season</v>
      </c>
      <c r="H824" s="3">
        <f ca="1">IFERROR(__xludf.DUMMYFUNCTION("""COMPUTED_VALUE"""),7)</f>
        <v>7</v>
      </c>
      <c r="I824" s="5">
        <f ca="1">IFERROR(__xludf.DUMMYFUNCTION("""COMPUTED_VALUE"""),1000)</f>
        <v>1000</v>
      </c>
      <c r="J824" s="5">
        <f ca="1">IFERROR(__xludf.DUMMYFUNCTION("""COMPUTED_VALUE"""),828)</f>
        <v>828</v>
      </c>
      <c r="K824" s="3"/>
      <c r="L824" s="3" t="str">
        <f ca="1">IFERROR(__xludf.DUMMYFUNCTION("""COMPUTED_VALUE"""),"Cost per period")</f>
        <v>Cost per period</v>
      </c>
      <c r="M824" s="3"/>
      <c r="N824" s="3"/>
      <c r="O824" s="3" t="str">
        <f ca="1">IFERROR(__xludf.DUMMYFUNCTION("""COMPUTED_VALUE"""),"2000")</f>
        <v>2000</v>
      </c>
      <c r="P824" s="3" t="str">
        <f ca="1">IFERROR(__xludf.DUMMYFUNCTION("""COMPUTED_VALUE"""),"1400")</f>
        <v>1400</v>
      </c>
      <c r="Q824" s="3" t="str">
        <f ca="1">IFERROR(__xludf.DUMMYFUNCTION("""COMPUTED_VALUE"""),"2000x1400")</f>
        <v>2000x1400</v>
      </c>
      <c r="R824" s="3"/>
      <c r="S824" s="3" t="str">
        <f ca="1">IFERROR(__xludf.DUMMYFUNCTION("""COMPUTED_VALUE"""),"500 + 200 (600+200 HTML5)")</f>
        <v>500 + 200 (600+200 HTML5)</v>
      </c>
      <c r="T824" s="3"/>
      <c r="U824" s="3" t="str">
        <f ca="1">IFERROR(__xludf.DUMMYFUNCTION("""COMPUTED_VALUE"""),"banner standard")</f>
        <v>banner standard</v>
      </c>
      <c r="V824" s="3"/>
      <c r="W824" s="4" t="str">
        <f ca="1">IFERROR(__xludf.DUMMYFUNCTION("""COMPUTED_VALUE"""),"https://reklama.cncenter.cz/Online/branding")</f>
        <v>https://reklama.cncenter.cz/Online/branding</v>
      </c>
      <c r="X824" s="3"/>
      <c r="Y824" s="3"/>
      <c r="Z824" s="3" t="str">
        <f ca="1">IFERROR(__xludf.DUMMYFUNCTION("""COMPUTED_VALUE"""),"podklady@cncenter.cz")</f>
        <v>podklady@cncenter.cz</v>
      </c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 t="str">
        <f ca="1">IFERROR(__xludf.DUMMYFUNCTION("""COMPUTED_VALUE"""),"desktop")</f>
        <v>desktop</v>
      </c>
      <c r="AO824" s="3"/>
      <c r="AP824" s="3"/>
      <c r="AQ824" s="3"/>
      <c r="AR824" s="3"/>
      <c r="AS824" s="3"/>
      <c r="AT824" s="3"/>
      <c r="AU824" s="3" t="str">
        <f ca="1">IFERROR(__xludf.DUMMYFUNCTION("""COMPUTED_VALUE"""),"cílený branding")</f>
        <v>cílený branding</v>
      </c>
    </row>
    <row r="825" spans="1:47" x14ac:dyDescent="0.3">
      <c r="A825" s="3">
        <f ca="1"/>
        <v>2346826</v>
      </c>
      <c r="B825" s="3" t="str">
        <f ca="1"/>
        <v>CZECH NEWS CENTER a. s.</v>
      </c>
      <c r="C825" s="3" t="str">
        <f ca="1">IFERROR(__xludf.DUMMYFUNCTION("""COMPUTED_VALUE"""),"Moje zdraví")</f>
        <v>Moje zdraví</v>
      </c>
      <c r="D825" s="4" t="str">
        <f ca="1">IFERROR(__xludf.DUMMYFUNCTION("""COMPUTED_VALUE"""),"https://mojezdravi.cz")</f>
        <v>https://mojezdravi.cz</v>
      </c>
      <c r="E825" s="3" t="str">
        <f ca="1">IFERROR(__xludf.DUMMYFUNCTION("""COMPUTED_VALUE"""),"celý web")</f>
        <v>celý web</v>
      </c>
      <c r="F825" s="4" t="str">
        <f ca="1">IFERROR(__xludf.DUMMYFUNCTION("""COMPUTED_VALUE"""),"https://mojezdravi.cz")</f>
        <v>https://mojezdravi.cz</v>
      </c>
      <c r="G825" s="3" t="str">
        <f ca="1">IFERROR(__xludf.DUMMYFUNCTION("""COMPUTED_VALUE"""),"cílený double skyscraper mid season")</f>
        <v>cílený double skyscraper mid season</v>
      </c>
      <c r="H825" s="3">
        <f ca="1">IFERROR(__xludf.DUMMYFUNCTION("""COMPUTED_VALUE"""),7)</f>
        <v>7</v>
      </c>
      <c r="I825" s="5">
        <f ca="1">IFERROR(__xludf.DUMMYFUNCTION("""COMPUTED_VALUE"""),1000)</f>
        <v>1000</v>
      </c>
      <c r="J825" s="5">
        <f ca="1">IFERROR(__xludf.DUMMYFUNCTION("""COMPUTED_VALUE"""),324)</f>
        <v>324</v>
      </c>
      <c r="K825" s="3"/>
      <c r="L825" s="3" t="str">
        <f ca="1">IFERROR(__xludf.DUMMYFUNCTION("""COMPUTED_VALUE"""),"Cost per period")</f>
        <v>Cost per period</v>
      </c>
      <c r="M825" s="3"/>
      <c r="N825" s="3"/>
      <c r="O825" s="3" t="str">
        <f ca="1">IFERROR(__xludf.DUMMYFUNCTION("""COMPUTED_VALUE"""),"300")</f>
        <v>300</v>
      </c>
      <c r="P825" s="3" t="str">
        <f ca="1">IFERROR(__xludf.DUMMYFUNCTION("""COMPUTED_VALUE"""),"600")</f>
        <v>600</v>
      </c>
      <c r="Q825" s="3" t="str">
        <f ca="1">IFERROR(__xludf.DUMMYFUNCTION("""COMPUTED_VALUE"""),"300x600")</f>
        <v>300x600</v>
      </c>
      <c r="R825" s="3"/>
      <c r="S825" s="3" t="str">
        <f ca="1">IFERROR(__xludf.DUMMYFUNCTION("""COMPUTED_VALUE"""),"100 (200 - HTML5)")</f>
        <v>100 (200 - HTML5)</v>
      </c>
      <c r="T825" s="3"/>
      <c r="U825" s="3" t="str">
        <f ca="1">IFERROR(__xludf.DUMMYFUNCTION("""COMPUTED_VALUE"""),"banner standard")</f>
        <v>banner standard</v>
      </c>
      <c r="V825" s="3"/>
      <c r="W825" s="4" t="str">
        <f ca="1">IFERROR(__xludf.DUMMYFUNCTION("""COMPUTED_VALUE"""),"https://reklama.cncenter.cz/Online/double-skyscraper")</f>
        <v>https://reklama.cncenter.cz/Online/double-skyscraper</v>
      </c>
      <c r="X825" s="3"/>
      <c r="Y825" s="3"/>
      <c r="Z825" s="3" t="str">
        <f ca="1">IFERROR(__xludf.DUMMYFUNCTION("""COMPUTED_VALUE"""),"podklady@cncenter.cz")</f>
        <v>podklady@cncenter.cz</v>
      </c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 t="str">
        <f ca="1">IFERROR(__xludf.DUMMYFUNCTION("""COMPUTED_VALUE"""),"desktop")</f>
        <v>desktop</v>
      </c>
      <c r="AO825" s="3"/>
      <c r="AP825" s="3"/>
      <c r="AQ825" s="3"/>
      <c r="AR825" s="3"/>
      <c r="AS825" s="3"/>
      <c r="AT825" s="3"/>
      <c r="AU825" s="3" t="str">
        <f ca="1">IFERROR(__xludf.DUMMYFUNCTION("""COMPUTED_VALUE"""),"cílený double skyscraper")</f>
        <v>cílený double skyscraper</v>
      </c>
    </row>
    <row r="826" spans="1:47" x14ac:dyDescent="0.3">
      <c r="A826" s="3">
        <f ca="1"/>
        <v>2346826</v>
      </c>
      <c r="B826" s="3" t="str">
        <f ca="1"/>
        <v>CZECH NEWS CENTER a. s.</v>
      </c>
      <c r="C826" s="3" t="str">
        <f ca="1">IFERROR(__xludf.DUMMYFUNCTION("""COMPUTED_VALUE"""),"Moje zdraví")</f>
        <v>Moje zdraví</v>
      </c>
      <c r="D826" s="4" t="str">
        <f ca="1">IFERROR(__xludf.DUMMYFUNCTION("""COMPUTED_VALUE"""),"https://mojezdravi.cz")</f>
        <v>https://mojezdravi.cz</v>
      </c>
      <c r="E826" s="3" t="str">
        <f ca="1">IFERROR(__xludf.DUMMYFUNCTION("""COMPUTED_VALUE"""),"celý web")</f>
        <v>celý web</v>
      </c>
      <c r="F826" s="4" t="str">
        <f ca="1">IFERROR(__xludf.DUMMYFUNCTION("""COMPUTED_VALUE"""),"https://mojezdravi.cz")</f>
        <v>https://mojezdravi.cz</v>
      </c>
      <c r="G826" s="3" t="str">
        <f ca="1">IFERROR(__xludf.DUMMYFUNCTION("""COMPUTED_VALUE"""),"cílený mini videospot - max. 30 sec. mid season")</f>
        <v>cílený mini videospot - max. 30 sec. mid season</v>
      </c>
      <c r="H826" s="3">
        <f ca="1">IFERROR(__xludf.DUMMYFUNCTION("""COMPUTED_VALUE"""),7)</f>
        <v>7</v>
      </c>
      <c r="I826" s="5">
        <f ca="1">IFERROR(__xludf.DUMMYFUNCTION("""COMPUTED_VALUE"""),1000)</f>
        <v>1000</v>
      </c>
      <c r="J826" s="5">
        <f ca="1">IFERROR(__xludf.DUMMYFUNCTION("""COMPUTED_VALUE"""),240)</f>
        <v>240</v>
      </c>
      <c r="K826" s="3"/>
      <c r="L826" s="3" t="str">
        <f ca="1">IFERROR(__xludf.DUMMYFUNCTION("""COMPUTED_VALUE"""),"Cost per period")</f>
        <v>Cost per period</v>
      </c>
      <c r="M826" s="3"/>
      <c r="N826" s="3"/>
      <c r="O826" s="3"/>
      <c r="P826" s="3"/>
      <c r="Q826" s="3" t="str">
        <f ca="1">IFERROR(__xludf.DUMMYFUNCTION("""COMPUTED_VALUE"""),"16:9 / umístění po domluvě dle možností")</f>
        <v>16:9 / umístění po domluvě dle možností</v>
      </c>
      <c r="R826" s="3" t="str">
        <f ca="1">IFERROR(__xludf.DUMMYFUNCTION("""COMPUTED_VALUE"""),"přeskočení po 7 sekundách")</f>
        <v>přeskočení po 7 sekundách</v>
      </c>
      <c r="S826" s="3" t="str">
        <f ca="1">IFERROR(__xludf.DUMMYFUNCTION("""COMPUTED_VALUE"""),"100")</f>
        <v>100</v>
      </c>
      <c r="T826" s="3"/>
      <c r="U826" s="3" t="str">
        <f ca="1">IFERROR(__xludf.DUMMYFUNCTION("""COMPUTED_VALUE"""),"videospot")</f>
        <v>videospot</v>
      </c>
      <c r="V826" s="3"/>
      <c r="W826" s="4" t="str">
        <f ca="1">IFERROR(__xludf.DUMMYFUNCTION("""COMPUTED_VALUE"""),"https://reklama.cncenter.cz/Online/Videospot")</f>
        <v>https://reklama.cncenter.cz/Online/Videospot</v>
      </c>
      <c r="X826" s="3"/>
      <c r="Y826" s="3"/>
      <c r="Z826" s="3" t="str">
        <f ca="1">IFERROR(__xludf.DUMMYFUNCTION("""COMPUTED_VALUE"""),"podklady@cncenter.cz")</f>
        <v>podklady@cncenter.cz</v>
      </c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 t="str">
        <f ca="1">IFERROR(__xludf.DUMMYFUNCTION("""COMPUTED_VALUE"""),"desktop")</f>
        <v>desktop</v>
      </c>
      <c r="AO826" s="3"/>
      <c r="AP826" s="3"/>
      <c r="AQ826" s="3"/>
      <c r="AR826" s="3"/>
      <c r="AS826" s="3"/>
      <c r="AT826" s="3"/>
      <c r="AU826" s="3" t="str">
        <f ca="1">IFERROR(__xludf.DUMMYFUNCTION("""COMPUTED_VALUE"""),"cílený mini videospot - max. 30 sec.")</f>
        <v>cílený mini videospot - max. 30 sec.</v>
      </c>
    </row>
    <row r="827" spans="1:47" x14ac:dyDescent="0.3">
      <c r="A827" s="3">
        <f ca="1"/>
        <v>2346826</v>
      </c>
      <c r="B827" s="3" t="str">
        <f ca="1"/>
        <v>CZECH NEWS CENTER a. s.</v>
      </c>
      <c r="C827" s="3" t="str">
        <f ca="1">IFERROR(__xludf.DUMMYFUNCTION("""COMPUTED_VALUE"""),"Moje zdraví")</f>
        <v>Moje zdraví</v>
      </c>
      <c r="D827" s="4" t="str">
        <f ca="1">IFERROR(__xludf.DUMMYFUNCTION("""COMPUTED_VALUE"""),"https://mojezdravi.cz")</f>
        <v>https://mojezdravi.cz</v>
      </c>
      <c r="E827" s="3" t="str">
        <f ca="1">IFERROR(__xludf.DUMMYFUNCTION("""COMPUTED_VALUE"""),"celý web")</f>
        <v>celý web</v>
      </c>
      <c r="F827" s="4" t="str">
        <f ca="1">IFERROR(__xludf.DUMMYFUNCTION("""COMPUTED_VALUE"""),"https://mojezdravi.cz")</f>
        <v>https://mojezdravi.cz</v>
      </c>
      <c r="G827" s="3" t="str">
        <f ca="1">IFERROR(__xludf.DUMMYFUNCTION("""COMPUTED_VALUE"""),"cílený mobilní interscroller mid season")</f>
        <v>cílený mobilní interscroller mid season</v>
      </c>
      <c r="H827" s="3">
        <f ca="1">IFERROR(__xludf.DUMMYFUNCTION("""COMPUTED_VALUE"""),7)</f>
        <v>7</v>
      </c>
      <c r="I827" s="5">
        <f ca="1">IFERROR(__xludf.DUMMYFUNCTION("""COMPUTED_VALUE"""),1000)</f>
        <v>1000</v>
      </c>
      <c r="J827" s="5">
        <f ca="1">IFERROR(__xludf.DUMMYFUNCTION("""COMPUTED_VALUE"""),420)</f>
        <v>420</v>
      </c>
      <c r="K827" s="3"/>
      <c r="L827" s="3" t="str">
        <f ca="1">IFERROR(__xludf.DUMMYFUNCTION("""COMPUTED_VALUE"""),"Cost per period")</f>
        <v>Cost per period</v>
      </c>
      <c r="M827" s="3"/>
      <c r="N827" s="3"/>
      <c r="O827" s="3" t="str">
        <f ca="1">IFERROR(__xludf.DUMMYFUNCTION("""COMPUTED_VALUE"""),"600")</f>
        <v>600</v>
      </c>
      <c r="P827" s="3" t="str">
        <f ca="1">IFERROR(__xludf.DUMMYFUNCTION("""COMPUTED_VALUE"""),"1080")</f>
        <v>1080</v>
      </c>
      <c r="Q827" s="3" t="str">
        <f ca="1">IFERROR(__xludf.DUMMYFUNCTION("""COMPUTED_VALUE"""),"600x1080")</f>
        <v>600x1080</v>
      </c>
      <c r="R827" s="3"/>
      <c r="S827" s="3" t="str">
        <f ca="1">IFERROR(__xludf.DUMMYFUNCTION("""COMPUTED_VALUE"""),"200")</f>
        <v>200</v>
      </c>
      <c r="T827" s="3"/>
      <c r="U827" s="3" t="str">
        <f ca="1">IFERROR(__xludf.DUMMYFUNCTION("""COMPUTED_VALUE"""),"banner standard")</f>
        <v>banner standard</v>
      </c>
      <c r="V827" s="3"/>
      <c r="W827" s="4" t="str">
        <f ca="1">IFERROR(__xludf.DUMMYFUNCTION("""COMPUTED_VALUE"""),"https://reklama.cncenter.cz/Online/mobilni-interscroller")</f>
        <v>https://reklama.cncenter.cz/Online/mobilni-interscroller</v>
      </c>
      <c r="X827" s="3"/>
      <c r="Y827" s="3"/>
      <c r="Z827" s="3" t="str">
        <f ca="1">IFERROR(__xludf.DUMMYFUNCTION("""COMPUTED_VALUE"""),"podklady@cncenter.cz")</f>
        <v>podklady@cncenter.cz</v>
      </c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 t="str">
        <f ca="1">IFERROR(__xludf.DUMMYFUNCTION("""COMPUTED_VALUE"""),"mobile")</f>
        <v>mobile</v>
      </c>
      <c r="AO827" s="3"/>
      <c r="AP827" s="3"/>
      <c r="AQ827" s="3"/>
      <c r="AR827" s="3"/>
      <c r="AS827" s="3"/>
      <c r="AT827" s="3"/>
      <c r="AU827" s="3" t="str">
        <f ca="1">IFERROR(__xludf.DUMMYFUNCTION("""COMPUTED_VALUE"""),"cílený mobilní interscroller")</f>
        <v>cílený mobilní interscroller</v>
      </c>
    </row>
    <row r="828" spans="1:47" x14ac:dyDescent="0.3">
      <c r="A828" s="3">
        <f ca="1"/>
        <v>2346826</v>
      </c>
      <c r="B828" s="3" t="str">
        <f ca="1"/>
        <v>CZECH NEWS CENTER a. s.</v>
      </c>
      <c r="C828" s="3" t="str">
        <f ca="1">IFERROR(__xludf.DUMMYFUNCTION("""COMPUTED_VALUE"""),"Moje zdraví")</f>
        <v>Moje zdraví</v>
      </c>
      <c r="D828" s="4" t="str">
        <f ca="1">IFERROR(__xludf.DUMMYFUNCTION("""COMPUTED_VALUE"""),"https://mojezdravi.cz")</f>
        <v>https://mojezdravi.cz</v>
      </c>
      <c r="E828" s="3" t="str">
        <f ca="1">IFERROR(__xludf.DUMMYFUNCTION("""COMPUTED_VALUE"""),"celý web")</f>
        <v>celý web</v>
      </c>
      <c r="F828" s="4" t="str">
        <f ca="1">IFERROR(__xludf.DUMMYFUNCTION("""COMPUTED_VALUE"""),"https://mojezdravi.cz")</f>
        <v>https://mojezdravi.cz</v>
      </c>
      <c r="G828" s="3" t="str">
        <f ca="1">IFERROR(__xludf.DUMMYFUNCTION("""COMPUTED_VALUE"""),"cílený mobilní slide-up mid season")</f>
        <v>cílený mobilní slide-up mid season</v>
      </c>
      <c r="H828" s="3">
        <f ca="1">IFERROR(__xludf.DUMMYFUNCTION("""COMPUTED_VALUE"""),7)</f>
        <v>7</v>
      </c>
      <c r="I828" s="5">
        <f ca="1">IFERROR(__xludf.DUMMYFUNCTION("""COMPUTED_VALUE"""),1000)</f>
        <v>1000</v>
      </c>
      <c r="J828" s="5">
        <f ca="1">IFERROR(__xludf.DUMMYFUNCTION("""COMPUTED_VALUE"""),864)</f>
        <v>864</v>
      </c>
      <c r="K828" s="3"/>
      <c r="L828" s="3" t="str">
        <f ca="1">IFERROR(__xludf.DUMMYFUNCTION("""COMPUTED_VALUE"""),"Cost per period")</f>
        <v>Cost per period</v>
      </c>
      <c r="M828" s="3"/>
      <c r="N828" s="3"/>
      <c r="O828" s="3" t="str">
        <f ca="1">IFERROR(__xludf.DUMMYFUNCTION("""COMPUTED_VALUE"""),"300")</f>
        <v>300</v>
      </c>
      <c r="P828" s="3" t="str">
        <f ca="1">IFERROR(__xludf.DUMMYFUNCTION("""COMPUTED_VALUE"""),"120")</f>
        <v>120</v>
      </c>
      <c r="Q828" s="3" t="str">
        <f ca="1">IFERROR(__xludf.DUMMYFUNCTION("""COMPUTED_VALUE"""),"300x120")</f>
        <v>300x120</v>
      </c>
      <c r="R828" s="3"/>
      <c r="S828" s="3" t="str">
        <f ca="1">IFERROR(__xludf.DUMMYFUNCTION("""COMPUTED_VALUE"""),"100")</f>
        <v>100</v>
      </c>
      <c r="T828" s="3"/>
      <c r="U828" s="3" t="str">
        <f ca="1">IFERROR(__xludf.DUMMYFUNCTION("""COMPUTED_VALUE"""),"banner standard")</f>
        <v>banner standard</v>
      </c>
      <c r="V828" s="3"/>
      <c r="W828" s="4" t="str">
        <f ca="1">IFERROR(__xludf.DUMMYFUNCTION("""COMPUTED_VALUE"""),"https://reklama.cncenter.cz/Online/mobilni-slide-up")</f>
        <v>https://reklama.cncenter.cz/Online/mobilni-slide-up</v>
      </c>
      <c r="X828" s="3"/>
      <c r="Y828" s="3"/>
      <c r="Z828" s="3" t="str">
        <f ca="1">IFERROR(__xludf.DUMMYFUNCTION("""COMPUTED_VALUE"""),"podklady@cncenter.cz")</f>
        <v>podklady@cncenter.cz</v>
      </c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 t="str">
        <f ca="1">IFERROR(__xludf.DUMMYFUNCTION("""COMPUTED_VALUE"""),"mobile")</f>
        <v>mobile</v>
      </c>
      <c r="AO828" s="3"/>
      <c r="AP828" s="3"/>
      <c r="AQ828" s="3"/>
      <c r="AR828" s="3"/>
      <c r="AS828" s="3"/>
      <c r="AT828" s="3"/>
      <c r="AU828" s="3" t="str">
        <f ca="1">IFERROR(__xludf.DUMMYFUNCTION("""COMPUTED_VALUE"""),"cílený mobilní slide-up")</f>
        <v>cílený mobilní slide-up</v>
      </c>
    </row>
    <row r="829" spans="1:47" x14ac:dyDescent="0.3">
      <c r="A829" s="3">
        <f ca="1"/>
        <v>2346826</v>
      </c>
      <c r="B829" s="3" t="str">
        <f ca="1"/>
        <v>CZECH NEWS CENTER a. s.</v>
      </c>
      <c r="C829" s="3" t="str">
        <f ca="1">IFERROR(__xludf.DUMMYFUNCTION("""COMPUTED_VALUE"""),"Moje zdraví")</f>
        <v>Moje zdraví</v>
      </c>
      <c r="D829" s="4" t="str">
        <f ca="1">IFERROR(__xludf.DUMMYFUNCTION("""COMPUTED_VALUE"""),"https://mojezdravi.cz")</f>
        <v>https://mojezdravi.cz</v>
      </c>
      <c r="E829" s="3" t="str">
        <f ca="1">IFERROR(__xludf.DUMMYFUNCTION("""COMPUTED_VALUE"""),"celý web")</f>
        <v>celý web</v>
      </c>
      <c r="F829" s="4" t="str">
        <f ca="1">IFERROR(__xludf.DUMMYFUNCTION("""COMPUTED_VALUE"""),"https://mojezdravi.cz")</f>
        <v>https://mojezdravi.cz</v>
      </c>
      <c r="G829" s="3" t="str">
        <f ca="1">IFERROR(__xludf.DUMMYFUNCTION("""COMPUTED_VALUE"""),"cílený mobilní viněta mid season")</f>
        <v>cílený mobilní viněta mid season</v>
      </c>
      <c r="H829" s="3">
        <f ca="1">IFERROR(__xludf.DUMMYFUNCTION("""COMPUTED_VALUE"""),7)</f>
        <v>7</v>
      </c>
      <c r="I829" s="5">
        <f ca="1">IFERROR(__xludf.DUMMYFUNCTION("""COMPUTED_VALUE"""),1000)</f>
        <v>1000</v>
      </c>
      <c r="J829" s="5">
        <f ca="1">IFERROR(__xludf.DUMMYFUNCTION("""COMPUTED_VALUE"""),1488)</f>
        <v>1488</v>
      </c>
      <c r="K829" s="3"/>
      <c r="L829" s="3" t="str">
        <f ca="1">IFERROR(__xludf.DUMMYFUNCTION("""COMPUTED_VALUE"""),"Cost per period")</f>
        <v>Cost per period</v>
      </c>
      <c r="M829" s="3"/>
      <c r="N829" s="3"/>
      <c r="O829" s="3" t="str">
        <f ca="1">IFERROR(__xludf.DUMMYFUNCTION("""COMPUTED_VALUE"""),"600")</f>
        <v>600</v>
      </c>
      <c r="P829" s="3" t="str">
        <f ca="1">IFERROR(__xludf.DUMMYFUNCTION("""COMPUTED_VALUE"""),"800")</f>
        <v>800</v>
      </c>
      <c r="Q829" s="3" t="str">
        <f ca="1">IFERROR(__xludf.DUMMYFUNCTION("""COMPUTED_VALUE"""),"300x250 nebo 600x800")</f>
        <v>300x250 nebo 600x800</v>
      </c>
      <c r="R829" s="3"/>
      <c r="S829" s="3" t="str">
        <f ca="1">IFERROR(__xludf.DUMMYFUNCTION("""COMPUTED_VALUE"""),"100")</f>
        <v>100</v>
      </c>
      <c r="T829" s="3"/>
      <c r="U829" s="3" t="str">
        <f ca="1">IFERROR(__xludf.DUMMYFUNCTION("""COMPUTED_VALUE"""),"banner standard")</f>
        <v>banner standard</v>
      </c>
      <c r="V829" s="3"/>
      <c r="W829" s="4" t="str">
        <f ca="1">IFERROR(__xludf.DUMMYFUNCTION("""COMPUTED_VALUE"""),"https://reklama.cncenter.cz/Online/mobilni-vineta")</f>
        <v>https://reklama.cncenter.cz/Online/mobilni-vineta</v>
      </c>
      <c r="X829" s="3"/>
      <c r="Y829" s="3"/>
      <c r="Z829" s="3" t="str">
        <f ca="1">IFERROR(__xludf.DUMMYFUNCTION("""COMPUTED_VALUE"""),"podklady@cncenter.cz")</f>
        <v>podklady@cncenter.cz</v>
      </c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 t="str">
        <f ca="1">IFERROR(__xludf.DUMMYFUNCTION("""COMPUTED_VALUE"""),"mobile")</f>
        <v>mobile</v>
      </c>
      <c r="AO829" s="3"/>
      <c r="AP829" s="3"/>
      <c r="AQ829" s="3"/>
      <c r="AR829" s="3"/>
      <c r="AS829" s="3"/>
      <c r="AT829" s="3"/>
      <c r="AU829" s="3" t="str">
        <f ca="1">IFERROR(__xludf.DUMMYFUNCTION("""COMPUTED_VALUE"""),"cílený mobilní viněta")</f>
        <v>cílený mobilní viněta</v>
      </c>
    </row>
    <row r="830" spans="1:47" x14ac:dyDescent="0.3">
      <c r="A830" s="3">
        <f ca="1"/>
        <v>2346826</v>
      </c>
      <c r="B830" s="3" t="str">
        <f ca="1"/>
        <v>CZECH NEWS CENTER a. s.</v>
      </c>
      <c r="C830" s="3" t="str">
        <f ca="1">IFERROR(__xludf.DUMMYFUNCTION("""COMPUTED_VALUE"""),"Moje zdraví")</f>
        <v>Moje zdraví</v>
      </c>
      <c r="D830" s="4" t="str">
        <f ca="1">IFERROR(__xludf.DUMMYFUNCTION("""COMPUTED_VALUE"""),"https://mojezdravi.cz")</f>
        <v>https://mojezdravi.cz</v>
      </c>
      <c r="E830" s="3" t="str">
        <f ca="1">IFERROR(__xludf.DUMMYFUNCTION("""COMPUTED_VALUE"""),"celý web")</f>
        <v>celý web</v>
      </c>
      <c r="F830" s="4" t="str">
        <f ca="1">IFERROR(__xludf.DUMMYFUNCTION("""COMPUTED_VALUE"""),"https://mojezdravi.cz")</f>
        <v>https://mojezdravi.cz</v>
      </c>
      <c r="G830" s="3" t="str">
        <f ca="1">IFERROR(__xludf.DUMMYFUNCTION("""COMPUTED_VALUE"""),"cílený nativní rectangle cross-device mid season")</f>
        <v>cílený nativní rectangle cross-device mid season</v>
      </c>
      <c r="H830" s="3">
        <f ca="1">IFERROR(__xludf.DUMMYFUNCTION("""COMPUTED_VALUE"""),7)</f>
        <v>7</v>
      </c>
      <c r="I830" s="5">
        <f ca="1">IFERROR(__xludf.DUMMYFUNCTION("""COMPUTED_VALUE"""),1000)</f>
        <v>1000</v>
      </c>
      <c r="J830" s="5">
        <f ca="1">IFERROR(__xludf.DUMMYFUNCTION("""COMPUTED_VALUE"""),336)</f>
        <v>336</v>
      </c>
      <c r="K830" s="3"/>
      <c r="L830" s="3" t="str">
        <f ca="1">IFERROR(__xludf.DUMMYFUNCTION("""COMPUTED_VALUE"""),"Cost per period")</f>
        <v>Cost per period</v>
      </c>
      <c r="M830" s="3"/>
      <c r="N830" s="3"/>
      <c r="O830" s="3" t="str">
        <f ca="1">IFERROR(__xludf.DUMMYFUNCTION("""COMPUTED_VALUE"""),"640")</f>
        <v>640</v>
      </c>
      <c r="P830" s="3" t="str">
        <f ca="1">IFERROR(__xludf.DUMMYFUNCTION("""COMPUTED_VALUE"""),"335, 640")</f>
        <v>335, 640</v>
      </c>
      <c r="Q830" s="3" t="str">
        <f ca="1">IFERROR(__xludf.DUMMYFUNCTION("""COMPUTED_VALUE"""),"640x640 a 640x335 + text + logo")</f>
        <v>640x640 a 640x335 + text + logo</v>
      </c>
      <c r="R830" s="3"/>
      <c r="S830" s="3" t="str">
        <f ca="1">IFERROR(__xludf.DUMMYFUNCTION("""COMPUTED_VALUE"""),"45")</f>
        <v>45</v>
      </c>
      <c r="T830" s="3"/>
      <c r="U830" s="3" t="str">
        <f ca="1">IFERROR(__xludf.DUMMYFUNCTION("""COMPUTED_VALUE"""),"nativní reklama")</f>
        <v>nativní reklama</v>
      </c>
      <c r="V830" s="3"/>
      <c r="W830" s="4" t="str">
        <f ca="1">IFERROR(__xludf.DUMMYFUNCTION("""COMPUTED_VALUE"""),"https://reklama.cncenter.cz/Online/nativni-rectangle-cross-device")</f>
        <v>https://reklama.cncenter.cz/Online/nativni-rectangle-cross-device</v>
      </c>
      <c r="X830" s="3"/>
      <c r="Y830" s="3"/>
      <c r="Z830" s="3" t="str">
        <f ca="1">IFERROR(__xludf.DUMMYFUNCTION("""COMPUTED_VALUE"""),"podklady@cncenter.cz")</f>
        <v>podklady@cncenter.cz</v>
      </c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 t="str">
        <f ca="1">IFERROR(__xludf.DUMMYFUNCTION("""COMPUTED_VALUE"""),"cross-device")</f>
        <v>cross-device</v>
      </c>
      <c r="AO830" s="3"/>
      <c r="AP830" s="3"/>
      <c r="AQ830" s="3"/>
      <c r="AR830" s="3"/>
      <c r="AS830" s="3"/>
      <c r="AT830" s="3"/>
      <c r="AU830" s="3" t="str">
        <f ca="1">IFERROR(__xludf.DUMMYFUNCTION("""COMPUTED_VALUE"""),"cílený nativní rectangle cross-device")</f>
        <v>cílený nativní rectangle cross-device</v>
      </c>
    </row>
    <row r="831" spans="1:47" x14ac:dyDescent="0.3">
      <c r="A831" s="3">
        <f ca="1"/>
        <v>2346826</v>
      </c>
      <c r="B831" s="3" t="str">
        <f ca="1"/>
        <v>CZECH NEWS CENTER a. s.</v>
      </c>
      <c r="C831" s="3" t="str">
        <f ca="1">IFERROR(__xludf.DUMMYFUNCTION("""COMPUTED_VALUE"""),"Moje zdraví")</f>
        <v>Moje zdraví</v>
      </c>
      <c r="D831" s="4" t="str">
        <f ca="1">IFERROR(__xludf.DUMMYFUNCTION("""COMPUTED_VALUE"""),"https://mojezdravi.cz")</f>
        <v>https://mojezdravi.cz</v>
      </c>
      <c r="E831" s="3" t="str">
        <f ca="1">IFERROR(__xludf.DUMMYFUNCTION("""COMPUTED_VALUE"""),"celý web")</f>
        <v>celý web</v>
      </c>
      <c r="F831" s="4" t="str">
        <f ca="1">IFERROR(__xludf.DUMMYFUNCTION("""COMPUTED_VALUE"""),"https://mojezdravi.cz")</f>
        <v>https://mojezdravi.cz</v>
      </c>
      <c r="G831" s="3" t="str">
        <f ca="1">IFERROR(__xludf.DUMMYFUNCTION("""COMPUTED_VALUE"""),"cílený outstream mid season")</f>
        <v>cílený outstream mid season</v>
      </c>
      <c r="H831" s="3">
        <f ca="1">IFERROR(__xludf.DUMMYFUNCTION("""COMPUTED_VALUE"""),7)</f>
        <v>7</v>
      </c>
      <c r="I831" s="5">
        <f ca="1">IFERROR(__xludf.DUMMYFUNCTION("""COMPUTED_VALUE"""),1000)</f>
        <v>1000</v>
      </c>
      <c r="J831" s="5">
        <f ca="1">IFERROR(__xludf.DUMMYFUNCTION("""COMPUTED_VALUE"""),420)</f>
        <v>420</v>
      </c>
      <c r="K831" s="3"/>
      <c r="L831" s="3" t="str">
        <f ca="1">IFERROR(__xludf.DUMMYFUNCTION("""COMPUTED_VALUE"""),"Cost per period")</f>
        <v>Cost per period</v>
      </c>
      <c r="M831" s="3"/>
      <c r="N831" s="3"/>
      <c r="O831" s="3" t="str">
        <f ca="1">IFERROR(__xludf.DUMMYFUNCTION("""COMPUTED_VALUE"""),"1280")</f>
        <v>1280</v>
      </c>
      <c r="P831" s="3" t="str">
        <f ca="1">IFERROR(__xludf.DUMMYFUNCTION("""COMPUTED_VALUE"""),"720")</f>
        <v>720</v>
      </c>
      <c r="Q831" s="3" t="str">
        <f ca="1">IFERROR(__xludf.DUMMYFUNCTION("""COMPUTED_VALUE"""),"16:9")</f>
        <v>16:9</v>
      </c>
      <c r="R831" s="3"/>
      <c r="S831" s="3" t="str">
        <f ca="1">IFERROR(__xludf.DUMMYFUNCTION("""COMPUTED_VALUE"""),"100")</f>
        <v>100</v>
      </c>
      <c r="T831" s="3"/>
      <c r="U831" s="3" t="str">
        <f ca="1">IFERROR(__xludf.DUMMYFUNCTION("""COMPUTED_VALUE"""),"videospot")</f>
        <v>videospot</v>
      </c>
      <c r="V831" s="3"/>
      <c r="W831" s="4" t="str">
        <f ca="1">IFERROR(__xludf.DUMMYFUNCTION("""COMPUTED_VALUE"""),"https://reklama.cncenter.cz/Online/Outstream")</f>
        <v>https://reklama.cncenter.cz/Online/Outstream</v>
      </c>
      <c r="X831" s="3"/>
      <c r="Y831" s="3"/>
      <c r="Z831" s="3" t="str">
        <f ca="1">IFERROR(__xludf.DUMMYFUNCTION("""COMPUTED_VALUE"""),"podklady@cncenter.cz")</f>
        <v>podklady@cncenter.cz</v>
      </c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 t="str">
        <f ca="1">IFERROR(__xludf.DUMMYFUNCTION("""COMPUTED_VALUE"""),"cross-device")</f>
        <v>cross-device</v>
      </c>
      <c r="AO831" s="3"/>
      <c r="AP831" s="3"/>
      <c r="AQ831" s="3"/>
      <c r="AR831" s="3"/>
      <c r="AS831" s="3"/>
      <c r="AT831" s="3"/>
      <c r="AU831" s="3" t="str">
        <f ca="1">IFERROR(__xludf.DUMMYFUNCTION("""COMPUTED_VALUE"""),"cílený outstream")</f>
        <v>cílený outstream</v>
      </c>
    </row>
    <row r="832" spans="1:47" x14ac:dyDescent="0.3">
      <c r="A832" s="3">
        <f ca="1"/>
        <v>2346826</v>
      </c>
      <c r="B832" s="3" t="str">
        <f ca="1"/>
        <v>CZECH NEWS CENTER a. s.</v>
      </c>
      <c r="C832" s="3" t="str">
        <f ca="1">IFERROR(__xludf.DUMMYFUNCTION("""COMPUTED_VALUE"""),"Moje zdraví")</f>
        <v>Moje zdraví</v>
      </c>
      <c r="D832" s="4" t="str">
        <f ca="1">IFERROR(__xludf.DUMMYFUNCTION("""COMPUTED_VALUE"""),"https://mojezdravi.cz")</f>
        <v>https://mojezdravi.cz</v>
      </c>
      <c r="E832" s="3" t="str">
        <f ca="1">IFERROR(__xludf.DUMMYFUNCTION("""COMPUTED_VALUE"""),"celý web")</f>
        <v>celý web</v>
      </c>
      <c r="F832" s="4" t="str">
        <f ca="1">IFERROR(__xludf.DUMMYFUNCTION("""COMPUTED_VALUE"""),"https://mojezdravi.cz")</f>
        <v>https://mojezdravi.cz</v>
      </c>
      <c r="G832" s="3" t="str">
        <f ca="1">IFERROR(__xludf.DUMMYFUNCTION("""COMPUTED_VALUE"""),"cílený videospot - max. 30 sec. / bumper mid season")</f>
        <v>cílený videospot - max. 30 sec. / bumper mid season</v>
      </c>
      <c r="H832" s="3">
        <f ca="1">IFERROR(__xludf.DUMMYFUNCTION("""COMPUTED_VALUE"""),7)</f>
        <v>7</v>
      </c>
      <c r="I832" s="5">
        <f ca="1">IFERROR(__xludf.DUMMYFUNCTION("""COMPUTED_VALUE"""),1000)</f>
        <v>1000</v>
      </c>
      <c r="J832" s="5">
        <f ca="1">IFERROR(__xludf.DUMMYFUNCTION("""COMPUTED_VALUE"""),1248)</f>
        <v>1248</v>
      </c>
      <c r="K832" s="3"/>
      <c r="L832" s="3" t="str">
        <f ca="1">IFERROR(__xludf.DUMMYFUNCTION("""COMPUTED_VALUE"""),"Cost per period")</f>
        <v>Cost per period</v>
      </c>
      <c r="M832" s="3"/>
      <c r="N832" s="3"/>
      <c r="O832" s="3" t="str">
        <f ca="1">IFERROR(__xludf.DUMMYFUNCTION("""COMPUTED_VALUE"""),"1280")</f>
        <v>1280</v>
      </c>
      <c r="P832" s="3" t="str">
        <f ca="1">IFERROR(__xludf.DUMMYFUNCTION("""COMPUTED_VALUE"""),"720")</f>
        <v>720</v>
      </c>
      <c r="Q832" s="3" t="str">
        <f ca="1">IFERROR(__xludf.DUMMYFUNCTION("""COMPUTED_VALUE"""),"16:9 / umístění po domluvě dle možností")</f>
        <v>16:9 / umístění po domluvě dle možností</v>
      </c>
      <c r="R832" s="3" t="str">
        <f ca="1">IFERROR(__xludf.DUMMYFUNCTION("""COMPUTED_VALUE"""),"přeskočení po 7 sekundách")</f>
        <v>přeskočení po 7 sekundách</v>
      </c>
      <c r="S832" s="3" t="str">
        <f ca="1">IFERROR(__xludf.DUMMYFUNCTION("""COMPUTED_VALUE"""),"100")</f>
        <v>100</v>
      </c>
      <c r="T832" s="3"/>
      <c r="U832" s="3" t="str">
        <f ca="1">IFERROR(__xludf.DUMMYFUNCTION("""COMPUTED_VALUE"""),"videospot")</f>
        <v>videospot</v>
      </c>
      <c r="V832" s="3"/>
      <c r="W832" s="4" t="str">
        <f ca="1">IFERROR(__xludf.DUMMYFUNCTION("""COMPUTED_VALUE"""),"https://reklama.cncenter.cz/Online/Bumper")</f>
        <v>https://reklama.cncenter.cz/Online/Bumper</v>
      </c>
      <c r="X832" s="3"/>
      <c r="Y832" s="3"/>
      <c r="Z832" s="3" t="str">
        <f ca="1">IFERROR(__xludf.DUMMYFUNCTION("""COMPUTED_VALUE"""),"podklady@cncenter.cz")</f>
        <v>podklady@cncenter.cz</v>
      </c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 t="str">
        <f ca="1">IFERROR(__xludf.DUMMYFUNCTION("""COMPUTED_VALUE"""),"cross-device")</f>
        <v>cross-device</v>
      </c>
      <c r="AO832" s="3"/>
      <c r="AP832" s="3"/>
      <c r="AQ832" s="3"/>
      <c r="AR832" s="3"/>
      <c r="AS832" s="3"/>
      <c r="AT832" s="3"/>
      <c r="AU832" s="3" t="str">
        <f ca="1">IFERROR(__xludf.DUMMYFUNCTION("""COMPUTED_VALUE"""),"cílený videospot - max. 30 sec. / bumper")</f>
        <v>cílený videospot - max. 30 sec. / bumper</v>
      </c>
    </row>
    <row r="833" spans="1:47" x14ac:dyDescent="0.3">
      <c r="A833" s="3">
        <f ca="1"/>
        <v>2346826</v>
      </c>
      <c r="B833" s="3" t="str">
        <f ca="1"/>
        <v>CZECH NEWS CENTER a. s.</v>
      </c>
      <c r="C833" s="3" t="str">
        <f ca="1">IFERROR(__xludf.DUMMYFUNCTION("""COMPUTED_VALUE"""),"Moje zdraví")</f>
        <v>Moje zdraví</v>
      </c>
      <c r="D833" s="4" t="str">
        <f ca="1">IFERROR(__xludf.DUMMYFUNCTION("""COMPUTED_VALUE"""),"https://mojezdravi.cz")</f>
        <v>https://mojezdravi.cz</v>
      </c>
      <c r="E833" s="3" t="str">
        <f ca="1">IFERROR(__xludf.DUMMYFUNCTION("""COMPUTED_VALUE"""),"celý web")</f>
        <v>celý web</v>
      </c>
      <c r="F833" s="4" t="str">
        <f ca="1">IFERROR(__xludf.DUMMYFUNCTION("""COMPUTED_VALUE"""),"https://mojezdravi.cz")</f>
        <v>https://mojezdravi.cz</v>
      </c>
      <c r="G833" s="3" t="str">
        <f ca="1">IFERROR(__xludf.DUMMYFUNCTION("""COMPUTED_VALUE"""),"dokoupení proma o 2 týdny - 10 000 PV *** mid season")</f>
        <v>dokoupení proma o 2 týdny - 10 000 PV *** mid season</v>
      </c>
      <c r="H833" s="3">
        <f ca="1">IFERROR(__xludf.DUMMYFUNCTION("""COMPUTED_VALUE"""),1)</f>
        <v>1</v>
      </c>
      <c r="I833" s="5">
        <f ca="1">IFERROR(__xludf.DUMMYFUNCTION("""COMPUTED_VALUE"""),1)</f>
        <v>1</v>
      </c>
      <c r="J833" s="5">
        <f ca="1">IFERROR(__xludf.DUMMYFUNCTION("""COMPUTED_VALUE"""),60000)</f>
        <v>60000</v>
      </c>
      <c r="K833" s="3"/>
      <c r="L833" s="3" t="str">
        <f ca="1">IFERROR(__xludf.DUMMYFUNCTION("""COMPUTED_VALUE"""),"Cost per instance")</f>
        <v>Cost per instance</v>
      </c>
      <c r="M833" s="3"/>
      <c r="N833" s="3"/>
      <c r="O833" s="3"/>
      <c r="P833" s="3"/>
      <c r="Q833" s="3"/>
      <c r="R833" s="3"/>
      <c r="S833" s="3" t="str">
        <f ca="1">IFERROR(__xludf.DUMMYFUNCTION("""COMPUTED_VALUE"""),"100")</f>
        <v>100</v>
      </c>
      <c r="T833" s="3"/>
      <c r="U833" s="3" t="str">
        <f ca="1">IFERROR(__xludf.DUMMYFUNCTION("""COMPUTED_VALUE"""),"microsite")</f>
        <v>microsite</v>
      </c>
      <c r="V833" s="3"/>
      <c r="W833" s="3"/>
      <c r="X833" s="3"/>
      <c r="Y833" s="3"/>
      <c r="Z833" s="3" t="str">
        <f ca="1">IFERROR(__xludf.DUMMYFUNCTION("""COMPUTED_VALUE"""),"podklady@cncenter.cz")</f>
        <v>podklady@cncenter.cz</v>
      </c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 t="str">
        <f ca="1">IFERROR(__xludf.DUMMYFUNCTION("""COMPUTED_VALUE"""),"cross-device")</f>
        <v>cross-device</v>
      </c>
      <c r="AO833" s="3"/>
      <c r="AP833" s="3"/>
      <c r="AQ833" s="3"/>
      <c r="AR833" s="3"/>
      <c r="AS833" s="3"/>
      <c r="AT833" s="3"/>
      <c r="AU833" s="3" t="str">
        <f ca="1">IFERROR(__xludf.DUMMYFUNCTION("""COMPUTED_VALUE"""),"dokoupení proma o 2 týdny - 10 000 PV ***")</f>
        <v>dokoupení proma o 2 týdny - 10 000 PV ***</v>
      </c>
    </row>
    <row r="834" spans="1:47" x14ac:dyDescent="0.3">
      <c r="A834" s="3">
        <f ca="1"/>
        <v>2346826</v>
      </c>
      <c r="B834" s="3" t="str">
        <f ca="1"/>
        <v>CZECH NEWS CENTER a. s.</v>
      </c>
      <c r="C834" s="3" t="str">
        <f ca="1">IFERROR(__xludf.DUMMYFUNCTION("""COMPUTED_VALUE"""),"Moje zdraví")</f>
        <v>Moje zdraví</v>
      </c>
      <c r="D834" s="4" t="str">
        <f ca="1">IFERROR(__xludf.DUMMYFUNCTION("""COMPUTED_VALUE"""),"https://mojezdravi.cz")</f>
        <v>https://mojezdravi.cz</v>
      </c>
      <c r="E834" s="3" t="str">
        <f ca="1">IFERROR(__xludf.DUMMYFUNCTION("""COMPUTED_VALUE"""),"celý web")</f>
        <v>celý web</v>
      </c>
      <c r="F834" s="4" t="str">
        <f ca="1">IFERROR(__xludf.DUMMYFUNCTION("""COMPUTED_VALUE"""),"https://mojezdravi.cz")</f>
        <v>https://mojezdravi.cz</v>
      </c>
      <c r="G834" s="3" t="str">
        <f ca="1">IFERROR(__xludf.DUMMYFUNCTION("""COMPUTED_VALUE"""),"double skyscraper mid season")</f>
        <v>double skyscraper mid season</v>
      </c>
      <c r="H834" s="3">
        <f ca="1">IFERROR(__xludf.DUMMYFUNCTION("""COMPUTED_VALUE"""),7)</f>
        <v>7</v>
      </c>
      <c r="I834" s="5">
        <f ca="1">IFERROR(__xludf.DUMMYFUNCTION("""COMPUTED_VALUE"""),1000)</f>
        <v>1000</v>
      </c>
      <c r="J834" s="5">
        <f ca="1">IFERROR(__xludf.DUMMYFUNCTION("""COMPUTED_VALUE"""),270)</f>
        <v>270</v>
      </c>
      <c r="K834" s="3"/>
      <c r="L834" s="3" t="str">
        <f ca="1">IFERROR(__xludf.DUMMYFUNCTION("""COMPUTED_VALUE"""),"Cost per period")</f>
        <v>Cost per period</v>
      </c>
      <c r="M834" s="3"/>
      <c r="N834" s="3"/>
      <c r="O834" s="3" t="str">
        <f ca="1">IFERROR(__xludf.DUMMYFUNCTION("""COMPUTED_VALUE"""),"300")</f>
        <v>300</v>
      </c>
      <c r="P834" s="3" t="str">
        <f ca="1">IFERROR(__xludf.DUMMYFUNCTION("""COMPUTED_VALUE"""),"600")</f>
        <v>600</v>
      </c>
      <c r="Q834" s="3" t="str">
        <f ca="1">IFERROR(__xludf.DUMMYFUNCTION("""COMPUTED_VALUE"""),"300x600")</f>
        <v>300x600</v>
      </c>
      <c r="R834" s="3"/>
      <c r="S834" s="3" t="str">
        <f ca="1">IFERROR(__xludf.DUMMYFUNCTION("""COMPUTED_VALUE"""),"100 (200 - HTML5)")</f>
        <v>100 (200 - HTML5)</v>
      </c>
      <c r="T834" s="3"/>
      <c r="U834" s="3" t="str">
        <f ca="1">IFERROR(__xludf.DUMMYFUNCTION("""COMPUTED_VALUE"""),"banner standard")</f>
        <v>banner standard</v>
      </c>
      <c r="V834" s="3"/>
      <c r="W834" s="4" t="str">
        <f ca="1">IFERROR(__xludf.DUMMYFUNCTION("""COMPUTED_VALUE"""),"https://reklama.cncenter.cz/Online/double-skyscraper")</f>
        <v>https://reklama.cncenter.cz/Online/double-skyscraper</v>
      </c>
      <c r="X834" s="3"/>
      <c r="Y834" s="3"/>
      <c r="Z834" s="3" t="str">
        <f ca="1">IFERROR(__xludf.DUMMYFUNCTION("""COMPUTED_VALUE"""),"podklady@cncenter.cz")</f>
        <v>podklady@cncenter.cz</v>
      </c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 t="str">
        <f ca="1">IFERROR(__xludf.DUMMYFUNCTION("""COMPUTED_VALUE"""),"desktop")</f>
        <v>desktop</v>
      </c>
      <c r="AO834" s="3"/>
      <c r="AP834" s="3"/>
      <c r="AQ834" s="3"/>
      <c r="AR834" s="3"/>
      <c r="AS834" s="3"/>
      <c r="AT834" s="3"/>
      <c r="AU834" s="3" t="str">
        <f ca="1">IFERROR(__xludf.DUMMYFUNCTION("""COMPUTED_VALUE"""),"double skyscraper")</f>
        <v>double skyscraper</v>
      </c>
    </row>
    <row r="835" spans="1:47" x14ac:dyDescent="0.3">
      <c r="A835" s="3">
        <f ca="1"/>
        <v>2346826</v>
      </c>
      <c r="B835" s="3" t="str">
        <f ca="1"/>
        <v>CZECH NEWS CENTER a. s.</v>
      </c>
      <c r="C835" s="3" t="str">
        <f ca="1">IFERROR(__xludf.DUMMYFUNCTION("""COMPUTED_VALUE"""),"Moje zdraví")</f>
        <v>Moje zdraví</v>
      </c>
      <c r="D835" s="4" t="str">
        <f ca="1">IFERROR(__xludf.DUMMYFUNCTION("""COMPUTED_VALUE"""),"https://mojezdravi.cz")</f>
        <v>https://mojezdravi.cz</v>
      </c>
      <c r="E835" s="3" t="str">
        <f ca="1">IFERROR(__xludf.DUMMYFUNCTION("""COMPUTED_VALUE"""),"celý web")</f>
        <v>celý web</v>
      </c>
      <c r="F835" s="4" t="str">
        <f ca="1">IFERROR(__xludf.DUMMYFUNCTION("""COMPUTED_VALUE"""),"https://mojezdravi.cz")</f>
        <v>https://mojezdravi.cz</v>
      </c>
      <c r="G835" s="3" t="str">
        <f ca="1">IFERROR(__xludf.DUMMYFUNCTION("""COMPUTED_VALUE"""),"mini videospot - max. 30 sec. mid season")</f>
        <v>mini videospot - max. 30 sec. mid season</v>
      </c>
      <c r="H835" s="3">
        <f ca="1">IFERROR(__xludf.DUMMYFUNCTION("""COMPUTED_VALUE"""),7)</f>
        <v>7</v>
      </c>
      <c r="I835" s="5">
        <f ca="1">IFERROR(__xludf.DUMMYFUNCTION("""COMPUTED_VALUE"""),1000)</f>
        <v>1000</v>
      </c>
      <c r="J835" s="5">
        <f ca="1">IFERROR(__xludf.DUMMYFUNCTION("""COMPUTED_VALUE"""),200)</f>
        <v>200</v>
      </c>
      <c r="K835" s="3"/>
      <c r="L835" s="3" t="str">
        <f ca="1">IFERROR(__xludf.DUMMYFUNCTION("""COMPUTED_VALUE"""),"Cost per period")</f>
        <v>Cost per period</v>
      </c>
      <c r="M835" s="3"/>
      <c r="N835" s="3"/>
      <c r="O835" s="3"/>
      <c r="P835" s="3"/>
      <c r="Q835" s="3" t="str">
        <f ca="1">IFERROR(__xludf.DUMMYFUNCTION("""COMPUTED_VALUE"""),"16:9 / umístění po domluvě dle možností")</f>
        <v>16:9 / umístění po domluvě dle možností</v>
      </c>
      <c r="R835" s="3" t="str">
        <f ca="1">IFERROR(__xludf.DUMMYFUNCTION("""COMPUTED_VALUE"""),"přeskočení po 7 sekundách")</f>
        <v>přeskočení po 7 sekundách</v>
      </c>
      <c r="S835" s="3" t="str">
        <f ca="1">IFERROR(__xludf.DUMMYFUNCTION("""COMPUTED_VALUE"""),"100")</f>
        <v>100</v>
      </c>
      <c r="T835" s="3"/>
      <c r="U835" s="3" t="str">
        <f ca="1">IFERROR(__xludf.DUMMYFUNCTION("""COMPUTED_VALUE"""),"videospot")</f>
        <v>videospot</v>
      </c>
      <c r="V835" s="3"/>
      <c r="W835" s="4" t="str">
        <f ca="1">IFERROR(__xludf.DUMMYFUNCTION("""COMPUTED_VALUE"""),"https://reklama.cncenter.cz/Online/Videospot")</f>
        <v>https://reklama.cncenter.cz/Online/Videospot</v>
      </c>
      <c r="X835" s="3"/>
      <c r="Y835" s="3"/>
      <c r="Z835" s="3" t="str">
        <f ca="1">IFERROR(__xludf.DUMMYFUNCTION("""COMPUTED_VALUE"""),"podklady@cncenter.cz")</f>
        <v>podklady@cncenter.cz</v>
      </c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 t="str">
        <f ca="1">IFERROR(__xludf.DUMMYFUNCTION("""COMPUTED_VALUE"""),"desktop")</f>
        <v>desktop</v>
      </c>
      <c r="AO835" s="3"/>
      <c r="AP835" s="3"/>
      <c r="AQ835" s="3"/>
      <c r="AR835" s="3"/>
      <c r="AS835" s="3"/>
      <c r="AT835" s="3"/>
      <c r="AU835" s="3" t="str">
        <f ca="1">IFERROR(__xludf.DUMMYFUNCTION("""COMPUTED_VALUE"""),"mini videospot - max. 30 sec.")</f>
        <v>mini videospot - max. 30 sec.</v>
      </c>
    </row>
    <row r="836" spans="1:47" x14ac:dyDescent="0.3">
      <c r="A836" s="3">
        <f ca="1"/>
        <v>2346826</v>
      </c>
      <c r="B836" s="3" t="str">
        <f ca="1"/>
        <v>CZECH NEWS CENTER a. s.</v>
      </c>
      <c r="C836" s="3" t="str">
        <f ca="1">IFERROR(__xludf.DUMMYFUNCTION("""COMPUTED_VALUE"""),"Moje zdraví")</f>
        <v>Moje zdraví</v>
      </c>
      <c r="D836" s="4" t="str">
        <f ca="1">IFERROR(__xludf.DUMMYFUNCTION("""COMPUTED_VALUE"""),"https://mojezdravi.cz")</f>
        <v>https://mojezdravi.cz</v>
      </c>
      <c r="E836" s="3" t="str">
        <f ca="1">IFERROR(__xludf.DUMMYFUNCTION("""COMPUTED_VALUE"""),"celý web")</f>
        <v>celý web</v>
      </c>
      <c r="F836" s="4" t="str">
        <f ca="1">IFERROR(__xludf.DUMMYFUNCTION("""COMPUTED_VALUE"""),"https://mojezdravi.cz")</f>
        <v>https://mojezdravi.cz</v>
      </c>
      <c r="G836" s="3" t="str">
        <f ca="1">IFERROR(__xludf.DUMMYFUNCTION("""COMPUTED_VALUE"""),"mobilní interscroller mid season")</f>
        <v>mobilní interscroller mid season</v>
      </c>
      <c r="H836" s="3">
        <f ca="1">IFERROR(__xludf.DUMMYFUNCTION("""COMPUTED_VALUE"""),7)</f>
        <v>7</v>
      </c>
      <c r="I836" s="5">
        <f ca="1">IFERROR(__xludf.DUMMYFUNCTION("""COMPUTED_VALUE"""),1000)</f>
        <v>1000</v>
      </c>
      <c r="J836" s="5">
        <f ca="1">IFERROR(__xludf.DUMMYFUNCTION("""COMPUTED_VALUE"""),350)</f>
        <v>350</v>
      </c>
      <c r="K836" s="3"/>
      <c r="L836" s="3" t="str">
        <f ca="1">IFERROR(__xludf.DUMMYFUNCTION("""COMPUTED_VALUE"""),"Cost per period")</f>
        <v>Cost per period</v>
      </c>
      <c r="M836" s="3"/>
      <c r="N836" s="3"/>
      <c r="O836" s="3" t="str">
        <f ca="1">IFERROR(__xludf.DUMMYFUNCTION("""COMPUTED_VALUE"""),"600")</f>
        <v>600</v>
      </c>
      <c r="P836" s="3" t="str">
        <f ca="1">IFERROR(__xludf.DUMMYFUNCTION("""COMPUTED_VALUE"""),"1080")</f>
        <v>1080</v>
      </c>
      <c r="Q836" s="3" t="str">
        <f ca="1">IFERROR(__xludf.DUMMYFUNCTION("""COMPUTED_VALUE"""),"600x1080")</f>
        <v>600x1080</v>
      </c>
      <c r="R836" s="3"/>
      <c r="S836" s="3" t="str">
        <f ca="1">IFERROR(__xludf.DUMMYFUNCTION("""COMPUTED_VALUE"""),"200")</f>
        <v>200</v>
      </c>
      <c r="T836" s="3"/>
      <c r="U836" s="3" t="str">
        <f ca="1">IFERROR(__xludf.DUMMYFUNCTION("""COMPUTED_VALUE"""),"banner standard")</f>
        <v>banner standard</v>
      </c>
      <c r="V836" s="3"/>
      <c r="W836" s="4" t="str">
        <f ca="1">IFERROR(__xludf.DUMMYFUNCTION("""COMPUTED_VALUE"""),"https://reklama.cncenter.cz/Online/mobilni-interscroller")</f>
        <v>https://reklama.cncenter.cz/Online/mobilni-interscroller</v>
      </c>
      <c r="X836" s="3"/>
      <c r="Y836" s="3"/>
      <c r="Z836" s="3" t="str">
        <f ca="1">IFERROR(__xludf.DUMMYFUNCTION("""COMPUTED_VALUE"""),"podklady@cncenter.cz")</f>
        <v>podklady@cncenter.cz</v>
      </c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 t="str">
        <f ca="1">IFERROR(__xludf.DUMMYFUNCTION("""COMPUTED_VALUE"""),"mobile")</f>
        <v>mobile</v>
      </c>
      <c r="AO836" s="3"/>
      <c r="AP836" s="3"/>
      <c r="AQ836" s="3"/>
      <c r="AR836" s="3"/>
      <c r="AS836" s="3"/>
      <c r="AT836" s="3"/>
      <c r="AU836" s="3" t="str">
        <f ca="1">IFERROR(__xludf.DUMMYFUNCTION("""COMPUTED_VALUE"""),"mobilní interscroller")</f>
        <v>mobilní interscroller</v>
      </c>
    </row>
    <row r="837" spans="1:47" x14ac:dyDescent="0.3">
      <c r="A837" s="3">
        <f ca="1"/>
        <v>2346826</v>
      </c>
      <c r="B837" s="3" t="str">
        <f ca="1"/>
        <v>CZECH NEWS CENTER a. s.</v>
      </c>
      <c r="C837" s="3" t="str">
        <f ca="1">IFERROR(__xludf.DUMMYFUNCTION("""COMPUTED_VALUE"""),"Moje zdraví")</f>
        <v>Moje zdraví</v>
      </c>
      <c r="D837" s="4" t="str">
        <f ca="1">IFERROR(__xludf.DUMMYFUNCTION("""COMPUTED_VALUE"""),"https://mojezdravi.cz")</f>
        <v>https://mojezdravi.cz</v>
      </c>
      <c r="E837" s="3" t="str">
        <f ca="1">IFERROR(__xludf.DUMMYFUNCTION("""COMPUTED_VALUE"""),"celý web")</f>
        <v>celý web</v>
      </c>
      <c r="F837" s="4" t="str">
        <f ca="1">IFERROR(__xludf.DUMMYFUNCTION("""COMPUTED_VALUE"""),"https://mojezdravi.cz")</f>
        <v>https://mojezdravi.cz</v>
      </c>
      <c r="G837" s="3" t="str">
        <f ca="1">IFERROR(__xludf.DUMMYFUNCTION("""COMPUTED_VALUE"""),"mobilní slide-up mid season")</f>
        <v>mobilní slide-up mid season</v>
      </c>
      <c r="H837" s="3">
        <f ca="1">IFERROR(__xludf.DUMMYFUNCTION("""COMPUTED_VALUE"""),7)</f>
        <v>7</v>
      </c>
      <c r="I837" s="5">
        <f ca="1">IFERROR(__xludf.DUMMYFUNCTION("""COMPUTED_VALUE"""),1000)</f>
        <v>1000</v>
      </c>
      <c r="J837" s="5">
        <f ca="1">IFERROR(__xludf.DUMMYFUNCTION("""COMPUTED_VALUE"""),720)</f>
        <v>720</v>
      </c>
      <c r="K837" s="3"/>
      <c r="L837" s="3" t="str">
        <f ca="1">IFERROR(__xludf.DUMMYFUNCTION("""COMPUTED_VALUE"""),"Cost per period")</f>
        <v>Cost per period</v>
      </c>
      <c r="M837" s="3"/>
      <c r="N837" s="3"/>
      <c r="O837" s="3" t="str">
        <f ca="1">IFERROR(__xludf.DUMMYFUNCTION("""COMPUTED_VALUE"""),"300")</f>
        <v>300</v>
      </c>
      <c r="P837" s="3" t="str">
        <f ca="1">IFERROR(__xludf.DUMMYFUNCTION("""COMPUTED_VALUE"""),"120")</f>
        <v>120</v>
      </c>
      <c r="Q837" s="3" t="str">
        <f ca="1">IFERROR(__xludf.DUMMYFUNCTION("""COMPUTED_VALUE"""),"300x120")</f>
        <v>300x120</v>
      </c>
      <c r="R837" s="3"/>
      <c r="S837" s="3" t="str">
        <f ca="1">IFERROR(__xludf.DUMMYFUNCTION("""COMPUTED_VALUE"""),"100")</f>
        <v>100</v>
      </c>
      <c r="T837" s="3"/>
      <c r="U837" s="3" t="str">
        <f ca="1">IFERROR(__xludf.DUMMYFUNCTION("""COMPUTED_VALUE"""),"banner standard")</f>
        <v>banner standard</v>
      </c>
      <c r="V837" s="3"/>
      <c r="W837" s="4" t="str">
        <f ca="1">IFERROR(__xludf.DUMMYFUNCTION("""COMPUTED_VALUE"""),"https://reklama.cncenter.cz/Online/mobilni-slide-up")</f>
        <v>https://reklama.cncenter.cz/Online/mobilni-slide-up</v>
      </c>
      <c r="X837" s="3"/>
      <c r="Y837" s="3"/>
      <c r="Z837" s="3" t="str">
        <f ca="1">IFERROR(__xludf.DUMMYFUNCTION("""COMPUTED_VALUE"""),"podklady@cncenter.cz")</f>
        <v>podklady@cncenter.cz</v>
      </c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 t="str">
        <f ca="1">IFERROR(__xludf.DUMMYFUNCTION("""COMPUTED_VALUE"""),"mobile")</f>
        <v>mobile</v>
      </c>
      <c r="AO837" s="3"/>
      <c r="AP837" s="3"/>
      <c r="AQ837" s="3"/>
      <c r="AR837" s="3"/>
      <c r="AS837" s="3"/>
      <c r="AT837" s="3"/>
      <c r="AU837" s="3" t="str">
        <f ca="1">IFERROR(__xludf.DUMMYFUNCTION("""COMPUTED_VALUE"""),"mobilní slide-up")</f>
        <v>mobilní slide-up</v>
      </c>
    </row>
    <row r="838" spans="1:47" x14ac:dyDescent="0.3">
      <c r="A838" s="3">
        <f ca="1"/>
        <v>2346826</v>
      </c>
      <c r="B838" s="3" t="str">
        <f ca="1"/>
        <v>CZECH NEWS CENTER a. s.</v>
      </c>
      <c r="C838" s="3" t="str">
        <f ca="1">IFERROR(__xludf.DUMMYFUNCTION("""COMPUTED_VALUE"""),"Moje zdraví")</f>
        <v>Moje zdraví</v>
      </c>
      <c r="D838" s="4" t="str">
        <f ca="1">IFERROR(__xludf.DUMMYFUNCTION("""COMPUTED_VALUE"""),"https://mojezdravi.cz")</f>
        <v>https://mojezdravi.cz</v>
      </c>
      <c r="E838" s="3" t="str">
        <f ca="1">IFERROR(__xludf.DUMMYFUNCTION("""COMPUTED_VALUE"""),"celý web")</f>
        <v>celý web</v>
      </c>
      <c r="F838" s="4" t="str">
        <f ca="1">IFERROR(__xludf.DUMMYFUNCTION("""COMPUTED_VALUE"""),"https://mojezdravi.cz")</f>
        <v>https://mojezdravi.cz</v>
      </c>
      <c r="G838" s="3" t="str">
        <f ca="1">IFERROR(__xludf.DUMMYFUNCTION("""COMPUTED_VALUE"""),"mobilní viněta mid season")</f>
        <v>mobilní viněta mid season</v>
      </c>
      <c r="H838" s="3">
        <f ca="1">IFERROR(__xludf.DUMMYFUNCTION("""COMPUTED_VALUE"""),7)</f>
        <v>7</v>
      </c>
      <c r="I838" s="5">
        <f ca="1">IFERROR(__xludf.DUMMYFUNCTION("""COMPUTED_VALUE"""),1000)</f>
        <v>1000</v>
      </c>
      <c r="J838" s="5">
        <f ca="1">IFERROR(__xludf.DUMMYFUNCTION("""COMPUTED_VALUE"""),1240)</f>
        <v>1240</v>
      </c>
      <c r="K838" s="3"/>
      <c r="L838" s="3" t="str">
        <f ca="1">IFERROR(__xludf.DUMMYFUNCTION("""COMPUTED_VALUE"""),"Cost per period")</f>
        <v>Cost per period</v>
      </c>
      <c r="M838" s="3"/>
      <c r="N838" s="3"/>
      <c r="O838" s="3" t="str">
        <f ca="1">IFERROR(__xludf.DUMMYFUNCTION("""COMPUTED_VALUE"""),"600")</f>
        <v>600</v>
      </c>
      <c r="P838" s="3" t="str">
        <f ca="1">IFERROR(__xludf.DUMMYFUNCTION("""COMPUTED_VALUE"""),"800")</f>
        <v>800</v>
      </c>
      <c r="Q838" s="3" t="str">
        <f ca="1">IFERROR(__xludf.DUMMYFUNCTION("""COMPUTED_VALUE"""),"300x250 nebo 600x800")</f>
        <v>300x250 nebo 600x800</v>
      </c>
      <c r="R838" s="3"/>
      <c r="S838" s="3" t="str">
        <f ca="1">IFERROR(__xludf.DUMMYFUNCTION("""COMPUTED_VALUE"""),"100")</f>
        <v>100</v>
      </c>
      <c r="T838" s="3"/>
      <c r="U838" s="3" t="str">
        <f ca="1">IFERROR(__xludf.DUMMYFUNCTION("""COMPUTED_VALUE"""),"banner standard")</f>
        <v>banner standard</v>
      </c>
      <c r="V838" s="3"/>
      <c r="W838" s="4" t="str">
        <f ca="1">IFERROR(__xludf.DUMMYFUNCTION("""COMPUTED_VALUE"""),"https://reklama.cncenter.cz/Online/mobilni-vineta")</f>
        <v>https://reklama.cncenter.cz/Online/mobilni-vineta</v>
      </c>
      <c r="X838" s="3"/>
      <c r="Y838" s="3"/>
      <c r="Z838" s="3" t="str">
        <f ca="1">IFERROR(__xludf.DUMMYFUNCTION("""COMPUTED_VALUE"""),"podklady@cncenter.cz")</f>
        <v>podklady@cncenter.cz</v>
      </c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 t="str">
        <f ca="1">IFERROR(__xludf.DUMMYFUNCTION("""COMPUTED_VALUE"""),"mobile")</f>
        <v>mobile</v>
      </c>
      <c r="AO838" s="3"/>
      <c r="AP838" s="3"/>
      <c r="AQ838" s="3"/>
      <c r="AR838" s="3"/>
      <c r="AS838" s="3"/>
      <c r="AT838" s="3"/>
      <c r="AU838" s="3" t="str">
        <f ca="1">IFERROR(__xludf.DUMMYFUNCTION("""COMPUTED_VALUE"""),"mobilní viněta")</f>
        <v>mobilní viněta</v>
      </c>
    </row>
    <row r="839" spans="1:47" x14ac:dyDescent="0.3">
      <c r="A839" s="3">
        <f ca="1"/>
        <v>2346826</v>
      </c>
      <c r="B839" s="3" t="str">
        <f ca="1"/>
        <v>CZECH NEWS CENTER a. s.</v>
      </c>
      <c r="C839" s="3" t="str">
        <f ca="1">IFERROR(__xludf.DUMMYFUNCTION("""COMPUTED_VALUE"""),"Moje zdraví")</f>
        <v>Moje zdraví</v>
      </c>
      <c r="D839" s="4" t="str">
        <f ca="1">IFERROR(__xludf.DUMMYFUNCTION("""COMPUTED_VALUE"""),"https://mojezdravi.cz")</f>
        <v>https://mojezdravi.cz</v>
      </c>
      <c r="E839" s="3" t="str">
        <f ca="1">IFERROR(__xludf.DUMMYFUNCTION("""COMPUTED_VALUE"""),"celý web")</f>
        <v>celý web</v>
      </c>
      <c r="F839" s="4" t="str">
        <f ca="1">IFERROR(__xludf.DUMMYFUNCTION("""COMPUTED_VALUE"""),"https://mojezdravi.cz")</f>
        <v>https://mojezdravi.cz</v>
      </c>
      <c r="G839" s="3" t="str">
        <f ca="1">IFERROR(__xludf.DUMMYFUNCTION("""COMPUTED_VALUE"""),"Native Standard mid season")</f>
        <v>Native Standard mid season</v>
      </c>
      <c r="H839" s="3">
        <f ca="1">IFERROR(__xludf.DUMMYFUNCTION("""COMPUTED_VALUE"""),1)</f>
        <v>1</v>
      </c>
      <c r="I839" s="5">
        <f ca="1">IFERROR(__xludf.DUMMYFUNCTION("""COMPUTED_VALUE"""),1)</f>
        <v>1</v>
      </c>
      <c r="J839" s="5">
        <f ca="1">IFERROR(__xludf.DUMMYFUNCTION("""COMPUTED_VALUE"""),330000)</f>
        <v>330000</v>
      </c>
      <c r="K839" s="3"/>
      <c r="L839" s="3" t="str">
        <f ca="1">IFERROR(__xludf.DUMMYFUNCTION("""COMPUTED_VALUE"""),"Cost per instance")</f>
        <v>Cost per instance</v>
      </c>
      <c r="M839" s="3"/>
      <c r="N839" s="3"/>
      <c r="O839" s="3"/>
      <c r="P839" s="3"/>
      <c r="Q839" s="3"/>
      <c r="R839" s="3"/>
      <c r="S839" s="3" t="str">
        <f ca="1">IFERROR(__xludf.DUMMYFUNCTION("""COMPUTED_VALUE"""),"100")</f>
        <v>100</v>
      </c>
      <c r="T839" s="3"/>
      <c r="U839" s="3" t="str">
        <f ca="1">IFERROR(__xludf.DUMMYFUNCTION("""COMPUTED_VALUE"""),"microsite")</f>
        <v>microsite</v>
      </c>
      <c r="V839" s="3"/>
      <c r="W839" s="3"/>
      <c r="X839" s="3"/>
      <c r="Y839" s="3"/>
      <c r="Z839" s="3" t="str">
        <f ca="1">IFERROR(__xludf.DUMMYFUNCTION("""COMPUTED_VALUE"""),"podklady@cncenter.cz")</f>
        <v>podklady@cncenter.cz</v>
      </c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 t="str">
        <f ca="1">IFERROR(__xludf.DUMMYFUNCTION("""COMPUTED_VALUE"""),"cross-device")</f>
        <v>cross-device</v>
      </c>
      <c r="AO839" s="3"/>
      <c r="AP839" s="3"/>
      <c r="AQ839" s="3"/>
      <c r="AR839" s="3"/>
      <c r="AS839" s="3"/>
      <c r="AT839" s="3"/>
      <c r="AU839" s="3" t="str">
        <f ca="1">IFERROR(__xludf.DUMMYFUNCTION("""COMPUTED_VALUE"""),"Native Standard")</f>
        <v>Native Standard</v>
      </c>
    </row>
    <row r="840" spans="1:47" x14ac:dyDescent="0.3">
      <c r="A840" s="3">
        <f ca="1"/>
        <v>2346826</v>
      </c>
      <c r="B840" s="3" t="str">
        <f ca="1"/>
        <v>CZECH NEWS CENTER a. s.</v>
      </c>
      <c r="C840" s="3" t="str">
        <f ca="1">IFERROR(__xludf.DUMMYFUNCTION("""COMPUTED_VALUE"""),"Moje zdraví")</f>
        <v>Moje zdraví</v>
      </c>
      <c r="D840" s="4" t="str">
        <f ca="1">IFERROR(__xludf.DUMMYFUNCTION("""COMPUTED_VALUE"""),"https://mojezdravi.cz")</f>
        <v>https://mojezdravi.cz</v>
      </c>
      <c r="E840" s="3" t="str">
        <f ca="1">IFERROR(__xludf.DUMMYFUNCTION("""COMPUTED_VALUE"""),"celý web")</f>
        <v>celý web</v>
      </c>
      <c r="F840" s="4" t="str">
        <f ca="1">IFERROR(__xludf.DUMMYFUNCTION("""COMPUTED_VALUE"""),"https://mojezdravi.cz")</f>
        <v>https://mojezdravi.cz</v>
      </c>
      <c r="G840" s="3" t="str">
        <f ca="1">IFERROR(__xludf.DUMMYFUNCTION("""COMPUTED_VALUE"""),"nativní rectangle cross-device mid season")</f>
        <v>nativní rectangle cross-device mid season</v>
      </c>
      <c r="H840" s="3">
        <f ca="1">IFERROR(__xludf.DUMMYFUNCTION("""COMPUTED_VALUE"""),7)</f>
        <v>7</v>
      </c>
      <c r="I840" s="5">
        <f ca="1">IFERROR(__xludf.DUMMYFUNCTION("""COMPUTED_VALUE"""),1000)</f>
        <v>1000</v>
      </c>
      <c r="J840" s="5">
        <f ca="1">IFERROR(__xludf.DUMMYFUNCTION("""COMPUTED_VALUE"""),280)</f>
        <v>280</v>
      </c>
      <c r="K840" s="3"/>
      <c r="L840" s="3" t="str">
        <f ca="1">IFERROR(__xludf.DUMMYFUNCTION("""COMPUTED_VALUE"""),"Cost per period")</f>
        <v>Cost per period</v>
      </c>
      <c r="M840" s="3"/>
      <c r="N840" s="3"/>
      <c r="O840" s="3" t="str">
        <f ca="1">IFERROR(__xludf.DUMMYFUNCTION("""COMPUTED_VALUE"""),"640")</f>
        <v>640</v>
      </c>
      <c r="P840" s="3" t="str">
        <f ca="1">IFERROR(__xludf.DUMMYFUNCTION("""COMPUTED_VALUE"""),"335, 640")</f>
        <v>335, 640</v>
      </c>
      <c r="Q840" s="3" t="str">
        <f ca="1">IFERROR(__xludf.DUMMYFUNCTION("""COMPUTED_VALUE"""),"640x640 a 640x335 + text + logo")</f>
        <v>640x640 a 640x335 + text + logo</v>
      </c>
      <c r="R840" s="3"/>
      <c r="S840" s="3" t="str">
        <f ca="1">IFERROR(__xludf.DUMMYFUNCTION("""COMPUTED_VALUE"""),"45")</f>
        <v>45</v>
      </c>
      <c r="T840" s="3"/>
      <c r="U840" s="3" t="str">
        <f ca="1">IFERROR(__xludf.DUMMYFUNCTION("""COMPUTED_VALUE"""),"nativní reklama")</f>
        <v>nativní reklama</v>
      </c>
      <c r="V840" s="3"/>
      <c r="W840" s="4" t="str">
        <f ca="1">IFERROR(__xludf.DUMMYFUNCTION("""COMPUTED_VALUE"""),"https://reklama.cncenter.cz/Online/nativni-rectangle-cross-device")</f>
        <v>https://reklama.cncenter.cz/Online/nativni-rectangle-cross-device</v>
      </c>
      <c r="X840" s="3"/>
      <c r="Y840" s="3"/>
      <c r="Z840" s="3" t="str">
        <f ca="1">IFERROR(__xludf.DUMMYFUNCTION("""COMPUTED_VALUE"""),"podklady@cncenter.cz")</f>
        <v>podklady@cncenter.cz</v>
      </c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 t="str">
        <f ca="1">IFERROR(__xludf.DUMMYFUNCTION("""COMPUTED_VALUE"""),"cross-device")</f>
        <v>cross-device</v>
      </c>
      <c r="AO840" s="3"/>
      <c r="AP840" s="3"/>
      <c r="AQ840" s="3"/>
      <c r="AR840" s="3"/>
      <c r="AS840" s="3"/>
      <c r="AT840" s="3"/>
      <c r="AU840" s="3" t="str">
        <f ca="1">IFERROR(__xludf.DUMMYFUNCTION("""COMPUTED_VALUE"""),"nativní rectangle cross-device")</f>
        <v>nativní rectangle cross-device</v>
      </c>
    </row>
    <row r="841" spans="1:47" x14ac:dyDescent="0.3">
      <c r="A841" s="3">
        <f ca="1"/>
        <v>2346826</v>
      </c>
      <c r="B841" s="3" t="str">
        <f ca="1"/>
        <v>CZECH NEWS CENTER a. s.</v>
      </c>
      <c r="C841" s="3" t="str">
        <f ca="1">IFERROR(__xludf.DUMMYFUNCTION("""COMPUTED_VALUE"""),"Moje zdraví")</f>
        <v>Moje zdraví</v>
      </c>
      <c r="D841" s="4" t="str">
        <f ca="1">IFERROR(__xludf.DUMMYFUNCTION("""COMPUTED_VALUE"""),"https://mojezdravi.cz")</f>
        <v>https://mojezdravi.cz</v>
      </c>
      <c r="E841" s="3" t="str">
        <f ca="1">IFERROR(__xludf.DUMMYFUNCTION("""COMPUTED_VALUE"""),"celý web")</f>
        <v>celý web</v>
      </c>
      <c r="F841" s="4" t="str">
        <f ca="1">IFERROR(__xludf.DUMMYFUNCTION("""COMPUTED_VALUE"""),"https://mojezdravi.cz")</f>
        <v>https://mojezdravi.cz</v>
      </c>
      <c r="G841" s="3" t="str">
        <f ca="1">IFERROR(__xludf.DUMMYFUNCTION("""COMPUTED_VALUE"""),"outstream mid season")</f>
        <v>outstream mid season</v>
      </c>
      <c r="H841" s="3">
        <f ca="1">IFERROR(__xludf.DUMMYFUNCTION("""COMPUTED_VALUE"""),7)</f>
        <v>7</v>
      </c>
      <c r="I841" s="5">
        <f ca="1">IFERROR(__xludf.DUMMYFUNCTION("""COMPUTED_VALUE"""),1000)</f>
        <v>1000</v>
      </c>
      <c r="J841" s="5">
        <f ca="1">IFERROR(__xludf.DUMMYFUNCTION("""COMPUTED_VALUE"""),350)</f>
        <v>350</v>
      </c>
      <c r="K841" s="3"/>
      <c r="L841" s="3" t="str">
        <f ca="1">IFERROR(__xludf.DUMMYFUNCTION("""COMPUTED_VALUE"""),"Cost per period")</f>
        <v>Cost per period</v>
      </c>
      <c r="M841" s="3"/>
      <c r="N841" s="3"/>
      <c r="O841" s="3" t="str">
        <f ca="1">IFERROR(__xludf.DUMMYFUNCTION("""COMPUTED_VALUE"""),"1280")</f>
        <v>1280</v>
      </c>
      <c r="P841" s="3" t="str">
        <f ca="1">IFERROR(__xludf.DUMMYFUNCTION("""COMPUTED_VALUE"""),"720")</f>
        <v>720</v>
      </c>
      <c r="Q841" s="3" t="str">
        <f ca="1">IFERROR(__xludf.DUMMYFUNCTION("""COMPUTED_VALUE"""),"16:9")</f>
        <v>16:9</v>
      </c>
      <c r="R841" s="3"/>
      <c r="S841" s="3" t="str">
        <f ca="1">IFERROR(__xludf.DUMMYFUNCTION("""COMPUTED_VALUE"""),"100")</f>
        <v>100</v>
      </c>
      <c r="T841" s="3"/>
      <c r="U841" s="3" t="str">
        <f ca="1">IFERROR(__xludf.DUMMYFUNCTION("""COMPUTED_VALUE"""),"videospot")</f>
        <v>videospot</v>
      </c>
      <c r="V841" s="3"/>
      <c r="W841" s="4" t="str">
        <f ca="1">IFERROR(__xludf.DUMMYFUNCTION("""COMPUTED_VALUE"""),"https://reklama.cncenter.cz/Online/Outstream")</f>
        <v>https://reklama.cncenter.cz/Online/Outstream</v>
      </c>
      <c r="X841" s="3"/>
      <c r="Y841" s="3"/>
      <c r="Z841" s="3" t="str">
        <f ca="1">IFERROR(__xludf.DUMMYFUNCTION("""COMPUTED_VALUE"""),"podklady@cncenter.cz")</f>
        <v>podklady@cncenter.cz</v>
      </c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 t="str">
        <f ca="1">IFERROR(__xludf.DUMMYFUNCTION("""COMPUTED_VALUE"""),"cross-device")</f>
        <v>cross-device</v>
      </c>
      <c r="AO841" s="3"/>
      <c r="AP841" s="3"/>
      <c r="AQ841" s="3"/>
      <c r="AR841" s="3"/>
      <c r="AS841" s="3"/>
      <c r="AT841" s="3"/>
      <c r="AU841" s="3" t="str">
        <f ca="1">IFERROR(__xludf.DUMMYFUNCTION("""COMPUTED_VALUE"""),"outstream")</f>
        <v>outstream</v>
      </c>
    </row>
    <row r="842" spans="1:47" x14ac:dyDescent="0.3">
      <c r="A842" s="3">
        <f ca="1"/>
        <v>2346826</v>
      </c>
      <c r="B842" s="3" t="str">
        <f ca="1"/>
        <v>CZECH NEWS CENTER a. s.</v>
      </c>
      <c r="C842" s="3" t="str">
        <f ca="1">IFERROR(__xludf.DUMMYFUNCTION("""COMPUTED_VALUE"""),"Moje zdraví")</f>
        <v>Moje zdraví</v>
      </c>
      <c r="D842" s="4" t="str">
        <f ca="1">IFERROR(__xludf.DUMMYFUNCTION("""COMPUTED_VALUE"""),"https://mojezdravi.cz")</f>
        <v>https://mojezdravi.cz</v>
      </c>
      <c r="E842" s="3" t="str">
        <f ca="1">IFERROR(__xludf.DUMMYFUNCTION("""COMPUTED_VALUE"""),"celý web")</f>
        <v>celý web</v>
      </c>
      <c r="F842" s="4" t="str">
        <f ca="1">IFERROR(__xludf.DUMMYFUNCTION("""COMPUTED_VALUE"""),"https://mojezdravi.cz")</f>
        <v>https://mojezdravi.cz</v>
      </c>
      <c r="G842" s="3" t="str">
        <f ca="1">IFERROR(__xludf.DUMMYFUNCTION("""COMPUTED_VALUE"""),"PR článek mid season")</f>
        <v>PR článek mid season</v>
      </c>
      <c r="H842" s="3">
        <f ca="1">IFERROR(__xludf.DUMMYFUNCTION("""COMPUTED_VALUE"""),1)</f>
        <v>1</v>
      </c>
      <c r="I842" s="5">
        <f ca="1">IFERROR(__xludf.DUMMYFUNCTION("""COMPUTED_VALUE"""),1)</f>
        <v>1</v>
      </c>
      <c r="J842" s="5">
        <f ca="1">IFERROR(__xludf.DUMMYFUNCTION("""COMPUTED_VALUE"""),25000)</f>
        <v>25000</v>
      </c>
      <c r="K842" s="3"/>
      <c r="L842" s="3" t="str">
        <f ca="1">IFERROR(__xludf.DUMMYFUNCTION("""COMPUTED_VALUE"""),"Cost per instance")</f>
        <v>Cost per instance</v>
      </c>
      <c r="M842" s="3"/>
      <c r="N842" s="3"/>
      <c r="O842" s="3"/>
      <c r="P842" s="3"/>
      <c r="Q842" s="3"/>
      <c r="R842" s="3"/>
      <c r="S842" s="3" t="str">
        <f ca="1">IFERROR(__xludf.DUMMYFUNCTION("""COMPUTED_VALUE"""),"100")</f>
        <v>100</v>
      </c>
      <c r="T842" s="3"/>
      <c r="U842" s="3" t="str">
        <f ca="1">IFERROR(__xludf.DUMMYFUNCTION("""COMPUTED_VALUE"""),"pr článek")</f>
        <v>pr článek</v>
      </c>
      <c r="V842" s="3"/>
      <c r="W842" s="4" t="str">
        <f ca="1">IFERROR(__xludf.DUMMYFUNCTION("""COMPUTED_VALUE"""),"https://reklama.cncenter.cz/?ads=PR%2520%25C4%258Dl%25C3%25A1nky")</f>
        <v>https://reklama.cncenter.cz/?ads=PR%2520%25C4%258Dl%25C3%25A1nky</v>
      </c>
      <c r="X842" s="3"/>
      <c r="Y842" s="3"/>
      <c r="Z842" s="3" t="str">
        <f ca="1">IFERROR(__xludf.DUMMYFUNCTION("""COMPUTED_VALUE"""),"podklady@cncenter.cz")</f>
        <v>podklady@cncenter.cz</v>
      </c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 t="str">
        <f ca="1">IFERROR(__xludf.DUMMYFUNCTION("""COMPUTED_VALUE"""),"cross-device")</f>
        <v>cross-device</v>
      </c>
      <c r="AO842" s="3"/>
      <c r="AP842" s="3"/>
      <c r="AQ842" s="3"/>
      <c r="AR842" s="3"/>
      <c r="AS842" s="3"/>
      <c r="AT842" s="3"/>
      <c r="AU842" s="3" t="str">
        <f ca="1">IFERROR(__xludf.DUMMYFUNCTION("""COMPUTED_VALUE"""),"PR článek")</f>
        <v>PR článek</v>
      </c>
    </row>
    <row r="843" spans="1:47" x14ac:dyDescent="0.3">
      <c r="A843" s="3">
        <f ca="1"/>
        <v>2346826</v>
      </c>
      <c r="B843" s="3" t="str">
        <f ca="1"/>
        <v>CZECH NEWS CENTER a. s.</v>
      </c>
      <c r="C843" s="3" t="str">
        <f ca="1">IFERROR(__xludf.DUMMYFUNCTION("""COMPUTED_VALUE"""),"Moje zdraví")</f>
        <v>Moje zdraví</v>
      </c>
      <c r="D843" s="4" t="str">
        <f ca="1">IFERROR(__xludf.DUMMYFUNCTION("""COMPUTED_VALUE"""),"https://mojezdravi.cz")</f>
        <v>https://mojezdravi.cz</v>
      </c>
      <c r="E843" s="3" t="str">
        <f ca="1">IFERROR(__xludf.DUMMYFUNCTION("""COMPUTED_VALUE"""),"celý web")</f>
        <v>celý web</v>
      </c>
      <c r="F843" s="4" t="str">
        <f ca="1">IFERROR(__xludf.DUMMYFUNCTION("""COMPUTED_VALUE"""),"https://mojezdravi.cz")</f>
        <v>https://mojezdravi.cz</v>
      </c>
      <c r="G843" s="3" t="str">
        <f ca="1">IFERROR(__xludf.DUMMYFUNCTION("""COMPUTED_VALUE"""),"Prodloužení existující microsite, bez úprav mid season")</f>
        <v>Prodloužení existující microsite, bez úprav mid season</v>
      </c>
      <c r="H843" s="3">
        <f ca="1">IFERROR(__xludf.DUMMYFUNCTION("""COMPUTED_VALUE"""),1)</f>
        <v>1</v>
      </c>
      <c r="I843" s="5">
        <f ca="1">IFERROR(__xludf.DUMMYFUNCTION("""COMPUTED_VALUE"""),1)</f>
        <v>1</v>
      </c>
      <c r="J843" s="5">
        <f ca="1">IFERROR(__xludf.DUMMYFUNCTION("""COMPUTED_VALUE"""),15000)</f>
        <v>15000</v>
      </c>
      <c r="K843" s="3"/>
      <c r="L843" s="3" t="str">
        <f ca="1">IFERROR(__xludf.DUMMYFUNCTION("""COMPUTED_VALUE"""),"Cost per instance")</f>
        <v>Cost per instance</v>
      </c>
      <c r="M843" s="3"/>
      <c r="N843" s="3"/>
      <c r="O843" s="3"/>
      <c r="P843" s="3"/>
      <c r="Q843" s="3"/>
      <c r="R843" s="3"/>
      <c r="S843" s="3" t="str">
        <f ca="1">IFERROR(__xludf.DUMMYFUNCTION("""COMPUTED_VALUE"""),"100")</f>
        <v>100</v>
      </c>
      <c r="T843" s="3"/>
      <c r="U843" s="3" t="str">
        <f ca="1">IFERROR(__xludf.DUMMYFUNCTION("""COMPUTED_VALUE"""),"microsite")</f>
        <v>microsite</v>
      </c>
      <c r="V843" s="3"/>
      <c r="W843" s="3"/>
      <c r="X843" s="3"/>
      <c r="Y843" s="3"/>
      <c r="Z843" s="3" t="str">
        <f ca="1">IFERROR(__xludf.DUMMYFUNCTION("""COMPUTED_VALUE"""),"podklady@cncenter.cz")</f>
        <v>podklady@cncenter.cz</v>
      </c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 t="str">
        <f ca="1">IFERROR(__xludf.DUMMYFUNCTION("""COMPUTED_VALUE"""),"cross-device")</f>
        <v>cross-device</v>
      </c>
      <c r="AO843" s="3"/>
      <c r="AP843" s="3"/>
      <c r="AQ843" s="3"/>
      <c r="AR843" s="3"/>
      <c r="AS843" s="3"/>
      <c r="AT843" s="3"/>
      <c r="AU843" s="3" t="str">
        <f ca="1">IFERROR(__xludf.DUMMYFUNCTION("""COMPUTED_VALUE"""),"Prodloužení existující microsite, bez úprav")</f>
        <v>Prodloužení existující microsite, bez úprav</v>
      </c>
    </row>
    <row r="844" spans="1:47" x14ac:dyDescent="0.3">
      <c r="A844" s="3">
        <f ca="1"/>
        <v>2346826</v>
      </c>
      <c r="B844" s="3" t="str">
        <f ca="1"/>
        <v>CZECH NEWS CENTER a. s.</v>
      </c>
      <c r="C844" s="3" t="str">
        <f ca="1">IFERROR(__xludf.DUMMYFUNCTION("""COMPUTED_VALUE"""),"Moje zdraví")</f>
        <v>Moje zdraví</v>
      </c>
      <c r="D844" s="4" t="str">
        <f ca="1">IFERROR(__xludf.DUMMYFUNCTION("""COMPUTED_VALUE"""),"https://mojezdravi.cz")</f>
        <v>https://mojezdravi.cz</v>
      </c>
      <c r="E844" s="3" t="str">
        <f ca="1">IFERROR(__xludf.DUMMYFUNCTION("""COMPUTED_VALUE"""),"celý web")</f>
        <v>celý web</v>
      </c>
      <c r="F844" s="4" t="str">
        <f ca="1">IFERROR(__xludf.DUMMYFUNCTION("""COMPUTED_VALUE"""),"https://mojezdravi.cz")</f>
        <v>https://mojezdravi.cz</v>
      </c>
      <c r="G844" s="3" t="str">
        <f ca="1">IFERROR(__xludf.DUMMYFUNCTION("""COMPUTED_VALUE"""),"Prodloužení existující microsite, bez úprav mid season")</f>
        <v>Prodloužení existující microsite, bez úprav mid season</v>
      </c>
      <c r="H844" s="3">
        <f ca="1">IFERROR(__xludf.DUMMYFUNCTION("""COMPUTED_VALUE"""),1)</f>
        <v>1</v>
      </c>
      <c r="I844" s="5">
        <f ca="1">IFERROR(__xludf.DUMMYFUNCTION("""COMPUTED_VALUE"""),1)</f>
        <v>1</v>
      </c>
      <c r="J844" s="5">
        <f ca="1">IFERROR(__xludf.DUMMYFUNCTION("""COMPUTED_VALUE"""),15000)</f>
        <v>15000</v>
      </c>
      <c r="K844" s="3"/>
      <c r="L844" s="3" t="str">
        <f ca="1">IFERROR(__xludf.DUMMYFUNCTION("""COMPUTED_VALUE"""),"Cost per instance")</f>
        <v>Cost per instance</v>
      </c>
      <c r="M844" s="3"/>
      <c r="N844" s="3"/>
      <c r="O844" s="3"/>
      <c r="P844" s="3"/>
      <c r="Q844" s="3"/>
      <c r="R844" s="3"/>
      <c r="S844" s="3" t="str">
        <f ca="1">IFERROR(__xludf.DUMMYFUNCTION("""COMPUTED_VALUE"""),"100")</f>
        <v>100</v>
      </c>
      <c r="T844" s="3"/>
      <c r="U844" s="3" t="str">
        <f ca="1">IFERROR(__xludf.DUMMYFUNCTION("""COMPUTED_VALUE"""),"microsite")</f>
        <v>microsite</v>
      </c>
      <c r="V844" s="3"/>
      <c r="W844" s="3"/>
      <c r="X844" s="3"/>
      <c r="Y844" s="3"/>
      <c r="Z844" s="3" t="str">
        <f ca="1">IFERROR(__xludf.DUMMYFUNCTION("""COMPUTED_VALUE"""),"podklady@cncenter.cz")</f>
        <v>podklady@cncenter.cz</v>
      </c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 t="str">
        <f ca="1">IFERROR(__xludf.DUMMYFUNCTION("""COMPUTED_VALUE"""),"cross-device")</f>
        <v>cross-device</v>
      </c>
      <c r="AO844" s="3"/>
      <c r="AP844" s="3"/>
      <c r="AQ844" s="3"/>
      <c r="AR844" s="3"/>
      <c r="AS844" s="3"/>
      <c r="AT844" s="3"/>
      <c r="AU844" s="3" t="str">
        <f ca="1">IFERROR(__xludf.DUMMYFUNCTION("""COMPUTED_VALUE"""),"Prodloužení existující microsite, bez úprav")</f>
        <v>Prodloužení existující microsite, bez úprav</v>
      </c>
    </row>
    <row r="845" spans="1:47" x14ac:dyDescent="0.3">
      <c r="A845" s="3">
        <f ca="1"/>
        <v>2346826</v>
      </c>
      <c r="B845" s="3" t="str">
        <f ca="1"/>
        <v>CZECH NEWS CENTER a. s.</v>
      </c>
      <c r="C845" s="3" t="str">
        <f ca="1">IFERROR(__xludf.DUMMYFUNCTION("""COMPUTED_VALUE"""),"Moje zdraví")</f>
        <v>Moje zdraví</v>
      </c>
      <c r="D845" s="4" t="str">
        <f ca="1">IFERROR(__xludf.DUMMYFUNCTION("""COMPUTED_VALUE"""),"https://mojezdravi.cz")</f>
        <v>https://mojezdravi.cz</v>
      </c>
      <c r="E845" s="3" t="str">
        <f ca="1">IFERROR(__xludf.DUMMYFUNCTION("""COMPUTED_VALUE"""),"celý web")</f>
        <v>celý web</v>
      </c>
      <c r="F845" s="4" t="str">
        <f ca="1">IFERROR(__xludf.DUMMYFUNCTION("""COMPUTED_VALUE"""),"https://mojezdravi.cz")</f>
        <v>https://mojezdravi.cz</v>
      </c>
      <c r="G845" s="3" t="str">
        <f ca="1">IFERROR(__xludf.DUMMYFUNCTION("""COMPUTED_VALUE"""),"Prodloužení existující microsite, bez úprav mid season")</f>
        <v>Prodloužení existující microsite, bez úprav mid season</v>
      </c>
      <c r="H845" s="3">
        <f ca="1">IFERROR(__xludf.DUMMYFUNCTION("""COMPUTED_VALUE"""),1)</f>
        <v>1</v>
      </c>
      <c r="I845" s="5">
        <f ca="1">IFERROR(__xludf.DUMMYFUNCTION("""COMPUTED_VALUE"""),1)</f>
        <v>1</v>
      </c>
      <c r="J845" s="5">
        <f ca="1">IFERROR(__xludf.DUMMYFUNCTION("""COMPUTED_VALUE"""),15000)</f>
        <v>15000</v>
      </c>
      <c r="K845" s="3"/>
      <c r="L845" s="3" t="str">
        <f ca="1">IFERROR(__xludf.DUMMYFUNCTION("""COMPUTED_VALUE"""),"Cost per instance")</f>
        <v>Cost per instance</v>
      </c>
      <c r="M845" s="3"/>
      <c r="N845" s="3"/>
      <c r="O845" s="3"/>
      <c r="P845" s="3"/>
      <c r="Q845" s="3"/>
      <c r="R845" s="3"/>
      <c r="S845" s="3" t="str">
        <f ca="1">IFERROR(__xludf.DUMMYFUNCTION("""COMPUTED_VALUE"""),"100")</f>
        <v>100</v>
      </c>
      <c r="T845" s="3"/>
      <c r="U845" s="3" t="str">
        <f ca="1">IFERROR(__xludf.DUMMYFUNCTION("""COMPUTED_VALUE"""),"microsite")</f>
        <v>microsite</v>
      </c>
      <c r="V845" s="3"/>
      <c r="W845" s="3"/>
      <c r="X845" s="3"/>
      <c r="Y845" s="3"/>
      <c r="Z845" s="3" t="str">
        <f ca="1">IFERROR(__xludf.DUMMYFUNCTION("""COMPUTED_VALUE"""),"podklady@cncenter.cz")</f>
        <v>podklady@cncenter.cz</v>
      </c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 t="str">
        <f ca="1">IFERROR(__xludf.DUMMYFUNCTION("""COMPUTED_VALUE"""),"cross-device")</f>
        <v>cross-device</v>
      </c>
      <c r="AO845" s="3"/>
      <c r="AP845" s="3"/>
      <c r="AQ845" s="3"/>
      <c r="AR845" s="3"/>
      <c r="AS845" s="3"/>
      <c r="AT845" s="3"/>
      <c r="AU845" s="3" t="str">
        <f ca="1">IFERROR(__xludf.DUMMYFUNCTION("""COMPUTED_VALUE"""),"Prodloužení existující microsite, bez úprav")</f>
        <v>Prodloužení existující microsite, bez úprav</v>
      </c>
    </row>
    <row r="846" spans="1:47" x14ac:dyDescent="0.3">
      <c r="A846" s="3">
        <f ca="1"/>
        <v>2346826</v>
      </c>
      <c r="B846" s="3" t="str">
        <f ca="1"/>
        <v>CZECH NEWS CENTER a. s.</v>
      </c>
      <c r="C846" s="3" t="str">
        <f ca="1">IFERROR(__xludf.DUMMYFUNCTION("""COMPUTED_VALUE"""),"Moje zdraví")</f>
        <v>Moje zdraví</v>
      </c>
      <c r="D846" s="4" t="str">
        <f ca="1">IFERROR(__xludf.DUMMYFUNCTION("""COMPUTED_VALUE"""),"https://mojezdravi.cz")</f>
        <v>https://mojezdravi.cz</v>
      </c>
      <c r="E846" s="3" t="str">
        <f ca="1">IFERROR(__xludf.DUMMYFUNCTION("""COMPUTED_VALUE"""),"celý web")</f>
        <v>celý web</v>
      </c>
      <c r="F846" s="4" t="str">
        <f ca="1">IFERROR(__xludf.DUMMYFUNCTION("""COMPUTED_VALUE"""),"https://mojezdravi.cz")</f>
        <v>https://mojezdravi.cz</v>
      </c>
      <c r="G846" s="3" t="str">
        <f ca="1">IFERROR(__xludf.DUMMYFUNCTION("""COMPUTED_VALUE"""),"videospot - max. 30 sec. / bumper mid season")</f>
        <v>videospot - max. 30 sec. / bumper mid season</v>
      </c>
      <c r="H846" s="3">
        <f ca="1">IFERROR(__xludf.DUMMYFUNCTION("""COMPUTED_VALUE"""),7)</f>
        <v>7</v>
      </c>
      <c r="I846" s="5">
        <f ca="1">IFERROR(__xludf.DUMMYFUNCTION("""COMPUTED_VALUE"""),1000)</f>
        <v>1000</v>
      </c>
      <c r="J846" s="5">
        <f ca="1">IFERROR(__xludf.DUMMYFUNCTION("""COMPUTED_VALUE"""),1040)</f>
        <v>1040</v>
      </c>
      <c r="K846" s="3"/>
      <c r="L846" s="3" t="str">
        <f ca="1">IFERROR(__xludf.DUMMYFUNCTION("""COMPUTED_VALUE"""),"Cost per period")</f>
        <v>Cost per period</v>
      </c>
      <c r="M846" s="3"/>
      <c r="N846" s="3"/>
      <c r="O846" s="3" t="str">
        <f ca="1">IFERROR(__xludf.DUMMYFUNCTION("""COMPUTED_VALUE"""),"1280")</f>
        <v>1280</v>
      </c>
      <c r="P846" s="3" t="str">
        <f ca="1">IFERROR(__xludf.DUMMYFUNCTION("""COMPUTED_VALUE"""),"720")</f>
        <v>720</v>
      </c>
      <c r="Q846" s="3" t="str">
        <f ca="1">IFERROR(__xludf.DUMMYFUNCTION("""COMPUTED_VALUE"""),"16:9 / umístění po domluvě dle možností")</f>
        <v>16:9 / umístění po domluvě dle možností</v>
      </c>
      <c r="R846" s="3" t="str">
        <f ca="1">IFERROR(__xludf.DUMMYFUNCTION("""COMPUTED_VALUE"""),"přeskočení po 7 sekundách")</f>
        <v>přeskočení po 7 sekundách</v>
      </c>
      <c r="S846" s="3" t="str">
        <f ca="1">IFERROR(__xludf.DUMMYFUNCTION("""COMPUTED_VALUE"""),"100")</f>
        <v>100</v>
      </c>
      <c r="T846" s="3"/>
      <c r="U846" s="3" t="str">
        <f ca="1">IFERROR(__xludf.DUMMYFUNCTION("""COMPUTED_VALUE"""),"videospot")</f>
        <v>videospot</v>
      </c>
      <c r="V846" s="3"/>
      <c r="W846" s="4" t="str">
        <f ca="1">IFERROR(__xludf.DUMMYFUNCTION("""COMPUTED_VALUE"""),"https://reklama.cncenter.cz/Online/Bumper")</f>
        <v>https://reklama.cncenter.cz/Online/Bumper</v>
      </c>
      <c r="X846" s="3"/>
      <c r="Y846" s="3"/>
      <c r="Z846" s="3" t="str">
        <f ca="1">IFERROR(__xludf.DUMMYFUNCTION("""COMPUTED_VALUE"""),"podklady@cncenter.cz")</f>
        <v>podklady@cncenter.cz</v>
      </c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 t="str">
        <f ca="1">IFERROR(__xludf.DUMMYFUNCTION("""COMPUTED_VALUE"""),"cross-device")</f>
        <v>cross-device</v>
      </c>
      <c r="AO846" s="3"/>
      <c r="AP846" s="3"/>
      <c r="AQ846" s="3"/>
      <c r="AR846" s="3"/>
      <c r="AS846" s="3"/>
      <c r="AT846" s="3"/>
      <c r="AU846" s="3" t="str">
        <f ca="1">IFERROR(__xludf.DUMMYFUNCTION("""COMPUTED_VALUE"""),"videospot - max. 30 sec. / bumper")</f>
        <v>videospot - max. 30 sec. / bumper</v>
      </c>
    </row>
    <row r="847" spans="1:47" x14ac:dyDescent="0.3">
      <c r="A847" s="3">
        <f ca="1"/>
        <v>2346826</v>
      </c>
      <c r="B847" s="3" t="str">
        <f ca="1"/>
        <v>CZECH NEWS CENTER a. s.</v>
      </c>
      <c r="C847" s="3" t="str">
        <f ca="1">IFERROR(__xludf.DUMMYFUNCTION("""COMPUTED_VALUE"""),"Moto GP sport")</f>
        <v>Moto GP sport</v>
      </c>
      <c r="D847" s="4" t="str">
        <f ca="1">IFERROR(__xludf.DUMMYFUNCTION("""COMPUTED_VALUE"""),"https://motogpsport.cz")</f>
        <v>https://motogpsport.cz</v>
      </c>
      <c r="E847" s="3" t="str">
        <f ca="1">IFERROR(__xludf.DUMMYFUNCTION("""COMPUTED_VALUE"""),"celý web")</f>
        <v>celý web</v>
      </c>
      <c r="F847" s="4" t="str">
        <f ca="1">IFERROR(__xludf.DUMMYFUNCTION("""COMPUTED_VALUE"""),"https://motogpsport.cz")</f>
        <v>https://motogpsport.cz</v>
      </c>
      <c r="G847" s="3" t="str">
        <f ca="1">IFERROR(__xludf.DUMMYFUNCTION("""COMPUTED_VALUE"""),"Advertorial mid season")</f>
        <v>Advertorial mid season</v>
      </c>
      <c r="H847" s="3">
        <f ca="1">IFERROR(__xludf.DUMMYFUNCTION("""COMPUTED_VALUE"""),1)</f>
        <v>1</v>
      </c>
      <c r="I847" s="5">
        <f ca="1">IFERROR(__xludf.DUMMYFUNCTION("""COMPUTED_VALUE"""),1)</f>
        <v>1</v>
      </c>
      <c r="J847" s="5">
        <f ca="1">IFERROR(__xludf.DUMMYFUNCTION("""COMPUTED_VALUE"""),90000)</f>
        <v>90000</v>
      </c>
      <c r="K847" s="3"/>
      <c r="L847" s="3" t="str">
        <f ca="1">IFERROR(__xludf.DUMMYFUNCTION("""COMPUTED_VALUE"""),"Cost per instance")</f>
        <v>Cost per instance</v>
      </c>
      <c r="M847" s="3"/>
      <c r="N847" s="3"/>
      <c r="O847" s="3"/>
      <c r="P847" s="3"/>
      <c r="Q847" s="3"/>
      <c r="R847" s="3"/>
      <c r="S847" s="3" t="str">
        <f ca="1">IFERROR(__xludf.DUMMYFUNCTION("""COMPUTED_VALUE"""),"100")</f>
        <v>100</v>
      </c>
      <c r="T847" s="3"/>
      <c r="U847" s="3" t="str">
        <f ca="1">IFERROR(__xludf.DUMMYFUNCTION("""COMPUTED_VALUE"""),"pr článek")</f>
        <v>pr článek</v>
      </c>
      <c r="V847" s="3"/>
      <c r="W847" s="3"/>
      <c r="X847" s="3"/>
      <c r="Y847" s="3"/>
      <c r="Z847" s="3" t="str">
        <f ca="1">IFERROR(__xludf.DUMMYFUNCTION("""COMPUTED_VALUE"""),"podklady@cncenter.cz")</f>
        <v>podklady@cncenter.cz</v>
      </c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 t="str">
        <f ca="1">IFERROR(__xludf.DUMMYFUNCTION("""COMPUTED_VALUE"""),"cross-device")</f>
        <v>cross-device</v>
      </c>
      <c r="AO847" s="3"/>
      <c r="AP847" s="3"/>
      <c r="AQ847" s="3"/>
      <c r="AR847" s="3"/>
      <c r="AS847" s="3"/>
      <c r="AT847" s="3"/>
      <c r="AU847" s="3" t="str">
        <f ca="1">IFERROR(__xludf.DUMMYFUNCTION("""COMPUTED_VALUE"""),"Advertorial")</f>
        <v>Advertorial</v>
      </c>
    </row>
    <row r="848" spans="1:47" x14ac:dyDescent="0.3">
      <c r="A848" s="3">
        <f ca="1"/>
        <v>2346826</v>
      </c>
      <c r="B848" s="3" t="str">
        <f ca="1"/>
        <v>CZECH NEWS CENTER a. s.</v>
      </c>
      <c r="C848" s="3" t="str">
        <f ca="1">IFERROR(__xludf.DUMMYFUNCTION("""COMPUTED_VALUE"""),"Moto GP sport")</f>
        <v>Moto GP sport</v>
      </c>
      <c r="D848" s="4" t="str">
        <f ca="1">IFERROR(__xludf.DUMMYFUNCTION("""COMPUTED_VALUE"""),"https://motogpsport.cz")</f>
        <v>https://motogpsport.cz</v>
      </c>
      <c r="E848" s="3" t="str">
        <f ca="1">IFERROR(__xludf.DUMMYFUNCTION("""COMPUTED_VALUE"""),"celý web")</f>
        <v>celý web</v>
      </c>
      <c r="F848" s="4" t="str">
        <f ca="1">IFERROR(__xludf.DUMMYFUNCTION("""COMPUTED_VALUE"""),"https://motogpsport.cz")</f>
        <v>https://motogpsport.cz</v>
      </c>
      <c r="G848" s="3" t="str">
        <f ca="1">IFERROR(__xludf.DUMMYFUNCTION("""COMPUTED_VALUE"""),"billboard bottom mid season")</f>
        <v>billboard bottom mid season</v>
      </c>
      <c r="H848" s="3">
        <f ca="1">IFERROR(__xludf.DUMMYFUNCTION("""COMPUTED_VALUE"""),7)</f>
        <v>7</v>
      </c>
      <c r="I848" s="5">
        <f ca="1">IFERROR(__xludf.DUMMYFUNCTION("""COMPUTED_VALUE"""),1000)</f>
        <v>1000</v>
      </c>
      <c r="J848" s="5">
        <f ca="1">IFERROR(__xludf.DUMMYFUNCTION("""COMPUTED_VALUE"""),340)</f>
        <v>340</v>
      </c>
      <c r="K848" s="3"/>
      <c r="L848" s="3" t="str">
        <f ca="1">IFERROR(__xludf.DUMMYFUNCTION("""COMPUTED_VALUE"""),"Cost per period")</f>
        <v>Cost per period</v>
      </c>
      <c r="M848" s="3"/>
      <c r="N848" s="3"/>
      <c r="O848" s="3" t="str">
        <f ca="1">IFERROR(__xludf.DUMMYFUNCTION("""COMPUTED_VALUE"""),"970")</f>
        <v>970</v>
      </c>
      <c r="P848" s="3" t="str">
        <f ca="1">IFERROR(__xludf.DUMMYFUNCTION("""COMPUTED_VALUE"""),"250")</f>
        <v>250</v>
      </c>
      <c r="Q848" s="3" t="str">
        <f ca="1">IFERROR(__xludf.DUMMYFUNCTION("""COMPUTED_VALUE"""),"970x250")</f>
        <v>970x250</v>
      </c>
      <c r="R848" s="3"/>
      <c r="S848" s="3" t="str">
        <f ca="1">IFERROR(__xludf.DUMMYFUNCTION("""COMPUTED_VALUE"""),"100 (200 - HTML5)")</f>
        <v>100 (200 - HTML5)</v>
      </c>
      <c r="T848" s="3"/>
      <c r="U848" s="3" t="str">
        <f ca="1">IFERROR(__xludf.DUMMYFUNCTION("""COMPUTED_VALUE"""),"banner standard")</f>
        <v>banner standard</v>
      </c>
      <c r="V848" s="3"/>
      <c r="W848" s="4" t="str">
        <f ca="1">IFERROR(__xludf.DUMMYFUNCTION("""COMPUTED_VALUE"""),"https://reklama.cncenter.cz/Online/billboard-bottom")</f>
        <v>https://reklama.cncenter.cz/Online/billboard-bottom</v>
      </c>
      <c r="X848" s="3"/>
      <c r="Y848" s="3"/>
      <c r="Z848" s="3" t="str">
        <f ca="1">IFERROR(__xludf.DUMMYFUNCTION("""COMPUTED_VALUE"""),"podklady@cncenter.cz")</f>
        <v>podklady@cncenter.cz</v>
      </c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 t="str">
        <f ca="1">IFERROR(__xludf.DUMMYFUNCTION("""COMPUTED_VALUE"""),"desktop")</f>
        <v>desktop</v>
      </c>
      <c r="AO848" s="3"/>
      <c r="AP848" s="3"/>
      <c r="AQ848" s="3"/>
      <c r="AR848" s="3"/>
      <c r="AS848" s="3"/>
      <c r="AT848" s="3"/>
      <c r="AU848" s="3" t="str">
        <f ca="1">IFERROR(__xludf.DUMMYFUNCTION("""COMPUTED_VALUE"""),"billboard bottom")</f>
        <v>billboard bottom</v>
      </c>
    </row>
    <row r="849" spans="1:47" x14ac:dyDescent="0.3">
      <c r="A849" s="3">
        <f ca="1"/>
        <v>2346826</v>
      </c>
      <c r="B849" s="3" t="str">
        <f ca="1"/>
        <v>CZECH NEWS CENTER a. s.</v>
      </c>
      <c r="C849" s="3" t="str">
        <f ca="1">IFERROR(__xludf.DUMMYFUNCTION("""COMPUTED_VALUE"""),"Moto GP sport")</f>
        <v>Moto GP sport</v>
      </c>
      <c r="D849" s="4" t="str">
        <f ca="1">IFERROR(__xludf.DUMMYFUNCTION("""COMPUTED_VALUE"""),"https://motogpsport.cz")</f>
        <v>https://motogpsport.cz</v>
      </c>
      <c r="E849" s="3" t="str">
        <f ca="1">IFERROR(__xludf.DUMMYFUNCTION("""COMPUTED_VALUE"""),"celý web")</f>
        <v>celý web</v>
      </c>
      <c r="F849" s="4" t="str">
        <f ca="1">IFERROR(__xludf.DUMMYFUNCTION("""COMPUTED_VALUE"""),"https://motogpsport.cz")</f>
        <v>https://motogpsport.cz</v>
      </c>
      <c r="G849" s="3" t="str">
        <f ca="1">IFERROR(__xludf.DUMMYFUNCTION("""COMPUTED_VALUE"""),"branding cross-device mid season")</f>
        <v>branding cross-device mid season</v>
      </c>
      <c r="H849" s="3">
        <f ca="1">IFERROR(__xludf.DUMMYFUNCTION("""COMPUTED_VALUE"""),7)</f>
        <v>7</v>
      </c>
      <c r="I849" s="5">
        <f ca="1">IFERROR(__xludf.DUMMYFUNCTION("""COMPUTED_VALUE"""),1000)</f>
        <v>1000</v>
      </c>
      <c r="J849" s="5">
        <f ca="1">IFERROR(__xludf.DUMMYFUNCTION("""COMPUTED_VALUE"""),420)</f>
        <v>420</v>
      </c>
      <c r="K849" s="3"/>
      <c r="L849" s="3" t="str">
        <f ca="1">IFERROR(__xludf.DUMMYFUNCTION("""COMPUTED_VALUE"""),"Cost per period")</f>
        <v>Cost per period</v>
      </c>
      <c r="M849" s="3"/>
      <c r="N849" s="3"/>
      <c r="O849" s="3" t="str">
        <f ca="1">IFERROR(__xludf.DUMMYFUNCTION("""COMPUTED_VALUE"""),"2000")</f>
        <v>2000</v>
      </c>
      <c r="P849" s="3" t="str">
        <f ca="1">IFERROR(__xludf.DUMMYFUNCTION("""COMPUTED_VALUE"""),"1400")</f>
        <v>1400</v>
      </c>
      <c r="Q849" s="3" t="str">
        <f ca="1">IFERROR(__xludf.DUMMYFUNCTION("""COMPUTED_VALUE"""),"2000x1400 + 600x1080")</f>
        <v>2000x1400 + 600x1080</v>
      </c>
      <c r="R849" s="3"/>
      <c r="S849" s="3" t="str">
        <f ca="1">IFERROR(__xludf.DUMMYFUNCTION("""COMPUTED_VALUE"""),"500 (600 - HTLM5)")</f>
        <v>500 (600 - HTLM5)</v>
      </c>
      <c r="T849" s="3"/>
      <c r="U849" s="3" t="str">
        <f ca="1">IFERROR(__xludf.DUMMYFUNCTION("""COMPUTED_VALUE"""),"banner standard")</f>
        <v>banner standard</v>
      </c>
      <c r="V849" s="3"/>
      <c r="W849" s="4" t="str">
        <f ca="1">IFERROR(__xludf.DUMMYFUNCTION("""COMPUTED_VALUE"""),"https://reklama.cncenter.cz/Online/branding-cross-device")</f>
        <v>https://reklama.cncenter.cz/Online/branding-cross-device</v>
      </c>
      <c r="X849" s="3"/>
      <c r="Y849" s="3"/>
      <c r="Z849" s="3" t="str">
        <f ca="1">IFERROR(__xludf.DUMMYFUNCTION("""COMPUTED_VALUE"""),"podklady@cncenter.cz")</f>
        <v>podklady@cncenter.cz</v>
      </c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 t="str">
        <f ca="1">IFERROR(__xludf.DUMMYFUNCTION("""COMPUTED_VALUE"""),"cross-device")</f>
        <v>cross-device</v>
      </c>
      <c r="AO849" s="3"/>
      <c r="AP849" s="3"/>
      <c r="AQ849" s="3"/>
      <c r="AR849" s="3"/>
      <c r="AS849" s="3"/>
      <c r="AT849" s="3"/>
      <c r="AU849" s="3" t="str">
        <f ca="1">IFERROR(__xludf.DUMMYFUNCTION("""COMPUTED_VALUE"""),"branding cross-device")</f>
        <v>branding cross-device</v>
      </c>
    </row>
    <row r="850" spans="1:47" x14ac:dyDescent="0.3">
      <c r="A850" s="3">
        <f ca="1"/>
        <v>2346826</v>
      </c>
      <c r="B850" s="3" t="str">
        <f ca="1"/>
        <v>CZECH NEWS CENTER a. s.</v>
      </c>
      <c r="C850" s="3" t="str">
        <f ca="1">IFERROR(__xludf.DUMMYFUNCTION("""COMPUTED_VALUE"""),"Moto GP sport")</f>
        <v>Moto GP sport</v>
      </c>
      <c r="D850" s="4" t="str">
        <f ca="1">IFERROR(__xludf.DUMMYFUNCTION("""COMPUTED_VALUE"""),"https://motogpsport.cz")</f>
        <v>https://motogpsport.cz</v>
      </c>
      <c r="E850" s="3" t="str">
        <f ca="1">IFERROR(__xludf.DUMMYFUNCTION("""COMPUTED_VALUE"""),"celý web")</f>
        <v>celý web</v>
      </c>
      <c r="F850" s="4" t="str">
        <f ca="1">IFERROR(__xludf.DUMMYFUNCTION("""COMPUTED_VALUE"""),"https://motogpsport.cz")</f>
        <v>https://motogpsport.cz</v>
      </c>
      <c r="G850" s="3" t="str">
        <f ca="1">IFERROR(__xludf.DUMMYFUNCTION("""COMPUTED_VALUE"""),"branding mid season")</f>
        <v>branding mid season</v>
      </c>
      <c r="H850" s="3">
        <f ca="1">IFERROR(__xludf.DUMMYFUNCTION("""COMPUTED_VALUE"""),7)</f>
        <v>7</v>
      </c>
      <c r="I850" s="5">
        <f ca="1">IFERROR(__xludf.DUMMYFUNCTION("""COMPUTED_VALUE"""),1000)</f>
        <v>1000</v>
      </c>
      <c r="J850" s="5">
        <f ca="1">IFERROR(__xludf.DUMMYFUNCTION("""COMPUTED_VALUE"""),690)</f>
        <v>690</v>
      </c>
      <c r="K850" s="3"/>
      <c r="L850" s="3" t="str">
        <f ca="1">IFERROR(__xludf.DUMMYFUNCTION("""COMPUTED_VALUE"""),"Cost per period")</f>
        <v>Cost per period</v>
      </c>
      <c r="M850" s="3"/>
      <c r="N850" s="3"/>
      <c r="O850" s="3" t="str">
        <f ca="1">IFERROR(__xludf.DUMMYFUNCTION("""COMPUTED_VALUE"""),"2000")</f>
        <v>2000</v>
      </c>
      <c r="P850" s="3" t="str">
        <f ca="1">IFERROR(__xludf.DUMMYFUNCTION("""COMPUTED_VALUE"""),"1400")</f>
        <v>1400</v>
      </c>
      <c r="Q850" s="3" t="str">
        <f ca="1">IFERROR(__xludf.DUMMYFUNCTION("""COMPUTED_VALUE"""),"2000x1400")</f>
        <v>2000x1400</v>
      </c>
      <c r="R850" s="3"/>
      <c r="S850" s="3" t="str">
        <f ca="1">IFERROR(__xludf.DUMMYFUNCTION("""COMPUTED_VALUE"""),"500 + 200 (600+200 HTML5)")</f>
        <v>500 + 200 (600+200 HTML5)</v>
      </c>
      <c r="T850" s="3"/>
      <c r="U850" s="3" t="str">
        <f ca="1">IFERROR(__xludf.DUMMYFUNCTION("""COMPUTED_VALUE"""),"banner standard")</f>
        <v>banner standard</v>
      </c>
      <c r="V850" s="3"/>
      <c r="W850" s="4" t="str">
        <f ca="1">IFERROR(__xludf.DUMMYFUNCTION("""COMPUTED_VALUE"""),"https://reklama.cncenter.cz/Online/branding")</f>
        <v>https://reklama.cncenter.cz/Online/branding</v>
      </c>
      <c r="X850" s="3"/>
      <c r="Y850" s="3"/>
      <c r="Z850" s="3" t="str">
        <f ca="1">IFERROR(__xludf.DUMMYFUNCTION("""COMPUTED_VALUE"""),"podklady@cncenter.cz")</f>
        <v>podklady@cncenter.cz</v>
      </c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 t="str">
        <f ca="1">IFERROR(__xludf.DUMMYFUNCTION("""COMPUTED_VALUE"""),"desktop")</f>
        <v>desktop</v>
      </c>
      <c r="AO850" s="3"/>
      <c r="AP850" s="3"/>
      <c r="AQ850" s="3"/>
      <c r="AR850" s="3"/>
      <c r="AS850" s="3"/>
      <c r="AT850" s="3"/>
      <c r="AU850" s="3" t="str">
        <f ca="1">IFERROR(__xludf.DUMMYFUNCTION("""COMPUTED_VALUE"""),"branding")</f>
        <v>branding</v>
      </c>
    </row>
    <row r="851" spans="1:47" x14ac:dyDescent="0.3">
      <c r="A851" s="3">
        <f ca="1"/>
        <v>2346826</v>
      </c>
      <c r="B851" s="3" t="str">
        <f ca="1"/>
        <v>CZECH NEWS CENTER a. s.</v>
      </c>
      <c r="C851" s="3" t="str">
        <f ca="1">IFERROR(__xludf.DUMMYFUNCTION("""COMPUTED_VALUE"""),"Moto GP sport")</f>
        <v>Moto GP sport</v>
      </c>
      <c r="D851" s="4" t="str">
        <f ca="1">IFERROR(__xludf.DUMMYFUNCTION("""COMPUTED_VALUE"""),"https://motogpsport.cz")</f>
        <v>https://motogpsport.cz</v>
      </c>
      <c r="E851" s="3" t="str">
        <f ca="1">IFERROR(__xludf.DUMMYFUNCTION("""COMPUTED_VALUE"""),"celý web")</f>
        <v>celý web</v>
      </c>
      <c r="F851" s="4" t="str">
        <f ca="1">IFERROR(__xludf.DUMMYFUNCTION("""COMPUTED_VALUE"""),"https://motogpsport.cz")</f>
        <v>https://motogpsport.cz</v>
      </c>
      <c r="G851" s="3" t="str">
        <f ca="1">IFERROR(__xludf.DUMMYFUNCTION("""COMPUTED_VALUE"""),"cílený billboard bottom mid season")</f>
        <v>cílený billboard bottom mid season</v>
      </c>
      <c r="H851" s="3">
        <f ca="1">IFERROR(__xludf.DUMMYFUNCTION("""COMPUTED_VALUE"""),7)</f>
        <v>7</v>
      </c>
      <c r="I851" s="5">
        <f ca="1">IFERROR(__xludf.DUMMYFUNCTION("""COMPUTED_VALUE"""),1000)</f>
        <v>1000</v>
      </c>
      <c r="J851" s="5">
        <f ca="1">IFERROR(__xludf.DUMMYFUNCTION("""COMPUTED_VALUE"""),408)</f>
        <v>408</v>
      </c>
      <c r="K851" s="3"/>
      <c r="L851" s="3" t="str">
        <f ca="1">IFERROR(__xludf.DUMMYFUNCTION("""COMPUTED_VALUE"""),"Cost per period")</f>
        <v>Cost per period</v>
      </c>
      <c r="M851" s="3"/>
      <c r="N851" s="3"/>
      <c r="O851" s="3" t="str">
        <f ca="1">IFERROR(__xludf.DUMMYFUNCTION("""COMPUTED_VALUE"""),"970")</f>
        <v>970</v>
      </c>
      <c r="P851" s="3" t="str">
        <f ca="1">IFERROR(__xludf.DUMMYFUNCTION("""COMPUTED_VALUE"""),"250")</f>
        <v>250</v>
      </c>
      <c r="Q851" s="3" t="str">
        <f ca="1">IFERROR(__xludf.DUMMYFUNCTION("""COMPUTED_VALUE"""),"970x250")</f>
        <v>970x250</v>
      </c>
      <c r="R851" s="3"/>
      <c r="S851" s="3" t="str">
        <f ca="1">IFERROR(__xludf.DUMMYFUNCTION("""COMPUTED_VALUE"""),"100 (200 - HTML5)")</f>
        <v>100 (200 - HTML5)</v>
      </c>
      <c r="T851" s="3"/>
      <c r="U851" s="3" t="str">
        <f ca="1">IFERROR(__xludf.DUMMYFUNCTION("""COMPUTED_VALUE"""),"banner standard")</f>
        <v>banner standard</v>
      </c>
      <c r="V851" s="3"/>
      <c r="W851" s="4" t="str">
        <f ca="1">IFERROR(__xludf.DUMMYFUNCTION("""COMPUTED_VALUE"""),"https://reklama.cncenter.cz/Online/billboard-bottom")</f>
        <v>https://reklama.cncenter.cz/Online/billboard-bottom</v>
      </c>
      <c r="X851" s="3"/>
      <c r="Y851" s="3"/>
      <c r="Z851" s="3" t="str">
        <f ca="1">IFERROR(__xludf.DUMMYFUNCTION("""COMPUTED_VALUE"""),"podklady@cncenter.cz")</f>
        <v>podklady@cncenter.cz</v>
      </c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 t="str">
        <f ca="1">IFERROR(__xludf.DUMMYFUNCTION("""COMPUTED_VALUE"""),"desktop")</f>
        <v>desktop</v>
      </c>
      <c r="AO851" s="3"/>
      <c r="AP851" s="3"/>
      <c r="AQ851" s="3"/>
      <c r="AR851" s="3"/>
      <c r="AS851" s="3"/>
      <c r="AT851" s="3"/>
      <c r="AU851" s="3" t="str">
        <f ca="1">IFERROR(__xludf.DUMMYFUNCTION("""COMPUTED_VALUE"""),"cílený billboard bottom")</f>
        <v>cílený billboard bottom</v>
      </c>
    </row>
    <row r="852" spans="1:47" x14ac:dyDescent="0.3">
      <c r="A852" s="3">
        <f ca="1"/>
        <v>2346826</v>
      </c>
      <c r="B852" s="3" t="str">
        <f ca="1"/>
        <v>CZECH NEWS CENTER a. s.</v>
      </c>
      <c r="C852" s="3" t="str">
        <f ca="1">IFERROR(__xludf.DUMMYFUNCTION("""COMPUTED_VALUE"""),"Moto GP sport")</f>
        <v>Moto GP sport</v>
      </c>
      <c r="D852" s="4" t="str">
        <f ca="1">IFERROR(__xludf.DUMMYFUNCTION("""COMPUTED_VALUE"""),"https://motogpsport.cz")</f>
        <v>https://motogpsport.cz</v>
      </c>
      <c r="E852" s="3" t="str">
        <f ca="1">IFERROR(__xludf.DUMMYFUNCTION("""COMPUTED_VALUE"""),"celý web")</f>
        <v>celý web</v>
      </c>
      <c r="F852" s="4" t="str">
        <f ca="1">IFERROR(__xludf.DUMMYFUNCTION("""COMPUTED_VALUE"""),"https://motogpsport.cz")</f>
        <v>https://motogpsport.cz</v>
      </c>
      <c r="G852" s="3" t="str">
        <f ca="1">IFERROR(__xludf.DUMMYFUNCTION("""COMPUTED_VALUE"""),"cílený branding cross-device mid season")</f>
        <v>cílený branding cross-device mid season</v>
      </c>
      <c r="H852" s="3">
        <f ca="1">IFERROR(__xludf.DUMMYFUNCTION("""COMPUTED_VALUE"""),7)</f>
        <v>7</v>
      </c>
      <c r="I852" s="5">
        <f ca="1">IFERROR(__xludf.DUMMYFUNCTION("""COMPUTED_VALUE"""),1000)</f>
        <v>1000</v>
      </c>
      <c r="J852" s="5">
        <f ca="1">IFERROR(__xludf.DUMMYFUNCTION("""COMPUTED_VALUE"""),504)</f>
        <v>504</v>
      </c>
      <c r="K852" s="3"/>
      <c r="L852" s="3" t="str">
        <f ca="1">IFERROR(__xludf.DUMMYFUNCTION("""COMPUTED_VALUE"""),"Cost per period")</f>
        <v>Cost per period</v>
      </c>
      <c r="M852" s="3"/>
      <c r="N852" s="3"/>
      <c r="O852" s="3" t="str">
        <f ca="1">IFERROR(__xludf.DUMMYFUNCTION("""COMPUTED_VALUE"""),"2000")</f>
        <v>2000</v>
      </c>
      <c r="P852" s="3" t="str">
        <f ca="1">IFERROR(__xludf.DUMMYFUNCTION("""COMPUTED_VALUE"""),"1400")</f>
        <v>1400</v>
      </c>
      <c r="Q852" s="3" t="str">
        <f ca="1">IFERROR(__xludf.DUMMYFUNCTION("""COMPUTED_VALUE"""),"2000x1400 + 600x1080")</f>
        <v>2000x1400 + 600x1080</v>
      </c>
      <c r="R852" s="3"/>
      <c r="S852" s="3" t="str">
        <f ca="1">IFERROR(__xludf.DUMMYFUNCTION("""COMPUTED_VALUE"""),"500 (600 - HTLM5)")</f>
        <v>500 (600 - HTLM5)</v>
      </c>
      <c r="T852" s="3"/>
      <c r="U852" s="3" t="str">
        <f ca="1">IFERROR(__xludf.DUMMYFUNCTION("""COMPUTED_VALUE"""),"banner standard")</f>
        <v>banner standard</v>
      </c>
      <c r="V852" s="3"/>
      <c r="W852" s="4" t="str">
        <f ca="1">IFERROR(__xludf.DUMMYFUNCTION("""COMPUTED_VALUE"""),"https://reklama.cncenter.cz/Online/branding-cross-device")</f>
        <v>https://reklama.cncenter.cz/Online/branding-cross-device</v>
      </c>
      <c r="X852" s="3"/>
      <c r="Y852" s="3"/>
      <c r="Z852" s="3" t="str">
        <f ca="1">IFERROR(__xludf.DUMMYFUNCTION("""COMPUTED_VALUE"""),"podklady@cncenter.cz")</f>
        <v>podklady@cncenter.cz</v>
      </c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 t="str">
        <f ca="1">IFERROR(__xludf.DUMMYFUNCTION("""COMPUTED_VALUE"""),"cross-device")</f>
        <v>cross-device</v>
      </c>
      <c r="AO852" s="3"/>
      <c r="AP852" s="3"/>
      <c r="AQ852" s="3"/>
      <c r="AR852" s="3"/>
      <c r="AS852" s="3"/>
      <c r="AT852" s="3"/>
      <c r="AU852" s="3" t="str">
        <f ca="1">IFERROR(__xludf.DUMMYFUNCTION("""COMPUTED_VALUE"""),"cílený branding cross-device")</f>
        <v>cílený branding cross-device</v>
      </c>
    </row>
    <row r="853" spans="1:47" x14ac:dyDescent="0.3">
      <c r="A853" s="3">
        <f ca="1"/>
        <v>2346826</v>
      </c>
      <c r="B853" s="3" t="str">
        <f ca="1"/>
        <v>CZECH NEWS CENTER a. s.</v>
      </c>
      <c r="C853" s="3" t="str">
        <f ca="1">IFERROR(__xludf.DUMMYFUNCTION("""COMPUTED_VALUE"""),"Moto GP sport")</f>
        <v>Moto GP sport</v>
      </c>
      <c r="D853" s="4" t="str">
        <f ca="1">IFERROR(__xludf.DUMMYFUNCTION("""COMPUTED_VALUE"""),"https://motogpsport.cz")</f>
        <v>https://motogpsport.cz</v>
      </c>
      <c r="E853" s="3" t="str">
        <f ca="1">IFERROR(__xludf.DUMMYFUNCTION("""COMPUTED_VALUE"""),"celý web")</f>
        <v>celý web</v>
      </c>
      <c r="F853" s="4" t="str">
        <f ca="1">IFERROR(__xludf.DUMMYFUNCTION("""COMPUTED_VALUE"""),"https://motogpsport.cz")</f>
        <v>https://motogpsport.cz</v>
      </c>
      <c r="G853" s="3" t="str">
        <f ca="1">IFERROR(__xludf.DUMMYFUNCTION("""COMPUTED_VALUE"""),"cílený branding mid season")</f>
        <v>cílený branding mid season</v>
      </c>
      <c r="H853" s="3">
        <f ca="1">IFERROR(__xludf.DUMMYFUNCTION("""COMPUTED_VALUE"""),7)</f>
        <v>7</v>
      </c>
      <c r="I853" s="5">
        <f ca="1">IFERROR(__xludf.DUMMYFUNCTION("""COMPUTED_VALUE"""),1000)</f>
        <v>1000</v>
      </c>
      <c r="J853" s="5">
        <f ca="1">IFERROR(__xludf.DUMMYFUNCTION("""COMPUTED_VALUE"""),828)</f>
        <v>828</v>
      </c>
      <c r="K853" s="3"/>
      <c r="L853" s="3" t="str">
        <f ca="1">IFERROR(__xludf.DUMMYFUNCTION("""COMPUTED_VALUE"""),"Cost per period")</f>
        <v>Cost per period</v>
      </c>
      <c r="M853" s="3"/>
      <c r="N853" s="3"/>
      <c r="O853" s="3" t="str">
        <f ca="1">IFERROR(__xludf.DUMMYFUNCTION("""COMPUTED_VALUE"""),"2000")</f>
        <v>2000</v>
      </c>
      <c r="P853" s="3" t="str">
        <f ca="1">IFERROR(__xludf.DUMMYFUNCTION("""COMPUTED_VALUE"""),"1400")</f>
        <v>1400</v>
      </c>
      <c r="Q853" s="3" t="str">
        <f ca="1">IFERROR(__xludf.DUMMYFUNCTION("""COMPUTED_VALUE"""),"2000x1400")</f>
        <v>2000x1400</v>
      </c>
      <c r="R853" s="3"/>
      <c r="S853" s="3" t="str">
        <f ca="1">IFERROR(__xludf.DUMMYFUNCTION("""COMPUTED_VALUE"""),"500 + 200 (600+200 HTML5)")</f>
        <v>500 + 200 (600+200 HTML5)</v>
      </c>
      <c r="T853" s="3"/>
      <c r="U853" s="3" t="str">
        <f ca="1">IFERROR(__xludf.DUMMYFUNCTION("""COMPUTED_VALUE"""),"banner standard")</f>
        <v>banner standard</v>
      </c>
      <c r="V853" s="3"/>
      <c r="W853" s="4" t="str">
        <f ca="1">IFERROR(__xludf.DUMMYFUNCTION("""COMPUTED_VALUE"""),"https://reklama.cncenter.cz/Online/branding")</f>
        <v>https://reklama.cncenter.cz/Online/branding</v>
      </c>
      <c r="X853" s="3"/>
      <c r="Y853" s="3"/>
      <c r="Z853" s="3" t="str">
        <f ca="1">IFERROR(__xludf.DUMMYFUNCTION("""COMPUTED_VALUE"""),"podklady@cncenter.cz")</f>
        <v>podklady@cncenter.cz</v>
      </c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 t="str">
        <f ca="1">IFERROR(__xludf.DUMMYFUNCTION("""COMPUTED_VALUE"""),"desktop")</f>
        <v>desktop</v>
      </c>
      <c r="AO853" s="3"/>
      <c r="AP853" s="3"/>
      <c r="AQ853" s="3"/>
      <c r="AR853" s="3"/>
      <c r="AS853" s="3"/>
      <c r="AT853" s="3"/>
      <c r="AU853" s="3" t="str">
        <f ca="1">IFERROR(__xludf.DUMMYFUNCTION("""COMPUTED_VALUE"""),"cílený branding")</f>
        <v>cílený branding</v>
      </c>
    </row>
    <row r="854" spans="1:47" x14ac:dyDescent="0.3">
      <c r="A854" s="3">
        <f ca="1"/>
        <v>2346826</v>
      </c>
      <c r="B854" s="3" t="str">
        <f ca="1"/>
        <v>CZECH NEWS CENTER a. s.</v>
      </c>
      <c r="C854" s="3" t="str">
        <f ca="1">IFERROR(__xludf.DUMMYFUNCTION("""COMPUTED_VALUE"""),"Moto GP sport")</f>
        <v>Moto GP sport</v>
      </c>
      <c r="D854" s="4" t="str">
        <f ca="1">IFERROR(__xludf.DUMMYFUNCTION("""COMPUTED_VALUE"""),"https://motogpsport.cz")</f>
        <v>https://motogpsport.cz</v>
      </c>
      <c r="E854" s="3" t="str">
        <f ca="1">IFERROR(__xludf.DUMMYFUNCTION("""COMPUTED_VALUE"""),"celý web")</f>
        <v>celý web</v>
      </c>
      <c r="F854" s="4" t="str">
        <f ca="1">IFERROR(__xludf.DUMMYFUNCTION("""COMPUTED_VALUE"""),"https://motogpsport.cz")</f>
        <v>https://motogpsport.cz</v>
      </c>
      <c r="G854" s="3" t="str">
        <f ca="1">IFERROR(__xludf.DUMMYFUNCTION("""COMPUTED_VALUE"""),"cílený double skyscraper mid season")</f>
        <v>cílený double skyscraper mid season</v>
      </c>
      <c r="H854" s="3">
        <f ca="1">IFERROR(__xludf.DUMMYFUNCTION("""COMPUTED_VALUE"""),7)</f>
        <v>7</v>
      </c>
      <c r="I854" s="5">
        <f ca="1">IFERROR(__xludf.DUMMYFUNCTION("""COMPUTED_VALUE"""),1000)</f>
        <v>1000</v>
      </c>
      <c r="J854" s="5">
        <f ca="1">IFERROR(__xludf.DUMMYFUNCTION("""COMPUTED_VALUE"""),324)</f>
        <v>324</v>
      </c>
      <c r="K854" s="3"/>
      <c r="L854" s="3" t="str">
        <f ca="1">IFERROR(__xludf.DUMMYFUNCTION("""COMPUTED_VALUE"""),"Cost per period")</f>
        <v>Cost per period</v>
      </c>
      <c r="M854" s="3"/>
      <c r="N854" s="3"/>
      <c r="O854" s="3" t="str">
        <f ca="1">IFERROR(__xludf.DUMMYFUNCTION("""COMPUTED_VALUE"""),"300")</f>
        <v>300</v>
      </c>
      <c r="P854" s="3" t="str">
        <f ca="1">IFERROR(__xludf.DUMMYFUNCTION("""COMPUTED_VALUE"""),"600")</f>
        <v>600</v>
      </c>
      <c r="Q854" s="3" t="str">
        <f ca="1">IFERROR(__xludf.DUMMYFUNCTION("""COMPUTED_VALUE"""),"300x600")</f>
        <v>300x600</v>
      </c>
      <c r="R854" s="3"/>
      <c r="S854" s="3" t="str">
        <f ca="1">IFERROR(__xludf.DUMMYFUNCTION("""COMPUTED_VALUE"""),"100 (200 - HTML5)")</f>
        <v>100 (200 - HTML5)</v>
      </c>
      <c r="T854" s="3"/>
      <c r="U854" s="3" t="str">
        <f ca="1">IFERROR(__xludf.DUMMYFUNCTION("""COMPUTED_VALUE"""),"banner standard")</f>
        <v>banner standard</v>
      </c>
      <c r="V854" s="3"/>
      <c r="W854" s="4" t="str">
        <f ca="1">IFERROR(__xludf.DUMMYFUNCTION("""COMPUTED_VALUE"""),"https://reklama.cncenter.cz/Online/double-skyscraper")</f>
        <v>https://reklama.cncenter.cz/Online/double-skyscraper</v>
      </c>
      <c r="X854" s="3"/>
      <c r="Y854" s="3"/>
      <c r="Z854" s="3" t="str">
        <f ca="1">IFERROR(__xludf.DUMMYFUNCTION("""COMPUTED_VALUE"""),"podklady@cncenter.cz")</f>
        <v>podklady@cncenter.cz</v>
      </c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 t="str">
        <f ca="1">IFERROR(__xludf.DUMMYFUNCTION("""COMPUTED_VALUE"""),"desktop")</f>
        <v>desktop</v>
      </c>
      <c r="AO854" s="3"/>
      <c r="AP854" s="3"/>
      <c r="AQ854" s="3"/>
      <c r="AR854" s="3"/>
      <c r="AS854" s="3"/>
      <c r="AT854" s="3"/>
      <c r="AU854" s="3" t="str">
        <f ca="1">IFERROR(__xludf.DUMMYFUNCTION("""COMPUTED_VALUE"""),"cílený double skyscraper")</f>
        <v>cílený double skyscraper</v>
      </c>
    </row>
    <row r="855" spans="1:47" x14ac:dyDescent="0.3">
      <c r="A855" s="3">
        <f ca="1"/>
        <v>2346826</v>
      </c>
      <c r="B855" s="3" t="str">
        <f ca="1"/>
        <v>CZECH NEWS CENTER a. s.</v>
      </c>
      <c r="C855" s="3" t="str">
        <f ca="1">IFERROR(__xludf.DUMMYFUNCTION("""COMPUTED_VALUE"""),"Moto GP sport")</f>
        <v>Moto GP sport</v>
      </c>
      <c r="D855" s="4" t="str">
        <f ca="1">IFERROR(__xludf.DUMMYFUNCTION("""COMPUTED_VALUE"""),"https://motogpsport.cz")</f>
        <v>https://motogpsport.cz</v>
      </c>
      <c r="E855" s="3" t="str">
        <f ca="1">IFERROR(__xludf.DUMMYFUNCTION("""COMPUTED_VALUE"""),"celý web")</f>
        <v>celý web</v>
      </c>
      <c r="F855" s="4" t="str">
        <f ca="1">IFERROR(__xludf.DUMMYFUNCTION("""COMPUTED_VALUE"""),"https://motogpsport.cz")</f>
        <v>https://motogpsport.cz</v>
      </c>
      <c r="G855" s="3" t="str">
        <f ca="1">IFERROR(__xludf.DUMMYFUNCTION("""COMPUTED_VALUE"""),"cílený mobilní interscroller mid season")</f>
        <v>cílený mobilní interscroller mid season</v>
      </c>
      <c r="H855" s="3">
        <f ca="1">IFERROR(__xludf.DUMMYFUNCTION("""COMPUTED_VALUE"""),7)</f>
        <v>7</v>
      </c>
      <c r="I855" s="5">
        <f ca="1">IFERROR(__xludf.DUMMYFUNCTION("""COMPUTED_VALUE"""),1000)</f>
        <v>1000</v>
      </c>
      <c r="J855" s="5">
        <f ca="1">IFERROR(__xludf.DUMMYFUNCTION("""COMPUTED_VALUE"""),420)</f>
        <v>420</v>
      </c>
      <c r="K855" s="3"/>
      <c r="L855" s="3" t="str">
        <f ca="1">IFERROR(__xludf.DUMMYFUNCTION("""COMPUTED_VALUE"""),"Cost per period")</f>
        <v>Cost per period</v>
      </c>
      <c r="M855" s="3"/>
      <c r="N855" s="3"/>
      <c r="O855" s="3" t="str">
        <f ca="1">IFERROR(__xludf.DUMMYFUNCTION("""COMPUTED_VALUE"""),"600")</f>
        <v>600</v>
      </c>
      <c r="P855" s="3" t="str">
        <f ca="1">IFERROR(__xludf.DUMMYFUNCTION("""COMPUTED_VALUE"""),"1080")</f>
        <v>1080</v>
      </c>
      <c r="Q855" s="3" t="str">
        <f ca="1">IFERROR(__xludf.DUMMYFUNCTION("""COMPUTED_VALUE"""),"600x1080")</f>
        <v>600x1080</v>
      </c>
      <c r="R855" s="3"/>
      <c r="S855" s="3" t="str">
        <f ca="1">IFERROR(__xludf.DUMMYFUNCTION("""COMPUTED_VALUE"""),"200")</f>
        <v>200</v>
      </c>
      <c r="T855" s="3"/>
      <c r="U855" s="3" t="str">
        <f ca="1">IFERROR(__xludf.DUMMYFUNCTION("""COMPUTED_VALUE"""),"banner standard")</f>
        <v>banner standard</v>
      </c>
      <c r="V855" s="3"/>
      <c r="W855" s="4" t="str">
        <f ca="1">IFERROR(__xludf.DUMMYFUNCTION("""COMPUTED_VALUE"""),"https://reklama.cncenter.cz/Online/mobilni-interscroller")</f>
        <v>https://reklama.cncenter.cz/Online/mobilni-interscroller</v>
      </c>
      <c r="X855" s="3"/>
      <c r="Y855" s="3"/>
      <c r="Z855" s="3" t="str">
        <f ca="1">IFERROR(__xludf.DUMMYFUNCTION("""COMPUTED_VALUE"""),"podklady@cncenter.cz")</f>
        <v>podklady@cncenter.cz</v>
      </c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 t="str">
        <f ca="1">IFERROR(__xludf.DUMMYFUNCTION("""COMPUTED_VALUE"""),"mobile")</f>
        <v>mobile</v>
      </c>
      <c r="AO855" s="3"/>
      <c r="AP855" s="3"/>
      <c r="AQ855" s="3"/>
      <c r="AR855" s="3"/>
      <c r="AS855" s="3"/>
      <c r="AT855" s="3"/>
      <c r="AU855" s="3" t="str">
        <f ca="1">IFERROR(__xludf.DUMMYFUNCTION("""COMPUTED_VALUE"""),"cílený mobilní interscroller")</f>
        <v>cílený mobilní interscroller</v>
      </c>
    </row>
    <row r="856" spans="1:47" x14ac:dyDescent="0.3">
      <c r="A856" s="3">
        <f ca="1"/>
        <v>2346826</v>
      </c>
      <c r="B856" s="3" t="str">
        <f ca="1"/>
        <v>CZECH NEWS CENTER a. s.</v>
      </c>
      <c r="C856" s="3" t="str">
        <f ca="1">IFERROR(__xludf.DUMMYFUNCTION("""COMPUTED_VALUE"""),"Moto GP sport")</f>
        <v>Moto GP sport</v>
      </c>
      <c r="D856" s="4" t="str">
        <f ca="1">IFERROR(__xludf.DUMMYFUNCTION("""COMPUTED_VALUE"""),"https://motogpsport.cz")</f>
        <v>https://motogpsport.cz</v>
      </c>
      <c r="E856" s="3" t="str">
        <f ca="1">IFERROR(__xludf.DUMMYFUNCTION("""COMPUTED_VALUE"""),"celý web")</f>
        <v>celý web</v>
      </c>
      <c r="F856" s="4" t="str">
        <f ca="1">IFERROR(__xludf.DUMMYFUNCTION("""COMPUTED_VALUE"""),"https://motogpsport.cz")</f>
        <v>https://motogpsport.cz</v>
      </c>
      <c r="G856" s="3" t="str">
        <f ca="1">IFERROR(__xludf.DUMMYFUNCTION("""COMPUTED_VALUE"""),"cílený mobilní slide-up mid season")</f>
        <v>cílený mobilní slide-up mid season</v>
      </c>
      <c r="H856" s="3">
        <f ca="1">IFERROR(__xludf.DUMMYFUNCTION("""COMPUTED_VALUE"""),7)</f>
        <v>7</v>
      </c>
      <c r="I856" s="5">
        <f ca="1">IFERROR(__xludf.DUMMYFUNCTION("""COMPUTED_VALUE"""),1000)</f>
        <v>1000</v>
      </c>
      <c r="J856" s="5">
        <f ca="1">IFERROR(__xludf.DUMMYFUNCTION("""COMPUTED_VALUE"""),864)</f>
        <v>864</v>
      </c>
      <c r="K856" s="3"/>
      <c r="L856" s="3" t="str">
        <f ca="1">IFERROR(__xludf.DUMMYFUNCTION("""COMPUTED_VALUE"""),"Cost per period")</f>
        <v>Cost per period</v>
      </c>
      <c r="M856" s="3"/>
      <c r="N856" s="3"/>
      <c r="O856" s="3" t="str">
        <f ca="1">IFERROR(__xludf.DUMMYFUNCTION("""COMPUTED_VALUE"""),"300")</f>
        <v>300</v>
      </c>
      <c r="P856" s="3" t="str">
        <f ca="1">IFERROR(__xludf.DUMMYFUNCTION("""COMPUTED_VALUE"""),"120")</f>
        <v>120</v>
      </c>
      <c r="Q856" s="3" t="str">
        <f ca="1">IFERROR(__xludf.DUMMYFUNCTION("""COMPUTED_VALUE"""),"300x120")</f>
        <v>300x120</v>
      </c>
      <c r="R856" s="3"/>
      <c r="S856" s="3" t="str">
        <f ca="1">IFERROR(__xludf.DUMMYFUNCTION("""COMPUTED_VALUE"""),"100")</f>
        <v>100</v>
      </c>
      <c r="T856" s="3"/>
      <c r="U856" s="3" t="str">
        <f ca="1">IFERROR(__xludf.DUMMYFUNCTION("""COMPUTED_VALUE"""),"banner standard")</f>
        <v>banner standard</v>
      </c>
      <c r="V856" s="3"/>
      <c r="W856" s="4" t="str">
        <f ca="1">IFERROR(__xludf.DUMMYFUNCTION("""COMPUTED_VALUE"""),"https://reklama.cncenter.cz/Online/mobilni-slide-up")</f>
        <v>https://reklama.cncenter.cz/Online/mobilni-slide-up</v>
      </c>
      <c r="X856" s="3"/>
      <c r="Y856" s="3"/>
      <c r="Z856" s="3" t="str">
        <f ca="1">IFERROR(__xludf.DUMMYFUNCTION("""COMPUTED_VALUE"""),"podklady@cncenter.cz")</f>
        <v>podklady@cncenter.cz</v>
      </c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 t="str">
        <f ca="1">IFERROR(__xludf.DUMMYFUNCTION("""COMPUTED_VALUE"""),"mobile")</f>
        <v>mobile</v>
      </c>
      <c r="AO856" s="3"/>
      <c r="AP856" s="3"/>
      <c r="AQ856" s="3"/>
      <c r="AR856" s="3"/>
      <c r="AS856" s="3"/>
      <c r="AT856" s="3"/>
      <c r="AU856" s="3" t="str">
        <f ca="1">IFERROR(__xludf.DUMMYFUNCTION("""COMPUTED_VALUE"""),"cílený mobilní slide-up")</f>
        <v>cílený mobilní slide-up</v>
      </c>
    </row>
    <row r="857" spans="1:47" x14ac:dyDescent="0.3">
      <c r="A857" s="3">
        <f ca="1"/>
        <v>2346826</v>
      </c>
      <c r="B857" s="3" t="str">
        <f ca="1"/>
        <v>CZECH NEWS CENTER a. s.</v>
      </c>
      <c r="C857" s="3" t="str">
        <f ca="1">IFERROR(__xludf.DUMMYFUNCTION("""COMPUTED_VALUE"""),"Moto GP sport")</f>
        <v>Moto GP sport</v>
      </c>
      <c r="D857" s="4" t="str">
        <f ca="1">IFERROR(__xludf.DUMMYFUNCTION("""COMPUTED_VALUE"""),"https://motogpsport.cz")</f>
        <v>https://motogpsport.cz</v>
      </c>
      <c r="E857" s="3" t="str">
        <f ca="1">IFERROR(__xludf.DUMMYFUNCTION("""COMPUTED_VALUE"""),"celý web")</f>
        <v>celý web</v>
      </c>
      <c r="F857" s="4" t="str">
        <f ca="1">IFERROR(__xludf.DUMMYFUNCTION("""COMPUTED_VALUE"""),"https://motogpsport.cz")</f>
        <v>https://motogpsport.cz</v>
      </c>
      <c r="G857" s="3" t="str">
        <f ca="1">IFERROR(__xludf.DUMMYFUNCTION("""COMPUTED_VALUE"""),"cílený mobilní viněta mid season")</f>
        <v>cílený mobilní viněta mid season</v>
      </c>
      <c r="H857" s="3">
        <f ca="1">IFERROR(__xludf.DUMMYFUNCTION("""COMPUTED_VALUE"""),7)</f>
        <v>7</v>
      </c>
      <c r="I857" s="5">
        <f ca="1">IFERROR(__xludf.DUMMYFUNCTION("""COMPUTED_VALUE"""),1000)</f>
        <v>1000</v>
      </c>
      <c r="J857" s="5">
        <f ca="1">IFERROR(__xludf.DUMMYFUNCTION("""COMPUTED_VALUE"""),1488)</f>
        <v>1488</v>
      </c>
      <c r="K857" s="3"/>
      <c r="L857" s="3" t="str">
        <f ca="1">IFERROR(__xludf.DUMMYFUNCTION("""COMPUTED_VALUE"""),"Cost per period")</f>
        <v>Cost per period</v>
      </c>
      <c r="M857" s="3"/>
      <c r="N857" s="3"/>
      <c r="O857" s="3" t="str">
        <f ca="1">IFERROR(__xludf.DUMMYFUNCTION("""COMPUTED_VALUE"""),"600")</f>
        <v>600</v>
      </c>
      <c r="P857" s="3" t="str">
        <f ca="1">IFERROR(__xludf.DUMMYFUNCTION("""COMPUTED_VALUE"""),"800")</f>
        <v>800</v>
      </c>
      <c r="Q857" s="3" t="str">
        <f ca="1">IFERROR(__xludf.DUMMYFUNCTION("""COMPUTED_VALUE"""),"300x250 nebo 600x800")</f>
        <v>300x250 nebo 600x800</v>
      </c>
      <c r="R857" s="3"/>
      <c r="S857" s="3" t="str">
        <f ca="1">IFERROR(__xludf.DUMMYFUNCTION("""COMPUTED_VALUE"""),"100")</f>
        <v>100</v>
      </c>
      <c r="T857" s="3"/>
      <c r="U857" s="3" t="str">
        <f ca="1">IFERROR(__xludf.DUMMYFUNCTION("""COMPUTED_VALUE"""),"banner standard")</f>
        <v>banner standard</v>
      </c>
      <c r="V857" s="3"/>
      <c r="W857" s="4" t="str">
        <f ca="1">IFERROR(__xludf.DUMMYFUNCTION("""COMPUTED_VALUE"""),"https://reklama.cncenter.cz/Online/mobilni-vineta")</f>
        <v>https://reklama.cncenter.cz/Online/mobilni-vineta</v>
      </c>
      <c r="X857" s="3"/>
      <c r="Y857" s="3"/>
      <c r="Z857" s="3" t="str">
        <f ca="1">IFERROR(__xludf.DUMMYFUNCTION("""COMPUTED_VALUE"""),"podklady@cncenter.cz")</f>
        <v>podklady@cncenter.cz</v>
      </c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 t="str">
        <f ca="1">IFERROR(__xludf.DUMMYFUNCTION("""COMPUTED_VALUE"""),"mobile")</f>
        <v>mobile</v>
      </c>
      <c r="AO857" s="3"/>
      <c r="AP857" s="3"/>
      <c r="AQ857" s="3"/>
      <c r="AR857" s="3"/>
      <c r="AS857" s="3"/>
      <c r="AT857" s="3"/>
      <c r="AU857" s="3" t="str">
        <f ca="1">IFERROR(__xludf.DUMMYFUNCTION("""COMPUTED_VALUE"""),"cílený mobilní viněta")</f>
        <v>cílený mobilní viněta</v>
      </c>
    </row>
    <row r="858" spans="1:47" x14ac:dyDescent="0.3">
      <c r="A858" s="3">
        <f ca="1"/>
        <v>2346826</v>
      </c>
      <c r="B858" s="3" t="str">
        <f ca="1"/>
        <v>CZECH NEWS CENTER a. s.</v>
      </c>
      <c r="C858" s="3" t="str">
        <f ca="1">IFERROR(__xludf.DUMMYFUNCTION("""COMPUTED_VALUE"""),"Moto GP sport")</f>
        <v>Moto GP sport</v>
      </c>
      <c r="D858" s="4" t="str">
        <f ca="1">IFERROR(__xludf.DUMMYFUNCTION("""COMPUTED_VALUE"""),"https://motogpsport.cz")</f>
        <v>https://motogpsport.cz</v>
      </c>
      <c r="E858" s="3" t="str">
        <f ca="1">IFERROR(__xludf.DUMMYFUNCTION("""COMPUTED_VALUE"""),"celý web")</f>
        <v>celý web</v>
      </c>
      <c r="F858" s="4" t="str">
        <f ca="1">IFERROR(__xludf.DUMMYFUNCTION("""COMPUTED_VALUE"""),"https://motogpsport.cz")</f>
        <v>https://motogpsport.cz</v>
      </c>
      <c r="G858" s="3" t="str">
        <f ca="1">IFERROR(__xludf.DUMMYFUNCTION("""COMPUTED_VALUE"""),"cílený nativní rectangle cross-device mid season")</f>
        <v>cílený nativní rectangle cross-device mid season</v>
      </c>
      <c r="H858" s="3">
        <f ca="1">IFERROR(__xludf.DUMMYFUNCTION("""COMPUTED_VALUE"""),7)</f>
        <v>7</v>
      </c>
      <c r="I858" s="5">
        <f ca="1">IFERROR(__xludf.DUMMYFUNCTION("""COMPUTED_VALUE"""),1000)</f>
        <v>1000</v>
      </c>
      <c r="J858" s="5">
        <f ca="1">IFERROR(__xludf.DUMMYFUNCTION("""COMPUTED_VALUE"""),336)</f>
        <v>336</v>
      </c>
      <c r="K858" s="3"/>
      <c r="L858" s="3" t="str">
        <f ca="1">IFERROR(__xludf.DUMMYFUNCTION("""COMPUTED_VALUE"""),"Cost per period")</f>
        <v>Cost per period</v>
      </c>
      <c r="M858" s="3"/>
      <c r="N858" s="3"/>
      <c r="O858" s="3" t="str">
        <f ca="1">IFERROR(__xludf.DUMMYFUNCTION("""COMPUTED_VALUE"""),"640")</f>
        <v>640</v>
      </c>
      <c r="P858" s="3" t="str">
        <f ca="1">IFERROR(__xludf.DUMMYFUNCTION("""COMPUTED_VALUE"""),"335, 640")</f>
        <v>335, 640</v>
      </c>
      <c r="Q858" s="3" t="str">
        <f ca="1">IFERROR(__xludf.DUMMYFUNCTION("""COMPUTED_VALUE"""),"640x640 a 640x335 + text + logo")</f>
        <v>640x640 a 640x335 + text + logo</v>
      </c>
      <c r="R858" s="3"/>
      <c r="S858" s="3" t="str">
        <f ca="1">IFERROR(__xludf.DUMMYFUNCTION("""COMPUTED_VALUE"""),"45")</f>
        <v>45</v>
      </c>
      <c r="T858" s="3"/>
      <c r="U858" s="3" t="str">
        <f ca="1">IFERROR(__xludf.DUMMYFUNCTION("""COMPUTED_VALUE"""),"nativní reklama")</f>
        <v>nativní reklama</v>
      </c>
      <c r="V858" s="3"/>
      <c r="W858" s="4" t="str">
        <f ca="1">IFERROR(__xludf.DUMMYFUNCTION("""COMPUTED_VALUE"""),"https://reklama.cncenter.cz/Online/nativni-rectangle-cross-device")</f>
        <v>https://reklama.cncenter.cz/Online/nativni-rectangle-cross-device</v>
      </c>
      <c r="X858" s="3"/>
      <c r="Y858" s="3"/>
      <c r="Z858" s="3" t="str">
        <f ca="1">IFERROR(__xludf.DUMMYFUNCTION("""COMPUTED_VALUE"""),"podklady@cncenter.cz")</f>
        <v>podklady@cncenter.cz</v>
      </c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 t="str">
        <f ca="1">IFERROR(__xludf.DUMMYFUNCTION("""COMPUTED_VALUE"""),"cross-device")</f>
        <v>cross-device</v>
      </c>
      <c r="AO858" s="3"/>
      <c r="AP858" s="3"/>
      <c r="AQ858" s="3"/>
      <c r="AR858" s="3"/>
      <c r="AS858" s="3"/>
      <c r="AT858" s="3"/>
      <c r="AU858" s="3" t="str">
        <f ca="1">IFERROR(__xludf.DUMMYFUNCTION("""COMPUTED_VALUE"""),"cílený nativní rectangle cross-device")</f>
        <v>cílený nativní rectangle cross-device</v>
      </c>
    </row>
    <row r="859" spans="1:47" x14ac:dyDescent="0.3">
      <c r="A859" s="3">
        <f ca="1"/>
        <v>2346826</v>
      </c>
      <c r="B859" s="3" t="str">
        <f ca="1"/>
        <v>CZECH NEWS CENTER a. s.</v>
      </c>
      <c r="C859" s="3" t="str">
        <f ca="1">IFERROR(__xludf.DUMMYFUNCTION("""COMPUTED_VALUE"""),"Moto GP sport")</f>
        <v>Moto GP sport</v>
      </c>
      <c r="D859" s="4" t="str">
        <f ca="1">IFERROR(__xludf.DUMMYFUNCTION("""COMPUTED_VALUE"""),"https://motogpsport.cz")</f>
        <v>https://motogpsport.cz</v>
      </c>
      <c r="E859" s="3" t="str">
        <f ca="1">IFERROR(__xludf.DUMMYFUNCTION("""COMPUTED_VALUE"""),"celý web")</f>
        <v>celý web</v>
      </c>
      <c r="F859" s="4" t="str">
        <f ca="1">IFERROR(__xludf.DUMMYFUNCTION("""COMPUTED_VALUE"""),"https://motogpsport.cz")</f>
        <v>https://motogpsport.cz</v>
      </c>
      <c r="G859" s="3" t="str">
        <f ca="1">IFERROR(__xludf.DUMMYFUNCTION("""COMPUTED_VALUE"""),"cílený outstream mid season")</f>
        <v>cílený outstream mid season</v>
      </c>
      <c r="H859" s="3">
        <f ca="1">IFERROR(__xludf.DUMMYFUNCTION("""COMPUTED_VALUE"""),7)</f>
        <v>7</v>
      </c>
      <c r="I859" s="5">
        <f ca="1">IFERROR(__xludf.DUMMYFUNCTION("""COMPUTED_VALUE"""),1000)</f>
        <v>1000</v>
      </c>
      <c r="J859" s="5">
        <f ca="1">IFERROR(__xludf.DUMMYFUNCTION("""COMPUTED_VALUE"""),420)</f>
        <v>420</v>
      </c>
      <c r="K859" s="3"/>
      <c r="L859" s="3" t="str">
        <f ca="1">IFERROR(__xludf.DUMMYFUNCTION("""COMPUTED_VALUE"""),"Cost per period")</f>
        <v>Cost per period</v>
      </c>
      <c r="M859" s="3"/>
      <c r="N859" s="3"/>
      <c r="O859" s="3" t="str">
        <f ca="1">IFERROR(__xludf.DUMMYFUNCTION("""COMPUTED_VALUE"""),"1280")</f>
        <v>1280</v>
      </c>
      <c r="P859" s="3" t="str">
        <f ca="1">IFERROR(__xludf.DUMMYFUNCTION("""COMPUTED_VALUE"""),"720")</f>
        <v>720</v>
      </c>
      <c r="Q859" s="3" t="str">
        <f ca="1">IFERROR(__xludf.DUMMYFUNCTION("""COMPUTED_VALUE"""),"16:9")</f>
        <v>16:9</v>
      </c>
      <c r="R859" s="3"/>
      <c r="S859" s="3" t="str">
        <f ca="1">IFERROR(__xludf.DUMMYFUNCTION("""COMPUTED_VALUE"""),"100")</f>
        <v>100</v>
      </c>
      <c r="T859" s="3"/>
      <c r="U859" s="3" t="str">
        <f ca="1">IFERROR(__xludf.DUMMYFUNCTION("""COMPUTED_VALUE"""),"videospot")</f>
        <v>videospot</v>
      </c>
      <c r="V859" s="3"/>
      <c r="W859" s="4" t="str">
        <f ca="1">IFERROR(__xludf.DUMMYFUNCTION("""COMPUTED_VALUE"""),"https://reklama.cncenter.cz/Online/Outstream")</f>
        <v>https://reklama.cncenter.cz/Online/Outstream</v>
      </c>
      <c r="X859" s="3"/>
      <c r="Y859" s="3"/>
      <c r="Z859" s="3" t="str">
        <f ca="1">IFERROR(__xludf.DUMMYFUNCTION("""COMPUTED_VALUE"""),"podklady@cncenter.cz")</f>
        <v>podklady@cncenter.cz</v>
      </c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 t="str">
        <f ca="1">IFERROR(__xludf.DUMMYFUNCTION("""COMPUTED_VALUE"""),"cross-device")</f>
        <v>cross-device</v>
      </c>
      <c r="AO859" s="3"/>
      <c r="AP859" s="3"/>
      <c r="AQ859" s="3"/>
      <c r="AR859" s="3"/>
      <c r="AS859" s="3"/>
      <c r="AT859" s="3"/>
      <c r="AU859" s="3" t="str">
        <f ca="1">IFERROR(__xludf.DUMMYFUNCTION("""COMPUTED_VALUE"""),"cílený outstream")</f>
        <v>cílený outstream</v>
      </c>
    </row>
    <row r="860" spans="1:47" x14ac:dyDescent="0.3">
      <c r="A860" s="3">
        <f ca="1"/>
        <v>2346826</v>
      </c>
      <c r="B860" s="3" t="str">
        <f ca="1"/>
        <v>CZECH NEWS CENTER a. s.</v>
      </c>
      <c r="C860" s="3" t="str">
        <f ca="1">IFERROR(__xludf.DUMMYFUNCTION("""COMPUTED_VALUE"""),"Moto GP sport")</f>
        <v>Moto GP sport</v>
      </c>
      <c r="D860" s="4" t="str">
        <f ca="1">IFERROR(__xludf.DUMMYFUNCTION("""COMPUTED_VALUE"""),"https://motogpsport.cz")</f>
        <v>https://motogpsport.cz</v>
      </c>
      <c r="E860" s="3" t="str">
        <f ca="1">IFERROR(__xludf.DUMMYFUNCTION("""COMPUTED_VALUE"""),"celý web")</f>
        <v>celý web</v>
      </c>
      <c r="F860" s="4" t="str">
        <f ca="1">IFERROR(__xludf.DUMMYFUNCTION("""COMPUTED_VALUE"""),"https://motogpsport.cz")</f>
        <v>https://motogpsport.cz</v>
      </c>
      <c r="G860" s="3" t="str">
        <f ca="1">IFERROR(__xludf.DUMMYFUNCTION("""COMPUTED_VALUE"""),"dokoupení proma o 2 týdny - 10 000 PV *** mid season")</f>
        <v>dokoupení proma o 2 týdny - 10 000 PV *** mid season</v>
      </c>
      <c r="H860" s="3">
        <f ca="1">IFERROR(__xludf.DUMMYFUNCTION("""COMPUTED_VALUE"""),1)</f>
        <v>1</v>
      </c>
      <c r="I860" s="5">
        <f ca="1">IFERROR(__xludf.DUMMYFUNCTION("""COMPUTED_VALUE"""),1)</f>
        <v>1</v>
      </c>
      <c r="J860" s="5">
        <f ca="1">IFERROR(__xludf.DUMMYFUNCTION("""COMPUTED_VALUE"""),60000)</f>
        <v>60000</v>
      </c>
      <c r="K860" s="3"/>
      <c r="L860" s="3" t="str">
        <f ca="1">IFERROR(__xludf.DUMMYFUNCTION("""COMPUTED_VALUE"""),"Cost per instance")</f>
        <v>Cost per instance</v>
      </c>
      <c r="M860" s="3"/>
      <c r="N860" s="3"/>
      <c r="O860" s="3"/>
      <c r="P860" s="3"/>
      <c r="Q860" s="3"/>
      <c r="R860" s="3"/>
      <c r="S860" s="3" t="str">
        <f ca="1">IFERROR(__xludf.DUMMYFUNCTION("""COMPUTED_VALUE"""),"100")</f>
        <v>100</v>
      </c>
      <c r="T860" s="3"/>
      <c r="U860" s="3" t="str">
        <f ca="1">IFERROR(__xludf.DUMMYFUNCTION("""COMPUTED_VALUE"""),"microsite")</f>
        <v>microsite</v>
      </c>
      <c r="V860" s="3"/>
      <c r="W860" s="3"/>
      <c r="X860" s="3"/>
      <c r="Y860" s="3"/>
      <c r="Z860" s="3" t="str">
        <f ca="1">IFERROR(__xludf.DUMMYFUNCTION("""COMPUTED_VALUE"""),"podklady@cncenter.cz")</f>
        <v>podklady@cncenter.cz</v>
      </c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 t="str">
        <f ca="1">IFERROR(__xludf.DUMMYFUNCTION("""COMPUTED_VALUE"""),"cross-device")</f>
        <v>cross-device</v>
      </c>
      <c r="AO860" s="3"/>
      <c r="AP860" s="3"/>
      <c r="AQ860" s="3"/>
      <c r="AR860" s="3"/>
      <c r="AS860" s="3"/>
      <c r="AT860" s="3"/>
      <c r="AU860" s="3" t="str">
        <f ca="1">IFERROR(__xludf.DUMMYFUNCTION("""COMPUTED_VALUE"""),"dokoupení proma o 2 týdny - 10 000 PV ***")</f>
        <v>dokoupení proma o 2 týdny - 10 000 PV ***</v>
      </c>
    </row>
    <row r="861" spans="1:47" x14ac:dyDescent="0.3">
      <c r="A861" s="3">
        <f ca="1"/>
        <v>2346826</v>
      </c>
      <c r="B861" s="3" t="str">
        <f ca="1"/>
        <v>CZECH NEWS CENTER a. s.</v>
      </c>
      <c r="C861" s="3" t="str">
        <f ca="1">IFERROR(__xludf.DUMMYFUNCTION("""COMPUTED_VALUE"""),"Moto GP sport")</f>
        <v>Moto GP sport</v>
      </c>
      <c r="D861" s="4" t="str">
        <f ca="1">IFERROR(__xludf.DUMMYFUNCTION("""COMPUTED_VALUE"""),"https://motogpsport.cz")</f>
        <v>https://motogpsport.cz</v>
      </c>
      <c r="E861" s="3" t="str">
        <f ca="1">IFERROR(__xludf.DUMMYFUNCTION("""COMPUTED_VALUE"""),"celý web")</f>
        <v>celý web</v>
      </c>
      <c r="F861" s="4" t="str">
        <f ca="1">IFERROR(__xludf.DUMMYFUNCTION("""COMPUTED_VALUE"""),"https://motogpsport.cz")</f>
        <v>https://motogpsport.cz</v>
      </c>
      <c r="G861" s="3" t="str">
        <f ca="1">IFERROR(__xludf.DUMMYFUNCTION("""COMPUTED_VALUE"""),"double skyscraper mid season")</f>
        <v>double skyscraper mid season</v>
      </c>
      <c r="H861" s="3">
        <f ca="1">IFERROR(__xludf.DUMMYFUNCTION("""COMPUTED_VALUE"""),7)</f>
        <v>7</v>
      </c>
      <c r="I861" s="5">
        <f ca="1">IFERROR(__xludf.DUMMYFUNCTION("""COMPUTED_VALUE"""),1000)</f>
        <v>1000</v>
      </c>
      <c r="J861" s="5">
        <f ca="1">IFERROR(__xludf.DUMMYFUNCTION("""COMPUTED_VALUE"""),270)</f>
        <v>270</v>
      </c>
      <c r="K861" s="3"/>
      <c r="L861" s="3" t="str">
        <f ca="1">IFERROR(__xludf.DUMMYFUNCTION("""COMPUTED_VALUE"""),"Cost per period")</f>
        <v>Cost per period</v>
      </c>
      <c r="M861" s="3"/>
      <c r="N861" s="3"/>
      <c r="O861" s="3" t="str">
        <f ca="1">IFERROR(__xludf.DUMMYFUNCTION("""COMPUTED_VALUE"""),"300")</f>
        <v>300</v>
      </c>
      <c r="P861" s="3" t="str">
        <f ca="1">IFERROR(__xludf.DUMMYFUNCTION("""COMPUTED_VALUE"""),"600")</f>
        <v>600</v>
      </c>
      <c r="Q861" s="3" t="str">
        <f ca="1">IFERROR(__xludf.DUMMYFUNCTION("""COMPUTED_VALUE"""),"300x600")</f>
        <v>300x600</v>
      </c>
      <c r="R861" s="3"/>
      <c r="S861" s="3" t="str">
        <f ca="1">IFERROR(__xludf.DUMMYFUNCTION("""COMPUTED_VALUE"""),"100 (200 - HTML5)")</f>
        <v>100 (200 - HTML5)</v>
      </c>
      <c r="T861" s="3"/>
      <c r="U861" s="3" t="str">
        <f ca="1">IFERROR(__xludf.DUMMYFUNCTION("""COMPUTED_VALUE"""),"banner standard")</f>
        <v>banner standard</v>
      </c>
      <c r="V861" s="3"/>
      <c r="W861" s="4" t="str">
        <f ca="1">IFERROR(__xludf.DUMMYFUNCTION("""COMPUTED_VALUE"""),"https://reklama.cncenter.cz/Online/double-skyscraper")</f>
        <v>https://reklama.cncenter.cz/Online/double-skyscraper</v>
      </c>
      <c r="X861" s="3"/>
      <c r="Y861" s="3"/>
      <c r="Z861" s="3" t="str">
        <f ca="1">IFERROR(__xludf.DUMMYFUNCTION("""COMPUTED_VALUE"""),"podklady@cncenter.cz")</f>
        <v>podklady@cncenter.cz</v>
      </c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 t="str">
        <f ca="1">IFERROR(__xludf.DUMMYFUNCTION("""COMPUTED_VALUE"""),"desktop")</f>
        <v>desktop</v>
      </c>
      <c r="AO861" s="3"/>
      <c r="AP861" s="3"/>
      <c r="AQ861" s="3"/>
      <c r="AR861" s="3"/>
      <c r="AS861" s="3"/>
      <c r="AT861" s="3"/>
      <c r="AU861" s="3" t="str">
        <f ca="1">IFERROR(__xludf.DUMMYFUNCTION("""COMPUTED_VALUE"""),"double skyscraper")</f>
        <v>double skyscraper</v>
      </c>
    </row>
    <row r="862" spans="1:47" x14ac:dyDescent="0.3">
      <c r="A862" s="3">
        <f ca="1"/>
        <v>2346826</v>
      </c>
      <c r="B862" s="3" t="str">
        <f ca="1"/>
        <v>CZECH NEWS CENTER a. s.</v>
      </c>
      <c r="C862" s="3" t="str">
        <f ca="1">IFERROR(__xludf.DUMMYFUNCTION("""COMPUTED_VALUE"""),"Moto GP sport")</f>
        <v>Moto GP sport</v>
      </c>
      <c r="D862" s="4" t="str">
        <f ca="1">IFERROR(__xludf.DUMMYFUNCTION("""COMPUTED_VALUE"""),"https://motogpsport.cz")</f>
        <v>https://motogpsport.cz</v>
      </c>
      <c r="E862" s="3" t="str">
        <f ca="1">IFERROR(__xludf.DUMMYFUNCTION("""COMPUTED_VALUE"""),"celý web")</f>
        <v>celý web</v>
      </c>
      <c r="F862" s="4" t="str">
        <f ca="1">IFERROR(__xludf.DUMMYFUNCTION("""COMPUTED_VALUE"""),"https://motogpsport.cz")</f>
        <v>https://motogpsport.cz</v>
      </c>
      <c r="G862" s="3" t="str">
        <f ca="1">IFERROR(__xludf.DUMMYFUNCTION("""COMPUTED_VALUE"""),"mobilní interscroller mid season")</f>
        <v>mobilní interscroller mid season</v>
      </c>
      <c r="H862" s="3">
        <f ca="1">IFERROR(__xludf.DUMMYFUNCTION("""COMPUTED_VALUE"""),7)</f>
        <v>7</v>
      </c>
      <c r="I862" s="5">
        <f ca="1">IFERROR(__xludf.DUMMYFUNCTION("""COMPUTED_VALUE"""),1000)</f>
        <v>1000</v>
      </c>
      <c r="J862" s="5">
        <f ca="1">IFERROR(__xludf.DUMMYFUNCTION("""COMPUTED_VALUE"""),350)</f>
        <v>350</v>
      </c>
      <c r="K862" s="3"/>
      <c r="L862" s="3" t="str">
        <f ca="1">IFERROR(__xludf.DUMMYFUNCTION("""COMPUTED_VALUE"""),"Cost per period")</f>
        <v>Cost per period</v>
      </c>
      <c r="M862" s="3"/>
      <c r="N862" s="3"/>
      <c r="O862" s="3" t="str">
        <f ca="1">IFERROR(__xludf.DUMMYFUNCTION("""COMPUTED_VALUE"""),"600")</f>
        <v>600</v>
      </c>
      <c r="P862" s="3" t="str">
        <f ca="1">IFERROR(__xludf.DUMMYFUNCTION("""COMPUTED_VALUE"""),"1080")</f>
        <v>1080</v>
      </c>
      <c r="Q862" s="3" t="str">
        <f ca="1">IFERROR(__xludf.DUMMYFUNCTION("""COMPUTED_VALUE"""),"600x1080")</f>
        <v>600x1080</v>
      </c>
      <c r="R862" s="3"/>
      <c r="S862" s="3" t="str">
        <f ca="1">IFERROR(__xludf.DUMMYFUNCTION("""COMPUTED_VALUE"""),"200")</f>
        <v>200</v>
      </c>
      <c r="T862" s="3"/>
      <c r="U862" s="3" t="str">
        <f ca="1">IFERROR(__xludf.DUMMYFUNCTION("""COMPUTED_VALUE"""),"banner standard")</f>
        <v>banner standard</v>
      </c>
      <c r="V862" s="3"/>
      <c r="W862" s="4" t="str">
        <f ca="1">IFERROR(__xludf.DUMMYFUNCTION("""COMPUTED_VALUE"""),"https://reklama.cncenter.cz/Online/mobilni-interscroller")</f>
        <v>https://reklama.cncenter.cz/Online/mobilni-interscroller</v>
      </c>
      <c r="X862" s="3"/>
      <c r="Y862" s="3"/>
      <c r="Z862" s="3" t="str">
        <f ca="1">IFERROR(__xludf.DUMMYFUNCTION("""COMPUTED_VALUE"""),"podklady@cncenter.cz")</f>
        <v>podklady@cncenter.cz</v>
      </c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 t="str">
        <f ca="1">IFERROR(__xludf.DUMMYFUNCTION("""COMPUTED_VALUE"""),"mobile")</f>
        <v>mobile</v>
      </c>
      <c r="AO862" s="3"/>
      <c r="AP862" s="3"/>
      <c r="AQ862" s="3"/>
      <c r="AR862" s="3"/>
      <c r="AS862" s="3"/>
      <c r="AT862" s="3"/>
      <c r="AU862" s="3" t="str">
        <f ca="1">IFERROR(__xludf.DUMMYFUNCTION("""COMPUTED_VALUE"""),"mobilní interscroller")</f>
        <v>mobilní interscroller</v>
      </c>
    </row>
    <row r="863" spans="1:47" x14ac:dyDescent="0.3">
      <c r="A863" s="3">
        <f ca="1"/>
        <v>2346826</v>
      </c>
      <c r="B863" s="3" t="str">
        <f ca="1"/>
        <v>CZECH NEWS CENTER a. s.</v>
      </c>
      <c r="C863" s="3" t="str">
        <f ca="1">IFERROR(__xludf.DUMMYFUNCTION("""COMPUTED_VALUE"""),"Moto GP sport")</f>
        <v>Moto GP sport</v>
      </c>
      <c r="D863" s="4" t="str">
        <f ca="1">IFERROR(__xludf.DUMMYFUNCTION("""COMPUTED_VALUE"""),"https://motogpsport.cz")</f>
        <v>https://motogpsport.cz</v>
      </c>
      <c r="E863" s="3" t="str">
        <f ca="1">IFERROR(__xludf.DUMMYFUNCTION("""COMPUTED_VALUE"""),"celý web")</f>
        <v>celý web</v>
      </c>
      <c r="F863" s="4" t="str">
        <f ca="1">IFERROR(__xludf.DUMMYFUNCTION("""COMPUTED_VALUE"""),"https://motogpsport.cz")</f>
        <v>https://motogpsport.cz</v>
      </c>
      <c r="G863" s="3" t="str">
        <f ca="1">IFERROR(__xludf.DUMMYFUNCTION("""COMPUTED_VALUE"""),"mobilní slide-up mid season")</f>
        <v>mobilní slide-up mid season</v>
      </c>
      <c r="H863" s="3">
        <f ca="1">IFERROR(__xludf.DUMMYFUNCTION("""COMPUTED_VALUE"""),7)</f>
        <v>7</v>
      </c>
      <c r="I863" s="5">
        <f ca="1">IFERROR(__xludf.DUMMYFUNCTION("""COMPUTED_VALUE"""),1000)</f>
        <v>1000</v>
      </c>
      <c r="J863" s="5">
        <f ca="1">IFERROR(__xludf.DUMMYFUNCTION("""COMPUTED_VALUE"""),720)</f>
        <v>720</v>
      </c>
      <c r="K863" s="3"/>
      <c r="L863" s="3" t="str">
        <f ca="1">IFERROR(__xludf.DUMMYFUNCTION("""COMPUTED_VALUE"""),"Cost per period")</f>
        <v>Cost per period</v>
      </c>
      <c r="M863" s="3"/>
      <c r="N863" s="3"/>
      <c r="O863" s="3" t="str">
        <f ca="1">IFERROR(__xludf.DUMMYFUNCTION("""COMPUTED_VALUE"""),"300")</f>
        <v>300</v>
      </c>
      <c r="P863" s="3" t="str">
        <f ca="1">IFERROR(__xludf.DUMMYFUNCTION("""COMPUTED_VALUE"""),"120")</f>
        <v>120</v>
      </c>
      <c r="Q863" s="3" t="str">
        <f ca="1">IFERROR(__xludf.DUMMYFUNCTION("""COMPUTED_VALUE"""),"300x120")</f>
        <v>300x120</v>
      </c>
      <c r="R863" s="3"/>
      <c r="S863" s="3" t="str">
        <f ca="1">IFERROR(__xludf.DUMMYFUNCTION("""COMPUTED_VALUE"""),"100")</f>
        <v>100</v>
      </c>
      <c r="T863" s="3"/>
      <c r="U863" s="3" t="str">
        <f ca="1">IFERROR(__xludf.DUMMYFUNCTION("""COMPUTED_VALUE"""),"banner standard")</f>
        <v>banner standard</v>
      </c>
      <c r="V863" s="3"/>
      <c r="W863" s="4" t="str">
        <f ca="1">IFERROR(__xludf.DUMMYFUNCTION("""COMPUTED_VALUE"""),"https://reklama.cncenter.cz/Online/mobilni-slide-up")</f>
        <v>https://reklama.cncenter.cz/Online/mobilni-slide-up</v>
      </c>
      <c r="X863" s="3"/>
      <c r="Y863" s="3"/>
      <c r="Z863" s="3" t="str">
        <f ca="1">IFERROR(__xludf.DUMMYFUNCTION("""COMPUTED_VALUE"""),"podklady@cncenter.cz")</f>
        <v>podklady@cncenter.cz</v>
      </c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 t="str">
        <f ca="1">IFERROR(__xludf.DUMMYFUNCTION("""COMPUTED_VALUE"""),"mobile")</f>
        <v>mobile</v>
      </c>
      <c r="AO863" s="3"/>
      <c r="AP863" s="3"/>
      <c r="AQ863" s="3"/>
      <c r="AR863" s="3"/>
      <c r="AS863" s="3"/>
      <c r="AT863" s="3"/>
      <c r="AU863" s="3" t="str">
        <f ca="1">IFERROR(__xludf.DUMMYFUNCTION("""COMPUTED_VALUE"""),"mobilní slide-up")</f>
        <v>mobilní slide-up</v>
      </c>
    </row>
    <row r="864" spans="1:47" x14ac:dyDescent="0.3">
      <c r="A864" s="3">
        <f ca="1"/>
        <v>2346826</v>
      </c>
      <c r="B864" s="3" t="str">
        <f ca="1"/>
        <v>CZECH NEWS CENTER a. s.</v>
      </c>
      <c r="C864" s="3" t="str">
        <f ca="1">IFERROR(__xludf.DUMMYFUNCTION("""COMPUTED_VALUE"""),"Moto GP sport")</f>
        <v>Moto GP sport</v>
      </c>
      <c r="D864" s="4" t="str">
        <f ca="1">IFERROR(__xludf.DUMMYFUNCTION("""COMPUTED_VALUE"""),"https://motogpsport.cz")</f>
        <v>https://motogpsport.cz</v>
      </c>
      <c r="E864" s="3" t="str">
        <f ca="1">IFERROR(__xludf.DUMMYFUNCTION("""COMPUTED_VALUE"""),"celý web")</f>
        <v>celý web</v>
      </c>
      <c r="F864" s="4" t="str">
        <f ca="1">IFERROR(__xludf.DUMMYFUNCTION("""COMPUTED_VALUE"""),"https://motogpsport.cz")</f>
        <v>https://motogpsport.cz</v>
      </c>
      <c r="G864" s="3" t="str">
        <f ca="1">IFERROR(__xludf.DUMMYFUNCTION("""COMPUTED_VALUE"""),"mobilní viněta mid season")</f>
        <v>mobilní viněta mid season</v>
      </c>
      <c r="H864" s="3">
        <f ca="1">IFERROR(__xludf.DUMMYFUNCTION("""COMPUTED_VALUE"""),7)</f>
        <v>7</v>
      </c>
      <c r="I864" s="5">
        <f ca="1">IFERROR(__xludf.DUMMYFUNCTION("""COMPUTED_VALUE"""),1000)</f>
        <v>1000</v>
      </c>
      <c r="J864" s="5">
        <f ca="1">IFERROR(__xludf.DUMMYFUNCTION("""COMPUTED_VALUE"""),1240)</f>
        <v>1240</v>
      </c>
      <c r="K864" s="3"/>
      <c r="L864" s="3" t="str">
        <f ca="1">IFERROR(__xludf.DUMMYFUNCTION("""COMPUTED_VALUE"""),"Cost per period")</f>
        <v>Cost per period</v>
      </c>
      <c r="M864" s="3"/>
      <c r="N864" s="3"/>
      <c r="O864" s="3" t="str">
        <f ca="1">IFERROR(__xludf.DUMMYFUNCTION("""COMPUTED_VALUE"""),"600")</f>
        <v>600</v>
      </c>
      <c r="P864" s="3" t="str">
        <f ca="1">IFERROR(__xludf.DUMMYFUNCTION("""COMPUTED_VALUE"""),"800")</f>
        <v>800</v>
      </c>
      <c r="Q864" s="3" t="str">
        <f ca="1">IFERROR(__xludf.DUMMYFUNCTION("""COMPUTED_VALUE"""),"300x250 nebo 600x800")</f>
        <v>300x250 nebo 600x800</v>
      </c>
      <c r="R864" s="3"/>
      <c r="S864" s="3" t="str">
        <f ca="1">IFERROR(__xludf.DUMMYFUNCTION("""COMPUTED_VALUE"""),"100")</f>
        <v>100</v>
      </c>
      <c r="T864" s="3"/>
      <c r="U864" s="3" t="str">
        <f ca="1">IFERROR(__xludf.DUMMYFUNCTION("""COMPUTED_VALUE"""),"banner standard")</f>
        <v>banner standard</v>
      </c>
      <c r="V864" s="3"/>
      <c r="W864" s="4" t="str">
        <f ca="1">IFERROR(__xludf.DUMMYFUNCTION("""COMPUTED_VALUE"""),"https://reklama.cncenter.cz/Online/mobilni-vineta")</f>
        <v>https://reklama.cncenter.cz/Online/mobilni-vineta</v>
      </c>
      <c r="X864" s="3"/>
      <c r="Y864" s="3"/>
      <c r="Z864" s="3" t="str">
        <f ca="1">IFERROR(__xludf.DUMMYFUNCTION("""COMPUTED_VALUE"""),"podklady@cncenter.cz")</f>
        <v>podklady@cncenter.cz</v>
      </c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 t="str">
        <f ca="1">IFERROR(__xludf.DUMMYFUNCTION("""COMPUTED_VALUE"""),"mobile")</f>
        <v>mobile</v>
      </c>
      <c r="AO864" s="3"/>
      <c r="AP864" s="3"/>
      <c r="AQ864" s="3"/>
      <c r="AR864" s="3"/>
      <c r="AS864" s="3"/>
      <c r="AT864" s="3"/>
      <c r="AU864" s="3" t="str">
        <f ca="1">IFERROR(__xludf.DUMMYFUNCTION("""COMPUTED_VALUE"""),"mobilní viněta")</f>
        <v>mobilní viněta</v>
      </c>
    </row>
    <row r="865" spans="1:47" x14ac:dyDescent="0.3">
      <c r="A865" s="3">
        <f ca="1"/>
        <v>2346826</v>
      </c>
      <c r="B865" s="3" t="str">
        <f ca="1"/>
        <v>CZECH NEWS CENTER a. s.</v>
      </c>
      <c r="C865" s="3" t="str">
        <f ca="1">IFERROR(__xludf.DUMMYFUNCTION("""COMPUTED_VALUE"""),"Moto GP sport")</f>
        <v>Moto GP sport</v>
      </c>
      <c r="D865" s="4" t="str">
        <f ca="1">IFERROR(__xludf.DUMMYFUNCTION("""COMPUTED_VALUE"""),"https://motogpsport.cz")</f>
        <v>https://motogpsport.cz</v>
      </c>
      <c r="E865" s="3" t="str">
        <f ca="1">IFERROR(__xludf.DUMMYFUNCTION("""COMPUTED_VALUE"""),"celý web")</f>
        <v>celý web</v>
      </c>
      <c r="F865" s="4" t="str">
        <f ca="1">IFERROR(__xludf.DUMMYFUNCTION("""COMPUTED_VALUE"""),"https://motogpsport.cz")</f>
        <v>https://motogpsport.cz</v>
      </c>
      <c r="G865" s="3" t="str">
        <f ca="1">IFERROR(__xludf.DUMMYFUNCTION("""COMPUTED_VALUE"""),"Native Standard mid season")</f>
        <v>Native Standard mid season</v>
      </c>
      <c r="H865" s="3">
        <f ca="1">IFERROR(__xludf.DUMMYFUNCTION("""COMPUTED_VALUE"""),1)</f>
        <v>1</v>
      </c>
      <c r="I865" s="5">
        <f ca="1">IFERROR(__xludf.DUMMYFUNCTION("""COMPUTED_VALUE"""),1)</f>
        <v>1</v>
      </c>
      <c r="J865" s="5">
        <f ca="1">IFERROR(__xludf.DUMMYFUNCTION("""COMPUTED_VALUE"""),330000)</f>
        <v>330000</v>
      </c>
      <c r="K865" s="3"/>
      <c r="L865" s="3" t="str">
        <f ca="1">IFERROR(__xludf.DUMMYFUNCTION("""COMPUTED_VALUE"""),"Cost per instance")</f>
        <v>Cost per instance</v>
      </c>
      <c r="M865" s="3"/>
      <c r="N865" s="3"/>
      <c r="O865" s="3"/>
      <c r="P865" s="3"/>
      <c r="Q865" s="3"/>
      <c r="R865" s="3"/>
      <c r="S865" s="3" t="str">
        <f ca="1">IFERROR(__xludf.DUMMYFUNCTION("""COMPUTED_VALUE"""),"100")</f>
        <v>100</v>
      </c>
      <c r="T865" s="3"/>
      <c r="U865" s="3" t="str">
        <f ca="1">IFERROR(__xludf.DUMMYFUNCTION("""COMPUTED_VALUE"""),"microsite")</f>
        <v>microsite</v>
      </c>
      <c r="V865" s="3"/>
      <c r="W865" s="3"/>
      <c r="X865" s="3"/>
      <c r="Y865" s="3"/>
      <c r="Z865" s="3" t="str">
        <f ca="1">IFERROR(__xludf.DUMMYFUNCTION("""COMPUTED_VALUE"""),"podklady@cncenter.cz")</f>
        <v>podklady@cncenter.cz</v>
      </c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 t="str">
        <f ca="1">IFERROR(__xludf.DUMMYFUNCTION("""COMPUTED_VALUE"""),"cross-device")</f>
        <v>cross-device</v>
      </c>
      <c r="AO865" s="3"/>
      <c r="AP865" s="3"/>
      <c r="AQ865" s="3"/>
      <c r="AR865" s="3"/>
      <c r="AS865" s="3"/>
      <c r="AT865" s="3"/>
      <c r="AU865" s="3" t="str">
        <f ca="1">IFERROR(__xludf.DUMMYFUNCTION("""COMPUTED_VALUE"""),"Native Standard")</f>
        <v>Native Standard</v>
      </c>
    </row>
    <row r="866" spans="1:47" x14ac:dyDescent="0.3">
      <c r="A866" s="3">
        <f ca="1"/>
        <v>2346826</v>
      </c>
      <c r="B866" s="3" t="str">
        <f ca="1"/>
        <v>CZECH NEWS CENTER a. s.</v>
      </c>
      <c r="C866" s="3" t="str">
        <f ca="1">IFERROR(__xludf.DUMMYFUNCTION("""COMPUTED_VALUE"""),"Moto GP sport")</f>
        <v>Moto GP sport</v>
      </c>
      <c r="D866" s="4" t="str">
        <f ca="1">IFERROR(__xludf.DUMMYFUNCTION("""COMPUTED_VALUE"""),"https://motogpsport.cz")</f>
        <v>https://motogpsport.cz</v>
      </c>
      <c r="E866" s="3" t="str">
        <f ca="1">IFERROR(__xludf.DUMMYFUNCTION("""COMPUTED_VALUE"""),"celý web")</f>
        <v>celý web</v>
      </c>
      <c r="F866" s="4" t="str">
        <f ca="1">IFERROR(__xludf.DUMMYFUNCTION("""COMPUTED_VALUE"""),"https://motogpsport.cz")</f>
        <v>https://motogpsport.cz</v>
      </c>
      <c r="G866" s="3" t="str">
        <f ca="1">IFERROR(__xludf.DUMMYFUNCTION("""COMPUTED_VALUE"""),"nativní rectangle cross-device mid season")</f>
        <v>nativní rectangle cross-device mid season</v>
      </c>
      <c r="H866" s="3">
        <f ca="1">IFERROR(__xludf.DUMMYFUNCTION("""COMPUTED_VALUE"""),7)</f>
        <v>7</v>
      </c>
      <c r="I866" s="5">
        <f ca="1">IFERROR(__xludf.DUMMYFUNCTION("""COMPUTED_VALUE"""),1000)</f>
        <v>1000</v>
      </c>
      <c r="J866" s="5">
        <f ca="1">IFERROR(__xludf.DUMMYFUNCTION("""COMPUTED_VALUE"""),280)</f>
        <v>280</v>
      </c>
      <c r="K866" s="3"/>
      <c r="L866" s="3" t="str">
        <f ca="1">IFERROR(__xludf.DUMMYFUNCTION("""COMPUTED_VALUE"""),"Cost per period")</f>
        <v>Cost per period</v>
      </c>
      <c r="M866" s="3"/>
      <c r="N866" s="3"/>
      <c r="O866" s="3" t="str">
        <f ca="1">IFERROR(__xludf.DUMMYFUNCTION("""COMPUTED_VALUE"""),"640")</f>
        <v>640</v>
      </c>
      <c r="P866" s="3" t="str">
        <f ca="1">IFERROR(__xludf.DUMMYFUNCTION("""COMPUTED_VALUE"""),"335, 640")</f>
        <v>335, 640</v>
      </c>
      <c r="Q866" s="3" t="str">
        <f ca="1">IFERROR(__xludf.DUMMYFUNCTION("""COMPUTED_VALUE"""),"640x640 a 640x335 + text + logo")</f>
        <v>640x640 a 640x335 + text + logo</v>
      </c>
      <c r="R866" s="3"/>
      <c r="S866" s="3" t="str">
        <f ca="1">IFERROR(__xludf.DUMMYFUNCTION("""COMPUTED_VALUE"""),"45")</f>
        <v>45</v>
      </c>
      <c r="T866" s="3"/>
      <c r="U866" s="3" t="str">
        <f ca="1">IFERROR(__xludf.DUMMYFUNCTION("""COMPUTED_VALUE"""),"nativní reklama")</f>
        <v>nativní reklama</v>
      </c>
      <c r="V866" s="3"/>
      <c r="W866" s="4" t="str">
        <f ca="1">IFERROR(__xludf.DUMMYFUNCTION("""COMPUTED_VALUE"""),"https://reklama.cncenter.cz/Online/nativni-rectangle-cross-device")</f>
        <v>https://reklama.cncenter.cz/Online/nativni-rectangle-cross-device</v>
      </c>
      <c r="X866" s="3"/>
      <c r="Y866" s="3"/>
      <c r="Z866" s="3" t="str">
        <f ca="1">IFERROR(__xludf.DUMMYFUNCTION("""COMPUTED_VALUE"""),"podklady@cncenter.cz")</f>
        <v>podklady@cncenter.cz</v>
      </c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 t="str">
        <f ca="1">IFERROR(__xludf.DUMMYFUNCTION("""COMPUTED_VALUE"""),"cross-device")</f>
        <v>cross-device</v>
      </c>
      <c r="AO866" s="3"/>
      <c r="AP866" s="3"/>
      <c r="AQ866" s="3"/>
      <c r="AR866" s="3"/>
      <c r="AS866" s="3"/>
      <c r="AT866" s="3"/>
      <c r="AU866" s="3" t="str">
        <f ca="1">IFERROR(__xludf.DUMMYFUNCTION("""COMPUTED_VALUE"""),"nativní rectangle cross-device")</f>
        <v>nativní rectangle cross-device</v>
      </c>
    </row>
    <row r="867" spans="1:47" x14ac:dyDescent="0.3">
      <c r="A867" s="3">
        <f ca="1"/>
        <v>2346826</v>
      </c>
      <c r="B867" s="3" t="str">
        <f ca="1"/>
        <v>CZECH NEWS CENTER a. s.</v>
      </c>
      <c r="C867" s="3" t="str">
        <f ca="1">IFERROR(__xludf.DUMMYFUNCTION("""COMPUTED_VALUE"""),"Moto GP sport")</f>
        <v>Moto GP sport</v>
      </c>
      <c r="D867" s="4" t="str">
        <f ca="1">IFERROR(__xludf.DUMMYFUNCTION("""COMPUTED_VALUE"""),"https://motogpsport.cz")</f>
        <v>https://motogpsport.cz</v>
      </c>
      <c r="E867" s="3" t="str">
        <f ca="1">IFERROR(__xludf.DUMMYFUNCTION("""COMPUTED_VALUE"""),"celý web")</f>
        <v>celý web</v>
      </c>
      <c r="F867" s="4" t="str">
        <f ca="1">IFERROR(__xludf.DUMMYFUNCTION("""COMPUTED_VALUE"""),"https://motogpsport.cz")</f>
        <v>https://motogpsport.cz</v>
      </c>
      <c r="G867" s="3" t="str">
        <f ca="1">IFERROR(__xludf.DUMMYFUNCTION("""COMPUTED_VALUE"""),"outstream mid season")</f>
        <v>outstream mid season</v>
      </c>
      <c r="H867" s="3">
        <f ca="1">IFERROR(__xludf.DUMMYFUNCTION("""COMPUTED_VALUE"""),7)</f>
        <v>7</v>
      </c>
      <c r="I867" s="5">
        <f ca="1">IFERROR(__xludf.DUMMYFUNCTION("""COMPUTED_VALUE"""),1000)</f>
        <v>1000</v>
      </c>
      <c r="J867" s="5">
        <f ca="1">IFERROR(__xludf.DUMMYFUNCTION("""COMPUTED_VALUE"""),350)</f>
        <v>350</v>
      </c>
      <c r="K867" s="3"/>
      <c r="L867" s="3" t="str">
        <f ca="1">IFERROR(__xludf.DUMMYFUNCTION("""COMPUTED_VALUE"""),"Cost per period")</f>
        <v>Cost per period</v>
      </c>
      <c r="M867" s="3"/>
      <c r="N867" s="3"/>
      <c r="O867" s="3" t="str">
        <f ca="1">IFERROR(__xludf.DUMMYFUNCTION("""COMPUTED_VALUE"""),"1280")</f>
        <v>1280</v>
      </c>
      <c r="P867" s="3" t="str">
        <f ca="1">IFERROR(__xludf.DUMMYFUNCTION("""COMPUTED_VALUE"""),"720")</f>
        <v>720</v>
      </c>
      <c r="Q867" s="3" t="str">
        <f ca="1">IFERROR(__xludf.DUMMYFUNCTION("""COMPUTED_VALUE"""),"16:9")</f>
        <v>16:9</v>
      </c>
      <c r="R867" s="3"/>
      <c r="S867" s="3" t="str">
        <f ca="1">IFERROR(__xludf.DUMMYFUNCTION("""COMPUTED_VALUE"""),"100")</f>
        <v>100</v>
      </c>
      <c r="T867" s="3"/>
      <c r="U867" s="3" t="str">
        <f ca="1">IFERROR(__xludf.DUMMYFUNCTION("""COMPUTED_VALUE"""),"videospot")</f>
        <v>videospot</v>
      </c>
      <c r="V867" s="3"/>
      <c r="W867" s="4" t="str">
        <f ca="1">IFERROR(__xludf.DUMMYFUNCTION("""COMPUTED_VALUE"""),"https://reklama.cncenter.cz/Online/Outstream")</f>
        <v>https://reklama.cncenter.cz/Online/Outstream</v>
      </c>
      <c r="X867" s="3"/>
      <c r="Y867" s="3"/>
      <c r="Z867" s="3" t="str">
        <f ca="1">IFERROR(__xludf.DUMMYFUNCTION("""COMPUTED_VALUE"""),"podklady@cncenter.cz")</f>
        <v>podklady@cncenter.cz</v>
      </c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 t="str">
        <f ca="1">IFERROR(__xludf.DUMMYFUNCTION("""COMPUTED_VALUE"""),"cross-device")</f>
        <v>cross-device</v>
      </c>
      <c r="AO867" s="3"/>
      <c r="AP867" s="3"/>
      <c r="AQ867" s="3"/>
      <c r="AR867" s="3"/>
      <c r="AS867" s="3"/>
      <c r="AT867" s="3"/>
      <c r="AU867" s="3" t="str">
        <f ca="1">IFERROR(__xludf.DUMMYFUNCTION("""COMPUTED_VALUE"""),"outstream")</f>
        <v>outstream</v>
      </c>
    </row>
    <row r="868" spans="1:47" x14ac:dyDescent="0.3">
      <c r="A868" s="3">
        <f ca="1"/>
        <v>2346826</v>
      </c>
      <c r="B868" s="3" t="str">
        <f ca="1"/>
        <v>CZECH NEWS CENTER a. s.</v>
      </c>
      <c r="C868" s="3" t="str">
        <f ca="1">IFERROR(__xludf.DUMMYFUNCTION("""COMPUTED_VALUE"""),"Moto GP sport")</f>
        <v>Moto GP sport</v>
      </c>
      <c r="D868" s="4" t="str">
        <f ca="1">IFERROR(__xludf.DUMMYFUNCTION("""COMPUTED_VALUE"""),"https://motogpsport.cz")</f>
        <v>https://motogpsport.cz</v>
      </c>
      <c r="E868" s="3" t="str">
        <f ca="1">IFERROR(__xludf.DUMMYFUNCTION("""COMPUTED_VALUE"""),"celý web")</f>
        <v>celý web</v>
      </c>
      <c r="F868" s="4" t="str">
        <f ca="1">IFERROR(__xludf.DUMMYFUNCTION("""COMPUTED_VALUE"""),"https://motogpsport.cz")</f>
        <v>https://motogpsport.cz</v>
      </c>
      <c r="G868" s="3" t="str">
        <f ca="1">IFERROR(__xludf.DUMMYFUNCTION("""COMPUTED_VALUE"""),"PR článek mid season")</f>
        <v>PR článek mid season</v>
      </c>
      <c r="H868" s="3">
        <f ca="1">IFERROR(__xludf.DUMMYFUNCTION("""COMPUTED_VALUE"""),1)</f>
        <v>1</v>
      </c>
      <c r="I868" s="5">
        <f ca="1">IFERROR(__xludf.DUMMYFUNCTION("""COMPUTED_VALUE"""),1)</f>
        <v>1</v>
      </c>
      <c r="J868" s="5">
        <f ca="1">IFERROR(__xludf.DUMMYFUNCTION("""COMPUTED_VALUE"""),25000)</f>
        <v>25000</v>
      </c>
      <c r="K868" s="3"/>
      <c r="L868" s="3" t="str">
        <f ca="1">IFERROR(__xludf.DUMMYFUNCTION("""COMPUTED_VALUE"""),"Cost per instance")</f>
        <v>Cost per instance</v>
      </c>
      <c r="M868" s="3"/>
      <c r="N868" s="3"/>
      <c r="O868" s="3"/>
      <c r="P868" s="3"/>
      <c r="Q868" s="3"/>
      <c r="R868" s="3"/>
      <c r="S868" s="3" t="str">
        <f ca="1">IFERROR(__xludf.DUMMYFUNCTION("""COMPUTED_VALUE"""),"100")</f>
        <v>100</v>
      </c>
      <c r="T868" s="3"/>
      <c r="U868" s="3" t="str">
        <f ca="1">IFERROR(__xludf.DUMMYFUNCTION("""COMPUTED_VALUE"""),"pr článek")</f>
        <v>pr článek</v>
      </c>
      <c r="V868" s="3"/>
      <c r="W868" s="4" t="str">
        <f ca="1">IFERROR(__xludf.DUMMYFUNCTION("""COMPUTED_VALUE"""),"https://reklama.cncenter.cz/?ads=PR%2520%25C4%258Dl%25C3%25A1nky")</f>
        <v>https://reklama.cncenter.cz/?ads=PR%2520%25C4%258Dl%25C3%25A1nky</v>
      </c>
      <c r="X868" s="3"/>
      <c r="Y868" s="3"/>
      <c r="Z868" s="3" t="str">
        <f ca="1">IFERROR(__xludf.DUMMYFUNCTION("""COMPUTED_VALUE"""),"podklady@cncenter.cz")</f>
        <v>podklady@cncenter.cz</v>
      </c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 t="str">
        <f ca="1">IFERROR(__xludf.DUMMYFUNCTION("""COMPUTED_VALUE"""),"cross-device")</f>
        <v>cross-device</v>
      </c>
      <c r="AO868" s="3"/>
      <c r="AP868" s="3"/>
      <c r="AQ868" s="3"/>
      <c r="AR868" s="3"/>
      <c r="AS868" s="3"/>
      <c r="AT868" s="3"/>
      <c r="AU868" s="3" t="str">
        <f ca="1">IFERROR(__xludf.DUMMYFUNCTION("""COMPUTED_VALUE"""),"PR článek")</f>
        <v>PR článek</v>
      </c>
    </row>
    <row r="869" spans="1:47" x14ac:dyDescent="0.3">
      <c r="A869" s="3">
        <f ca="1"/>
        <v>2346826</v>
      </c>
      <c r="B869" s="3" t="str">
        <f ca="1"/>
        <v>CZECH NEWS CENTER a. s.</v>
      </c>
      <c r="C869" s="3" t="str">
        <f ca="1">IFERROR(__xludf.DUMMYFUNCTION("""COMPUTED_VALUE"""),"Moto GP sport")</f>
        <v>Moto GP sport</v>
      </c>
      <c r="D869" s="4" t="str">
        <f ca="1">IFERROR(__xludf.DUMMYFUNCTION("""COMPUTED_VALUE"""),"https://motogpsport.cz")</f>
        <v>https://motogpsport.cz</v>
      </c>
      <c r="E869" s="3" t="str">
        <f ca="1">IFERROR(__xludf.DUMMYFUNCTION("""COMPUTED_VALUE"""),"celý web")</f>
        <v>celý web</v>
      </c>
      <c r="F869" s="4" t="str">
        <f ca="1">IFERROR(__xludf.DUMMYFUNCTION("""COMPUTED_VALUE"""),"https://motogpsport.cz")</f>
        <v>https://motogpsport.cz</v>
      </c>
      <c r="G869" s="3" t="str">
        <f ca="1">IFERROR(__xludf.DUMMYFUNCTION("""COMPUTED_VALUE"""),"Prodloužení existující microsite, bez úprav mid season")</f>
        <v>Prodloužení existující microsite, bez úprav mid season</v>
      </c>
      <c r="H869" s="3">
        <f ca="1">IFERROR(__xludf.DUMMYFUNCTION("""COMPUTED_VALUE"""),1)</f>
        <v>1</v>
      </c>
      <c r="I869" s="5">
        <f ca="1">IFERROR(__xludf.DUMMYFUNCTION("""COMPUTED_VALUE"""),1)</f>
        <v>1</v>
      </c>
      <c r="J869" s="5">
        <f ca="1">IFERROR(__xludf.DUMMYFUNCTION("""COMPUTED_VALUE"""),15000)</f>
        <v>15000</v>
      </c>
      <c r="K869" s="3"/>
      <c r="L869" s="3" t="str">
        <f ca="1">IFERROR(__xludf.DUMMYFUNCTION("""COMPUTED_VALUE"""),"Cost per instance")</f>
        <v>Cost per instance</v>
      </c>
      <c r="M869" s="3"/>
      <c r="N869" s="3"/>
      <c r="O869" s="3"/>
      <c r="P869" s="3"/>
      <c r="Q869" s="3"/>
      <c r="R869" s="3"/>
      <c r="S869" s="3" t="str">
        <f ca="1">IFERROR(__xludf.DUMMYFUNCTION("""COMPUTED_VALUE"""),"100")</f>
        <v>100</v>
      </c>
      <c r="T869" s="3"/>
      <c r="U869" s="3" t="str">
        <f ca="1">IFERROR(__xludf.DUMMYFUNCTION("""COMPUTED_VALUE"""),"microsite")</f>
        <v>microsite</v>
      </c>
      <c r="V869" s="3"/>
      <c r="W869" s="3"/>
      <c r="X869" s="3"/>
      <c r="Y869" s="3"/>
      <c r="Z869" s="3" t="str">
        <f ca="1">IFERROR(__xludf.DUMMYFUNCTION("""COMPUTED_VALUE"""),"podklady@cncenter.cz")</f>
        <v>podklady@cncenter.cz</v>
      </c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 t="str">
        <f ca="1">IFERROR(__xludf.DUMMYFUNCTION("""COMPUTED_VALUE"""),"cross-device")</f>
        <v>cross-device</v>
      </c>
      <c r="AO869" s="3"/>
      <c r="AP869" s="3"/>
      <c r="AQ869" s="3"/>
      <c r="AR869" s="3"/>
      <c r="AS869" s="3"/>
      <c r="AT869" s="3"/>
      <c r="AU869" s="3" t="str">
        <f ca="1">IFERROR(__xludf.DUMMYFUNCTION("""COMPUTED_VALUE"""),"Prodloužení existující microsite, bez úprav")</f>
        <v>Prodloužení existující microsite, bez úprav</v>
      </c>
    </row>
    <row r="870" spans="1:47" x14ac:dyDescent="0.3">
      <c r="A870" s="3">
        <f ca="1"/>
        <v>2346826</v>
      </c>
      <c r="B870" s="3" t="str">
        <f ca="1"/>
        <v>CZECH NEWS CENTER a. s.</v>
      </c>
      <c r="C870" s="3" t="str">
        <f ca="1">IFERROR(__xludf.DUMMYFUNCTION("""COMPUTED_VALUE"""),"Moto GP sport")</f>
        <v>Moto GP sport</v>
      </c>
      <c r="D870" s="4" t="str">
        <f ca="1">IFERROR(__xludf.DUMMYFUNCTION("""COMPUTED_VALUE"""),"https://motogpsport.cz")</f>
        <v>https://motogpsport.cz</v>
      </c>
      <c r="E870" s="3" t="str">
        <f ca="1">IFERROR(__xludf.DUMMYFUNCTION("""COMPUTED_VALUE"""),"celý web")</f>
        <v>celý web</v>
      </c>
      <c r="F870" s="4" t="str">
        <f ca="1">IFERROR(__xludf.DUMMYFUNCTION("""COMPUTED_VALUE"""),"https://motogpsport.cz")</f>
        <v>https://motogpsport.cz</v>
      </c>
      <c r="G870" s="3" t="str">
        <f ca="1">IFERROR(__xludf.DUMMYFUNCTION("""COMPUTED_VALUE"""),"Prodloužení existující microsite, bez úprav mid season")</f>
        <v>Prodloužení existující microsite, bez úprav mid season</v>
      </c>
      <c r="H870" s="3">
        <f ca="1">IFERROR(__xludf.DUMMYFUNCTION("""COMPUTED_VALUE"""),1)</f>
        <v>1</v>
      </c>
      <c r="I870" s="5">
        <f ca="1">IFERROR(__xludf.DUMMYFUNCTION("""COMPUTED_VALUE"""),1)</f>
        <v>1</v>
      </c>
      <c r="J870" s="5">
        <f ca="1">IFERROR(__xludf.DUMMYFUNCTION("""COMPUTED_VALUE"""),15000)</f>
        <v>15000</v>
      </c>
      <c r="K870" s="3"/>
      <c r="L870" s="3" t="str">
        <f ca="1">IFERROR(__xludf.DUMMYFUNCTION("""COMPUTED_VALUE"""),"Cost per instance")</f>
        <v>Cost per instance</v>
      </c>
      <c r="M870" s="3"/>
      <c r="N870" s="3"/>
      <c r="O870" s="3"/>
      <c r="P870" s="3"/>
      <c r="Q870" s="3"/>
      <c r="R870" s="3"/>
      <c r="S870" s="3" t="str">
        <f ca="1">IFERROR(__xludf.DUMMYFUNCTION("""COMPUTED_VALUE"""),"100")</f>
        <v>100</v>
      </c>
      <c r="T870" s="3"/>
      <c r="U870" s="3" t="str">
        <f ca="1">IFERROR(__xludf.DUMMYFUNCTION("""COMPUTED_VALUE"""),"microsite")</f>
        <v>microsite</v>
      </c>
      <c r="V870" s="3"/>
      <c r="W870" s="3"/>
      <c r="X870" s="3"/>
      <c r="Y870" s="3"/>
      <c r="Z870" s="3" t="str">
        <f ca="1">IFERROR(__xludf.DUMMYFUNCTION("""COMPUTED_VALUE"""),"podklady@cncenter.cz")</f>
        <v>podklady@cncenter.cz</v>
      </c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 t="str">
        <f ca="1">IFERROR(__xludf.DUMMYFUNCTION("""COMPUTED_VALUE"""),"cross-device")</f>
        <v>cross-device</v>
      </c>
      <c r="AO870" s="3"/>
      <c r="AP870" s="3"/>
      <c r="AQ870" s="3"/>
      <c r="AR870" s="3"/>
      <c r="AS870" s="3"/>
      <c r="AT870" s="3"/>
      <c r="AU870" s="3" t="str">
        <f ca="1">IFERROR(__xludf.DUMMYFUNCTION("""COMPUTED_VALUE"""),"Prodloužení existující microsite, bez úprav")</f>
        <v>Prodloužení existující microsite, bez úprav</v>
      </c>
    </row>
    <row r="871" spans="1:47" x14ac:dyDescent="0.3">
      <c r="A871" s="3">
        <f ca="1"/>
        <v>2346826</v>
      </c>
      <c r="B871" s="3" t="str">
        <f ca="1"/>
        <v>CZECH NEWS CENTER a. s.</v>
      </c>
      <c r="C871" s="3" t="str">
        <f ca="1">IFERROR(__xludf.DUMMYFUNCTION("""COMPUTED_VALUE"""),"Moto GP sport")</f>
        <v>Moto GP sport</v>
      </c>
      <c r="D871" s="4" t="str">
        <f ca="1">IFERROR(__xludf.DUMMYFUNCTION("""COMPUTED_VALUE"""),"https://motogpsport.cz")</f>
        <v>https://motogpsport.cz</v>
      </c>
      <c r="E871" s="3" t="str">
        <f ca="1">IFERROR(__xludf.DUMMYFUNCTION("""COMPUTED_VALUE"""),"celý web")</f>
        <v>celý web</v>
      </c>
      <c r="F871" s="4" t="str">
        <f ca="1">IFERROR(__xludf.DUMMYFUNCTION("""COMPUTED_VALUE"""),"https://motogpsport.cz")</f>
        <v>https://motogpsport.cz</v>
      </c>
      <c r="G871" s="3" t="str">
        <f ca="1">IFERROR(__xludf.DUMMYFUNCTION("""COMPUTED_VALUE"""),"Prodloužení existující microsite, bez úprav mid season")</f>
        <v>Prodloužení existující microsite, bez úprav mid season</v>
      </c>
      <c r="H871" s="3">
        <f ca="1">IFERROR(__xludf.DUMMYFUNCTION("""COMPUTED_VALUE"""),1)</f>
        <v>1</v>
      </c>
      <c r="I871" s="5">
        <f ca="1">IFERROR(__xludf.DUMMYFUNCTION("""COMPUTED_VALUE"""),1)</f>
        <v>1</v>
      </c>
      <c r="J871" s="5">
        <f ca="1">IFERROR(__xludf.DUMMYFUNCTION("""COMPUTED_VALUE"""),15000)</f>
        <v>15000</v>
      </c>
      <c r="K871" s="3"/>
      <c r="L871" s="3" t="str">
        <f ca="1">IFERROR(__xludf.DUMMYFUNCTION("""COMPUTED_VALUE"""),"Cost per instance")</f>
        <v>Cost per instance</v>
      </c>
      <c r="M871" s="3"/>
      <c r="N871" s="3"/>
      <c r="O871" s="3"/>
      <c r="P871" s="3"/>
      <c r="Q871" s="3"/>
      <c r="R871" s="3"/>
      <c r="S871" s="3" t="str">
        <f ca="1">IFERROR(__xludf.DUMMYFUNCTION("""COMPUTED_VALUE"""),"100")</f>
        <v>100</v>
      </c>
      <c r="T871" s="3"/>
      <c r="U871" s="3" t="str">
        <f ca="1">IFERROR(__xludf.DUMMYFUNCTION("""COMPUTED_VALUE"""),"microsite")</f>
        <v>microsite</v>
      </c>
      <c r="V871" s="3"/>
      <c r="W871" s="3"/>
      <c r="X871" s="3"/>
      <c r="Y871" s="3"/>
      <c r="Z871" s="3" t="str">
        <f ca="1">IFERROR(__xludf.DUMMYFUNCTION("""COMPUTED_VALUE"""),"podklady@cncenter.cz")</f>
        <v>podklady@cncenter.cz</v>
      </c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 t="str">
        <f ca="1">IFERROR(__xludf.DUMMYFUNCTION("""COMPUTED_VALUE"""),"cross-device")</f>
        <v>cross-device</v>
      </c>
      <c r="AO871" s="3"/>
      <c r="AP871" s="3"/>
      <c r="AQ871" s="3"/>
      <c r="AR871" s="3"/>
      <c r="AS871" s="3"/>
      <c r="AT871" s="3"/>
      <c r="AU871" s="3" t="str">
        <f ca="1">IFERROR(__xludf.DUMMYFUNCTION("""COMPUTED_VALUE"""),"Prodloužení existující microsite, bez úprav")</f>
        <v>Prodloužení existující microsite, bez úprav</v>
      </c>
    </row>
    <row r="872" spans="1:47" x14ac:dyDescent="0.3">
      <c r="A872" s="3">
        <f ca="1"/>
        <v>2346826</v>
      </c>
      <c r="B872" s="3" t="str">
        <f ca="1"/>
        <v>CZECH NEWS CENTER a. s.</v>
      </c>
      <c r="C872" s="4" t="str">
        <f ca="1">IFERROR(__xludf.DUMMYFUNCTION("""COMPUTED_VALUE"""),"nemovitosti.blesk.cz")</f>
        <v>nemovitosti.blesk.cz</v>
      </c>
      <c r="D872" s="4" t="str">
        <f ca="1">IFERROR(__xludf.DUMMYFUNCTION("""COMPUTED_VALUE"""),"https://nemovitosti.blesk.cz")</f>
        <v>https://nemovitosti.blesk.cz</v>
      </c>
      <c r="E872" s="3" t="str">
        <f ca="1">IFERROR(__xludf.DUMMYFUNCTION("""COMPUTED_VALUE"""),"celý web")</f>
        <v>celý web</v>
      </c>
      <c r="F872" s="4" t="str">
        <f ca="1">IFERROR(__xludf.DUMMYFUNCTION("""COMPUTED_VALUE"""),"https://nemovitosti.blesk.cz")</f>
        <v>https://nemovitosti.blesk.cz</v>
      </c>
      <c r="G872" s="3" t="str">
        <f ca="1">IFERROR(__xludf.DUMMYFUNCTION("""COMPUTED_VALUE"""),"Advertorial mid season")</f>
        <v>Advertorial mid season</v>
      </c>
      <c r="H872" s="3">
        <f ca="1">IFERROR(__xludf.DUMMYFUNCTION("""COMPUTED_VALUE"""),1)</f>
        <v>1</v>
      </c>
      <c r="I872" s="5">
        <f ca="1">IFERROR(__xludf.DUMMYFUNCTION("""COMPUTED_VALUE"""),1)</f>
        <v>1</v>
      </c>
      <c r="J872" s="5">
        <f ca="1">IFERROR(__xludf.DUMMYFUNCTION("""COMPUTED_VALUE"""),90000)</f>
        <v>90000</v>
      </c>
      <c r="K872" s="3"/>
      <c r="L872" s="3" t="str">
        <f ca="1">IFERROR(__xludf.DUMMYFUNCTION("""COMPUTED_VALUE"""),"Cost per instance")</f>
        <v>Cost per instance</v>
      </c>
      <c r="M872" s="3"/>
      <c r="N872" s="3"/>
      <c r="O872" s="3"/>
      <c r="P872" s="3"/>
      <c r="Q872" s="3"/>
      <c r="R872" s="3"/>
      <c r="S872" s="3" t="str">
        <f ca="1">IFERROR(__xludf.DUMMYFUNCTION("""COMPUTED_VALUE"""),"100")</f>
        <v>100</v>
      </c>
      <c r="T872" s="3"/>
      <c r="U872" s="3" t="str">
        <f ca="1">IFERROR(__xludf.DUMMYFUNCTION("""COMPUTED_VALUE"""),"pr článek")</f>
        <v>pr článek</v>
      </c>
      <c r="V872" s="3"/>
      <c r="W872" s="3"/>
      <c r="X872" s="3"/>
      <c r="Y872" s="3"/>
      <c r="Z872" s="3" t="str">
        <f ca="1">IFERROR(__xludf.DUMMYFUNCTION("""COMPUTED_VALUE"""),"podklady@cncenter.cz")</f>
        <v>podklady@cncenter.cz</v>
      </c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 t="str">
        <f ca="1">IFERROR(__xludf.DUMMYFUNCTION("""COMPUTED_VALUE"""),"cross-device")</f>
        <v>cross-device</v>
      </c>
      <c r="AO872" s="3"/>
      <c r="AP872" s="3"/>
      <c r="AQ872" s="3"/>
      <c r="AR872" s="3"/>
      <c r="AS872" s="3"/>
      <c r="AT872" s="3"/>
      <c r="AU872" s="3" t="str">
        <f ca="1">IFERROR(__xludf.DUMMYFUNCTION("""COMPUTED_VALUE"""),"Advertorial")</f>
        <v>Advertorial</v>
      </c>
    </row>
    <row r="873" spans="1:47" x14ac:dyDescent="0.3">
      <c r="A873" s="3">
        <f ca="1"/>
        <v>2346826</v>
      </c>
      <c r="B873" s="3" t="str">
        <f ca="1"/>
        <v>CZECH NEWS CENTER a. s.</v>
      </c>
      <c r="C873" s="4" t="str">
        <f ca="1">IFERROR(__xludf.DUMMYFUNCTION("""COMPUTED_VALUE"""),"nemovitosti.blesk.cz")</f>
        <v>nemovitosti.blesk.cz</v>
      </c>
      <c r="D873" s="4" t="str">
        <f ca="1">IFERROR(__xludf.DUMMYFUNCTION("""COMPUTED_VALUE"""),"https://nemovitosti.blesk.cz")</f>
        <v>https://nemovitosti.blesk.cz</v>
      </c>
      <c r="E873" s="3" t="str">
        <f ca="1">IFERROR(__xludf.DUMMYFUNCTION("""COMPUTED_VALUE"""),"celý web")</f>
        <v>celý web</v>
      </c>
      <c r="F873" s="4" t="str">
        <f ca="1">IFERROR(__xludf.DUMMYFUNCTION("""COMPUTED_VALUE"""),"https://nemovitosti.blesk.cz")</f>
        <v>https://nemovitosti.blesk.cz</v>
      </c>
      <c r="G873" s="3" t="str">
        <f ca="1">IFERROR(__xludf.DUMMYFUNCTION("""COMPUTED_VALUE"""),"billboard bottom mid season")</f>
        <v>billboard bottom mid season</v>
      </c>
      <c r="H873" s="3">
        <f ca="1">IFERROR(__xludf.DUMMYFUNCTION("""COMPUTED_VALUE"""),7)</f>
        <v>7</v>
      </c>
      <c r="I873" s="5">
        <f ca="1">IFERROR(__xludf.DUMMYFUNCTION("""COMPUTED_VALUE"""),1000)</f>
        <v>1000</v>
      </c>
      <c r="J873" s="5">
        <f ca="1">IFERROR(__xludf.DUMMYFUNCTION("""COMPUTED_VALUE"""),340)</f>
        <v>340</v>
      </c>
      <c r="K873" s="3"/>
      <c r="L873" s="3" t="str">
        <f ca="1">IFERROR(__xludf.DUMMYFUNCTION("""COMPUTED_VALUE"""),"Cost per period")</f>
        <v>Cost per period</v>
      </c>
      <c r="M873" s="3"/>
      <c r="N873" s="3"/>
      <c r="O873" s="3" t="str">
        <f ca="1">IFERROR(__xludf.DUMMYFUNCTION("""COMPUTED_VALUE"""),"970")</f>
        <v>970</v>
      </c>
      <c r="P873" s="3" t="str">
        <f ca="1">IFERROR(__xludf.DUMMYFUNCTION("""COMPUTED_VALUE"""),"250")</f>
        <v>250</v>
      </c>
      <c r="Q873" s="3" t="str">
        <f ca="1">IFERROR(__xludf.DUMMYFUNCTION("""COMPUTED_VALUE"""),"970x250")</f>
        <v>970x250</v>
      </c>
      <c r="R873" s="3"/>
      <c r="S873" s="3" t="str">
        <f ca="1">IFERROR(__xludf.DUMMYFUNCTION("""COMPUTED_VALUE"""),"100 (200 - HTML5)")</f>
        <v>100 (200 - HTML5)</v>
      </c>
      <c r="T873" s="3"/>
      <c r="U873" s="3" t="str">
        <f ca="1">IFERROR(__xludf.DUMMYFUNCTION("""COMPUTED_VALUE"""),"banner standard")</f>
        <v>banner standard</v>
      </c>
      <c r="V873" s="3"/>
      <c r="W873" s="4" t="str">
        <f ca="1">IFERROR(__xludf.DUMMYFUNCTION("""COMPUTED_VALUE"""),"https://reklama.cncenter.cz/Online/billboard-bottom")</f>
        <v>https://reklama.cncenter.cz/Online/billboard-bottom</v>
      </c>
      <c r="X873" s="3"/>
      <c r="Y873" s="3"/>
      <c r="Z873" s="3" t="str">
        <f ca="1">IFERROR(__xludf.DUMMYFUNCTION("""COMPUTED_VALUE"""),"podklady@cncenter.cz")</f>
        <v>podklady@cncenter.cz</v>
      </c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 t="str">
        <f ca="1">IFERROR(__xludf.DUMMYFUNCTION("""COMPUTED_VALUE"""),"desktop")</f>
        <v>desktop</v>
      </c>
      <c r="AO873" s="3"/>
      <c r="AP873" s="3"/>
      <c r="AQ873" s="3"/>
      <c r="AR873" s="3"/>
      <c r="AS873" s="3"/>
      <c r="AT873" s="3"/>
      <c r="AU873" s="3" t="str">
        <f ca="1">IFERROR(__xludf.DUMMYFUNCTION("""COMPUTED_VALUE"""),"billboard bottom")</f>
        <v>billboard bottom</v>
      </c>
    </row>
    <row r="874" spans="1:47" x14ac:dyDescent="0.3">
      <c r="A874" s="3">
        <f ca="1"/>
        <v>2346826</v>
      </c>
      <c r="B874" s="3" t="str">
        <f ca="1"/>
        <v>CZECH NEWS CENTER a. s.</v>
      </c>
      <c r="C874" s="4" t="str">
        <f ca="1">IFERROR(__xludf.DUMMYFUNCTION("""COMPUTED_VALUE"""),"nemovitosti.blesk.cz")</f>
        <v>nemovitosti.blesk.cz</v>
      </c>
      <c r="D874" s="4" t="str">
        <f ca="1">IFERROR(__xludf.DUMMYFUNCTION("""COMPUTED_VALUE"""),"https://nemovitosti.blesk.cz")</f>
        <v>https://nemovitosti.blesk.cz</v>
      </c>
      <c r="E874" s="3" t="str">
        <f ca="1">IFERROR(__xludf.DUMMYFUNCTION("""COMPUTED_VALUE"""),"celý web")</f>
        <v>celý web</v>
      </c>
      <c r="F874" s="4" t="str">
        <f ca="1">IFERROR(__xludf.DUMMYFUNCTION("""COMPUTED_VALUE"""),"https://nemovitosti.blesk.cz")</f>
        <v>https://nemovitosti.blesk.cz</v>
      </c>
      <c r="G874" s="3" t="str">
        <f ca="1">IFERROR(__xludf.DUMMYFUNCTION("""COMPUTED_VALUE"""),"branding cross-device mid season")</f>
        <v>branding cross-device mid season</v>
      </c>
      <c r="H874" s="3">
        <f ca="1">IFERROR(__xludf.DUMMYFUNCTION("""COMPUTED_VALUE"""),7)</f>
        <v>7</v>
      </c>
      <c r="I874" s="5">
        <f ca="1">IFERROR(__xludf.DUMMYFUNCTION("""COMPUTED_VALUE"""),1000)</f>
        <v>1000</v>
      </c>
      <c r="J874" s="5">
        <f ca="1">IFERROR(__xludf.DUMMYFUNCTION("""COMPUTED_VALUE"""),420)</f>
        <v>420</v>
      </c>
      <c r="K874" s="3"/>
      <c r="L874" s="3" t="str">
        <f ca="1">IFERROR(__xludf.DUMMYFUNCTION("""COMPUTED_VALUE"""),"Cost per period")</f>
        <v>Cost per period</v>
      </c>
      <c r="M874" s="3"/>
      <c r="N874" s="3"/>
      <c r="O874" s="3" t="str">
        <f ca="1">IFERROR(__xludf.DUMMYFUNCTION("""COMPUTED_VALUE"""),"2000")</f>
        <v>2000</v>
      </c>
      <c r="P874" s="3" t="str">
        <f ca="1">IFERROR(__xludf.DUMMYFUNCTION("""COMPUTED_VALUE"""),"1400")</f>
        <v>1400</v>
      </c>
      <c r="Q874" s="3" t="str">
        <f ca="1">IFERROR(__xludf.DUMMYFUNCTION("""COMPUTED_VALUE"""),"2000x1400 + 600x1080")</f>
        <v>2000x1400 + 600x1080</v>
      </c>
      <c r="R874" s="3"/>
      <c r="S874" s="3" t="str">
        <f ca="1">IFERROR(__xludf.DUMMYFUNCTION("""COMPUTED_VALUE"""),"500 (600 - HTLM5)")</f>
        <v>500 (600 - HTLM5)</v>
      </c>
      <c r="T874" s="3"/>
      <c r="U874" s="3" t="str">
        <f ca="1">IFERROR(__xludf.DUMMYFUNCTION("""COMPUTED_VALUE"""),"banner standard")</f>
        <v>banner standard</v>
      </c>
      <c r="V874" s="3"/>
      <c r="W874" s="4" t="str">
        <f ca="1">IFERROR(__xludf.DUMMYFUNCTION("""COMPUTED_VALUE"""),"https://reklama.cncenter.cz/Online/branding-cross-device")</f>
        <v>https://reklama.cncenter.cz/Online/branding-cross-device</v>
      </c>
      <c r="X874" s="3"/>
      <c r="Y874" s="3"/>
      <c r="Z874" s="3" t="str">
        <f ca="1">IFERROR(__xludf.DUMMYFUNCTION("""COMPUTED_VALUE"""),"podklady@cncenter.cz")</f>
        <v>podklady@cncenter.cz</v>
      </c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 t="str">
        <f ca="1">IFERROR(__xludf.DUMMYFUNCTION("""COMPUTED_VALUE"""),"cross-device")</f>
        <v>cross-device</v>
      </c>
      <c r="AO874" s="3"/>
      <c r="AP874" s="3"/>
      <c r="AQ874" s="3"/>
      <c r="AR874" s="3"/>
      <c r="AS874" s="3"/>
      <c r="AT874" s="3"/>
      <c r="AU874" s="3" t="str">
        <f ca="1">IFERROR(__xludf.DUMMYFUNCTION("""COMPUTED_VALUE"""),"branding cross-device")</f>
        <v>branding cross-device</v>
      </c>
    </row>
    <row r="875" spans="1:47" x14ac:dyDescent="0.3">
      <c r="A875" s="3">
        <f ca="1"/>
        <v>2346826</v>
      </c>
      <c r="B875" s="3" t="str">
        <f ca="1"/>
        <v>CZECH NEWS CENTER a. s.</v>
      </c>
      <c r="C875" s="4" t="str">
        <f ca="1">IFERROR(__xludf.DUMMYFUNCTION("""COMPUTED_VALUE"""),"nemovitosti.blesk.cz")</f>
        <v>nemovitosti.blesk.cz</v>
      </c>
      <c r="D875" s="4" t="str">
        <f ca="1">IFERROR(__xludf.DUMMYFUNCTION("""COMPUTED_VALUE"""),"https://nemovitosti.blesk.cz")</f>
        <v>https://nemovitosti.blesk.cz</v>
      </c>
      <c r="E875" s="3" t="str">
        <f ca="1">IFERROR(__xludf.DUMMYFUNCTION("""COMPUTED_VALUE"""),"celý web")</f>
        <v>celý web</v>
      </c>
      <c r="F875" s="4" t="str">
        <f ca="1">IFERROR(__xludf.DUMMYFUNCTION("""COMPUTED_VALUE"""),"https://nemovitosti.blesk.cz")</f>
        <v>https://nemovitosti.blesk.cz</v>
      </c>
      <c r="G875" s="3" t="str">
        <f ca="1">IFERROR(__xludf.DUMMYFUNCTION("""COMPUTED_VALUE"""),"branding mid season")</f>
        <v>branding mid season</v>
      </c>
      <c r="H875" s="3">
        <f ca="1">IFERROR(__xludf.DUMMYFUNCTION("""COMPUTED_VALUE"""),7)</f>
        <v>7</v>
      </c>
      <c r="I875" s="5">
        <f ca="1">IFERROR(__xludf.DUMMYFUNCTION("""COMPUTED_VALUE"""),1000)</f>
        <v>1000</v>
      </c>
      <c r="J875" s="5">
        <f ca="1">IFERROR(__xludf.DUMMYFUNCTION("""COMPUTED_VALUE"""),690)</f>
        <v>690</v>
      </c>
      <c r="K875" s="3"/>
      <c r="L875" s="3" t="str">
        <f ca="1">IFERROR(__xludf.DUMMYFUNCTION("""COMPUTED_VALUE"""),"Cost per period")</f>
        <v>Cost per period</v>
      </c>
      <c r="M875" s="3"/>
      <c r="N875" s="3"/>
      <c r="O875" s="3" t="str">
        <f ca="1">IFERROR(__xludf.DUMMYFUNCTION("""COMPUTED_VALUE"""),"2000")</f>
        <v>2000</v>
      </c>
      <c r="P875" s="3" t="str">
        <f ca="1">IFERROR(__xludf.DUMMYFUNCTION("""COMPUTED_VALUE"""),"1400")</f>
        <v>1400</v>
      </c>
      <c r="Q875" s="3" t="str">
        <f ca="1">IFERROR(__xludf.DUMMYFUNCTION("""COMPUTED_VALUE"""),"2000x1400")</f>
        <v>2000x1400</v>
      </c>
      <c r="R875" s="3"/>
      <c r="S875" s="3" t="str">
        <f ca="1">IFERROR(__xludf.DUMMYFUNCTION("""COMPUTED_VALUE"""),"500 + 200 (600+200 HTML5)")</f>
        <v>500 + 200 (600+200 HTML5)</v>
      </c>
      <c r="T875" s="3"/>
      <c r="U875" s="3" t="str">
        <f ca="1">IFERROR(__xludf.DUMMYFUNCTION("""COMPUTED_VALUE"""),"banner standard")</f>
        <v>banner standard</v>
      </c>
      <c r="V875" s="3"/>
      <c r="W875" s="4" t="str">
        <f ca="1">IFERROR(__xludf.DUMMYFUNCTION("""COMPUTED_VALUE"""),"https://reklama.cncenter.cz/Online/branding")</f>
        <v>https://reklama.cncenter.cz/Online/branding</v>
      </c>
      <c r="X875" s="3"/>
      <c r="Y875" s="3"/>
      <c r="Z875" s="3" t="str">
        <f ca="1">IFERROR(__xludf.DUMMYFUNCTION("""COMPUTED_VALUE"""),"podklady@cncenter.cz")</f>
        <v>podklady@cncenter.cz</v>
      </c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 t="str">
        <f ca="1">IFERROR(__xludf.DUMMYFUNCTION("""COMPUTED_VALUE"""),"desktop")</f>
        <v>desktop</v>
      </c>
      <c r="AO875" s="3"/>
      <c r="AP875" s="3"/>
      <c r="AQ875" s="3"/>
      <c r="AR875" s="3"/>
      <c r="AS875" s="3"/>
      <c r="AT875" s="3"/>
      <c r="AU875" s="3" t="str">
        <f ca="1">IFERROR(__xludf.DUMMYFUNCTION("""COMPUTED_VALUE"""),"branding")</f>
        <v>branding</v>
      </c>
    </row>
    <row r="876" spans="1:47" x14ac:dyDescent="0.3">
      <c r="A876" s="3">
        <f ca="1"/>
        <v>2346826</v>
      </c>
      <c r="B876" s="3" t="str">
        <f ca="1"/>
        <v>CZECH NEWS CENTER a. s.</v>
      </c>
      <c r="C876" s="4" t="str">
        <f ca="1">IFERROR(__xludf.DUMMYFUNCTION("""COMPUTED_VALUE"""),"nemovitosti.blesk.cz")</f>
        <v>nemovitosti.blesk.cz</v>
      </c>
      <c r="D876" s="4" t="str">
        <f ca="1">IFERROR(__xludf.DUMMYFUNCTION("""COMPUTED_VALUE"""),"https://nemovitosti.blesk.cz")</f>
        <v>https://nemovitosti.blesk.cz</v>
      </c>
      <c r="E876" s="3" t="str">
        <f ca="1">IFERROR(__xludf.DUMMYFUNCTION("""COMPUTED_VALUE"""),"celý web")</f>
        <v>celý web</v>
      </c>
      <c r="F876" s="4" t="str">
        <f ca="1">IFERROR(__xludf.DUMMYFUNCTION("""COMPUTED_VALUE"""),"https://nemovitosti.blesk.cz")</f>
        <v>https://nemovitosti.blesk.cz</v>
      </c>
      <c r="G876" s="3" t="str">
        <f ca="1">IFERROR(__xludf.DUMMYFUNCTION("""COMPUTED_VALUE"""),"cílený billboard bottom mid season")</f>
        <v>cílený billboard bottom mid season</v>
      </c>
      <c r="H876" s="3">
        <f ca="1">IFERROR(__xludf.DUMMYFUNCTION("""COMPUTED_VALUE"""),7)</f>
        <v>7</v>
      </c>
      <c r="I876" s="5">
        <f ca="1">IFERROR(__xludf.DUMMYFUNCTION("""COMPUTED_VALUE"""),1000)</f>
        <v>1000</v>
      </c>
      <c r="J876" s="5">
        <f ca="1">IFERROR(__xludf.DUMMYFUNCTION("""COMPUTED_VALUE"""),408)</f>
        <v>408</v>
      </c>
      <c r="K876" s="3"/>
      <c r="L876" s="3" t="str">
        <f ca="1">IFERROR(__xludf.DUMMYFUNCTION("""COMPUTED_VALUE"""),"Cost per period")</f>
        <v>Cost per period</v>
      </c>
      <c r="M876" s="3"/>
      <c r="N876" s="3"/>
      <c r="O876" s="3" t="str">
        <f ca="1">IFERROR(__xludf.DUMMYFUNCTION("""COMPUTED_VALUE"""),"970")</f>
        <v>970</v>
      </c>
      <c r="P876" s="3" t="str">
        <f ca="1">IFERROR(__xludf.DUMMYFUNCTION("""COMPUTED_VALUE"""),"250")</f>
        <v>250</v>
      </c>
      <c r="Q876" s="3" t="str">
        <f ca="1">IFERROR(__xludf.DUMMYFUNCTION("""COMPUTED_VALUE"""),"970x250")</f>
        <v>970x250</v>
      </c>
      <c r="R876" s="3"/>
      <c r="S876" s="3" t="str">
        <f ca="1">IFERROR(__xludf.DUMMYFUNCTION("""COMPUTED_VALUE"""),"100 (200 - HTML5)")</f>
        <v>100 (200 - HTML5)</v>
      </c>
      <c r="T876" s="3"/>
      <c r="U876" s="3" t="str">
        <f ca="1">IFERROR(__xludf.DUMMYFUNCTION("""COMPUTED_VALUE"""),"banner standard")</f>
        <v>banner standard</v>
      </c>
      <c r="V876" s="3"/>
      <c r="W876" s="4" t="str">
        <f ca="1">IFERROR(__xludf.DUMMYFUNCTION("""COMPUTED_VALUE"""),"https://reklama.cncenter.cz/Online/billboard-bottom")</f>
        <v>https://reklama.cncenter.cz/Online/billboard-bottom</v>
      </c>
      <c r="X876" s="3"/>
      <c r="Y876" s="3"/>
      <c r="Z876" s="3" t="str">
        <f ca="1">IFERROR(__xludf.DUMMYFUNCTION("""COMPUTED_VALUE"""),"podklady@cncenter.cz")</f>
        <v>podklady@cncenter.cz</v>
      </c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 t="str">
        <f ca="1">IFERROR(__xludf.DUMMYFUNCTION("""COMPUTED_VALUE"""),"desktop")</f>
        <v>desktop</v>
      </c>
      <c r="AO876" s="3"/>
      <c r="AP876" s="3"/>
      <c r="AQ876" s="3"/>
      <c r="AR876" s="3"/>
      <c r="AS876" s="3"/>
      <c r="AT876" s="3"/>
      <c r="AU876" s="3" t="str">
        <f ca="1">IFERROR(__xludf.DUMMYFUNCTION("""COMPUTED_VALUE"""),"cílený billboard bottom")</f>
        <v>cílený billboard bottom</v>
      </c>
    </row>
    <row r="877" spans="1:47" x14ac:dyDescent="0.3">
      <c r="A877" s="3">
        <f ca="1"/>
        <v>2346826</v>
      </c>
      <c r="B877" s="3" t="str">
        <f ca="1"/>
        <v>CZECH NEWS CENTER a. s.</v>
      </c>
      <c r="C877" s="4" t="str">
        <f ca="1">IFERROR(__xludf.DUMMYFUNCTION("""COMPUTED_VALUE"""),"nemovitosti.blesk.cz")</f>
        <v>nemovitosti.blesk.cz</v>
      </c>
      <c r="D877" s="4" t="str">
        <f ca="1">IFERROR(__xludf.DUMMYFUNCTION("""COMPUTED_VALUE"""),"https://nemovitosti.blesk.cz")</f>
        <v>https://nemovitosti.blesk.cz</v>
      </c>
      <c r="E877" s="3" t="str">
        <f ca="1">IFERROR(__xludf.DUMMYFUNCTION("""COMPUTED_VALUE"""),"celý web")</f>
        <v>celý web</v>
      </c>
      <c r="F877" s="4" t="str">
        <f ca="1">IFERROR(__xludf.DUMMYFUNCTION("""COMPUTED_VALUE"""),"https://nemovitosti.blesk.cz")</f>
        <v>https://nemovitosti.blesk.cz</v>
      </c>
      <c r="G877" s="3" t="str">
        <f ca="1">IFERROR(__xludf.DUMMYFUNCTION("""COMPUTED_VALUE"""),"cílený branding cross-device mid season")</f>
        <v>cílený branding cross-device mid season</v>
      </c>
      <c r="H877" s="3">
        <f ca="1">IFERROR(__xludf.DUMMYFUNCTION("""COMPUTED_VALUE"""),7)</f>
        <v>7</v>
      </c>
      <c r="I877" s="5">
        <f ca="1">IFERROR(__xludf.DUMMYFUNCTION("""COMPUTED_VALUE"""),1000)</f>
        <v>1000</v>
      </c>
      <c r="J877" s="5">
        <f ca="1">IFERROR(__xludf.DUMMYFUNCTION("""COMPUTED_VALUE"""),504)</f>
        <v>504</v>
      </c>
      <c r="K877" s="3"/>
      <c r="L877" s="3" t="str">
        <f ca="1">IFERROR(__xludf.DUMMYFUNCTION("""COMPUTED_VALUE"""),"Cost per period")</f>
        <v>Cost per period</v>
      </c>
      <c r="M877" s="3"/>
      <c r="N877" s="3"/>
      <c r="O877" s="3" t="str">
        <f ca="1">IFERROR(__xludf.DUMMYFUNCTION("""COMPUTED_VALUE"""),"2000")</f>
        <v>2000</v>
      </c>
      <c r="P877" s="3" t="str">
        <f ca="1">IFERROR(__xludf.DUMMYFUNCTION("""COMPUTED_VALUE"""),"1400")</f>
        <v>1400</v>
      </c>
      <c r="Q877" s="3" t="str">
        <f ca="1">IFERROR(__xludf.DUMMYFUNCTION("""COMPUTED_VALUE"""),"2000x1400 + 600x1080")</f>
        <v>2000x1400 + 600x1080</v>
      </c>
      <c r="R877" s="3"/>
      <c r="S877" s="3" t="str">
        <f ca="1">IFERROR(__xludf.DUMMYFUNCTION("""COMPUTED_VALUE"""),"500 (600 - HTLM5)")</f>
        <v>500 (600 - HTLM5)</v>
      </c>
      <c r="T877" s="3"/>
      <c r="U877" s="3" t="str">
        <f ca="1">IFERROR(__xludf.DUMMYFUNCTION("""COMPUTED_VALUE"""),"banner standard")</f>
        <v>banner standard</v>
      </c>
      <c r="V877" s="3"/>
      <c r="W877" s="4" t="str">
        <f ca="1">IFERROR(__xludf.DUMMYFUNCTION("""COMPUTED_VALUE"""),"https://reklama.cncenter.cz/Online/branding-cross-device")</f>
        <v>https://reklama.cncenter.cz/Online/branding-cross-device</v>
      </c>
      <c r="X877" s="3"/>
      <c r="Y877" s="3"/>
      <c r="Z877" s="3" t="str">
        <f ca="1">IFERROR(__xludf.DUMMYFUNCTION("""COMPUTED_VALUE"""),"podklady@cncenter.cz")</f>
        <v>podklady@cncenter.cz</v>
      </c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 t="str">
        <f ca="1">IFERROR(__xludf.DUMMYFUNCTION("""COMPUTED_VALUE"""),"cross-device")</f>
        <v>cross-device</v>
      </c>
      <c r="AO877" s="3"/>
      <c r="AP877" s="3"/>
      <c r="AQ877" s="3"/>
      <c r="AR877" s="3"/>
      <c r="AS877" s="3"/>
      <c r="AT877" s="3"/>
      <c r="AU877" s="3" t="str">
        <f ca="1">IFERROR(__xludf.DUMMYFUNCTION("""COMPUTED_VALUE"""),"cílený branding cross-device")</f>
        <v>cílený branding cross-device</v>
      </c>
    </row>
    <row r="878" spans="1:47" x14ac:dyDescent="0.3">
      <c r="A878" s="3">
        <f ca="1"/>
        <v>2346826</v>
      </c>
      <c r="B878" s="3" t="str">
        <f ca="1"/>
        <v>CZECH NEWS CENTER a. s.</v>
      </c>
      <c r="C878" s="4" t="str">
        <f ca="1">IFERROR(__xludf.DUMMYFUNCTION("""COMPUTED_VALUE"""),"nemovitosti.blesk.cz")</f>
        <v>nemovitosti.blesk.cz</v>
      </c>
      <c r="D878" s="4" t="str">
        <f ca="1">IFERROR(__xludf.DUMMYFUNCTION("""COMPUTED_VALUE"""),"https://nemovitosti.blesk.cz")</f>
        <v>https://nemovitosti.blesk.cz</v>
      </c>
      <c r="E878" s="3" t="str">
        <f ca="1">IFERROR(__xludf.DUMMYFUNCTION("""COMPUTED_VALUE"""),"celý web")</f>
        <v>celý web</v>
      </c>
      <c r="F878" s="4" t="str">
        <f ca="1">IFERROR(__xludf.DUMMYFUNCTION("""COMPUTED_VALUE"""),"https://nemovitosti.blesk.cz")</f>
        <v>https://nemovitosti.blesk.cz</v>
      </c>
      <c r="G878" s="3" t="str">
        <f ca="1">IFERROR(__xludf.DUMMYFUNCTION("""COMPUTED_VALUE"""),"cílený branding mid season")</f>
        <v>cílený branding mid season</v>
      </c>
      <c r="H878" s="3">
        <f ca="1">IFERROR(__xludf.DUMMYFUNCTION("""COMPUTED_VALUE"""),7)</f>
        <v>7</v>
      </c>
      <c r="I878" s="5">
        <f ca="1">IFERROR(__xludf.DUMMYFUNCTION("""COMPUTED_VALUE"""),1000)</f>
        <v>1000</v>
      </c>
      <c r="J878" s="5">
        <f ca="1">IFERROR(__xludf.DUMMYFUNCTION("""COMPUTED_VALUE"""),828)</f>
        <v>828</v>
      </c>
      <c r="K878" s="3"/>
      <c r="L878" s="3" t="str">
        <f ca="1">IFERROR(__xludf.DUMMYFUNCTION("""COMPUTED_VALUE"""),"Cost per period")</f>
        <v>Cost per period</v>
      </c>
      <c r="M878" s="3"/>
      <c r="N878" s="3"/>
      <c r="O878" s="3" t="str">
        <f ca="1">IFERROR(__xludf.DUMMYFUNCTION("""COMPUTED_VALUE"""),"2000")</f>
        <v>2000</v>
      </c>
      <c r="P878" s="3" t="str">
        <f ca="1">IFERROR(__xludf.DUMMYFUNCTION("""COMPUTED_VALUE"""),"1400")</f>
        <v>1400</v>
      </c>
      <c r="Q878" s="3" t="str">
        <f ca="1">IFERROR(__xludf.DUMMYFUNCTION("""COMPUTED_VALUE"""),"2000x1400")</f>
        <v>2000x1400</v>
      </c>
      <c r="R878" s="3"/>
      <c r="S878" s="3" t="str">
        <f ca="1">IFERROR(__xludf.DUMMYFUNCTION("""COMPUTED_VALUE"""),"500 + 200 (600+200 HTML5)")</f>
        <v>500 + 200 (600+200 HTML5)</v>
      </c>
      <c r="T878" s="3"/>
      <c r="U878" s="3" t="str">
        <f ca="1">IFERROR(__xludf.DUMMYFUNCTION("""COMPUTED_VALUE"""),"banner standard")</f>
        <v>banner standard</v>
      </c>
      <c r="V878" s="3"/>
      <c r="W878" s="4" t="str">
        <f ca="1">IFERROR(__xludf.DUMMYFUNCTION("""COMPUTED_VALUE"""),"https://reklama.cncenter.cz/Online/branding")</f>
        <v>https://reklama.cncenter.cz/Online/branding</v>
      </c>
      <c r="X878" s="3"/>
      <c r="Y878" s="3"/>
      <c r="Z878" s="3" t="str">
        <f ca="1">IFERROR(__xludf.DUMMYFUNCTION("""COMPUTED_VALUE"""),"podklady@cncenter.cz")</f>
        <v>podklady@cncenter.cz</v>
      </c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 t="str">
        <f ca="1">IFERROR(__xludf.DUMMYFUNCTION("""COMPUTED_VALUE"""),"desktop")</f>
        <v>desktop</v>
      </c>
      <c r="AO878" s="3"/>
      <c r="AP878" s="3"/>
      <c r="AQ878" s="3"/>
      <c r="AR878" s="3"/>
      <c r="AS878" s="3"/>
      <c r="AT878" s="3"/>
      <c r="AU878" s="3" t="str">
        <f ca="1">IFERROR(__xludf.DUMMYFUNCTION("""COMPUTED_VALUE"""),"cílený branding")</f>
        <v>cílený branding</v>
      </c>
    </row>
    <row r="879" spans="1:47" x14ac:dyDescent="0.3">
      <c r="A879" s="3">
        <f ca="1"/>
        <v>2346826</v>
      </c>
      <c r="B879" s="3" t="str">
        <f ca="1"/>
        <v>CZECH NEWS CENTER a. s.</v>
      </c>
      <c r="C879" s="4" t="str">
        <f ca="1">IFERROR(__xludf.DUMMYFUNCTION("""COMPUTED_VALUE"""),"nemovitosti.blesk.cz")</f>
        <v>nemovitosti.blesk.cz</v>
      </c>
      <c r="D879" s="4" t="str">
        <f ca="1">IFERROR(__xludf.DUMMYFUNCTION("""COMPUTED_VALUE"""),"https://nemovitosti.blesk.cz")</f>
        <v>https://nemovitosti.blesk.cz</v>
      </c>
      <c r="E879" s="3" t="str">
        <f ca="1">IFERROR(__xludf.DUMMYFUNCTION("""COMPUTED_VALUE"""),"celý web")</f>
        <v>celý web</v>
      </c>
      <c r="F879" s="4" t="str">
        <f ca="1">IFERROR(__xludf.DUMMYFUNCTION("""COMPUTED_VALUE"""),"https://nemovitosti.blesk.cz")</f>
        <v>https://nemovitosti.blesk.cz</v>
      </c>
      <c r="G879" s="3" t="str">
        <f ca="1">IFERROR(__xludf.DUMMYFUNCTION("""COMPUTED_VALUE"""),"cílený double skyscraper mid season")</f>
        <v>cílený double skyscraper mid season</v>
      </c>
      <c r="H879" s="3">
        <f ca="1">IFERROR(__xludf.DUMMYFUNCTION("""COMPUTED_VALUE"""),7)</f>
        <v>7</v>
      </c>
      <c r="I879" s="5">
        <f ca="1">IFERROR(__xludf.DUMMYFUNCTION("""COMPUTED_VALUE"""),1000)</f>
        <v>1000</v>
      </c>
      <c r="J879" s="5">
        <f ca="1">IFERROR(__xludf.DUMMYFUNCTION("""COMPUTED_VALUE"""),324)</f>
        <v>324</v>
      </c>
      <c r="K879" s="3"/>
      <c r="L879" s="3" t="str">
        <f ca="1">IFERROR(__xludf.DUMMYFUNCTION("""COMPUTED_VALUE"""),"Cost per period")</f>
        <v>Cost per period</v>
      </c>
      <c r="M879" s="3"/>
      <c r="N879" s="3"/>
      <c r="O879" s="3" t="str">
        <f ca="1">IFERROR(__xludf.DUMMYFUNCTION("""COMPUTED_VALUE"""),"300")</f>
        <v>300</v>
      </c>
      <c r="P879" s="3" t="str">
        <f ca="1">IFERROR(__xludf.DUMMYFUNCTION("""COMPUTED_VALUE"""),"600")</f>
        <v>600</v>
      </c>
      <c r="Q879" s="3" t="str">
        <f ca="1">IFERROR(__xludf.DUMMYFUNCTION("""COMPUTED_VALUE"""),"300x600")</f>
        <v>300x600</v>
      </c>
      <c r="R879" s="3"/>
      <c r="S879" s="3" t="str">
        <f ca="1">IFERROR(__xludf.DUMMYFUNCTION("""COMPUTED_VALUE"""),"100 (200 - HTML5)")</f>
        <v>100 (200 - HTML5)</v>
      </c>
      <c r="T879" s="3"/>
      <c r="U879" s="3" t="str">
        <f ca="1">IFERROR(__xludf.DUMMYFUNCTION("""COMPUTED_VALUE"""),"banner standard")</f>
        <v>banner standard</v>
      </c>
      <c r="V879" s="3"/>
      <c r="W879" s="4" t="str">
        <f ca="1">IFERROR(__xludf.DUMMYFUNCTION("""COMPUTED_VALUE"""),"https://reklama.cncenter.cz/Online/double-skyscraper")</f>
        <v>https://reklama.cncenter.cz/Online/double-skyscraper</v>
      </c>
      <c r="X879" s="3"/>
      <c r="Y879" s="3"/>
      <c r="Z879" s="3" t="str">
        <f ca="1">IFERROR(__xludf.DUMMYFUNCTION("""COMPUTED_VALUE"""),"podklady@cncenter.cz")</f>
        <v>podklady@cncenter.cz</v>
      </c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 t="str">
        <f ca="1">IFERROR(__xludf.DUMMYFUNCTION("""COMPUTED_VALUE"""),"desktop")</f>
        <v>desktop</v>
      </c>
      <c r="AO879" s="3"/>
      <c r="AP879" s="3"/>
      <c r="AQ879" s="3"/>
      <c r="AR879" s="3"/>
      <c r="AS879" s="3"/>
      <c r="AT879" s="3"/>
      <c r="AU879" s="3" t="str">
        <f ca="1">IFERROR(__xludf.DUMMYFUNCTION("""COMPUTED_VALUE"""),"cílený double skyscraper")</f>
        <v>cílený double skyscraper</v>
      </c>
    </row>
    <row r="880" spans="1:47" x14ac:dyDescent="0.3">
      <c r="A880" s="3">
        <f ca="1"/>
        <v>2346826</v>
      </c>
      <c r="B880" s="3" t="str">
        <f ca="1"/>
        <v>CZECH NEWS CENTER a. s.</v>
      </c>
      <c r="C880" s="4" t="str">
        <f ca="1">IFERROR(__xludf.DUMMYFUNCTION("""COMPUTED_VALUE"""),"nemovitosti.blesk.cz")</f>
        <v>nemovitosti.blesk.cz</v>
      </c>
      <c r="D880" s="4" t="str">
        <f ca="1">IFERROR(__xludf.DUMMYFUNCTION("""COMPUTED_VALUE"""),"https://nemovitosti.blesk.cz")</f>
        <v>https://nemovitosti.blesk.cz</v>
      </c>
      <c r="E880" s="3" t="str">
        <f ca="1">IFERROR(__xludf.DUMMYFUNCTION("""COMPUTED_VALUE"""),"celý web")</f>
        <v>celý web</v>
      </c>
      <c r="F880" s="4" t="str">
        <f ca="1">IFERROR(__xludf.DUMMYFUNCTION("""COMPUTED_VALUE"""),"https://nemovitosti.blesk.cz")</f>
        <v>https://nemovitosti.blesk.cz</v>
      </c>
      <c r="G880" s="3" t="str">
        <f ca="1">IFERROR(__xludf.DUMMYFUNCTION("""COMPUTED_VALUE"""),"cílený mobilní interscroller mid season")</f>
        <v>cílený mobilní interscroller mid season</v>
      </c>
      <c r="H880" s="3">
        <f ca="1">IFERROR(__xludf.DUMMYFUNCTION("""COMPUTED_VALUE"""),7)</f>
        <v>7</v>
      </c>
      <c r="I880" s="5">
        <f ca="1">IFERROR(__xludf.DUMMYFUNCTION("""COMPUTED_VALUE"""),1000)</f>
        <v>1000</v>
      </c>
      <c r="J880" s="5">
        <f ca="1">IFERROR(__xludf.DUMMYFUNCTION("""COMPUTED_VALUE"""),420)</f>
        <v>420</v>
      </c>
      <c r="K880" s="3"/>
      <c r="L880" s="3" t="str">
        <f ca="1">IFERROR(__xludf.DUMMYFUNCTION("""COMPUTED_VALUE"""),"Cost per period")</f>
        <v>Cost per period</v>
      </c>
      <c r="M880" s="3"/>
      <c r="N880" s="3"/>
      <c r="O880" s="3" t="str">
        <f ca="1">IFERROR(__xludf.DUMMYFUNCTION("""COMPUTED_VALUE"""),"600")</f>
        <v>600</v>
      </c>
      <c r="P880" s="3" t="str">
        <f ca="1">IFERROR(__xludf.DUMMYFUNCTION("""COMPUTED_VALUE"""),"1080")</f>
        <v>1080</v>
      </c>
      <c r="Q880" s="3" t="str">
        <f ca="1">IFERROR(__xludf.DUMMYFUNCTION("""COMPUTED_VALUE"""),"600x1080")</f>
        <v>600x1080</v>
      </c>
      <c r="R880" s="3"/>
      <c r="S880" s="3" t="str">
        <f ca="1">IFERROR(__xludf.DUMMYFUNCTION("""COMPUTED_VALUE"""),"200")</f>
        <v>200</v>
      </c>
      <c r="T880" s="3"/>
      <c r="U880" s="3" t="str">
        <f ca="1">IFERROR(__xludf.DUMMYFUNCTION("""COMPUTED_VALUE"""),"banner standard")</f>
        <v>banner standard</v>
      </c>
      <c r="V880" s="3"/>
      <c r="W880" s="4" t="str">
        <f ca="1">IFERROR(__xludf.DUMMYFUNCTION("""COMPUTED_VALUE"""),"https://reklama.cncenter.cz/Online/mobilni-interscroller")</f>
        <v>https://reklama.cncenter.cz/Online/mobilni-interscroller</v>
      </c>
      <c r="X880" s="3"/>
      <c r="Y880" s="3"/>
      <c r="Z880" s="3" t="str">
        <f ca="1">IFERROR(__xludf.DUMMYFUNCTION("""COMPUTED_VALUE"""),"podklady@cncenter.cz")</f>
        <v>podklady@cncenter.cz</v>
      </c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 t="str">
        <f ca="1">IFERROR(__xludf.DUMMYFUNCTION("""COMPUTED_VALUE"""),"mobile")</f>
        <v>mobile</v>
      </c>
      <c r="AO880" s="3"/>
      <c r="AP880" s="3"/>
      <c r="AQ880" s="3"/>
      <c r="AR880" s="3"/>
      <c r="AS880" s="3"/>
      <c r="AT880" s="3"/>
      <c r="AU880" s="3" t="str">
        <f ca="1">IFERROR(__xludf.DUMMYFUNCTION("""COMPUTED_VALUE"""),"cílený mobilní interscroller")</f>
        <v>cílený mobilní interscroller</v>
      </c>
    </row>
    <row r="881" spans="1:47" x14ac:dyDescent="0.3">
      <c r="A881" s="3">
        <f ca="1"/>
        <v>2346826</v>
      </c>
      <c r="B881" s="3" t="str">
        <f ca="1"/>
        <v>CZECH NEWS CENTER a. s.</v>
      </c>
      <c r="C881" s="4" t="str">
        <f ca="1">IFERROR(__xludf.DUMMYFUNCTION("""COMPUTED_VALUE"""),"nemovitosti.blesk.cz")</f>
        <v>nemovitosti.blesk.cz</v>
      </c>
      <c r="D881" s="4" t="str">
        <f ca="1">IFERROR(__xludf.DUMMYFUNCTION("""COMPUTED_VALUE"""),"https://nemovitosti.blesk.cz")</f>
        <v>https://nemovitosti.blesk.cz</v>
      </c>
      <c r="E881" s="3" t="str">
        <f ca="1">IFERROR(__xludf.DUMMYFUNCTION("""COMPUTED_VALUE"""),"celý web")</f>
        <v>celý web</v>
      </c>
      <c r="F881" s="4" t="str">
        <f ca="1">IFERROR(__xludf.DUMMYFUNCTION("""COMPUTED_VALUE"""),"https://nemovitosti.blesk.cz")</f>
        <v>https://nemovitosti.blesk.cz</v>
      </c>
      <c r="G881" s="3" t="str">
        <f ca="1">IFERROR(__xludf.DUMMYFUNCTION("""COMPUTED_VALUE"""),"cílený nativní pr premium mid season")</f>
        <v>cílený nativní pr premium mid season</v>
      </c>
      <c r="H881" s="3">
        <f ca="1">IFERROR(__xludf.DUMMYFUNCTION("""COMPUTED_VALUE"""),7)</f>
        <v>7</v>
      </c>
      <c r="I881" s="5">
        <f ca="1">IFERROR(__xludf.DUMMYFUNCTION("""COMPUTED_VALUE"""),1000)</f>
        <v>1000</v>
      </c>
      <c r="J881" s="5">
        <f ca="1">IFERROR(__xludf.DUMMYFUNCTION("""COMPUTED_VALUE"""),168)</f>
        <v>168</v>
      </c>
      <c r="K881" s="3"/>
      <c r="L881" s="3" t="str">
        <f ca="1">IFERROR(__xludf.DUMMYFUNCTION("""COMPUTED_VALUE"""),"Cost per period")</f>
        <v>Cost per period</v>
      </c>
      <c r="M881" s="3"/>
      <c r="N881" s="3"/>
      <c r="O881" s="3" t="str">
        <f ca="1">IFERROR(__xludf.DUMMYFUNCTION("""COMPUTED_VALUE"""),"640")</f>
        <v>640</v>
      </c>
      <c r="P881" s="3" t="str">
        <f ca="1">IFERROR(__xludf.DUMMYFUNCTION("""COMPUTED_VALUE"""),"335, 640")</f>
        <v>335, 640</v>
      </c>
      <c r="Q881" s="3" t="str">
        <f ca="1">IFERROR(__xludf.DUMMYFUNCTION("""COMPUTED_VALUE"""),"640x640 a 640x335 + text + logo")</f>
        <v>640x640 a 640x335 + text + logo</v>
      </c>
      <c r="R881" s="3" t="str">
        <f ca="1">IFERROR(__xludf.DUMMYFUNCTION("""COMPUTED_VALUE"""),"detailní specifikace na URL odkaze")</f>
        <v>detailní specifikace na URL odkaze</v>
      </c>
      <c r="S881" s="3" t="str">
        <f ca="1">IFERROR(__xludf.DUMMYFUNCTION("""COMPUTED_VALUE"""),"100")</f>
        <v>100</v>
      </c>
      <c r="T881" s="3"/>
      <c r="U881" s="3" t="str">
        <f ca="1">IFERROR(__xludf.DUMMYFUNCTION("""COMPUTED_VALUE"""),"nativní reklama")</f>
        <v>nativní reklama</v>
      </c>
      <c r="V881" s="3"/>
      <c r="W881" s="4" t="str">
        <f ca="1">IFERROR(__xludf.DUMMYFUNCTION("""COMPUTED_VALUE"""),"https://reklama.cncenter.cz/Online/nativni-PR-premium")</f>
        <v>https://reklama.cncenter.cz/Online/nativni-PR-premium</v>
      </c>
      <c r="X881" s="3"/>
      <c r="Y881" s="3"/>
      <c r="Z881" s="3" t="str">
        <f ca="1">IFERROR(__xludf.DUMMYFUNCTION("""COMPUTED_VALUE"""),"podklady@cncenter.cz")</f>
        <v>podklady@cncenter.cz</v>
      </c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 t="str">
        <f ca="1">IFERROR(__xludf.DUMMYFUNCTION("""COMPUTED_VALUE"""),"cross-device")</f>
        <v>cross-device</v>
      </c>
      <c r="AO881" s="3"/>
      <c r="AP881" s="3"/>
      <c r="AQ881" s="3"/>
      <c r="AR881" s="3"/>
      <c r="AS881" s="3"/>
      <c r="AT881" s="3"/>
      <c r="AU881" s="3" t="str">
        <f ca="1">IFERROR(__xludf.DUMMYFUNCTION("""COMPUTED_VALUE"""),"cílený nativní pr premium")</f>
        <v>cílený nativní pr premium</v>
      </c>
    </row>
    <row r="882" spans="1:47" x14ac:dyDescent="0.3">
      <c r="A882" s="3">
        <f ca="1"/>
        <v>2346826</v>
      </c>
      <c r="B882" s="3" t="str">
        <f ca="1"/>
        <v>CZECH NEWS CENTER a. s.</v>
      </c>
      <c r="C882" s="4" t="str">
        <f ca="1">IFERROR(__xludf.DUMMYFUNCTION("""COMPUTED_VALUE"""),"nemovitosti.blesk.cz")</f>
        <v>nemovitosti.blesk.cz</v>
      </c>
      <c r="D882" s="4" t="str">
        <f ca="1">IFERROR(__xludf.DUMMYFUNCTION("""COMPUTED_VALUE"""),"https://nemovitosti.blesk.cz")</f>
        <v>https://nemovitosti.blesk.cz</v>
      </c>
      <c r="E882" s="3" t="str">
        <f ca="1">IFERROR(__xludf.DUMMYFUNCTION("""COMPUTED_VALUE"""),"celý web")</f>
        <v>celý web</v>
      </c>
      <c r="F882" s="4" t="str">
        <f ca="1">IFERROR(__xludf.DUMMYFUNCTION("""COMPUTED_VALUE"""),"https://nemovitosti.blesk.cz")</f>
        <v>https://nemovitosti.blesk.cz</v>
      </c>
      <c r="G882" s="3" t="str">
        <f ca="1">IFERROR(__xludf.DUMMYFUNCTION("""COMPUTED_VALUE"""),"cílený nativní rectangle cross-device mid season")</f>
        <v>cílený nativní rectangle cross-device mid season</v>
      </c>
      <c r="H882" s="3">
        <f ca="1">IFERROR(__xludf.DUMMYFUNCTION("""COMPUTED_VALUE"""),7)</f>
        <v>7</v>
      </c>
      <c r="I882" s="5">
        <f ca="1">IFERROR(__xludf.DUMMYFUNCTION("""COMPUTED_VALUE"""),1000)</f>
        <v>1000</v>
      </c>
      <c r="J882" s="5">
        <f ca="1">IFERROR(__xludf.DUMMYFUNCTION("""COMPUTED_VALUE"""),336)</f>
        <v>336</v>
      </c>
      <c r="K882" s="3"/>
      <c r="L882" s="3" t="str">
        <f ca="1">IFERROR(__xludf.DUMMYFUNCTION("""COMPUTED_VALUE"""),"Cost per period")</f>
        <v>Cost per period</v>
      </c>
      <c r="M882" s="3"/>
      <c r="N882" s="3"/>
      <c r="O882" s="3" t="str">
        <f ca="1">IFERROR(__xludf.DUMMYFUNCTION("""COMPUTED_VALUE"""),"640")</f>
        <v>640</v>
      </c>
      <c r="P882" s="3" t="str">
        <f ca="1">IFERROR(__xludf.DUMMYFUNCTION("""COMPUTED_VALUE"""),"335, 640")</f>
        <v>335, 640</v>
      </c>
      <c r="Q882" s="3" t="str">
        <f ca="1">IFERROR(__xludf.DUMMYFUNCTION("""COMPUTED_VALUE"""),"640x640 a 640x335 + text + logo")</f>
        <v>640x640 a 640x335 + text + logo</v>
      </c>
      <c r="R882" s="3"/>
      <c r="S882" s="3" t="str">
        <f ca="1">IFERROR(__xludf.DUMMYFUNCTION("""COMPUTED_VALUE"""),"45")</f>
        <v>45</v>
      </c>
      <c r="T882" s="3"/>
      <c r="U882" s="3" t="str">
        <f ca="1">IFERROR(__xludf.DUMMYFUNCTION("""COMPUTED_VALUE"""),"nativní reklama")</f>
        <v>nativní reklama</v>
      </c>
      <c r="V882" s="3"/>
      <c r="W882" s="4" t="str">
        <f ca="1">IFERROR(__xludf.DUMMYFUNCTION("""COMPUTED_VALUE"""),"https://reklama.cncenter.cz/Online/nativni-rectangle-cross-device")</f>
        <v>https://reklama.cncenter.cz/Online/nativni-rectangle-cross-device</v>
      </c>
      <c r="X882" s="3"/>
      <c r="Y882" s="3"/>
      <c r="Z882" s="3" t="str">
        <f ca="1">IFERROR(__xludf.DUMMYFUNCTION("""COMPUTED_VALUE"""),"podklady@cncenter.cz")</f>
        <v>podklady@cncenter.cz</v>
      </c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 t="str">
        <f ca="1">IFERROR(__xludf.DUMMYFUNCTION("""COMPUTED_VALUE"""),"cross-device")</f>
        <v>cross-device</v>
      </c>
      <c r="AO882" s="3"/>
      <c r="AP882" s="3"/>
      <c r="AQ882" s="3"/>
      <c r="AR882" s="3"/>
      <c r="AS882" s="3"/>
      <c r="AT882" s="3"/>
      <c r="AU882" s="3" t="str">
        <f ca="1">IFERROR(__xludf.DUMMYFUNCTION("""COMPUTED_VALUE"""),"cílený nativní rectangle cross-device")</f>
        <v>cílený nativní rectangle cross-device</v>
      </c>
    </row>
    <row r="883" spans="1:47" x14ac:dyDescent="0.3">
      <c r="A883" s="3">
        <f ca="1"/>
        <v>2346826</v>
      </c>
      <c r="B883" s="3" t="str">
        <f ca="1"/>
        <v>CZECH NEWS CENTER a. s.</v>
      </c>
      <c r="C883" s="4" t="str">
        <f ca="1">IFERROR(__xludf.DUMMYFUNCTION("""COMPUTED_VALUE"""),"nemovitosti.blesk.cz")</f>
        <v>nemovitosti.blesk.cz</v>
      </c>
      <c r="D883" s="4" t="str">
        <f ca="1">IFERROR(__xludf.DUMMYFUNCTION("""COMPUTED_VALUE"""),"https://nemovitosti.blesk.cz")</f>
        <v>https://nemovitosti.blesk.cz</v>
      </c>
      <c r="E883" s="3" t="str">
        <f ca="1">IFERROR(__xludf.DUMMYFUNCTION("""COMPUTED_VALUE"""),"celý web")</f>
        <v>celý web</v>
      </c>
      <c r="F883" s="4" t="str">
        <f ca="1">IFERROR(__xludf.DUMMYFUNCTION("""COMPUTED_VALUE"""),"https://nemovitosti.blesk.cz")</f>
        <v>https://nemovitosti.blesk.cz</v>
      </c>
      <c r="G883" s="3" t="str">
        <f ca="1">IFERROR(__xludf.DUMMYFUNCTION("""COMPUTED_VALUE"""),"cílený outstream mid season")</f>
        <v>cílený outstream mid season</v>
      </c>
      <c r="H883" s="3">
        <f ca="1">IFERROR(__xludf.DUMMYFUNCTION("""COMPUTED_VALUE"""),7)</f>
        <v>7</v>
      </c>
      <c r="I883" s="5">
        <f ca="1">IFERROR(__xludf.DUMMYFUNCTION("""COMPUTED_VALUE"""),1000)</f>
        <v>1000</v>
      </c>
      <c r="J883" s="5">
        <f ca="1">IFERROR(__xludf.DUMMYFUNCTION("""COMPUTED_VALUE"""),420)</f>
        <v>420</v>
      </c>
      <c r="K883" s="3"/>
      <c r="L883" s="3" t="str">
        <f ca="1">IFERROR(__xludf.DUMMYFUNCTION("""COMPUTED_VALUE"""),"Cost per period")</f>
        <v>Cost per period</v>
      </c>
      <c r="M883" s="3"/>
      <c r="N883" s="3"/>
      <c r="O883" s="3" t="str">
        <f ca="1">IFERROR(__xludf.DUMMYFUNCTION("""COMPUTED_VALUE"""),"1280")</f>
        <v>1280</v>
      </c>
      <c r="P883" s="3" t="str">
        <f ca="1">IFERROR(__xludf.DUMMYFUNCTION("""COMPUTED_VALUE"""),"720")</f>
        <v>720</v>
      </c>
      <c r="Q883" s="3" t="str">
        <f ca="1">IFERROR(__xludf.DUMMYFUNCTION("""COMPUTED_VALUE"""),"16:9")</f>
        <v>16:9</v>
      </c>
      <c r="R883" s="3"/>
      <c r="S883" s="3" t="str">
        <f ca="1">IFERROR(__xludf.DUMMYFUNCTION("""COMPUTED_VALUE"""),"100")</f>
        <v>100</v>
      </c>
      <c r="T883" s="3"/>
      <c r="U883" s="3" t="str">
        <f ca="1">IFERROR(__xludf.DUMMYFUNCTION("""COMPUTED_VALUE"""),"videospot")</f>
        <v>videospot</v>
      </c>
      <c r="V883" s="3"/>
      <c r="W883" s="4" t="str">
        <f ca="1">IFERROR(__xludf.DUMMYFUNCTION("""COMPUTED_VALUE"""),"https://reklama.cncenter.cz/Online/Outstream")</f>
        <v>https://reklama.cncenter.cz/Online/Outstream</v>
      </c>
      <c r="X883" s="3"/>
      <c r="Y883" s="3"/>
      <c r="Z883" s="3" t="str">
        <f ca="1">IFERROR(__xludf.DUMMYFUNCTION("""COMPUTED_VALUE"""),"podklady@cncenter.cz")</f>
        <v>podklady@cncenter.cz</v>
      </c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 t="str">
        <f ca="1">IFERROR(__xludf.DUMMYFUNCTION("""COMPUTED_VALUE"""),"cross-device")</f>
        <v>cross-device</v>
      </c>
      <c r="AO883" s="3"/>
      <c r="AP883" s="3"/>
      <c r="AQ883" s="3"/>
      <c r="AR883" s="3"/>
      <c r="AS883" s="3"/>
      <c r="AT883" s="3"/>
      <c r="AU883" s="3" t="str">
        <f ca="1">IFERROR(__xludf.DUMMYFUNCTION("""COMPUTED_VALUE"""),"cílený outstream")</f>
        <v>cílený outstream</v>
      </c>
    </row>
    <row r="884" spans="1:47" x14ac:dyDescent="0.3">
      <c r="A884" s="3">
        <f ca="1"/>
        <v>2346826</v>
      </c>
      <c r="B884" s="3" t="str">
        <f ca="1"/>
        <v>CZECH NEWS CENTER a. s.</v>
      </c>
      <c r="C884" s="4" t="str">
        <f ca="1">IFERROR(__xludf.DUMMYFUNCTION("""COMPUTED_VALUE"""),"nemovitosti.blesk.cz")</f>
        <v>nemovitosti.blesk.cz</v>
      </c>
      <c r="D884" s="4" t="str">
        <f ca="1">IFERROR(__xludf.DUMMYFUNCTION("""COMPUTED_VALUE"""),"https://nemovitosti.blesk.cz")</f>
        <v>https://nemovitosti.blesk.cz</v>
      </c>
      <c r="E884" s="3" t="str">
        <f ca="1">IFERROR(__xludf.DUMMYFUNCTION("""COMPUTED_VALUE"""),"celý web")</f>
        <v>celý web</v>
      </c>
      <c r="F884" s="4" t="str">
        <f ca="1">IFERROR(__xludf.DUMMYFUNCTION("""COMPUTED_VALUE"""),"https://nemovitosti.blesk.cz")</f>
        <v>https://nemovitosti.blesk.cz</v>
      </c>
      <c r="G884" s="3" t="str">
        <f ca="1">IFERROR(__xludf.DUMMYFUNCTION("""COMPUTED_VALUE"""),"dokoupení proma o 2 týdny - 10 000 PV *** mid season")</f>
        <v>dokoupení proma o 2 týdny - 10 000 PV *** mid season</v>
      </c>
      <c r="H884" s="3">
        <f ca="1">IFERROR(__xludf.DUMMYFUNCTION("""COMPUTED_VALUE"""),1)</f>
        <v>1</v>
      </c>
      <c r="I884" s="5">
        <f ca="1">IFERROR(__xludf.DUMMYFUNCTION("""COMPUTED_VALUE"""),1)</f>
        <v>1</v>
      </c>
      <c r="J884" s="5">
        <f ca="1">IFERROR(__xludf.DUMMYFUNCTION("""COMPUTED_VALUE"""),60000)</f>
        <v>60000</v>
      </c>
      <c r="K884" s="3"/>
      <c r="L884" s="3" t="str">
        <f ca="1">IFERROR(__xludf.DUMMYFUNCTION("""COMPUTED_VALUE"""),"Cost per instance")</f>
        <v>Cost per instance</v>
      </c>
      <c r="M884" s="3"/>
      <c r="N884" s="3"/>
      <c r="O884" s="3"/>
      <c r="P884" s="3"/>
      <c r="Q884" s="3"/>
      <c r="R884" s="3"/>
      <c r="S884" s="3" t="str">
        <f ca="1">IFERROR(__xludf.DUMMYFUNCTION("""COMPUTED_VALUE"""),"100")</f>
        <v>100</v>
      </c>
      <c r="T884" s="3"/>
      <c r="U884" s="3" t="str">
        <f ca="1">IFERROR(__xludf.DUMMYFUNCTION("""COMPUTED_VALUE"""),"microsite")</f>
        <v>microsite</v>
      </c>
      <c r="V884" s="3"/>
      <c r="W884" s="3"/>
      <c r="X884" s="3"/>
      <c r="Y884" s="3"/>
      <c r="Z884" s="3" t="str">
        <f ca="1">IFERROR(__xludf.DUMMYFUNCTION("""COMPUTED_VALUE"""),"podklady@cncenter.cz")</f>
        <v>podklady@cncenter.cz</v>
      </c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 t="str">
        <f ca="1">IFERROR(__xludf.DUMMYFUNCTION("""COMPUTED_VALUE"""),"cross-device")</f>
        <v>cross-device</v>
      </c>
      <c r="AO884" s="3"/>
      <c r="AP884" s="3"/>
      <c r="AQ884" s="3"/>
      <c r="AR884" s="3"/>
      <c r="AS884" s="3"/>
      <c r="AT884" s="3"/>
      <c r="AU884" s="3" t="str">
        <f ca="1">IFERROR(__xludf.DUMMYFUNCTION("""COMPUTED_VALUE"""),"dokoupení proma o 2 týdny - 10 000 PV ***")</f>
        <v>dokoupení proma o 2 týdny - 10 000 PV ***</v>
      </c>
    </row>
    <row r="885" spans="1:47" x14ac:dyDescent="0.3">
      <c r="A885" s="3">
        <f ca="1"/>
        <v>2346826</v>
      </c>
      <c r="B885" s="3" t="str">
        <f ca="1"/>
        <v>CZECH NEWS CENTER a. s.</v>
      </c>
      <c r="C885" s="4" t="str">
        <f ca="1">IFERROR(__xludf.DUMMYFUNCTION("""COMPUTED_VALUE"""),"nemovitosti.blesk.cz")</f>
        <v>nemovitosti.blesk.cz</v>
      </c>
      <c r="D885" s="4" t="str">
        <f ca="1">IFERROR(__xludf.DUMMYFUNCTION("""COMPUTED_VALUE"""),"https://nemovitosti.blesk.cz")</f>
        <v>https://nemovitosti.blesk.cz</v>
      </c>
      <c r="E885" s="3" t="str">
        <f ca="1">IFERROR(__xludf.DUMMYFUNCTION("""COMPUTED_VALUE"""),"celý web")</f>
        <v>celý web</v>
      </c>
      <c r="F885" s="4" t="str">
        <f ca="1">IFERROR(__xludf.DUMMYFUNCTION("""COMPUTED_VALUE"""),"https://nemovitosti.blesk.cz")</f>
        <v>https://nemovitosti.blesk.cz</v>
      </c>
      <c r="G885" s="3" t="str">
        <f ca="1">IFERROR(__xludf.DUMMYFUNCTION("""COMPUTED_VALUE"""),"double skyscraper mid season")</f>
        <v>double skyscraper mid season</v>
      </c>
      <c r="H885" s="3">
        <f ca="1">IFERROR(__xludf.DUMMYFUNCTION("""COMPUTED_VALUE"""),7)</f>
        <v>7</v>
      </c>
      <c r="I885" s="5">
        <f ca="1">IFERROR(__xludf.DUMMYFUNCTION("""COMPUTED_VALUE"""),1000)</f>
        <v>1000</v>
      </c>
      <c r="J885" s="5">
        <f ca="1">IFERROR(__xludf.DUMMYFUNCTION("""COMPUTED_VALUE"""),270)</f>
        <v>270</v>
      </c>
      <c r="K885" s="3"/>
      <c r="L885" s="3" t="str">
        <f ca="1">IFERROR(__xludf.DUMMYFUNCTION("""COMPUTED_VALUE"""),"Cost per period")</f>
        <v>Cost per period</v>
      </c>
      <c r="M885" s="3"/>
      <c r="N885" s="3"/>
      <c r="O885" s="3" t="str">
        <f ca="1">IFERROR(__xludf.DUMMYFUNCTION("""COMPUTED_VALUE"""),"300")</f>
        <v>300</v>
      </c>
      <c r="P885" s="3" t="str">
        <f ca="1">IFERROR(__xludf.DUMMYFUNCTION("""COMPUTED_VALUE"""),"600")</f>
        <v>600</v>
      </c>
      <c r="Q885" s="3" t="str">
        <f ca="1">IFERROR(__xludf.DUMMYFUNCTION("""COMPUTED_VALUE"""),"300x600")</f>
        <v>300x600</v>
      </c>
      <c r="R885" s="3"/>
      <c r="S885" s="3" t="str">
        <f ca="1">IFERROR(__xludf.DUMMYFUNCTION("""COMPUTED_VALUE"""),"100 (200 - HTML5)")</f>
        <v>100 (200 - HTML5)</v>
      </c>
      <c r="T885" s="3"/>
      <c r="U885" s="3" t="str">
        <f ca="1">IFERROR(__xludf.DUMMYFUNCTION("""COMPUTED_VALUE"""),"banner standard")</f>
        <v>banner standard</v>
      </c>
      <c r="V885" s="3"/>
      <c r="W885" s="4" t="str">
        <f ca="1">IFERROR(__xludf.DUMMYFUNCTION("""COMPUTED_VALUE"""),"https://reklama.cncenter.cz/Online/double-skyscraper")</f>
        <v>https://reklama.cncenter.cz/Online/double-skyscraper</v>
      </c>
      <c r="X885" s="3"/>
      <c r="Y885" s="3"/>
      <c r="Z885" s="3" t="str">
        <f ca="1">IFERROR(__xludf.DUMMYFUNCTION("""COMPUTED_VALUE"""),"podklady@cncenter.cz")</f>
        <v>podklady@cncenter.cz</v>
      </c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 t="str">
        <f ca="1">IFERROR(__xludf.DUMMYFUNCTION("""COMPUTED_VALUE"""),"desktop")</f>
        <v>desktop</v>
      </c>
      <c r="AO885" s="3"/>
      <c r="AP885" s="3"/>
      <c r="AQ885" s="3"/>
      <c r="AR885" s="3"/>
      <c r="AS885" s="3"/>
      <c r="AT885" s="3"/>
      <c r="AU885" s="3" t="str">
        <f ca="1">IFERROR(__xludf.DUMMYFUNCTION("""COMPUTED_VALUE"""),"double skyscraper")</f>
        <v>double skyscraper</v>
      </c>
    </row>
    <row r="886" spans="1:47" x14ac:dyDescent="0.3">
      <c r="A886" s="3">
        <f ca="1"/>
        <v>2346826</v>
      </c>
      <c r="B886" s="3" t="str">
        <f ca="1"/>
        <v>CZECH NEWS CENTER a. s.</v>
      </c>
      <c r="C886" s="4" t="str">
        <f ca="1">IFERROR(__xludf.DUMMYFUNCTION("""COMPUTED_VALUE"""),"nemovitosti.blesk.cz")</f>
        <v>nemovitosti.blesk.cz</v>
      </c>
      <c r="D886" s="4" t="str">
        <f ca="1">IFERROR(__xludf.DUMMYFUNCTION("""COMPUTED_VALUE"""),"https://nemovitosti.blesk.cz")</f>
        <v>https://nemovitosti.blesk.cz</v>
      </c>
      <c r="E886" s="3" t="str">
        <f ca="1">IFERROR(__xludf.DUMMYFUNCTION("""COMPUTED_VALUE"""),"celý web")</f>
        <v>celý web</v>
      </c>
      <c r="F886" s="4" t="str">
        <f ca="1">IFERROR(__xludf.DUMMYFUNCTION("""COMPUTED_VALUE"""),"https://nemovitosti.blesk.cz")</f>
        <v>https://nemovitosti.blesk.cz</v>
      </c>
      <c r="G886" s="3" t="str">
        <f ca="1">IFERROR(__xludf.DUMMYFUNCTION("""COMPUTED_VALUE"""),"mobilní interscroller mid season")</f>
        <v>mobilní interscroller mid season</v>
      </c>
      <c r="H886" s="3">
        <f ca="1">IFERROR(__xludf.DUMMYFUNCTION("""COMPUTED_VALUE"""),7)</f>
        <v>7</v>
      </c>
      <c r="I886" s="5">
        <f ca="1">IFERROR(__xludf.DUMMYFUNCTION("""COMPUTED_VALUE"""),1000)</f>
        <v>1000</v>
      </c>
      <c r="J886" s="5">
        <f ca="1">IFERROR(__xludf.DUMMYFUNCTION("""COMPUTED_VALUE"""),350)</f>
        <v>350</v>
      </c>
      <c r="K886" s="3"/>
      <c r="L886" s="3" t="str">
        <f ca="1">IFERROR(__xludf.DUMMYFUNCTION("""COMPUTED_VALUE"""),"Cost per period")</f>
        <v>Cost per period</v>
      </c>
      <c r="M886" s="3"/>
      <c r="N886" s="3"/>
      <c r="O886" s="3" t="str">
        <f ca="1">IFERROR(__xludf.DUMMYFUNCTION("""COMPUTED_VALUE"""),"600")</f>
        <v>600</v>
      </c>
      <c r="P886" s="3" t="str">
        <f ca="1">IFERROR(__xludf.DUMMYFUNCTION("""COMPUTED_VALUE"""),"1080")</f>
        <v>1080</v>
      </c>
      <c r="Q886" s="3" t="str">
        <f ca="1">IFERROR(__xludf.DUMMYFUNCTION("""COMPUTED_VALUE"""),"600x1080")</f>
        <v>600x1080</v>
      </c>
      <c r="R886" s="3"/>
      <c r="S886" s="3" t="str">
        <f ca="1">IFERROR(__xludf.DUMMYFUNCTION("""COMPUTED_VALUE"""),"200")</f>
        <v>200</v>
      </c>
      <c r="T886" s="3"/>
      <c r="U886" s="3" t="str">
        <f ca="1">IFERROR(__xludf.DUMMYFUNCTION("""COMPUTED_VALUE"""),"banner standard")</f>
        <v>banner standard</v>
      </c>
      <c r="V886" s="3"/>
      <c r="W886" s="4" t="str">
        <f ca="1">IFERROR(__xludf.DUMMYFUNCTION("""COMPUTED_VALUE"""),"https://reklama.cncenter.cz/Online/mobilni-interscroller")</f>
        <v>https://reklama.cncenter.cz/Online/mobilni-interscroller</v>
      </c>
      <c r="X886" s="3"/>
      <c r="Y886" s="3"/>
      <c r="Z886" s="3" t="str">
        <f ca="1">IFERROR(__xludf.DUMMYFUNCTION("""COMPUTED_VALUE"""),"podklady@cncenter.cz")</f>
        <v>podklady@cncenter.cz</v>
      </c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 t="str">
        <f ca="1">IFERROR(__xludf.DUMMYFUNCTION("""COMPUTED_VALUE"""),"mobile")</f>
        <v>mobile</v>
      </c>
      <c r="AO886" s="3"/>
      <c r="AP886" s="3"/>
      <c r="AQ886" s="3"/>
      <c r="AR886" s="3"/>
      <c r="AS886" s="3"/>
      <c r="AT886" s="3"/>
      <c r="AU886" s="3" t="str">
        <f ca="1">IFERROR(__xludf.DUMMYFUNCTION("""COMPUTED_VALUE"""),"mobilní interscroller")</f>
        <v>mobilní interscroller</v>
      </c>
    </row>
    <row r="887" spans="1:47" x14ac:dyDescent="0.3">
      <c r="A887" s="3">
        <f ca="1"/>
        <v>2346826</v>
      </c>
      <c r="B887" s="3" t="str">
        <f ca="1"/>
        <v>CZECH NEWS CENTER a. s.</v>
      </c>
      <c r="C887" s="4" t="str">
        <f ca="1">IFERROR(__xludf.DUMMYFUNCTION("""COMPUTED_VALUE"""),"nemovitosti.blesk.cz")</f>
        <v>nemovitosti.blesk.cz</v>
      </c>
      <c r="D887" s="4" t="str">
        <f ca="1">IFERROR(__xludf.DUMMYFUNCTION("""COMPUTED_VALUE"""),"https://nemovitosti.blesk.cz")</f>
        <v>https://nemovitosti.blesk.cz</v>
      </c>
      <c r="E887" s="3" t="str">
        <f ca="1">IFERROR(__xludf.DUMMYFUNCTION("""COMPUTED_VALUE"""),"celý web")</f>
        <v>celý web</v>
      </c>
      <c r="F887" s="4" t="str">
        <f ca="1">IFERROR(__xludf.DUMMYFUNCTION("""COMPUTED_VALUE"""),"https://nemovitosti.blesk.cz")</f>
        <v>https://nemovitosti.blesk.cz</v>
      </c>
      <c r="G887" s="3" t="str">
        <f ca="1">IFERROR(__xludf.DUMMYFUNCTION("""COMPUTED_VALUE"""),"Native Premium mid season")</f>
        <v>Native Premium mid season</v>
      </c>
      <c r="H887" s="3">
        <f ca="1">IFERROR(__xludf.DUMMYFUNCTION("""COMPUTED_VALUE"""),1)</f>
        <v>1</v>
      </c>
      <c r="I887" s="5">
        <f ca="1">IFERROR(__xludf.DUMMYFUNCTION("""COMPUTED_VALUE"""),1)</f>
        <v>1</v>
      </c>
      <c r="J887" s="5">
        <f ca="1">IFERROR(__xludf.DUMMYFUNCTION("""COMPUTED_VALUE"""),740000)</f>
        <v>740000</v>
      </c>
      <c r="K887" s="3"/>
      <c r="L887" s="3" t="str">
        <f ca="1">IFERROR(__xludf.DUMMYFUNCTION("""COMPUTED_VALUE"""),"Cost per instance")</f>
        <v>Cost per instance</v>
      </c>
      <c r="M887" s="3"/>
      <c r="N887" s="3"/>
      <c r="O887" s="3"/>
      <c r="P887" s="3"/>
      <c r="Q887" s="3"/>
      <c r="R887" s="3"/>
      <c r="S887" s="3" t="str">
        <f ca="1">IFERROR(__xludf.DUMMYFUNCTION("""COMPUTED_VALUE"""),"100")</f>
        <v>100</v>
      </c>
      <c r="T887" s="3"/>
      <c r="U887" s="3" t="str">
        <f ca="1">IFERROR(__xludf.DUMMYFUNCTION("""COMPUTED_VALUE"""),"microsite")</f>
        <v>microsite</v>
      </c>
      <c r="V887" s="3"/>
      <c r="W887" s="3"/>
      <c r="X887" s="3"/>
      <c r="Y887" s="3"/>
      <c r="Z887" s="3" t="str">
        <f ca="1">IFERROR(__xludf.DUMMYFUNCTION("""COMPUTED_VALUE"""),"podklady@cncenter.cz")</f>
        <v>podklady@cncenter.cz</v>
      </c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 t="str">
        <f ca="1">IFERROR(__xludf.DUMMYFUNCTION("""COMPUTED_VALUE"""),"cross-device")</f>
        <v>cross-device</v>
      </c>
      <c r="AO887" s="3"/>
      <c r="AP887" s="3"/>
      <c r="AQ887" s="3"/>
      <c r="AR887" s="3"/>
      <c r="AS887" s="3"/>
      <c r="AT887" s="3"/>
      <c r="AU887" s="3" t="str">
        <f ca="1">IFERROR(__xludf.DUMMYFUNCTION("""COMPUTED_VALUE"""),"Native Premium")</f>
        <v>Native Premium</v>
      </c>
    </row>
    <row r="888" spans="1:47" x14ac:dyDescent="0.3">
      <c r="A888" s="3">
        <f ca="1"/>
        <v>2346826</v>
      </c>
      <c r="B888" s="3" t="str">
        <f ca="1"/>
        <v>CZECH NEWS CENTER a. s.</v>
      </c>
      <c r="C888" s="4" t="str">
        <f ca="1">IFERROR(__xludf.DUMMYFUNCTION("""COMPUTED_VALUE"""),"nemovitosti.blesk.cz")</f>
        <v>nemovitosti.blesk.cz</v>
      </c>
      <c r="D888" s="4" t="str">
        <f ca="1">IFERROR(__xludf.DUMMYFUNCTION("""COMPUTED_VALUE"""),"https://nemovitosti.blesk.cz")</f>
        <v>https://nemovitosti.blesk.cz</v>
      </c>
      <c r="E888" s="3" t="str">
        <f ca="1">IFERROR(__xludf.DUMMYFUNCTION("""COMPUTED_VALUE"""),"celý web")</f>
        <v>celý web</v>
      </c>
      <c r="F888" s="4" t="str">
        <f ca="1">IFERROR(__xludf.DUMMYFUNCTION("""COMPUTED_VALUE"""),"https://nemovitosti.blesk.cz")</f>
        <v>https://nemovitosti.blesk.cz</v>
      </c>
      <c r="G888" s="3" t="str">
        <f ca="1">IFERROR(__xludf.DUMMYFUNCTION("""COMPUTED_VALUE"""),"Native Standard + mid season")</f>
        <v>Native Standard + mid season</v>
      </c>
      <c r="H888" s="3">
        <f ca="1">IFERROR(__xludf.DUMMYFUNCTION("""COMPUTED_VALUE"""),1)</f>
        <v>1</v>
      </c>
      <c r="I888" s="5">
        <f ca="1">IFERROR(__xludf.DUMMYFUNCTION("""COMPUTED_VALUE"""),1)</f>
        <v>1</v>
      </c>
      <c r="J888" s="5">
        <f ca="1">IFERROR(__xludf.DUMMYFUNCTION("""COMPUTED_VALUE"""),420000)</f>
        <v>420000</v>
      </c>
      <c r="K888" s="3"/>
      <c r="L888" s="3" t="str">
        <f ca="1">IFERROR(__xludf.DUMMYFUNCTION("""COMPUTED_VALUE"""),"Cost per instance")</f>
        <v>Cost per instance</v>
      </c>
      <c r="M888" s="3"/>
      <c r="N888" s="3"/>
      <c r="O888" s="3"/>
      <c r="P888" s="3"/>
      <c r="Q888" s="3"/>
      <c r="R888" s="3"/>
      <c r="S888" s="3" t="str">
        <f ca="1">IFERROR(__xludf.DUMMYFUNCTION("""COMPUTED_VALUE"""),"100")</f>
        <v>100</v>
      </c>
      <c r="T888" s="3"/>
      <c r="U888" s="3" t="str">
        <f ca="1">IFERROR(__xludf.DUMMYFUNCTION("""COMPUTED_VALUE"""),"microsite")</f>
        <v>microsite</v>
      </c>
      <c r="V888" s="3"/>
      <c r="W888" s="3"/>
      <c r="X888" s="3"/>
      <c r="Y888" s="3"/>
      <c r="Z888" s="3" t="str">
        <f ca="1">IFERROR(__xludf.DUMMYFUNCTION("""COMPUTED_VALUE"""),"podklady@cncenter.cz")</f>
        <v>podklady@cncenter.cz</v>
      </c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 t="str">
        <f ca="1">IFERROR(__xludf.DUMMYFUNCTION("""COMPUTED_VALUE"""),"cross-device")</f>
        <v>cross-device</v>
      </c>
      <c r="AO888" s="3"/>
      <c r="AP888" s="3"/>
      <c r="AQ888" s="3"/>
      <c r="AR888" s="3"/>
      <c r="AS888" s="3"/>
      <c r="AT888" s="3"/>
      <c r="AU888" s="3" t="str">
        <f ca="1">IFERROR(__xludf.DUMMYFUNCTION("""COMPUTED_VALUE"""),"Native Standard +")</f>
        <v>Native Standard +</v>
      </c>
    </row>
    <row r="889" spans="1:47" x14ac:dyDescent="0.3">
      <c r="A889" s="3">
        <f ca="1"/>
        <v>2346826</v>
      </c>
      <c r="B889" s="3" t="str">
        <f ca="1"/>
        <v>CZECH NEWS CENTER a. s.</v>
      </c>
      <c r="C889" s="4" t="str">
        <f ca="1">IFERROR(__xludf.DUMMYFUNCTION("""COMPUTED_VALUE"""),"nemovitosti.blesk.cz")</f>
        <v>nemovitosti.blesk.cz</v>
      </c>
      <c r="D889" s="4" t="str">
        <f ca="1">IFERROR(__xludf.DUMMYFUNCTION("""COMPUTED_VALUE"""),"https://nemovitosti.blesk.cz")</f>
        <v>https://nemovitosti.blesk.cz</v>
      </c>
      <c r="E889" s="3" t="str">
        <f ca="1">IFERROR(__xludf.DUMMYFUNCTION("""COMPUTED_VALUE"""),"celý web")</f>
        <v>celý web</v>
      </c>
      <c r="F889" s="4" t="str">
        <f ca="1">IFERROR(__xludf.DUMMYFUNCTION("""COMPUTED_VALUE"""),"https://nemovitosti.blesk.cz")</f>
        <v>https://nemovitosti.blesk.cz</v>
      </c>
      <c r="G889" s="3" t="str">
        <f ca="1">IFERROR(__xludf.DUMMYFUNCTION("""COMPUTED_VALUE"""),"Native Standard mid season")</f>
        <v>Native Standard mid season</v>
      </c>
      <c r="H889" s="3">
        <f ca="1">IFERROR(__xludf.DUMMYFUNCTION("""COMPUTED_VALUE"""),1)</f>
        <v>1</v>
      </c>
      <c r="I889" s="5">
        <f ca="1">IFERROR(__xludf.DUMMYFUNCTION("""COMPUTED_VALUE"""),1)</f>
        <v>1</v>
      </c>
      <c r="J889" s="5">
        <f ca="1">IFERROR(__xludf.DUMMYFUNCTION("""COMPUTED_VALUE"""),330000)</f>
        <v>330000</v>
      </c>
      <c r="K889" s="3"/>
      <c r="L889" s="3" t="str">
        <f ca="1">IFERROR(__xludf.DUMMYFUNCTION("""COMPUTED_VALUE"""),"Cost per instance")</f>
        <v>Cost per instance</v>
      </c>
      <c r="M889" s="3"/>
      <c r="N889" s="3"/>
      <c r="O889" s="3"/>
      <c r="P889" s="3"/>
      <c r="Q889" s="3"/>
      <c r="R889" s="3"/>
      <c r="S889" s="3" t="str">
        <f ca="1">IFERROR(__xludf.DUMMYFUNCTION("""COMPUTED_VALUE"""),"100")</f>
        <v>100</v>
      </c>
      <c r="T889" s="3"/>
      <c r="U889" s="3" t="str">
        <f ca="1">IFERROR(__xludf.DUMMYFUNCTION("""COMPUTED_VALUE"""),"microsite")</f>
        <v>microsite</v>
      </c>
      <c r="V889" s="3"/>
      <c r="W889" s="3"/>
      <c r="X889" s="3"/>
      <c r="Y889" s="3"/>
      <c r="Z889" s="3" t="str">
        <f ca="1">IFERROR(__xludf.DUMMYFUNCTION("""COMPUTED_VALUE"""),"podklady@cncenter.cz")</f>
        <v>podklady@cncenter.cz</v>
      </c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 t="str">
        <f ca="1">IFERROR(__xludf.DUMMYFUNCTION("""COMPUTED_VALUE"""),"cross-device")</f>
        <v>cross-device</v>
      </c>
      <c r="AO889" s="3"/>
      <c r="AP889" s="3"/>
      <c r="AQ889" s="3"/>
      <c r="AR889" s="3"/>
      <c r="AS889" s="3"/>
      <c r="AT889" s="3"/>
      <c r="AU889" s="3" t="str">
        <f ca="1">IFERROR(__xludf.DUMMYFUNCTION("""COMPUTED_VALUE"""),"Native Standard")</f>
        <v>Native Standard</v>
      </c>
    </row>
    <row r="890" spans="1:47" x14ac:dyDescent="0.3">
      <c r="A890" s="3">
        <f ca="1"/>
        <v>2346826</v>
      </c>
      <c r="B890" s="3" t="str">
        <f ca="1"/>
        <v>CZECH NEWS CENTER a. s.</v>
      </c>
      <c r="C890" s="4" t="str">
        <f ca="1">IFERROR(__xludf.DUMMYFUNCTION("""COMPUTED_VALUE"""),"nemovitosti.blesk.cz")</f>
        <v>nemovitosti.blesk.cz</v>
      </c>
      <c r="D890" s="4" t="str">
        <f ca="1">IFERROR(__xludf.DUMMYFUNCTION("""COMPUTED_VALUE"""),"https://nemovitosti.blesk.cz")</f>
        <v>https://nemovitosti.blesk.cz</v>
      </c>
      <c r="E890" s="3" t="str">
        <f ca="1">IFERROR(__xludf.DUMMYFUNCTION("""COMPUTED_VALUE"""),"celý web")</f>
        <v>celý web</v>
      </c>
      <c r="F890" s="4" t="str">
        <f ca="1">IFERROR(__xludf.DUMMYFUNCTION("""COMPUTED_VALUE"""),"https://nemovitosti.blesk.cz")</f>
        <v>https://nemovitosti.blesk.cz</v>
      </c>
      <c r="G890" s="3" t="str">
        <f ca="1">IFERROR(__xludf.DUMMYFUNCTION("""COMPUTED_VALUE"""),"nativní pr premium mid season")</f>
        <v>nativní pr premium mid season</v>
      </c>
      <c r="H890" s="3">
        <f ca="1">IFERROR(__xludf.DUMMYFUNCTION("""COMPUTED_VALUE"""),7)</f>
        <v>7</v>
      </c>
      <c r="I890" s="5">
        <f ca="1">IFERROR(__xludf.DUMMYFUNCTION("""COMPUTED_VALUE"""),1000)</f>
        <v>1000</v>
      </c>
      <c r="J890" s="5">
        <f ca="1">IFERROR(__xludf.DUMMYFUNCTION("""COMPUTED_VALUE"""),140)</f>
        <v>140</v>
      </c>
      <c r="K890" s="3"/>
      <c r="L890" s="3" t="str">
        <f ca="1">IFERROR(__xludf.DUMMYFUNCTION("""COMPUTED_VALUE"""),"Cost per period")</f>
        <v>Cost per period</v>
      </c>
      <c r="M890" s="3"/>
      <c r="N890" s="3"/>
      <c r="O890" s="3" t="str">
        <f ca="1">IFERROR(__xludf.DUMMYFUNCTION("""COMPUTED_VALUE"""),"640")</f>
        <v>640</v>
      </c>
      <c r="P890" s="3" t="str">
        <f ca="1">IFERROR(__xludf.DUMMYFUNCTION("""COMPUTED_VALUE"""),"335, 640")</f>
        <v>335, 640</v>
      </c>
      <c r="Q890" s="3" t="str">
        <f ca="1">IFERROR(__xludf.DUMMYFUNCTION("""COMPUTED_VALUE"""),"640x640 a 640x335 + text + logo")</f>
        <v>640x640 a 640x335 + text + logo</v>
      </c>
      <c r="R890" s="3" t="str">
        <f ca="1">IFERROR(__xludf.DUMMYFUNCTION("""COMPUTED_VALUE"""),"detailní specifikace na URL odkaze")</f>
        <v>detailní specifikace na URL odkaze</v>
      </c>
      <c r="S890" s="3" t="str">
        <f ca="1">IFERROR(__xludf.DUMMYFUNCTION("""COMPUTED_VALUE"""),"100")</f>
        <v>100</v>
      </c>
      <c r="T890" s="3"/>
      <c r="U890" s="3" t="str">
        <f ca="1">IFERROR(__xludf.DUMMYFUNCTION("""COMPUTED_VALUE"""),"nativní reklama")</f>
        <v>nativní reklama</v>
      </c>
      <c r="V890" s="3"/>
      <c r="W890" s="4" t="str">
        <f ca="1">IFERROR(__xludf.DUMMYFUNCTION("""COMPUTED_VALUE"""),"https://reklama.cncenter.cz/Online/nativni-PR-premium")</f>
        <v>https://reklama.cncenter.cz/Online/nativni-PR-premium</v>
      </c>
      <c r="X890" s="3"/>
      <c r="Y890" s="3"/>
      <c r="Z890" s="3" t="str">
        <f ca="1">IFERROR(__xludf.DUMMYFUNCTION("""COMPUTED_VALUE"""),"podklady@cncenter.cz")</f>
        <v>podklady@cncenter.cz</v>
      </c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 t="str">
        <f ca="1">IFERROR(__xludf.DUMMYFUNCTION("""COMPUTED_VALUE"""),"cross-device")</f>
        <v>cross-device</v>
      </c>
      <c r="AO890" s="3"/>
      <c r="AP890" s="3"/>
      <c r="AQ890" s="3"/>
      <c r="AR890" s="3"/>
      <c r="AS890" s="3"/>
      <c r="AT890" s="3"/>
      <c r="AU890" s="3" t="str">
        <f ca="1">IFERROR(__xludf.DUMMYFUNCTION("""COMPUTED_VALUE"""),"nativní pr premium")</f>
        <v>nativní pr premium</v>
      </c>
    </row>
    <row r="891" spans="1:47" x14ac:dyDescent="0.3">
      <c r="A891" s="3">
        <f ca="1"/>
        <v>2346826</v>
      </c>
      <c r="B891" s="3" t="str">
        <f ca="1"/>
        <v>CZECH NEWS CENTER a. s.</v>
      </c>
      <c r="C891" s="4" t="str">
        <f ca="1">IFERROR(__xludf.DUMMYFUNCTION("""COMPUTED_VALUE"""),"nemovitosti.blesk.cz")</f>
        <v>nemovitosti.blesk.cz</v>
      </c>
      <c r="D891" s="4" t="str">
        <f ca="1">IFERROR(__xludf.DUMMYFUNCTION("""COMPUTED_VALUE"""),"https://nemovitosti.blesk.cz")</f>
        <v>https://nemovitosti.blesk.cz</v>
      </c>
      <c r="E891" s="3" t="str">
        <f ca="1">IFERROR(__xludf.DUMMYFUNCTION("""COMPUTED_VALUE"""),"celý web")</f>
        <v>celý web</v>
      </c>
      <c r="F891" s="4" t="str">
        <f ca="1">IFERROR(__xludf.DUMMYFUNCTION("""COMPUTED_VALUE"""),"https://nemovitosti.blesk.cz")</f>
        <v>https://nemovitosti.blesk.cz</v>
      </c>
      <c r="G891" s="3" t="str">
        <f ca="1">IFERROR(__xludf.DUMMYFUNCTION("""COMPUTED_VALUE"""),"nativní rectangle cross-device mid season")</f>
        <v>nativní rectangle cross-device mid season</v>
      </c>
      <c r="H891" s="3">
        <f ca="1">IFERROR(__xludf.DUMMYFUNCTION("""COMPUTED_VALUE"""),7)</f>
        <v>7</v>
      </c>
      <c r="I891" s="5">
        <f ca="1">IFERROR(__xludf.DUMMYFUNCTION("""COMPUTED_VALUE"""),1000)</f>
        <v>1000</v>
      </c>
      <c r="J891" s="5">
        <f ca="1">IFERROR(__xludf.DUMMYFUNCTION("""COMPUTED_VALUE"""),280)</f>
        <v>280</v>
      </c>
      <c r="K891" s="3"/>
      <c r="L891" s="3" t="str">
        <f ca="1">IFERROR(__xludf.DUMMYFUNCTION("""COMPUTED_VALUE"""),"Cost per period")</f>
        <v>Cost per period</v>
      </c>
      <c r="M891" s="3"/>
      <c r="N891" s="3"/>
      <c r="O891" s="3" t="str">
        <f ca="1">IFERROR(__xludf.DUMMYFUNCTION("""COMPUTED_VALUE"""),"640")</f>
        <v>640</v>
      </c>
      <c r="P891" s="3" t="str">
        <f ca="1">IFERROR(__xludf.DUMMYFUNCTION("""COMPUTED_VALUE"""),"335, 640")</f>
        <v>335, 640</v>
      </c>
      <c r="Q891" s="3" t="str">
        <f ca="1">IFERROR(__xludf.DUMMYFUNCTION("""COMPUTED_VALUE"""),"640x640 a 640x335 + text + logo")</f>
        <v>640x640 a 640x335 + text + logo</v>
      </c>
      <c r="R891" s="3"/>
      <c r="S891" s="3" t="str">
        <f ca="1">IFERROR(__xludf.DUMMYFUNCTION("""COMPUTED_VALUE"""),"45")</f>
        <v>45</v>
      </c>
      <c r="T891" s="3"/>
      <c r="U891" s="3" t="str">
        <f ca="1">IFERROR(__xludf.DUMMYFUNCTION("""COMPUTED_VALUE"""),"nativní reklama")</f>
        <v>nativní reklama</v>
      </c>
      <c r="V891" s="3"/>
      <c r="W891" s="4" t="str">
        <f ca="1">IFERROR(__xludf.DUMMYFUNCTION("""COMPUTED_VALUE"""),"https://reklama.cncenter.cz/Online/nativni-rectangle-cross-device")</f>
        <v>https://reklama.cncenter.cz/Online/nativni-rectangle-cross-device</v>
      </c>
      <c r="X891" s="3"/>
      <c r="Y891" s="3"/>
      <c r="Z891" s="3" t="str">
        <f ca="1">IFERROR(__xludf.DUMMYFUNCTION("""COMPUTED_VALUE"""),"podklady@cncenter.cz")</f>
        <v>podklady@cncenter.cz</v>
      </c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 t="str">
        <f ca="1">IFERROR(__xludf.DUMMYFUNCTION("""COMPUTED_VALUE"""),"cross-device")</f>
        <v>cross-device</v>
      </c>
      <c r="AO891" s="3"/>
      <c r="AP891" s="3"/>
      <c r="AQ891" s="3"/>
      <c r="AR891" s="3"/>
      <c r="AS891" s="3"/>
      <c r="AT891" s="3"/>
      <c r="AU891" s="3" t="str">
        <f ca="1">IFERROR(__xludf.DUMMYFUNCTION("""COMPUTED_VALUE"""),"nativní rectangle cross-device")</f>
        <v>nativní rectangle cross-device</v>
      </c>
    </row>
    <row r="892" spans="1:47" x14ac:dyDescent="0.3">
      <c r="A892" s="3">
        <f ca="1"/>
        <v>2346826</v>
      </c>
      <c r="B892" s="3" t="str">
        <f ca="1"/>
        <v>CZECH NEWS CENTER a. s.</v>
      </c>
      <c r="C892" s="4" t="str">
        <f ca="1">IFERROR(__xludf.DUMMYFUNCTION("""COMPUTED_VALUE"""),"nemovitosti.blesk.cz")</f>
        <v>nemovitosti.blesk.cz</v>
      </c>
      <c r="D892" s="4" t="str">
        <f ca="1">IFERROR(__xludf.DUMMYFUNCTION("""COMPUTED_VALUE"""),"https://nemovitosti.blesk.cz")</f>
        <v>https://nemovitosti.blesk.cz</v>
      </c>
      <c r="E892" s="3" t="str">
        <f ca="1">IFERROR(__xludf.DUMMYFUNCTION("""COMPUTED_VALUE"""),"celý web")</f>
        <v>celý web</v>
      </c>
      <c r="F892" s="4" t="str">
        <f ca="1">IFERROR(__xludf.DUMMYFUNCTION("""COMPUTED_VALUE"""),"https://nemovitosti.blesk.cz")</f>
        <v>https://nemovitosti.blesk.cz</v>
      </c>
      <c r="G892" s="3" t="str">
        <f ca="1">IFERROR(__xludf.DUMMYFUNCTION("""COMPUTED_VALUE"""),"outstream mid season")</f>
        <v>outstream mid season</v>
      </c>
      <c r="H892" s="3">
        <f ca="1">IFERROR(__xludf.DUMMYFUNCTION("""COMPUTED_VALUE"""),7)</f>
        <v>7</v>
      </c>
      <c r="I892" s="5">
        <f ca="1">IFERROR(__xludf.DUMMYFUNCTION("""COMPUTED_VALUE"""),1000)</f>
        <v>1000</v>
      </c>
      <c r="J892" s="5">
        <f ca="1">IFERROR(__xludf.DUMMYFUNCTION("""COMPUTED_VALUE"""),350)</f>
        <v>350</v>
      </c>
      <c r="K892" s="3"/>
      <c r="L892" s="3" t="str">
        <f ca="1">IFERROR(__xludf.DUMMYFUNCTION("""COMPUTED_VALUE"""),"Cost per period")</f>
        <v>Cost per period</v>
      </c>
      <c r="M892" s="3"/>
      <c r="N892" s="3"/>
      <c r="O892" s="3" t="str">
        <f ca="1">IFERROR(__xludf.DUMMYFUNCTION("""COMPUTED_VALUE"""),"1280")</f>
        <v>1280</v>
      </c>
      <c r="P892" s="3" t="str">
        <f ca="1">IFERROR(__xludf.DUMMYFUNCTION("""COMPUTED_VALUE"""),"720")</f>
        <v>720</v>
      </c>
      <c r="Q892" s="3" t="str">
        <f ca="1">IFERROR(__xludf.DUMMYFUNCTION("""COMPUTED_VALUE"""),"16:9")</f>
        <v>16:9</v>
      </c>
      <c r="R892" s="3"/>
      <c r="S892" s="3" t="str">
        <f ca="1">IFERROR(__xludf.DUMMYFUNCTION("""COMPUTED_VALUE"""),"100")</f>
        <v>100</v>
      </c>
      <c r="T892" s="3"/>
      <c r="U892" s="3" t="str">
        <f ca="1">IFERROR(__xludf.DUMMYFUNCTION("""COMPUTED_VALUE"""),"videospot")</f>
        <v>videospot</v>
      </c>
      <c r="V892" s="3"/>
      <c r="W892" s="4" t="str">
        <f ca="1">IFERROR(__xludf.DUMMYFUNCTION("""COMPUTED_VALUE"""),"https://reklama.cncenter.cz/Online/Outstream")</f>
        <v>https://reklama.cncenter.cz/Online/Outstream</v>
      </c>
      <c r="X892" s="3"/>
      <c r="Y892" s="3"/>
      <c r="Z892" s="3" t="str">
        <f ca="1">IFERROR(__xludf.DUMMYFUNCTION("""COMPUTED_VALUE"""),"podklady@cncenter.cz")</f>
        <v>podklady@cncenter.cz</v>
      </c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 t="str">
        <f ca="1">IFERROR(__xludf.DUMMYFUNCTION("""COMPUTED_VALUE"""),"cross-device")</f>
        <v>cross-device</v>
      </c>
      <c r="AO892" s="3"/>
      <c r="AP892" s="3"/>
      <c r="AQ892" s="3"/>
      <c r="AR892" s="3"/>
      <c r="AS892" s="3"/>
      <c r="AT892" s="3"/>
      <c r="AU892" s="3" t="str">
        <f ca="1">IFERROR(__xludf.DUMMYFUNCTION("""COMPUTED_VALUE"""),"outstream")</f>
        <v>outstream</v>
      </c>
    </row>
    <row r="893" spans="1:47" x14ac:dyDescent="0.3">
      <c r="A893" s="3">
        <f ca="1"/>
        <v>2346826</v>
      </c>
      <c r="B893" s="3" t="str">
        <f ca="1"/>
        <v>CZECH NEWS CENTER a. s.</v>
      </c>
      <c r="C893" s="4" t="str">
        <f ca="1">IFERROR(__xludf.DUMMYFUNCTION("""COMPUTED_VALUE"""),"nemovitosti.blesk.cz")</f>
        <v>nemovitosti.blesk.cz</v>
      </c>
      <c r="D893" s="4" t="str">
        <f ca="1">IFERROR(__xludf.DUMMYFUNCTION("""COMPUTED_VALUE"""),"https://nemovitosti.blesk.cz")</f>
        <v>https://nemovitosti.blesk.cz</v>
      </c>
      <c r="E893" s="3" t="str">
        <f ca="1">IFERROR(__xludf.DUMMYFUNCTION("""COMPUTED_VALUE"""),"celý web")</f>
        <v>celý web</v>
      </c>
      <c r="F893" s="4" t="str">
        <f ca="1">IFERROR(__xludf.DUMMYFUNCTION("""COMPUTED_VALUE"""),"https://nemovitosti.blesk.cz")</f>
        <v>https://nemovitosti.blesk.cz</v>
      </c>
      <c r="G893" s="3" t="str">
        <f ca="1">IFERROR(__xludf.DUMMYFUNCTION("""COMPUTED_VALUE"""),"PR článek mid season")</f>
        <v>PR článek mid season</v>
      </c>
      <c r="H893" s="3">
        <f ca="1">IFERROR(__xludf.DUMMYFUNCTION("""COMPUTED_VALUE"""),1)</f>
        <v>1</v>
      </c>
      <c r="I893" s="5">
        <f ca="1">IFERROR(__xludf.DUMMYFUNCTION("""COMPUTED_VALUE"""),1)</f>
        <v>1</v>
      </c>
      <c r="J893" s="5">
        <f ca="1">IFERROR(__xludf.DUMMYFUNCTION("""COMPUTED_VALUE"""),33000)</f>
        <v>33000</v>
      </c>
      <c r="K893" s="3"/>
      <c r="L893" s="3" t="str">
        <f ca="1">IFERROR(__xludf.DUMMYFUNCTION("""COMPUTED_VALUE"""),"Cost per instance")</f>
        <v>Cost per instance</v>
      </c>
      <c r="M893" s="3"/>
      <c r="N893" s="3"/>
      <c r="O893" s="3"/>
      <c r="P893" s="3"/>
      <c r="Q893" s="3"/>
      <c r="R893" s="3"/>
      <c r="S893" s="3" t="str">
        <f ca="1">IFERROR(__xludf.DUMMYFUNCTION("""COMPUTED_VALUE"""),"100")</f>
        <v>100</v>
      </c>
      <c r="T893" s="3"/>
      <c r="U893" s="3" t="str">
        <f ca="1">IFERROR(__xludf.DUMMYFUNCTION("""COMPUTED_VALUE"""),"pr článek")</f>
        <v>pr článek</v>
      </c>
      <c r="V893" s="3"/>
      <c r="W893" s="4" t="str">
        <f ca="1">IFERROR(__xludf.DUMMYFUNCTION("""COMPUTED_VALUE"""),"https://reklama.cncenter.cz/?ads=PR%2520%25C4%258Dl%25C3%25A1nky")</f>
        <v>https://reklama.cncenter.cz/?ads=PR%2520%25C4%258Dl%25C3%25A1nky</v>
      </c>
      <c r="X893" s="3"/>
      <c r="Y893" s="3"/>
      <c r="Z893" s="3" t="str">
        <f ca="1">IFERROR(__xludf.DUMMYFUNCTION("""COMPUTED_VALUE"""),"podklady@cncenter.cz")</f>
        <v>podklady@cncenter.cz</v>
      </c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 t="str">
        <f ca="1">IFERROR(__xludf.DUMMYFUNCTION("""COMPUTED_VALUE"""),"cross-device")</f>
        <v>cross-device</v>
      </c>
      <c r="AO893" s="3"/>
      <c r="AP893" s="3"/>
      <c r="AQ893" s="3"/>
      <c r="AR893" s="3"/>
      <c r="AS893" s="3"/>
      <c r="AT893" s="3"/>
      <c r="AU893" s="3" t="str">
        <f ca="1">IFERROR(__xludf.DUMMYFUNCTION("""COMPUTED_VALUE"""),"PR článek")</f>
        <v>PR článek</v>
      </c>
    </row>
    <row r="894" spans="1:47" x14ac:dyDescent="0.3">
      <c r="A894" s="3">
        <f ca="1"/>
        <v>2346826</v>
      </c>
      <c r="B894" s="3" t="str">
        <f ca="1"/>
        <v>CZECH NEWS CENTER a. s.</v>
      </c>
      <c r="C894" s="4" t="str">
        <f ca="1">IFERROR(__xludf.DUMMYFUNCTION("""COMPUTED_VALUE"""),"nemovitosti.blesk.cz")</f>
        <v>nemovitosti.blesk.cz</v>
      </c>
      <c r="D894" s="4" t="str">
        <f ca="1">IFERROR(__xludf.DUMMYFUNCTION("""COMPUTED_VALUE"""),"https://nemovitosti.blesk.cz")</f>
        <v>https://nemovitosti.blesk.cz</v>
      </c>
      <c r="E894" s="3" t="str">
        <f ca="1">IFERROR(__xludf.DUMMYFUNCTION("""COMPUTED_VALUE"""),"celý web")</f>
        <v>celý web</v>
      </c>
      <c r="F894" s="4" t="str">
        <f ca="1">IFERROR(__xludf.DUMMYFUNCTION("""COMPUTED_VALUE"""),"https://nemovitosti.blesk.cz")</f>
        <v>https://nemovitosti.blesk.cz</v>
      </c>
      <c r="G894" s="3" t="str">
        <f ca="1">IFERROR(__xludf.DUMMYFUNCTION("""COMPUTED_VALUE"""),"Prodloužení existující microsite, bez úprav mid season")</f>
        <v>Prodloužení existující microsite, bez úprav mid season</v>
      </c>
      <c r="H894" s="3">
        <f ca="1">IFERROR(__xludf.DUMMYFUNCTION("""COMPUTED_VALUE"""),1)</f>
        <v>1</v>
      </c>
      <c r="I894" s="5">
        <f ca="1">IFERROR(__xludf.DUMMYFUNCTION("""COMPUTED_VALUE"""),1)</f>
        <v>1</v>
      </c>
      <c r="J894" s="5">
        <f ca="1">IFERROR(__xludf.DUMMYFUNCTION("""COMPUTED_VALUE"""),15000)</f>
        <v>15000</v>
      </c>
      <c r="K894" s="3"/>
      <c r="L894" s="3" t="str">
        <f ca="1">IFERROR(__xludf.DUMMYFUNCTION("""COMPUTED_VALUE"""),"Cost per instance")</f>
        <v>Cost per instance</v>
      </c>
      <c r="M894" s="3"/>
      <c r="N894" s="3"/>
      <c r="O894" s="3"/>
      <c r="P894" s="3"/>
      <c r="Q894" s="3"/>
      <c r="R894" s="3"/>
      <c r="S894" s="3" t="str">
        <f ca="1">IFERROR(__xludf.DUMMYFUNCTION("""COMPUTED_VALUE"""),"100")</f>
        <v>100</v>
      </c>
      <c r="T894" s="3"/>
      <c r="U894" s="3" t="str">
        <f ca="1">IFERROR(__xludf.DUMMYFUNCTION("""COMPUTED_VALUE"""),"microsite")</f>
        <v>microsite</v>
      </c>
      <c r="V894" s="3"/>
      <c r="W894" s="3"/>
      <c r="X894" s="3"/>
      <c r="Y894" s="3"/>
      <c r="Z894" s="3" t="str">
        <f ca="1">IFERROR(__xludf.DUMMYFUNCTION("""COMPUTED_VALUE"""),"podklady@cncenter.cz")</f>
        <v>podklady@cncenter.cz</v>
      </c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 t="str">
        <f ca="1">IFERROR(__xludf.DUMMYFUNCTION("""COMPUTED_VALUE"""),"cross-device")</f>
        <v>cross-device</v>
      </c>
      <c r="AO894" s="3"/>
      <c r="AP894" s="3"/>
      <c r="AQ894" s="3"/>
      <c r="AR894" s="3"/>
      <c r="AS894" s="3"/>
      <c r="AT894" s="3"/>
      <c r="AU894" s="3" t="str">
        <f ca="1">IFERROR(__xludf.DUMMYFUNCTION("""COMPUTED_VALUE"""),"Prodloužení existující microsite, bez úprav")</f>
        <v>Prodloužení existující microsite, bez úprav</v>
      </c>
    </row>
    <row r="895" spans="1:47" x14ac:dyDescent="0.3">
      <c r="A895" s="3">
        <f ca="1"/>
        <v>2346826</v>
      </c>
      <c r="B895" s="3" t="str">
        <f ca="1"/>
        <v>CZECH NEWS CENTER a. s.</v>
      </c>
      <c r="C895" s="4" t="str">
        <f ca="1">IFERROR(__xludf.DUMMYFUNCTION("""COMPUTED_VALUE"""),"nemovitosti.blesk.cz")</f>
        <v>nemovitosti.blesk.cz</v>
      </c>
      <c r="D895" s="4" t="str">
        <f ca="1">IFERROR(__xludf.DUMMYFUNCTION("""COMPUTED_VALUE"""),"https://nemovitosti.blesk.cz")</f>
        <v>https://nemovitosti.blesk.cz</v>
      </c>
      <c r="E895" s="3" t="str">
        <f ca="1">IFERROR(__xludf.DUMMYFUNCTION("""COMPUTED_VALUE"""),"celý web")</f>
        <v>celý web</v>
      </c>
      <c r="F895" s="4" t="str">
        <f ca="1">IFERROR(__xludf.DUMMYFUNCTION("""COMPUTED_VALUE"""),"https://nemovitosti.blesk.cz")</f>
        <v>https://nemovitosti.blesk.cz</v>
      </c>
      <c r="G895" s="3" t="str">
        <f ca="1">IFERROR(__xludf.DUMMYFUNCTION("""COMPUTED_VALUE"""),"Prodloužení existující microsite, bez úprav mid season")</f>
        <v>Prodloužení existující microsite, bez úprav mid season</v>
      </c>
      <c r="H895" s="3">
        <f ca="1">IFERROR(__xludf.DUMMYFUNCTION("""COMPUTED_VALUE"""),1)</f>
        <v>1</v>
      </c>
      <c r="I895" s="5">
        <f ca="1">IFERROR(__xludf.DUMMYFUNCTION("""COMPUTED_VALUE"""),1)</f>
        <v>1</v>
      </c>
      <c r="J895" s="5">
        <f ca="1">IFERROR(__xludf.DUMMYFUNCTION("""COMPUTED_VALUE"""),15000)</f>
        <v>15000</v>
      </c>
      <c r="K895" s="3"/>
      <c r="L895" s="3" t="str">
        <f ca="1">IFERROR(__xludf.DUMMYFUNCTION("""COMPUTED_VALUE"""),"Cost per instance")</f>
        <v>Cost per instance</v>
      </c>
      <c r="M895" s="3"/>
      <c r="N895" s="3"/>
      <c r="O895" s="3"/>
      <c r="P895" s="3"/>
      <c r="Q895" s="3"/>
      <c r="R895" s="3"/>
      <c r="S895" s="3" t="str">
        <f ca="1">IFERROR(__xludf.DUMMYFUNCTION("""COMPUTED_VALUE"""),"100")</f>
        <v>100</v>
      </c>
      <c r="T895" s="3"/>
      <c r="U895" s="3" t="str">
        <f ca="1">IFERROR(__xludf.DUMMYFUNCTION("""COMPUTED_VALUE"""),"microsite")</f>
        <v>microsite</v>
      </c>
      <c r="V895" s="3"/>
      <c r="W895" s="3"/>
      <c r="X895" s="3"/>
      <c r="Y895" s="3"/>
      <c r="Z895" s="3" t="str">
        <f ca="1">IFERROR(__xludf.DUMMYFUNCTION("""COMPUTED_VALUE"""),"podklady@cncenter.cz")</f>
        <v>podklady@cncenter.cz</v>
      </c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 t="str">
        <f ca="1">IFERROR(__xludf.DUMMYFUNCTION("""COMPUTED_VALUE"""),"cross-device")</f>
        <v>cross-device</v>
      </c>
      <c r="AO895" s="3"/>
      <c r="AP895" s="3"/>
      <c r="AQ895" s="3"/>
      <c r="AR895" s="3"/>
      <c r="AS895" s="3"/>
      <c r="AT895" s="3"/>
      <c r="AU895" s="3" t="str">
        <f ca="1">IFERROR(__xludf.DUMMYFUNCTION("""COMPUTED_VALUE"""),"Prodloužení existující microsite, bez úprav")</f>
        <v>Prodloužení existující microsite, bez úprav</v>
      </c>
    </row>
    <row r="896" spans="1:47" x14ac:dyDescent="0.3">
      <c r="A896" s="3">
        <f ca="1"/>
        <v>2346826</v>
      </c>
      <c r="B896" s="3" t="str">
        <f ca="1"/>
        <v>CZECH NEWS CENTER a. s.</v>
      </c>
      <c r="C896" s="4" t="str">
        <f ca="1">IFERROR(__xludf.DUMMYFUNCTION("""COMPUTED_VALUE"""),"nemovitosti.blesk.cz")</f>
        <v>nemovitosti.blesk.cz</v>
      </c>
      <c r="D896" s="4" t="str">
        <f ca="1">IFERROR(__xludf.DUMMYFUNCTION("""COMPUTED_VALUE"""),"https://nemovitosti.blesk.cz")</f>
        <v>https://nemovitosti.blesk.cz</v>
      </c>
      <c r="E896" s="3" t="str">
        <f ca="1">IFERROR(__xludf.DUMMYFUNCTION("""COMPUTED_VALUE"""),"celý web")</f>
        <v>celý web</v>
      </c>
      <c r="F896" s="4" t="str">
        <f ca="1">IFERROR(__xludf.DUMMYFUNCTION("""COMPUTED_VALUE"""),"https://nemovitosti.blesk.cz")</f>
        <v>https://nemovitosti.blesk.cz</v>
      </c>
      <c r="G896" s="3" t="str">
        <f ca="1">IFERROR(__xludf.DUMMYFUNCTION("""COMPUTED_VALUE"""),"Prodloužení existující microsite, bez úprav mid season")</f>
        <v>Prodloužení existující microsite, bez úprav mid season</v>
      </c>
      <c r="H896" s="3">
        <f ca="1">IFERROR(__xludf.DUMMYFUNCTION("""COMPUTED_VALUE"""),1)</f>
        <v>1</v>
      </c>
      <c r="I896" s="5">
        <f ca="1">IFERROR(__xludf.DUMMYFUNCTION("""COMPUTED_VALUE"""),1)</f>
        <v>1</v>
      </c>
      <c r="J896" s="5">
        <f ca="1">IFERROR(__xludf.DUMMYFUNCTION("""COMPUTED_VALUE"""),15000)</f>
        <v>15000</v>
      </c>
      <c r="K896" s="3"/>
      <c r="L896" s="3" t="str">
        <f ca="1">IFERROR(__xludf.DUMMYFUNCTION("""COMPUTED_VALUE"""),"Cost per instance")</f>
        <v>Cost per instance</v>
      </c>
      <c r="M896" s="3"/>
      <c r="N896" s="3"/>
      <c r="O896" s="3"/>
      <c r="P896" s="3"/>
      <c r="Q896" s="3"/>
      <c r="R896" s="3"/>
      <c r="S896" s="3" t="str">
        <f ca="1">IFERROR(__xludf.DUMMYFUNCTION("""COMPUTED_VALUE"""),"100")</f>
        <v>100</v>
      </c>
      <c r="T896" s="3"/>
      <c r="U896" s="3" t="str">
        <f ca="1">IFERROR(__xludf.DUMMYFUNCTION("""COMPUTED_VALUE"""),"microsite")</f>
        <v>microsite</v>
      </c>
      <c r="V896" s="3"/>
      <c r="W896" s="3"/>
      <c r="X896" s="3"/>
      <c r="Y896" s="3"/>
      <c r="Z896" s="3" t="str">
        <f ca="1">IFERROR(__xludf.DUMMYFUNCTION("""COMPUTED_VALUE"""),"podklady@cncenter.cz")</f>
        <v>podklady@cncenter.cz</v>
      </c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 t="str">
        <f ca="1">IFERROR(__xludf.DUMMYFUNCTION("""COMPUTED_VALUE"""),"cross-device")</f>
        <v>cross-device</v>
      </c>
      <c r="AO896" s="3"/>
      <c r="AP896" s="3"/>
      <c r="AQ896" s="3"/>
      <c r="AR896" s="3"/>
      <c r="AS896" s="3"/>
      <c r="AT896" s="3"/>
      <c r="AU896" s="3" t="str">
        <f ca="1">IFERROR(__xludf.DUMMYFUNCTION("""COMPUTED_VALUE"""),"Prodloužení existující microsite, bez úprav")</f>
        <v>Prodloužení existující microsite, bez úprav</v>
      </c>
    </row>
    <row r="897" spans="1:47" x14ac:dyDescent="0.3">
      <c r="A897" s="3">
        <f ca="1"/>
        <v>2346826</v>
      </c>
      <c r="B897" s="3" t="str">
        <f ca="1"/>
        <v>CZECH NEWS CENTER a. s.</v>
      </c>
      <c r="C897" s="3" t="str">
        <f ca="1">IFERROR(__xludf.DUMMYFUNCTION("""COMPUTED_VALUE"""),"Poggers")</f>
        <v>Poggers</v>
      </c>
      <c r="D897" s="4" t="str">
        <f ca="1">IFERROR(__xludf.DUMMYFUNCTION("""COMPUTED_VALUE"""),"https://www.poggers.cz")</f>
        <v>https://www.poggers.cz</v>
      </c>
      <c r="E897" s="3" t="str">
        <f ca="1">IFERROR(__xludf.DUMMYFUNCTION("""COMPUTED_VALUE"""),"celý web")</f>
        <v>celý web</v>
      </c>
      <c r="F897" s="4" t="str">
        <f ca="1">IFERROR(__xludf.DUMMYFUNCTION("""COMPUTED_VALUE"""),"https://www.poggers.cz")</f>
        <v>https://www.poggers.cz</v>
      </c>
      <c r="G897" s="3" t="str">
        <f ca="1">IFERROR(__xludf.DUMMYFUNCTION("""COMPUTED_VALUE"""),"branding cross-device mid season")</f>
        <v>branding cross-device mid season</v>
      </c>
      <c r="H897" s="3">
        <f ca="1">IFERROR(__xludf.DUMMYFUNCTION("""COMPUTED_VALUE"""),7)</f>
        <v>7</v>
      </c>
      <c r="I897" s="5">
        <f ca="1">IFERROR(__xludf.DUMMYFUNCTION("""COMPUTED_VALUE"""),1000)</f>
        <v>1000</v>
      </c>
      <c r="J897" s="5">
        <f ca="1">IFERROR(__xludf.DUMMYFUNCTION("""COMPUTED_VALUE"""),66667)</f>
        <v>66667</v>
      </c>
      <c r="K897" s="3"/>
      <c r="L897" s="3" t="str">
        <f ca="1">IFERROR(__xludf.DUMMYFUNCTION("""COMPUTED_VALUE"""),"Cost per period")</f>
        <v>Cost per period</v>
      </c>
      <c r="M897" s="3"/>
      <c r="N897" s="3"/>
      <c r="O897" s="3" t="str">
        <f ca="1">IFERROR(__xludf.DUMMYFUNCTION("""COMPUTED_VALUE"""),"2000")</f>
        <v>2000</v>
      </c>
      <c r="P897" s="3" t="str">
        <f ca="1">IFERROR(__xludf.DUMMYFUNCTION("""COMPUTED_VALUE"""),"1400")</f>
        <v>1400</v>
      </c>
      <c r="Q897" s="3" t="str">
        <f ca="1">IFERROR(__xludf.DUMMYFUNCTION("""COMPUTED_VALUE"""),"2000x1400 + 600x1080")</f>
        <v>2000x1400 + 600x1080</v>
      </c>
      <c r="R897" s="3"/>
      <c r="S897" s="3" t="str">
        <f ca="1">IFERROR(__xludf.DUMMYFUNCTION("""COMPUTED_VALUE"""),"500 (600 - HTLM5)")</f>
        <v>500 (600 - HTLM5)</v>
      </c>
      <c r="T897" s="3"/>
      <c r="U897" s="3" t="str">
        <f ca="1">IFERROR(__xludf.DUMMYFUNCTION("""COMPUTED_VALUE"""),"banner standard")</f>
        <v>banner standard</v>
      </c>
      <c r="V897" s="3"/>
      <c r="W897" s="4" t="str">
        <f ca="1">IFERROR(__xludf.DUMMYFUNCTION("""COMPUTED_VALUE"""),"https://reklama.cncenter.cz/Online/branding-cross-device")</f>
        <v>https://reklama.cncenter.cz/Online/branding-cross-device</v>
      </c>
      <c r="X897" s="3"/>
      <c r="Y897" s="3"/>
      <c r="Z897" s="3" t="str">
        <f ca="1">IFERROR(__xludf.DUMMYFUNCTION("""COMPUTED_VALUE"""),"podklady@cncenter.cz")</f>
        <v>podklady@cncenter.cz</v>
      </c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 t="str">
        <f ca="1">IFERROR(__xludf.DUMMYFUNCTION("""COMPUTED_VALUE"""),"cross-device")</f>
        <v>cross-device</v>
      </c>
      <c r="AO897" s="3"/>
      <c r="AP897" s="3"/>
      <c r="AQ897" s="3"/>
      <c r="AR897" s="3"/>
      <c r="AS897" s="3"/>
      <c r="AT897" s="3"/>
      <c r="AU897" s="3" t="str">
        <f ca="1">IFERROR(__xludf.DUMMYFUNCTION("""COMPUTED_VALUE"""),"branding cross-device")</f>
        <v>branding cross-device</v>
      </c>
    </row>
    <row r="898" spans="1:47" x14ac:dyDescent="0.3">
      <c r="A898" s="3">
        <f ca="1"/>
        <v>2346826</v>
      </c>
      <c r="B898" s="3" t="str">
        <f ca="1"/>
        <v>CZECH NEWS CENTER a. s.</v>
      </c>
      <c r="C898" s="3" t="str">
        <f ca="1">IFERROR(__xludf.DUMMYFUNCTION("""COMPUTED_VALUE"""),"Poggers")</f>
        <v>Poggers</v>
      </c>
      <c r="D898" s="4" t="str">
        <f ca="1">IFERROR(__xludf.DUMMYFUNCTION("""COMPUTED_VALUE"""),"https://www.poggers.cz")</f>
        <v>https://www.poggers.cz</v>
      </c>
      <c r="E898" s="3" t="str">
        <f ca="1">IFERROR(__xludf.DUMMYFUNCTION("""COMPUTED_VALUE"""),"celý web")</f>
        <v>celý web</v>
      </c>
      <c r="F898" s="4" t="str">
        <f ca="1">IFERROR(__xludf.DUMMYFUNCTION("""COMPUTED_VALUE"""),"https://www.poggers.cz")</f>
        <v>https://www.poggers.cz</v>
      </c>
      <c r="G898" s="3" t="str">
        <f ca="1">IFERROR(__xludf.DUMMYFUNCTION("""COMPUTED_VALUE"""),"double skyscraper mid season")</f>
        <v>double skyscraper mid season</v>
      </c>
      <c r="H898" s="3">
        <f ca="1">IFERROR(__xludf.DUMMYFUNCTION("""COMPUTED_VALUE"""),7)</f>
        <v>7</v>
      </c>
      <c r="I898" s="5">
        <f ca="1">IFERROR(__xludf.DUMMYFUNCTION("""COMPUTED_VALUE"""),1000)</f>
        <v>1000</v>
      </c>
      <c r="J898" s="5">
        <f ca="1">IFERROR(__xludf.DUMMYFUNCTION("""COMPUTED_VALUE"""),50000)</f>
        <v>50000</v>
      </c>
      <c r="K898" s="3"/>
      <c r="L898" s="3" t="str">
        <f ca="1">IFERROR(__xludf.DUMMYFUNCTION("""COMPUTED_VALUE"""),"Cost per period")</f>
        <v>Cost per period</v>
      </c>
      <c r="M898" s="3"/>
      <c r="N898" s="3"/>
      <c r="O898" s="3" t="str">
        <f ca="1">IFERROR(__xludf.DUMMYFUNCTION("""COMPUTED_VALUE"""),"300")</f>
        <v>300</v>
      </c>
      <c r="P898" s="3" t="str">
        <f ca="1">IFERROR(__xludf.DUMMYFUNCTION("""COMPUTED_VALUE"""),"600")</f>
        <v>600</v>
      </c>
      <c r="Q898" s="3" t="str">
        <f ca="1">IFERROR(__xludf.DUMMYFUNCTION("""COMPUTED_VALUE"""),"300x600")</f>
        <v>300x600</v>
      </c>
      <c r="R898" s="3"/>
      <c r="S898" s="3" t="str">
        <f ca="1">IFERROR(__xludf.DUMMYFUNCTION("""COMPUTED_VALUE"""),"100 (200 - HTML5)")</f>
        <v>100 (200 - HTML5)</v>
      </c>
      <c r="T898" s="3"/>
      <c r="U898" s="3" t="str">
        <f ca="1">IFERROR(__xludf.DUMMYFUNCTION("""COMPUTED_VALUE"""),"banner standard")</f>
        <v>banner standard</v>
      </c>
      <c r="V898" s="3"/>
      <c r="W898" s="4" t="str">
        <f ca="1">IFERROR(__xludf.DUMMYFUNCTION("""COMPUTED_VALUE"""),"https://reklama.cncenter.cz/Online/double-skyscraper")</f>
        <v>https://reklama.cncenter.cz/Online/double-skyscraper</v>
      </c>
      <c r="X898" s="3"/>
      <c r="Y898" s="3"/>
      <c r="Z898" s="3" t="str">
        <f ca="1">IFERROR(__xludf.DUMMYFUNCTION("""COMPUTED_VALUE"""),"podklady@cncenter.cz")</f>
        <v>podklady@cncenter.cz</v>
      </c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 t="str">
        <f ca="1">IFERROR(__xludf.DUMMYFUNCTION("""COMPUTED_VALUE"""),"desktop")</f>
        <v>desktop</v>
      </c>
      <c r="AO898" s="3"/>
      <c r="AP898" s="3"/>
      <c r="AQ898" s="3"/>
      <c r="AR898" s="3"/>
      <c r="AS898" s="3"/>
      <c r="AT898" s="3"/>
      <c r="AU898" s="3" t="str">
        <f ca="1">IFERROR(__xludf.DUMMYFUNCTION("""COMPUTED_VALUE"""),"double skyscraper")</f>
        <v>double skyscraper</v>
      </c>
    </row>
    <row r="899" spans="1:47" x14ac:dyDescent="0.3">
      <c r="A899" s="3">
        <f ca="1"/>
        <v>2346826</v>
      </c>
      <c r="B899" s="3" t="str">
        <f ca="1"/>
        <v>CZECH NEWS CENTER a. s.</v>
      </c>
      <c r="C899" s="3" t="str">
        <f ca="1">IFERROR(__xludf.DUMMYFUNCTION("""COMPUTED_VALUE"""),"Poggers")</f>
        <v>Poggers</v>
      </c>
      <c r="D899" s="4" t="str">
        <f ca="1">IFERROR(__xludf.DUMMYFUNCTION("""COMPUTED_VALUE"""),"https://www.poggers.cz")</f>
        <v>https://www.poggers.cz</v>
      </c>
      <c r="E899" s="3" t="str">
        <f ca="1">IFERROR(__xludf.DUMMYFUNCTION("""COMPUTED_VALUE"""),"celý web")</f>
        <v>celý web</v>
      </c>
      <c r="F899" s="4" t="str">
        <f ca="1">IFERROR(__xludf.DUMMYFUNCTION("""COMPUTED_VALUE"""),"https://www.poggers.cz")</f>
        <v>https://www.poggers.cz</v>
      </c>
      <c r="G899" s="3" t="str">
        <f ca="1">IFERROR(__xludf.DUMMYFUNCTION("""COMPUTED_VALUE"""),"nativní rectangle cross-device mid season")</f>
        <v>nativní rectangle cross-device mid season</v>
      </c>
      <c r="H899" s="3">
        <f ca="1">IFERROR(__xludf.DUMMYFUNCTION("""COMPUTED_VALUE"""),7)</f>
        <v>7</v>
      </c>
      <c r="I899" s="5">
        <f ca="1">IFERROR(__xludf.DUMMYFUNCTION("""COMPUTED_VALUE"""),1000)</f>
        <v>1000</v>
      </c>
      <c r="J899" s="5">
        <f ca="1">IFERROR(__xludf.DUMMYFUNCTION("""COMPUTED_VALUE"""),50000)</f>
        <v>50000</v>
      </c>
      <c r="K899" s="3"/>
      <c r="L899" s="3" t="str">
        <f ca="1">IFERROR(__xludf.DUMMYFUNCTION("""COMPUTED_VALUE"""),"Cost per period")</f>
        <v>Cost per period</v>
      </c>
      <c r="M899" s="3"/>
      <c r="N899" s="3"/>
      <c r="O899" s="3" t="str">
        <f ca="1">IFERROR(__xludf.DUMMYFUNCTION("""COMPUTED_VALUE"""),"640")</f>
        <v>640</v>
      </c>
      <c r="P899" s="3" t="str">
        <f ca="1">IFERROR(__xludf.DUMMYFUNCTION("""COMPUTED_VALUE"""),"335, 640")</f>
        <v>335, 640</v>
      </c>
      <c r="Q899" s="3" t="str">
        <f ca="1">IFERROR(__xludf.DUMMYFUNCTION("""COMPUTED_VALUE"""),"640x640 a 640x335 + text + logo")</f>
        <v>640x640 a 640x335 + text + logo</v>
      </c>
      <c r="R899" s="3"/>
      <c r="S899" s="3" t="str">
        <f ca="1">IFERROR(__xludf.DUMMYFUNCTION("""COMPUTED_VALUE"""),"45")</f>
        <v>45</v>
      </c>
      <c r="T899" s="3"/>
      <c r="U899" s="3" t="str">
        <f ca="1">IFERROR(__xludf.DUMMYFUNCTION("""COMPUTED_VALUE"""),"nativní reklama")</f>
        <v>nativní reklama</v>
      </c>
      <c r="V899" s="3"/>
      <c r="W899" s="4" t="str">
        <f ca="1">IFERROR(__xludf.DUMMYFUNCTION("""COMPUTED_VALUE"""),"https://reklama.cncenter.cz/Online/nativni-rectangle-cross-device")</f>
        <v>https://reklama.cncenter.cz/Online/nativni-rectangle-cross-device</v>
      </c>
      <c r="X899" s="3"/>
      <c r="Y899" s="3"/>
      <c r="Z899" s="3" t="str">
        <f ca="1">IFERROR(__xludf.DUMMYFUNCTION("""COMPUTED_VALUE"""),"podklady@cncenter.cz")</f>
        <v>podklady@cncenter.cz</v>
      </c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 t="str">
        <f ca="1">IFERROR(__xludf.DUMMYFUNCTION("""COMPUTED_VALUE"""),"cross-device")</f>
        <v>cross-device</v>
      </c>
      <c r="AO899" s="3"/>
      <c r="AP899" s="3"/>
      <c r="AQ899" s="3"/>
      <c r="AR899" s="3"/>
      <c r="AS899" s="3"/>
      <c r="AT899" s="3"/>
      <c r="AU899" s="3" t="str">
        <f ca="1">IFERROR(__xludf.DUMMYFUNCTION("""COMPUTED_VALUE"""),"nativní rectangle cross-device")</f>
        <v>nativní rectangle cross-device</v>
      </c>
    </row>
    <row r="900" spans="1:47" x14ac:dyDescent="0.3">
      <c r="A900" s="3">
        <f ca="1"/>
        <v>2346826</v>
      </c>
      <c r="B900" s="3" t="str">
        <f ca="1"/>
        <v>CZECH NEWS CENTER a. s.</v>
      </c>
      <c r="C900" s="3" t="str">
        <f ca="1">IFERROR(__xludf.DUMMYFUNCTION("""COMPUTED_VALUE"""),"Realitní trh")</f>
        <v>Realitní trh</v>
      </c>
      <c r="D900" s="4" t="str">
        <f ca="1">IFERROR(__xludf.DUMMYFUNCTION("""COMPUTED_VALUE"""),"https://www.realitnitrh.cz")</f>
        <v>https://www.realitnitrh.cz</v>
      </c>
      <c r="E900" s="3" t="str">
        <f ca="1">IFERROR(__xludf.DUMMYFUNCTION("""COMPUTED_VALUE"""),"celý web")</f>
        <v>celý web</v>
      </c>
      <c r="F900" s="4" t="str">
        <f ca="1">IFERROR(__xludf.DUMMYFUNCTION("""COMPUTED_VALUE"""),"https://www.realitnitrh.cz")</f>
        <v>https://www.realitnitrh.cz</v>
      </c>
      <c r="G900" s="3" t="str">
        <f ca="1">IFERROR(__xludf.DUMMYFUNCTION("""COMPUTED_VALUE"""),"Advertorial mid season")</f>
        <v>Advertorial mid season</v>
      </c>
      <c r="H900" s="3">
        <f ca="1">IFERROR(__xludf.DUMMYFUNCTION("""COMPUTED_VALUE"""),1)</f>
        <v>1</v>
      </c>
      <c r="I900" s="5">
        <f ca="1">IFERROR(__xludf.DUMMYFUNCTION("""COMPUTED_VALUE"""),1)</f>
        <v>1</v>
      </c>
      <c r="J900" s="5">
        <f ca="1">IFERROR(__xludf.DUMMYFUNCTION("""COMPUTED_VALUE"""),90000)</f>
        <v>90000</v>
      </c>
      <c r="K900" s="3"/>
      <c r="L900" s="3" t="str">
        <f ca="1">IFERROR(__xludf.DUMMYFUNCTION("""COMPUTED_VALUE"""),"Cost per instance")</f>
        <v>Cost per instance</v>
      </c>
      <c r="M900" s="3"/>
      <c r="N900" s="3"/>
      <c r="O900" s="3"/>
      <c r="P900" s="3"/>
      <c r="Q900" s="3"/>
      <c r="R900" s="3"/>
      <c r="S900" s="3" t="str">
        <f ca="1">IFERROR(__xludf.DUMMYFUNCTION("""COMPUTED_VALUE"""),"100")</f>
        <v>100</v>
      </c>
      <c r="T900" s="3"/>
      <c r="U900" s="3" t="str">
        <f ca="1">IFERROR(__xludf.DUMMYFUNCTION("""COMPUTED_VALUE"""),"pr článek")</f>
        <v>pr článek</v>
      </c>
      <c r="V900" s="3"/>
      <c r="W900" s="3"/>
      <c r="X900" s="3"/>
      <c r="Y900" s="3"/>
      <c r="Z900" s="3" t="str">
        <f ca="1">IFERROR(__xludf.DUMMYFUNCTION("""COMPUTED_VALUE"""),"podklady@cncenter.cz")</f>
        <v>podklady@cncenter.cz</v>
      </c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 t="str">
        <f ca="1">IFERROR(__xludf.DUMMYFUNCTION("""COMPUTED_VALUE"""),"cross-device")</f>
        <v>cross-device</v>
      </c>
      <c r="AO900" s="3"/>
      <c r="AP900" s="3"/>
      <c r="AQ900" s="3"/>
      <c r="AR900" s="3"/>
      <c r="AS900" s="3"/>
      <c r="AT900" s="3"/>
      <c r="AU900" s="3" t="str">
        <f ca="1">IFERROR(__xludf.DUMMYFUNCTION("""COMPUTED_VALUE"""),"Advertorial")</f>
        <v>Advertorial</v>
      </c>
    </row>
    <row r="901" spans="1:47" x14ac:dyDescent="0.3">
      <c r="A901" s="3">
        <f ca="1"/>
        <v>2346826</v>
      </c>
      <c r="B901" s="3" t="str">
        <f ca="1"/>
        <v>CZECH NEWS CENTER a. s.</v>
      </c>
      <c r="C901" s="3" t="str">
        <f ca="1">IFERROR(__xludf.DUMMYFUNCTION("""COMPUTED_VALUE"""),"Realitní trh")</f>
        <v>Realitní trh</v>
      </c>
      <c r="D901" s="4" t="str">
        <f ca="1">IFERROR(__xludf.DUMMYFUNCTION("""COMPUTED_VALUE"""),"https://www.realitnitrh.cz")</f>
        <v>https://www.realitnitrh.cz</v>
      </c>
      <c r="E901" s="3" t="str">
        <f ca="1">IFERROR(__xludf.DUMMYFUNCTION("""COMPUTED_VALUE"""),"celý web")</f>
        <v>celý web</v>
      </c>
      <c r="F901" s="4" t="str">
        <f ca="1">IFERROR(__xludf.DUMMYFUNCTION("""COMPUTED_VALUE"""),"https://www.realitnitrh.cz")</f>
        <v>https://www.realitnitrh.cz</v>
      </c>
      <c r="G901" s="3" t="str">
        <f ca="1">IFERROR(__xludf.DUMMYFUNCTION("""COMPUTED_VALUE"""),"billboard bottom mid season")</f>
        <v>billboard bottom mid season</v>
      </c>
      <c r="H901" s="3">
        <f ca="1">IFERROR(__xludf.DUMMYFUNCTION("""COMPUTED_VALUE"""),7)</f>
        <v>7</v>
      </c>
      <c r="I901" s="5">
        <f ca="1">IFERROR(__xludf.DUMMYFUNCTION("""COMPUTED_VALUE"""),1000)</f>
        <v>1000</v>
      </c>
      <c r="J901" s="5">
        <f ca="1">IFERROR(__xludf.DUMMYFUNCTION("""COMPUTED_VALUE"""),340)</f>
        <v>340</v>
      </c>
      <c r="K901" s="3"/>
      <c r="L901" s="3" t="str">
        <f ca="1">IFERROR(__xludf.DUMMYFUNCTION("""COMPUTED_VALUE"""),"Cost per period")</f>
        <v>Cost per period</v>
      </c>
      <c r="M901" s="3"/>
      <c r="N901" s="3"/>
      <c r="O901" s="3" t="str">
        <f ca="1">IFERROR(__xludf.DUMMYFUNCTION("""COMPUTED_VALUE"""),"970")</f>
        <v>970</v>
      </c>
      <c r="P901" s="3" t="str">
        <f ca="1">IFERROR(__xludf.DUMMYFUNCTION("""COMPUTED_VALUE"""),"250")</f>
        <v>250</v>
      </c>
      <c r="Q901" s="3" t="str">
        <f ca="1">IFERROR(__xludf.DUMMYFUNCTION("""COMPUTED_VALUE"""),"970x250")</f>
        <v>970x250</v>
      </c>
      <c r="R901" s="3"/>
      <c r="S901" s="3" t="str">
        <f ca="1">IFERROR(__xludf.DUMMYFUNCTION("""COMPUTED_VALUE"""),"100 (200 - HTML5)")</f>
        <v>100 (200 - HTML5)</v>
      </c>
      <c r="T901" s="3"/>
      <c r="U901" s="3" t="str">
        <f ca="1">IFERROR(__xludf.DUMMYFUNCTION("""COMPUTED_VALUE"""),"banner standard")</f>
        <v>banner standard</v>
      </c>
      <c r="V901" s="3"/>
      <c r="W901" s="4" t="str">
        <f ca="1">IFERROR(__xludf.DUMMYFUNCTION("""COMPUTED_VALUE"""),"https://reklama.cncenter.cz/Online/billboard-bottom")</f>
        <v>https://reklama.cncenter.cz/Online/billboard-bottom</v>
      </c>
      <c r="X901" s="3"/>
      <c r="Y901" s="3"/>
      <c r="Z901" s="3" t="str">
        <f ca="1">IFERROR(__xludf.DUMMYFUNCTION("""COMPUTED_VALUE"""),"podklady@cncenter.cz")</f>
        <v>podklady@cncenter.cz</v>
      </c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 t="str">
        <f ca="1">IFERROR(__xludf.DUMMYFUNCTION("""COMPUTED_VALUE"""),"desktop")</f>
        <v>desktop</v>
      </c>
      <c r="AO901" s="3"/>
      <c r="AP901" s="3"/>
      <c r="AQ901" s="3"/>
      <c r="AR901" s="3"/>
      <c r="AS901" s="3"/>
      <c r="AT901" s="3"/>
      <c r="AU901" s="3" t="str">
        <f ca="1">IFERROR(__xludf.DUMMYFUNCTION("""COMPUTED_VALUE"""),"billboard bottom")</f>
        <v>billboard bottom</v>
      </c>
    </row>
    <row r="902" spans="1:47" x14ac:dyDescent="0.3">
      <c r="A902" s="3">
        <f ca="1"/>
        <v>2346826</v>
      </c>
      <c r="B902" s="3" t="str">
        <f ca="1"/>
        <v>CZECH NEWS CENTER a. s.</v>
      </c>
      <c r="C902" s="3" t="str">
        <f ca="1">IFERROR(__xludf.DUMMYFUNCTION("""COMPUTED_VALUE"""),"Realitní trh")</f>
        <v>Realitní trh</v>
      </c>
      <c r="D902" s="4" t="str">
        <f ca="1">IFERROR(__xludf.DUMMYFUNCTION("""COMPUTED_VALUE"""),"https://www.realitnitrh.cz")</f>
        <v>https://www.realitnitrh.cz</v>
      </c>
      <c r="E902" s="3" t="str">
        <f ca="1">IFERROR(__xludf.DUMMYFUNCTION("""COMPUTED_VALUE"""),"celý web")</f>
        <v>celý web</v>
      </c>
      <c r="F902" s="4" t="str">
        <f ca="1">IFERROR(__xludf.DUMMYFUNCTION("""COMPUTED_VALUE"""),"https://www.realitnitrh.cz")</f>
        <v>https://www.realitnitrh.cz</v>
      </c>
      <c r="G902" s="3" t="str">
        <f ca="1">IFERROR(__xludf.DUMMYFUNCTION("""COMPUTED_VALUE"""),"branding cross-device mid season")</f>
        <v>branding cross-device mid season</v>
      </c>
      <c r="H902" s="3">
        <f ca="1">IFERROR(__xludf.DUMMYFUNCTION("""COMPUTED_VALUE"""),7)</f>
        <v>7</v>
      </c>
      <c r="I902" s="5">
        <f ca="1">IFERROR(__xludf.DUMMYFUNCTION("""COMPUTED_VALUE"""),1000)</f>
        <v>1000</v>
      </c>
      <c r="J902" s="5">
        <f ca="1">IFERROR(__xludf.DUMMYFUNCTION("""COMPUTED_VALUE"""),420)</f>
        <v>420</v>
      </c>
      <c r="K902" s="3"/>
      <c r="L902" s="3" t="str">
        <f ca="1">IFERROR(__xludf.DUMMYFUNCTION("""COMPUTED_VALUE"""),"Cost per period")</f>
        <v>Cost per period</v>
      </c>
      <c r="M902" s="3"/>
      <c r="N902" s="3"/>
      <c r="O902" s="3" t="str">
        <f ca="1">IFERROR(__xludf.DUMMYFUNCTION("""COMPUTED_VALUE"""),"2000")</f>
        <v>2000</v>
      </c>
      <c r="P902" s="3" t="str">
        <f ca="1">IFERROR(__xludf.DUMMYFUNCTION("""COMPUTED_VALUE"""),"1400")</f>
        <v>1400</v>
      </c>
      <c r="Q902" s="3" t="str">
        <f ca="1">IFERROR(__xludf.DUMMYFUNCTION("""COMPUTED_VALUE"""),"2000x1400 + 600x1080")</f>
        <v>2000x1400 + 600x1080</v>
      </c>
      <c r="R902" s="3"/>
      <c r="S902" s="3" t="str">
        <f ca="1">IFERROR(__xludf.DUMMYFUNCTION("""COMPUTED_VALUE"""),"500 (600 - HTLM5)")</f>
        <v>500 (600 - HTLM5)</v>
      </c>
      <c r="T902" s="3"/>
      <c r="U902" s="3" t="str">
        <f ca="1">IFERROR(__xludf.DUMMYFUNCTION("""COMPUTED_VALUE"""),"banner standard")</f>
        <v>banner standard</v>
      </c>
      <c r="V902" s="3"/>
      <c r="W902" s="4" t="str">
        <f ca="1">IFERROR(__xludf.DUMMYFUNCTION("""COMPUTED_VALUE"""),"https://reklama.cncenter.cz/Online/branding-cross-device")</f>
        <v>https://reklama.cncenter.cz/Online/branding-cross-device</v>
      </c>
      <c r="X902" s="3"/>
      <c r="Y902" s="3"/>
      <c r="Z902" s="3" t="str">
        <f ca="1">IFERROR(__xludf.DUMMYFUNCTION("""COMPUTED_VALUE"""),"podklady@cncenter.cz")</f>
        <v>podklady@cncenter.cz</v>
      </c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 t="str">
        <f ca="1">IFERROR(__xludf.DUMMYFUNCTION("""COMPUTED_VALUE"""),"cross-device")</f>
        <v>cross-device</v>
      </c>
      <c r="AO902" s="3"/>
      <c r="AP902" s="3"/>
      <c r="AQ902" s="3"/>
      <c r="AR902" s="3"/>
      <c r="AS902" s="3"/>
      <c r="AT902" s="3"/>
      <c r="AU902" s="3" t="str">
        <f ca="1">IFERROR(__xludf.DUMMYFUNCTION("""COMPUTED_VALUE"""),"branding cross-device")</f>
        <v>branding cross-device</v>
      </c>
    </row>
    <row r="903" spans="1:47" x14ac:dyDescent="0.3">
      <c r="A903" s="3">
        <f ca="1"/>
        <v>2346826</v>
      </c>
      <c r="B903" s="3" t="str">
        <f ca="1"/>
        <v>CZECH NEWS CENTER a. s.</v>
      </c>
      <c r="C903" s="3" t="str">
        <f ca="1">IFERROR(__xludf.DUMMYFUNCTION("""COMPUTED_VALUE"""),"Realitní trh")</f>
        <v>Realitní trh</v>
      </c>
      <c r="D903" s="4" t="str">
        <f ca="1">IFERROR(__xludf.DUMMYFUNCTION("""COMPUTED_VALUE"""),"https://www.realitnitrh.cz")</f>
        <v>https://www.realitnitrh.cz</v>
      </c>
      <c r="E903" s="3" t="str">
        <f ca="1">IFERROR(__xludf.DUMMYFUNCTION("""COMPUTED_VALUE"""),"celý web")</f>
        <v>celý web</v>
      </c>
      <c r="F903" s="4" t="str">
        <f ca="1">IFERROR(__xludf.DUMMYFUNCTION("""COMPUTED_VALUE"""),"https://www.realitnitrh.cz")</f>
        <v>https://www.realitnitrh.cz</v>
      </c>
      <c r="G903" s="3" t="str">
        <f ca="1">IFERROR(__xludf.DUMMYFUNCTION("""COMPUTED_VALUE"""),"branding mid season")</f>
        <v>branding mid season</v>
      </c>
      <c r="H903" s="3">
        <f ca="1">IFERROR(__xludf.DUMMYFUNCTION("""COMPUTED_VALUE"""),7)</f>
        <v>7</v>
      </c>
      <c r="I903" s="5">
        <f ca="1">IFERROR(__xludf.DUMMYFUNCTION("""COMPUTED_VALUE"""),1000)</f>
        <v>1000</v>
      </c>
      <c r="J903" s="5">
        <f ca="1">IFERROR(__xludf.DUMMYFUNCTION("""COMPUTED_VALUE"""),690)</f>
        <v>690</v>
      </c>
      <c r="K903" s="3"/>
      <c r="L903" s="3" t="str">
        <f ca="1">IFERROR(__xludf.DUMMYFUNCTION("""COMPUTED_VALUE"""),"Cost per period")</f>
        <v>Cost per period</v>
      </c>
      <c r="M903" s="3"/>
      <c r="N903" s="3"/>
      <c r="O903" s="3" t="str">
        <f ca="1">IFERROR(__xludf.DUMMYFUNCTION("""COMPUTED_VALUE"""),"2000")</f>
        <v>2000</v>
      </c>
      <c r="P903" s="3" t="str">
        <f ca="1">IFERROR(__xludf.DUMMYFUNCTION("""COMPUTED_VALUE"""),"1400")</f>
        <v>1400</v>
      </c>
      <c r="Q903" s="3" t="str">
        <f ca="1">IFERROR(__xludf.DUMMYFUNCTION("""COMPUTED_VALUE"""),"2000x1400")</f>
        <v>2000x1400</v>
      </c>
      <c r="R903" s="3"/>
      <c r="S903" s="3" t="str">
        <f ca="1">IFERROR(__xludf.DUMMYFUNCTION("""COMPUTED_VALUE"""),"500 + 200 (600+200 HTML5)")</f>
        <v>500 + 200 (600+200 HTML5)</v>
      </c>
      <c r="T903" s="3"/>
      <c r="U903" s="3" t="str">
        <f ca="1">IFERROR(__xludf.DUMMYFUNCTION("""COMPUTED_VALUE"""),"banner standard")</f>
        <v>banner standard</v>
      </c>
      <c r="V903" s="3"/>
      <c r="W903" s="4" t="str">
        <f ca="1">IFERROR(__xludf.DUMMYFUNCTION("""COMPUTED_VALUE"""),"https://reklama.cncenter.cz/Online/branding")</f>
        <v>https://reklama.cncenter.cz/Online/branding</v>
      </c>
      <c r="X903" s="3"/>
      <c r="Y903" s="3"/>
      <c r="Z903" s="3" t="str">
        <f ca="1">IFERROR(__xludf.DUMMYFUNCTION("""COMPUTED_VALUE"""),"podklady@cncenter.cz")</f>
        <v>podklady@cncenter.cz</v>
      </c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 t="str">
        <f ca="1">IFERROR(__xludf.DUMMYFUNCTION("""COMPUTED_VALUE"""),"desktop")</f>
        <v>desktop</v>
      </c>
      <c r="AO903" s="3"/>
      <c r="AP903" s="3"/>
      <c r="AQ903" s="3"/>
      <c r="AR903" s="3"/>
      <c r="AS903" s="3"/>
      <c r="AT903" s="3"/>
      <c r="AU903" s="3" t="str">
        <f ca="1">IFERROR(__xludf.DUMMYFUNCTION("""COMPUTED_VALUE"""),"branding")</f>
        <v>branding</v>
      </c>
    </row>
    <row r="904" spans="1:47" x14ac:dyDescent="0.3">
      <c r="A904" s="3">
        <f ca="1"/>
        <v>2346826</v>
      </c>
      <c r="B904" s="3" t="str">
        <f ca="1"/>
        <v>CZECH NEWS CENTER a. s.</v>
      </c>
      <c r="C904" s="3" t="str">
        <f ca="1">IFERROR(__xludf.DUMMYFUNCTION("""COMPUTED_VALUE"""),"Realitní trh")</f>
        <v>Realitní trh</v>
      </c>
      <c r="D904" s="4" t="str">
        <f ca="1">IFERROR(__xludf.DUMMYFUNCTION("""COMPUTED_VALUE"""),"https://www.realitnitrh.cz")</f>
        <v>https://www.realitnitrh.cz</v>
      </c>
      <c r="E904" s="3" t="str">
        <f ca="1">IFERROR(__xludf.DUMMYFUNCTION("""COMPUTED_VALUE"""),"celý web")</f>
        <v>celý web</v>
      </c>
      <c r="F904" s="4" t="str">
        <f ca="1">IFERROR(__xludf.DUMMYFUNCTION("""COMPUTED_VALUE"""),"https://www.realitnitrh.cz")</f>
        <v>https://www.realitnitrh.cz</v>
      </c>
      <c r="G904" s="3" t="str">
        <f ca="1">IFERROR(__xludf.DUMMYFUNCTION("""COMPUTED_VALUE"""),"cílený billboard bottom mid season")</f>
        <v>cílený billboard bottom mid season</v>
      </c>
      <c r="H904" s="3">
        <f ca="1">IFERROR(__xludf.DUMMYFUNCTION("""COMPUTED_VALUE"""),7)</f>
        <v>7</v>
      </c>
      <c r="I904" s="5">
        <f ca="1">IFERROR(__xludf.DUMMYFUNCTION("""COMPUTED_VALUE"""),1000)</f>
        <v>1000</v>
      </c>
      <c r="J904" s="5">
        <f ca="1">IFERROR(__xludf.DUMMYFUNCTION("""COMPUTED_VALUE"""),408)</f>
        <v>408</v>
      </c>
      <c r="K904" s="3"/>
      <c r="L904" s="3" t="str">
        <f ca="1">IFERROR(__xludf.DUMMYFUNCTION("""COMPUTED_VALUE"""),"Cost per period")</f>
        <v>Cost per period</v>
      </c>
      <c r="M904" s="3"/>
      <c r="N904" s="3"/>
      <c r="O904" s="3" t="str">
        <f ca="1">IFERROR(__xludf.DUMMYFUNCTION("""COMPUTED_VALUE"""),"970")</f>
        <v>970</v>
      </c>
      <c r="P904" s="3" t="str">
        <f ca="1">IFERROR(__xludf.DUMMYFUNCTION("""COMPUTED_VALUE"""),"250")</f>
        <v>250</v>
      </c>
      <c r="Q904" s="3" t="str">
        <f ca="1">IFERROR(__xludf.DUMMYFUNCTION("""COMPUTED_VALUE"""),"970x250")</f>
        <v>970x250</v>
      </c>
      <c r="R904" s="3"/>
      <c r="S904" s="3" t="str">
        <f ca="1">IFERROR(__xludf.DUMMYFUNCTION("""COMPUTED_VALUE"""),"100 (200 - HTML5)")</f>
        <v>100 (200 - HTML5)</v>
      </c>
      <c r="T904" s="3"/>
      <c r="U904" s="3" t="str">
        <f ca="1">IFERROR(__xludf.DUMMYFUNCTION("""COMPUTED_VALUE"""),"banner standard")</f>
        <v>banner standard</v>
      </c>
      <c r="V904" s="3"/>
      <c r="W904" s="4" t="str">
        <f ca="1">IFERROR(__xludf.DUMMYFUNCTION("""COMPUTED_VALUE"""),"https://reklama.cncenter.cz/Online/billboard-bottom")</f>
        <v>https://reklama.cncenter.cz/Online/billboard-bottom</v>
      </c>
      <c r="X904" s="3"/>
      <c r="Y904" s="3"/>
      <c r="Z904" s="3" t="str">
        <f ca="1">IFERROR(__xludf.DUMMYFUNCTION("""COMPUTED_VALUE"""),"podklady@cncenter.cz")</f>
        <v>podklady@cncenter.cz</v>
      </c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 t="str">
        <f ca="1">IFERROR(__xludf.DUMMYFUNCTION("""COMPUTED_VALUE"""),"desktop")</f>
        <v>desktop</v>
      </c>
      <c r="AO904" s="3"/>
      <c r="AP904" s="3"/>
      <c r="AQ904" s="3"/>
      <c r="AR904" s="3"/>
      <c r="AS904" s="3"/>
      <c r="AT904" s="3"/>
      <c r="AU904" s="3" t="str">
        <f ca="1">IFERROR(__xludf.DUMMYFUNCTION("""COMPUTED_VALUE"""),"cílený billboard bottom")</f>
        <v>cílený billboard bottom</v>
      </c>
    </row>
    <row r="905" spans="1:47" x14ac:dyDescent="0.3">
      <c r="A905" s="3">
        <f ca="1"/>
        <v>2346826</v>
      </c>
      <c r="B905" s="3" t="str">
        <f ca="1"/>
        <v>CZECH NEWS CENTER a. s.</v>
      </c>
      <c r="C905" s="3" t="str">
        <f ca="1">IFERROR(__xludf.DUMMYFUNCTION("""COMPUTED_VALUE"""),"Realitní trh")</f>
        <v>Realitní trh</v>
      </c>
      <c r="D905" s="4" t="str">
        <f ca="1">IFERROR(__xludf.DUMMYFUNCTION("""COMPUTED_VALUE"""),"https://www.realitnitrh.cz")</f>
        <v>https://www.realitnitrh.cz</v>
      </c>
      <c r="E905" s="3" t="str">
        <f ca="1">IFERROR(__xludf.DUMMYFUNCTION("""COMPUTED_VALUE"""),"celý web")</f>
        <v>celý web</v>
      </c>
      <c r="F905" s="4" t="str">
        <f ca="1">IFERROR(__xludf.DUMMYFUNCTION("""COMPUTED_VALUE"""),"https://www.realitnitrh.cz")</f>
        <v>https://www.realitnitrh.cz</v>
      </c>
      <c r="G905" s="3" t="str">
        <f ca="1">IFERROR(__xludf.DUMMYFUNCTION("""COMPUTED_VALUE"""),"cílený branding cross-device mid season")</f>
        <v>cílený branding cross-device mid season</v>
      </c>
      <c r="H905" s="3">
        <f ca="1">IFERROR(__xludf.DUMMYFUNCTION("""COMPUTED_VALUE"""),7)</f>
        <v>7</v>
      </c>
      <c r="I905" s="5">
        <f ca="1">IFERROR(__xludf.DUMMYFUNCTION("""COMPUTED_VALUE"""),1000)</f>
        <v>1000</v>
      </c>
      <c r="J905" s="5">
        <f ca="1">IFERROR(__xludf.DUMMYFUNCTION("""COMPUTED_VALUE"""),504)</f>
        <v>504</v>
      </c>
      <c r="K905" s="3"/>
      <c r="L905" s="3" t="str">
        <f ca="1">IFERROR(__xludf.DUMMYFUNCTION("""COMPUTED_VALUE"""),"Cost per period")</f>
        <v>Cost per period</v>
      </c>
      <c r="M905" s="3"/>
      <c r="N905" s="3"/>
      <c r="O905" s="3" t="str">
        <f ca="1">IFERROR(__xludf.DUMMYFUNCTION("""COMPUTED_VALUE"""),"2000")</f>
        <v>2000</v>
      </c>
      <c r="P905" s="3" t="str">
        <f ca="1">IFERROR(__xludf.DUMMYFUNCTION("""COMPUTED_VALUE"""),"1400")</f>
        <v>1400</v>
      </c>
      <c r="Q905" s="3" t="str">
        <f ca="1">IFERROR(__xludf.DUMMYFUNCTION("""COMPUTED_VALUE"""),"2000x1400 + 600x1080")</f>
        <v>2000x1400 + 600x1080</v>
      </c>
      <c r="R905" s="3"/>
      <c r="S905" s="3" t="str">
        <f ca="1">IFERROR(__xludf.DUMMYFUNCTION("""COMPUTED_VALUE"""),"500 (600 - HTLM5)")</f>
        <v>500 (600 - HTLM5)</v>
      </c>
      <c r="T905" s="3"/>
      <c r="U905" s="3" t="str">
        <f ca="1">IFERROR(__xludf.DUMMYFUNCTION("""COMPUTED_VALUE"""),"banner standard")</f>
        <v>banner standard</v>
      </c>
      <c r="V905" s="3"/>
      <c r="W905" s="4" t="str">
        <f ca="1">IFERROR(__xludf.DUMMYFUNCTION("""COMPUTED_VALUE"""),"https://reklama.cncenter.cz/Online/branding-cross-device")</f>
        <v>https://reklama.cncenter.cz/Online/branding-cross-device</v>
      </c>
      <c r="X905" s="3"/>
      <c r="Y905" s="3"/>
      <c r="Z905" s="3" t="str">
        <f ca="1">IFERROR(__xludf.DUMMYFUNCTION("""COMPUTED_VALUE"""),"podklady@cncenter.cz")</f>
        <v>podklady@cncenter.cz</v>
      </c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 t="str">
        <f ca="1">IFERROR(__xludf.DUMMYFUNCTION("""COMPUTED_VALUE"""),"cross-device")</f>
        <v>cross-device</v>
      </c>
      <c r="AO905" s="3"/>
      <c r="AP905" s="3"/>
      <c r="AQ905" s="3"/>
      <c r="AR905" s="3"/>
      <c r="AS905" s="3"/>
      <c r="AT905" s="3"/>
      <c r="AU905" s="3" t="str">
        <f ca="1">IFERROR(__xludf.DUMMYFUNCTION("""COMPUTED_VALUE"""),"cílený branding cross-device")</f>
        <v>cílený branding cross-device</v>
      </c>
    </row>
    <row r="906" spans="1:47" x14ac:dyDescent="0.3">
      <c r="A906" s="3">
        <f ca="1"/>
        <v>2346826</v>
      </c>
      <c r="B906" s="3" t="str">
        <f ca="1"/>
        <v>CZECH NEWS CENTER a. s.</v>
      </c>
      <c r="C906" s="3" t="str">
        <f ca="1">IFERROR(__xludf.DUMMYFUNCTION("""COMPUTED_VALUE"""),"Realitní trh")</f>
        <v>Realitní trh</v>
      </c>
      <c r="D906" s="4" t="str">
        <f ca="1">IFERROR(__xludf.DUMMYFUNCTION("""COMPUTED_VALUE"""),"https://www.realitnitrh.cz")</f>
        <v>https://www.realitnitrh.cz</v>
      </c>
      <c r="E906" s="3" t="str">
        <f ca="1">IFERROR(__xludf.DUMMYFUNCTION("""COMPUTED_VALUE"""),"celý web")</f>
        <v>celý web</v>
      </c>
      <c r="F906" s="4" t="str">
        <f ca="1">IFERROR(__xludf.DUMMYFUNCTION("""COMPUTED_VALUE"""),"https://www.realitnitrh.cz")</f>
        <v>https://www.realitnitrh.cz</v>
      </c>
      <c r="G906" s="3" t="str">
        <f ca="1">IFERROR(__xludf.DUMMYFUNCTION("""COMPUTED_VALUE"""),"cílený branding mid season")</f>
        <v>cílený branding mid season</v>
      </c>
      <c r="H906" s="3">
        <f ca="1">IFERROR(__xludf.DUMMYFUNCTION("""COMPUTED_VALUE"""),7)</f>
        <v>7</v>
      </c>
      <c r="I906" s="5">
        <f ca="1">IFERROR(__xludf.DUMMYFUNCTION("""COMPUTED_VALUE"""),1000)</f>
        <v>1000</v>
      </c>
      <c r="J906" s="5">
        <f ca="1">IFERROR(__xludf.DUMMYFUNCTION("""COMPUTED_VALUE"""),828)</f>
        <v>828</v>
      </c>
      <c r="K906" s="3"/>
      <c r="L906" s="3" t="str">
        <f ca="1">IFERROR(__xludf.DUMMYFUNCTION("""COMPUTED_VALUE"""),"Cost per period")</f>
        <v>Cost per period</v>
      </c>
      <c r="M906" s="3"/>
      <c r="N906" s="3"/>
      <c r="O906" s="3" t="str">
        <f ca="1">IFERROR(__xludf.DUMMYFUNCTION("""COMPUTED_VALUE"""),"2000")</f>
        <v>2000</v>
      </c>
      <c r="P906" s="3" t="str">
        <f ca="1">IFERROR(__xludf.DUMMYFUNCTION("""COMPUTED_VALUE"""),"1400")</f>
        <v>1400</v>
      </c>
      <c r="Q906" s="3" t="str">
        <f ca="1">IFERROR(__xludf.DUMMYFUNCTION("""COMPUTED_VALUE"""),"2000x1400")</f>
        <v>2000x1400</v>
      </c>
      <c r="R906" s="3"/>
      <c r="S906" s="3" t="str">
        <f ca="1">IFERROR(__xludf.DUMMYFUNCTION("""COMPUTED_VALUE"""),"500 + 200 (600+200 HTML5)")</f>
        <v>500 + 200 (600+200 HTML5)</v>
      </c>
      <c r="T906" s="3"/>
      <c r="U906" s="3" t="str">
        <f ca="1">IFERROR(__xludf.DUMMYFUNCTION("""COMPUTED_VALUE"""),"banner standard")</f>
        <v>banner standard</v>
      </c>
      <c r="V906" s="3"/>
      <c r="W906" s="4" t="str">
        <f ca="1">IFERROR(__xludf.DUMMYFUNCTION("""COMPUTED_VALUE"""),"https://reklama.cncenter.cz/Online/branding")</f>
        <v>https://reklama.cncenter.cz/Online/branding</v>
      </c>
      <c r="X906" s="3"/>
      <c r="Y906" s="3"/>
      <c r="Z906" s="3" t="str">
        <f ca="1">IFERROR(__xludf.DUMMYFUNCTION("""COMPUTED_VALUE"""),"podklady@cncenter.cz")</f>
        <v>podklady@cncenter.cz</v>
      </c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 t="str">
        <f ca="1">IFERROR(__xludf.DUMMYFUNCTION("""COMPUTED_VALUE"""),"desktop")</f>
        <v>desktop</v>
      </c>
      <c r="AO906" s="3"/>
      <c r="AP906" s="3"/>
      <c r="AQ906" s="3"/>
      <c r="AR906" s="3"/>
      <c r="AS906" s="3"/>
      <c r="AT906" s="3"/>
      <c r="AU906" s="3" t="str">
        <f ca="1">IFERROR(__xludf.DUMMYFUNCTION("""COMPUTED_VALUE"""),"cílený branding")</f>
        <v>cílený branding</v>
      </c>
    </row>
    <row r="907" spans="1:47" x14ac:dyDescent="0.3">
      <c r="A907" s="3">
        <f ca="1"/>
        <v>2346826</v>
      </c>
      <c r="B907" s="3" t="str">
        <f ca="1"/>
        <v>CZECH NEWS CENTER a. s.</v>
      </c>
      <c r="C907" s="3" t="str">
        <f ca="1">IFERROR(__xludf.DUMMYFUNCTION("""COMPUTED_VALUE"""),"Realitní trh")</f>
        <v>Realitní trh</v>
      </c>
      <c r="D907" s="4" t="str">
        <f ca="1">IFERROR(__xludf.DUMMYFUNCTION("""COMPUTED_VALUE"""),"https://www.realitnitrh.cz")</f>
        <v>https://www.realitnitrh.cz</v>
      </c>
      <c r="E907" s="3" t="str">
        <f ca="1">IFERROR(__xludf.DUMMYFUNCTION("""COMPUTED_VALUE"""),"celý web")</f>
        <v>celý web</v>
      </c>
      <c r="F907" s="4" t="str">
        <f ca="1">IFERROR(__xludf.DUMMYFUNCTION("""COMPUTED_VALUE"""),"https://www.realitnitrh.cz")</f>
        <v>https://www.realitnitrh.cz</v>
      </c>
      <c r="G907" s="3" t="str">
        <f ca="1">IFERROR(__xludf.DUMMYFUNCTION("""COMPUTED_VALUE"""),"cílený double skyscraper mid season")</f>
        <v>cílený double skyscraper mid season</v>
      </c>
      <c r="H907" s="3">
        <f ca="1">IFERROR(__xludf.DUMMYFUNCTION("""COMPUTED_VALUE"""),7)</f>
        <v>7</v>
      </c>
      <c r="I907" s="5">
        <f ca="1">IFERROR(__xludf.DUMMYFUNCTION("""COMPUTED_VALUE"""),1000)</f>
        <v>1000</v>
      </c>
      <c r="J907" s="5">
        <f ca="1">IFERROR(__xludf.DUMMYFUNCTION("""COMPUTED_VALUE"""),324)</f>
        <v>324</v>
      </c>
      <c r="K907" s="3"/>
      <c r="L907" s="3" t="str">
        <f ca="1">IFERROR(__xludf.DUMMYFUNCTION("""COMPUTED_VALUE"""),"Cost per period")</f>
        <v>Cost per period</v>
      </c>
      <c r="M907" s="3"/>
      <c r="N907" s="3"/>
      <c r="O907" s="3" t="str">
        <f ca="1">IFERROR(__xludf.DUMMYFUNCTION("""COMPUTED_VALUE"""),"300")</f>
        <v>300</v>
      </c>
      <c r="P907" s="3" t="str">
        <f ca="1">IFERROR(__xludf.DUMMYFUNCTION("""COMPUTED_VALUE"""),"600")</f>
        <v>600</v>
      </c>
      <c r="Q907" s="3" t="str">
        <f ca="1">IFERROR(__xludf.DUMMYFUNCTION("""COMPUTED_VALUE"""),"300x600")</f>
        <v>300x600</v>
      </c>
      <c r="R907" s="3"/>
      <c r="S907" s="3" t="str">
        <f ca="1">IFERROR(__xludf.DUMMYFUNCTION("""COMPUTED_VALUE"""),"100 (200 - HTML5)")</f>
        <v>100 (200 - HTML5)</v>
      </c>
      <c r="T907" s="3"/>
      <c r="U907" s="3" t="str">
        <f ca="1">IFERROR(__xludf.DUMMYFUNCTION("""COMPUTED_VALUE"""),"banner standard")</f>
        <v>banner standard</v>
      </c>
      <c r="V907" s="3"/>
      <c r="W907" s="4" t="str">
        <f ca="1">IFERROR(__xludf.DUMMYFUNCTION("""COMPUTED_VALUE"""),"https://reklama.cncenter.cz/Online/double-skyscraper")</f>
        <v>https://reklama.cncenter.cz/Online/double-skyscraper</v>
      </c>
      <c r="X907" s="3"/>
      <c r="Y907" s="3"/>
      <c r="Z907" s="3" t="str">
        <f ca="1">IFERROR(__xludf.DUMMYFUNCTION("""COMPUTED_VALUE"""),"podklady@cncenter.cz")</f>
        <v>podklady@cncenter.cz</v>
      </c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 t="str">
        <f ca="1">IFERROR(__xludf.DUMMYFUNCTION("""COMPUTED_VALUE"""),"desktop")</f>
        <v>desktop</v>
      </c>
      <c r="AO907" s="3"/>
      <c r="AP907" s="3"/>
      <c r="AQ907" s="3"/>
      <c r="AR907" s="3"/>
      <c r="AS907" s="3"/>
      <c r="AT907" s="3"/>
      <c r="AU907" s="3" t="str">
        <f ca="1">IFERROR(__xludf.DUMMYFUNCTION("""COMPUTED_VALUE"""),"cílený double skyscraper")</f>
        <v>cílený double skyscraper</v>
      </c>
    </row>
    <row r="908" spans="1:47" x14ac:dyDescent="0.3">
      <c r="A908" s="3">
        <f ca="1"/>
        <v>2346826</v>
      </c>
      <c r="B908" s="3" t="str">
        <f ca="1"/>
        <v>CZECH NEWS CENTER a. s.</v>
      </c>
      <c r="C908" s="3" t="str">
        <f ca="1">IFERROR(__xludf.DUMMYFUNCTION("""COMPUTED_VALUE"""),"Realitní trh")</f>
        <v>Realitní trh</v>
      </c>
      <c r="D908" s="4" t="str">
        <f ca="1">IFERROR(__xludf.DUMMYFUNCTION("""COMPUTED_VALUE"""),"https://www.realitnitrh.cz")</f>
        <v>https://www.realitnitrh.cz</v>
      </c>
      <c r="E908" s="3" t="str">
        <f ca="1">IFERROR(__xludf.DUMMYFUNCTION("""COMPUTED_VALUE"""),"celý web")</f>
        <v>celý web</v>
      </c>
      <c r="F908" s="4" t="str">
        <f ca="1">IFERROR(__xludf.DUMMYFUNCTION("""COMPUTED_VALUE"""),"https://www.realitnitrh.cz")</f>
        <v>https://www.realitnitrh.cz</v>
      </c>
      <c r="G908" s="3" t="str">
        <f ca="1">IFERROR(__xludf.DUMMYFUNCTION("""COMPUTED_VALUE"""),"cílený mobilní interscroller mid season")</f>
        <v>cílený mobilní interscroller mid season</v>
      </c>
      <c r="H908" s="3">
        <f ca="1">IFERROR(__xludf.DUMMYFUNCTION("""COMPUTED_VALUE"""),7)</f>
        <v>7</v>
      </c>
      <c r="I908" s="5">
        <f ca="1">IFERROR(__xludf.DUMMYFUNCTION("""COMPUTED_VALUE"""),1000)</f>
        <v>1000</v>
      </c>
      <c r="J908" s="5">
        <f ca="1">IFERROR(__xludf.DUMMYFUNCTION("""COMPUTED_VALUE"""),420)</f>
        <v>420</v>
      </c>
      <c r="K908" s="3"/>
      <c r="L908" s="3" t="str">
        <f ca="1">IFERROR(__xludf.DUMMYFUNCTION("""COMPUTED_VALUE"""),"Cost per period")</f>
        <v>Cost per period</v>
      </c>
      <c r="M908" s="3"/>
      <c r="N908" s="3"/>
      <c r="O908" s="3" t="str">
        <f ca="1">IFERROR(__xludf.DUMMYFUNCTION("""COMPUTED_VALUE"""),"600")</f>
        <v>600</v>
      </c>
      <c r="P908" s="3" t="str">
        <f ca="1">IFERROR(__xludf.DUMMYFUNCTION("""COMPUTED_VALUE"""),"1080")</f>
        <v>1080</v>
      </c>
      <c r="Q908" s="3" t="str">
        <f ca="1">IFERROR(__xludf.DUMMYFUNCTION("""COMPUTED_VALUE"""),"600x1080")</f>
        <v>600x1080</v>
      </c>
      <c r="R908" s="3"/>
      <c r="S908" s="3" t="str">
        <f ca="1">IFERROR(__xludf.DUMMYFUNCTION("""COMPUTED_VALUE"""),"200")</f>
        <v>200</v>
      </c>
      <c r="T908" s="3"/>
      <c r="U908" s="3" t="str">
        <f ca="1">IFERROR(__xludf.DUMMYFUNCTION("""COMPUTED_VALUE"""),"banner standard")</f>
        <v>banner standard</v>
      </c>
      <c r="V908" s="3"/>
      <c r="W908" s="4" t="str">
        <f ca="1">IFERROR(__xludf.DUMMYFUNCTION("""COMPUTED_VALUE"""),"https://reklama.cncenter.cz/Online/mobilni-interscroller")</f>
        <v>https://reklama.cncenter.cz/Online/mobilni-interscroller</v>
      </c>
      <c r="X908" s="3"/>
      <c r="Y908" s="3"/>
      <c r="Z908" s="3" t="str">
        <f ca="1">IFERROR(__xludf.DUMMYFUNCTION("""COMPUTED_VALUE"""),"podklady@cncenter.cz")</f>
        <v>podklady@cncenter.cz</v>
      </c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 t="str">
        <f ca="1">IFERROR(__xludf.DUMMYFUNCTION("""COMPUTED_VALUE"""),"mobile")</f>
        <v>mobile</v>
      </c>
      <c r="AO908" s="3"/>
      <c r="AP908" s="3"/>
      <c r="AQ908" s="3"/>
      <c r="AR908" s="3"/>
      <c r="AS908" s="3"/>
      <c r="AT908" s="3"/>
      <c r="AU908" s="3" t="str">
        <f ca="1">IFERROR(__xludf.DUMMYFUNCTION("""COMPUTED_VALUE"""),"cílený mobilní interscroller")</f>
        <v>cílený mobilní interscroller</v>
      </c>
    </row>
    <row r="909" spans="1:47" x14ac:dyDescent="0.3">
      <c r="A909" s="3">
        <f ca="1"/>
        <v>2346826</v>
      </c>
      <c r="B909" s="3" t="str">
        <f ca="1"/>
        <v>CZECH NEWS CENTER a. s.</v>
      </c>
      <c r="C909" s="3" t="str">
        <f ca="1">IFERROR(__xludf.DUMMYFUNCTION("""COMPUTED_VALUE"""),"Realitní trh")</f>
        <v>Realitní trh</v>
      </c>
      <c r="D909" s="4" t="str">
        <f ca="1">IFERROR(__xludf.DUMMYFUNCTION("""COMPUTED_VALUE"""),"https://www.realitnitrh.cz")</f>
        <v>https://www.realitnitrh.cz</v>
      </c>
      <c r="E909" s="3" t="str">
        <f ca="1">IFERROR(__xludf.DUMMYFUNCTION("""COMPUTED_VALUE"""),"celý web")</f>
        <v>celý web</v>
      </c>
      <c r="F909" s="4" t="str">
        <f ca="1">IFERROR(__xludf.DUMMYFUNCTION("""COMPUTED_VALUE"""),"https://www.realitnitrh.cz")</f>
        <v>https://www.realitnitrh.cz</v>
      </c>
      <c r="G909" s="3" t="str">
        <f ca="1">IFERROR(__xludf.DUMMYFUNCTION("""COMPUTED_VALUE"""),"cílený nativní pr premium mid season")</f>
        <v>cílený nativní pr premium mid season</v>
      </c>
      <c r="H909" s="3">
        <f ca="1">IFERROR(__xludf.DUMMYFUNCTION("""COMPUTED_VALUE"""),7)</f>
        <v>7</v>
      </c>
      <c r="I909" s="5">
        <f ca="1">IFERROR(__xludf.DUMMYFUNCTION("""COMPUTED_VALUE"""),1000)</f>
        <v>1000</v>
      </c>
      <c r="J909" s="5">
        <f ca="1">IFERROR(__xludf.DUMMYFUNCTION("""COMPUTED_VALUE"""),168)</f>
        <v>168</v>
      </c>
      <c r="K909" s="3"/>
      <c r="L909" s="3" t="str">
        <f ca="1">IFERROR(__xludf.DUMMYFUNCTION("""COMPUTED_VALUE"""),"Cost per period")</f>
        <v>Cost per period</v>
      </c>
      <c r="M909" s="3"/>
      <c r="N909" s="3"/>
      <c r="O909" s="3" t="str">
        <f ca="1">IFERROR(__xludf.DUMMYFUNCTION("""COMPUTED_VALUE"""),"640")</f>
        <v>640</v>
      </c>
      <c r="P909" s="3" t="str">
        <f ca="1">IFERROR(__xludf.DUMMYFUNCTION("""COMPUTED_VALUE"""),"335, 640")</f>
        <v>335, 640</v>
      </c>
      <c r="Q909" s="3" t="str">
        <f ca="1">IFERROR(__xludf.DUMMYFUNCTION("""COMPUTED_VALUE"""),"640x640 a 640x335 + text + logo")</f>
        <v>640x640 a 640x335 + text + logo</v>
      </c>
      <c r="R909" s="3" t="str">
        <f ca="1">IFERROR(__xludf.DUMMYFUNCTION("""COMPUTED_VALUE"""),"detailní specifikace na URL odkaze")</f>
        <v>detailní specifikace na URL odkaze</v>
      </c>
      <c r="S909" s="3" t="str">
        <f ca="1">IFERROR(__xludf.DUMMYFUNCTION("""COMPUTED_VALUE"""),"100")</f>
        <v>100</v>
      </c>
      <c r="T909" s="3"/>
      <c r="U909" s="3" t="str">
        <f ca="1">IFERROR(__xludf.DUMMYFUNCTION("""COMPUTED_VALUE"""),"nativní reklama")</f>
        <v>nativní reklama</v>
      </c>
      <c r="V909" s="3"/>
      <c r="W909" s="4" t="str">
        <f ca="1">IFERROR(__xludf.DUMMYFUNCTION("""COMPUTED_VALUE"""),"https://reklama.cncenter.cz/Online/nativni-PR-premium")</f>
        <v>https://reklama.cncenter.cz/Online/nativni-PR-premium</v>
      </c>
      <c r="X909" s="3"/>
      <c r="Y909" s="3"/>
      <c r="Z909" s="3" t="str">
        <f ca="1">IFERROR(__xludf.DUMMYFUNCTION("""COMPUTED_VALUE"""),"podklady@cncenter.cz")</f>
        <v>podklady@cncenter.cz</v>
      </c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 t="str">
        <f ca="1">IFERROR(__xludf.DUMMYFUNCTION("""COMPUTED_VALUE"""),"cross-device")</f>
        <v>cross-device</v>
      </c>
      <c r="AO909" s="3"/>
      <c r="AP909" s="3"/>
      <c r="AQ909" s="3"/>
      <c r="AR909" s="3"/>
      <c r="AS909" s="3"/>
      <c r="AT909" s="3"/>
      <c r="AU909" s="3" t="str">
        <f ca="1">IFERROR(__xludf.DUMMYFUNCTION("""COMPUTED_VALUE"""),"cílený nativní pr premium")</f>
        <v>cílený nativní pr premium</v>
      </c>
    </row>
    <row r="910" spans="1:47" x14ac:dyDescent="0.3">
      <c r="A910" s="3">
        <f ca="1"/>
        <v>2346826</v>
      </c>
      <c r="B910" s="3" t="str">
        <f ca="1"/>
        <v>CZECH NEWS CENTER a. s.</v>
      </c>
      <c r="C910" s="3" t="str">
        <f ca="1">IFERROR(__xludf.DUMMYFUNCTION("""COMPUTED_VALUE"""),"Realitní trh")</f>
        <v>Realitní trh</v>
      </c>
      <c r="D910" s="4" t="str">
        <f ca="1">IFERROR(__xludf.DUMMYFUNCTION("""COMPUTED_VALUE"""),"https://www.realitnitrh.cz")</f>
        <v>https://www.realitnitrh.cz</v>
      </c>
      <c r="E910" s="3" t="str">
        <f ca="1">IFERROR(__xludf.DUMMYFUNCTION("""COMPUTED_VALUE"""),"celý web")</f>
        <v>celý web</v>
      </c>
      <c r="F910" s="4" t="str">
        <f ca="1">IFERROR(__xludf.DUMMYFUNCTION("""COMPUTED_VALUE"""),"https://www.realitnitrh.cz")</f>
        <v>https://www.realitnitrh.cz</v>
      </c>
      <c r="G910" s="3" t="str">
        <f ca="1">IFERROR(__xludf.DUMMYFUNCTION("""COMPUTED_VALUE"""),"cílený nativní rectangle cross-device mid season")</f>
        <v>cílený nativní rectangle cross-device mid season</v>
      </c>
      <c r="H910" s="3">
        <f ca="1">IFERROR(__xludf.DUMMYFUNCTION("""COMPUTED_VALUE"""),7)</f>
        <v>7</v>
      </c>
      <c r="I910" s="5">
        <f ca="1">IFERROR(__xludf.DUMMYFUNCTION("""COMPUTED_VALUE"""),1000)</f>
        <v>1000</v>
      </c>
      <c r="J910" s="5">
        <f ca="1">IFERROR(__xludf.DUMMYFUNCTION("""COMPUTED_VALUE"""),336)</f>
        <v>336</v>
      </c>
      <c r="K910" s="3"/>
      <c r="L910" s="3" t="str">
        <f ca="1">IFERROR(__xludf.DUMMYFUNCTION("""COMPUTED_VALUE"""),"Cost per period")</f>
        <v>Cost per period</v>
      </c>
      <c r="M910" s="3"/>
      <c r="N910" s="3"/>
      <c r="O910" s="3" t="str">
        <f ca="1">IFERROR(__xludf.DUMMYFUNCTION("""COMPUTED_VALUE"""),"640")</f>
        <v>640</v>
      </c>
      <c r="P910" s="3" t="str">
        <f ca="1">IFERROR(__xludf.DUMMYFUNCTION("""COMPUTED_VALUE"""),"335, 640")</f>
        <v>335, 640</v>
      </c>
      <c r="Q910" s="3" t="str">
        <f ca="1">IFERROR(__xludf.DUMMYFUNCTION("""COMPUTED_VALUE"""),"640x640 a 640x335 + text + logo")</f>
        <v>640x640 a 640x335 + text + logo</v>
      </c>
      <c r="R910" s="3"/>
      <c r="S910" s="3" t="str">
        <f ca="1">IFERROR(__xludf.DUMMYFUNCTION("""COMPUTED_VALUE"""),"45")</f>
        <v>45</v>
      </c>
      <c r="T910" s="3"/>
      <c r="U910" s="3" t="str">
        <f ca="1">IFERROR(__xludf.DUMMYFUNCTION("""COMPUTED_VALUE"""),"nativní reklama")</f>
        <v>nativní reklama</v>
      </c>
      <c r="V910" s="3"/>
      <c r="W910" s="4" t="str">
        <f ca="1">IFERROR(__xludf.DUMMYFUNCTION("""COMPUTED_VALUE"""),"https://reklama.cncenter.cz/Online/nativni-rectangle-cross-device")</f>
        <v>https://reklama.cncenter.cz/Online/nativni-rectangle-cross-device</v>
      </c>
      <c r="X910" s="3"/>
      <c r="Y910" s="3"/>
      <c r="Z910" s="3" t="str">
        <f ca="1">IFERROR(__xludf.DUMMYFUNCTION("""COMPUTED_VALUE"""),"podklady@cncenter.cz")</f>
        <v>podklady@cncenter.cz</v>
      </c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 t="str">
        <f ca="1">IFERROR(__xludf.DUMMYFUNCTION("""COMPUTED_VALUE"""),"cross-device")</f>
        <v>cross-device</v>
      </c>
      <c r="AO910" s="3"/>
      <c r="AP910" s="3"/>
      <c r="AQ910" s="3"/>
      <c r="AR910" s="3"/>
      <c r="AS910" s="3"/>
      <c r="AT910" s="3"/>
      <c r="AU910" s="3" t="str">
        <f ca="1">IFERROR(__xludf.DUMMYFUNCTION("""COMPUTED_VALUE"""),"cílený nativní rectangle cross-device")</f>
        <v>cílený nativní rectangle cross-device</v>
      </c>
    </row>
    <row r="911" spans="1:47" x14ac:dyDescent="0.3">
      <c r="A911" s="3">
        <f ca="1"/>
        <v>2346826</v>
      </c>
      <c r="B911" s="3" t="str">
        <f ca="1"/>
        <v>CZECH NEWS CENTER a. s.</v>
      </c>
      <c r="C911" s="3" t="str">
        <f ca="1">IFERROR(__xludf.DUMMYFUNCTION("""COMPUTED_VALUE"""),"Realitní trh")</f>
        <v>Realitní trh</v>
      </c>
      <c r="D911" s="4" t="str">
        <f ca="1">IFERROR(__xludf.DUMMYFUNCTION("""COMPUTED_VALUE"""),"https://www.realitnitrh.cz")</f>
        <v>https://www.realitnitrh.cz</v>
      </c>
      <c r="E911" s="3" t="str">
        <f ca="1">IFERROR(__xludf.DUMMYFUNCTION("""COMPUTED_VALUE"""),"celý web")</f>
        <v>celý web</v>
      </c>
      <c r="F911" s="4" t="str">
        <f ca="1">IFERROR(__xludf.DUMMYFUNCTION("""COMPUTED_VALUE"""),"https://www.realitnitrh.cz")</f>
        <v>https://www.realitnitrh.cz</v>
      </c>
      <c r="G911" s="3" t="str">
        <f ca="1">IFERROR(__xludf.DUMMYFUNCTION("""COMPUTED_VALUE"""),"cílený outstream mid season")</f>
        <v>cílený outstream mid season</v>
      </c>
      <c r="H911" s="3">
        <f ca="1">IFERROR(__xludf.DUMMYFUNCTION("""COMPUTED_VALUE"""),7)</f>
        <v>7</v>
      </c>
      <c r="I911" s="5">
        <f ca="1">IFERROR(__xludf.DUMMYFUNCTION("""COMPUTED_VALUE"""),1000)</f>
        <v>1000</v>
      </c>
      <c r="J911" s="5">
        <f ca="1">IFERROR(__xludf.DUMMYFUNCTION("""COMPUTED_VALUE"""),420)</f>
        <v>420</v>
      </c>
      <c r="K911" s="3"/>
      <c r="L911" s="3" t="str">
        <f ca="1">IFERROR(__xludf.DUMMYFUNCTION("""COMPUTED_VALUE"""),"Cost per period")</f>
        <v>Cost per period</v>
      </c>
      <c r="M911" s="3"/>
      <c r="N911" s="3"/>
      <c r="O911" s="3" t="str">
        <f ca="1">IFERROR(__xludf.DUMMYFUNCTION("""COMPUTED_VALUE"""),"1280")</f>
        <v>1280</v>
      </c>
      <c r="P911" s="3" t="str">
        <f ca="1">IFERROR(__xludf.DUMMYFUNCTION("""COMPUTED_VALUE"""),"720")</f>
        <v>720</v>
      </c>
      <c r="Q911" s="3" t="str">
        <f ca="1">IFERROR(__xludf.DUMMYFUNCTION("""COMPUTED_VALUE"""),"16:9")</f>
        <v>16:9</v>
      </c>
      <c r="R911" s="3"/>
      <c r="S911" s="3" t="str">
        <f ca="1">IFERROR(__xludf.DUMMYFUNCTION("""COMPUTED_VALUE"""),"100")</f>
        <v>100</v>
      </c>
      <c r="T911" s="3"/>
      <c r="U911" s="3" t="str">
        <f ca="1">IFERROR(__xludf.DUMMYFUNCTION("""COMPUTED_VALUE"""),"videospot")</f>
        <v>videospot</v>
      </c>
      <c r="V911" s="3"/>
      <c r="W911" s="4" t="str">
        <f ca="1">IFERROR(__xludf.DUMMYFUNCTION("""COMPUTED_VALUE"""),"https://reklama.cncenter.cz/Online/Outstream")</f>
        <v>https://reklama.cncenter.cz/Online/Outstream</v>
      </c>
      <c r="X911" s="3"/>
      <c r="Y911" s="3"/>
      <c r="Z911" s="3" t="str">
        <f ca="1">IFERROR(__xludf.DUMMYFUNCTION("""COMPUTED_VALUE"""),"podklady@cncenter.cz")</f>
        <v>podklady@cncenter.cz</v>
      </c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 t="str">
        <f ca="1">IFERROR(__xludf.DUMMYFUNCTION("""COMPUTED_VALUE"""),"cross-device")</f>
        <v>cross-device</v>
      </c>
      <c r="AO911" s="3"/>
      <c r="AP911" s="3"/>
      <c r="AQ911" s="3"/>
      <c r="AR911" s="3"/>
      <c r="AS911" s="3"/>
      <c r="AT911" s="3"/>
      <c r="AU911" s="3" t="str">
        <f ca="1">IFERROR(__xludf.DUMMYFUNCTION("""COMPUTED_VALUE"""),"cílený outstream")</f>
        <v>cílený outstream</v>
      </c>
    </row>
    <row r="912" spans="1:47" x14ac:dyDescent="0.3">
      <c r="A912" s="3">
        <f ca="1"/>
        <v>2346826</v>
      </c>
      <c r="B912" s="3" t="str">
        <f ca="1"/>
        <v>CZECH NEWS CENTER a. s.</v>
      </c>
      <c r="C912" s="3" t="str">
        <f ca="1">IFERROR(__xludf.DUMMYFUNCTION("""COMPUTED_VALUE"""),"Realitní trh")</f>
        <v>Realitní trh</v>
      </c>
      <c r="D912" s="4" t="str">
        <f ca="1">IFERROR(__xludf.DUMMYFUNCTION("""COMPUTED_VALUE"""),"https://www.realitnitrh.cz")</f>
        <v>https://www.realitnitrh.cz</v>
      </c>
      <c r="E912" s="3" t="str">
        <f ca="1">IFERROR(__xludf.DUMMYFUNCTION("""COMPUTED_VALUE"""),"celý web")</f>
        <v>celý web</v>
      </c>
      <c r="F912" s="4" t="str">
        <f ca="1">IFERROR(__xludf.DUMMYFUNCTION("""COMPUTED_VALUE"""),"https://www.realitnitrh.cz")</f>
        <v>https://www.realitnitrh.cz</v>
      </c>
      <c r="G912" s="3" t="str">
        <f ca="1">IFERROR(__xludf.DUMMYFUNCTION("""COMPUTED_VALUE"""),"dokoupení proma o 2 týdny - 10 000 PV *** mid season")</f>
        <v>dokoupení proma o 2 týdny - 10 000 PV *** mid season</v>
      </c>
      <c r="H912" s="3">
        <f ca="1">IFERROR(__xludf.DUMMYFUNCTION("""COMPUTED_VALUE"""),1)</f>
        <v>1</v>
      </c>
      <c r="I912" s="5">
        <f ca="1">IFERROR(__xludf.DUMMYFUNCTION("""COMPUTED_VALUE"""),1)</f>
        <v>1</v>
      </c>
      <c r="J912" s="5">
        <f ca="1">IFERROR(__xludf.DUMMYFUNCTION("""COMPUTED_VALUE"""),60000)</f>
        <v>60000</v>
      </c>
      <c r="K912" s="3"/>
      <c r="L912" s="3" t="str">
        <f ca="1">IFERROR(__xludf.DUMMYFUNCTION("""COMPUTED_VALUE"""),"Cost per instance")</f>
        <v>Cost per instance</v>
      </c>
      <c r="M912" s="3"/>
      <c r="N912" s="3"/>
      <c r="O912" s="3"/>
      <c r="P912" s="3"/>
      <c r="Q912" s="3"/>
      <c r="R912" s="3"/>
      <c r="S912" s="3" t="str">
        <f ca="1">IFERROR(__xludf.DUMMYFUNCTION("""COMPUTED_VALUE"""),"100")</f>
        <v>100</v>
      </c>
      <c r="T912" s="3"/>
      <c r="U912" s="3" t="str">
        <f ca="1">IFERROR(__xludf.DUMMYFUNCTION("""COMPUTED_VALUE"""),"microsite")</f>
        <v>microsite</v>
      </c>
      <c r="V912" s="3"/>
      <c r="W912" s="3"/>
      <c r="X912" s="3"/>
      <c r="Y912" s="3"/>
      <c r="Z912" s="3" t="str">
        <f ca="1">IFERROR(__xludf.DUMMYFUNCTION("""COMPUTED_VALUE"""),"podklady@cncenter.cz")</f>
        <v>podklady@cncenter.cz</v>
      </c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 t="str">
        <f ca="1">IFERROR(__xludf.DUMMYFUNCTION("""COMPUTED_VALUE"""),"cross-device")</f>
        <v>cross-device</v>
      </c>
      <c r="AO912" s="3"/>
      <c r="AP912" s="3"/>
      <c r="AQ912" s="3"/>
      <c r="AR912" s="3"/>
      <c r="AS912" s="3"/>
      <c r="AT912" s="3"/>
      <c r="AU912" s="3" t="str">
        <f ca="1">IFERROR(__xludf.DUMMYFUNCTION("""COMPUTED_VALUE"""),"dokoupení proma o 2 týdny - 10 000 PV ***")</f>
        <v>dokoupení proma o 2 týdny - 10 000 PV ***</v>
      </c>
    </row>
    <row r="913" spans="1:47" x14ac:dyDescent="0.3">
      <c r="A913" s="3">
        <f ca="1"/>
        <v>2346826</v>
      </c>
      <c r="B913" s="3" t="str">
        <f ca="1"/>
        <v>CZECH NEWS CENTER a. s.</v>
      </c>
      <c r="C913" s="3" t="str">
        <f ca="1">IFERROR(__xludf.DUMMYFUNCTION("""COMPUTED_VALUE"""),"Realitní trh")</f>
        <v>Realitní trh</v>
      </c>
      <c r="D913" s="4" t="str">
        <f ca="1">IFERROR(__xludf.DUMMYFUNCTION("""COMPUTED_VALUE"""),"https://www.realitnitrh.cz")</f>
        <v>https://www.realitnitrh.cz</v>
      </c>
      <c r="E913" s="3" t="str">
        <f ca="1">IFERROR(__xludf.DUMMYFUNCTION("""COMPUTED_VALUE"""),"celý web")</f>
        <v>celý web</v>
      </c>
      <c r="F913" s="4" t="str">
        <f ca="1">IFERROR(__xludf.DUMMYFUNCTION("""COMPUTED_VALUE"""),"https://www.realitnitrh.cz")</f>
        <v>https://www.realitnitrh.cz</v>
      </c>
      <c r="G913" s="3" t="str">
        <f ca="1">IFERROR(__xludf.DUMMYFUNCTION("""COMPUTED_VALUE"""),"double skyscraper mid season")</f>
        <v>double skyscraper mid season</v>
      </c>
      <c r="H913" s="3">
        <f ca="1">IFERROR(__xludf.DUMMYFUNCTION("""COMPUTED_VALUE"""),7)</f>
        <v>7</v>
      </c>
      <c r="I913" s="5">
        <f ca="1">IFERROR(__xludf.DUMMYFUNCTION("""COMPUTED_VALUE"""),1000)</f>
        <v>1000</v>
      </c>
      <c r="J913" s="5">
        <f ca="1">IFERROR(__xludf.DUMMYFUNCTION("""COMPUTED_VALUE"""),270)</f>
        <v>270</v>
      </c>
      <c r="K913" s="3"/>
      <c r="L913" s="3" t="str">
        <f ca="1">IFERROR(__xludf.DUMMYFUNCTION("""COMPUTED_VALUE"""),"Cost per period")</f>
        <v>Cost per period</v>
      </c>
      <c r="M913" s="3"/>
      <c r="N913" s="3"/>
      <c r="O913" s="3" t="str">
        <f ca="1">IFERROR(__xludf.DUMMYFUNCTION("""COMPUTED_VALUE"""),"300")</f>
        <v>300</v>
      </c>
      <c r="P913" s="3" t="str">
        <f ca="1">IFERROR(__xludf.DUMMYFUNCTION("""COMPUTED_VALUE"""),"600")</f>
        <v>600</v>
      </c>
      <c r="Q913" s="3" t="str">
        <f ca="1">IFERROR(__xludf.DUMMYFUNCTION("""COMPUTED_VALUE"""),"300x600")</f>
        <v>300x600</v>
      </c>
      <c r="R913" s="3"/>
      <c r="S913" s="3" t="str">
        <f ca="1">IFERROR(__xludf.DUMMYFUNCTION("""COMPUTED_VALUE"""),"100 (200 - HTML5)")</f>
        <v>100 (200 - HTML5)</v>
      </c>
      <c r="T913" s="3"/>
      <c r="U913" s="3" t="str">
        <f ca="1">IFERROR(__xludf.DUMMYFUNCTION("""COMPUTED_VALUE"""),"banner standard")</f>
        <v>banner standard</v>
      </c>
      <c r="V913" s="3"/>
      <c r="W913" s="4" t="str">
        <f ca="1">IFERROR(__xludf.DUMMYFUNCTION("""COMPUTED_VALUE"""),"https://reklama.cncenter.cz/Online/double-skyscraper")</f>
        <v>https://reklama.cncenter.cz/Online/double-skyscraper</v>
      </c>
      <c r="X913" s="3"/>
      <c r="Y913" s="3"/>
      <c r="Z913" s="3" t="str">
        <f ca="1">IFERROR(__xludf.DUMMYFUNCTION("""COMPUTED_VALUE"""),"podklady@cncenter.cz")</f>
        <v>podklady@cncenter.cz</v>
      </c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 t="str">
        <f ca="1">IFERROR(__xludf.DUMMYFUNCTION("""COMPUTED_VALUE"""),"desktop")</f>
        <v>desktop</v>
      </c>
      <c r="AO913" s="3"/>
      <c r="AP913" s="3"/>
      <c r="AQ913" s="3"/>
      <c r="AR913" s="3"/>
      <c r="AS913" s="3"/>
      <c r="AT913" s="3"/>
      <c r="AU913" s="3" t="str">
        <f ca="1">IFERROR(__xludf.DUMMYFUNCTION("""COMPUTED_VALUE"""),"double skyscraper")</f>
        <v>double skyscraper</v>
      </c>
    </row>
    <row r="914" spans="1:47" x14ac:dyDescent="0.3">
      <c r="A914" s="3">
        <f ca="1"/>
        <v>2346826</v>
      </c>
      <c r="B914" s="3" t="str">
        <f ca="1"/>
        <v>CZECH NEWS CENTER a. s.</v>
      </c>
      <c r="C914" s="3" t="str">
        <f ca="1">IFERROR(__xludf.DUMMYFUNCTION("""COMPUTED_VALUE"""),"Realitní trh")</f>
        <v>Realitní trh</v>
      </c>
      <c r="D914" s="4" t="str">
        <f ca="1">IFERROR(__xludf.DUMMYFUNCTION("""COMPUTED_VALUE"""),"https://www.realitnitrh.cz")</f>
        <v>https://www.realitnitrh.cz</v>
      </c>
      <c r="E914" s="3" t="str">
        <f ca="1">IFERROR(__xludf.DUMMYFUNCTION("""COMPUTED_VALUE"""),"celý web")</f>
        <v>celý web</v>
      </c>
      <c r="F914" s="4" t="str">
        <f ca="1">IFERROR(__xludf.DUMMYFUNCTION("""COMPUTED_VALUE"""),"https://www.realitnitrh.cz")</f>
        <v>https://www.realitnitrh.cz</v>
      </c>
      <c r="G914" s="3" t="str">
        <f ca="1">IFERROR(__xludf.DUMMYFUNCTION("""COMPUTED_VALUE"""),"mobilní interscroller mid season")</f>
        <v>mobilní interscroller mid season</v>
      </c>
      <c r="H914" s="3">
        <f ca="1">IFERROR(__xludf.DUMMYFUNCTION("""COMPUTED_VALUE"""),7)</f>
        <v>7</v>
      </c>
      <c r="I914" s="5">
        <f ca="1">IFERROR(__xludf.DUMMYFUNCTION("""COMPUTED_VALUE"""),1000)</f>
        <v>1000</v>
      </c>
      <c r="J914" s="5">
        <f ca="1">IFERROR(__xludf.DUMMYFUNCTION("""COMPUTED_VALUE"""),350)</f>
        <v>350</v>
      </c>
      <c r="K914" s="3"/>
      <c r="L914" s="3" t="str">
        <f ca="1">IFERROR(__xludf.DUMMYFUNCTION("""COMPUTED_VALUE"""),"Cost per period")</f>
        <v>Cost per period</v>
      </c>
      <c r="M914" s="3"/>
      <c r="N914" s="3"/>
      <c r="O914" s="3" t="str">
        <f ca="1">IFERROR(__xludf.DUMMYFUNCTION("""COMPUTED_VALUE"""),"600")</f>
        <v>600</v>
      </c>
      <c r="P914" s="3" t="str">
        <f ca="1">IFERROR(__xludf.DUMMYFUNCTION("""COMPUTED_VALUE"""),"1080")</f>
        <v>1080</v>
      </c>
      <c r="Q914" s="3" t="str">
        <f ca="1">IFERROR(__xludf.DUMMYFUNCTION("""COMPUTED_VALUE"""),"600x1080")</f>
        <v>600x1080</v>
      </c>
      <c r="R914" s="3"/>
      <c r="S914" s="3" t="str">
        <f ca="1">IFERROR(__xludf.DUMMYFUNCTION("""COMPUTED_VALUE"""),"200")</f>
        <v>200</v>
      </c>
      <c r="T914" s="3"/>
      <c r="U914" s="3" t="str">
        <f ca="1">IFERROR(__xludf.DUMMYFUNCTION("""COMPUTED_VALUE"""),"banner standard")</f>
        <v>banner standard</v>
      </c>
      <c r="V914" s="3"/>
      <c r="W914" s="4" t="str">
        <f ca="1">IFERROR(__xludf.DUMMYFUNCTION("""COMPUTED_VALUE"""),"https://reklama.cncenter.cz/Online/mobilni-interscroller")</f>
        <v>https://reklama.cncenter.cz/Online/mobilni-interscroller</v>
      </c>
      <c r="X914" s="3"/>
      <c r="Y914" s="3"/>
      <c r="Z914" s="3" t="str">
        <f ca="1">IFERROR(__xludf.DUMMYFUNCTION("""COMPUTED_VALUE"""),"podklady@cncenter.cz")</f>
        <v>podklady@cncenter.cz</v>
      </c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 t="str">
        <f ca="1">IFERROR(__xludf.DUMMYFUNCTION("""COMPUTED_VALUE"""),"mobile")</f>
        <v>mobile</v>
      </c>
      <c r="AO914" s="3"/>
      <c r="AP914" s="3"/>
      <c r="AQ914" s="3"/>
      <c r="AR914" s="3"/>
      <c r="AS914" s="3"/>
      <c r="AT914" s="3"/>
      <c r="AU914" s="3" t="str">
        <f ca="1">IFERROR(__xludf.DUMMYFUNCTION("""COMPUTED_VALUE"""),"mobilní interscroller")</f>
        <v>mobilní interscroller</v>
      </c>
    </row>
    <row r="915" spans="1:47" x14ac:dyDescent="0.3">
      <c r="A915" s="3">
        <f ca="1"/>
        <v>2346826</v>
      </c>
      <c r="B915" s="3" t="str">
        <f ca="1"/>
        <v>CZECH NEWS CENTER a. s.</v>
      </c>
      <c r="C915" s="3" t="str">
        <f ca="1">IFERROR(__xludf.DUMMYFUNCTION("""COMPUTED_VALUE"""),"Realitní trh")</f>
        <v>Realitní trh</v>
      </c>
      <c r="D915" s="4" t="str">
        <f ca="1">IFERROR(__xludf.DUMMYFUNCTION("""COMPUTED_VALUE"""),"https://www.realitnitrh.cz")</f>
        <v>https://www.realitnitrh.cz</v>
      </c>
      <c r="E915" s="3" t="str">
        <f ca="1">IFERROR(__xludf.DUMMYFUNCTION("""COMPUTED_VALUE"""),"celý web")</f>
        <v>celý web</v>
      </c>
      <c r="F915" s="4" t="str">
        <f ca="1">IFERROR(__xludf.DUMMYFUNCTION("""COMPUTED_VALUE"""),"https://www.realitnitrh.cz")</f>
        <v>https://www.realitnitrh.cz</v>
      </c>
      <c r="G915" s="3" t="str">
        <f ca="1">IFERROR(__xludf.DUMMYFUNCTION("""COMPUTED_VALUE"""),"Native Standard mid season")</f>
        <v>Native Standard mid season</v>
      </c>
      <c r="H915" s="3">
        <f ca="1">IFERROR(__xludf.DUMMYFUNCTION("""COMPUTED_VALUE"""),1)</f>
        <v>1</v>
      </c>
      <c r="I915" s="5">
        <f ca="1">IFERROR(__xludf.DUMMYFUNCTION("""COMPUTED_VALUE"""),1)</f>
        <v>1</v>
      </c>
      <c r="J915" s="5">
        <f ca="1">IFERROR(__xludf.DUMMYFUNCTION("""COMPUTED_VALUE"""),330000)</f>
        <v>330000</v>
      </c>
      <c r="K915" s="3"/>
      <c r="L915" s="3" t="str">
        <f ca="1">IFERROR(__xludf.DUMMYFUNCTION("""COMPUTED_VALUE"""),"Cost per instance")</f>
        <v>Cost per instance</v>
      </c>
      <c r="M915" s="3"/>
      <c r="N915" s="3"/>
      <c r="O915" s="3"/>
      <c r="P915" s="3"/>
      <c r="Q915" s="3"/>
      <c r="R915" s="3"/>
      <c r="S915" s="3" t="str">
        <f ca="1">IFERROR(__xludf.DUMMYFUNCTION("""COMPUTED_VALUE"""),"100")</f>
        <v>100</v>
      </c>
      <c r="T915" s="3"/>
      <c r="U915" s="3" t="str">
        <f ca="1">IFERROR(__xludf.DUMMYFUNCTION("""COMPUTED_VALUE"""),"microsite")</f>
        <v>microsite</v>
      </c>
      <c r="V915" s="3"/>
      <c r="W915" s="3"/>
      <c r="X915" s="3"/>
      <c r="Y915" s="3"/>
      <c r="Z915" s="3" t="str">
        <f ca="1">IFERROR(__xludf.DUMMYFUNCTION("""COMPUTED_VALUE"""),"podklady@cncenter.cz")</f>
        <v>podklady@cncenter.cz</v>
      </c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 t="str">
        <f ca="1">IFERROR(__xludf.DUMMYFUNCTION("""COMPUTED_VALUE"""),"cross-device")</f>
        <v>cross-device</v>
      </c>
      <c r="AO915" s="3"/>
      <c r="AP915" s="3"/>
      <c r="AQ915" s="3"/>
      <c r="AR915" s="3"/>
      <c r="AS915" s="3"/>
      <c r="AT915" s="3"/>
      <c r="AU915" s="3" t="str">
        <f ca="1">IFERROR(__xludf.DUMMYFUNCTION("""COMPUTED_VALUE"""),"Native Standard")</f>
        <v>Native Standard</v>
      </c>
    </row>
    <row r="916" spans="1:47" x14ac:dyDescent="0.3">
      <c r="A916" s="3">
        <f ca="1"/>
        <v>2346826</v>
      </c>
      <c r="B916" s="3" t="str">
        <f ca="1"/>
        <v>CZECH NEWS CENTER a. s.</v>
      </c>
      <c r="C916" s="3" t="str">
        <f ca="1">IFERROR(__xludf.DUMMYFUNCTION("""COMPUTED_VALUE"""),"Realitní trh")</f>
        <v>Realitní trh</v>
      </c>
      <c r="D916" s="4" t="str">
        <f ca="1">IFERROR(__xludf.DUMMYFUNCTION("""COMPUTED_VALUE"""),"https://www.realitnitrh.cz")</f>
        <v>https://www.realitnitrh.cz</v>
      </c>
      <c r="E916" s="3" t="str">
        <f ca="1">IFERROR(__xludf.DUMMYFUNCTION("""COMPUTED_VALUE"""),"celý web")</f>
        <v>celý web</v>
      </c>
      <c r="F916" s="4" t="str">
        <f ca="1">IFERROR(__xludf.DUMMYFUNCTION("""COMPUTED_VALUE"""),"https://www.realitnitrh.cz")</f>
        <v>https://www.realitnitrh.cz</v>
      </c>
      <c r="G916" s="3" t="str">
        <f ca="1">IFERROR(__xludf.DUMMYFUNCTION("""COMPUTED_VALUE"""),"nativní pr premium mid season")</f>
        <v>nativní pr premium mid season</v>
      </c>
      <c r="H916" s="3">
        <f ca="1">IFERROR(__xludf.DUMMYFUNCTION("""COMPUTED_VALUE"""),7)</f>
        <v>7</v>
      </c>
      <c r="I916" s="5">
        <f ca="1">IFERROR(__xludf.DUMMYFUNCTION("""COMPUTED_VALUE"""),1000)</f>
        <v>1000</v>
      </c>
      <c r="J916" s="5">
        <f ca="1">IFERROR(__xludf.DUMMYFUNCTION("""COMPUTED_VALUE"""),140)</f>
        <v>140</v>
      </c>
      <c r="K916" s="3"/>
      <c r="L916" s="3" t="str">
        <f ca="1">IFERROR(__xludf.DUMMYFUNCTION("""COMPUTED_VALUE"""),"Cost per period")</f>
        <v>Cost per period</v>
      </c>
      <c r="M916" s="3"/>
      <c r="N916" s="3"/>
      <c r="O916" s="3" t="str">
        <f ca="1">IFERROR(__xludf.DUMMYFUNCTION("""COMPUTED_VALUE"""),"640")</f>
        <v>640</v>
      </c>
      <c r="P916" s="3" t="str">
        <f ca="1">IFERROR(__xludf.DUMMYFUNCTION("""COMPUTED_VALUE"""),"335, 640")</f>
        <v>335, 640</v>
      </c>
      <c r="Q916" s="3" t="str">
        <f ca="1">IFERROR(__xludf.DUMMYFUNCTION("""COMPUTED_VALUE"""),"640x640 a 640x335 + text + logo")</f>
        <v>640x640 a 640x335 + text + logo</v>
      </c>
      <c r="R916" s="3" t="str">
        <f ca="1">IFERROR(__xludf.DUMMYFUNCTION("""COMPUTED_VALUE"""),"detailní specifikace na URL odkaze")</f>
        <v>detailní specifikace na URL odkaze</v>
      </c>
      <c r="S916" s="3" t="str">
        <f ca="1">IFERROR(__xludf.DUMMYFUNCTION("""COMPUTED_VALUE"""),"100")</f>
        <v>100</v>
      </c>
      <c r="T916" s="3"/>
      <c r="U916" s="3" t="str">
        <f ca="1">IFERROR(__xludf.DUMMYFUNCTION("""COMPUTED_VALUE"""),"nativní reklama")</f>
        <v>nativní reklama</v>
      </c>
      <c r="V916" s="3"/>
      <c r="W916" s="4" t="str">
        <f ca="1">IFERROR(__xludf.DUMMYFUNCTION("""COMPUTED_VALUE"""),"https://reklama.cncenter.cz/Online/nativni-PR-premium")</f>
        <v>https://reklama.cncenter.cz/Online/nativni-PR-premium</v>
      </c>
      <c r="X916" s="3"/>
      <c r="Y916" s="3"/>
      <c r="Z916" s="3" t="str">
        <f ca="1">IFERROR(__xludf.DUMMYFUNCTION("""COMPUTED_VALUE"""),"podklady@cncenter.cz")</f>
        <v>podklady@cncenter.cz</v>
      </c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 t="str">
        <f ca="1">IFERROR(__xludf.DUMMYFUNCTION("""COMPUTED_VALUE"""),"cross-device")</f>
        <v>cross-device</v>
      </c>
      <c r="AO916" s="3"/>
      <c r="AP916" s="3"/>
      <c r="AQ916" s="3"/>
      <c r="AR916" s="3"/>
      <c r="AS916" s="3"/>
      <c r="AT916" s="3"/>
      <c r="AU916" s="3" t="str">
        <f ca="1">IFERROR(__xludf.DUMMYFUNCTION("""COMPUTED_VALUE"""),"nativní pr premium")</f>
        <v>nativní pr premium</v>
      </c>
    </row>
    <row r="917" spans="1:47" x14ac:dyDescent="0.3">
      <c r="A917" s="3">
        <f ca="1"/>
        <v>2346826</v>
      </c>
      <c r="B917" s="3" t="str">
        <f ca="1"/>
        <v>CZECH NEWS CENTER a. s.</v>
      </c>
      <c r="C917" s="3" t="str">
        <f ca="1">IFERROR(__xludf.DUMMYFUNCTION("""COMPUTED_VALUE"""),"Realitní trh")</f>
        <v>Realitní trh</v>
      </c>
      <c r="D917" s="4" t="str">
        <f ca="1">IFERROR(__xludf.DUMMYFUNCTION("""COMPUTED_VALUE"""),"https://www.realitnitrh.cz")</f>
        <v>https://www.realitnitrh.cz</v>
      </c>
      <c r="E917" s="3" t="str">
        <f ca="1">IFERROR(__xludf.DUMMYFUNCTION("""COMPUTED_VALUE"""),"celý web")</f>
        <v>celý web</v>
      </c>
      <c r="F917" s="4" t="str">
        <f ca="1">IFERROR(__xludf.DUMMYFUNCTION("""COMPUTED_VALUE"""),"https://www.realitnitrh.cz")</f>
        <v>https://www.realitnitrh.cz</v>
      </c>
      <c r="G917" s="3" t="str">
        <f ca="1">IFERROR(__xludf.DUMMYFUNCTION("""COMPUTED_VALUE"""),"nativní rectangle cross-device mid season")</f>
        <v>nativní rectangle cross-device mid season</v>
      </c>
      <c r="H917" s="3">
        <f ca="1">IFERROR(__xludf.DUMMYFUNCTION("""COMPUTED_VALUE"""),7)</f>
        <v>7</v>
      </c>
      <c r="I917" s="5">
        <f ca="1">IFERROR(__xludf.DUMMYFUNCTION("""COMPUTED_VALUE"""),1000)</f>
        <v>1000</v>
      </c>
      <c r="J917" s="5">
        <f ca="1">IFERROR(__xludf.DUMMYFUNCTION("""COMPUTED_VALUE"""),280)</f>
        <v>280</v>
      </c>
      <c r="K917" s="3"/>
      <c r="L917" s="3" t="str">
        <f ca="1">IFERROR(__xludf.DUMMYFUNCTION("""COMPUTED_VALUE"""),"Cost per period")</f>
        <v>Cost per period</v>
      </c>
      <c r="M917" s="3"/>
      <c r="N917" s="3"/>
      <c r="O917" s="3" t="str">
        <f ca="1">IFERROR(__xludf.DUMMYFUNCTION("""COMPUTED_VALUE"""),"640")</f>
        <v>640</v>
      </c>
      <c r="P917" s="3" t="str">
        <f ca="1">IFERROR(__xludf.DUMMYFUNCTION("""COMPUTED_VALUE"""),"335, 640")</f>
        <v>335, 640</v>
      </c>
      <c r="Q917" s="3" t="str">
        <f ca="1">IFERROR(__xludf.DUMMYFUNCTION("""COMPUTED_VALUE"""),"640x640 a 640x335 + text + logo")</f>
        <v>640x640 a 640x335 + text + logo</v>
      </c>
      <c r="R917" s="3"/>
      <c r="S917" s="3" t="str">
        <f ca="1">IFERROR(__xludf.DUMMYFUNCTION("""COMPUTED_VALUE"""),"45")</f>
        <v>45</v>
      </c>
      <c r="T917" s="3"/>
      <c r="U917" s="3" t="str">
        <f ca="1">IFERROR(__xludf.DUMMYFUNCTION("""COMPUTED_VALUE"""),"nativní reklama")</f>
        <v>nativní reklama</v>
      </c>
      <c r="V917" s="3"/>
      <c r="W917" s="4" t="str">
        <f ca="1">IFERROR(__xludf.DUMMYFUNCTION("""COMPUTED_VALUE"""),"https://reklama.cncenter.cz/Online/nativni-rectangle-cross-device")</f>
        <v>https://reklama.cncenter.cz/Online/nativni-rectangle-cross-device</v>
      </c>
      <c r="X917" s="3"/>
      <c r="Y917" s="3"/>
      <c r="Z917" s="3" t="str">
        <f ca="1">IFERROR(__xludf.DUMMYFUNCTION("""COMPUTED_VALUE"""),"podklady@cncenter.cz")</f>
        <v>podklady@cncenter.cz</v>
      </c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 t="str">
        <f ca="1">IFERROR(__xludf.DUMMYFUNCTION("""COMPUTED_VALUE"""),"cross-device")</f>
        <v>cross-device</v>
      </c>
      <c r="AO917" s="3"/>
      <c r="AP917" s="3"/>
      <c r="AQ917" s="3"/>
      <c r="AR917" s="3"/>
      <c r="AS917" s="3"/>
      <c r="AT917" s="3"/>
      <c r="AU917" s="3" t="str">
        <f ca="1">IFERROR(__xludf.DUMMYFUNCTION("""COMPUTED_VALUE"""),"nativní rectangle cross-device")</f>
        <v>nativní rectangle cross-device</v>
      </c>
    </row>
    <row r="918" spans="1:47" x14ac:dyDescent="0.3">
      <c r="A918" s="3">
        <f ca="1"/>
        <v>2346826</v>
      </c>
      <c r="B918" s="3" t="str">
        <f ca="1"/>
        <v>CZECH NEWS CENTER a. s.</v>
      </c>
      <c r="C918" s="3" t="str">
        <f ca="1">IFERROR(__xludf.DUMMYFUNCTION("""COMPUTED_VALUE"""),"Realitní trh")</f>
        <v>Realitní trh</v>
      </c>
      <c r="D918" s="4" t="str">
        <f ca="1">IFERROR(__xludf.DUMMYFUNCTION("""COMPUTED_VALUE"""),"https://www.realitnitrh.cz")</f>
        <v>https://www.realitnitrh.cz</v>
      </c>
      <c r="E918" s="3" t="str">
        <f ca="1">IFERROR(__xludf.DUMMYFUNCTION("""COMPUTED_VALUE"""),"celý web")</f>
        <v>celý web</v>
      </c>
      <c r="F918" s="4" t="str">
        <f ca="1">IFERROR(__xludf.DUMMYFUNCTION("""COMPUTED_VALUE"""),"https://www.realitnitrh.cz")</f>
        <v>https://www.realitnitrh.cz</v>
      </c>
      <c r="G918" s="3" t="str">
        <f ca="1">IFERROR(__xludf.DUMMYFUNCTION("""COMPUTED_VALUE"""),"outstream mid season")</f>
        <v>outstream mid season</v>
      </c>
      <c r="H918" s="3">
        <f ca="1">IFERROR(__xludf.DUMMYFUNCTION("""COMPUTED_VALUE"""),7)</f>
        <v>7</v>
      </c>
      <c r="I918" s="5">
        <f ca="1">IFERROR(__xludf.DUMMYFUNCTION("""COMPUTED_VALUE"""),1000)</f>
        <v>1000</v>
      </c>
      <c r="J918" s="5">
        <f ca="1">IFERROR(__xludf.DUMMYFUNCTION("""COMPUTED_VALUE"""),350)</f>
        <v>350</v>
      </c>
      <c r="K918" s="3"/>
      <c r="L918" s="3" t="str">
        <f ca="1">IFERROR(__xludf.DUMMYFUNCTION("""COMPUTED_VALUE"""),"Cost per period")</f>
        <v>Cost per period</v>
      </c>
      <c r="M918" s="3"/>
      <c r="N918" s="3"/>
      <c r="O918" s="3" t="str">
        <f ca="1">IFERROR(__xludf.DUMMYFUNCTION("""COMPUTED_VALUE"""),"1280")</f>
        <v>1280</v>
      </c>
      <c r="P918" s="3" t="str">
        <f ca="1">IFERROR(__xludf.DUMMYFUNCTION("""COMPUTED_VALUE"""),"720")</f>
        <v>720</v>
      </c>
      <c r="Q918" s="3" t="str">
        <f ca="1">IFERROR(__xludf.DUMMYFUNCTION("""COMPUTED_VALUE"""),"16:9")</f>
        <v>16:9</v>
      </c>
      <c r="R918" s="3"/>
      <c r="S918" s="3" t="str">
        <f ca="1">IFERROR(__xludf.DUMMYFUNCTION("""COMPUTED_VALUE"""),"100")</f>
        <v>100</v>
      </c>
      <c r="T918" s="3"/>
      <c r="U918" s="3" t="str">
        <f ca="1">IFERROR(__xludf.DUMMYFUNCTION("""COMPUTED_VALUE"""),"videospot")</f>
        <v>videospot</v>
      </c>
      <c r="V918" s="3"/>
      <c r="W918" s="4" t="str">
        <f ca="1">IFERROR(__xludf.DUMMYFUNCTION("""COMPUTED_VALUE"""),"https://reklama.cncenter.cz/Online/Outstream")</f>
        <v>https://reklama.cncenter.cz/Online/Outstream</v>
      </c>
      <c r="X918" s="3"/>
      <c r="Y918" s="3"/>
      <c r="Z918" s="3" t="str">
        <f ca="1">IFERROR(__xludf.DUMMYFUNCTION("""COMPUTED_VALUE"""),"podklady@cncenter.cz")</f>
        <v>podklady@cncenter.cz</v>
      </c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 t="str">
        <f ca="1">IFERROR(__xludf.DUMMYFUNCTION("""COMPUTED_VALUE"""),"cross-device")</f>
        <v>cross-device</v>
      </c>
      <c r="AO918" s="3"/>
      <c r="AP918" s="3"/>
      <c r="AQ918" s="3"/>
      <c r="AR918" s="3"/>
      <c r="AS918" s="3"/>
      <c r="AT918" s="3"/>
      <c r="AU918" s="3" t="str">
        <f ca="1">IFERROR(__xludf.DUMMYFUNCTION("""COMPUTED_VALUE"""),"outstream")</f>
        <v>outstream</v>
      </c>
    </row>
    <row r="919" spans="1:47" x14ac:dyDescent="0.3">
      <c r="A919" s="3">
        <f ca="1"/>
        <v>2346826</v>
      </c>
      <c r="B919" s="3" t="str">
        <f ca="1"/>
        <v>CZECH NEWS CENTER a. s.</v>
      </c>
      <c r="C919" s="3" t="str">
        <f ca="1">IFERROR(__xludf.DUMMYFUNCTION("""COMPUTED_VALUE"""),"Realitní trh")</f>
        <v>Realitní trh</v>
      </c>
      <c r="D919" s="4" t="str">
        <f ca="1">IFERROR(__xludf.DUMMYFUNCTION("""COMPUTED_VALUE"""),"https://www.realitnitrh.cz")</f>
        <v>https://www.realitnitrh.cz</v>
      </c>
      <c r="E919" s="3" t="str">
        <f ca="1">IFERROR(__xludf.DUMMYFUNCTION("""COMPUTED_VALUE"""),"celý web")</f>
        <v>celý web</v>
      </c>
      <c r="F919" s="4" t="str">
        <f ca="1">IFERROR(__xludf.DUMMYFUNCTION("""COMPUTED_VALUE"""),"https://www.realitnitrh.cz")</f>
        <v>https://www.realitnitrh.cz</v>
      </c>
      <c r="G919" s="3" t="str">
        <f ca="1">IFERROR(__xludf.DUMMYFUNCTION("""COMPUTED_VALUE"""),"PR článek mid season")</f>
        <v>PR článek mid season</v>
      </c>
      <c r="H919" s="3">
        <f ca="1">IFERROR(__xludf.DUMMYFUNCTION("""COMPUTED_VALUE"""),1)</f>
        <v>1</v>
      </c>
      <c r="I919" s="5">
        <f ca="1">IFERROR(__xludf.DUMMYFUNCTION("""COMPUTED_VALUE"""),1)</f>
        <v>1</v>
      </c>
      <c r="J919" s="5">
        <f ca="1">IFERROR(__xludf.DUMMYFUNCTION("""COMPUTED_VALUE"""),33000)</f>
        <v>33000</v>
      </c>
      <c r="K919" s="3"/>
      <c r="L919" s="3" t="str">
        <f ca="1">IFERROR(__xludf.DUMMYFUNCTION("""COMPUTED_VALUE"""),"Cost per instance")</f>
        <v>Cost per instance</v>
      </c>
      <c r="M919" s="3"/>
      <c r="N919" s="3"/>
      <c r="O919" s="3"/>
      <c r="P919" s="3"/>
      <c r="Q919" s="3"/>
      <c r="R919" s="3"/>
      <c r="S919" s="3" t="str">
        <f ca="1">IFERROR(__xludf.DUMMYFUNCTION("""COMPUTED_VALUE"""),"100")</f>
        <v>100</v>
      </c>
      <c r="T919" s="3"/>
      <c r="U919" s="3" t="str">
        <f ca="1">IFERROR(__xludf.DUMMYFUNCTION("""COMPUTED_VALUE"""),"pr článek")</f>
        <v>pr článek</v>
      </c>
      <c r="V919" s="3"/>
      <c r="W919" s="4" t="str">
        <f ca="1">IFERROR(__xludf.DUMMYFUNCTION("""COMPUTED_VALUE"""),"https://reklama.cncenter.cz/?ads=PR%2520%25C4%258Dl%25C3%25A1nky")</f>
        <v>https://reklama.cncenter.cz/?ads=PR%2520%25C4%258Dl%25C3%25A1nky</v>
      </c>
      <c r="X919" s="3"/>
      <c r="Y919" s="3"/>
      <c r="Z919" s="3" t="str">
        <f ca="1">IFERROR(__xludf.DUMMYFUNCTION("""COMPUTED_VALUE"""),"podklady@cncenter.cz")</f>
        <v>podklady@cncenter.cz</v>
      </c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 t="str">
        <f ca="1">IFERROR(__xludf.DUMMYFUNCTION("""COMPUTED_VALUE"""),"cross-device")</f>
        <v>cross-device</v>
      </c>
      <c r="AO919" s="3"/>
      <c r="AP919" s="3"/>
      <c r="AQ919" s="3"/>
      <c r="AR919" s="3"/>
      <c r="AS919" s="3"/>
      <c r="AT919" s="3"/>
      <c r="AU919" s="3" t="str">
        <f ca="1">IFERROR(__xludf.DUMMYFUNCTION("""COMPUTED_VALUE"""),"PR článek")</f>
        <v>PR článek</v>
      </c>
    </row>
    <row r="920" spans="1:47" x14ac:dyDescent="0.3">
      <c r="A920" s="3">
        <f ca="1"/>
        <v>2346826</v>
      </c>
      <c r="B920" s="3" t="str">
        <f ca="1"/>
        <v>CZECH NEWS CENTER a. s.</v>
      </c>
      <c r="C920" s="3" t="str">
        <f ca="1">IFERROR(__xludf.DUMMYFUNCTION("""COMPUTED_VALUE"""),"Realitní trh")</f>
        <v>Realitní trh</v>
      </c>
      <c r="D920" s="4" t="str">
        <f ca="1">IFERROR(__xludf.DUMMYFUNCTION("""COMPUTED_VALUE"""),"https://www.realitnitrh.cz")</f>
        <v>https://www.realitnitrh.cz</v>
      </c>
      <c r="E920" s="3" t="str">
        <f ca="1">IFERROR(__xludf.DUMMYFUNCTION("""COMPUTED_VALUE"""),"celý web")</f>
        <v>celý web</v>
      </c>
      <c r="F920" s="4" t="str">
        <f ca="1">IFERROR(__xludf.DUMMYFUNCTION("""COMPUTED_VALUE"""),"https://www.realitnitrh.cz")</f>
        <v>https://www.realitnitrh.cz</v>
      </c>
      <c r="G920" s="3" t="str">
        <f ca="1">IFERROR(__xludf.DUMMYFUNCTION("""COMPUTED_VALUE"""),"Prodloužení existující microsite, bez úprav mid season")</f>
        <v>Prodloužení existující microsite, bez úprav mid season</v>
      </c>
      <c r="H920" s="3">
        <f ca="1">IFERROR(__xludf.DUMMYFUNCTION("""COMPUTED_VALUE"""),1)</f>
        <v>1</v>
      </c>
      <c r="I920" s="5">
        <f ca="1">IFERROR(__xludf.DUMMYFUNCTION("""COMPUTED_VALUE"""),1)</f>
        <v>1</v>
      </c>
      <c r="J920" s="5">
        <f ca="1">IFERROR(__xludf.DUMMYFUNCTION("""COMPUTED_VALUE"""),15000)</f>
        <v>15000</v>
      </c>
      <c r="K920" s="3"/>
      <c r="L920" s="3" t="str">
        <f ca="1">IFERROR(__xludf.DUMMYFUNCTION("""COMPUTED_VALUE"""),"Cost per instance")</f>
        <v>Cost per instance</v>
      </c>
      <c r="M920" s="3"/>
      <c r="N920" s="3"/>
      <c r="O920" s="3"/>
      <c r="P920" s="3"/>
      <c r="Q920" s="3"/>
      <c r="R920" s="3"/>
      <c r="S920" s="3" t="str">
        <f ca="1">IFERROR(__xludf.DUMMYFUNCTION("""COMPUTED_VALUE"""),"100")</f>
        <v>100</v>
      </c>
      <c r="T920" s="3"/>
      <c r="U920" s="3" t="str">
        <f ca="1">IFERROR(__xludf.DUMMYFUNCTION("""COMPUTED_VALUE"""),"microsite")</f>
        <v>microsite</v>
      </c>
      <c r="V920" s="3"/>
      <c r="W920" s="3"/>
      <c r="X920" s="3"/>
      <c r="Y920" s="3"/>
      <c r="Z920" s="3" t="str">
        <f ca="1">IFERROR(__xludf.DUMMYFUNCTION("""COMPUTED_VALUE"""),"podklady@cncenter.cz")</f>
        <v>podklady@cncenter.cz</v>
      </c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 t="str">
        <f ca="1">IFERROR(__xludf.DUMMYFUNCTION("""COMPUTED_VALUE"""),"cross-device")</f>
        <v>cross-device</v>
      </c>
      <c r="AO920" s="3"/>
      <c r="AP920" s="3"/>
      <c r="AQ920" s="3"/>
      <c r="AR920" s="3"/>
      <c r="AS920" s="3"/>
      <c r="AT920" s="3"/>
      <c r="AU920" s="3" t="str">
        <f ca="1">IFERROR(__xludf.DUMMYFUNCTION("""COMPUTED_VALUE"""),"Prodloužení existující microsite, bez úprav")</f>
        <v>Prodloužení existující microsite, bez úprav</v>
      </c>
    </row>
    <row r="921" spans="1:47" x14ac:dyDescent="0.3">
      <c r="A921" s="3">
        <f ca="1"/>
        <v>2346826</v>
      </c>
      <c r="B921" s="3" t="str">
        <f ca="1"/>
        <v>CZECH NEWS CENTER a. s.</v>
      </c>
      <c r="C921" s="3" t="str">
        <f ca="1">IFERROR(__xludf.DUMMYFUNCTION("""COMPUTED_VALUE"""),"Realitní trh")</f>
        <v>Realitní trh</v>
      </c>
      <c r="D921" s="4" t="str">
        <f ca="1">IFERROR(__xludf.DUMMYFUNCTION("""COMPUTED_VALUE"""),"https://www.realitnitrh.cz")</f>
        <v>https://www.realitnitrh.cz</v>
      </c>
      <c r="E921" s="3" t="str">
        <f ca="1">IFERROR(__xludf.DUMMYFUNCTION("""COMPUTED_VALUE"""),"celý web")</f>
        <v>celý web</v>
      </c>
      <c r="F921" s="4" t="str">
        <f ca="1">IFERROR(__xludf.DUMMYFUNCTION("""COMPUTED_VALUE"""),"https://www.realitnitrh.cz")</f>
        <v>https://www.realitnitrh.cz</v>
      </c>
      <c r="G921" s="3" t="str">
        <f ca="1">IFERROR(__xludf.DUMMYFUNCTION("""COMPUTED_VALUE"""),"Prodloužení existující microsite, bez úprav mid season")</f>
        <v>Prodloužení existující microsite, bez úprav mid season</v>
      </c>
      <c r="H921" s="3">
        <f ca="1">IFERROR(__xludf.DUMMYFUNCTION("""COMPUTED_VALUE"""),1)</f>
        <v>1</v>
      </c>
      <c r="I921" s="5">
        <f ca="1">IFERROR(__xludf.DUMMYFUNCTION("""COMPUTED_VALUE"""),1)</f>
        <v>1</v>
      </c>
      <c r="J921" s="5">
        <f ca="1">IFERROR(__xludf.DUMMYFUNCTION("""COMPUTED_VALUE"""),15000)</f>
        <v>15000</v>
      </c>
      <c r="K921" s="3"/>
      <c r="L921" s="3" t="str">
        <f ca="1">IFERROR(__xludf.DUMMYFUNCTION("""COMPUTED_VALUE"""),"Cost per instance")</f>
        <v>Cost per instance</v>
      </c>
      <c r="M921" s="3"/>
      <c r="N921" s="3"/>
      <c r="O921" s="3"/>
      <c r="P921" s="3"/>
      <c r="Q921" s="3"/>
      <c r="R921" s="3"/>
      <c r="S921" s="3" t="str">
        <f ca="1">IFERROR(__xludf.DUMMYFUNCTION("""COMPUTED_VALUE"""),"100")</f>
        <v>100</v>
      </c>
      <c r="T921" s="3"/>
      <c r="U921" s="3" t="str">
        <f ca="1">IFERROR(__xludf.DUMMYFUNCTION("""COMPUTED_VALUE"""),"microsite")</f>
        <v>microsite</v>
      </c>
      <c r="V921" s="3"/>
      <c r="W921" s="3"/>
      <c r="X921" s="3"/>
      <c r="Y921" s="3"/>
      <c r="Z921" s="3" t="str">
        <f ca="1">IFERROR(__xludf.DUMMYFUNCTION("""COMPUTED_VALUE"""),"podklady@cncenter.cz")</f>
        <v>podklady@cncenter.cz</v>
      </c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 t="str">
        <f ca="1">IFERROR(__xludf.DUMMYFUNCTION("""COMPUTED_VALUE"""),"cross-device")</f>
        <v>cross-device</v>
      </c>
      <c r="AO921" s="3"/>
      <c r="AP921" s="3"/>
      <c r="AQ921" s="3"/>
      <c r="AR921" s="3"/>
      <c r="AS921" s="3"/>
      <c r="AT921" s="3"/>
      <c r="AU921" s="3" t="str">
        <f ca="1">IFERROR(__xludf.DUMMYFUNCTION("""COMPUTED_VALUE"""),"Prodloužení existující microsite, bez úprav")</f>
        <v>Prodloužení existující microsite, bez úprav</v>
      </c>
    </row>
    <row r="922" spans="1:47" x14ac:dyDescent="0.3">
      <c r="A922" s="3">
        <f ca="1"/>
        <v>2346826</v>
      </c>
      <c r="B922" s="3" t="str">
        <f ca="1"/>
        <v>CZECH NEWS CENTER a. s.</v>
      </c>
      <c r="C922" s="3" t="str">
        <f ca="1">IFERROR(__xludf.DUMMYFUNCTION("""COMPUTED_VALUE"""),"Realitní trh")</f>
        <v>Realitní trh</v>
      </c>
      <c r="D922" s="4" t="str">
        <f ca="1">IFERROR(__xludf.DUMMYFUNCTION("""COMPUTED_VALUE"""),"https://www.realitnitrh.cz")</f>
        <v>https://www.realitnitrh.cz</v>
      </c>
      <c r="E922" s="3" t="str">
        <f ca="1">IFERROR(__xludf.DUMMYFUNCTION("""COMPUTED_VALUE"""),"celý web")</f>
        <v>celý web</v>
      </c>
      <c r="F922" s="4" t="str">
        <f ca="1">IFERROR(__xludf.DUMMYFUNCTION("""COMPUTED_VALUE"""),"https://www.realitnitrh.cz")</f>
        <v>https://www.realitnitrh.cz</v>
      </c>
      <c r="G922" s="3" t="str">
        <f ca="1">IFERROR(__xludf.DUMMYFUNCTION("""COMPUTED_VALUE"""),"Prodloužení existující microsite, bez úprav mid season")</f>
        <v>Prodloužení existující microsite, bez úprav mid season</v>
      </c>
      <c r="H922" s="3">
        <f ca="1">IFERROR(__xludf.DUMMYFUNCTION("""COMPUTED_VALUE"""),1)</f>
        <v>1</v>
      </c>
      <c r="I922" s="5">
        <f ca="1">IFERROR(__xludf.DUMMYFUNCTION("""COMPUTED_VALUE"""),1)</f>
        <v>1</v>
      </c>
      <c r="J922" s="5">
        <f ca="1">IFERROR(__xludf.DUMMYFUNCTION("""COMPUTED_VALUE"""),15000)</f>
        <v>15000</v>
      </c>
      <c r="K922" s="3"/>
      <c r="L922" s="3" t="str">
        <f ca="1">IFERROR(__xludf.DUMMYFUNCTION("""COMPUTED_VALUE"""),"Cost per instance")</f>
        <v>Cost per instance</v>
      </c>
      <c r="M922" s="3"/>
      <c r="N922" s="3"/>
      <c r="O922" s="3"/>
      <c r="P922" s="3"/>
      <c r="Q922" s="3"/>
      <c r="R922" s="3"/>
      <c r="S922" s="3" t="str">
        <f ca="1">IFERROR(__xludf.DUMMYFUNCTION("""COMPUTED_VALUE"""),"100")</f>
        <v>100</v>
      </c>
      <c r="T922" s="3"/>
      <c r="U922" s="3" t="str">
        <f ca="1">IFERROR(__xludf.DUMMYFUNCTION("""COMPUTED_VALUE"""),"microsite")</f>
        <v>microsite</v>
      </c>
      <c r="V922" s="3"/>
      <c r="W922" s="3"/>
      <c r="X922" s="3"/>
      <c r="Y922" s="3"/>
      <c r="Z922" s="3" t="str">
        <f ca="1">IFERROR(__xludf.DUMMYFUNCTION("""COMPUTED_VALUE"""),"podklady@cncenter.cz")</f>
        <v>podklady@cncenter.cz</v>
      </c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 t="str">
        <f ca="1">IFERROR(__xludf.DUMMYFUNCTION("""COMPUTED_VALUE"""),"cross-device")</f>
        <v>cross-device</v>
      </c>
      <c r="AO922" s="3"/>
      <c r="AP922" s="3"/>
      <c r="AQ922" s="3"/>
      <c r="AR922" s="3"/>
      <c r="AS922" s="3"/>
      <c r="AT922" s="3"/>
      <c r="AU922" s="3" t="str">
        <f ca="1">IFERROR(__xludf.DUMMYFUNCTION("""COMPUTED_VALUE"""),"Prodloužení existující microsite, bez úprav")</f>
        <v>Prodloužení existující microsite, bez úprav</v>
      </c>
    </row>
    <row r="923" spans="1:47" x14ac:dyDescent="0.3">
      <c r="A923" s="3">
        <f ca="1"/>
        <v>2346826</v>
      </c>
      <c r="B923" s="3" t="str">
        <f ca="1"/>
        <v>CZECH NEWS CENTER a. s.</v>
      </c>
      <c r="C923" s="3" t="str">
        <f ca="1">IFERROR(__xludf.DUMMYFUNCTION("""COMPUTED_VALUE"""),"Recepty")</f>
        <v>Recepty</v>
      </c>
      <c r="D923" s="4" t="str">
        <f ca="1">IFERROR(__xludf.DUMMYFUNCTION("""COMPUTED_VALUE"""),"https://recepty.cz")</f>
        <v>https://recepty.cz</v>
      </c>
      <c r="E923" s="3" t="str">
        <f ca="1">IFERROR(__xludf.DUMMYFUNCTION("""COMPUTED_VALUE"""),"celý web")</f>
        <v>celý web</v>
      </c>
      <c r="F923" s="4" t="str">
        <f ca="1">IFERROR(__xludf.DUMMYFUNCTION("""COMPUTED_VALUE"""),"https://recepty.cz")</f>
        <v>https://recepty.cz</v>
      </c>
      <c r="G923" s="3" t="str">
        <f ca="1">IFERROR(__xludf.DUMMYFUNCTION("""COMPUTED_VALUE"""),"Advertorial mid season")</f>
        <v>Advertorial mid season</v>
      </c>
      <c r="H923" s="3">
        <f ca="1">IFERROR(__xludf.DUMMYFUNCTION("""COMPUTED_VALUE"""),1)</f>
        <v>1</v>
      </c>
      <c r="I923" s="5">
        <f ca="1">IFERROR(__xludf.DUMMYFUNCTION("""COMPUTED_VALUE"""),1)</f>
        <v>1</v>
      </c>
      <c r="J923" s="5">
        <f ca="1">IFERROR(__xludf.DUMMYFUNCTION("""COMPUTED_VALUE"""),90000)</f>
        <v>90000</v>
      </c>
      <c r="K923" s="3"/>
      <c r="L923" s="3" t="str">
        <f ca="1">IFERROR(__xludf.DUMMYFUNCTION("""COMPUTED_VALUE"""),"Cost per instance")</f>
        <v>Cost per instance</v>
      </c>
      <c r="M923" s="3"/>
      <c r="N923" s="3"/>
      <c r="O923" s="3"/>
      <c r="P923" s="3"/>
      <c r="Q923" s="3"/>
      <c r="R923" s="3"/>
      <c r="S923" s="3" t="str">
        <f ca="1">IFERROR(__xludf.DUMMYFUNCTION("""COMPUTED_VALUE"""),"100")</f>
        <v>100</v>
      </c>
      <c r="T923" s="3"/>
      <c r="U923" s="3" t="str">
        <f ca="1">IFERROR(__xludf.DUMMYFUNCTION("""COMPUTED_VALUE"""),"pr článek")</f>
        <v>pr článek</v>
      </c>
      <c r="V923" s="3"/>
      <c r="W923" s="3"/>
      <c r="X923" s="3"/>
      <c r="Y923" s="3"/>
      <c r="Z923" s="3" t="str">
        <f ca="1">IFERROR(__xludf.DUMMYFUNCTION("""COMPUTED_VALUE"""),"podklady@cncenter.cz")</f>
        <v>podklady@cncenter.cz</v>
      </c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 t="str">
        <f ca="1">IFERROR(__xludf.DUMMYFUNCTION("""COMPUTED_VALUE"""),"cross-device")</f>
        <v>cross-device</v>
      </c>
      <c r="AO923" s="3"/>
      <c r="AP923" s="3"/>
      <c r="AQ923" s="3"/>
      <c r="AR923" s="3"/>
      <c r="AS923" s="3"/>
      <c r="AT923" s="3"/>
      <c r="AU923" s="3" t="str">
        <f ca="1">IFERROR(__xludf.DUMMYFUNCTION("""COMPUTED_VALUE"""),"Advertorial")</f>
        <v>Advertorial</v>
      </c>
    </row>
    <row r="924" spans="1:47" x14ac:dyDescent="0.3">
      <c r="A924" s="3">
        <f ca="1"/>
        <v>2346826</v>
      </c>
      <c r="B924" s="3" t="str">
        <f ca="1"/>
        <v>CZECH NEWS CENTER a. s.</v>
      </c>
      <c r="C924" s="3" t="str">
        <f ca="1">IFERROR(__xludf.DUMMYFUNCTION("""COMPUTED_VALUE"""),"Recepty")</f>
        <v>Recepty</v>
      </c>
      <c r="D924" s="4" t="str">
        <f ca="1">IFERROR(__xludf.DUMMYFUNCTION("""COMPUTED_VALUE"""),"https://recepty.cz")</f>
        <v>https://recepty.cz</v>
      </c>
      <c r="E924" s="3" t="str">
        <f ca="1">IFERROR(__xludf.DUMMYFUNCTION("""COMPUTED_VALUE"""),"celý web")</f>
        <v>celý web</v>
      </c>
      <c r="F924" s="4" t="str">
        <f ca="1">IFERROR(__xludf.DUMMYFUNCTION("""COMPUTED_VALUE"""),"https://recepty.cz")</f>
        <v>https://recepty.cz</v>
      </c>
      <c r="G924" s="3" t="str">
        <f ca="1">IFERROR(__xludf.DUMMYFUNCTION("""COMPUTED_VALUE"""),"billboard bottom mid season")</f>
        <v>billboard bottom mid season</v>
      </c>
      <c r="H924" s="3">
        <f ca="1">IFERROR(__xludf.DUMMYFUNCTION("""COMPUTED_VALUE"""),7)</f>
        <v>7</v>
      </c>
      <c r="I924" s="5">
        <f ca="1">IFERROR(__xludf.DUMMYFUNCTION("""COMPUTED_VALUE"""),1000)</f>
        <v>1000</v>
      </c>
      <c r="J924" s="5">
        <f ca="1">IFERROR(__xludf.DUMMYFUNCTION("""COMPUTED_VALUE"""),340)</f>
        <v>340</v>
      </c>
      <c r="K924" s="3"/>
      <c r="L924" s="3" t="str">
        <f ca="1">IFERROR(__xludf.DUMMYFUNCTION("""COMPUTED_VALUE"""),"Cost per period")</f>
        <v>Cost per period</v>
      </c>
      <c r="M924" s="3"/>
      <c r="N924" s="3"/>
      <c r="O924" s="3" t="str">
        <f ca="1">IFERROR(__xludf.DUMMYFUNCTION("""COMPUTED_VALUE"""),"970")</f>
        <v>970</v>
      </c>
      <c r="P924" s="3" t="str">
        <f ca="1">IFERROR(__xludf.DUMMYFUNCTION("""COMPUTED_VALUE"""),"250")</f>
        <v>250</v>
      </c>
      <c r="Q924" s="3" t="str">
        <f ca="1">IFERROR(__xludf.DUMMYFUNCTION("""COMPUTED_VALUE"""),"970x250")</f>
        <v>970x250</v>
      </c>
      <c r="R924" s="3"/>
      <c r="S924" s="3" t="str">
        <f ca="1">IFERROR(__xludf.DUMMYFUNCTION("""COMPUTED_VALUE"""),"100 (200 - HTML5)")</f>
        <v>100 (200 - HTML5)</v>
      </c>
      <c r="T924" s="3"/>
      <c r="U924" s="3" t="str">
        <f ca="1">IFERROR(__xludf.DUMMYFUNCTION("""COMPUTED_VALUE"""),"banner standard")</f>
        <v>banner standard</v>
      </c>
      <c r="V924" s="3"/>
      <c r="W924" s="4" t="str">
        <f ca="1">IFERROR(__xludf.DUMMYFUNCTION("""COMPUTED_VALUE"""),"https://reklama.cncenter.cz/Online/billboard-bottom")</f>
        <v>https://reklama.cncenter.cz/Online/billboard-bottom</v>
      </c>
      <c r="X924" s="3"/>
      <c r="Y924" s="3"/>
      <c r="Z924" s="3" t="str">
        <f ca="1">IFERROR(__xludf.DUMMYFUNCTION("""COMPUTED_VALUE"""),"podklady@cncenter.cz")</f>
        <v>podklady@cncenter.cz</v>
      </c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 t="str">
        <f ca="1">IFERROR(__xludf.DUMMYFUNCTION("""COMPUTED_VALUE"""),"desktop")</f>
        <v>desktop</v>
      </c>
      <c r="AO924" s="3"/>
      <c r="AP924" s="3"/>
      <c r="AQ924" s="3"/>
      <c r="AR924" s="3"/>
      <c r="AS924" s="3"/>
      <c r="AT924" s="3"/>
      <c r="AU924" s="3" t="str">
        <f ca="1">IFERROR(__xludf.DUMMYFUNCTION("""COMPUTED_VALUE"""),"billboard bottom")</f>
        <v>billboard bottom</v>
      </c>
    </row>
    <row r="925" spans="1:47" x14ac:dyDescent="0.3">
      <c r="A925" s="3">
        <f ca="1"/>
        <v>2346826</v>
      </c>
      <c r="B925" s="3" t="str">
        <f ca="1"/>
        <v>CZECH NEWS CENTER a. s.</v>
      </c>
      <c r="C925" s="3" t="str">
        <f ca="1">IFERROR(__xludf.DUMMYFUNCTION("""COMPUTED_VALUE"""),"Recepty")</f>
        <v>Recepty</v>
      </c>
      <c r="D925" s="4" t="str">
        <f ca="1">IFERROR(__xludf.DUMMYFUNCTION("""COMPUTED_VALUE"""),"https://recepty.cz")</f>
        <v>https://recepty.cz</v>
      </c>
      <c r="E925" s="3" t="str">
        <f ca="1">IFERROR(__xludf.DUMMYFUNCTION("""COMPUTED_VALUE"""),"celý web")</f>
        <v>celý web</v>
      </c>
      <c r="F925" s="4" t="str">
        <f ca="1">IFERROR(__xludf.DUMMYFUNCTION("""COMPUTED_VALUE"""),"https://recepty.cz")</f>
        <v>https://recepty.cz</v>
      </c>
      <c r="G925" s="3" t="str">
        <f ca="1">IFERROR(__xludf.DUMMYFUNCTION("""COMPUTED_VALUE"""),"branding cross-device mid season")</f>
        <v>branding cross-device mid season</v>
      </c>
      <c r="H925" s="3">
        <f ca="1">IFERROR(__xludf.DUMMYFUNCTION("""COMPUTED_VALUE"""),7)</f>
        <v>7</v>
      </c>
      <c r="I925" s="5">
        <f ca="1">IFERROR(__xludf.DUMMYFUNCTION("""COMPUTED_VALUE"""),1000)</f>
        <v>1000</v>
      </c>
      <c r="J925" s="5">
        <f ca="1">IFERROR(__xludf.DUMMYFUNCTION("""COMPUTED_VALUE"""),420)</f>
        <v>420</v>
      </c>
      <c r="K925" s="3"/>
      <c r="L925" s="3" t="str">
        <f ca="1">IFERROR(__xludf.DUMMYFUNCTION("""COMPUTED_VALUE"""),"Cost per period")</f>
        <v>Cost per period</v>
      </c>
      <c r="M925" s="3"/>
      <c r="N925" s="3"/>
      <c r="O925" s="3" t="str">
        <f ca="1">IFERROR(__xludf.DUMMYFUNCTION("""COMPUTED_VALUE"""),"2000")</f>
        <v>2000</v>
      </c>
      <c r="P925" s="3" t="str">
        <f ca="1">IFERROR(__xludf.DUMMYFUNCTION("""COMPUTED_VALUE"""),"1400")</f>
        <v>1400</v>
      </c>
      <c r="Q925" s="3" t="str">
        <f ca="1">IFERROR(__xludf.DUMMYFUNCTION("""COMPUTED_VALUE"""),"2000x1400 + 600x1080")</f>
        <v>2000x1400 + 600x1080</v>
      </c>
      <c r="R925" s="3"/>
      <c r="S925" s="3" t="str">
        <f ca="1">IFERROR(__xludf.DUMMYFUNCTION("""COMPUTED_VALUE"""),"500 (600 - HTLM5)")</f>
        <v>500 (600 - HTLM5)</v>
      </c>
      <c r="T925" s="3"/>
      <c r="U925" s="3" t="str">
        <f ca="1">IFERROR(__xludf.DUMMYFUNCTION("""COMPUTED_VALUE"""),"banner standard")</f>
        <v>banner standard</v>
      </c>
      <c r="V925" s="3"/>
      <c r="W925" s="4" t="str">
        <f ca="1">IFERROR(__xludf.DUMMYFUNCTION("""COMPUTED_VALUE"""),"https://reklama.cncenter.cz/Online/branding-cross-device")</f>
        <v>https://reklama.cncenter.cz/Online/branding-cross-device</v>
      </c>
      <c r="X925" s="3"/>
      <c r="Y925" s="3"/>
      <c r="Z925" s="3" t="str">
        <f ca="1">IFERROR(__xludf.DUMMYFUNCTION("""COMPUTED_VALUE"""),"podklady@cncenter.cz")</f>
        <v>podklady@cncenter.cz</v>
      </c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 t="str">
        <f ca="1">IFERROR(__xludf.DUMMYFUNCTION("""COMPUTED_VALUE"""),"cross-device")</f>
        <v>cross-device</v>
      </c>
      <c r="AO925" s="3"/>
      <c r="AP925" s="3"/>
      <c r="AQ925" s="3"/>
      <c r="AR925" s="3"/>
      <c r="AS925" s="3"/>
      <c r="AT925" s="3"/>
      <c r="AU925" s="3" t="str">
        <f ca="1">IFERROR(__xludf.DUMMYFUNCTION("""COMPUTED_VALUE"""),"branding cross-device")</f>
        <v>branding cross-device</v>
      </c>
    </row>
    <row r="926" spans="1:47" x14ac:dyDescent="0.3">
      <c r="A926" s="3">
        <f ca="1"/>
        <v>2346826</v>
      </c>
      <c r="B926" s="3" t="str">
        <f ca="1"/>
        <v>CZECH NEWS CENTER a. s.</v>
      </c>
      <c r="C926" s="3" t="str">
        <f ca="1">IFERROR(__xludf.DUMMYFUNCTION("""COMPUTED_VALUE"""),"Recepty")</f>
        <v>Recepty</v>
      </c>
      <c r="D926" s="4" t="str">
        <f ca="1">IFERROR(__xludf.DUMMYFUNCTION("""COMPUTED_VALUE"""),"https://recepty.cz")</f>
        <v>https://recepty.cz</v>
      </c>
      <c r="E926" s="3" t="str">
        <f ca="1">IFERROR(__xludf.DUMMYFUNCTION("""COMPUTED_VALUE"""),"celý web")</f>
        <v>celý web</v>
      </c>
      <c r="F926" s="4" t="str">
        <f ca="1">IFERROR(__xludf.DUMMYFUNCTION("""COMPUTED_VALUE"""),"https://recepty.cz")</f>
        <v>https://recepty.cz</v>
      </c>
      <c r="G926" s="3" t="str">
        <f ca="1">IFERROR(__xludf.DUMMYFUNCTION("""COMPUTED_VALUE"""),"branding mid season")</f>
        <v>branding mid season</v>
      </c>
      <c r="H926" s="3">
        <f ca="1">IFERROR(__xludf.DUMMYFUNCTION("""COMPUTED_VALUE"""),7)</f>
        <v>7</v>
      </c>
      <c r="I926" s="5">
        <f ca="1">IFERROR(__xludf.DUMMYFUNCTION("""COMPUTED_VALUE"""),1000)</f>
        <v>1000</v>
      </c>
      <c r="J926" s="5">
        <f ca="1">IFERROR(__xludf.DUMMYFUNCTION("""COMPUTED_VALUE"""),690)</f>
        <v>690</v>
      </c>
      <c r="K926" s="3"/>
      <c r="L926" s="3" t="str">
        <f ca="1">IFERROR(__xludf.DUMMYFUNCTION("""COMPUTED_VALUE"""),"Cost per period")</f>
        <v>Cost per period</v>
      </c>
      <c r="M926" s="3"/>
      <c r="N926" s="3"/>
      <c r="O926" s="3" t="str">
        <f ca="1">IFERROR(__xludf.DUMMYFUNCTION("""COMPUTED_VALUE"""),"2000")</f>
        <v>2000</v>
      </c>
      <c r="P926" s="3" t="str">
        <f ca="1">IFERROR(__xludf.DUMMYFUNCTION("""COMPUTED_VALUE"""),"1400")</f>
        <v>1400</v>
      </c>
      <c r="Q926" s="3" t="str">
        <f ca="1">IFERROR(__xludf.DUMMYFUNCTION("""COMPUTED_VALUE"""),"2000x1400")</f>
        <v>2000x1400</v>
      </c>
      <c r="R926" s="3"/>
      <c r="S926" s="3" t="str">
        <f ca="1">IFERROR(__xludf.DUMMYFUNCTION("""COMPUTED_VALUE"""),"500 + 200 (600+200 HTML5)")</f>
        <v>500 + 200 (600+200 HTML5)</v>
      </c>
      <c r="T926" s="3"/>
      <c r="U926" s="3" t="str">
        <f ca="1">IFERROR(__xludf.DUMMYFUNCTION("""COMPUTED_VALUE"""),"banner standard")</f>
        <v>banner standard</v>
      </c>
      <c r="V926" s="3"/>
      <c r="W926" s="4" t="str">
        <f ca="1">IFERROR(__xludf.DUMMYFUNCTION("""COMPUTED_VALUE"""),"https://reklama.cncenter.cz/Online/branding")</f>
        <v>https://reklama.cncenter.cz/Online/branding</v>
      </c>
      <c r="X926" s="3"/>
      <c r="Y926" s="3"/>
      <c r="Z926" s="3" t="str">
        <f ca="1">IFERROR(__xludf.DUMMYFUNCTION("""COMPUTED_VALUE"""),"podklady@cncenter.cz")</f>
        <v>podklady@cncenter.cz</v>
      </c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 t="str">
        <f ca="1">IFERROR(__xludf.DUMMYFUNCTION("""COMPUTED_VALUE"""),"desktop")</f>
        <v>desktop</v>
      </c>
      <c r="AO926" s="3"/>
      <c r="AP926" s="3"/>
      <c r="AQ926" s="3"/>
      <c r="AR926" s="3"/>
      <c r="AS926" s="3"/>
      <c r="AT926" s="3"/>
      <c r="AU926" s="3" t="str">
        <f ca="1">IFERROR(__xludf.DUMMYFUNCTION("""COMPUTED_VALUE"""),"branding")</f>
        <v>branding</v>
      </c>
    </row>
    <row r="927" spans="1:47" x14ac:dyDescent="0.3">
      <c r="A927" s="3">
        <f ca="1"/>
        <v>2346826</v>
      </c>
      <c r="B927" s="3" t="str">
        <f ca="1"/>
        <v>CZECH NEWS CENTER a. s.</v>
      </c>
      <c r="C927" s="3" t="str">
        <f ca="1">IFERROR(__xludf.DUMMYFUNCTION("""COMPUTED_VALUE"""),"Recepty")</f>
        <v>Recepty</v>
      </c>
      <c r="D927" s="4" t="str">
        <f ca="1">IFERROR(__xludf.DUMMYFUNCTION("""COMPUTED_VALUE"""),"https://recepty.cz")</f>
        <v>https://recepty.cz</v>
      </c>
      <c r="E927" s="3" t="str">
        <f ca="1">IFERROR(__xludf.DUMMYFUNCTION("""COMPUTED_VALUE"""),"celý web")</f>
        <v>celý web</v>
      </c>
      <c r="F927" s="4" t="str">
        <f ca="1">IFERROR(__xludf.DUMMYFUNCTION("""COMPUTED_VALUE"""),"https://recepty.cz")</f>
        <v>https://recepty.cz</v>
      </c>
      <c r="G927" s="3" t="str">
        <f ca="1">IFERROR(__xludf.DUMMYFUNCTION("""COMPUTED_VALUE"""),"cílený billboard bottom mid season")</f>
        <v>cílený billboard bottom mid season</v>
      </c>
      <c r="H927" s="3">
        <f ca="1">IFERROR(__xludf.DUMMYFUNCTION("""COMPUTED_VALUE"""),7)</f>
        <v>7</v>
      </c>
      <c r="I927" s="5">
        <f ca="1">IFERROR(__xludf.DUMMYFUNCTION("""COMPUTED_VALUE"""),1000)</f>
        <v>1000</v>
      </c>
      <c r="J927" s="5">
        <f ca="1">IFERROR(__xludf.DUMMYFUNCTION("""COMPUTED_VALUE"""),408)</f>
        <v>408</v>
      </c>
      <c r="K927" s="3"/>
      <c r="L927" s="3" t="str">
        <f ca="1">IFERROR(__xludf.DUMMYFUNCTION("""COMPUTED_VALUE"""),"Cost per period")</f>
        <v>Cost per period</v>
      </c>
      <c r="M927" s="3"/>
      <c r="N927" s="3"/>
      <c r="O927" s="3" t="str">
        <f ca="1">IFERROR(__xludf.DUMMYFUNCTION("""COMPUTED_VALUE"""),"970")</f>
        <v>970</v>
      </c>
      <c r="P927" s="3" t="str">
        <f ca="1">IFERROR(__xludf.DUMMYFUNCTION("""COMPUTED_VALUE"""),"250")</f>
        <v>250</v>
      </c>
      <c r="Q927" s="3" t="str">
        <f ca="1">IFERROR(__xludf.DUMMYFUNCTION("""COMPUTED_VALUE"""),"970x250")</f>
        <v>970x250</v>
      </c>
      <c r="R927" s="3"/>
      <c r="S927" s="3" t="str">
        <f ca="1">IFERROR(__xludf.DUMMYFUNCTION("""COMPUTED_VALUE"""),"100 (200 - HTML5)")</f>
        <v>100 (200 - HTML5)</v>
      </c>
      <c r="T927" s="3"/>
      <c r="U927" s="3" t="str">
        <f ca="1">IFERROR(__xludf.DUMMYFUNCTION("""COMPUTED_VALUE"""),"banner standard")</f>
        <v>banner standard</v>
      </c>
      <c r="V927" s="3"/>
      <c r="W927" s="4" t="str">
        <f ca="1">IFERROR(__xludf.DUMMYFUNCTION("""COMPUTED_VALUE"""),"https://reklama.cncenter.cz/Online/billboard-bottom")</f>
        <v>https://reklama.cncenter.cz/Online/billboard-bottom</v>
      </c>
      <c r="X927" s="3"/>
      <c r="Y927" s="3"/>
      <c r="Z927" s="3" t="str">
        <f ca="1">IFERROR(__xludf.DUMMYFUNCTION("""COMPUTED_VALUE"""),"podklady@cncenter.cz")</f>
        <v>podklady@cncenter.cz</v>
      </c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 t="str">
        <f ca="1">IFERROR(__xludf.DUMMYFUNCTION("""COMPUTED_VALUE"""),"desktop")</f>
        <v>desktop</v>
      </c>
      <c r="AO927" s="3"/>
      <c r="AP927" s="3"/>
      <c r="AQ927" s="3"/>
      <c r="AR927" s="3"/>
      <c r="AS927" s="3"/>
      <c r="AT927" s="3"/>
      <c r="AU927" s="3" t="str">
        <f ca="1">IFERROR(__xludf.DUMMYFUNCTION("""COMPUTED_VALUE"""),"cílený billboard bottom")</f>
        <v>cílený billboard bottom</v>
      </c>
    </row>
    <row r="928" spans="1:47" x14ac:dyDescent="0.3">
      <c r="A928" s="3">
        <f ca="1"/>
        <v>2346826</v>
      </c>
      <c r="B928" s="3" t="str">
        <f ca="1"/>
        <v>CZECH NEWS CENTER a. s.</v>
      </c>
      <c r="C928" s="3" t="str">
        <f ca="1">IFERROR(__xludf.DUMMYFUNCTION("""COMPUTED_VALUE"""),"Recepty")</f>
        <v>Recepty</v>
      </c>
      <c r="D928" s="4" t="str">
        <f ca="1">IFERROR(__xludf.DUMMYFUNCTION("""COMPUTED_VALUE"""),"https://recepty.cz")</f>
        <v>https://recepty.cz</v>
      </c>
      <c r="E928" s="3" t="str">
        <f ca="1">IFERROR(__xludf.DUMMYFUNCTION("""COMPUTED_VALUE"""),"celý web")</f>
        <v>celý web</v>
      </c>
      <c r="F928" s="4" t="str">
        <f ca="1">IFERROR(__xludf.DUMMYFUNCTION("""COMPUTED_VALUE"""),"https://recepty.cz")</f>
        <v>https://recepty.cz</v>
      </c>
      <c r="G928" s="3" t="str">
        <f ca="1">IFERROR(__xludf.DUMMYFUNCTION("""COMPUTED_VALUE"""),"cílený branding cross-device mid season")</f>
        <v>cílený branding cross-device mid season</v>
      </c>
      <c r="H928" s="3">
        <f ca="1">IFERROR(__xludf.DUMMYFUNCTION("""COMPUTED_VALUE"""),7)</f>
        <v>7</v>
      </c>
      <c r="I928" s="5">
        <f ca="1">IFERROR(__xludf.DUMMYFUNCTION("""COMPUTED_VALUE"""),1000)</f>
        <v>1000</v>
      </c>
      <c r="J928" s="5">
        <f ca="1">IFERROR(__xludf.DUMMYFUNCTION("""COMPUTED_VALUE"""),504)</f>
        <v>504</v>
      </c>
      <c r="K928" s="3"/>
      <c r="L928" s="3" t="str">
        <f ca="1">IFERROR(__xludf.DUMMYFUNCTION("""COMPUTED_VALUE"""),"Cost per period")</f>
        <v>Cost per period</v>
      </c>
      <c r="M928" s="3"/>
      <c r="N928" s="3"/>
      <c r="O928" s="3" t="str">
        <f ca="1">IFERROR(__xludf.DUMMYFUNCTION("""COMPUTED_VALUE"""),"2000")</f>
        <v>2000</v>
      </c>
      <c r="P928" s="3" t="str">
        <f ca="1">IFERROR(__xludf.DUMMYFUNCTION("""COMPUTED_VALUE"""),"1400")</f>
        <v>1400</v>
      </c>
      <c r="Q928" s="3" t="str">
        <f ca="1">IFERROR(__xludf.DUMMYFUNCTION("""COMPUTED_VALUE"""),"2000x1400 + 600x1080")</f>
        <v>2000x1400 + 600x1080</v>
      </c>
      <c r="R928" s="3"/>
      <c r="S928" s="3" t="str">
        <f ca="1">IFERROR(__xludf.DUMMYFUNCTION("""COMPUTED_VALUE"""),"500 (600 - HTLM5)")</f>
        <v>500 (600 - HTLM5)</v>
      </c>
      <c r="T928" s="3"/>
      <c r="U928" s="3" t="str">
        <f ca="1">IFERROR(__xludf.DUMMYFUNCTION("""COMPUTED_VALUE"""),"banner standard")</f>
        <v>banner standard</v>
      </c>
      <c r="V928" s="3"/>
      <c r="W928" s="4" t="str">
        <f ca="1">IFERROR(__xludf.DUMMYFUNCTION("""COMPUTED_VALUE"""),"https://reklama.cncenter.cz/Online/branding-cross-device")</f>
        <v>https://reklama.cncenter.cz/Online/branding-cross-device</v>
      </c>
      <c r="X928" s="3"/>
      <c r="Y928" s="3"/>
      <c r="Z928" s="3" t="str">
        <f ca="1">IFERROR(__xludf.DUMMYFUNCTION("""COMPUTED_VALUE"""),"podklady@cncenter.cz")</f>
        <v>podklady@cncenter.cz</v>
      </c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 t="str">
        <f ca="1">IFERROR(__xludf.DUMMYFUNCTION("""COMPUTED_VALUE"""),"cross-device")</f>
        <v>cross-device</v>
      </c>
      <c r="AO928" s="3"/>
      <c r="AP928" s="3"/>
      <c r="AQ928" s="3"/>
      <c r="AR928" s="3"/>
      <c r="AS928" s="3"/>
      <c r="AT928" s="3"/>
      <c r="AU928" s="3" t="str">
        <f ca="1">IFERROR(__xludf.DUMMYFUNCTION("""COMPUTED_VALUE"""),"cílený branding cross-device")</f>
        <v>cílený branding cross-device</v>
      </c>
    </row>
    <row r="929" spans="1:47" x14ac:dyDescent="0.3">
      <c r="A929" s="3">
        <f ca="1"/>
        <v>2346826</v>
      </c>
      <c r="B929" s="3" t="str">
        <f ca="1"/>
        <v>CZECH NEWS CENTER a. s.</v>
      </c>
      <c r="C929" s="3" t="str">
        <f ca="1">IFERROR(__xludf.DUMMYFUNCTION("""COMPUTED_VALUE"""),"Recepty")</f>
        <v>Recepty</v>
      </c>
      <c r="D929" s="4" t="str">
        <f ca="1">IFERROR(__xludf.DUMMYFUNCTION("""COMPUTED_VALUE"""),"https://recepty.cz")</f>
        <v>https://recepty.cz</v>
      </c>
      <c r="E929" s="3" t="str">
        <f ca="1">IFERROR(__xludf.DUMMYFUNCTION("""COMPUTED_VALUE"""),"celý web")</f>
        <v>celý web</v>
      </c>
      <c r="F929" s="4" t="str">
        <f ca="1">IFERROR(__xludf.DUMMYFUNCTION("""COMPUTED_VALUE"""),"https://recepty.cz")</f>
        <v>https://recepty.cz</v>
      </c>
      <c r="G929" s="3" t="str">
        <f ca="1">IFERROR(__xludf.DUMMYFUNCTION("""COMPUTED_VALUE"""),"cílený branding mid season")</f>
        <v>cílený branding mid season</v>
      </c>
      <c r="H929" s="3">
        <f ca="1">IFERROR(__xludf.DUMMYFUNCTION("""COMPUTED_VALUE"""),7)</f>
        <v>7</v>
      </c>
      <c r="I929" s="5">
        <f ca="1">IFERROR(__xludf.DUMMYFUNCTION("""COMPUTED_VALUE"""),1000)</f>
        <v>1000</v>
      </c>
      <c r="J929" s="5">
        <f ca="1">IFERROR(__xludf.DUMMYFUNCTION("""COMPUTED_VALUE"""),828)</f>
        <v>828</v>
      </c>
      <c r="K929" s="3"/>
      <c r="L929" s="3" t="str">
        <f ca="1">IFERROR(__xludf.DUMMYFUNCTION("""COMPUTED_VALUE"""),"Cost per period")</f>
        <v>Cost per period</v>
      </c>
      <c r="M929" s="3"/>
      <c r="N929" s="3"/>
      <c r="O929" s="3" t="str">
        <f ca="1">IFERROR(__xludf.DUMMYFUNCTION("""COMPUTED_VALUE"""),"2000")</f>
        <v>2000</v>
      </c>
      <c r="P929" s="3" t="str">
        <f ca="1">IFERROR(__xludf.DUMMYFUNCTION("""COMPUTED_VALUE"""),"1400")</f>
        <v>1400</v>
      </c>
      <c r="Q929" s="3" t="str">
        <f ca="1">IFERROR(__xludf.DUMMYFUNCTION("""COMPUTED_VALUE"""),"2000x1400")</f>
        <v>2000x1400</v>
      </c>
      <c r="R929" s="3"/>
      <c r="S929" s="3" t="str">
        <f ca="1">IFERROR(__xludf.DUMMYFUNCTION("""COMPUTED_VALUE"""),"500 + 200 (600+200 HTML5)")</f>
        <v>500 + 200 (600+200 HTML5)</v>
      </c>
      <c r="T929" s="3"/>
      <c r="U929" s="3" t="str">
        <f ca="1">IFERROR(__xludf.DUMMYFUNCTION("""COMPUTED_VALUE"""),"banner standard")</f>
        <v>banner standard</v>
      </c>
      <c r="V929" s="3"/>
      <c r="W929" s="4" t="str">
        <f ca="1">IFERROR(__xludf.DUMMYFUNCTION("""COMPUTED_VALUE"""),"https://reklama.cncenter.cz/Online/branding")</f>
        <v>https://reklama.cncenter.cz/Online/branding</v>
      </c>
      <c r="X929" s="3"/>
      <c r="Y929" s="3"/>
      <c r="Z929" s="3" t="str">
        <f ca="1">IFERROR(__xludf.DUMMYFUNCTION("""COMPUTED_VALUE"""),"podklady@cncenter.cz")</f>
        <v>podklady@cncenter.cz</v>
      </c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 t="str">
        <f ca="1">IFERROR(__xludf.DUMMYFUNCTION("""COMPUTED_VALUE"""),"desktop")</f>
        <v>desktop</v>
      </c>
      <c r="AO929" s="3"/>
      <c r="AP929" s="3"/>
      <c r="AQ929" s="3"/>
      <c r="AR929" s="3"/>
      <c r="AS929" s="3"/>
      <c r="AT929" s="3"/>
      <c r="AU929" s="3" t="str">
        <f ca="1">IFERROR(__xludf.DUMMYFUNCTION("""COMPUTED_VALUE"""),"cílený branding")</f>
        <v>cílený branding</v>
      </c>
    </row>
    <row r="930" spans="1:47" x14ac:dyDescent="0.3">
      <c r="A930" s="3">
        <f ca="1"/>
        <v>2346826</v>
      </c>
      <c r="B930" s="3" t="str">
        <f ca="1"/>
        <v>CZECH NEWS CENTER a. s.</v>
      </c>
      <c r="C930" s="3" t="str">
        <f ca="1">IFERROR(__xludf.DUMMYFUNCTION("""COMPUTED_VALUE"""),"Recepty")</f>
        <v>Recepty</v>
      </c>
      <c r="D930" s="4" t="str">
        <f ca="1">IFERROR(__xludf.DUMMYFUNCTION("""COMPUTED_VALUE"""),"https://recepty.cz")</f>
        <v>https://recepty.cz</v>
      </c>
      <c r="E930" s="3" t="str">
        <f ca="1">IFERROR(__xludf.DUMMYFUNCTION("""COMPUTED_VALUE"""),"celý web")</f>
        <v>celý web</v>
      </c>
      <c r="F930" s="4" t="str">
        <f ca="1">IFERROR(__xludf.DUMMYFUNCTION("""COMPUTED_VALUE"""),"https://recepty.cz")</f>
        <v>https://recepty.cz</v>
      </c>
      <c r="G930" s="3" t="str">
        <f ca="1">IFERROR(__xludf.DUMMYFUNCTION("""COMPUTED_VALUE"""),"cílený double skyscraper mid season")</f>
        <v>cílený double skyscraper mid season</v>
      </c>
      <c r="H930" s="3">
        <f ca="1">IFERROR(__xludf.DUMMYFUNCTION("""COMPUTED_VALUE"""),7)</f>
        <v>7</v>
      </c>
      <c r="I930" s="5">
        <f ca="1">IFERROR(__xludf.DUMMYFUNCTION("""COMPUTED_VALUE"""),1000)</f>
        <v>1000</v>
      </c>
      <c r="J930" s="5">
        <f ca="1">IFERROR(__xludf.DUMMYFUNCTION("""COMPUTED_VALUE"""),324)</f>
        <v>324</v>
      </c>
      <c r="K930" s="3"/>
      <c r="L930" s="3" t="str">
        <f ca="1">IFERROR(__xludf.DUMMYFUNCTION("""COMPUTED_VALUE"""),"Cost per period")</f>
        <v>Cost per period</v>
      </c>
      <c r="M930" s="3"/>
      <c r="N930" s="3"/>
      <c r="O930" s="3" t="str">
        <f ca="1">IFERROR(__xludf.DUMMYFUNCTION("""COMPUTED_VALUE"""),"300")</f>
        <v>300</v>
      </c>
      <c r="P930" s="3" t="str">
        <f ca="1">IFERROR(__xludf.DUMMYFUNCTION("""COMPUTED_VALUE"""),"600")</f>
        <v>600</v>
      </c>
      <c r="Q930" s="3" t="str">
        <f ca="1">IFERROR(__xludf.DUMMYFUNCTION("""COMPUTED_VALUE"""),"300x600")</f>
        <v>300x600</v>
      </c>
      <c r="R930" s="3"/>
      <c r="S930" s="3" t="str">
        <f ca="1">IFERROR(__xludf.DUMMYFUNCTION("""COMPUTED_VALUE"""),"100 (200 - HTML5)")</f>
        <v>100 (200 - HTML5)</v>
      </c>
      <c r="T930" s="3"/>
      <c r="U930" s="3" t="str">
        <f ca="1">IFERROR(__xludf.DUMMYFUNCTION("""COMPUTED_VALUE"""),"banner standard")</f>
        <v>banner standard</v>
      </c>
      <c r="V930" s="3"/>
      <c r="W930" s="4" t="str">
        <f ca="1">IFERROR(__xludf.DUMMYFUNCTION("""COMPUTED_VALUE"""),"https://reklama.cncenter.cz/Online/double-skyscraper")</f>
        <v>https://reklama.cncenter.cz/Online/double-skyscraper</v>
      </c>
      <c r="X930" s="3"/>
      <c r="Y930" s="3"/>
      <c r="Z930" s="3" t="str">
        <f ca="1">IFERROR(__xludf.DUMMYFUNCTION("""COMPUTED_VALUE"""),"podklady@cncenter.cz")</f>
        <v>podklady@cncenter.cz</v>
      </c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 t="str">
        <f ca="1">IFERROR(__xludf.DUMMYFUNCTION("""COMPUTED_VALUE"""),"desktop")</f>
        <v>desktop</v>
      </c>
      <c r="AO930" s="3"/>
      <c r="AP930" s="3"/>
      <c r="AQ930" s="3"/>
      <c r="AR930" s="3"/>
      <c r="AS930" s="3"/>
      <c r="AT930" s="3"/>
      <c r="AU930" s="3" t="str">
        <f ca="1">IFERROR(__xludf.DUMMYFUNCTION("""COMPUTED_VALUE"""),"cílený double skyscraper")</f>
        <v>cílený double skyscraper</v>
      </c>
    </row>
    <row r="931" spans="1:47" x14ac:dyDescent="0.3">
      <c r="A931" s="3">
        <f ca="1"/>
        <v>2346826</v>
      </c>
      <c r="B931" s="3" t="str">
        <f ca="1"/>
        <v>CZECH NEWS CENTER a. s.</v>
      </c>
      <c r="C931" s="3" t="str">
        <f ca="1">IFERROR(__xludf.DUMMYFUNCTION("""COMPUTED_VALUE"""),"Recepty")</f>
        <v>Recepty</v>
      </c>
      <c r="D931" s="4" t="str">
        <f ca="1">IFERROR(__xludf.DUMMYFUNCTION("""COMPUTED_VALUE"""),"https://recepty.cz")</f>
        <v>https://recepty.cz</v>
      </c>
      <c r="E931" s="3" t="str">
        <f ca="1">IFERROR(__xludf.DUMMYFUNCTION("""COMPUTED_VALUE"""),"celý web")</f>
        <v>celý web</v>
      </c>
      <c r="F931" s="4" t="str">
        <f ca="1">IFERROR(__xludf.DUMMYFUNCTION("""COMPUTED_VALUE"""),"https://recepty.cz")</f>
        <v>https://recepty.cz</v>
      </c>
      <c r="G931" s="3" t="str">
        <f ca="1">IFERROR(__xludf.DUMMYFUNCTION("""COMPUTED_VALUE"""),"cílený mini videospot - max. 30 sec. mid season")</f>
        <v>cílený mini videospot - max. 30 sec. mid season</v>
      </c>
      <c r="H931" s="3">
        <f ca="1">IFERROR(__xludf.DUMMYFUNCTION("""COMPUTED_VALUE"""),7)</f>
        <v>7</v>
      </c>
      <c r="I931" s="5">
        <f ca="1">IFERROR(__xludf.DUMMYFUNCTION("""COMPUTED_VALUE"""),1000)</f>
        <v>1000</v>
      </c>
      <c r="J931" s="5">
        <f ca="1">IFERROR(__xludf.DUMMYFUNCTION("""COMPUTED_VALUE"""),240)</f>
        <v>240</v>
      </c>
      <c r="K931" s="3"/>
      <c r="L931" s="3" t="str">
        <f ca="1">IFERROR(__xludf.DUMMYFUNCTION("""COMPUTED_VALUE"""),"Cost per period")</f>
        <v>Cost per period</v>
      </c>
      <c r="M931" s="3"/>
      <c r="N931" s="3"/>
      <c r="O931" s="3"/>
      <c r="P931" s="3"/>
      <c r="Q931" s="3" t="str">
        <f ca="1">IFERROR(__xludf.DUMMYFUNCTION("""COMPUTED_VALUE"""),"16:9 / umístění po domluvě dle možností")</f>
        <v>16:9 / umístění po domluvě dle možností</v>
      </c>
      <c r="R931" s="3" t="str">
        <f ca="1">IFERROR(__xludf.DUMMYFUNCTION("""COMPUTED_VALUE"""),"přeskočení po 7 sekundách")</f>
        <v>přeskočení po 7 sekundách</v>
      </c>
      <c r="S931" s="3" t="str">
        <f ca="1">IFERROR(__xludf.DUMMYFUNCTION("""COMPUTED_VALUE"""),"100")</f>
        <v>100</v>
      </c>
      <c r="T931" s="3"/>
      <c r="U931" s="3" t="str">
        <f ca="1">IFERROR(__xludf.DUMMYFUNCTION("""COMPUTED_VALUE"""),"videospot")</f>
        <v>videospot</v>
      </c>
      <c r="V931" s="3"/>
      <c r="W931" s="4" t="str">
        <f ca="1">IFERROR(__xludf.DUMMYFUNCTION("""COMPUTED_VALUE"""),"https://reklama.cncenter.cz/Online/Videospot")</f>
        <v>https://reklama.cncenter.cz/Online/Videospot</v>
      </c>
      <c r="X931" s="3"/>
      <c r="Y931" s="3"/>
      <c r="Z931" s="3" t="str">
        <f ca="1">IFERROR(__xludf.DUMMYFUNCTION("""COMPUTED_VALUE"""),"podklady@cncenter.cz")</f>
        <v>podklady@cncenter.cz</v>
      </c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 t="str">
        <f ca="1">IFERROR(__xludf.DUMMYFUNCTION("""COMPUTED_VALUE"""),"desktop")</f>
        <v>desktop</v>
      </c>
      <c r="AO931" s="3"/>
      <c r="AP931" s="3"/>
      <c r="AQ931" s="3"/>
      <c r="AR931" s="3"/>
      <c r="AS931" s="3"/>
      <c r="AT931" s="3"/>
      <c r="AU931" s="3" t="str">
        <f ca="1">IFERROR(__xludf.DUMMYFUNCTION("""COMPUTED_VALUE"""),"cílený mini videospot - max. 30 sec.")</f>
        <v>cílený mini videospot - max. 30 sec.</v>
      </c>
    </row>
    <row r="932" spans="1:47" x14ac:dyDescent="0.3">
      <c r="A932" s="3">
        <f ca="1"/>
        <v>2346826</v>
      </c>
      <c r="B932" s="3" t="str">
        <f ca="1"/>
        <v>CZECH NEWS CENTER a. s.</v>
      </c>
      <c r="C932" s="3" t="str">
        <f ca="1">IFERROR(__xludf.DUMMYFUNCTION("""COMPUTED_VALUE"""),"Recepty")</f>
        <v>Recepty</v>
      </c>
      <c r="D932" s="4" t="str">
        <f ca="1">IFERROR(__xludf.DUMMYFUNCTION("""COMPUTED_VALUE"""),"https://recepty.cz")</f>
        <v>https://recepty.cz</v>
      </c>
      <c r="E932" s="3" t="str">
        <f ca="1">IFERROR(__xludf.DUMMYFUNCTION("""COMPUTED_VALUE"""),"celý web")</f>
        <v>celý web</v>
      </c>
      <c r="F932" s="4" t="str">
        <f ca="1">IFERROR(__xludf.DUMMYFUNCTION("""COMPUTED_VALUE"""),"https://recepty.cz")</f>
        <v>https://recepty.cz</v>
      </c>
      <c r="G932" s="3" t="str">
        <f ca="1">IFERROR(__xludf.DUMMYFUNCTION("""COMPUTED_VALUE"""),"cílený mobilní interscroller mid season")</f>
        <v>cílený mobilní interscroller mid season</v>
      </c>
      <c r="H932" s="3">
        <f ca="1">IFERROR(__xludf.DUMMYFUNCTION("""COMPUTED_VALUE"""),7)</f>
        <v>7</v>
      </c>
      <c r="I932" s="5">
        <f ca="1">IFERROR(__xludf.DUMMYFUNCTION("""COMPUTED_VALUE"""),1000)</f>
        <v>1000</v>
      </c>
      <c r="J932" s="5">
        <f ca="1">IFERROR(__xludf.DUMMYFUNCTION("""COMPUTED_VALUE"""),420)</f>
        <v>420</v>
      </c>
      <c r="K932" s="3"/>
      <c r="L932" s="3" t="str">
        <f ca="1">IFERROR(__xludf.DUMMYFUNCTION("""COMPUTED_VALUE"""),"Cost per period")</f>
        <v>Cost per period</v>
      </c>
      <c r="M932" s="3"/>
      <c r="N932" s="3"/>
      <c r="O932" s="3" t="str">
        <f ca="1">IFERROR(__xludf.DUMMYFUNCTION("""COMPUTED_VALUE"""),"600")</f>
        <v>600</v>
      </c>
      <c r="P932" s="3" t="str">
        <f ca="1">IFERROR(__xludf.DUMMYFUNCTION("""COMPUTED_VALUE"""),"1080")</f>
        <v>1080</v>
      </c>
      <c r="Q932" s="3" t="str">
        <f ca="1">IFERROR(__xludf.DUMMYFUNCTION("""COMPUTED_VALUE"""),"600x1080")</f>
        <v>600x1080</v>
      </c>
      <c r="R932" s="3"/>
      <c r="S932" s="3" t="str">
        <f ca="1">IFERROR(__xludf.DUMMYFUNCTION("""COMPUTED_VALUE"""),"200")</f>
        <v>200</v>
      </c>
      <c r="T932" s="3"/>
      <c r="U932" s="3" t="str">
        <f ca="1">IFERROR(__xludf.DUMMYFUNCTION("""COMPUTED_VALUE"""),"banner standard")</f>
        <v>banner standard</v>
      </c>
      <c r="V932" s="3"/>
      <c r="W932" s="4" t="str">
        <f ca="1">IFERROR(__xludf.DUMMYFUNCTION("""COMPUTED_VALUE"""),"https://reklama.cncenter.cz/Online/mobilni-interscroller")</f>
        <v>https://reklama.cncenter.cz/Online/mobilni-interscroller</v>
      </c>
      <c r="X932" s="3"/>
      <c r="Y932" s="3"/>
      <c r="Z932" s="3" t="str">
        <f ca="1">IFERROR(__xludf.DUMMYFUNCTION("""COMPUTED_VALUE"""),"podklady@cncenter.cz")</f>
        <v>podklady@cncenter.cz</v>
      </c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 t="str">
        <f ca="1">IFERROR(__xludf.DUMMYFUNCTION("""COMPUTED_VALUE"""),"mobile")</f>
        <v>mobile</v>
      </c>
      <c r="AO932" s="3"/>
      <c r="AP932" s="3"/>
      <c r="AQ932" s="3"/>
      <c r="AR932" s="3"/>
      <c r="AS932" s="3"/>
      <c r="AT932" s="3"/>
      <c r="AU932" s="3" t="str">
        <f ca="1">IFERROR(__xludf.DUMMYFUNCTION("""COMPUTED_VALUE"""),"cílený mobilní interscroller")</f>
        <v>cílený mobilní interscroller</v>
      </c>
    </row>
    <row r="933" spans="1:47" x14ac:dyDescent="0.3">
      <c r="A933" s="3">
        <f ca="1"/>
        <v>2346826</v>
      </c>
      <c r="B933" s="3" t="str">
        <f ca="1"/>
        <v>CZECH NEWS CENTER a. s.</v>
      </c>
      <c r="C933" s="3" t="str">
        <f ca="1">IFERROR(__xludf.DUMMYFUNCTION("""COMPUTED_VALUE"""),"Recepty")</f>
        <v>Recepty</v>
      </c>
      <c r="D933" s="4" t="str">
        <f ca="1">IFERROR(__xludf.DUMMYFUNCTION("""COMPUTED_VALUE"""),"https://recepty.cz")</f>
        <v>https://recepty.cz</v>
      </c>
      <c r="E933" s="3" t="str">
        <f ca="1">IFERROR(__xludf.DUMMYFUNCTION("""COMPUTED_VALUE"""),"celý web")</f>
        <v>celý web</v>
      </c>
      <c r="F933" s="4" t="str">
        <f ca="1">IFERROR(__xludf.DUMMYFUNCTION("""COMPUTED_VALUE"""),"https://recepty.cz")</f>
        <v>https://recepty.cz</v>
      </c>
      <c r="G933" s="3" t="str">
        <f ca="1">IFERROR(__xludf.DUMMYFUNCTION("""COMPUTED_VALUE"""),"cílený mobilní slide-up mid season")</f>
        <v>cílený mobilní slide-up mid season</v>
      </c>
      <c r="H933" s="3">
        <f ca="1">IFERROR(__xludf.DUMMYFUNCTION("""COMPUTED_VALUE"""),7)</f>
        <v>7</v>
      </c>
      <c r="I933" s="5">
        <f ca="1">IFERROR(__xludf.DUMMYFUNCTION("""COMPUTED_VALUE"""),1000)</f>
        <v>1000</v>
      </c>
      <c r="J933" s="5">
        <f ca="1">IFERROR(__xludf.DUMMYFUNCTION("""COMPUTED_VALUE"""),864)</f>
        <v>864</v>
      </c>
      <c r="K933" s="3"/>
      <c r="L933" s="3" t="str">
        <f ca="1">IFERROR(__xludf.DUMMYFUNCTION("""COMPUTED_VALUE"""),"Cost per period")</f>
        <v>Cost per period</v>
      </c>
      <c r="M933" s="3"/>
      <c r="N933" s="3"/>
      <c r="O933" s="3" t="str">
        <f ca="1">IFERROR(__xludf.DUMMYFUNCTION("""COMPUTED_VALUE"""),"300")</f>
        <v>300</v>
      </c>
      <c r="P933" s="3" t="str">
        <f ca="1">IFERROR(__xludf.DUMMYFUNCTION("""COMPUTED_VALUE"""),"120")</f>
        <v>120</v>
      </c>
      <c r="Q933" s="3" t="str">
        <f ca="1">IFERROR(__xludf.DUMMYFUNCTION("""COMPUTED_VALUE"""),"300x120")</f>
        <v>300x120</v>
      </c>
      <c r="R933" s="3"/>
      <c r="S933" s="3" t="str">
        <f ca="1">IFERROR(__xludf.DUMMYFUNCTION("""COMPUTED_VALUE"""),"100")</f>
        <v>100</v>
      </c>
      <c r="T933" s="3"/>
      <c r="U933" s="3" t="str">
        <f ca="1">IFERROR(__xludf.DUMMYFUNCTION("""COMPUTED_VALUE"""),"banner standard")</f>
        <v>banner standard</v>
      </c>
      <c r="V933" s="3"/>
      <c r="W933" s="4" t="str">
        <f ca="1">IFERROR(__xludf.DUMMYFUNCTION("""COMPUTED_VALUE"""),"https://reklama.cncenter.cz/Online/mobilni-slide-up")</f>
        <v>https://reklama.cncenter.cz/Online/mobilni-slide-up</v>
      </c>
      <c r="X933" s="3"/>
      <c r="Y933" s="3"/>
      <c r="Z933" s="3" t="str">
        <f ca="1">IFERROR(__xludf.DUMMYFUNCTION("""COMPUTED_VALUE"""),"podklady@cncenter.cz")</f>
        <v>podklady@cncenter.cz</v>
      </c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 t="str">
        <f ca="1">IFERROR(__xludf.DUMMYFUNCTION("""COMPUTED_VALUE"""),"mobile")</f>
        <v>mobile</v>
      </c>
      <c r="AO933" s="3"/>
      <c r="AP933" s="3"/>
      <c r="AQ933" s="3"/>
      <c r="AR933" s="3"/>
      <c r="AS933" s="3"/>
      <c r="AT933" s="3"/>
      <c r="AU933" s="3" t="str">
        <f ca="1">IFERROR(__xludf.DUMMYFUNCTION("""COMPUTED_VALUE"""),"cílený mobilní slide-up")</f>
        <v>cílený mobilní slide-up</v>
      </c>
    </row>
    <row r="934" spans="1:47" x14ac:dyDescent="0.3">
      <c r="A934" s="3">
        <f ca="1"/>
        <v>2346826</v>
      </c>
      <c r="B934" s="3" t="str">
        <f ca="1"/>
        <v>CZECH NEWS CENTER a. s.</v>
      </c>
      <c r="C934" s="3" t="str">
        <f ca="1">IFERROR(__xludf.DUMMYFUNCTION("""COMPUTED_VALUE"""),"Recepty")</f>
        <v>Recepty</v>
      </c>
      <c r="D934" s="4" t="str">
        <f ca="1">IFERROR(__xludf.DUMMYFUNCTION("""COMPUTED_VALUE"""),"https://recepty.cz")</f>
        <v>https://recepty.cz</v>
      </c>
      <c r="E934" s="3" t="str">
        <f ca="1">IFERROR(__xludf.DUMMYFUNCTION("""COMPUTED_VALUE"""),"celý web")</f>
        <v>celý web</v>
      </c>
      <c r="F934" s="4" t="str">
        <f ca="1">IFERROR(__xludf.DUMMYFUNCTION("""COMPUTED_VALUE"""),"https://recepty.cz")</f>
        <v>https://recepty.cz</v>
      </c>
      <c r="G934" s="3" t="str">
        <f ca="1">IFERROR(__xludf.DUMMYFUNCTION("""COMPUTED_VALUE"""),"cílený mobilní viněta mid season")</f>
        <v>cílený mobilní viněta mid season</v>
      </c>
      <c r="H934" s="3">
        <f ca="1">IFERROR(__xludf.DUMMYFUNCTION("""COMPUTED_VALUE"""),7)</f>
        <v>7</v>
      </c>
      <c r="I934" s="5">
        <f ca="1">IFERROR(__xludf.DUMMYFUNCTION("""COMPUTED_VALUE"""),1000)</f>
        <v>1000</v>
      </c>
      <c r="J934" s="5">
        <f ca="1">IFERROR(__xludf.DUMMYFUNCTION("""COMPUTED_VALUE"""),1488)</f>
        <v>1488</v>
      </c>
      <c r="K934" s="3"/>
      <c r="L934" s="3" t="str">
        <f ca="1">IFERROR(__xludf.DUMMYFUNCTION("""COMPUTED_VALUE"""),"Cost per period")</f>
        <v>Cost per period</v>
      </c>
      <c r="M934" s="3"/>
      <c r="N934" s="3"/>
      <c r="O934" s="3" t="str">
        <f ca="1">IFERROR(__xludf.DUMMYFUNCTION("""COMPUTED_VALUE"""),"600")</f>
        <v>600</v>
      </c>
      <c r="P934" s="3" t="str">
        <f ca="1">IFERROR(__xludf.DUMMYFUNCTION("""COMPUTED_VALUE"""),"800")</f>
        <v>800</v>
      </c>
      <c r="Q934" s="3" t="str">
        <f ca="1">IFERROR(__xludf.DUMMYFUNCTION("""COMPUTED_VALUE"""),"300x250 nebo 600x800")</f>
        <v>300x250 nebo 600x800</v>
      </c>
      <c r="R934" s="3"/>
      <c r="S934" s="3" t="str">
        <f ca="1">IFERROR(__xludf.DUMMYFUNCTION("""COMPUTED_VALUE"""),"100")</f>
        <v>100</v>
      </c>
      <c r="T934" s="3"/>
      <c r="U934" s="3" t="str">
        <f ca="1">IFERROR(__xludf.DUMMYFUNCTION("""COMPUTED_VALUE"""),"banner standard")</f>
        <v>banner standard</v>
      </c>
      <c r="V934" s="3"/>
      <c r="W934" s="4" t="str">
        <f ca="1">IFERROR(__xludf.DUMMYFUNCTION("""COMPUTED_VALUE"""),"https://reklama.cncenter.cz/Online/mobilni-vineta")</f>
        <v>https://reklama.cncenter.cz/Online/mobilni-vineta</v>
      </c>
      <c r="X934" s="3"/>
      <c r="Y934" s="3"/>
      <c r="Z934" s="3" t="str">
        <f ca="1">IFERROR(__xludf.DUMMYFUNCTION("""COMPUTED_VALUE"""),"podklady@cncenter.cz")</f>
        <v>podklady@cncenter.cz</v>
      </c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 t="str">
        <f ca="1">IFERROR(__xludf.DUMMYFUNCTION("""COMPUTED_VALUE"""),"mobile")</f>
        <v>mobile</v>
      </c>
      <c r="AO934" s="3"/>
      <c r="AP934" s="3"/>
      <c r="AQ934" s="3"/>
      <c r="AR934" s="3"/>
      <c r="AS934" s="3"/>
      <c r="AT934" s="3"/>
      <c r="AU934" s="3" t="str">
        <f ca="1">IFERROR(__xludf.DUMMYFUNCTION("""COMPUTED_VALUE"""),"cílený mobilní viněta")</f>
        <v>cílený mobilní viněta</v>
      </c>
    </row>
    <row r="935" spans="1:47" x14ac:dyDescent="0.3">
      <c r="A935" s="3">
        <f ca="1"/>
        <v>2346826</v>
      </c>
      <c r="B935" s="3" t="str">
        <f ca="1"/>
        <v>CZECH NEWS CENTER a. s.</v>
      </c>
      <c r="C935" s="3" t="str">
        <f ca="1">IFERROR(__xludf.DUMMYFUNCTION("""COMPUTED_VALUE"""),"Recepty")</f>
        <v>Recepty</v>
      </c>
      <c r="D935" s="4" t="str">
        <f ca="1">IFERROR(__xludf.DUMMYFUNCTION("""COMPUTED_VALUE"""),"https://recepty.cz")</f>
        <v>https://recepty.cz</v>
      </c>
      <c r="E935" s="3" t="str">
        <f ca="1">IFERROR(__xludf.DUMMYFUNCTION("""COMPUTED_VALUE"""),"celý web")</f>
        <v>celý web</v>
      </c>
      <c r="F935" s="4" t="str">
        <f ca="1">IFERROR(__xludf.DUMMYFUNCTION("""COMPUTED_VALUE"""),"https://recepty.cz")</f>
        <v>https://recepty.cz</v>
      </c>
      <c r="G935" s="3" t="str">
        <f ca="1">IFERROR(__xludf.DUMMYFUNCTION("""COMPUTED_VALUE"""),"cílený nativní pr premium mid season")</f>
        <v>cílený nativní pr premium mid season</v>
      </c>
      <c r="H935" s="3">
        <f ca="1">IFERROR(__xludf.DUMMYFUNCTION("""COMPUTED_VALUE"""),7)</f>
        <v>7</v>
      </c>
      <c r="I935" s="5">
        <f ca="1">IFERROR(__xludf.DUMMYFUNCTION("""COMPUTED_VALUE"""),1000)</f>
        <v>1000</v>
      </c>
      <c r="J935" s="5">
        <f ca="1">IFERROR(__xludf.DUMMYFUNCTION("""COMPUTED_VALUE"""),168)</f>
        <v>168</v>
      </c>
      <c r="K935" s="3"/>
      <c r="L935" s="3" t="str">
        <f ca="1">IFERROR(__xludf.DUMMYFUNCTION("""COMPUTED_VALUE"""),"Cost per period")</f>
        <v>Cost per period</v>
      </c>
      <c r="M935" s="3"/>
      <c r="N935" s="3"/>
      <c r="O935" s="3" t="str">
        <f ca="1">IFERROR(__xludf.DUMMYFUNCTION("""COMPUTED_VALUE"""),"640")</f>
        <v>640</v>
      </c>
      <c r="P935" s="3" t="str">
        <f ca="1">IFERROR(__xludf.DUMMYFUNCTION("""COMPUTED_VALUE"""),"335, 640")</f>
        <v>335, 640</v>
      </c>
      <c r="Q935" s="3" t="str">
        <f ca="1">IFERROR(__xludf.DUMMYFUNCTION("""COMPUTED_VALUE"""),"640x640 a 640x335 + text + logo")</f>
        <v>640x640 a 640x335 + text + logo</v>
      </c>
      <c r="R935" s="3" t="str">
        <f ca="1">IFERROR(__xludf.DUMMYFUNCTION("""COMPUTED_VALUE"""),"detailní specifikace na URL odkaze")</f>
        <v>detailní specifikace na URL odkaze</v>
      </c>
      <c r="S935" s="3" t="str">
        <f ca="1">IFERROR(__xludf.DUMMYFUNCTION("""COMPUTED_VALUE"""),"100")</f>
        <v>100</v>
      </c>
      <c r="T935" s="3"/>
      <c r="U935" s="3" t="str">
        <f ca="1">IFERROR(__xludf.DUMMYFUNCTION("""COMPUTED_VALUE"""),"nativní reklama")</f>
        <v>nativní reklama</v>
      </c>
      <c r="V935" s="3"/>
      <c r="W935" s="4" t="str">
        <f ca="1">IFERROR(__xludf.DUMMYFUNCTION("""COMPUTED_VALUE"""),"https://reklama.cncenter.cz/Online/nativni-PR-premium")</f>
        <v>https://reklama.cncenter.cz/Online/nativni-PR-premium</v>
      </c>
      <c r="X935" s="3"/>
      <c r="Y935" s="3"/>
      <c r="Z935" s="3" t="str">
        <f ca="1">IFERROR(__xludf.DUMMYFUNCTION("""COMPUTED_VALUE"""),"podklady@cncenter.cz")</f>
        <v>podklady@cncenter.cz</v>
      </c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 t="str">
        <f ca="1">IFERROR(__xludf.DUMMYFUNCTION("""COMPUTED_VALUE"""),"cross-device")</f>
        <v>cross-device</v>
      </c>
      <c r="AO935" s="3"/>
      <c r="AP935" s="3"/>
      <c r="AQ935" s="3"/>
      <c r="AR935" s="3"/>
      <c r="AS935" s="3"/>
      <c r="AT935" s="3"/>
      <c r="AU935" s="3" t="str">
        <f ca="1">IFERROR(__xludf.DUMMYFUNCTION("""COMPUTED_VALUE"""),"cílený nativní pr premium")</f>
        <v>cílený nativní pr premium</v>
      </c>
    </row>
    <row r="936" spans="1:47" x14ac:dyDescent="0.3">
      <c r="A936" s="3">
        <f ca="1"/>
        <v>2346826</v>
      </c>
      <c r="B936" s="3" t="str">
        <f ca="1"/>
        <v>CZECH NEWS CENTER a. s.</v>
      </c>
      <c r="C936" s="3" t="str">
        <f ca="1">IFERROR(__xludf.DUMMYFUNCTION("""COMPUTED_VALUE"""),"Recepty")</f>
        <v>Recepty</v>
      </c>
      <c r="D936" s="4" t="str">
        <f ca="1">IFERROR(__xludf.DUMMYFUNCTION("""COMPUTED_VALUE"""),"https://recepty.cz")</f>
        <v>https://recepty.cz</v>
      </c>
      <c r="E936" s="3" t="str">
        <f ca="1">IFERROR(__xludf.DUMMYFUNCTION("""COMPUTED_VALUE"""),"celý web")</f>
        <v>celý web</v>
      </c>
      <c r="F936" s="4" t="str">
        <f ca="1">IFERROR(__xludf.DUMMYFUNCTION("""COMPUTED_VALUE"""),"https://recepty.cz")</f>
        <v>https://recepty.cz</v>
      </c>
      <c r="G936" s="3" t="str">
        <f ca="1">IFERROR(__xludf.DUMMYFUNCTION("""COMPUTED_VALUE"""),"cílený nativní rectangle cross-device mid season")</f>
        <v>cílený nativní rectangle cross-device mid season</v>
      </c>
      <c r="H936" s="3">
        <f ca="1">IFERROR(__xludf.DUMMYFUNCTION("""COMPUTED_VALUE"""),7)</f>
        <v>7</v>
      </c>
      <c r="I936" s="5">
        <f ca="1">IFERROR(__xludf.DUMMYFUNCTION("""COMPUTED_VALUE"""),1000)</f>
        <v>1000</v>
      </c>
      <c r="J936" s="5">
        <f ca="1">IFERROR(__xludf.DUMMYFUNCTION("""COMPUTED_VALUE"""),336)</f>
        <v>336</v>
      </c>
      <c r="K936" s="3"/>
      <c r="L936" s="3" t="str">
        <f ca="1">IFERROR(__xludf.DUMMYFUNCTION("""COMPUTED_VALUE"""),"Cost per period")</f>
        <v>Cost per period</v>
      </c>
      <c r="M936" s="3"/>
      <c r="N936" s="3"/>
      <c r="O936" s="3" t="str">
        <f ca="1">IFERROR(__xludf.DUMMYFUNCTION("""COMPUTED_VALUE"""),"640")</f>
        <v>640</v>
      </c>
      <c r="P936" s="3" t="str">
        <f ca="1">IFERROR(__xludf.DUMMYFUNCTION("""COMPUTED_VALUE"""),"335, 640")</f>
        <v>335, 640</v>
      </c>
      <c r="Q936" s="3" t="str">
        <f ca="1">IFERROR(__xludf.DUMMYFUNCTION("""COMPUTED_VALUE"""),"640x640 a 640x335 + text + logo")</f>
        <v>640x640 a 640x335 + text + logo</v>
      </c>
      <c r="R936" s="3"/>
      <c r="S936" s="3" t="str">
        <f ca="1">IFERROR(__xludf.DUMMYFUNCTION("""COMPUTED_VALUE"""),"45")</f>
        <v>45</v>
      </c>
      <c r="T936" s="3"/>
      <c r="U936" s="3" t="str">
        <f ca="1">IFERROR(__xludf.DUMMYFUNCTION("""COMPUTED_VALUE"""),"nativní reklama")</f>
        <v>nativní reklama</v>
      </c>
      <c r="V936" s="3"/>
      <c r="W936" s="4" t="str">
        <f ca="1">IFERROR(__xludf.DUMMYFUNCTION("""COMPUTED_VALUE"""),"https://reklama.cncenter.cz/Online/nativni-rectangle-cross-device")</f>
        <v>https://reklama.cncenter.cz/Online/nativni-rectangle-cross-device</v>
      </c>
      <c r="X936" s="3"/>
      <c r="Y936" s="3"/>
      <c r="Z936" s="3" t="str">
        <f ca="1">IFERROR(__xludf.DUMMYFUNCTION("""COMPUTED_VALUE"""),"podklady@cncenter.cz")</f>
        <v>podklady@cncenter.cz</v>
      </c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 t="str">
        <f ca="1">IFERROR(__xludf.DUMMYFUNCTION("""COMPUTED_VALUE"""),"cross-device")</f>
        <v>cross-device</v>
      </c>
      <c r="AO936" s="3"/>
      <c r="AP936" s="3"/>
      <c r="AQ936" s="3"/>
      <c r="AR936" s="3"/>
      <c r="AS936" s="3"/>
      <c r="AT936" s="3"/>
      <c r="AU936" s="3" t="str">
        <f ca="1">IFERROR(__xludf.DUMMYFUNCTION("""COMPUTED_VALUE"""),"cílený nativní rectangle cross-device")</f>
        <v>cílený nativní rectangle cross-device</v>
      </c>
    </row>
    <row r="937" spans="1:47" x14ac:dyDescent="0.3">
      <c r="A937" s="3">
        <f ca="1"/>
        <v>2346826</v>
      </c>
      <c r="B937" s="3" t="str">
        <f ca="1"/>
        <v>CZECH NEWS CENTER a. s.</v>
      </c>
      <c r="C937" s="3" t="str">
        <f ca="1">IFERROR(__xludf.DUMMYFUNCTION("""COMPUTED_VALUE"""),"Recepty")</f>
        <v>Recepty</v>
      </c>
      <c r="D937" s="4" t="str">
        <f ca="1">IFERROR(__xludf.DUMMYFUNCTION("""COMPUTED_VALUE"""),"https://recepty.cz")</f>
        <v>https://recepty.cz</v>
      </c>
      <c r="E937" s="3" t="str">
        <f ca="1">IFERROR(__xludf.DUMMYFUNCTION("""COMPUTED_VALUE"""),"celý web")</f>
        <v>celý web</v>
      </c>
      <c r="F937" s="4" t="str">
        <f ca="1">IFERROR(__xludf.DUMMYFUNCTION("""COMPUTED_VALUE"""),"https://recepty.cz")</f>
        <v>https://recepty.cz</v>
      </c>
      <c r="G937" s="3" t="str">
        <f ca="1">IFERROR(__xludf.DUMMYFUNCTION("""COMPUTED_VALUE"""),"cílený outstream mid season")</f>
        <v>cílený outstream mid season</v>
      </c>
      <c r="H937" s="3">
        <f ca="1">IFERROR(__xludf.DUMMYFUNCTION("""COMPUTED_VALUE"""),7)</f>
        <v>7</v>
      </c>
      <c r="I937" s="5">
        <f ca="1">IFERROR(__xludf.DUMMYFUNCTION("""COMPUTED_VALUE"""),1000)</f>
        <v>1000</v>
      </c>
      <c r="J937" s="5">
        <f ca="1">IFERROR(__xludf.DUMMYFUNCTION("""COMPUTED_VALUE"""),420)</f>
        <v>420</v>
      </c>
      <c r="K937" s="3"/>
      <c r="L937" s="3" t="str">
        <f ca="1">IFERROR(__xludf.DUMMYFUNCTION("""COMPUTED_VALUE"""),"Cost per period")</f>
        <v>Cost per period</v>
      </c>
      <c r="M937" s="3"/>
      <c r="N937" s="3"/>
      <c r="O937" s="3" t="str">
        <f ca="1">IFERROR(__xludf.DUMMYFUNCTION("""COMPUTED_VALUE"""),"1280")</f>
        <v>1280</v>
      </c>
      <c r="P937" s="3" t="str">
        <f ca="1">IFERROR(__xludf.DUMMYFUNCTION("""COMPUTED_VALUE"""),"720")</f>
        <v>720</v>
      </c>
      <c r="Q937" s="3" t="str">
        <f ca="1">IFERROR(__xludf.DUMMYFUNCTION("""COMPUTED_VALUE"""),"16:9")</f>
        <v>16:9</v>
      </c>
      <c r="R937" s="3"/>
      <c r="S937" s="3" t="str">
        <f ca="1">IFERROR(__xludf.DUMMYFUNCTION("""COMPUTED_VALUE"""),"100")</f>
        <v>100</v>
      </c>
      <c r="T937" s="3"/>
      <c r="U937" s="3" t="str">
        <f ca="1">IFERROR(__xludf.DUMMYFUNCTION("""COMPUTED_VALUE"""),"videospot")</f>
        <v>videospot</v>
      </c>
      <c r="V937" s="3"/>
      <c r="W937" s="4" t="str">
        <f ca="1">IFERROR(__xludf.DUMMYFUNCTION("""COMPUTED_VALUE"""),"https://reklama.cncenter.cz/Online/Outstream")</f>
        <v>https://reklama.cncenter.cz/Online/Outstream</v>
      </c>
      <c r="X937" s="3"/>
      <c r="Y937" s="3"/>
      <c r="Z937" s="3" t="str">
        <f ca="1">IFERROR(__xludf.DUMMYFUNCTION("""COMPUTED_VALUE"""),"podklady@cncenter.cz")</f>
        <v>podklady@cncenter.cz</v>
      </c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 t="str">
        <f ca="1">IFERROR(__xludf.DUMMYFUNCTION("""COMPUTED_VALUE"""),"cross-device")</f>
        <v>cross-device</v>
      </c>
      <c r="AO937" s="3"/>
      <c r="AP937" s="3"/>
      <c r="AQ937" s="3"/>
      <c r="AR937" s="3"/>
      <c r="AS937" s="3"/>
      <c r="AT937" s="3"/>
      <c r="AU937" s="3" t="str">
        <f ca="1">IFERROR(__xludf.DUMMYFUNCTION("""COMPUTED_VALUE"""),"cílený outstream")</f>
        <v>cílený outstream</v>
      </c>
    </row>
    <row r="938" spans="1:47" x14ac:dyDescent="0.3">
      <c r="A938" s="3">
        <f ca="1"/>
        <v>2346826</v>
      </c>
      <c r="B938" s="3" t="str">
        <f ca="1"/>
        <v>CZECH NEWS CENTER a. s.</v>
      </c>
      <c r="C938" s="3" t="str">
        <f ca="1">IFERROR(__xludf.DUMMYFUNCTION("""COMPUTED_VALUE"""),"Recepty")</f>
        <v>Recepty</v>
      </c>
      <c r="D938" s="4" t="str">
        <f ca="1">IFERROR(__xludf.DUMMYFUNCTION("""COMPUTED_VALUE"""),"https://recepty.cz")</f>
        <v>https://recepty.cz</v>
      </c>
      <c r="E938" s="3" t="str">
        <f ca="1">IFERROR(__xludf.DUMMYFUNCTION("""COMPUTED_VALUE"""),"celý web")</f>
        <v>celý web</v>
      </c>
      <c r="F938" s="4" t="str">
        <f ca="1">IFERROR(__xludf.DUMMYFUNCTION("""COMPUTED_VALUE"""),"https://recepty.cz")</f>
        <v>https://recepty.cz</v>
      </c>
      <c r="G938" s="3" t="str">
        <f ca="1">IFERROR(__xludf.DUMMYFUNCTION("""COMPUTED_VALUE"""),"cílený videospot - max. 30 sec. / bumper mid season")</f>
        <v>cílený videospot - max. 30 sec. / bumper mid season</v>
      </c>
      <c r="H938" s="3">
        <f ca="1">IFERROR(__xludf.DUMMYFUNCTION("""COMPUTED_VALUE"""),7)</f>
        <v>7</v>
      </c>
      <c r="I938" s="5">
        <f ca="1">IFERROR(__xludf.DUMMYFUNCTION("""COMPUTED_VALUE"""),1000)</f>
        <v>1000</v>
      </c>
      <c r="J938" s="5">
        <f ca="1">IFERROR(__xludf.DUMMYFUNCTION("""COMPUTED_VALUE"""),1248)</f>
        <v>1248</v>
      </c>
      <c r="K938" s="3"/>
      <c r="L938" s="3" t="str">
        <f ca="1">IFERROR(__xludf.DUMMYFUNCTION("""COMPUTED_VALUE"""),"Cost per period")</f>
        <v>Cost per period</v>
      </c>
      <c r="M938" s="3"/>
      <c r="N938" s="3"/>
      <c r="O938" s="3" t="str">
        <f ca="1">IFERROR(__xludf.DUMMYFUNCTION("""COMPUTED_VALUE"""),"1280")</f>
        <v>1280</v>
      </c>
      <c r="P938" s="3" t="str">
        <f ca="1">IFERROR(__xludf.DUMMYFUNCTION("""COMPUTED_VALUE"""),"720")</f>
        <v>720</v>
      </c>
      <c r="Q938" s="3" t="str">
        <f ca="1">IFERROR(__xludf.DUMMYFUNCTION("""COMPUTED_VALUE"""),"16:9 / umístění po domluvě dle možností")</f>
        <v>16:9 / umístění po domluvě dle možností</v>
      </c>
      <c r="R938" s="3" t="str">
        <f ca="1">IFERROR(__xludf.DUMMYFUNCTION("""COMPUTED_VALUE"""),"přeskočení po 7 sekundách")</f>
        <v>přeskočení po 7 sekundách</v>
      </c>
      <c r="S938" s="3" t="str">
        <f ca="1">IFERROR(__xludf.DUMMYFUNCTION("""COMPUTED_VALUE"""),"100")</f>
        <v>100</v>
      </c>
      <c r="T938" s="3"/>
      <c r="U938" s="3" t="str">
        <f ca="1">IFERROR(__xludf.DUMMYFUNCTION("""COMPUTED_VALUE"""),"videospot")</f>
        <v>videospot</v>
      </c>
      <c r="V938" s="3"/>
      <c r="W938" s="4" t="str">
        <f ca="1">IFERROR(__xludf.DUMMYFUNCTION("""COMPUTED_VALUE"""),"https://reklama.cncenter.cz/Online/Bumper")</f>
        <v>https://reklama.cncenter.cz/Online/Bumper</v>
      </c>
      <c r="X938" s="3"/>
      <c r="Y938" s="3"/>
      <c r="Z938" s="3" t="str">
        <f ca="1">IFERROR(__xludf.DUMMYFUNCTION("""COMPUTED_VALUE"""),"podklady@cncenter.cz")</f>
        <v>podklady@cncenter.cz</v>
      </c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 t="str">
        <f ca="1">IFERROR(__xludf.DUMMYFUNCTION("""COMPUTED_VALUE"""),"cross-device")</f>
        <v>cross-device</v>
      </c>
      <c r="AO938" s="3"/>
      <c r="AP938" s="3"/>
      <c r="AQ938" s="3"/>
      <c r="AR938" s="3"/>
      <c r="AS938" s="3"/>
      <c r="AT938" s="3"/>
      <c r="AU938" s="3" t="str">
        <f ca="1">IFERROR(__xludf.DUMMYFUNCTION("""COMPUTED_VALUE"""),"cílený videospot - max. 30 sec. / bumper")</f>
        <v>cílený videospot - max. 30 sec. / bumper</v>
      </c>
    </row>
    <row r="939" spans="1:47" x14ac:dyDescent="0.3">
      <c r="A939" s="3">
        <f ca="1"/>
        <v>2346826</v>
      </c>
      <c r="B939" s="3" t="str">
        <f ca="1"/>
        <v>CZECH NEWS CENTER a. s.</v>
      </c>
      <c r="C939" s="3" t="str">
        <f ca="1">IFERROR(__xludf.DUMMYFUNCTION("""COMPUTED_VALUE"""),"Recepty")</f>
        <v>Recepty</v>
      </c>
      <c r="D939" s="4" t="str">
        <f ca="1">IFERROR(__xludf.DUMMYFUNCTION("""COMPUTED_VALUE"""),"https://recepty.cz")</f>
        <v>https://recepty.cz</v>
      </c>
      <c r="E939" s="3" t="str">
        <f ca="1">IFERROR(__xludf.DUMMYFUNCTION("""COMPUTED_VALUE"""),"celý web")</f>
        <v>celý web</v>
      </c>
      <c r="F939" s="4" t="str">
        <f ca="1">IFERROR(__xludf.DUMMYFUNCTION("""COMPUTED_VALUE"""),"https://recepty.cz")</f>
        <v>https://recepty.cz</v>
      </c>
      <c r="G939" s="3" t="str">
        <f ca="1">IFERROR(__xludf.DUMMYFUNCTION("""COMPUTED_VALUE"""),"dokoupení proma o 2 týdny - 10 000 PV *** mid season")</f>
        <v>dokoupení proma o 2 týdny - 10 000 PV *** mid season</v>
      </c>
      <c r="H939" s="3">
        <f ca="1">IFERROR(__xludf.DUMMYFUNCTION("""COMPUTED_VALUE"""),1)</f>
        <v>1</v>
      </c>
      <c r="I939" s="5">
        <f ca="1">IFERROR(__xludf.DUMMYFUNCTION("""COMPUTED_VALUE"""),1)</f>
        <v>1</v>
      </c>
      <c r="J939" s="5">
        <f ca="1">IFERROR(__xludf.DUMMYFUNCTION("""COMPUTED_VALUE"""),60000)</f>
        <v>60000</v>
      </c>
      <c r="K939" s="3"/>
      <c r="L939" s="3" t="str">
        <f ca="1">IFERROR(__xludf.DUMMYFUNCTION("""COMPUTED_VALUE"""),"Cost per instance")</f>
        <v>Cost per instance</v>
      </c>
      <c r="M939" s="3"/>
      <c r="N939" s="3"/>
      <c r="O939" s="3"/>
      <c r="P939" s="3"/>
      <c r="Q939" s="3"/>
      <c r="R939" s="3"/>
      <c r="S939" s="3" t="str">
        <f ca="1">IFERROR(__xludf.DUMMYFUNCTION("""COMPUTED_VALUE"""),"100")</f>
        <v>100</v>
      </c>
      <c r="T939" s="3"/>
      <c r="U939" s="3" t="str">
        <f ca="1">IFERROR(__xludf.DUMMYFUNCTION("""COMPUTED_VALUE"""),"microsite")</f>
        <v>microsite</v>
      </c>
      <c r="V939" s="3"/>
      <c r="W939" s="3"/>
      <c r="X939" s="3"/>
      <c r="Y939" s="3"/>
      <c r="Z939" s="3" t="str">
        <f ca="1">IFERROR(__xludf.DUMMYFUNCTION("""COMPUTED_VALUE"""),"podklady@cncenter.cz")</f>
        <v>podklady@cncenter.cz</v>
      </c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 t="str">
        <f ca="1">IFERROR(__xludf.DUMMYFUNCTION("""COMPUTED_VALUE"""),"cross-device")</f>
        <v>cross-device</v>
      </c>
      <c r="AO939" s="3"/>
      <c r="AP939" s="3"/>
      <c r="AQ939" s="3"/>
      <c r="AR939" s="3"/>
      <c r="AS939" s="3"/>
      <c r="AT939" s="3"/>
      <c r="AU939" s="3" t="str">
        <f ca="1">IFERROR(__xludf.DUMMYFUNCTION("""COMPUTED_VALUE"""),"dokoupení proma o 2 týdny - 10 000 PV ***")</f>
        <v>dokoupení proma o 2 týdny - 10 000 PV ***</v>
      </c>
    </row>
    <row r="940" spans="1:47" x14ac:dyDescent="0.3">
      <c r="A940" s="3">
        <f ca="1"/>
        <v>2346826</v>
      </c>
      <c r="B940" s="3" t="str">
        <f ca="1"/>
        <v>CZECH NEWS CENTER a. s.</v>
      </c>
      <c r="C940" s="3" t="str">
        <f ca="1">IFERROR(__xludf.DUMMYFUNCTION("""COMPUTED_VALUE"""),"Recepty")</f>
        <v>Recepty</v>
      </c>
      <c r="D940" s="4" t="str">
        <f ca="1">IFERROR(__xludf.DUMMYFUNCTION("""COMPUTED_VALUE"""),"https://recepty.cz")</f>
        <v>https://recepty.cz</v>
      </c>
      <c r="E940" s="3" t="str">
        <f ca="1">IFERROR(__xludf.DUMMYFUNCTION("""COMPUTED_VALUE"""),"celý web")</f>
        <v>celý web</v>
      </c>
      <c r="F940" s="4" t="str">
        <f ca="1">IFERROR(__xludf.DUMMYFUNCTION("""COMPUTED_VALUE"""),"https://recepty.cz")</f>
        <v>https://recepty.cz</v>
      </c>
      <c r="G940" s="3" t="str">
        <f ca="1">IFERROR(__xludf.DUMMYFUNCTION("""COMPUTED_VALUE"""),"double skyscraper mid season")</f>
        <v>double skyscraper mid season</v>
      </c>
      <c r="H940" s="3">
        <f ca="1">IFERROR(__xludf.DUMMYFUNCTION("""COMPUTED_VALUE"""),7)</f>
        <v>7</v>
      </c>
      <c r="I940" s="5">
        <f ca="1">IFERROR(__xludf.DUMMYFUNCTION("""COMPUTED_VALUE"""),1000)</f>
        <v>1000</v>
      </c>
      <c r="J940" s="5">
        <f ca="1">IFERROR(__xludf.DUMMYFUNCTION("""COMPUTED_VALUE"""),270)</f>
        <v>270</v>
      </c>
      <c r="K940" s="3"/>
      <c r="L940" s="3" t="str">
        <f ca="1">IFERROR(__xludf.DUMMYFUNCTION("""COMPUTED_VALUE"""),"Cost per period")</f>
        <v>Cost per period</v>
      </c>
      <c r="M940" s="3"/>
      <c r="N940" s="3"/>
      <c r="O940" s="3" t="str">
        <f ca="1">IFERROR(__xludf.DUMMYFUNCTION("""COMPUTED_VALUE"""),"300")</f>
        <v>300</v>
      </c>
      <c r="P940" s="3" t="str">
        <f ca="1">IFERROR(__xludf.DUMMYFUNCTION("""COMPUTED_VALUE"""),"600")</f>
        <v>600</v>
      </c>
      <c r="Q940" s="3" t="str">
        <f ca="1">IFERROR(__xludf.DUMMYFUNCTION("""COMPUTED_VALUE"""),"300x600")</f>
        <v>300x600</v>
      </c>
      <c r="R940" s="3"/>
      <c r="S940" s="3" t="str">
        <f ca="1">IFERROR(__xludf.DUMMYFUNCTION("""COMPUTED_VALUE"""),"100 (200 - HTML5)")</f>
        <v>100 (200 - HTML5)</v>
      </c>
      <c r="T940" s="3"/>
      <c r="U940" s="3" t="str">
        <f ca="1">IFERROR(__xludf.DUMMYFUNCTION("""COMPUTED_VALUE"""),"banner standard")</f>
        <v>banner standard</v>
      </c>
      <c r="V940" s="3"/>
      <c r="W940" s="4" t="str">
        <f ca="1">IFERROR(__xludf.DUMMYFUNCTION("""COMPUTED_VALUE"""),"https://reklama.cncenter.cz/Online/double-skyscraper")</f>
        <v>https://reklama.cncenter.cz/Online/double-skyscraper</v>
      </c>
      <c r="X940" s="3"/>
      <c r="Y940" s="3"/>
      <c r="Z940" s="3" t="str">
        <f ca="1">IFERROR(__xludf.DUMMYFUNCTION("""COMPUTED_VALUE"""),"podklady@cncenter.cz")</f>
        <v>podklady@cncenter.cz</v>
      </c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 t="str">
        <f ca="1">IFERROR(__xludf.DUMMYFUNCTION("""COMPUTED_VALUE"""),"desktop")</f>
        <v>desktop</v>
      </c>
      <c r="AO940" s="3"/>
      <c r="AP940" s="3"/>
      <c r="AQ940" s="3"/>
      <c r="AR940" s="3"/>
      <c r="AS940" s="3"/>
      <c r="AT940" s="3"/>
      <c r="AU940" s="3" t="str">
        <f ca="1">IFERROR(__xludf.DUMMYFUNCTION("""COMPUTED_VALUE"""),"double skyscraper")</f>
        <v>double skyscraper</v>
      </c>
    </row>
    <row r="941" spans="1:47" x14ac:dyDescent="0.3">
      <c r="A941" s="3">
        <f ca="1"/>
        <v>2346826</v>
      </c>
      <c r="B941" s="3" t="str">
        <f ca="1"/>
        <v>CZECH NEWS CENTER a. s.</v>
      </c>
      <c r="C941" s="3" t="str">
        <f ca="1">IFERROR(__xludf.DUMMYFUNCTION("""COMPUTED_VALUE"""),"Recepty")</f>
        <v>Recepty</v>
      </c>
      <c r="D941" s="4" t="str">
        <f ca="1">IFERROR(__xludf.DUMMYFUNCTION("""COMPUTED_VALUE"""),"https://recepty.cz")</f>
        <v>https://recepty.cz</v>
      </c>
      <c r="E941" s="3" t="str">
        <f ca="1">IFERROR(__xludf.DUMMYFUNCTION("""COMPUTED_VALUE"""),"celý web")</f>
        <v>celý web</v>
      </c>
      <c r="F941" s="4" t="str">
        <f ca="1">IFERROR(__xludf.DUMMYFUNCTION("""COMPUTED_VALUE"""),"https://recepty.cz")</f>
        <v>https://recepty.cz</v>
      </c>
      <c r="G941" s="3" t="str">
        <f ca="1">IFERROR(__xludf.DUMMYFUNCTION("""COMPUTED_VALUE"""),"mini videospot - max. 30 sec. mid season")</f>
        <v>mini videospot - max. 30 sec. mid season</v>
      </c>
      <c r="H941" s="3">
        <f ca="1">IFERROR(__xludf.DUMMYFUNCTION("""COMPUTED_VALUE"""),7)</f>
        <v>7</v>
      </c>
      <c r="I941" s="5">
        <f ca="1">IFERROR(__xludf.DUMMYFUNCTION("""COMPUTED_VALUE"""),1000)</f>
        <v>1000</v>
      </c>
      <c r="J941" s="5">
        <f ca="1">IFERROR(__xludf.DUMMYFUNCTION("""COMPUTED_VALUE"""),200)</f>
        <v>200</v>
      </c>
      <c r="K941" s="3"/>
      <c r="L941" s="3" t="str">
        <f ca="1">IFERROR(__xludf.DUMMYFUNCTION("""COMPUTED_VALUE"""),"Cost per period")</f>
        <v>Cost per period</v>
      </c>
      <c r="M941" s="3"/>
      <c r="N941" s="3"/>
      <c r="O941" s="3"/>
      <c r="P941" s="3"/>
      <c r="Q941" s="3" t="str">
        <f ca="1">IFERROR(__xludf.DUMMYFUNCTION("""COMPUTED_VALUE"""),"16:9 / umístění po domluvě dle možností")</f>
        <v>16:9 / umístění po domluvě dle možností</v>
      </c>
      <c r="R941" s="3" t="str">
        <f ca="1">IFERROR(__xludf.DUMMYFUNCTION("""COMPUTED_VALUE"""),"přeskočení po 7 sekundách")</f>
        <v>přeskočení po 7 sekundách</v>
      </c>
      <c r="S941" s="3" t="str">
        <f ca="1">IFERROR(__xludf.DUMMYFUNCTION("""COMPUTED_VALUE"""),"100")</f>
        <v>100</v>
      </c>
      <c r="T941" s="3"/>
      <c r="U941" s="3" t="str">
        <f ca="1">IFERROR(__xludf.DUMMYFUNCTION("""COMPUTED_VALUE"""),"videospot")</f>
        <v>videospot</v>
      </c>
      <c r="V941" s="3"/>
      <c r="W941" s="4" t="str">
        <f ca="1">IFERROR(__xludf.DUMMYFUNCTION("""COMPUTED_VALUE"""),"https://reklama.cncenter.cz/Online/Videospot")</f>
        <v>https://reklama.cncenter.cz/Online/Videospot</v>
      </c>
      <c r="X941" s="3"/>
      <c r="Y941" s="3"/>
      <c r="Z941" s="3" t="str">
        <f ca="1">IFERROR(__xludf.DUMMYFUNCTION("""COMPUTED_VALUE"""),"podklady@cncenter.cz")</f>
        <v>podklady@cncenter.cz</v>
      </c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 t="str">
        <f ca="1">IFERROR(__xludf.DUMMYFUNCTION("""COMPUTED_VALUE"""),"desktop")</f>
        <v>desktop</v>
      </c>
      <c r="AO941" s="3"/>
      <c r="AP941" s="3"/>
      <c r="AQ941" s="3"/>
      <c r="AR941" s="3"/>
      <c r="AS941" s="3"/>
      <c r="AT941" s="3"/>
      <c r="AU941" s="3" t="str">
        <f ca="1">IFERROR(__xludf.DUMMYFUNCTION("""COMPUTED_VALUE"""),"mini videospot - max. 30 sec.")</f>
        <v>mini videospot - max. 30 sec.</v>
      </c>
    </row>
    <row r="942" spans="1:47" x14ac:dyDescent="0.3">
      <c r="A942" s="3">
        <f ca="1"/>
        <v>2346826</v>
      </c>
      <c r="B942" s="3" t="str">
        <f ca="1"/>
        <v>CZECH NEWS CENTER a. s.</v>
      </c>
      <c r="C942" s="3" t="str">
        <f ca="1">IFERROR(__xludf.DUMMYFUNCTION("""COMPUTED_VALUE"""),"Recepty")</f>
        <v>Recepty</v>
      </c>
      <c r="D942" s="4" t="str">
        <f ca="1">IFERROR(__xludf.DUMMYFUNCTION("""COMPUTED_VALUE"""),"https://recepty.cz")</f>
        <v>https://recepty.cz</v>
      </c>
      <c r="E942" s="3" t="str">
        <f ca="1">IFERROR(__xludf.DUMMYFUNCTION("""COMPUTED_VALUE"""),"celý web")</f>
        <v>celý web</v>
      </c>
      <c r="F942" s="4" t="str">
        <f ca="1">IFERROR(__xludf.DUMMYFUNCTION("""COMPUTED_VALUE"""),"https://recepty.cz")</f>
        <v>https://recepty.cz</v>
      </c>
      <c r="G942" s="3" t="str">
        <f ca="1">IFERROR(__xludf.DUMMYFUNCTION("""COMPUTED_VALUE"""),"mobilní interscroller mid season")</f>
        <v>mobilní interscroller mid season</v>
      </c>
      <c r="H942" s="3">
        <f ca="1">IFERROR(__xludf.DUMMYFUNCTION("""COMPUTED_VALUE"""),7)</f>
        <v>7</v>
      </c>
      <c r="I942" s="5">
        <f ca="1">IFERROR(__xludf.DUMMYFUNCTION("""COMPUTED_VALUE"""),1000)</f>
        <v>1000</v>
      </c>
      <c r="J942" s="5">
        <f ca="1">IFERROR(__xludf.DUMMYFUNCTION("""COMPUTED_VALUE"""),350)</f>
        <v>350</v>
      </c>
      <c r="K942" s="3"/>
      <c r="L942" s="3" t="str">
        <f ca="1">IFERROR(__xludf.DUMMYFUNCTION("""COMPUTED_VALUE"""),"Cost per period")</f>
        <v>Cost per period</v>
      </c>
      <c r="M942" s="3"/>
      <c r="N942" s="3"/>
      <c r="O942" s="3" t="str">
        <f ca="1">IFERROR(__xludf.DUMMYFUNCTION("""COMPUTED_VALUE"""),"600")</f>
        <v>600</v>
      </c>
      <c r="P942" s="3" t="str">
        <f ca="1">IFERROR(__xludf.DUMMYFUNCTION("""COMPUTED_VALUE"""),"1080")</f>
        <v>1080</v>
      </c>
      <c r="Q942" s="3" t="str">
        <f ca="1">IFERROR(__xludf.DUMMYFUNCTION("""COMPUTED_VALUE"""),"600x1080")</f>
        <v>600x1080</v>
      </c>
      <c r="R942" s="3"/>
      <c r="S942" s="3" t="str">
        <f ca="1">IFERROR(__xludf.DUMMYFUNCTION("""COMPUTED_VALUE"""),"200")</f>
        <v>200</v>
      </c>
      <c r="T942" s="3"/>
      <c r="U942" s="3" t="str">
        <f ca="1">IFERROR(__xludf.DUMMYFUNCTION("""COMPUTED_VALUE"""),"banner standard")</f>
        <v>banner standard</v>
      </c>
      <c r="V942" s="3"/>
      <c r="W942" s="4" t="str">
        <f ca="1">IFERROR(__xludf.DUMMYFUNCTION("""COMPUTED_VALUE"""),"https://reklama.cncenter.cz/Online/mobilni-interscroller")</f>
        <v>https://reklama.cncenter.cz/Online/mobilni-interscroller</v>
      </c>
      <c r="X942" s="3"/>
      <c r="Y942" s="3"/>
      <c r="Z942" s="3" t="str">
        <f ca="1">IFERROR(__xludf.DUMMYFUNCTION("""COMPUTED_VALUE"""),"podklady@cncenter.cz")</f>
        <v>podklady@cncenter.cz</v>
      </c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 t="str">
        <f ca="1">IFERROR(__xludf.DUMMYFUNCTION("""COMPUTED_VALUE"""),"mobile")</f>
        <v>mobile</v>
      </c>
      <c r="AO942" s="3"/>
      <c r="AP942" s="3"/>
      <c r="AQ942" s="3"/>
      <c r="AR942" s="3"/>
      <c r="AS942" s="3"/>
      <c r="AT942" s="3"/>
      <c r="AU942" s="3" t="str">
        <f ca="1">IFERROR(__xludf.DUMMYFUNCTION("""COMPUTED_VALUE"""),"mobilní interscroller")</f>
        <v>mobilní interscroller</v>
      </c>
    </row>
    <row r="943" spans="1:47" x14ac:dyDescent="0.3">
      <c r="A943" s="3">
        <f ca="1"/>
        <v>2346826</v>
      </c>
      <c r="B943" s="3" t="str">
        <f ca="1"/>
        <v>CZECH NEWS CENTER a. s.</v>
      </c>
      <c r="C943" s="3" t="str">
        <f ca="1">IFERROR(__xludf.DUMMYFUNCTION("""COMPUTED_VALUE"""),"Recepty")</f>
        <v>Recepty</v>
      </c>
      <c r="D943" s="4" t="str">
        <f ca="1">IFERROR(__xludf.DUMMYFUNCTION("""COMPUTED_VALUE"""),"https://recepty.cz")</f>
        <v>https://recepty.cz</v>
      </c>
      <c r="E943" s="3" t="str">
        <f ca="1">IFERROR(__xludf.DUMMYFUNCTION("""COMPUTED_VALUE"""),"celý web")</f>
        <v>celý web</v>
      </c>
      <c r="F943" s="4" t="str">
        <f ca="1">IFERROR(__xludf.DUMMYFUNCTION("""COMPUTED_VALUE"""),"https://recepty.cz")</f>
        <v>https://recepty.cz</v>
      </c>
      <c r="G943" s="3" t="str">
        <f ca="1">IFERROR(__xludf.DUMMYFUNCTION("""COMPUTED_VALUE"""),"mobilní slide-up mid season")</f>
        <v>mobilní slide-up mid season</v>
      </c>
      <c r="H943" s="3">
        <f ca="1">IFERROR(__xludf.DUMMYFUNCTION("""COMPUTED_VALUE"""),7)</f>
        <v>7</v>
      </c>
      <c r="I943" s="5">
        <f ca="1">IFERROR(__xludf.DUMMYFUNCTION("""COMPUTED_VALUE"""),1000)</f>
        <v>1000</v>
      </c>
      <c r="J943" s="5">
        <f ca="1">IFERROR(__xludf.DUMMYFUNCTION("""COMPUTED_VALUE"""),720)</f>
        <v>720</v>
      </c>
      <c r="K943" s="3"/>
      <c r="L943" s="3" t="str">
        <f ca="1">IFERROR(__xludf.DUMMYFUNCTION("""COMPUTED_VALUE"""),"Cost per period")</f>
        <v>Cost per period</v>
      </c>
      <c r="M943" s="3"/>
      <c r="N943" s="3"/>
      <c r="O943" s="3" t="str">
        <f ca="1">IFERROR(__xludf.DUMMYFUNCTION("""COMPUTED_VALUE"""),"300")</f>
        <v>300</v>
      </c>
      <c r="P943" s="3" t="str">
        <f ca="1">IFERROR(__xludf.DUMMYFUNCTION("""COMPUTED_VALUE"""),"120")</f>
        <v>120</v>
      </c>
      <c r="Q943" s="3" t="str">
        <f ca="1">IFERROR(__xludf.DUMMYFUNCTION("""COMPUTED_VALUE"""),"300x120")</f>
        <v>300x120</v>
      </c>
      <c r="R943" s="3"/>
      <c r="S943" s="3" t="str">
        <f ca="1">IFERROR(__xludf.DUMMYFUNCTION("""COMPUTED_VALUE"""),"100")</f>
        <v>100</v>
      </c>
      <c r="T943" s="3"/>
      <c r="U943" s="3" t="str">
        <f ca="1">IFERROR(__xludf.DUMMYFUNCTION("""COMPUTED_VALUE"""),"banner standard")</f>
        <v>banner standard</v>
      </c>
      <c r="V943" s="3"/>
      <c r="W943" s="4" t="str">
        <f ca="1">IFERROR(__xludf.DUMMYFUNCTION("""COMPUTED_VALUE"""),"https://reklama.cncenter.cz/Online/mobilni-slide-up")</f>
        <v>https://reklama.cncenter.cz/Online/mobilni-slide-up</v>
      </c>
      <c r="X943" s="3"/>
      <c r="Y943" s="3"/>
      <c r="Z943" s="3" t="str">
        <f ca="1">IFERROR(__xludf.DUMMYFUNCTION("""COMPUTED_VALUE"""),"podklady@cncenter.cz")</f>
        <v>podklady@cncenter.cz</v>
      </c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 t="str">
        <f ca="1">IFERROR(__xludf.DUMMYFUNCTION("""COMPUTED_VALUE"""),"mobile")</f>
        <v>mobile</v>
      </c>
      <c r="AO943" s="3"/>
      <c r="AP943" s="3"/>
      <c r="AQ943" s="3"/>
      <c r="AR943" s="3"/>
      <c r="AS943" s="3"/>
      <c r="AT943" s="3"/>
      <c r="AU943" s="3" t="str">
        <f ca="1">IFERROR(__xludf.DUMMYFUNCTION("""COMPUTED_VALUE"""),"mobilní slide-up")</f>
        <v>mobilní slide-up</v>
      </c>
    </row>
    <row r="944" spans="1:47" x14ac:dyDescent="0.3">
      <c r="A944" s="3">
        <f ca="1"/>
        <v>2346826</v>
      </c>
      <c r="B944" s="3" t="str">
        <f ca="1"/>
        <v>CZECH NEWS CENTER a. s.</v>
      </c>
      <c r="C944" s="3" t="str">
        <f ca="1">IFERROR(__xludf.DUMMYFUNCTION("""COMPUTED_VALUE"""),"Recepty")</f>
        <v>Recepty</v>
      </c>
      <c r="D944" s="4" t="str">
        <f ca="1">IFERROR(__xludf.DUMMYFUNCTION("""COMPUTED_VALUE"""),"https://recepty.cz")</f>
        <v>https://recepty.cz</v>
      </c>
      <c r="E944" s="3" t="str">
        <f ca="1">IFERROR(__xludf.DUMMYFUNCTION("""COMPUTED_VALUE"""),"celý web")</f>
        <v>celý web</v>
      </c>
      <c r="F944" s="4" t="str">
        <f ca="1">IFERROR(__xludf.DUMMYFUNCTION("""COMPUTED_VALUE"""),"https://recepty.cz")</f>
        <v>https://recepty.cz</v>
      </c>
      <c r="G944" s="3" t="str">
        <f ca="1">IFERROR(__xludf.DUMMYFUNCTION("""COMPUTED_VALUE"""),"mobilní viněta mid season")</f>
        <v>mobilní viněta mid season</v>
      </c>
      <c r="H944" s="3">
        <f ca="1">IFERROR(__xludf.DUMMYFUNCTION("""COMPUTED_VALUE"""),7)</f>
        <v>7</v>
      </c>
      <c r="I944" s="5">
        <f ca="1">IFERROR(__xludf.DUMMYFUNCTION("""COMPUTED_VALUE"""),1000)</f>
        <v>1000</v>
      </c>
      <c r="J944" s="5">
        <f ca="1">IFERROR(__xludf.DUMMYFUNCTION("""COMPUTED_VALUE"""),1240)</f>
        <v>1240</v>
      </c>
      <c r="K944" s="3"/>
      <c r="L944" s="3" t="str">
        <f ca="1">IFERROR(__xludf.DUMMYFUNCTION("""COMPUTED_VALUE"""),"Cost per period")</f>
        <v>Cost per period</v>
      </c>
      <c r="M944" s="3"/>
      <c r="N944" s="3"/>
      <c r="O944" s="3" t="str">
        <f ca="1">IFERROR(__xludf.DUMMYFUNCTION("""COMPUTED_VALUE"""),"600")</f>
        <v>600</v>
      </c>
      <c r="P944" s="3" t="str">
        <f ca="1">IFERROR(__xludf.DUMMYFUNCTION("""COMPUTED_VALUE"""),"800")</f>
        <v>800</v>
      </c>
      <c r="Q944" s="3" t="str">
        <f ca="1">IFERROR(__xludf.DUMMYFUNCTION("""COMPUTED_VALUE"""),"300x250 nebo 600x800")</f>
        <v>300x250 nebo 600x800</v>
      </c>
      <c r="R944" s="3"/>
      <c r="S944" s="3" t="str">
        <f ca="1">IFERROR(__xludf.DUMMYFUNCTION("""COMPUTED_VALUE"""),"100")</f>
        <v>100</v>
      </c>
      <c r="T944" s="3"/>
      <c r="U944" s="3" t="str">
        <f ca="1">IFERROR(__xludf.DUMMYFUNCTION("""COMPUTED_VALUE"""),"banner standard")</f>
        <v>banner standard</v>
      </c>
      <c r="V944" s="3"/>
      <c r="W944" s="4" t="str">
        <f ca="1">IFERROR(__xludf.DUMMYFUNCTION("""COMPUTED_VALUE"""),"https://reklama.cncenter.cz/Online/mobilni-vineta")</f>
        <v>https://reklama.cncenter.cz/Online/mobilni-vineta</v>
      </c>
      <c r="X944" s="3"/>
      <c r="Y944" s="3"/>
      <c r="Z944" s="3" t="str">
        <f ca="1">IFERROR(__xludf.DUMMYFUNCTION("""COMPUTED_VALUE"""),"podklady@cncenter.cz")</f>
        <v>podklady@cncenter.cz</v>
      </c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 t="str">
        <f ca="1">IFERROR(__xludf.DUMMYFUNCTION("""COMPUTED_VALUE"""),"mobile")</f>
        <v>mobile</v>
      </c>
      <c r="AO944" s="3"/>
      <c r="AP944" s="3"/>
      <c r="AQ944" s="3"/>
      <c r="AR944" s="3"/>
      <c r="AS944" s="3"/>
      <c r="AT944" s="3"/>
      <c r="AU944" s="3" t="str">
        <f ca="1">IFERROR(__xludf.DUMMYFUNCTION("""COMPUTED_VALUE"""),"mobilní viněta")</f>
        <v>mobilní viněta</v>
      </c>
    </row>
    <row r="945" spans="1:47" x14ac:dyDescent="0.3">
      <c r="A945" s="3">
        <f ca="1"/>
        <v>2346826</v>
      </c>
      <c r="B945" s="3" t="str">
        <f ca="1"/>
        <v>CZECH NEWS CENTER a. s.</v>
      </c>
      <c r="C945" s="3" t="str">
        <f ca="1">IFERROR(__xludf.DUMMYFUNCTION("""COMPUTED_VALUE"""),"Recepty")</f>
        <v>Recepty</v>
      </c>
      <c r="D945" s="4" t="str">
        <f ca="1">IFERROR(__xludf.DUMMYFUNCTION("""COMPUTED_VALUE"""),"https://recepty.cz")</f>
        <v>https://recepty.cz</v>
      </c>
      <c r="E945" s="3" t="str">
        <f ca="1">IFERROR(__xludf.DUMMYFUNCTION("""COMPUTED_VALUE"""),"celý web")</f>
        <v>celý web</v>
      </c>
      <c r="F945" s="4" t="str">
        <f ca="1">IFERROR(__xludf.DUMMYFUNCTION("""COMPUTED_VALUE"""),"https://recepty.cz")</f>
        <v>https://recepty.cz</v>
      </c>
      <c r="G945" s="3" t="str">
        <f ca="1">IFERROR(__xludf.DUMMYFUNCTION("""COMPUTED_VALUE"""),"Native Standard mid season")</f>
        <v>Native Standard mid season</v>
      </c>
      <c r="H945" s="3">
        <f ca="1">IFERROR(__xludf.DUMMYFUNCTION("""COMPUTED_VALUE"""),1)</f>
        <v>1</v>
      </c>
      <c r="I945" s="5">
        <f ca="1">IFERROR(__xludf.DUMMYFUNCTION("""COMPUTED_VALUE"""),1)</f>
        <v>1</v>
      </c>
      <c r="J945" s="5">
        <f ca="1">IFERROR(__xludf.DUMMYFUNCTION("""COMPUTED_VALUE"""),330000)</f>
        <v>330000</v>
      </c>
      <c r="K945" s="3"/>
      <c r="L945" s="3" t="str">
        <f ca="1">IFERROR(__xludf.DUMMYFUNCTION("""COMPUTED_VALUE"""),"Cost per instance")</f>
        <v>Cost per instance</v>
      </c>
      <c r="M945" s="3"/>
      <c r="N945" s="3"/>
      <c r="O945" s="3"/>
      <c r="P945" s="3"/>
      <c r="Q945" s="3"/>
      <c r="R945" s="3"/>
      <c r="S945" s="3" t="str">
        <f ca="1">IFERROR(__xludf.DUMMYFUNCTION("""COMPUTED_VALUE"""),"100")</f>
        <v>100</v>
      </c>
      <c r="T945" s="3"/>
      <c r="U945" s="3" t="str">
        <f ca="1">IFERROR(__xludf.DUMMYFUNCTION("""COMPUTED_VALUE"""),"microsite")</f>
        <v>microsite</v>
      </c>
      <c r="V945" s="3"/>
      <c r="W945" s="3"/>
      <c r="X945" s="3"/>
      <c r="Y945" s="3"/>
      <c r="Z945" s="3" t="str">
        <f ca="1">IFERROR(__xludf.DUMMYFUNCTION("""COMPUTED_VALUE"""),"podklady@cncenter.cz")</f>
        <v>podklady@cncenter.cz</v>
      </c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 t="str">
        <f ca="1">IFERROR(__xludf.DUMMYFUNCTION("""COMPUTED_VALUE"""),"cross-device")</f>
        <v>cross-device</v>
      </c>
      <c r="AO945" s="3"/>
      <c r="AP945" s="3"/>
      <c r="AQ945" s="3"/>
      <c r="AR945" s="3"/>
      <c r="AS945" s="3"/>
      <c r="AT945" s="3"/>
      <c r="AU945" s="3" t="str">
        <f ca="1">IFERROR(__xludf.DUMMYFUNCTION("""COMPUTED_VALUE"""),"Native Standard")</f>
        <v>Native Standard</v>
      </c>
    </row>
    <row r="946" spans="1:47" x14ac:dyDescent="0.3">
      <c r="A946" s="3">
        <f ca="1"/>
        <v>2346826</v>
      </c>
      <c r="B946" s="3" t="str">
        <f ca="1"/>
        <v>CZECH NEWS CENTER a. s.</v>
      </c>
      <c r="C946" s="3" t="str">
        <f ca="1">IFERROR(__xludf.DUMMYFUNCTION("""COMPUTED_VALUE"""),"Recepty")</f>
        <v>Recepty</v>
      </c>
      <c r="D946" s="4" t="str">
        <f ca="1">IFERROR(__xludf.DUMMYFUNCTION("""COMPUTED_VALUE"""),"https://recepty.cz")</f>
        <v>https://recepty.cz</v>
      </c>
      <c r="E946" s="3" t="str">
        <f ca="1">IFERROR(__xludf.DUMMYFUNCTION("""COMPUTED_VALUE"""),"celý web")</f>
        <v>celý web</v>
      </c>
      <c r="F946" s="4" t="str">
        <f ca="1">IFERROR(__xludf.DUMMYFUNCTION("""COMPUTED_VALUE"""),"https://recepty.cz")</f>
        <v>https://recepty.cz</v>
      </c>
      <c r="G946" s="3" t="str">
        <f ca="1">IFERROR(__xludf.DUMMYFUNCTION("""COMPUTED_VALUE"""),"nativní pr premium mid season")</f>
        <v>nativní pr premium mid season</v>
      </c>
      <c r="H946" s="3">
        <f ca="1">IFERROR(__xludf.DUMMYFUNCTION("""COMPUTED_VALUE"""),7)</f>
        <v>7</v>
      </c>
      <c r="I946" s="5">
        <f ca="1">IFERROR(__xludf.DUMMYFUNCTION("""COMPUTED_VALUE"""),1000)</f>
        <v>1000</v>
      </c>
      <c r="J946" s="5">
        <f ca="1">IFERROR(__xludf.DUMMYFUNCTION("""COMPUTED_VALUE"""),140)</f>
        <v>140</v>
      </c>
      <c r="K946" s="3"/>
      <c r="L946" s="3" t="str">
        <f ca="1">IFERROR(__xludf.DUMMYFUNCTION("""COMPUTED_VALUE"""),"Cost per period")</f>
        <v>Cost per period</v>
      </c>
      <c r="M946" s="3"/>
      <c r="N946" s="3"/>
      <c r="O946" s="3" t="str">
        <f ca="1">IFERROR(__xludf.DUMMYFUNCTION("""COMPUTED_VALUE"""),"640")</f>
        <v>640</v>
      </c>
      <c r="P946" s="3" t="str">
        <f ca="1">IFERROR(__xludf.DUMMYFUNCTION("""COMPUTED_VALUE"""),"335, 640")</f>
        <v>335, 640</v>
      </c>
      <c r="Q946" s="3" t="str">
        <f ca="1">IFERROR(__xludf.DUMMYFUNCTION("""COMPUTED_VALUE"""),"640x640 a 640x335 + text + logo")</f>
        <v>640x640 a 640x335 + text + logo</v>
      </c>
      <c r="R946" s="3" t="str">
        <f ca="1">IFERROR(__xludf.DUMMYFUNCTION("""COMPUTED_VALUE"""),"detailní specifikace na URL odkaze")</f>
        <v>detailní specifikace na URL odkaze</v>
      </c>
      <c r="S946" s="3" t="str">
        <f ca="1">IFERROR(__xludf.DUMMYFUNCTION("""COMPUTED_VALUE"""),"100")</f>
        <v>100</v>
      </c>
      <c r="T946" s="3"/>
      <c r="U946" s="3" t="str">
        <f ca="1">IFERROR(__xludf.DUMMYFUNCTION("""COMPUTED_VALUE"""),"nativní reklama")</f>
        <v>nativní reklama</v>
      </c>
      <c r="V946" s="3"/>
      <c r="W946" s="4" t="str">
        <f ca="1">IFERROR(__xludf.DUMMYFUNCTION("""COMPUTED_VALUE"""),"https://reklama.cncenter.cz/Online/nativni-PR-premium")</f>
        <v>https://reklama.cncenter.cz/Online/nativni-PR-premium</v>
      </c>
      <c r="X946" s="3"/>
      <c r="Y946" s="3"/>
      <c r="Z946" s="3" t="str">
        <f ca="1">IFERROR(__xludf.DUMMYFUNCTION("""COMPUTED_VALUE"""),"podklady@cncenter.cz")</f>
        <v>podklady@cncenter.cz</v>
      </c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 t="str">
        <f ca="1">IFERROR(__xludf.DUMMYFUNCTION("""COMPUTED_VALUE"""),"cross-device")</f>
        <v>cross-device</v>
      </c>
      <c r="AO946" s="3"/>
      <c r="AP946" s="3"/>
      <c r="AQ946" s="3"/>
      <c r="AR946" s="3"/>
      <c r="AS946" s="3"/>
      <c r="AT946" s="3"/>
      <c r="AU946" s="3" t="str">
        <f ca="1">IFERROR(__xludf.DUMMYFUNCTION("""COMPUTED_VALUE"""),"nativní pr premium")</f>
        <v>nativní pr premium</v>
      </c>
    </row>
    <row r="947" spans="1:47" x14ac:dyDescent="0.3">
      <c r="A947" s="3">
        <f ca="1"/>
        <v>2346826</v>
      </c>
      <c r="B947" s="3" t="str">
        <f ca="1"/>
        <v>CZECH NEWS CENTER a. s.</v>
      </c>
      <c r="C947" s="3" t="str">
        <f ca="1">IFERROR(__xludf.DUMMYFUNCTION("""COMPUTED_VALUE"""),"Recepty")</f>
        <v>Recepty</v>
      </c>
      <c r="D947" s="4" t="str">
        <f ca="1">IFERROR(__xludf.DUMMYFUNCTION("""COMPUTED_VALUE"""),"https://recepty.cz")</f>
        <v>https://recepty.cz</v>
      </c>
      <c r="E947" s="3" t="str">
        <f ca="1">IFERROR(__xludf.DUMMYFUNCTION("""COMPUTED_VALUE"""),"celý web")</f>
        <v>celý web</v>
      </c>
      <c r="F947" s="4" t="str">
        <f ca="1">IFERROR(__xludf.DUMMYFUNCTION("""COMPUTED_VALUE"""),"https://recepty.cz")</f>
        <v>https://recepty.cz</v>
      </c>
      <c r="G947" s="3" t="str">
        <f ca="1">IFERROR(__xludf.DUMMYFUNCTION("""COMPUTED_VALUE"""),"nativní rectangle cross-device mid season")</f>
        <v>nativní rectangle cross-device mid season</v>
      </c>
      <c r="H947" s="3">
        <f ca="1">IFERROR(__xludf.DUMMYFUNCTION("""COMPUTED_VALUE"""),7)</f>
        <v>7</v>
      </c>
      <c r="I947" s="5">
        <f ca="1">IFERROR(__xludf.DUMMYFUNCTION("""COMPUTED_VALUE"""),1000)</f>
        <v>1000</v>
      </c>
      <c r="J947" s="5">
        <f ca="1">IFERROR(__xludf.DUMMYFUNCTION("""COMPUTED_VALUE"""),280)</f>
        <v>280</v>
      </c>
      <c r="K947" s="3"/>
      <c r="L947" s="3" t="str">
        <f ca="1">IFERROR(__xludf.DUMMYFUNCTION("""COMPUTED_VALUE"""),"Cost per period")</f>
        <v>Cost per period</v>
      </c>
      <c r="M947" s="3"/>
      <c r="N947" s="3"/>
      <c r="O947" s="3" t="str">
        <f ca="1">IFERROR(__xludf.DUMMYFUNCTION("""COMPUTED_VALUE"""),"640")</f>
        <v>640</v>
      </c>
      <c r="P947" s="3" t="str">
        <f ca="1">IFERROR(__xludf.DUMMYFUNCTION("""COMPUTED_VALUE"""),"335, 640")</f>
        <v>335, 640</v>
      </c>
      <c r="Q947" s="3" t="str">
        <f ca="1">IFERROR(__xludf.DUMMYFUNCTION("""COMPUTED_VALUE"""),"640x640 a 640x335 + text + logo")</f>
        <v>640x640 a 640x335 + text + logo</v>
      </c>
      <c r="R947" s="3"/>
      <c r="S947" s="3" t="str">
        <f ca="1">IFERROR(__xludf.DUMMYFUNCTION("""COMPUTED_VALUE"""),"45")</f>
        <v>45</v>
      </c>
      <c r="T947" s="3"/>
      <c r="U947" s="3" t="str">
        <f ca="1">IFERROR(__xludf.DUMMYFUNCTION("""COMPUTED_VALUE"""),"nativní reklama")</f>
        <v>nativní reklama</v>
      </c>
      <c r="V947" s="3"/>
      <c r="W947" s="4" t="str">
        <f ca="1">IFERROR(__xludf.DUMMYFUNCTION("""COMPUTED_VALUE"""),"https://reklama.cncenter.cz/Online/nativni-rectangle-cross-device")</f>
        <v>https://reklama.cncenter.cz/Online/nativni-rectangle-cross-device</v>
      </c>
      <c r="X947" s="3"/>
      <c r="Y947" s="3"/>
      <c r="Z947" s="3" t="str">
        <f ca="1">IFERROR(__xludf.DUMMYFUNCTION("""COMPUTED_VALUE"""),"podklady@cncenter.cz")</f>
        <v>podklady@cncenter.cz</v>
      </c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 t="str">
        <f ca="1">IFERROR(__xludf.DUMMYFUNCTION("""COMPUTED_VALUE"""),"cross-device")</f>
        <v>cross-device</v>
      </c>
      <c r="AO947" s="3"/>
      <c r="AP947" s="3"/>
      <c r="AQ947" s="3"/>
      <c r="AR947" s="3"/>
      <c r="AS947" s="3"/>
      <c r="AT947" s="3"/>
      <c r="AU947" s="3" t="str">
        <f ca="1">IFERROR(__xludf.DUMMYFUNCTION("""COMPUTED_VALUE"""),"nativní rectangle cross-device")</f>
        <v>nativní rectangle cross-device</v>
      </c>
    </row>
    <row r="948" spans="1:47" x14ac:dyDescent="0.3">
      <c r="A948" s="3">
        <f ca="1"/>
        <v>2346826</v>
      </c>
      <c r="B948" s="3" t="str">
        <f ca="1"/>
        <v>CZECH NEWS CENTER a. s.</v>
      </c>
      <c r="C948" s="3" t="str">
        <f ca="1">IFERROR(__xludf.DUMMYFUNCTION("""COMPUTED_VALUE"""),"Recepty")</f>
        <v>Recepty</v>
      </c>
      <c r="D948" s="4" t="str">
        <f ca="1">IFERROR(__xludf.DUMMYFUNCTION("""COMPUTED_VALUE"""),"https://recepty.cz")</f>
        <v>https://recepty.cz</v>
      </c>
      <c r="E948" s="3" t="str">
        <f ca="1">IFERROR(__xludf.DUMMYFUNCTION("""COMPUTED_VALUE"""),"celý web")</f>
        <v>celý web</v>
      </c>
      <c r="F948" s="4" t="str">
        <f ca="1">IFERROR(__xludf.DUMMYFUNCTION("""COMPUTED_VALUE"""),"https://recepty.cz")</f>
        <v>https://recepty.cz</v>
      </c>
      <c r="G948" s="3" t="str">
        <f ca="1">IFERROR(__xludf.DUMMYFUNCTION("""COMPUTED_VALUE"""),"outstream mid season")</f>
        <v>outstream mid season</v>
      </c>
      <c r="H948" s="3">
        <f ca="1">IFERROR(__xludf.DUMMYFUNCTION("""COMPUTED_VALUE"""),7)</f>
        <v>7</v>
      </c>
      <c r="I948" s="5">
        <f ca="1">IFERROR(__xludf.DUMMYFUNCTION("""COMPUTED_VALUE"""),1000)</f>
        <v>1000</v>
      </c>
      <c r="J948" s="5">
        <f ca="1">IFERROR(__xludf.DUMMYFUNCTION("""COMPUTED_VALUE"""),350)</f>
        <v>350</v>
      </c>
      <c r="K948" s="3"/>
      <c r="L948" s="3" t="str">
        <f ca="1">IFERROR(__xludf.DUMMYFUNCTION("""COMPUTED_VALUE"""),"Cost per period")</f>
        <v>Cost per period</v>
      </c>
      <c r="M948" s="3"/>
      <c r="N948" s="3"/>
      <c r="O948" s="3" t="str">
        <f ca="1">IFERROR(__xludf.DUMMYFUNCTION("""COMPUTED_VALUE"""),"1280")</f>
        <v>1280</v>
      </c>
      <c r="P948" s="3" t="str">
        <f ca="1">IFERROR(__xludf.DUMMYFUNCTION("""COMPUTED_VALUE"""),"720")</f>
        <v>720</v>
      </c>
      <c r="Q948" s="3" t="str">
        <f ca="1">IFERROR(__xludf.DUMMYFUNCTION("""COMPUTED_VALUE"""),"16:9")</f>
        <v>16:9</v>
      </c>
      <c r="R948" s="3"/>
      <c r="S948" s="3" t="str">
        <f ca="1">IFERROR(__xludf.DUMMYFUNCTION("""COMPUTED_VALUE"""),"100")</f>
        <v>100</v>
      </c>
      <c r="T948" s="3"/>
      <c r="U948" s="3" t="str">
        <f ca="1">IFERROR(__xludf.DUMMYFUNCTION("""COMPUTED_VALUE"""),"videospot")</f>
        <v>videospot</v>
      </c>
      <c r="V948" s="3"/>
      <c r="W948" s="4" t="str">
        <f ca="1">IFERROR(__xludf.DUMMYFUNCTION("""COMPUTED_VALUE"""),"https://reklama.cncenter.cz/Online/Outstream")</f>
        <v>https://reklama.cncenter.cz/Online/Outstream</v>
      </c>
      <c r="X948" s="3"/>
      <c r="Y948" s="3"/>
      <c r="Z948" s="3" t="str">
        <f ca="1">IFERROR(__xludf.DUMMYFUNCTION("""COMPUTED_VALUE"""),"podklady@cncenter.cz")</f>
        <v>podklady@cncenter.cz</v>
      </c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 t="str">
        <f ca="1">IFERROR(__xludf.DUMMYFUNCTION("""COMPUTED_VALUE"""),"cross-device")</f>
        <v>cross-device</v>
      </c>
      <c r="AO948" s="3"/>
      <c r="AP948" s="3"/>
      <c r="AQ948" s="3"/>
      <c r="AR948" s="3"/>
      <c r="AS948" s="3"/>
      <c r="AT948" s="3"/>
      <c r="AU948" s="3" t="str">
        <f ca="1">IFERROR(__xludf.DUMMYFUNCTION("""COMPUTED_VALUE"""),"outstream")</f>
        <v>outstream</v>
      </c>
    </row>
    <row r="949" spans="1:47" x14ac:dyDescent="0.3">
      <c r="A949" s="3">
        <f ca="1"/>
        <v>2346826</v>
      </c>
      <c r="B949" s="3" t="str">
        <f ca="1"/>
        <v>CZECH NEWS CENTER a. s.</v>
      </c>
      <c r="C949" s="3" t="str">
        <f ca="1">IFERROR(__xludf.DUMMYFUNCTION("""COMPUTED_VALUE"""),"Recepty")</f>
        <v>Recepty</v>
      </c>
      <c r="D949" s="4" t="str">
        <f ca="1">IFERROR(__xludf.DUMMYFUNCTION("""COMPUTED_VALUE"""),"https://recepty.cz")</f>
        <v>https://recepty.cz</v>
      </c>
      <c r="E949" s="3" t="str">
        <f ca="1">IFERROR(__xludf.DUMMYFUNCTION("""COMPUTED_VALUE"""),"celý web")</f>
        <v>celý web</v>
      </c>
      <c r="F949" s="4" t="str">
        <f ca="1">IFERROR(__xludf.DUMMYFUNCTION("""COMPUTED_VALUE"""),"https://recepty.cz")</f>
        <v>https://recepty.cz</v>
      </c>
      <c r="G949" s="3" t="str">
        <f ca="1">IFERROR(__xludf.DUMMYFUNCTION("""COMPUTED_VALUE"""),"PR článek mid season")</f>
        <v>PR článek mid season</v>
      </c>
      <c r="H949" s="3">
        <f ca="1">IFERROR(__xludf.DUMMYFUNCTION("""COMPUTED_VALUE"""),1)</f>
        <v>1</v>
      </c>
      <c r="I949" s="5">
        <f ca="1">IFERROR(__xludf.DUMMYFUNCTION("""COMPUTED_VALUE"""),1)</f>
        <v>1</v>
      </c>
      <c r="J949" s="5">
        <f ca="1">IFERROR(__xludf.DUMMYFUNCTION("""COMPUTED_VALUE"""),30000)</f>
        <v>30000</v>
      </c>
      <c r="K949" s="3"/>
      <c r="L949" s="3" t="str">
        <f ca="1">IFERROR(__xludf.DUMMYFUNCTION("""COMPUTED_VALUE"""),"Cost per instance")</f>
        <v>Cost per instance</v>
      </c>
      <c r="M949" s="3"/>
      <c r="N949" s="3"/>
      <c r="O949" s="3"/>
      <c r="P949" s="3"/>
      <c r="Q949" s="3"/>
      <c r="R949" s="3"/>
      <c r="S949" s="3" t="str">
        <f ca="1">IFERROR(__xludf.DUMMYFUNCTION("""COMPUTED_VALUE"""),"100")</f>
        <v>100</v>
      </c>
      <c r="T949" s="3"/>
      <c r="U949" s="3" t="str">
        <f ca="1">IFERROR(__xludf.DUMMYFUNCTION("""COMPUTED_VALUE"""),"pr článek")</f>
        <v>pr článek</v>
      </c>
      <c r="V949" s="3"/>
      <c r="W949" s="4" t="str">
        <f ca="1">IFERROR(__xludf.DUMMYFUNCTION("""COMPUTED_VALUE"""),"https://reklama.cncenter.cz/?ads=PR%2520%25C4%258Dl%25C3%25A1nky")</f>
        <v>https://reklama.cncenter.cz/?ads=PR%2520%25C4%258Dl%25C3%25A1nky</v>
      </c>
      <c r="X949" s="3"/>
      <c r="Y949" s="3"/>
      <c r="Z949" s="3" t="str">
        <f ca="1">IFERROR(__xludf.DUMMYFUNCTION("""COMPUTED_VALUE"""),"podklady@cncenter.cz")</f>
        <v>podklady@cncenter.cz</v>
      </c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 t="str">
        <f ca="1">IFERROR(__xludf.DUMMYFUNCTION("""COMPUTED_VALUE"""),"cross-device")</f>
        <v>cross-device</v>
      </c>
      <c r="AO949" s="3"/>
      <c r="AP949" s="3"/>
      <c r="AQ949" s="3"/>
      <c r="AR949" s="3"/>
      <c r="AS949" s="3"/>
      <c r="AT949" s="3"/>
      <c r="AU949" s="3" t="str">
        <f ca="1">IFERROR(__xludf.DUMMYFUNCTION("""COMPUTED_VALUE"""),"PR článek")</f>
        <v>PR článek</v>
      </c>
    </row>
    <row r="950" spans="1:47" x14ac:dyDescent="0.3">
      <c r="A950" s="3">
        <f ca="1"/>
        <v>2346826</v>
      </c>
      <c r="B950" s="3" t="str">
        <f ca="1"/>
        <v>CZECH NEWS CENTER a. s.</v>
      </c>
      <c r="C950" s="3" t="str">
        <f ca="1">IFERROR(__xludf.DUMMYFUNCTION("""COMPUTED_VALUE"""),"Recepty")</f>
        <v>Recepty</v>
      </c>
      <c r="D950" s="4" t="str">
        <f ca="1">IFERROR(__xludf.DUMMYFUNCTION("""COMPUTED_VALUE"""),"https://recepty.cz")</f>
        <v>https://recepty.cz</v>
      </c>
      <c r="E950" s="3" t="str">
        <f ca="1">IFERROR(__xludf.DUMMYFUNCTION("""COMPUTED_VALUE"""),"celý web")</f>
        <v>celý web</v>
      </c>
      <c r="F950" s="4" t="str">
        <f ca="1">IFERROR(__xludf.DUMMYFUNCTION("""COMPUTED_VALUE"""),"https://recepty.cz")</f>
        <v>https://recepty.cz</v>
      </c>
      <c r="G950" s="3" t="str">
        <f ca="1">IFERROR(__xludf.DUMMYFUNCTION("""COMPUTED_VALUE"""),"Prodloužení existující microsite, bez úprav mid season")</f>
        <v>Prodloužení existující microsite, bez úprav mid season</v>
      </c>
      <c r="H950" s="3">
        <f ca="1">IFERROR(__xludf.DUMMYFUNCTION("""COMPUTED_VALUE"""),1)</f>
        <v>1</v>
      </c>
      <c r="I950" s="5">
        <f ca="1">IFERROR(__xludf.DUMMYFUNCTION("""COMPUTED_VALUE"""),1)</f>
        <v>1</v>
      </c>
      <c r="J950" s="5">
        <f ca="1">IFERROR(__xludf.DUMMYFUNCTION("""COMPUTED_VALUE"""),15000)</f>
        <v>15000</v>
      </c>
      <c r="K950" s="3"/>
      <c r="L950" s="3" t="str">
        <f ca="1">IFERROR(__xludf.DUMMYFUNCTION("""COMPUTED_VALUE"""),"Cost per instance")</f>
        <v>Cost per instance</v>
      </c>
      <c r="M950" s="3"/>
      <c r="N950" s="3"/>
      <c r="O950" s="3"/>
      <c r="P950" s="3"/>
      <c r="Q950" s="3"/>
      <c r="R950" s="3"/>
      <c r="S950" s="3" t="str">
        <f ca="1">IFERROR(__xludf.DUMMYFUNCTION("""COMPUTED_VALUE"""),"100")</f>
        <v>100</v>
      </c>
      <c r="T950" s="3"/>
      <c r="U950" s="3" t="str">
        <f ca="1">IFERROR(__xludf.DUMMYFUNCTION("""COMPUTED_VALUE"""),"microsite")</f>
        <v>microsite</v>
      </c>
      <c r="V950" s="3"/>
      <c r="W950" s="3"/>
      <c r="X950" s="3"/>
      <c r="Y950" s="3"/>
      <c r="Z950" s="3" t="str">
        <f ca="1">IFERROR(__xludf.DUMMYFUNCTION("""COMPUTED_VALUE"""),"podklady@cncenter.cz")</f>
        <v>podklady@cncenter.cz</v>
      </c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 t="str">
        <f ca="1">IFERROR(__xludf.DUMMYFUNCTION("""COMPUTED_VALUE"""),"cross-device")</f>
        <v>cross-device</v>
      </c>
      <c r="AO950" s="3"/>
      <c r="AP950" s="3"/>
      <c r="AQ950" s="3"/>
      <c r="AR950" s="3"/>
      <c r="AS950" s="3"/>
      <c r="AT950" s="3"/>
      <c r="AU950" s="3" t="str">
        <f ca="1">IFERROR(__xludf.DUMMYFUNCTION("""COMPUTED_VALUE"""),"Prodloužení existující microsite, bez úprav")</f>
        <v>Prodloužení existující microsite, bez úprav</v>
      </c>
    </row>
    <row r="951" spans="1:47" x14ac:dyDescent="0.3">
      <c r="A951" s="3">
        <f ca="1"/>
        <v>2346826</v>
      </c>
      <c r="B951" s="3" t="str">
        <f ca="1"/>
        <v>CZECH NEWS CENTER a. s.</v>
      </c>
      <c r="C951" s="3" t="str">
        <f ca="1">IFERROR(__xludf.DUMMYFUNCTION("""COMPUTED_VALUE"""),"Recepty")</f>
        <v>Recepty</v>
      </c>
      <c r="D951" s="4" t="str">
        <f ca="1">IFERROR(__xludf.DUMMYFUNCTION("""COMPUTED_VALUE"""),"https://recepty.cz")</f>
        <v>https://recepty.cz</v>
      </c>
      <c r="E951" s="3" t="str">
        <f ca="1">IFERROR(__xludf.DUMMYFUNCTION("""COMPUTED_VALUE"""),"celý web")</f>
        <v>celý web</v>
      </c>
      <c r="F951" s="4" t="str">
        <f ca="1">IFERROR(__xludf.DUMMYFUNCTION("""COMPUTED_VALUE"""),"https://recepty.cz")</f>
        <v>https://recepty.cz</v>
      </c>
      <c r="G951" s="3" t="str">
        <f ca="1">IFERROR(__xludf.DUMMYFUNCTION("""COMPUTED_VALUE"""),"Prodloužení existující microsite, bez úprav mid season")</f>
        <v>Prodloužení existující microsite, bez úprav mid season</v>
      </c>
      <c r="H951" s="3">
        <f ca="1">IFERROR(__xludf.DUMMYFUNCTION("""COMPUTED_VALUE"""),1)</f>
        <v>1</v>
      </c>
      <c r="I951" s="5">
        <f ca="1">IFERROR(__xludf.DUMMYFUNCTION("""COMPUTED_VALUE"""),1)</f>
        <v>1</v>
      </c>
      <c r="J951" s="5">
        <f ca="1">IFERROR(__xludf.DUMMYFUNCTION("""COMPUTED_VALUE"""),15000)</f>
        <v>15000</v>
      </c>
      <c r="K951" s="3"/>
      <c r="L951" s="3" t="str">
        <f ca="1">IFERROR(__xludf.DUMMYFUNCTION("""COMPUTED_VALUE"""),"Cost per instance")</f>
        <v>Cost per instance</v>
      </c>
      <c r="M951" s="3"/>
      <c r="N951" s="3"/>
      <c r="O951" s="3"/>
      <c r="P951" s="3"/>
      <c r="Q951" s="3"/>
      <c r="R951" s="3"/>
      <c r="S951" s="3" t="str">
        <f ca="1">IFERROR(__xludf.DUMMYFUNCTION("""COMPUTED_VALUE"""),"100")</f>
        <v>100</v>
      </c>
      <c r="T951" s="3"/>
      <c r="U951" s="3" t="str">
        <f ca="1">IFERROR(__xludf.DUMMYFUNCTION("""COMPUTED_VALUE"""),"microsite")</f>
        <v>microsite</v>
      </c>
      <c r="V951" s="3"/>
      <c r="W951" s="3"/>
      <c r="X951" s="3"/>
      <c r="Y951" s="3"/>
      <c r="Z951" s="3" t="str">
        <f ca="1">IFERROR(__xludf.DUMMYFUNCTION("""COMPUTED_VALUE"""),"podklady@cncenter.cz")</f>
        <v>podklady@cncenter.cz</v>
      </c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 t="str">
        <f ca="1">IFERROR(__xludf.DUMMYFUNCTION("""COMPUTED_VALUE"""),"cross-device")</f>
        <v>cross-device</v>
      </c>
      <c r="AO951" s="3"/>
      <c r="AP951" s="3"/>
      <c r="AQ951" s="3"/>
      <c r="AR951" s="3"/>
      <c r="AS951" s="3"/>
      <c r="AT951" s="3"/>
      <c r="AU951" s="3" t="str">
        <f ca="1">IFERROR(__xludf.DUMMYFUNCTION("""COMPUTED_VALUE"""),"Prodloužení existující microsite, bez úprav")</f>
        <v>Prodloužení existující microsite, bez úprav</v>
      </c>
    </row>
    <row r="952" spans="1:47" x14ac:dyDescent="0.3">
      <c r="A952" s="3">
        <f ca="1"/>
        <v>2346826</v>
      </c>
      <c r="B952" s="3" t="str">
        <f ca="1"/>
        <v>CZECH NEWS CENTER a. s.</v>
      </c>
      <c r="C952" s="3" t="str">
        <f ca="1">IFERROR(__xludf.DUMMYFUNCTION("""COMPUTED_VALUE"""),"Recepty")</f>
        <v>Recepty</v>
      </c>
      <c r="D952" s="4" t="str">
        <f ca="1">IFERROR(__xludf.DUMMYFUNCTION("""COMPUTED_VALUE"""),"https://recepty.cz")</f>
        <v>https://recepty.cz</v>
      </c>
      <c r="E952" s="3" t="str">
        <f ca="1">IFERROR(__xludf.DUMMYFUNCTION("""COMPUTED_VALUE"""),"celý web")</f>
        <v>celý web</v>
      </c>
      <c r="F952" s="4" t="str">
        <f ca="1">IFERROR(__xludf.DUMMYFUNCTION("""COMPUTED_VALUE"""),"https://recepty.cz")</f>
        <v>https://recepty.cz</v>
      </c>
      <c r="G952" s="3" t="str">
        <f ca="1">IFERROR(__xludf.DUMMYFUNCTION("""COMPUTED_VALUE"""),"Prodloužení existující microsite, bez úprav mid season")</f>
        <v>Prodloužení existující microsite, bez úprav mid season</v>
      </c>
      <c r="H952" s="3">
        <f ca="1">IFERROR(__xludf.DUMMYFUNCTION("""COMPUTED_VALUE"""),1)</f>
        <v>1</v>
      </c>
      <c r="I952" s="5">
        <f ca="1">IFERROR(__xludf.DUMMYFUNCTION("""COMPUTED_VALUE"""),1)</f>
        <v>1</v>
      </c>
      <c r="J952" s="5">
        <f ca="1">IFERROR(__xludf.DUMMYFUNCTION("""COMPUTED_VALUE"""),15000)</f>
        <v>15000</v>
      </c>
      <c r="K952" s="3"/>
      <c r="L952" s="3" t="str">
        <f ca="1">IFERROR(__xludf.DUMMYFUNCTION("""COMPUTED_VALUE"""),"Cost per instance")</f>
        <v>Cost per instance</v>
      </c>
      <c r="M952" s="3"/>
      <c r="N952" s="3"/>
      <c r="O952" s="3"/>
      <c r="P952" s="3"/>
      <c r="Q952" s="3"/>
      <c r="R952" s="3"/>
      <c r="S952" s="3" t="str">
        <f ca="1">IFERROR(__xludf.DUMMYFUNCTION("""COMPUTED_VALUE"""),"100")</f>
        <v>100</v>
      </c>
      <c r="T952" s="3"/>
      <c r="U952" s="3" t="str">
        <f ca="1">IFERROR(__xludf.DUMMYFUNCTION("""COMPUTED_VALUE"""),"microsite")</f>
        <v>microsite</v>
      </c>
      <c r="V952" s="3"/>
      <c r="W952" s="3"/>
      <c r="X952" s="3"/>
      <c r="Y952" s="3"/>
      <c r="Z952" s="3" t="str">
        <f ca="1">IFERROR(__xludf.DUMMYFUNCTION("""COMPUTED_VALUE"""),"podklady@cncenter.cz")</f>
        <v>podklady@cncenter.cz</v>
      </c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 t="str">
        <f ca="1">IFERROR(__xludf.DUMMYFUNCTION("""COMPUTED_VALUE"""),"cross-device")</f>
        <v>cross-device</v>
      </c>
      <c r="AO952" s="3"/>
      <c r="AP952" s="3"/>
      <c r="AQ952" s="3"/>
      <c r="AR952" s="3"/>
      <c r="AS952" s="3"/>
      <c r="AT952" s="3"/>
      <c r="AU952" s="3" t="str">
        <f ca="1">IFERROR(__xludf.DUMMYFUNCTION("""COMPUTED_VALUE"""),"Prodloužení existující microsite, bez úprav")</f>
        <v>Prodloužení existující microsite, bez úprav</v>
      </c>
    </row>
    <row r="953" spans="1:47" x14ac:dyDescent="0.3">
      <c r="A953" s="3">
        <f ca="1"/>
        <v>2346826</v>
      </c>
      <c r="B953" s="3" t="str">
        <f ca="1"/>
        <v>CZECH NEWS CENTER a. s.</v>
      </c>
      <c r="C953" s="3" t="str">
        <f ca="1">IFERROR(__xludf.DUMMYFUNCTION("""COMPUTED_VALUE"""),"Recepty")</f>
        <v>Recepty</v>
      </c>
      <c r="D953" s="4" t="str">
        <f ca="1">IFERROR(__xludf.DUMMYFUNCTION("""COMPUTED_VALUE"""),"https://recepty.cz")</f>
        <v>https://recepty.cz</v>
      </c>
      <c r="E953" s="3" t="str">
        <f ca="1">IFERROR(__xludf.DUMMYFUNCTION("""COMPUTED_VALUE"""),"celý web")</f>
        <v>celý web</v>
      </c>
      <c r="F953" s="4" t="str">
        <f ca="1">IFERROR(__xludf.DUMMYFUNCTION("""COMPUTED_VALUE"""),"https://recepty.cz")</f>
        <v>https://recepty.cz</v>
      </c>
      <c r="G953" s="3" t="str">
        <f ca="1">IFERROR(__xludf.DUMMYFUNCTION("""COMPUTED_VALUE"""),"videospot - max. 30 sec. / bumper mid season")</f>
        <v>videospot - max. 30 sec. / bumper mid season</v>
      </c>
      <c r="H953" s="3">
        <f ca="1">IFERROR(__xludf.DUMMYFUNCTION("""COMPUTED_VALUE"""),7)</f>
        <v>7</v>
      </c>
      <c r="I953" s="5">
        <f ca="1">IFERROR(__xludf.DUMMYFUNCTION("""COMPUTED_VALUE"""),1000)</f>
        <v>1000</v>
      </c>
      <c r="J953" s="5">
        <f ca="1">IFERROR(__xludf.DUMMYFUNCTION("""COMPUTED_VALUE"""),1040)</f>
        <v>1040</v>
      </c>
      <c r="K953" s="3"/>
      <c r="L953" s="3" t="str">
        <f ca="1">IFERROR(__xludf.DUMMYFUNCTION("""COMPUTED_VALUE"""),"Cost per period")</f>
        <v>Cost per period</v>
      </c>
      <c r="M953" s="3"/>
      <c r="N953" s="3"/>
      <c r="O953" s="3" t="str">
        <f ca="1">IFERROR(__xludf.DUMMYFUNCTION("""COMPUTED_VALUE"""),"1280")</f>
        <v>1280</v>
      </c>
      <c r="P953" s="3" t="str">
        <f ca="1">IFERROR(__xludf.DUMMYFUNCTION("""COMPUTED_VALUE"""),"720")</f>
        <v>720</v>
      </c>
      <c r="Q953" s="3" t="str">
        <f ca="1">IFERROR(__xludf.DUMMYFUNCTION("""COMPUTED_VALUE"""),"16:9 / umístění po domluvě dle možností")</f>
        <v>16:9 / umístění po domluvě dle možností</v>
      </c>
      <c r="R953" s="3" t="str">
        <f ca="1">IFERROR(__xludf.DUMMYFUNCTION("""COMPUTED_VALUE"""),"přeskočení po 7 sekundách")</f>
        <v>přeskočení po 7 sekundách</v>
      </c>
      <c r="S953" s="3" t="str">
        <f ca="1">IFERROR(__xludf.DUMMYFUNCTION("""COMPUTED_VALUE"""),"100")</f>
        <v>100</v>
      </c>
      <c r="T953" s="3"/>
      <c r="U953" s="3" t="str">
        <f ca="1">IFERROR(__xludf.DUMMYFUNCTION("""COMPUTED_VALUE"""),"videospot")</f>
        <v>videospot</v>
      </c>
      <c r="V953" s="3"/>
      <c r="W953" s="4" t="str">
        <f ca="1">IFERROR(__xludf.DUMMYFUNCTION("""COMPUTED_VALUE"""),"https://reklama.cncenter.cz/Online/Bumper")</f>
        <v>https://reklama.cncenter.cz/Online/Bumper</v>
      </c>
      <c r="X953" s="3"/>
      <c r="Y953" s="3"/>
      <c r="Z953" s="3" t="str">
        <f ca="1">IFERROR(__xludf.DUMMYFUNCTION("""COMPUTED_VALUE"""),"podklady@cncenter.cz")</f>
        <v>podklady@cncenter.cz</v>
      </c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 t="str">
        <f ca="1">IFERROR(__xludf.DUMMYFUNCTION("""COMPUTED_VALUE"""),"cross-device")</f>
        <v>cross-device</v>
      </c>
      <c r="AO953" s="3"/>
      <c r="AP953" s="3"/>
      <c r="AQ953" s="3"/>
      <c r="AR953" s="3"/>
      <c r="AS953" s="3"/>
      <c r="AT953" s="3"/>
      <c r="AU953" s="3" t="str">
        <f ca="1">IFERROR(__xludf.DUMMYFUNCTION("""COMPUTED_VALUE"""),"videospot - max. 30 sec. / bumper")</f>
        <v>videospot - max. 30 sec. / bumper</v>
      </c>
    </row>
    <row r="954" spans="1:47" x14ac:dyDescent="0.3">
      <c r="A954" s="3">
        <f ca="1"/>
        <v>2346826</v>
      </c>
      <c r="B954" s="3" t="str">
        <f ca="1"/>
        <v>CZECH NEWS CENTER a. s.</v>
      </c>
      <c r="C954" s="3" t="str">
        <f ca="1">IFERROR(__xludf.DUMMYFUNCTION("""COMPUTED_VALUE"""),"Reflex")</f>
        <v>Reflex</v>
      </c>
      <c r="D954" s="4" t="str">
        <f ca="1">IFERROR(__xludf.DUMMYFUNCTION("""COMPUTED_VALUE"""),"https://reflex.cz")</f>
        <v>https://reflex.cz</v>
      </c>
      <c r="E954" s="3" t="str">
        <f ca="1">IFERROR(__xludf.DUMMYFUNCTION("""COMPUTED_VALUE"""),"celý web")</f>
        <v>celý web</v>
      </c>
      <c r="F954" s="4" t="str">
        <f ca="1">IFERROR(__xludf.DUMMYFUNCTION("""COMPUTED_VALUE"""),"https://reflex.cz")</f>
        <v>https://reflex.cz</v>
      </c>
      <c r="G954" s="3" t="str">
        <f ca="1">IFERROR(__xludf.DUMMYFUNCTION("""COMPUTED_VALUE"""),"Advertorial mid season")</f>
        <v>Advertorial mid season</v>
      </c>
      <c r="H954" s="3">
        <f ca="1">IFERROR(__xludf.DUMMYFUNCTION("""COMPUTED_VALUE"""),1)</f>
        <v>1</v>
      </c>
      <c r="I954" s="5">
        <f ca="1">IFERROR(__xludf.DUMMYFUNCTION("""COMPUTED_VALUE"""),1)</f>
        <v>1</v>
      </c>
      <c r="J954" s="5">
        <f ca="1">IFERROR(__xludf.DUMMYFUNCTION("""COMPUTED_VALUE"""),90000)</f>
        <v>90000</v>
      </c>
      <c r="K954" s="3"/>
      <c r="L954" s="3" t="str">
        <f ca="1">IFERROR(__xludf.DUMMYFUNCTION("""COMPUTED_VALUE"""),"Cost per instance")</f>
        <v>Cost per instance</v>
      </c>
      <c r="M954" s="3"/>
      <c r="N954" s="3"/>
      <c r="O954" s="3"/>
      <c r="P954" s="3"/>
      <c r="Q954" s="3"/>
      <c r="R954" s="3"/>
      <c r="S954" s="3" t="str">
        <f ca="1">IFERROR(__xludf.DUMMYFUNCTION("""COMPUTED_VALUE"""),"100")</f>
        <v>100</v>
      </c>
      <c r="T954" s="3"/>
      <c r="U954" s="3" t="str">
        <f ca="1">IFERROR(__xludf.DUMMYFUNCTION("""COMPUTED_VALUE"""),"pr článek")</f>
        <v>pr článek</v>
      </c>
      <c r="V954" s="3"/>
      <c r="W954" s="3"/>
      <c r="X954" s="3"/>
      <c r="Y954" s="3"/>
      <c r="Z954" s="3" t="str">
        <f ca="1">IFERROR(__xludf.DUMMYFUNCTION("""COMPUTED_VALUE"""),"podklady@cncenter.cz")</f>
        <v>podklady@cncenter.cz</v>
      </c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 t="str">
        <f ca="1">IFERROR(__xludf.DUMMYFUNCTION("""COMPUTED_VALUE"""),"cross-device")</f>
        <v>cross-device</v>
      </c>
      <c r="AO954" s="3"/>
      <c r="AP954" s="3"/>
      <c r="AQ954" s="3"/>
      <c r="AR954" s="3"/>
      <c r="AS954" s="3"/>
      <c r="AT954" s="3"/>
      <c r="AU954" s="3" t="str">
        <f ca="1">IFERROR(__xludf.DUMMYFUNCTION("""COMPUTED_VALUE"""),"Advertorial")</f>
        <v>Advertorial</v>
      </c>
    </row>
    <row r="955" spans="1:47" x14ac:dyDescent="0.3">
      <c r="A955" s="3">
        <f ca="1"/>
        <v>2346826</v>
      </c>
      <c r="B955" s="3" t="str">
        <f ca="1"/>
        <v>CZECH NEWS CENTER a. s.</v>
      </c>
      <c r="C955" s="3" t="str">
        <f ca="1">IFERROR(__xludf.DUMMYFUNCTION("""COMPUTED_VALUE"""),"Reflex")</f>
        <v>Reflex</v>
      </c>
      <c r="D955" s="4" t="str">
        <f ca="1">IFERROR(__xludf.DUMMYFUNCTION("""COMPUTED_VALUE"""),"https://reflex.cz")</f>
        <v>https://reflex.cz</v>
      </c>
      <c r="E955" s="3" t="str">
        <f ca="1">IFERROR(__xludf.DUMMYFUNCTION("""COMPUTED_VALUE"""),"celý web")</f>
        <v>celý web</v>
      </c>
      <c r="F955" s="4" t="str">
        <f ca="1">IFERROR(__xludf.DUMMYFUNCTION("""COMPUTED_VALUE"""),"https://reflex.cz")</f>
        <v>https://reflex.cz</v>
      </c>
      <c r="G955" s="3" t="str">
        <f ca="1">IFERROR(__xludf.DUMMYFUNCTION("""COMPUTED_VALUE"""),"billboard bottom mid season")</f>
        <v>billboard bottom mid season</v>
      </c>
      <c r="H955" s="3">
        <f ca="1">IFERROR(__xludf.DUMMYFUNCTION("""COMPUTED_VALUE"""),7)</f>
        <v>7</v>
      </c>
      <c r="I955" s="5">
        <f ca="1">IFERROR(__xludf.DUMMYFUNCTION("""COMPUTED_VALUE"""),1000)</f>
        <v>1000</v>
      </c>
      <c r="J955" s="5">
        <f ca="1">IFERROR(__xludf.DUMMYFUNCTION("""COMPUTED_VALUE"""),340)</f>
        <v>340</v>
      </c>
      <c r="K955" s="3"/>
      <c r="L955" s="3" t="str">
        <f ca="1">IFERROR(__xludf.DUMMYFUNCTION("""COMPUTED_VALUE"""),"Cost per period")</f>
        <v>Cost per period</v>
      </c>
      <c r="M955" s="3"/>
      <c r="N955" s="3"/>
      <c r="O955" s="3" t="str">
        <f ca="1">IFERROR(__xludf.DUMMYFUNCTION("""COMPUTED_VALUE"""),"970")</f>
        <v>970</v>
      </c>
      <c r="P955" s="3" t="str">
        <f ca="1">IFERROR(__xludf.DUMMYFUNCTION("""COMPUTED_VALUE"""),"250")</f>
        <v>250</v>
      </c>
      <c r="Q955" s="3" t="str">
        <f ca="1">IFERROR(__xludf.DUMMYFUNCTION("""COMPUTED_VALUE"""),"970x250")</f>
        <v>970x250</v>
      </c>
      <c r="R955" s="3"/>
      <c r="S955" s="3" t="str">
        <f ca="1">IFERROR(__xludf.DUMMYFUNCTION("""COMPUTED_VALUE"""),"100 (200 - HTML5)")</f>
        <v>100 (200 - HTML5)</v>
      </c>
      <c r="T955" s="3"/>
      <c r="U955" s="3" t="str">
        <f ca="1">IFERROR(__xludf.DUMMYFUNCTION("""COMPUTED_VALUE"""),"banner standard")</f>
        <v>banner standard</v>
      </c>
      <c r="V955" s="3"/>
      <c r="W955" s="4" t="str">
        <f ca="1">IFERROR(__xludf.DUMMYFUNCTION("""COMPUTED_VALUE"""),"https://reklama.cncenter.cz/Online/billboard-bottom")</f>
        <v>https://reklama.cncenter.cz/Online/billboard-bottom</v>
      </c>
      <c r="X955" s="3"/>
      <c r="Y955" s="3"/>
      <c r="Z955" s="3" t="str">
        <f ca="1">IFERROR(__xludf.DUMMYFUNCTION("""COMPUTED_VALUE"""),"podklady@cncenter.cz")</f>
        <v>podklady@cncenter.cz</v>
      </c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 t="str">
        <f ca="1">IFERROR(__xludf.DUMMYFUNCTION("""COMPUTED_VALUE"""),"desktop")</f>
        <v>desktop</v>
      </c>
      <c r="AO955" s="3"/>
      <c r="AP955" s="3"/>
      <c r="AQ955" s="3"/>
      <c r="AR955" s="3"/>
      <c r="AS955" s="3"/>
      <c r="AT955" s="3"/>
      <c r="AU955" s="3" t="str">
        <f ca="1">IFERROR(__xludf.DUMMYFUNCTION("""COMPUTED_VALUE"""),"billboard bottom")</f>
        <v>billboard bottom</v>
      </c>
    </row>
    <row r="956" spans="1:47" x14ac:dyDescent="0.3">
      <c r="A956" s="3">
        <f ca="1"/>
        <v>2346826</v>
      </c>
      <c r="B956" s="3" t="str">
        <f ca="1"/>
        <v>CZECH NEWS CENTER a. s.</v>
      </c>
      <c r="C956" s="3" t="str">
        <f ca="1">IFERROR(__xludf.DUMMYFUNCTION("""COMPUTED_VALUE"""),"Reflex")</f>
        <v>Reflex</v>
      </c>
      <c r="D956" s="4" t="str">
        <f ca="1">IFERROR(__xludf.DUMMYFUNCTION("""COMPUTED_VALUE"""),"https://reflex.cz")</f>
        <v>https://reflex.cz</v>
      </c>
      <c r="E956" s="3" t="str">
        <f ca="1">IFERROR(__xludf.DUMMYFUNCTION("""COMPUTED_VALUE"""),"celý web")</f>
        <v>celý web</v>
      </c>
      <c r="F956" s="4" t="str">
        <f ca="1">IFERROR(__xludf.DUMMYFUNCTION("""COMPUTED_VALUE"""),"https://reflex.cz")</f>
        <v>https://reflex.cz</v>
      </c>
      <c r="G956" s="3" t="str">
        <f ca="1">IFERROR(__xludf.DUMMYFUNCTION("""COMPUTED_VALUE"""),"branding cross-device mid season")</f>
        <v>branding cross-device mid season</v>
      </c>
      <c r="H956" s="3">
        <f ca="1">IFERROR(__xludf.DUMMYFUNCTION("""COMPUTED_VALUE"""),7)</f>
        <v>7</v>
      </c>
      <c r="I956" s="5">
        <f ca="1">IFERROR(__xludf.DUMMYFUNCTION("""COMPUTED_VALUE"""),1000)</f>
        <v>1000</v>
      </c>
      <c r="J956" s="5">
        <f ca="1">IFERROR(__xludf.DUMMYFUNCTION("""COMPUTED_VALUE"""),420)</f>
        <v>420</v>
      </c>
      <c r="K956" s="3"/>
      <c r="L956" s="3" t="str">
        <f ca="1">IFERROR(__xludf.DUMMYFUNCTION("""COMPUTED_VALUE"""),"Cost per period")</f>
        <v>Cost per period</v>
      </c>
      <c r="M956" s="3"/>
      <c r="N956" s="3"/>
      <c r="O956" s="3" t="str">
        <f ca="1">IFERROR(__xludf.DUMMYFUNCTION("""COMPUTED_VALUE"""),"2000")</f>
        <v>2000</v>
      </c>
      <c r="P956" s="3" t="str">
        <f ca="1">IFERROR(__xludf.DUMMYFUNCTION("""COMPUTED_VALUE"""),"1400")</f>
        <v>1400</v>
      </c>
      <c r="Q956" s="3" t="str">
        <f ca="1">IFERROR(__xludf.DUMMYFUNCTION("""COMPUTED_VALUE"""),"2000x1400 + 600x1080")</f>
        <v>2000x1400 + 600x1080</v>
      </c>
      <c r="R956" s="3"/>
      <c r="S956" s="3" t="str">
        <f ca="1">IFERROR(__xludf.DUMMYFUNCTION("""COMPUTED_VALUE"""),"500 (600 - HTLM5)")</f>
        <v>500 (600 - HTLM5)</v>
      </c>
      <c r="T956" s="3"/>
      <c r="U956" s="3" t="str">
        <f ca="1">IFERROR(__xludf.DUMMYFUNCTION("""COMPUTED_VALUE"""),"banner standard")</f>
        <v>banner standard</v>
      </c>
      <c r="V956" s="3"/>
      <c r="W956" s="4" t="str">
        <f ca="1">IFERROR(__xludf.DUMMYFUNCTION("""COMPUTED_VALUE"""),"https://reklama.cncenter.cz/Online/branding-cross-device")</f>
        <v>https://reklama.cncenter.cz/Online/branding-cross-device</v>
      </c>
      <c r="X956" s="3"/>
      <c r="Y956" s="3"/>
      <c r="Z956" s="3" t="str">
        <f ca="1">IFERROR(__xludf.DUMMYFUNCTION("""COMPUTED_VALUE"""),"podklady@cncenter.cz")</f>
        <v>podklady@cncenter.cz</v>
      </c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 t="str">
        <f ca="1">IFERROR(__xludf.DUMMYFUNCTION("""COMPUTED_VALUE"""),"cross-device")</f>
        <v>cross-device</v>
      </c>
      <c r="AO956" s="3"/>
      <c r="AP956" s="3"/>
      <c r="AQ956" s="3"/>
      <c r="AR956" s="3"/>
      <c r="AS956" s="3"/>
      <c r="AT956" s="3"/>
      <c r="AU956" s="3" t="str">
        <f ca="1">IFERROR(__xludf.DUMMYFUNCTION("""COMPUTED_VALUE"""),"branding cross-device")</f>
        <v>branding cross-device</v>
      </c>
    </row>
    <row r="957" spans="1:47" x14ac:dyDescent="0.3">
      <c r="A957" s="3">
        <f ca="1"/>
        <v>2346826</v>
      </c>
      <c r="B957" s="3" t="str">
        <f ca="1"/>
        <v>CZECH NEWS CENTER a. s.</v>
      </c>
      <c r="C957" s="3" t="str">
        <f ca="1">IFERROR(__xludf.DUMMYFUNCTION("""COMPUTED_VALUE"""),"Reflex")</f>
        <v>Reflex</v>
      </c>
      <c r="D957" s="4" t="str">
        <f ca="1">IFERROR(__xludf.DUMMYFUNCTION("""COMPUTED_VALUE"""),"https://reflex.cz")</f>
        <v>https://reflex.cz</v>
      </c>
      <c r="E957" s="3" t="str">
        <f ca="1">IFERROR(__xludf.DUMMYFUNCTION("""COMPUTED_VALUE"""),"celý web")</f>
        <v>celý web</v>
      </c>
      <c r="F957" s="4" t="str">
        <f ca="1">IFERROR(__xludf.DUMMYFUNCTION("""COMPUTED_VALUE"""),"https://reflex.cz")</f>
        <v>https://reflex.cz</v>
      </c>
      <c r="G957" s="3" t="str">
        <f ca="1">IFERROR(__xludf.DUMMYFUNCTION("""COMPUTED_VALUE"""),"branding mid season")</f>
        <v>branding mid season</v>
      </c>
      <c r="H957" s="3">
        <f ca="1">IFERROR(__xludf.DUMMYFUNCTION("""COMPUTED_VALUE"""),7)</f>
        <v>7</v>
      </c>
      <c r="I957" s="5">
        <f ca="1">IFERROR(__xludf.DUMMYFUNCTION("""COMPUTED_VALUE"""),1000)</f>
        <v>1000</v>
      </c>
      <c r="J957" s="5">
        <f ca="1">IFERROR(__xludf.DUMMYFUNCTION("""COMPUTED_VALUE"""),690)</f>
        <v>690</v>
      </c>
      <c r="K957" s="3"/>
      <c r="L957" s="3" t="str">
        <f ca="1">IFERROR(__xludf.DUMMYFUNCTION("""COMPUTED_VALUE"""),"Cost per period")</f>
        <v>Cost per period</v>
      </c>
      <c r="M957" s="3"/>
      <c r="N957" s="3"/>
      <c r="O957" s="3" t="str">
        <f ca="1">IFERROR(__xludf.DUMMYFUNCTION("""COMPUTED_VALUE"""),"2000")</f>
        <v>2000</v>
      </c>
      <c r="P957" s="3" t="str">
        <f ca="1">IFERROR(__xludf.DUMMYFUNCTION("""COMPUTED_VALUE"""),"1400")</f>
        <v>1400</v>
      </c>
      <c r="Q957" s="3" t="str">
        <f ca="1">IFERROR(__xludf.DUMMYFUNCTION("""COMPUTED_VALUE"""),"2000x1400")</f>
        <v>2000x1400</v>
      </c>
      <c r="R957" s="3"/>
      <c r="S957" s="3" t="str">
        <f ca="1">IFERROR(__xludf.DUMMYFUNCTION("""COMPUTED_VALUE"""),"500 + 200 (600+200 HTML5)")</f>
        <v>500 + 200 (600+200 HTML5)</v>
      </c>
      <c r="T957" s="3"/>
      <c r="U957" s="3" t="str">
        <f ca="1">IFERROR(__xludf.DUMMYFUNCTION("""COMPUTED_VALUE"""),"banner standard")</f>
        <v>banner standard</v>
      </c>
      <c r="V957" s="3"/>
      <c r="W957" s="4" t="str">
        <f ca="1">IFERROR(__xludf.DUMMYFUNCTION("""COMPUTED_VALUE"""),"https://reklama.cncenter.cz/Online/branding")</f>
        <v>https://reklama.cncenter.cz/Online/branding</v>
      </c>
      <c r="X957" s="3"/>
      <c r="Y957" s="3"/>
      <c r="Z957" s="3" t="str">
        <f ca="1">IFERROR(__xludf.DUMMYFUNCTION("""COMPUTED_VALUE"""),"podklady@cncenter.cz")</f>
        <v>podklady@cncenter.cz</v>
      </c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 t="str">
        <f ca="1">IFERROR(__xludf.DUMMYFUNCTION("""COMPUTED_VALUE"""),"desktop")</f>
        <v>desktop</v>
      </c>
      <c r="AO957" s="3"/>
      <c r="AP957" s="3"/>
      <c r="AQ957" s="3"/>
      <c r="AR957" s="3"/>
      <c r="AS957" s="3"/>
      <c r="AT957" s="3"/>
      <c r="AU957" s="3" t="str">
        <f ca="1">IFERROR(__xludf.DUMMYFUNCTION("""COMPUTED_VALUE"""),"branding")</f>
        <v>branding</v>
      </c>
    </row>
    <row r="958" spans="1:47" x14ac:dyDescent="0.3">
      <c r="A958" s="3">
        <f ca="1"/>
        <v>2346826</v>
      </c>
      <c r="B958" s="3" t="str">
        <f ca="1"/>
        <v>CZECH NEWS CENTER a. s.</v>
      </c>
      <c r="C958" s="3" t="str">
        <f ca="1">IFERROR(__xludf.DUMMYFUNCTION("""COMPUTED_VALUE"""),"Reflex")</f>
        <v>Reflex</v>
      </c>
      <c r="D958" s="4" t="str">
        <f ca="1">IFERROR(__xludf.DUMMYFUNCTION("""COMPUTED_VALUE"""),"https://reflex.cz")</f>
        <v>https://reflex.cz</v>
      </c>
      <c r="E958" s="3" t="str">
        <f ca="1">IFERROR(__xludf.DUMMYFUNCTION("""COMPUTED_VALUE"""),"celý web")</f>
        <v>celý web</v>
      </c>
      <c r="F958" s="4" t="str">
        <f ca="1">IFERROR(__xludf.DUMMYFUNCTION("""COMPUTED_VALUE"""),"https://reflex.cz")</f>
        <v>https://reflex.cz</v>
      </c>
      <c r="G958" s="3" t="str">
        <f ca="1">IFERROR(__xludf.DUMMYFUNCTION("""COMPUTED_VALUE"""),"cílený billboard bottom mid season")</f>
        <v>cílený billboard bottom mid season</v>
      </c>
      <c r="H958" s="3">
        <f ca="1">IFERROR(__xludf.DUMMYFUNCTION("""COMPUTED_VALUE"""),7)</f>
        <v>7</v>
      </c>
      <c r="I958" s="5">
        <f ca="1">IFERROR(__xludf.DUMMYFUNCTION("""COMPUTED_VALUE"""),1000)</f>
        <v>1000</v>
      </c>
      <c r="J958" s="5">
        <f ca="1">IFERROR(__xludf.DUMMYFUNCTION("""COMPUTED_VALUE"""),408)</f>
        <v>408</v>
      </c>
      <c r="K958" s="3"/>
      <c r="L958" s="3" t="str">
        <f ca="1">IFERROR(__xludf.DUMMYFUNCTION("""COMPUTED_VALUE"""),"Cost per period")</f>
        <v>Cost per period</v>
      </c>
      <c r="M958" s="3"/>
      <c r="N958" s="3"/>
      <c r="O958" s="3" t="str">
        <f ca="1">IFERROR(__xludf.DUMMYFUNCTION("""COMPUTED_VALUE"""),"970")</f>
        <v>970</v>
      </c>
      <c r="P958" s="3" t="str">
        <f ca="1">IFERROR(__xludf.DUMMYFUNCTION("""COMPUTED_VALUE"""),"250")</f>
        <v>250</v>
      </c>
      <c r="Q958" s="3" t="str">
        <f ca="1">IFERROR(__xludf.DUMMYFUNCTION("""COMPUTED_VALUE"""),"970x250")</f>
        <v>970x250</v>
      </c>
      <c r="R958" s="3"/>
      <c r="S958" s="3" t="str">
        <f ca="1">IFERROR(__xludf.DUMMYFUNCTION("""COMPUTED_VALUE"""),"100 (200 - HTML5)")</f>
        <v>100 (200 - HTML5)</v>
      </c>
      <c r="T958" s="3"/>
      <c r="U958" s="3" t="str">
        <f ca="1">IFERROR(__xludf.DUMMYFUNCTION("""COMPUTED_VALUE"""),"banner standard")</f>
        <v>banner standard</v>
      </c>
      <c r="V958" s="3"/>
      <c r="W958" s="4" t="str">
        <f ca="1">IFERROR(__xludf.DUMMYFUNCTION("""COMPUTED_VALUE"""),"https://reklama.cncenter.cz/Online/billboard-bottom")</f>
        <v>https://reklama.cncenter.cz/Online/billboard-bottom</v>
      </c>
      <c r="X958" s="3"/>
      <c r="Y958" s="3"/>
      <c r="Z958" s="3" t="str">
        <f ca="1">IFERROR(__xludf.DUMMYFUNCTION("""COMPUTED_VALUE"""),"podklady@cncenter.cz")</f>
        <v>podklady@cncenter.cz</v>
      </c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 t="str">
        <f ca="1">IFERROR(__xludf.DUMMYFUNCTION("""COMPUTED_VALUE"""),"desktop")</f>
        <v>desktop</v>
      </c>
      <c r="AO958" s="3"/>
      <c r="AP958" s="3"/>
      <c r="AQ958" s="3"/>
      <c r="AR958" s="3"/>
      <c r="AS958" s="3"/>
      <c r="AT958" s="3"/>
      <c r="AU958" s="3" t="str">
        <f ca="1">IFERROR(__xludf.DUMMYFUNCTION("""COMPUTED_VALUE"""),"cílený billboard bottom")</f>
        <v>cílený billboard bottom</v>
      </c>
    </row>
    <row r="959" spans="1:47" x14ac:dyDescent="0.3">
      <c r="A959" s="3">
        <f ca="1"/>
        <v>2346826</v>
      </c>
      <c r="B959" s="3" t="str">
        <f ca="1"/>
        <v>CZECH NEWS CENTER a. s.</v>
      </c>
      <c r="C959" s="3" t="str">
        <f ca="1">IFERROR(__xludf.DUMMYFUNCTION("""COMPUTED_VALUE"""),"Reflex")</f>
        <v>Reflex</v>
      </c>
      <c r="D959" s="4" t="str">
        <f ca="1">IFERROR(__xludf.DUMMYFUNCTION("""COMPUTED_VALUE"""),"https://reflex.cz")</f>
        <v>https://reflex.cz</v>
      </c>
      <c r="E959" s="3" t="str">
        <f ca="1">IFERROR(__xludf.DUMMYFUNCTION("""COMPUTED_VALUE"""),"celý web")</f>
        <v>celý web</v>
      </c>
      <c r="F959" s="4" t="str">
        <f ca="1">IFERROR(__xludf.DUMMYFUNCTION("""COMPUTED_VALUE"""),"https://reflex.cz")</f>
        <v>https://reflex.cz</v>
      </c>
      <c r="G959" s="3" t="str">
        <f ca="1">IFERROR(__xludf.DUMMYFUNCTION("""COMPUTED_VALUE"""),"cílený branding cross-device mid season")</f>
        <v>cílený branding cross-device mid season</v>
      </c>
      <c r="H959" s="3">
        <f ca="1">IFERROR(__xludf.DUMMYFUNCTION("""COMPUTED_VALUE"""),7)</f>
        <v>7</v>
      </c>
      <c r="I959" s="5">
        <f ca="1">IFERROR(__xludf.DUMMYFUNCTION("""COMPUTED_VALUE"""),1000)</f>
        <v>1000</v>
      </c>
      <c r="J959" s="5">
        <f ca="1">IFERROR(__xludf.DUMMYFUNCTION("""COMPUTED_VALUE"""),504)</f>
        <v>504</v>
      </c>
      <c r="K959" s="3"/>
      <c r="L959" s="3" t="str">
        <f ca="1">IFERROR(__xludf.DUMMYFUNCTION("""COMPUTED_VALUE"""),"Cost per period")</f>
        <v>Cost per period</v>
      </c>
      <c r="M959" s="3"/>
      <c r="N959" s="3"/>
      <c r="O959" s="3" t="str">
        <f ca="1">IFERROR(__xludf.DUMMYFUNCTION("""COMPUTED_VALUE"""),"2000")</f>
        <v>2000</v>
      </c>
      <c r="P959" s="3" t="str">
        <f ca="1">IFERROR(__xludf.DUMMYFUNCTION("""COMPUTED_VALUE"""),"1400")</f>
        <v>1400</v>
      </c>
      <c r="Q959" s="3" t="str">
        <f ca="1">IFERROR(__xludf.DUMMYFUNCTION("""COMPUTED_VALUE"""),"2000x1400 + 600x1080")</f>
        <v>2000x1400 + 600x1080</v>
      </c>
      <c r="R959" s="3"/>
      <c r="S959" s="3" t="str">
        <f ca="1">IFERROR(__xludf.DUMMYFUNCTION("""COMPUTED_VALUE"""),"500 (600 - HTLM5)")</f>
        <v>500 (600 - HTLM5)</v>
      </c>
      <c r="T959" s="3"/>
      <c r="U959" s="3" t="str">
        <f ca="1">IFERROR(__xludf.DUMMYFUNCTION("""COMPUTED_VALUE"""),"banner standard")</f>
        <v>banner standard</v>
      </c>
      <c r="V959" s="3"/>
      <c r="W959" s="4" t="str">
        <f ca="1">IFERROR(__xludf.DUMMYFUNCTION("""COMPUTED_VALUE"""),"https://reklama.cncenter.cz/Online/branding-cross-device")</f>
        <v>https://reklama.cncenter.cz/Online/branding-cross-device</v>
      </c>
      <c r="X959" s="3"/>
      <c r="Y959" s="3"/>
      <c r="Z959" s="3" t="str">
        <f ca="1">IFERROR(__xludf.DUMMYFUNCTION("""COMPUTED_VALUE"""),"podklady@cncenter.cz")</f>
        <v>podklady@cncenter.cz</v>
      </c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 t="str">
        <f ca="1">IFERROR(__xludf.DUMMYFUNCTION("""COMPUTED_VALUE"""),"cross-device")</f>
        <v>cross-device</v>
      </c>
      <c r="AO959" s="3"/>
      <c r="AP959" s="3"/>
      <c r="AQ959" s="3"/>
      <c r="AR959" s="3"/>
      <c r="AS959" s="3"/>
      <c r="AT959" s="3"/>
      <c r="AU959" s="3" t="str">
        <f ca="1">IFERROR(__xludf.DUMMYFUNCTION("""COMPUTED_VALUE"""),"cílený branding cross-device")</f>
        <v>cílený branding cross-device</v>
      </c>
    </row>
    <row r="960" spans="1:47" x14ac:dyDescent="0.3">
      <c r="A960" s="3">
        <f ca="1"/>
        <v>2346826</v>
      </c>
      <c r="B960" s="3" t="str">
        <f ca="1"/>
        <v>CZECH NEWS CENTER a. s.</v>
      </c>
      <c r="C960" s="3" t="str">
        <f ca="1">IFERROR(__xludf.DUMMYFUNCTION("""COMPUTED_VALUE"""),"Reflex")</f>
        <v>Reflex</v>
      </c>
      <c r="D960" s="4" t="str">
        <f ca="1">IFERROR(__xludf.DUMMYFUNCTION("""COMPUTED_VALUE"""),"https://reflex.cz")</f>
        <v>https://reflex.cz</v>
      </c>
      <c r="E960" s="3" t="str">
        <f ca="1">IFERROR(__xludf.DUMMYFUNCTION("""COMPUTED_VALUE"""),"celý web")</f>
        <v>celý web</v>
      </c>
      <c r="F960" s="4" t="str">
        <f ca="1">IFERROR(__xludf.DUMMYFUNCTION("""COMPUTED_VALUE"""),"https://reflex.cz")</f>
        <v>https://reflex.cz</v>
      </c>
      <c r="G960" s="3" t="str">
        <f ca="1">IFERROR(__xludf.DUMMYFUNCTION("""COMPUTED_VALUE"""),"cílený branding mid season")</f>
        <v>cílený branding mid season</v>
      </c>
      <c r="H960" s="3">
        <f ca="1">IFERROR(__xludf.DUMMYFUNCTION("""COMPUTED_VALUE"""),7)</f>
        <v>7</v>
      </c>
      <c r="I960" s="5">
        <f ca="1">IFERROR(__xludf.DUMMYFUNCTION("""COMPUTED_VALUE"""),1000)</f>
        <v>1000</v>
      </c>
      <c r="J960" s="5">
        <f ca="1">IFERROR(__xludf.DUMMYFUNCTION("""COMPUTED_VALUE"""),828)</f>
        <v>828</v>
      </c>
      <c r="K960" s="3"/>
      <c r="L960" s="3" t="str">
        <f ca="1">IFERROR(__xludf.DUMMYFUNCTION("""COMPUTED_VALUE"""),"Cost per period")</f>
        <v>Cost per period</v>
      </c>
      <c r="M960" s="3"/>
      <c r="N960" s="3"/>
      <c r="O960" s="3" t="str">
        <f ca="1">IFERROR(__xludf.DUMMYFUNCTION("""COMPUTED_VALUE"""),"2000")</f>
        <v>2000</v>
      </c>
      <c r="P960" s="3" t="str">
        <f ca="1">IFERROR(__xludf.DUMMYFUNCTION("""COMPUTED_VALUE"""),"1400")</f>
        <v>1400</v>
      </c>
      <c r="Q960" s="3" t="str">
        <f ca="1">IFERROR(__xludf.DUMMYFUNCTION("""COMPUTED_VALUE"""),"2000x1400")</f>
        <v>2000x1400</v>
      </c>
      <c r="R960" s="3"/>
      <c r="S960" s="3" t="str">
        <f ca="1">IFERROR(__xludf.DUMMYFUNCTION("""COMPUTED_VALUE"""),"500 + 200 (600+200 HTML5)")</f>
        <v>500 + 200 (600+200 HTML5)</v>
      </c>
      <c r="T960" s="3"/>
      <c r="U960" s="3" t="str">
        <f ca="1">IFERROR(__xludf.DUMMYFUNCTION("""COMPUTED_VALUE"""),"banner standard")</f>
        <v>banner standard</v>
      </c>
      <c r="V960" s="3"/>
      <c r="W960" s="4" t="str">
        <f ca="1">IFERROR(__xludf.DUMMYFUNCTION("""COMPUTED_VALUE"""),"https://reklama.cncenter.cz/Online/branding")</f>
        <v>https://reklama.cncenter.cz/Online/branding</v>
      </c>
      <c r="X960" s="3"/>
      <c r="Y960" s="3"/>
      <c r="Z960" s="3" t="str">
        <f ca="1">IFERROR(__xludf.DUMMYFUNCTION("""COMPUTED_VALUE"""),"podklady@cncenter.cz")</f>
        <v>podklady@cncenter.cz</v>
      </c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 t="str">
        <f ca="1">IFERROR(__xludf.DUMMYFUNCTION("""COMPUTED_VALUE"""),"desktop")</f>
        <v>desktop</v>
      </c>
      <c r="AO960" s="3"/>
      <c r="AP960" s="3"/>
      <c r="AQ960" s="3"/>
      <c r="AR960" s="3"/>
      <c r="AS960" s="3"/>
      <c r="AT960" s="3"/>
      <c r="AU960" s="3" t="str">
        <f ca="1">IFERROR(__xludf.DUMMYFUNCTION("""COMPUTED_VALUE"""),"cílený branding")</f>
        <v>cílený branding</v>
      </c>
    </row>
    <row r="961" spans="1:47" x14ac:dyDescent="0.3">
      <c r="A961" s="3">
        <f ca="1"/>
        <v>2346826</v>
      </c>
      <c r="B961" s="3" t="str">
        <f ca="1"/>
        <v>CZECH NEWS CENTER a. s.</v>
      </c>
      <c r="C961" s="3" t="str">
        <f ca="1">IFERROR(__xludf.DUMMYFUNCTION("""COMPUTED_VALUE"""),"Reflex")</f>
        <v>Reflex</v>
      </c>
      <c r="D961" s="4" t="str">
        <f ca="1">IFERROR(__xludf.DUMMYFUNCTION("""COMPUTED_VALUE"""),"https://reflex.cz")</f>
        <v>https://reflex.cz</v>
      </c>
      <c r="E961" s="3" t="str">
        <f ca="1">IFERROR(__xludf.DUMMYFUNCTION("""COMPUTED_VALUE"""),"celý web")</f>
        <v>celý web</v>
      </c>
      <c r="F961" s="4" t="str">
        <f ca="1">IFERROR(__xludf.DUMMYFUNCTION("""COMPUTED_VALUE"""),"https://reflex.cz")</f>
        <v>https://reflex.cz</v>
      </c>
      <c r="G961" s="3" t="str">
        <f ca="1">IFERROR(__xludf.DUMMYFUNCTION("""COMPUTED_VALUE"""),"cílený double skyscraper mid season")</f>
        <v>cílený double skyscraper mid season</v>
      </c>
      <c r="H961" s="3">
        <f ca="1">IFERROR(__xludf.DUMMYFUNCTION("""COMPUTED_VALUE"""),7)</f>
        <v>7</v>
      </c>
      <c r="I961" s="5">
        <f ca="1">IFERROR(__xludf.DUMMYFUNCTION("""COMPUTED_VALUE"""),1000)</f>
        <v>1000</v>
      </c>
      <c r="J961" s="5">
        <f ca="1">IFERROR(__xludf.DUMMYFUNCTION("""COMPUTED_VALUE"""),324)</f>
        <v>324</v>
      </c>
      <c r="K961" s="3"/>
      <c r="L961" s="3" t="str">
        <f ca="1">IFERROR(__xludf.DUMMYFUNCTION("""COMPUTED_VALUE"""),"Cost per period")</f>
        <v>Cost per period</v>
      </c>
      <c r="M961" s="3"/>
      <c r="N961" s="3"/>
      <c r="O961" s="3" t="str">
        <f ca="1">IFERROR(__xludf.DUMMYFUNCTION("""COMPUTED_VALUE"""),"300")</f>
        <v>300</v>
      </c>
      <c r="P961" s="3" t="str">
        <f ca="1">IFERROR(__xludf.DUMMYFUNCTION("""COMPUTED_VALUE"""),"600")</f>
        <v>600</v>
      </c>
      <c r="Q961" s="3" t="str">
        <f ca="1">IFERROR(__xludf.DUMMYFUNCTION("""COMPUTED_VALUE"""),"300x600")</f>
        <v>300x600</v>
      </c>
      <c r="R961" s="3"/>
      <c r="S961" s="3" t="str">
        <f ca="1">IFERROR(__xludf.DUMMYFUNCTION("""COMPUTED_VALUE"""),"100 (200 - HTML5)")</f>
        <v>100 (200 - HTML5)</v>
      </c>
      <c r="T961" s="3"/>
      <c r="U961" s="3" t="str">
        <f ca="1">IFERROR(__xludf.DUMMYFUNCTION("""COMPUTED_VALUE"""),"banner standard")</f>
        <v>banner standard</v>
      </c>
      <c r="V961" s="3"/>
      <c r="W961" s="4" t="str">
        <f ca="1">IFERROR(__xludf.DUMMYFUNCTION("""COMPUTED_VALUE"""),"https://reklama.cncenter.cz/Online/double-skyscraper")</f>
        <v>https://reklama.cncenter.cz/Online/double-skyscraper</v>
      </c>
      <c r="X961" s="3"/>
      <c r="Y961" s="3"/>
      <c r="Z961" s="3" t="str">
        <f ca="1">IFERROR(__xludf.DUMMYFUNCTION("""COMPUTED_VALUE"""),"podklady@cncenter.cz")</f>
        <v>podklady@cncenter.cz</v>
      </c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 t="str">
        <f ca="1">IFERROR(__xludf.DUMMYFUNCTION("""COMPUTED_VALUE"""),"desktop")</f>
        <v>desktop</v>
      </c>
      <c r="AO961" s="3"/>
      <c r="AP961" s="3"/>
      <c r="AQ961" s="3"/>
      <c r="AR961" s="3"/>
      <c r="AS961" s="3"/>
      <c r="AT961" s="3"/>
      <c r="AU961" s="3" t="str">
        <f ca="1">IFERROR(__xludf.DUMMYFUNCTION("""COMPUTED_VALUE"""),"cílený double skyscraper")</f>
        <v>cílený double skyscraper</v>
      </c>
    </row>
    <row r="962" spans="1:47" x14ac:dyDescent="0.3">
      <c r="A962" s="3">
        <f ca="1"/>
        <v>2346826</v>
      </c>
      <c r="B962" s="3" t="str">
        <f ca="1"/>
        <v>CZECH NEWS CENTER a. s.</v>
      </c>
      <c r="C962" s="3" t="str">
        <f ca="1">IFERROR(__xludf.DUMMYFUNCTION("""COMPUTED_VALUE"""),"Reflex")</f>
        <v>Reflex</v>
      </c>
      <c r="D962" s="4" t="str">
        <f ca="1">IFERROR(__xludf.DUMMYFUNCTION("""COMPUTED_VALUE"""),"https://reflex.cz")</f>
        <v>https://reflex.cz</v>
      </c>
      <c r="E962" s="3" t="str">
        <f ca="1">IFERROR(__xludf.DUMMYFUNCTION("""COMPUTED_VALUE"""),"celý web")</f>
        <v>celý web</v>
      </c>
      <c r="F962" s="4" t="str">
        <f ca="1">IFERROR(__xludf.DUMMYFUNCTION("""COMPUTED_VALUE"""),"https://reflex.cz")</f>
        <v>https://reflex.cz</v>
      </c>
      <c r="G962" s="3" t="str">
        <f ca="1">IFERROR(__xludf.DUMMYFUNCTION("""COMPUTED_VALUE"""),"cílený mini videospot - max. 30 sec. mid season")</f>
        <v>cílený mini videospot - max. 30 sec. mid season</v>
      </c>
      <c r="H962" s="3">
        <f ca="1">IFERROR(__xludf.DUMMYFUNCTION("""COMPUTED_VALUE"""),7)</f>
        <v>7</v>
      </c>
      <c r="I962" s="5">
        <f ca="1">IFERROR(__xludf.DUMMYFUNCTION("""COMPUTED_VALUE"""),1000)</f>
        <v>1000</v>
      </c>
      <c r="J962" s="5">
        <f ca="1">IFERROR(__xludf.DUMMYFUNCTION("""COMPUTED_VALUE"""),240)</f>
        <v>240</v>
      </c>
      <c r="K962" s="3"/>
      <c r="L962" s="3" t="str">
        <f ca="1">IFERROR(__xludf.DUMMYFUNCTION("""COMPUTED_VALUE"""),"Cost per period")</f>
        <v>Cost per period</v>
      </c>
      <c r="M962" s="3"/>
      <c r="N962" s="3"/>
      <c r="O962" s="3"/>
      <c r="P962" s="3"/>
      <c r="Q962" s="3" t="str">
        <f ca="1">IFERROR(__xludf.DUMMYFUNCTION("""COMPUTED_VALUE"""),"16:9 / umístění po domluvě dle možností")</f>
        <v>16:9 / umístění po domluvě dle možností</v>
      </c>
      <c r="R962" s="3" t="str">
        <f ca="1">IFERROR(__xludf.DUMMYFUNCTION("""COMPUTED_VALUE"""),"přeskočení po 7 sekundách")</f>
        <v>přeskočení po 7 sekundách</v>
      </c>
      <c r="S962" s="3" t="str">
        <f ca="1">IFERROR(__xludf.DUMMYFUNCTION("""COMPUTED_VALUE"""),"100")</f>
        <v>100</v>
      </c>
      <c r="T962" s="3"/>
      <c r="U962" s="3" t="str">
        <f ca="1">IFERROR(__xludf.DUMMYFUNCTION("""COMPUTED_VALUE"""),"videospot")</f>
        <v>videospot</v>
      </c>
      <c r="V962" s="3"/>
      <c r="W962" s="4" t="str">
        <f ca="1">IFERROR(__xludf.DUMMYFUNCTION("""COMPUTED_VALUE"""),"https://reklama.cncenter.cz/Online/Videospot")</f>
        <v>https://reklama.cncenter.cz/Online/Videospot</v>
      </c>
      <c r="X962" s="3"/>
      <c r="Y962" s="3"/>
      <c r="Z962" s="3" t="str">
        <f ca="1">IFERROR(__xludf.DUMMYFUNCTION("""COMPUTED_VALUE"""),"podklady@cncenter.cz")</f>
        <v>podklady@cncenter.cz</v>
      </c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 t="str">
        <f ca="1">IFERROR(__xludf.DUMMYFUNCTION("""COMPUTED_VALUE"""),"desktop")</f>
        <v>desktop</v>
      </c>
      <c r="AO962" s="3"/>
      <c r="AP962" s="3"/>
      <c r="AQ962" s="3"/>
      <c r="AR962" s="3"/>
      <c r="AS962" s="3"/>
      <c r="AT962" s="3"/>
      <c r="AU962" s="3" t="str">
        <f ca="1">IFERROR(__xludf.DUMMYFUNCTION("""COMPUTED_VALUE"""),"cílený mini videospot - max. 30 sec.")</f>
        <v>cílený mini videospot - max. 30 sec.</v>
      </c>
    </row>
    <row r="963" spans="1:47" x14ac:dyDescent="0.3">
      <c r="A963" s="3">
        <f ca="1"/>
        <v>2346826</v>
      </c>
      <c r="B963" s="3" t="str">
        <f ca="1"/>
        <v>CZECH NEWS CENTER a. s.</v>
      </c>
      <c r="C963" s="3" t="str">
        <f ca="1">IFERROR(__xludf.DUMMYFUNCTION("""COMPUTED_VALUE"""),"Reflex")</f>
        <v>Reflex</v>
      </c>
      <c r="D963" s="4" t="str">
        <f ca="1">IFERROR(__xludf.DUMMYFUNCTION("""COMPUTED_VALUE"""),"https://reflex.cz")</f>
        <v>https://reflex.cz</v>
      </c>
      <c r="E963" s="3" t="str">
        <f ca="1">IFERROR(__xludf.DUMMYFUNCTION("""COMPUTED_VALUE"""),"celý web")</f>
        <v>celý web</v>
      </c>
      <c r="F963" s="4" t="str">
        <f ca="1">IFERROR(__xludf.DUMMYFUNCTION("""COMPUTED_VALUE"""),"https://reflex.cz")</f>
        <v>https://reflex.cz</v>
      </c>
      <c r="G963" s="3" t="str">
        <f ca="1">IFERROR(__xludf.DUMMYFUNCTION("""COMPUTED_VALUE"""),"cílený mobilní interscroller mid season")</f>
        <v>cílený mobilní interscroller mid season</v>
      </c>
      <c r="H963" s="3">
        <f ca="1">IFERROR(__xludf.DUMMYFUNCTION("""COMPUTED_VALUE"""),7)</f>
        <v>7</v>
      </c>
      <c r="I963" s="5">
        <f ca="1">IFERROR(__xludf.DUMMYFUNCTION("""COMPUTED_VALUE"""),1000)</f>
        <v>1000</v>
      </c>
      <c r="J963" s="5">
        <f ca="1">IFERROR(__xludf.DUMMYFUNCTION("""COMPUTED_VALUE"""),420)</f>
        <v>420</v>
      </c>
      <c r="K963" s="3"/>
      <c r="L963" s="3" t="str">
        <f ca="1">IFERROR(__xludf.DUMMYFUNCTION("""COMPUTED_VALUE"""),"Cost per period")</f>
        <v>Cost per period</v>
      </c>
      <c r="M963" s="3"/>
      <c r="N963" s="3"/>
      <c r="O963" s="3" t="str">
        <f ca="1">IFERROR(__xludf.DUMMYFUNCTION("""COMPUTED_VALUE"""),"600")</f>
        <v>600</v>
      </c>
      <c r="P963" s="3" t="str">
        <f ca="1">IFERROR(__xludf.DUMMYFUNCTION("""COMPUTED_VALUE"""),"1080")</f>
        <v>1080</v>
      </c>
      <c r="Q963" s="3" t="str">
        <f ca="1">IFERROR(__xludf.DUMMYFUNCTION("""COMPUTED_VALUE"""),"600x1080")</f>
        <v>600x1080</v>
      </c>
      <c r="R963" s="3"/>
      <c r="S963" s="3" t="str">
        <f ca="1">IFERROR(__xludf.DUMMYFUNCTION("""COMPUTED_VALUE"""),"200")</f>
        <v>200</v>
      </c>
      <c r="T963" s="3"/>
      <c r="U963" s="3" t="str">
        <f ca="1">IFERROR(__xludf.DUMMYFUNCTION("""COMPUTED_VALUE"""),"banner standard")</f>
        <v>banner standard</v>
      </c>
      <c r="V963" s="3"/>
      <c r="W963" s="4" t="str">
        <f ca="1">IFERROR(__xludf.DUMMYFUNCTION("""COMPUTED_VALUE"""),"https://reklama.cncenter.cz/Online/mobilni-interscroller")</f>
        <v>https://reklama.cncenter.cz/Online/mobilni-interscroller</v>
      </c>
      <c r="X963" s="3"/>
      <c r="Y963" s="3"/>
      <c r="Z963" s="3" t="str">
        <f ca="1">IFERROR(__xludf.DUMMYFUNCTION("""COMPUTED_VALUE"""),"podklady@cncenter.cz")</f>
        <v>podklady@cncenter.cz</v>
      </c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 t="str">
        <f ca="1">IFERROR(__xludf.DUMMYFUNCTION("""COMPUTED_VALUE"""),"mobile")</f>
        <v>mobile</v>
      </c>
      <c r="AO963" s="3"/>
      <c r="AP963" s="3"/>
      <c r="AQ963" s="3"/>
      <c r="AR963" s="3"/>
      <c r="AS963" s="3"/>
      <c r="AT963" s="3"/>
      <c r="AU963" s="3" t="str">
        <f ca="1">IFERROR(__xludf.DUMMYFUNCTION("""COMPUTED_VALUE"""),"cílený mobilní interscroller")</f>
        <v>cílený mobilní interscroller</v>
      </c>
    </row>
    <row r="964" spans="1:47" x14ac:dyDescent="0.3">
      <c r="A964" s="3">
        <f ca="1"/>
        <v>2346826</v>
      </c>
      <c r="B964" s="3" t="str">
        <f ca="1"/>
        <v>CZECH NEWS CENTER a. s.</v>
      </c>
      <c r="C964" s="3" t="str">
        <f ca="1">IFERROR(__xludf.DUMMYFUNCTION("""COMPUTED_VALUE"""),"Reflex")</f>
        <v>Reflex</v>
      </c>
      <c r="D964" s="4" t="str">
        <f ca="1">IFERROR(__xludf.DUMMYFUNCTION("""COMPUTED_VALUE"""),"https://reflex.cz")</f>
        <v>https://reflex.cz</v>
      </c>
      <c r="E964" s="3" t="str">
        <f ca="1">IFERROR(__xludf.DUMMYFUNCTION("""COMPUTED_VALUE"""),"celý web")</f>
        <v>celý web</v>
      </c>
      <c r="F964" s="4" t="str">
        <f ca="1">IFERROR(__xludf.DUMMYFUNCTION("""COMPUTED_VALUE"""),"https://reflex.cz")</f>
        <v>https://reflex.cz</v>
      </c>
      <c r="G964" s="3" t="str">
        <f ca="1">IFERROR(__xludf.DUMMYFUNCTION("""COMPUTED_VALUE"""),"cílený mobilní slide-up mid season")</f>
        <v>cílený mobilní slide-up mid season</v>
      </c>
      <c r="H964" s="3">
        <f ca="1">IFERROR(__xludf.DUMMYFUNCTION("""COMPUTED_VALUE"""),7)</f>
        <v>7</v>
      </c>
      <c r="I964" s="5">
        <f ca="1">IFERROR(__xludf.DUMMYFUNCTION("""COMPUTED_VALUE"""),1000)</f>
        <v>1000</v>
      </c>
      <c r="J964" s="5">
        <f ca="1">IFERROR(__xludf.DUMMYFUNCTION("""COMPUTED_VALUE"""),864)</f>
        <v>864</v>
      </c>
      <c r="K964" s="3"/>
      <c r="L964" s="3" t="str">
        <f ca="1">IFERROR(__xludf.DUMMYFUNCTION("""COMPUTED_VALUE"""),"Cost per period")</f>
        <v>Cost per period</v>
      </c>
      <c r="M964" s="3"/>
      <c r="N964" s="3"/>
      <c r="O964" s="3" t="str">
        <f ca="1">IFERROR(__xludf.DUMMYFUNCTION("""COMPUTED_VALUE"""),"300")</f>
        <v>300</v>
      </c>
      <c r="P964" s="3" t="str">
        <f ca="1">IFERROR(__xludf.DUMMYFUNCTION("""COMPUTED_VALUE"""),"120")</f>
        <v>120</v>
      </c>
      <c r="Q964" s="3" t="str">
        <f ca="1">IFERROR(__xludf.DUMMYFUNCTION("""COMPUTED_VALUE"""),"300x120")</f>
        <v>300x120</v>
      </c>
      <c r="R964" s="3"/>
      <c r="S964" s="3" t="str">
        <f ca="1">IFERROR(__xludf.DUMMYFUNCTION("""COMPUTED_VALUE"""),"100")</f>
        <v>100</v>
      </c>
      <c r="T964" s="3"/>
      <c r="U964" s="3" t="str">
        <f ca="1">IFERROR(__xludf.DUMMYFUNCTION("""COMPUTED_VALUE"""),"banner standard")</f>
        <v>banner standard</v>
      </c>
      <c r="V964" s="3"/>
      <c r="W964" s="4" t="str">
        <f ca="1">IFERROR(__xludf.DUMMYFUNCTION("""COMPUTED_VALUE"""),"https://reklama.cncenter.cz/Online/mobilni-slide-up")</f>
        <v>https://reklama.cncenter.cz/Online/mobilni-slide-up</v>
      </c>
      <c r="X964" s="3"/>
      <c r="Y964" s="3"/>
      <c r="Z964" s="3" t="str">
        <f ca="1">IFERROR(__xludf.DUMMYFUNCTION("""COMPUTED_VALUE"""),"podklady@cncenter.cz")</f>
        <v>podklady@cncenter.cz</v>
      </c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 t="str">
        <f ca="1">IFERROR(__xludf.DUMMYFUNCTION("""COMPUTED_VALUE"""),"mobile")</f>
        <v>mobile</v>
      </c>
      <c r="AO964" s="3"/>
      <c r="AP964" s="3"/>
      <c r="AQ964" s="3"/>
      <c r="AR964" s="3"/>
      <c r="AS964" s="3"/>
      <c r="AT964" s="3"/>
      <c r="AU964" s="3" t="str">
        <f ca="1">IFERROR(__xludf.DUMMYFUNCTION("""COMPUTED_VALUE"""),"cílený mobilní slide-up")</f>
        <v>cílený mobilní slide-up</v>
      </c>
    </row>
    <row r="965" spans="1:47" x14ac:dyDescent="0.3">
      <c r="A965" s="3">
        <f ca="1"/>
        <v>2346826</v>
      </c>
      <c r="B965" s="3" t="str">
        <f ca="1"/>
        <v>CZECH NEWS CENTER a. s.</v>
      </c>
      <c r="C965" s="3" t="str">
        <f ca="1">IFERROR(__xludf.DUMMYFUNCTION("""COMPUTED_VALUE"""),"Reflex")</f>
        <v>Reflex</v>
      </c>
      <c r="D965" s="4" t="str">
        <f ca="1">IFERROR(__xludf.DUMMYFUNCTION("""COMPUTED_VALUE"""),"https://reflex.cz")</f>
        <v>https://reflex.cz</v>
      </c>
      <c r="E965" s="3" t="str">
        <f ca="1">IFERROR(__xludf.DUMMYFUNCTION("""COMPUTED_VALUE"""),"celý web")</f>
        <v>celý web</v>
      </c>
      <c r="F965" s="4" t="str">
        <f ca="1">IFERROR(__xludf.DUMMYFUNCTION("""COMPUTED_VALUE"""),"https://reflex.cz")</f>
        <v>https://reflex.cz</v>
      </c>
      <c r="G965" s="3" t="str">
        <f ca="1">IFERROR(__xludf.DUMMYFUNCTION("""COMPUTED_VALUE"""),"cílený mobilní viněta mid season")</f>
        <v>cílený mobilní viněta mid season</v>
      </c>
      <c r="H965" s="3">
        <f ca="1">IFERROR(__xludf.DUMMYFUNCTION("""COMPUTED_VALUE"""),7)</f>
        <v>7</v>
      </c>
      <c r="I965" s="5">
        <f ca="1">IFERROR(__xludf.DUMMYFUNCTION("""COMPUTED_VALUE"""),1000)</f>
        <v>1000</v>
      </c>
      <c r="J965" s="5">
        <f ca="1">IFERROR(__xludf.DUMMYFUNCTION("""COMPUTED_VALUE"""),1488)</f>
        <v>1488</v>
      </c>
      <c r="K965" s="3"/>
      <c r="L965" s="3" t="str">
        <f ca="1">IFERROR(__xludf.DUMMYFUNCTION("""COMPUTED_VALUE"""),"Cost per period")</f>
        <v>Cost per period</v>
      </c>
      <c r="M965" s="3"/>
      <c r="N965" s="3"/>
      <c r="O965" s="3" t="str">
        <f ca="1">IFERROR(__xludf.DUMMYFUNCTION("""COMPUTED_VALUE"""),"600")</f>
        <v>600</v>
      </c>
      <c r="P965" s="3" t="str">
        <f ca="1">IFERROR(__xludf.DUMMYFUNCTION("""COMPUTED_VALUE"""),"800")</f>
        <v>800</v>
      </c>
      <c r="Q965" s="3" t="str">
        <f ca="1">IFERROR(__xludf.DUMMYFUNCTION("""COMPUTED_VALUE"""),"300x250 nebo 600x800")</f>
        <v>300x250 nebo 600x800</v>
      </c>
      <c r="R965" s="3"/>
      <c r="S965" s="3" t="str">
        <f ca="1">IFERROR(__xludf.DUMMYFUNCTION("""COMPUTED_VALUE"""),"100")</f>
        <v>100</v>
      </c>
      <c r="T965" s="3"/>
      <c r="U965" s="3" t="str">
        <f ca="1">IFERROR(__xludf.DUMMYFUNCTION("""COMPUTED_VALUE"""),"banner standard")</f>
        <v>banner standard</v>
      </c>
      <c r="V965" s="3"/>
      <c r="W965" s="4" t="str">
        <f ca="1">IFERROR(__xludf.DUMMYFUNCTION("""COMPUTED_VALUE"""),"https://reklama.cncenter.cz/Online/mobilni-vineta")</f>
        <v>https://reklama.cncenter.cz/Online/mobilni-vineta</v>
      </c>
      <c r="X965" s="3"/>
      <c r="Y965" s="3"/>
      <c r="Z965" s="3" t="str">
        <f ca="1">IFERROR(__xludf.DUMMYFUNCTION("""COMPUTED_VALUE"""),"podklady@cncenter.cz")</f>
        <v>podklady@cncenter.cz</v>
      </c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 t="str">
        <f ca="1">IFERROR(__xludf.DUMMYFUNCTION("""COMPUTED_VALUE"""),"mobile")</f>
        <v>mobile</v>
      </c>
      <c r="AO965" s="3"/>
      <c r="AP965" s="3"/>
      <c r="AQ965" s="3"/>
      <c r="AR965" s="3"/>
      <c r="AS965" s="3"/>
      <c r="AT965" s="3"/>
      <c r="AU965" s="3" t="str">
        <f ca="1">IFERROR(__xludf.DUMMYFUNCTION("""COMPUTED_VALUE"""),"cílený mobilní viněta")</f>
        <v>cílený mobilní viněta</v>
      </c>
    </row>
    <row r="966" spans="1:47" x14ac:dyDescent="0.3">
      <c r="A966" s="3">
        <f ca="1"/>
        <v>2346826</v>
      </c>
      <c r="B966" s="3" t="str">
        <f ca="1"/>
        <v>CZECH NEWS CENTER a. s.</v>
      </c>
      <c r="C966" s="3" t="str">
        <f ca="1">IFERROR(__xludf.DUMMYFUNCTION("""COMPUTED_VALUE"""),"Reflex")</f>
        <v>Reflex</v>
      </c>
      <c r="D966" s="4" t="str">
        <f ca="1">IFERROR(__xludf.DUMMYFUNCTION("""COMPUTED_VALUE"""),"https://reflex.cz")</f>
        <v>https://reflex.cz</v>
      </c>
      <c r="E966" s="3" t="str">
        <f ca="1">IFERROR(__xludf.DUMMYFUNCTION("""COMPUTED_VALUE"""),"celý web")</f>
        <v>celý web</v>
      </c>
      <c r="F966" s="4" t="str">
        <f ca="1">IFERROR(__xludf.DUMMYFUNCTION("""COMPUTED_VALUE"""),"https://reflex.cz")</f>
        <v>https://reflex.cz</v>
      </c>
      <c r="G966" s="3" t="str">
        <f ca="1">IFERROR(__xludf.DUMMYFUNCTION("""COMPUTED_VALUE"""),"cílený nativní pr premium mid season")</f>
        <v>cílený nativní pr premium mid season</v>
      </c>
      <c r="H966" s="3">
        <f ca="1">IFERROR(__xludf.DUMMYFUNCTION("""COMPUTED_VALUE"""),7)</f>
        <v>7</v>
      </c>
      <c r="I966" s="5">
        <f ca="1">IFERROR(__xludf.DUMMYFUNCTION("""COMPUTED_VALUE"""),1000)</f>
        <v>1000</v>
      </c>
      <c r="J966" s="5">
        <f ca="1">IFERROR(__xludf.DUMMYFUNCTION("""COMPUTED_VALUE"""),168)</f>
        <v>168</v>
      </c>
      <c r="K966" s="3"/>
      <c r="L966" s="3" t="str">
        <f ca="1">IFERROR(__xludf.DUMMYFUNCTION("""COMPUTED_VALUE"""),"Cost per period")</f>
        <v>Cost per period</v>
      </c>
      <c r="M966" s="3"/>
      <c r="N966" s="3"/>
      <c r="O966" s="3" t="str">
        <f ca="1">IFERROR(__xludf.DUMMYFUNCTION("""COMPUTED_VALUE"""),"640")</f>
        <v>640</v>
      </c>
      <c r="P966" s="3" t="str">
        <f ca="1">IFERROR(__xludf.DUMMYFUNCTION("""COMPUTED_VALUE"""),"335, 640")</f>
        <v>335, 640</v>
      </c>
      <c r="Q966" s="3" t="str">
        <f ca="1">IFERROR(__xludf.DUMMYFUNCTION("""COMPUTED_VALUE"""),"640x640 a 640x335 + text + logo")</f>
        <v>640x640 a 640x335 + text + logo</v>
      </c>
      <c r="R966" s="3" t="str">
        <f ca="1">IFERROR(__xludf.DUMMYFUNCTION("""COMPUTED_VALUE"""),"detailní specifikace na URL odkaze")</f>
        <v>detailní specifikace na URL odkaze</v>
      </c>
      <c r="S966" s="3" t="str">
        <f ca="1">IFERROR(__xludf.DUMMYFUNCTION("""COMPUTED_VALUE"""),"100")</f>
        <v>100</v>
      </c>
      <c r="T966" s="3"/>
      <c r="U966" s="3" t="str">
        <f ca="1">IFERROR(__xludf.DUMMYFUNCTION("""COMPUTED_VALUE"""),"nativní reklama")</f>
        <v>nativní reklama</v>
      </c>
      <c r="V966" s="3"/>
      <c r="W966" s="4" t="str">
        <f ca="1">IFERROR(__xludf.DUMMYFUNCTION("""COMPUTED_VALUE"""),"https://reklama.cncenter.cz/Online/nativni-PR-premium")</f>
        <v>https://reklama.cncenter.cz/Online/nativni-PR-premium</v>
      </c>
      <c r="X966" s="3"/>
      <c r="Y966" s="3"/>
      <c r="Z966" s="3" t="str">
        <f ca="1">IFERROR(__xludf.DUMMYFUNCTION("""COMPUTED_VALUE"""),"podklady@cncenter.cz")</f>
        <v>podklady@cncenter.cz</v>
      </c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 t="str">
        <f ca="1">IFERROR(__xludf.DUMMYFUNCTION("""COMPUTED_VALUE"""),"cross-device")</f>
        <v>cross-device</v>
      </c>
      <c r="AO966" s="3"/>
      <c r="AP966" s="3"/>
      <c r="AQ966" s="3"/>
      <c r="AR966" s="3"/>
      <c r="AS966" s="3"/>
      <c r="AT966" s="3"/>
      <c r="AU966" s="3" t="str">
        <f ca="1">IFERROR(__xludf.DUMMYFUNCTION("""COMPUTED_VALUE"""),"cílený nativní pr premium")</f>
        <v>cílený nativní pr premium</v>
      </c>
    </row>
    <row r="967" spans="1:47" x14ac:dyDescent="0.3">
      <c r="A967" s="3">
        <f ca="1"/>
        <v>2346826</v>
      </c>
      <c r="B967" s="3" t="str">
        <f ca="1"/>
        <v>CZECH NEWS CENTER a. s.</v>
      </c>
      <c r="C967" s="3" t="str">
        <f ca="1">IFERROR(__xludf.DUMMYFUNCTION("""COMPUTED_VALUE"""),"Reflex")</f>
        <v>Reflex</v>
      </c>
      <c r="D967" s="4" t="str">
        <f ca="1">IFERROR(__xludf.DUMMYFUNCTION("""COMPUTED_VALUE"""),"https://reflex.cz")</f>
        <v>https://reflex.cz</v>
      </c>
      <c r="E967" s="3" t="str">
        <f ca="1">IFERROR(__xludf.DUMMYFUNCTION("""COMPUTED_VALUE"""),"celý web")</f>
        <v>celý web</v>
      </c>
      <c r="F967" s="4" t="str">
        <f ca="1">IFERROR(__xludf.DUMMYFUNCTION("""COMPUTED_VALUE"""),"https://reflex.cz")</f>
        <v>https://reflex.cz</v>
      </c>
      <c r="G967" s="3" t="str">
        <f ca="1">IFERROR(__xludf.DUMMYFUNCTION("""COMPUTED_VALUE"""),"cílený nativní rectangle cross-device mid season")</f>
        <v>cílený nativní rectangle cross-device mid season</v>
      </c>
      <c r="H967" s="3">
        <f ca="1">IFERROR(__xludf.DUMMYFUNCTION("""COMPUTED_VALUE"""),7)</f>
        <v>7</v>
      </c>
      <c r="I967" s="5">
        <f ca="1">IFERROR(__xludf.DUMMYFUNCTION("""COMPUTED_VALUE"""),1000)</f>
        <v>1000</v>
      </c>
      <c r="J967" s="5">
        <f ca="1">IFERROR(__xludf.DUMMYFUNCTION("""COMPUTED_VALUE"""),336)</f>
        <v>336</v>
      </c>
      <c r="K967" s="3"/>
      <c r="L967" s="3" t="str">
        <f ca="1">IFERROR(__xludf.DUMMYFUNCTION("""COMPUTED_VALUE"""),"Cost per period")</f>
        <v>Cost per period</v>
      </c>
      <c r="M967" s="3"/>
      <c r="N967" s="3"/>
      <c r="O967" s="3" t="str">
        <f ca="1">IFERROR(__xludf.DUMMYFUNCTION("""COMPUTED_VALUE"""),"640")</f>
        <v>640</v>
      </c>
      <c r="P967" s="3" t="str">
        <f ca="1">IFERROR(__xludf.DUMMYFUNCTION("""COMPUTED_VALUE"""),"335, 640")</f>
        <v>335, 640</v>
      </c>
      <c r="Q967" s="3" t="str">
        <f ca="1">IFERROR(__xludf.DUMMYFUNCTION("""COMPUTED_VALUE"""),"640x640 a 640x335 + text + logo")</f>
        <v>640x640 a 640x335 + text + logo</v>
      </c>
      <c r="R967" s="3"/>
      <c r="S967" s="3" t="str">
        <f ca="1">IFERROR(__xludf.DUMMYFUNCTION("""COMPUTED_VALUE"""),"45")</f>
        <v>45</v>
      </c>
      <c r="T967" s="3"/>
      <c r="U967" s="3" t="str">
        <f ca="1">IFERROR(__xludf.DUMMYFUNCTION("""COMPUTED_VALUE"""),"nativní reklama")</f>
        <v>nativní reklama</v>
      </c>
      <c r="V967" s="3"/>
      <c r="W967" s="4" t="str">
        <f ca="1">IFERROR(__xludf.DUMMYFUNCTION("""COMPUTED_VALUE"""),"https://reklama.cncenter.cz/Online/nativni-rectangle-cross-device")</f>
        <v>https://reklama.cncenter.cz/Online/nativni-rectangle-cross-device</v>
      </c>
      <c r="X967" s="3"/>
      <c r="Y967" s="3"/>
      <c r="Z967" s="3" t="str">
        <f ca="1">IFERROR(__xludf.DUMMYFUNCTION("""COMPUTED_VALUE"""),"podklady@cncenter.cz")</f>
        <v>podklady@cncenter.cz</v>
      </c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 t="str">
        <f ca="1">IFERROR(__xludf.DUMMYFUNCTION("""COMPUTED_VALUE"""),"cross-device")</f>
        <v>cross-device</v>
      </c>
      <c r="AO967" s="3"/>
      <c r="AP967" s="3"/>
      <c r="AQ967" s="3"/>
      <c r="AR967" s="3"/>
      <c r="AS967" s="3"/>
      <c r="AT967" s="3"/>
      <c r="AU967" s="3" t="str">
        <f ca="1">IFERROR(__xludf.DUMMYFUNCTION("""COMPUTED_VALUE"""),"cílený nativní rectangle cross-device")</f>
        <v>cílený nativní rectangle cross-device</v>
      </c>
    </row>
    <row r="968" spans="1:47" x14ac:dyDescent="0.3">
      <c r="A968" s="3">
        <f ca="1"/>
        <v>2346826</v>
      </c>
      <c r="B968" s="3" t="str">
        <f ca="1"/>
        <v>CZECH NEWS CENTER a. s.</v>
      </c>
      <c r="C968" s="3" t="str">
        <f ca="1">IFERROR(__xludf.DUMMYFUNCTION("""COMPUTED_VALUE"""),"Reflex")</f>
        <v>Reflex</v>
      </c>
      <c r="D968" s="4" t="str">
        <f ca="1">IFERROR(__xludf.DUMMYFUNCTION("""COMPUTED_VALUE"""),"https://reflex.cz")</f>
        <v>https://reflex.cz</v>
      </c>
      <c r="E968" s="3" t="str">
        <f ca="1">IFERROR(__xludf.DUMMYFUNCTION("""COMPUTED_VALUE"""),"celý web")</f>
        <v>celý web</v>
      </c>
      <c r="F968" s="4" t="str">
        <f ca="1">IFERROR(__xludf.DUMMYFUNCTION("""COMPUTED_VALUE"""),"https://reflex.cz")</f>
        <v>https://reflex.cz</v>
      </c>
      <c r="G968" s="3" t="str">
        <f ca="1">IFERROR(__xludf.DUMMYFUNCTION("""COMPUTED_VALUE"""),"cílený outstream mid season")</f>
        <v>cílený outstream mid season</v>
      </c>
      <c r="H968" s="3">
        <f ca="1">IFERROR(__xludf.DUMMYFUNCTION("""COMPUTED_VALUE"""),7)</f>
        <v>7</v>
      </c>
      <c r="I968" s="5">
        <f ca="1">IFERROR(__xludf.DUMMYFUNCTION("""COMPUTED_VALUE"""),1000)</f>
        <v>1000</v>
      </c>
      <c r="J968" s="5">
        <f ca="1">IFERROR(__xludf.DUMMYFUNCTION("""COMPUTED_VALUE"""),420)</f>
        <v>420</v>
      </c>
      <c r="K968" s="3"/>
      <c r="L968" s="3" t="str">
        <f ca="1">IFERROR(__xludf.DUMMYFUNCTION("""COMPUTED_VALUE"""),"Cost per period")</f>
        <v>Cost per period</v>
      </c>
      <c r="M968" s="3"/>
      <c r="N968" s="3"/>
      <c r="O968" s="3" t="str">
        <f ca="1">IFERROR(__xludf.DUMMYFUNCTION("""COMPUTED_VALUE"""),"1280")</f>
        <v>1280</v>
      </c>
      <c r="P968" s="3" t="str">
        <f ca="1">IFERROR(__xludf.DUMMYFUNCTION("""COMPUTED_VALUE"""),"720")</f>
        <v>720</v>
      </c>
      <c r="Q968" s="3" t="str">
        <f ca="1">IFERROR(__xludf.DUMMYFUNCTION("""COMPUTED_VALUE"""),"16:9")</f>
        <v>16:9</v>
      </c>
      <c r="R968" s="3"/>
      <c r="S968" s="3" t="str">
        <f ca="1">IFERROR(__xludf.DUMMYFUNCTION("""COMPUTED_VALUE"""),"100")</f>
        <v>100</v>
      </c>
      <c r="T968" s="3"/>
      <c r="U968" s="3" t="str">
        <f ca="1">IFERROR(__xludf.DUMMYFUNCTION("""COMPUTED_VALUE"""),"videospot")</f>
        <v>videospot</v>
      </c>
      <c r="V968" s="3"/>
      <c r="W968" s="4" t="str">
        <f ca="1">IFERROR(__xludf.DUMMYFUNCTION("""COMPUTED_VALUE"""),"https://reklama.cncenter.cz/Online/Outstream")</f>
        <v>https://reklama.cncenter.cz/Online/Outstream</v>
      </c>
      <c r="X968" s="3"/>
      <c r="Y968" s="3"/>
      <c r="Z968" s="3" t="str">
        <f ca="1">IFERROR(__xludf.DUMMYFUNCTION("""COMPUTED_VALUE"""),"podklady@cncenter.cz")</f>
        <v>podklady@cncenter.cz</v>
      </c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 t="str">
        <f ca="1">IFERROR(__xludf.DUMMYFUNCTION("""COMPUTED_VALUE"""),"cross-device")</f>
        <v>cross-device</v>
      </c>
      <c r="AO968" s="3"/>
      <c r="AP968" s="3"/>
      <c r="AQ968" s="3"/>
      <c r="AR968" s="3"/>
      <c r="AS968" s="3"/>
      <c r="AT968" s="3"/>
      <c r="AU968" s="3" t="str">
        <f ca="1">IFERROR(__xludf.DUMMYFUNCTION("""COMPUTED_VALUE"""),"cílený outstream")</f>
        <v>cílený outstream</v>
      </c>
    </row>
    <row r="969" spans="1:47" x14ac:dyDescent="0.3">
      <c r="A969" s="3">
        <f ca="1"/>
        <v>2346826</v>
      </c>
      <c r="B969" s="3" t="str">
        <f ca="1"/>
        <v>CZECH NEWS CENTER a. s.</v>
      </c>
      <c r="C969" s="3" t="str">
        <f ca="1">IFERROR(__xludf.DUMMYFUNCTION("""COMPUTED_VALUE"""),"Reflex")</f>
        <v>Reflex</v>
      </c>
      <c r="D969" s="4" t="str">
        <f ca="1">IFERROR(__xludf.DUMMYFUNCTION("""COMPUTED_VALUE"""),"https://reflex.cz")</f>
        <v>https://reflex.cz</v>
      </c>
      <c r="E969" s="3" t="str">
        <f ca="1">IFERROR(__xludf.DUMMYFUNCTION("""COMPUTED_VALUE"""),"celý web")</f>
        <v>celý web</v>
      </c>
      <c r="F969" s="4" t="str">
        <f ca="1">IFERROR(__xludf.DUMMYFUNCTION("""COMPUTED_VALUE"""),"https://reflex.cz")</f>
        <v>https://reflex.cz</v>
      </c>
      <c r="G969" s="3" t="str">
        <f ca="1">IFERROR(__xludf.DUMMYFUNCTION("""COMPUTED_VALUE"""),"cílený videospot - max. 30 sec. / bumper mid season")</f>
        <v>cílený videospot - max. 30 sec. / bumper mid season</v>
      </c>
      <c r="H969" s="3">
        <f ca="1">IFERROR(__xludf.DUMMYFUNCTION("""COMPUTED_VALUE"""),7)</f>
        <v>7</v>
      </c>
      <c r="I969" s="5">
        <f ca="1">IFERROR(__xludf.DUMMYFUNCTION("""COMPUTED_VALUE"""),1000)</f>
        <v>1000</v>
      </c>
      <c r="J969" s="5">
        <f ca="1">IFERROR(__xludf.DUMMYFUNCTION("""COMPUTED_VALUE"""),1248)</f>
        <v>1248</v>
      </c>
      <c r="K969" s="3"/>
      <c r="L969" s="3" t="str">
        <f ca="1">IFERROR(__xludf.DUMMYFUNCTION("""COMPUTED_VALUE"""),"Cost per period")</f>
        <v>Cost per period</v>
      </c>
      <c r="M969" s="3"/>
      <c r="N969" s="3"/>
      <c r="O969" s="3" t="str">
        <f ca="1">IFERROR(__xludf.DUMMYFUNCTION("""COMPUTED_VALUE"""),"1280")</f>
        <v>1280</v>
      </c>
      <c r="P969" s="3" t="str">
        <f ca="1">IFERROR(__xludf.DUMMYFUNCTION("""COMPUTED_VALUE"""),"720")</f>
        <v>720</v>
      </c>
      <c r="Q969" s="3" t="str">
        <f ca="1">IFERROR(__xludf.DUMMYFUNCTION("""COMPUTED_VALUE"""),"16:9 / umístění po domluvě dle možností")</f>
        <v>16:9 / umístění po domluvě dle možností</v>
      </c>
      <c r="R969" s="3" t="str">
        <f ca="1">IFERROR(__xludf.DUMMYFUNCTION("""COMPUTED_VALUE"""),"přeskočení po 7 sekundách")</f>
        <v>přeskočení po 7 sekundách</v>
      </c>
      <c r="S969" s="3" t="str">
        <f ca="1">IFERROR(__xludf.DUMMYFUNCTION("""COMPUTED_VALUE"""),"100")</f>
        <v>100</v>
      </c>
      <c r="T969" s="3"/>
      <c r="U969" s="3" t="str">
        <f ca="1">IFERROR(__xludf.DUMMYFUNCTION("""COMPUTED_VALUE"""),"videospot")</f>
        <v>videospot</v>
      </c>
      <c r="V969" s="3"/>
      <c r="W969" s="4" t="str">
        <f ca="1">IFERROR(__xludf.DUMMYFUNCTION("""COMPUTED_VALUE"""),"https://reklama.cncenter.cz/Online/Bumper")</f>
        <v>https://reklama.cncenter.cz/Online/Bumper</v>
      </c>
      <c r="X969" s="3"/>
      <c r="Y969" s="3"/>
      <c r="Z969" s="3" t="str">
        <f ca="1">IFERROR(__xludf.DUMMYFUNCTION("""COMPUTED_VALUE"""),"podklady@cncenter.cz")</f>
        <v>podklady@cncenter.cz</v>
      </c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 t="str">
        <f ca="1">IFERROR(__xludf.DUMMYFUNCTION("""COMPUTED_VALUE"""),"cross-device")</f>
        <v>cross-device</v>
      </c>
      <c r="AO969" s="3"/>
      <c r="AP969" s="3"/>
      <c r="AQ969" s="3"/>
      <c r="AR969" s="3"/>
      <c r="AS969" s="3"/>
      <c r="AT969" s="3"/>
      <c r="AU969" s="3" t="str">
        <f ca="1">IFERROR(__xludf.DUMMYFUNCTION("""COMPUTED_VALUE"""),"cílený videospot - max. 30 sec. / bumper")</f>
        <v>cílený videospot - max. 30 sec. / bumper</v>
      </c>
    </row>
    <row r="970" spans="1:47" x14ac:dyDescent="0.3">
      <c r="A970" s="3">
        <f ca="1"/>
        <v>2346826</v>
      </c>
      <c r="B970" s="3" t="str">
        <f ca="1"/>
        <v>CZECH NEWS CENTER a. s.</v>
      </c>
      <c r="C970" s="3" t="str">
        <f ca="1">IFERROR(__xludf.DUMMYFUNCTION("""COMPUTED_VALUE"""),"Reflex")</f>
        <v>Reflex</v>
      </c>
      <c r="D970" s="4" t="str">
        <f ca="1">IFERROR(__xludf.DUMMYFUNCTION("""COMPUTED_VALUE"""),"https://reflex.cz")</f>
        <v>https://reflex.cz</v>
      </c>
      <c r="E970" s="3" t="str">
        <f ca="1">IFERROR(__xludf.DUMMYFUNCTION("""COMPUTED_VALUE"""),"celý web")</f>
        <v>celý web</v>
      </c>
      <c r="F970" s="4" t="str">
        <f ca="1">IFERROR(__xludf.DUMMYFUNCTION("""COMPUTED_VALUE"""),"https://reflex.cz")</f>
        <v>https://reflex.cz</v>
      </c>
      <c r="G970" s="3" t="str">
        <f ca="1">IFERROR(__xludf.DUMMYFUNCTION("""COMPUTED_VALUE"""),"dokoupení proma o 2 týdny - 10 000 PV *** mid season")</f>
        <v>dokoupení proma o 2 týdny - 10 000 PV *** mid season</v>
      </c>
      <c r="H970" s="3">
        <f ca="1">IFERROR(__xludf.DUMMYFUNCTION("""COMPUTED_VALUE"""),1)</f>
        <v>1</v>
      </c>
      <c r="I970" s="5">
        <f ca="1">IFERROR(__xludf.DUMMYFUNCTION("""COMPUTED_VALUE"""),1)</f>
        <v>1</v>
      </c>
      <c r="J970" s="5">
        <f ca="1">IFERROR(__xludf.DUMMYFUNCTION("""COMPUTED_VALUE"""),60000)</f>
        <v>60000</v>
      </c>
      <c r="K970" s="3"/>
      <c r="L970" s="3" t="str">
        <f ca="1">IFERROR(__xludf.DUMMYFUNCTION("""COMPUTED_VALUE"""),"Cost per instance")</f>
        <v>Cost per instance</v>
      </c>
      <c r="M970" s="3"/>
      <c r="N970" s="3"/>
      <c r="O970" s="3"/>
      <c r="P970" s="3"/>
      <c r="Q970" s="3"/>
      <c r="R970" s="3"/>
      <c r="S970" s="3" t="str">
        <f ca="1">IFERROR(__xludf.DUMMYFUNCTION("""COMPUTED_VALUE"""),"100")</f>
        <v>100</v>
      </c>
      <c r="T970" s="3"/>
      <c r="U970" s="3" t="str">
        <f ca="1">IFERROR(__xludf.DUMMYFUNCTION("""COMPUTED_VALUE"""),"microsite")</f>
        <v>microsite</v>
      </c>
      <c r="V970" s="3"/>
      <c r="W970" s="3"/>
      <c r="X970" s="3"/>
      <c r="Y970" s="3"/>
      <c r="Z970" s="3" t="str">
        <f ca="1">IFERROR(__xludf.DUMMYFUNCTION("""COMPUTED_VALUE"""),"podklady@cncenter.cz")</f>
        <v>podklady@cncenter.cz</v>
      </c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 t="str">
        <f ca="1">IFERROR(__xludf.DUMMYFUNCTION("""COMPUTED_VALUE"""),"cross-device")</f>
        <v>cross-device</v>
      </c>
      <c r="AO970" s="3"/>
      <c r="AP970" s="3"/>
      <c r="AQ970" s="3"/>
      <c r="AR970" s="3"/>
      <c r="AS970" s="3"/>
      <c r="AT970" s="3"/>
      <c r="AU970" s="3" t="str">
        <f ca="1">IFERROR(__xludf.DUMMYFUNCTION("""COMPUTED_VALUE"""),"dokoupení proma o 2 týdny - 10 000 PV ***")</f>
        <v>dokoupení proma o 2 týdny - 10 000 PV ***</v>
      </c>
    </row>
    <row r="971" spans="1:47" x14ac:dyDescent="0.3">
      <c r="A971" s="3">
        <f ca="1"/>
        <v>2346826</v>
      </c>
      <c r="B971" s="3" t="str">
        <f ca="1"/>
        <v>CZECH NEWS CENTER a. s.</v>
      </c>
      <c r="C971" s="3" t="str">
        <f ca="1">IFERROR(__xludf.DUMMYFUNCTION("""COMPUTED_VALUE"""),"Reflex")</f>
        <v>Reflex</v>
      </c>
      <c r="D971" s="4" t="str">
        <f ca="1">IFERROR(__xludf.DUMMYFUNCTION("""COMPUTED_VALUE"""),"https://reflex.cz")</f>
        <v>https://reflex.cz</v>
      </c>
      <c r="E971" s="3" t="str">
        <f ca="1">IFERROR(__xludf.DUMMYFUNCTION("""COMPUTED_VALUE"""),"celý web")</f>
        <v>celý web</v>
      </c>
      <c r="F971" s="4" t="str">
        <f ca="1">IFERROR(__xludf.DUMMYFUNCTION("""COMPUTED_VALUE"""),"https://reflex.cz")</f>
        <v>https://reflex.cz</v>
      </c>
      <c r="G971" s="3" t="str">
        <f ca="1">IFERROR(__xludf.DUMMYFUNCTION("""COMPUTED_VALUE"""),"double skyscraper mid season")</f>
        <v>double skyscraper mid season</v>
      </c>
      <c r="H971" s="3">
        <f ca="1">IFERROR(__xludf.DUMMYFUNCTION("""COMPUTED_VALUE"""),7)</f>
        <v>7</v>
      </c>
      <c r="I971" s="5">
        <f ca="1">IFERROR(__xludf.DUMMYFUNCTION("""COMPUTED_VALUE"""),1000)</f>
        <v>1000</v>
      </c>
      <c r="J971" s="5">
        <f ca="1">IFERROR(__xludf.DUMMYFUNCTION("""COMPUTED_VALUE"""),270)</f>
        <v>270</v>
      </c>
      <c r="K971" s="3"/>
      <c r="L971" s="3" t="str">
        <f ca="1">IFERROR(__xludf.DUMMYFUNCTION("""COMPUTED_VALUE"""),"Cost per period")</f>
        <v>Cost per period</v>
      </c>
      <c r="M971" s="3"/>
      <c r="N971" s="3"/>
      <c r="O971" s="3" t="str">
        <f ca="1">IFERROR(__xludf.DUMMYFUNCTION("""COMPUTED_VALUE"""),"300")</f>
        <v>300</v>
      </c>
      <c r="P971" s="3" t="str">
        <f ca="1">IFERROR(__xludf.DUMMYFUNCTION("""COMPUTED_VALUE"""),"600")</f>
        <v>600</v>
      </c>
      <c r="Q971" s="3" t="str">
        <f ca="1">IFERROR(__xludf.DUMMYFUNCTION("""COMPUTED_VALUE"""),"300x600")</f>
        <v>300x600</v>
      </c>
      <c r="R971" s="3"/>
      <c r="S971" s="3" t="str">
        <f ca="1">IFERROR(__xludf.DUMMYFUNCTION("""COMPUTED_VALUE"""),"100 (200 - HTML5)")</f>
        <v>100 (200 - HTML5)</v>
      </c>
      <c r="T971" s="3"/>
      <c r="U971" s="3" t="str">
        <f ca="1">IFERROR(__xludf.DUMMYFUNCTION("""COMPUTED_VALUE"""),"banner standard")</f>
        <v>banner standard</v>
      </c>
      <c r="V971" s="3"/>
      <c r="W971" s="4" t="str">
        <f ca="1">IFERROR(__xludf.DUMMYFUNCTION("""COMPUTED_VALUE"""),"https://reklama.cncenter.cz/Online/double-skyscraper")</f>
        <v>https://reklama.cncenter.cz/Online/double-skyscraper</v>
      </c>
      <c r="X971" s="3"/>
      <c r="Y971" s="3"/>
      <c r="Z971" s="3" t="str">
        <f ca="1">IFERROR(__xludf.DUMMYFUNCTION("""COMPUTED_VALUE"""),"podklady@cncenter.cz")</f>
        <v>podklady@cncenter.cz</v>
      </c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 t="str">
        <f ca="1">IFERROR(__xludf.DUMMYFUNCTION("""COMPUTED_VALUE"""),"desktop")</f>
        <v>desktop</v>
      </c>
      <c r="AO971" s="3"/>
      <c r="AP971" s="3"/>
      <c r="AQ971" s="3"/>
      <c r="AR971" s="3"/>
      <c r="AS971" s="3"/>
      <c r="AT971" s="3"/>
      <c r="AU971" s="3" t="str">
        <f ca="1">IFERROR(__xludf.DUMMYFUNCTION("""COMPUTED_VALUE"""),"double skyscraper")</f>
        <v>double skyscraper</v>
      </c>
    </row>
    <row r="972" spans="1:47" x14ac:dyDescent="0.3">
      <c r="A972" s="3">
        <f ca="1"/>
        <v>2346826</v>
      </c>
      <c r="B972" s="3" t="str">
        <f ca="1"/>
        <v>CZECH NEWS CENTER a. s.</v>
      </c>
      <c r="C972" s="3" t="str">
        <f ca="1">IFERROR(__xludf.DUMMYFUNCTION("""COMPUTED_VALUE"""),"Reflex")</f>
        <v>Reflex</v>
      </c>
      <c r="D972" s="4" t="str">
        <f ca="1">IFERROR(__xludf.DUMMYFUNCTION("""COMPUTED_VALUE"""),"https://reflex.cz")</f>
        <v>https://reflex.cz</v>
      </c>
      <c r="E972" s="3" t="str">
        <f ca="1">IFERROR(__xludf.DUMMYFUNCTION("""COMPUTED_VALUE"""),"celý web")</f>
        <v>celý web</v>
      </c>
      <c r="F972" s="4" t="str">
        <f ca="1">IFERROR(__xludf.DUMMYFUNCTION("""COMPUTED_VALUE"""),"https://reflex.cz")</f>
        <v>https://reflex.cz</v>
      </c>
      <c r="G972" s="3" t="str">
        <f ca="1">IFERROR(__xludf.DUMMYFUNCTION("""COMPUTED_VALUE"""),"mini videospot - max. 30 sec. mid season")</f>
        <v>mini videospot - max. 30 sec. mid season</v>
      </c>
      <c r="H972" s="3">
        <f ca="1">IFERROR(__xludf.DUMMYFUNCTION("""COMPUTED_VALUE"""),7)</f>
        <v>7</v>
      </c>
      <c r="I972" s="5">
        <f ca="1">IFERROR(__xludf.DUMMYFUNCTION("""COMPUTED_VALUE"""),1000)</f>
        <v>1000</v>
      </c>
      <c r="J972" s="5">
        <f ca="1">IFERROR(__xludf.DUMMYFUNCTION("""COMPUTED_VALUE"""),200)</f>
        <v>200</v>
      </c>
      <c r="K972" s="3"/>
      <c r="L972" s="3" t="str">
        <f ca="1">IFERROR(__xludf.DUMMYFUNCTION("""COMPUTED_VALUE"""),"Cost per period")</f>
        <v>Cost per period</v>
      </c>
      <c r="M972" s="3"/>
      <c r="N972" s="3"/>
      <c r="O972" s="3"/>
      <c r="P972" s="3"/>
      <c r="Q972" s="3" t="str">
        <f ca="1">IFERROR(__xludf.DUMMYFUNCTION("""COMPUTED_VALUE"""),"16:9 / umístění po domluvě dle možností")</f>
        <v>16:9 / umístění po domluvě dle možností</v>
      </c>
      <c r="R972" s="3" t="str">
        <f ca="1">IFERROR(__xludf.DUMMYFUNCTION("""COMPUTED_VALUE"""),"přeskočení po 7 sekundách")</f>
        <v>přeskočení po 7 sekundách</v>
      </c>
      <c r="S972" s="3" t="str">
        <f ca="1">IFERROR(__xludf.DUMMYFUNCTION("""COMPUTED_VALUE"""),"100")</f>
        <v>100</v>
      </c>
      <c r="T972" s="3"/>
      <c r="U972" s="3" t="str">
        <f ca="1">IFERROR(__xludf.DUMMYFUNCTION("""COMPUTED_VALUE"""),"videospot")</f>
        <v>videospot</v>
      </c>
      <c r="V972" s="3"/>
      <c r="W972" s="4" t="str">
        <f ca="1">IFERROR(__xludf.DUMMYFUNCTION("""COMPUTED_VALUE"""),"https://reklama.cncenter.cz/Online/Videospot")</f>
        <v>https://reklama.cncenter.cz/Online/Videospot</v>
      </c>
      <c r="X972" s="3"/>
      <c r="Y972" s="3"/>
      <c r="Z972" s="3" t="str">
        <f ca="1">IFERROR(__xludf.DUMMYFUNCTION("""COMPUTED_VALUE"""),"podklady@cncenter.cz")</f>
        <v>podklady@cncenter.cz</v>
      </c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 t="str">
        <f ca="1">IFERROR(__xludf.DUMMYFUNCTION("""COMPUTED_VALUE"""),"desktop")</f>
        <v>desktop</v>
      </c>
      <c r="AO972" s="3"/>
      <c r="AP972" s="3"/>
      <c r="AQ972" s="3"/>
      <c r="AR972" s="3"/>
      <c r="AS972" s="3"/>
      <c r="AT972" s="3"/>
      <c r="AU972" s="3" t="str">
        <f ca="1">IFERROR(__xludf.DUMMYFUNCTION("""COMPUTED_VALUE"""),"mini videospot - max. 30 sec.")</f>
        <v>mini videospot - max. 30 sec.</v>
      </c>
    </row>
    <row r="973" spans="1:47" x14ac:dyDescent="0.3">
      <c r="A973" s="3">
        <f ca="1"/>
        <v>2346826</v>
      </c>
      <c r="B973" s="3" t="str">
        <f ca="1"/>
        <v>CZECH NEWS CENTER a. s.</v>
      </c>
      <c r="C973" s="3" t="str">
        <f ca="1">IFERROR(__xludf.DUMMYFUNCTION("""COMPUTED_VALUE"""),"Reflex")</f>
        <v>Reflex</v>
      </c>
      <c r="D973" s="4" t="str">
        <f ca="1">IFERROR(__xludf.DUMMYFUNCTION("""COMPUTED_VALUE"""),"https://reflex.cz")</f>
        <v>https://reflex.cz</v>
      </c>
      <c r="E973" s="3" t="str">
        <f ca="1">IFERROR(__xludf.DUMMYFUNCTION("""COMPUTED_VALUE"""),"celý web")</f>
        <v>celý web</v>
      </c>
      <c r="F973" s="4" t="str">
        <f ca="1">IFERROR(__xludf.DUMMYFUNCTION("""COMPUTED_VALUE"""),"https://reflex.cz")</f>
        <v>https://reflex.cz</v>
      </c>
      <c r="G973" s="3" t="str">
        <f ca="1">IFERROR(__xludf.DUMMYFUNCTION("""COMPUTED_VALUE"""),"mobilní interscroller mid season")</f>
        <v>mobilní interscroller mid season</v>
      </c>
      <c r="H973" s="3">
        <f ca="1">IFERROR(__xludf.DUMMYFUNCTION("""COMPUTED_VALUE"""),7)</f>
        <v>7</v>
      </c>
      <c r="I973" s="5">
        <f ca="1">IFERROR(__xludf.DUMMYFUNCTION("""COMPUTED_VALUE"""),1000)</f>
        <v>1000</v>
      </c>
      <c r="J973" s="5">
        <f ca="1">IFERROR(__xludf.DUMMYFUNCTION("""COMPUTED_VALUE"""),350)</f>
        <v>350</v>
      </c>
      <c r="K973" s="3"/>
      <c r="L973" s="3" t="str">
        <f ca="1">IFERROR(__xludf.DUMMYFUNCTION("""COMPUTED_VALUE"""),"Cost per period")</f>
        <v>Cost per period</v>
      </c>
      <c r="M973" s="3"/>
      <c r="N973" s="3"/>
      <c r="O973" s="3" t="str">
        <f ca="1">IFERROR(__xludf.DUMMYFUNCTION("""COMPUTED_VALUE"""),"600")</f>
        <v>600</v>
      </c>
      <c r="P973" s="3" t="str">
        <f ca="1">IFERROR(__xludf.DUMMYFUNCTION("""COMPUTED_VALUE"""),"1080")</f>
        <v>1080</v>
      </c>
      <c r="Q973" s="3" t="str">
        <f ca="1">IFERROR(__xludf.DUMMYFUNCTION("""COMPUTED_VALUE"""),"600x1080")</f>
        <v>600x1080</v>
      </c>
      <c r="R973" s="3"/>
      <c r="S973" s="3" t="str">
        <f ca="1">IFERROR(__xludf.DUMMYFUNCTION("""COMPUTED_VALUE"""),"200")</f>
        <v>200</v>
      </c>
      <c r="T973" s="3"/>
      <c r="U973" s="3" t="str">
        <f ca="1">IFERROR(__xludf.DUMMYFUNCTION("""COMPUTED_VALUE"""),"banner standard")</f>
        <v>banner standard</v>
      </c>
      <c r="V973" s="3"/>
      <c r="W973" s="4" t="str">
        <f ca="1">IFERROR(__xludf.DUMMYFUNCTION("""COMPUTED_VALUE"""),"https://reklama.cncenter.cz/Online/mobilni-interscroller")</f>
        <v>https://reklama.cncenter.cz/Online/mobilni-interscroller</v>
      </c>
      <c r="X973" s="3"/>
      <c r="Y973" s="3"/>
      <c r="Z973" s="3" t="str">
        <f ca="1">IFERROR(__xludf.DUMMYFUNCTION("""COMPUTED_VALUE"""),"podklady@cncenter.cz")</f>
        <v>podklady@cncenter.cz</v>
      </c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 t="str">
        <f ca="1">IFERROR(__xludf.DUMMYFUNCTION("""COMPUTED_VALUE"""),"mobile")</f>
        <v>mobile</v>
      </c>
      <c r="AO973" s="3"/>
      <c r="AP973" s="3"/>
      <c r="AQ973" s="3"/>
      <c r="AR973" s="3"/>
      <c r="AS973" s="3"/>
      <c r="AT973" s="3"/>
      <c r="AU973" s="3" t="str">
        <f ca="1">IFERROR(__xludf.DUMMYFUNCTION("""COMPUTED_VALUE"""),"mobilní interscroller")</f>
        <v>mobilní interscroller</v>
      </c>
    </row>
    <row r="974" spans="1:47" x14ac:dyDescent="0.3">
      <c r="A974" s="3">
        <f ca="1"/>
        <v>2346826</v>
      </c>
      <c r="B974" s="3" t="str">
        <f ca="1"/>
        <v>CZECH NEWS CENTER a. s.</v>
      </c>
      <c r="C974" s="3" t="str">
        <f ca="1">IFERROR(__xludf.DUMMYFUNCTION("""COMPUTED_VALUE"""),"Reflex")</f>
        <v>Reflex</v>
      </c>
      <c r="D974" s="4" t="str">
        <f ca="1">IFERROR(__xludf.DUMMYFUNCTION("""COMPUTED_VALUE"""),"https://reflex.cz")</f>
        <v>https://reflex.cz</v>
      </c>
      <c r="E974" s="3" t="str">
        <f ca="1">IFERROR(__xludf.DUMMYFUNCTION("""COMPUTED_VALUE"""),"celý web")</f>
        <v>celý web</v>
      </c>
      <c r="F974" s="4" t="str">
        <f ca="1">IFERROR(__xludf.DUMMYFUNCTION("""COMPUTED_VALUE"""),"https://reflex.cz")</f>
        <v>https://reflex.cz</v>
      </c>
      <c r="G974" s="3" t="str">
        <f ca="1">IFERROR(__xludf.DUMMYFUNCTION("""COMPUTED_VALUE"""),"mobilní slide-up mid season")</f>
        <v>mobilní slide-up mid season</v>
      </c>
      <c r="H974" s="3">
        <f ca="1">IFERROR(__xludf.DUMMYFUNCTION("""COMPUTED_VALUE"""),7)</f>
        <v>7</v>
      </c>
      <c r="I974" s="5">
        <f ca="1">IFERROR(__xludf.DUMMYFUNCTION("""COMPUTED_VALUE"""),1000)</f>
        <v>1000</v>
      </c>
      <c r="J974" s="5">
        <f ca="1">IFERROR(__xludf.DUMMYFUNCTION("""COMPUTED_VALUE"""),720)</f>
        <v>720</v>
      </c>
      <c r="K974" s="3"/>
      <c r="L974" s="3" t="str">
        <f ca="1">IFERROR(__xludf.DUMMYFUNCTION("""COMPUTED_VALUE"""),"Cost per period")</f>
        <v>Cost per period</v>
      </c>
      <c r="M974" s="3"/>
      <c r="N974" s="3"/>
      <c r="O974" s="3" t="str">
        <f ca="1">IFERROR(__xludf.DUMMYFUNCTION("""COMPUTED_VALUE"""),"300")</f>
        <v>300</v>
      </c>
      <c r="P974" s="3" t="str">
        <f ca="1">IFERROR(__xludf.DUMMYFUNCTION("""COMPUTED_VALUE"""),"120")</f>
        <v>120</v>
      </c>
      <c r="Q974" s="3" t="str">
        <f ca="1">IFERROR(__xludf.DUMMYFUNCTION("""COMPUTED_VALUE"""),"300x120")</f>
        <v>300x120</v>
      </c>
      <c r="R974" s="3"/>
      <c r="S974" s="3" t="str">
        <f ca="1">IFERROR(__xludf.DUMMYFUNCTION("""COMPUTED_VALUE"""),"100")</f>
        <v>100</v>
      </c>
      <c r="T974" s="3"/>
      <c r="U974" s="3" t="str">
        <f ca="1">IFERROR(__xludf.DUMMYFUNCTION("""COMPUTED_VALUE"""),"banner standard")</f>
        <v>banner standard</v>
      </c>
      <c r="V974" s="3"/>
      <c r="W974" s="4" t="str">
        <f ca="1">IFERROR(__xludf.DUMMYFUNCTION("""COMPUTED_VALUE"""),"https://reklama.cncenter.cz/Online/mobilni-slide-up")</f>
        <v>https://reklama.cncenter.cz/Online/mobilni-slide-up</v>
      </c>
      <c r="X974" s="3"/>
      <c r="Y974" s="3"/>
      <c r="Z974" s="3" t="str">
        <f ca="1">IFERROR(__xludf.DUMMYFUNCTION("""COMPUTED_VALUE"""),"podklady@cncenter.cz")</f>
        <v>podklady@cncenter.cz</v>
      </c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 t="str">
        <f ca="1">IFERROR(__xludf.DUMMYFUNCTION("""COMPUTED_VALUE"""),"mobile")</f>
        <v>mobile</v>
      </c>
      <c r="AO974" s="3"/>
      <c r="AP974" s="3"/>
      <c r="AQ974" s="3"/>
      <c r="AR974" s="3"/>
      <c r="AS974" s="3"/>
      <c r="AT974" s="3"/>
      <c r="AU974" s="3" t="str">
        <f ca="1">IFERROR(__xludf.DUMMYFUNCTION("""COMPUTED_VALUE"""),"mobilní slide-up")</f>
        <v>mobilní slide-up</v>
      </c>
    </row>
    <row r="975" spans="1:47" x14ac:dyDescent="0.3">
      <c r="A975" s="3">
        <f ca="1"/>
        <v>2346826</v>
      </c>
      <c r="B975" s="3" t="str">
        <f ca="1"/>
        <v>CZECH NEWS CENTER a. s.</v>
      </c>
      <c r="C975" s="3" t="str">
        <f ca="1">IFERROR(__xludf.DUMMYFUNCTION("""COMPUTED_VALUE"""),"Reflex")</f>
        <v>Reflex</v>
      </c>
      <c r="D975" s="4" t="str">
        <f ca="1">IFERROR(__xludf.DUMMYFUNCTION("""COMPUTED_VALUE"""),"https://reflex.cz")</f>
        <v>https://reflex.cz</v>
      </c>
      <c r="E975" s="3" t="str">
        <f ca="1">IFERROR(__xludf.DUMMYFUNCTION("""COMPUTED_VALUE"""),"celý web")</f>
        <v>celý web</v>
      </c>
      <c r="F975" s="4" t="str">
        <f ca="1">IFERROR(__xludf.DUMMYFUNCTION("""COMPUTED_VALUE"""),"https://reflex.cz")</f>
        <v>https://reflex.cz</v>
      </c>
      <c r="G975" s="3" t="str">
        <f ca="1">IFERROR(__xludf.DUMMYFUNCTION("""COMPUTED_VALUE"""),"mobilní viněta mid season")</f>
        <v>mobilní viněta mid season</v>
      </c>
      <c r="H975" s="3">
        <f ca="1">IFERROR(__xludf.DUMMYFUNCTION("""COMPUTED_VALUE"""),7)</f>
        <v>7</v>
      </c>
      <c r="I975" s="5">
        <f ca="1">IFERROR(__xludf.DUMMYFUNCTION("""COMPUTED_VALUE"""),1000)</f>
        <v>1000</v>
      </c>
      <c r="J975" s="5">
        <f ca="1">IFERROR(__xludf.DUMMYFUNCTION("""COMPUTED_VALUE"""),1240)</f>
        <v>1240</v>
      </c>
      <c r="K975" s="3"/>
      <c r="L975" s="3" t="str">
        <f ca="1">IFERROR(__xludf.DUMMYFUNCTION("""COMPUTED_VALUE"""),"Cost per period")</f>
        <v>Cost per period</v>
      </c>
      <c r="M975" s="3"/>
      <c r="N975" s="3"/>
      <c r="O975" s="3" t="str">
        <f ca="1">IFERROR(__xludf.DUMMYFUNCTION("""COMPUTED_VALUE"""),"600")</f>
        <v>600</v>
      </c>
      <c r="P975" s="3" t="str">
        <f ca="1">IFERROR(__xludf.DUMMYFUNCTION("""COMPUTED_VALUE"""),"800")</f>
        <v>800</v>
      </c>
      <c r="Q975" s="3" t="str">
        <f ca="1">IFERROR(__xludf.DUMMYFUNCTION("""COMPUTED_VALUE"""),"300x250 nebo 600x800")</f>
        <v>300x250 nebo 600x800</v>
      </c>
      <c r="R975" s="3"/>
      <c r="S975" s="3" t="str">
        <f ca="1">IFERROR(__xludf.DUMMYFUNCTION("""COMPUTED_VALUE"""),"100")</f>
        <v>100</v>
      </c>
      <c r="T975" s="3"/>
      <c r="U975" s="3" t="str">
        <f ca="1">IFERROR(__xludf.DUMMYFUNCTION("""COMPUTED_VALUE"""),"banner standard")</f>
        <v>banner standard</v>
      </c>
      <c r="V975" s="3"/>
      <c r="W975" s="4" t="str">
        <f ca="1">IFERROR(__xludf.DUMMYFUNCTION("""COMPUTED_VALUE"""),"https://reklama.cncenter.cz/Online/mobilni-vineta")</f>
        <v>https://reklama.cncenter.cz/Online/mobilni-vineta</v>
      </c>
      <c r="X975" s="3"/>
      <c r="Y975" s="3"/>
      <c r="Z975" s="3" t="str">
        <f ca="1">IFERROR(__xludf.DUMMYFUNCTION("""COMPUTED_VALUE"""),"podklady@cncenter.cz")</f>
        <v>podklady@cncenter.cz</v>
      </c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 t="str">
        <f ca="1">IFERROR(__xludf.DUMMYFUNCTION("""COMPUTED_VALUE"""),"mobile")</f>
        <v>mobile</v>
      </c>
      <c r="AO975" s="3"/>
      <c r="AP975" s="3"/>
      <c r="AQ975" s="3"/>
      <c r="AR975" s="3"/>
      <c r="AS975" s="3"/>
      <c r="AT975" s="3"/>
      <c r="AU975" s="3" t="str">
        <f ca="1">IFERROR(__xludf.DUMMYFUNCTION("""COMPUTED_VALUE"""),"mobilní viněta")</f>
        <v>mobilní viněta</v>
      </c>
    </row>
    <row r="976" spans="1:47" x14ac:dyDescent="0.3">
      <c r="A976" s="3">
        <f ca="1"/>
        <v>2346826</v>
      </c>
      <c r="B976" s="3" t="str">
        <f ca="1"/>
        <v>CZECH NEWS CENTER a. s.</v>
      </c>
      <c r="C976" s="3" t="str">
        <f ca="1">IFERROR(__xludf.DUMMYFUNCTION("""COMPUTED_VALUE"""),"Reflex")</f>
        <v>Reflex</v>
      </c>
      <c r="D976" s="4" t="str">
        <f ca="1">IFERROR(__xludf.DUMMYFUNCTION("""COMPUTED_VALUE"""),"https://reflex.cz")</f>
        <v>https://reflex.cz</v>
      </c>
      <c r="E976" s="3" t="str">
        <f ca="1">IFERROR(__xludf.DUMMYFUNCTION("""COMPUTED_VALUE"""),"celý web")</f>
        <v>celý web</v>
      </c>
      <c r="F976" s="4" t="str">
        <f ca="1">IFERROR(__xludf.DUMMYFUNCTION("""COMPUTED_VALUE"""),"https://reflex.cz")</f>
        <v>https://reflex.cz</v>
      </c>
      <c r="G976" s="3" t="str">
        <f ca="1">IFERROR(__xludf.DUMMYFUNCTION("""COMPUTED_VALUE"""),"Native Standard mid season")</f>
        <v>Native Standard mid season</v>
      </c>
      <c r="H976" s="3">
        <f ca="1">IFERROR(__xludf.DUMMYFUNCTION("""COMPUTED_VALUE"""),1)</f>
        <v>1</v>
      </c>
      <c r="I976" s="5">
        <f ca="1">IFERROR(__xludf.DUMMYFUNCTION("""COMPUTED_VALUE"""),1)</f>
        <v>1</v>
      </c>
      <c r="J976" s="5">
        <f ca="1">IFERROR(__xludf.DUMMYFUNCTION("""COMPUTED_VALUE"""),330000)</f>
        <v>330000</v>
      </c>
      <c r="K976" s="3"/>
      <c r="L976" s="3" t="str">
        <f ca="1">IFERROR(__xludf.DUMMYFUNCTION("""COMPUTED_VALUE"""),"Cost per instance")</f>
        <v>Cost per instance</v>
      </c>
      <c r="M976" s="3"/>
      <c r="N976" s="3"/>
      <c r="O976" s="3"/>
      <c r="P976" s="3"/>
      <c r="Q976" s="3"/>
      <c r="R976" s="3"/>
      <c r="S976" s="3" t="str">
        <f ca="1">IFERROR(__xludf.DUMMYFUNCTION("""COMPUTED_VALUE"""),"100")</f>
        <v>100</v>
      </c>
      <c r="T976" s="3"/>
      <c r="U976" s="3" t="str">
        <f ca="1">IFERROR(__xludf.DUMMYFUNCTION("""COMPUTED_VALUE"""),"microsite")</f>
        <v>microsite</v>
      </c>
      <c r="V976" s="3"/>
      <c r="W976" s="3"/>
      <c r="X976" s="3"/>
      <c r="Y976" s="3"/>
      <c r="Z976" s="3" t="str">
        <f ca="1">IFERROR(__xludf.DUMMYFUNCTION("""COMPUTED_VALUE"""),"podklady@cncenter.cz")</f>
        <v>podklady@cncenter.cz</v>
      </c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 t="str">
        <f ca="1">IFERROR(__xludf.DUMMYFUNCTION("""COMPUTED_VALUE"""),"cross-device")</f>
        <v>cross-device</v>
      </c>
      <c r="AO976" s="3"/>
      <c r="AP976" s="3"/>
      <c r="AQ976" s="3"/>
      <c r="AR976" s="3"/>
      <c r="AS976" s="3"/>
      <c r="AT976" s="3"/>
      <c r="AU976" s="3" t="str">
        <f ca="1">IFERROR(__xludf.DUMMYFUNCTION("""COMPUTED_VALUE"""),"Native Standard")</f>
        <v>Native Standard</v>
      </c>
    </row>
    <row r="977" spans="1:47" x14ac:dyDescent="0.3">
      <c r="A977" s="3">
        <f ca="1"/>
        <v>2346826</v>
      </c>
      <c r="B977" s="3" t="str">
        <f ca="1"/>
        <v>CZECH NEWS CENTER a. s.</v>
      </c>
      <c r="C977" s="3" t="str">
        <f ca="1">IFERROR(__xludf.DUMMYFUNCTION("""COMPUTED_VALUE"""),"Reflex")</f>
        <v>Reflex</v>
      </c>
      <c r="D977" s="4" t="str">
        <f ca="1">IFERROR(__xludf.DUMMYFUNCTION("""COMPUTED_VALUE"""),"https://reflex.cz")</f>
        <v>https://reflex.cz</v>
      </c>
      <c r="E977" s="3" t="str">
        <f ca="1">IFERROR(__xludf.DUMMYFUNCTION("""COMPUTED_VALUE"""),"celý web")</f>
        <v>celý web</v>
      </c>
      <c r="F977" s="4" t="str">
        <f ca="1">IFERROR(__xludf.DUMMYFUNCTION("""COMPUTED_VALUE"""),"https://reflex.cz")</f>
        <v>https://reflex.cz</v>
      </c>
      <c r="G977" s="3" t="str">
        <f ca="1">IFERROR(__xludf.DUMMYFUNCTION("""COMPUTED_VALUE"""),"nativní pr premium mid season")</f>
        <v>nativní pr premium mid season</v>
      </c>
      <c r="H977" s="3">
        <f ca="1">IFERROR(__xludf.DUMMYFUNCTION("""COMPUTED_VALUE"""),7)</f>
        <v>7</v>
      </c>
      <c r="I977" s="5">
        <f ca="1">IFERROR(__xludf.DUMMYFUNCTION("""COMPUTED_VALUE"""),1000)</f>
        <v>1000</v>
      </c>
      <c r="J977" s="5">
        <f ca="1">IFERROR(__xludf.DUMMYFUNCTION("""COMPUTED_VALUE"""),140)</f>
        <v>140</v>
      </c>
      <c r="K977" s="3"/>
      <c r="L977" s="3" t="str">
        <f ca="1">IFERROR(__xludf.DUMMYFUNCTION("""COMPUTED_VALUE"""),"Cost per period")</f>
        <v>Cost per period</v>
      </c>
      <c r="M977" s="3"/>
      <c r="N977" s="3"/>
      <c r="O977" s="3" t="str">
        <f ca="1">IFERROR(__xludf.DUMMYFUNCTION("""COMPUTED_VALUE"""),"640")</f>
        <v>640</v>
      </c>
      <c r="P977" s="3" t="str">
        <f ca="1">IFERROR(__xludf.DUMMYFUNCTION("""COMPUTED_VALUE"""),"335, 640")</f>
        <v>335, 640</v>
      </c>
      <c r="Q977" s="3" t="str">
        <f ca="1">IFERROR(__xludf.DUMMYFUNCTION("""COMPUTED_VALUE"""),"640x640 a 640x335 + text + logo")</f>
        <v>640x640 a 640x335 + text + logo</v>
      </c>
      <c r="R977" s="3" t="str">
        <f ca="1">IFERROR(__xludf.DUMMYFUNCTION("""COMPUTED_VALUE"""),"detailní specifikace na URL odkaze")</f>
        <v>detailní specifikace na URL odkaze</v>
      </c>
      <c r="S977" s="3" t="str">
        <f ca="1">IFERROR(__xludf.DUMMYFUNCTION("""COMPUTED_VALUE"""),"100")</f>
        <v>100</v>
      </c>
      <c r="T977" s="3"/>
      <c r="U977" s="3" t="str">
        <f ca="1">IFERROR(__xludf.DUMMYFUNCTION("""COMPUTED_VALUE"""),"nativní reklama")</f>
        <v>nativní reklama</v>
      </c>
      <c r="V977" s="3"/>
      <c r="W977" s="4" t="str">
        <f ca="1">IFERROR(__xludf.DUMMYFUNCTION("""COMPUTED_VALUE"""),"https://reklama.cncenter.cz/Online/nativni-PR-premium")</f>
        <v>https://reklama.cncenter.cz/Online/nativni-PR-premium</v>
      </c>
      <c r="X977" s="3"/>
      <c r="Y977" s="3"/>
      <c r="Z977" s="3" t="str">
        <f ca="1">IFERROR(__xludf.DUMMYFUNCTION("""COMPUTED_VALUE"""),"podklady@cncenter.cz")</f>
        <v>podklady@cncenter.cz</v>
      </c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 t="str">
        <f ca="1">IFERROR(__xludf.DUMMYFUNCTION("""COMPUTED_VALUE"""),"cross-device")</f>
        <v>cross-device</v>
      </c>
      <c r="AO977" s="3"/>
      <c r="AP977" s="3"/>
      <c r="AQ977" s="3"/>
      <c r="AR977" s="3"/>
      <c r="AS977" s="3"/>
      <c r="AT977" s="3"/>
      <c r="AU977" s="3" t="str">
        <f ca="1">IFERROR(__xludf.DUMMYFUNCTION("""COMPUTED_VALUE"""),"nativní pr premium")</f>
        <v>nativní pr premium</v>
      </c>
    </row>
    <row r="978" spans="1:47" x14ac:dyDescent="0.3">
      <c r="A978" s="3">
        <f ca="1"/>
        <v>2346826</v>
      </c>
      <c r="B978" s="3" t="str">
        <f ca="1"/>
        <v>CZECH NEWS CENTER a. s.</v>
      </c>
      <c r="C978" s="3" t="str">
        <f ca="1">IFERROR(__xludf.DUMMYFUNCTION("""COMPUTED_VALUE"""),"Reflex")</f>
        <v>Reflex</v>
      </c>
      <c r="D978" s="4" t="str">
        <f ca="1">IFERROR(__xludf.DUMMYFUNCTION("""COMPUTED_VALUE"""),"https://reflex.cz")</f>
        <v>https://reflex.cz</v>
      </c>
      <c r="E978" s="3" t="str">
        <f ca="1">IFERROR(__xludf.DUMMYFUNCTION("""COMPUTED_VALUE"""),"celý web")</f>
        <v>celý web</v>
      </c>
      <c r="F978" s="4" t="str">
        <f ca="1">IFERROR(__xludf.DUMMYFUNCTION("""COMPUTED_VALUE"""),"https://reflex.cz")</f>
        <v>https://reflex.cz</v>
      </c>
      <c r="G978" s="3" t="str">
        <f ca="1">IFERROR(__xludf.DUMMYFUNCTION("""COMPUTED_VALUE"""),"nativní rectangle cross-device mid season")</f>
        <v>nativní rectangle cross-device mid season</v>
      </c>
      <c r="H978" s="3">
        <f ca="1">IFERROR(__xludf.DUMMYFUNCTION("""COMPUTED_VALUE"""),7)</f>
        <v>7</v>
      </c>
      <c r="I978" s="5">
        <f ca="1">IFERROR(__xludf.DUMMYFUNCTION("""COMPUTED_VALUE"""),1000)</f>
        <v>1000</v>
      </c>
      <c r="J978" s="5">
        <f ca="1">IFERROR(__xludf.DUMMYFUNCTION("""COMPUTED_VALUE"""),280)</f>
        <v>280</v>
      </c>
      <c r="K978" s="3"/>
      <c r="L978" s="3" t="str">
        <f ca="1">IFERROR(__xludf.DUMMYFUNCTION("""COMPUTED_VALUE"""),"Cost per period")</f>
        <v>Cost per period</v>
      </c>
      <c r="M978" s="3"/>
      <c r="N978" s="3"/>
      <c r="O978" s="3" t="str">
        <f ca="1">IFERROR(__xludf.DUMMYFUNCTION("""COMPUTED_VALUE"""),"640")</f>
        <v>640</v>
      </c>
      <c r="P978" s="3" t="str">
        <f ca="1">IFERROR(__xludf.DUMMYFUNCTION("""COMPUTED_VALUE"""),"335, 640")</f>
        <v>335, 640</v>
      </c>
      <c r="Q978" s="3" t="str">
        <f ca="1">IFERROR(__xludf.DUMMYFUNCTION("""COMPUTED_VALUE"""),"640x640 a 640x335 + text + logo")</f>
        <v>640x640 a 640x335 + text + logo</v>
      </c>
      <c r="R978" s="3"/>
      <c r="S978" s="3" t="str">
        <f ca="1">IFERROR(__xludf.DUMMYFUNCTION("""COMPUTED_VALUE"""),"45")</f>
        <v>45</v>
      </c>
      <c r="T978" s="3"/>
      <c r="U978" s="3" t="str">
        <f ca="1">IFERROR(__xludf.DUMMYFUNCTION("""COMPUTED_VALUE"""),"nativní reklama")</f>
        <v>nativní reklama</v>
      </c>
      <c r="V978" s="3"/>
      <c r="W978" s="4" t="str">
        <f ca="1">IFERROR(__xludf.DUMMYFUNCTION("""COMPUTED_VALUE"""),"https://reklama.cncenter.cz/Online/nativni-rectangle-cross-device")</f>
        <v>https://reklama.cncenter.cz/Online/nativni-rectangle-cross-device</v>
      </c>
      <c r="X978" s="3"/>
      <c r="Y978" s="3"/>
      <c r="Z978" s="3" t="str">
        <f ca="1">IFERROR(__xludf.DUMMYFUNCTION("""COMPUTED_VALUE"""),"podklady@cncenter.cz")</f>
        <v>podklady@cncenter.cz</v>
      </c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 t="str">
        <f ca="1">IFERROR(__xludf.DUMMYFUNCTION("""COMPUTED_VALUE"""),"cross-device")</f>
        <v>cross-device</v>
      </c>
      <c r="AO978" s="3"/>
      <c r="AP978" s="3"/>
      <c r="AQ978" s="3"/>
      <c r="AR978" s="3"/>
      <c r="AS978" s="3"/>
      <c r="AT978" s="3"/>
      <c r="AU978" s="3" t="str">
        <f ca="1">IFERROR(__xludf.DUMMYFUNCTION("""COMPUTED_VALUE"""),"nativní rectangle cross-device")</f>
        <v>nativní rectangle cross-device</v>
      </c>
    </row>
    <row r="979" spans="1:47" x14ac:dyDescent="0.3">
      <c r="A979" s="3">
        <f ca="1"/>
        <v>2346826</v>
      </c>
      <c r="B979" s="3" t="str">
        <f ca="1"/>
        <v>CZECH NEWS CENTER a. s.</v>
      </c>
      <c r="C979" s="3" t="str">
        <f ca="1">IFERROR(__xludf.DUMMYFUNCTION("""COMPUTED_VALUE"""),"Reflex")</f>
        <v>Reflex</v>
      </c>
      <c r="D979" s="4" t="str">
        <f ca="1">IFERROR(__xludf.DUMMYFUNCTION("""COMPUTED_VALUE"""),"https://reflex.cz")</f>
        <v>https://reflex.cz</v>
      </c>
      <c r="E979" s="3" t="str">
        <f ca="1">IFERROR(__xludf.DUMMYFUNCTION("""COMPUTED_VALUE"""),"celý web")</f>
        <v>celý web</v>
      </c>
      <c r="F979" s="4" t="str">
        <f ca="1">IFERROR(__xludf.DUMMYFUNCTION("""COMPUTED_VALUE"""),"https://reflex.cz")</f>
        <v>https://reflex.cz</v>
      </c>
      <c r="G979" s="3" t="str">
        <f ca="1">IFERROR(__xludf.DUMMYFUNCTION("""COMPUTED_VALUE"""),"outstream mid season")</f>
        <v>outstream mid season</v>
      </c>
      <c r="H979" s="3">
        <f ca="1">IFERROR(__xludf.DUMMYFUNCTION("""COMPUTED_VALUE"""),7)</f>
        <v>7</v>
      </c>
      <c r="I979" s="5">
        <f ca="1">IFERROR(__xludf.DUMMYFUNCTION("""COMPUTED_VALUE"""),1000)</f>
        <v>1000</v>
      </c>
      <c r="J979" s="5">
        <f ca="1">IFERROR(__xludf.DUMMYFUNCTION("""COMPUTED_VALUE"""),350)</f>
        <v>350</v>
      </c>
      <c r="K979" s="3"/>
      <c r="L979" s="3" t="str">
        <f ca="1">IFERROR(__xludf.DUMMYFUNCTION("""COMPUTED_VALUE"""),"Cost per period")</f>
        <v>Cost per period</v>
      </c>
      <c r="M979" s="3"/>
      <c r="N979" s="3"/>
      <c r="O979" s="3" t="str">
        <f ca="1">IFERROR(__xludf.DUMMYFUNCTION("""COMPUTED_VALUE"""),"1280")</f>
        <v>1280</v>
      </c>
      <c r="P979" s="3" t="str">
        <f ca="1">IFERROR(__xludf.DUMMYFUNCTION("""COMPUTED_VALUE"""),"720")</f>
        <v>720</v>
      </c>
      <c r="Q979" s="3" t="str">
        <f ca="1">IFERROR(__xludf.DUMMYFUNCTION("""COMPUTED_VALUE"""),"16:9")</f>
        <v>16:9</v>
      </c>
      <c r="R979" s="3"/>
      <c r="S979" s="3" t="str">
        <f ca="1">IFERROR(__xludf.DUMMYFUNCTION("""COMPUTED_VALUE"""),"100")</f>
        <v>100</v>
      </c>
      <c r="T979" s="3"/>
      <c r="U979" s="3" t="str">
        <f ca="1">IFERROR(__xludf.DUMMYFUNCTION("""COMPUTED_VALUE"""),"videospot")</f>
        <v>videospot</v>
      </c>
      <c r="V979" s="3"/>
      <c r="W979" s="4" t="str">
        <f ca="1">IFERROR(__xludf.DUMMYFUNCTION("""COMPUTED_VALUE"""),"https://reklama.cncenter.cz/Online/Outstream")</f>
        <v>https://reklama.cncenter.cz/Online/Outstream</v>
      </c>
      <c r="X979" s="3"/>
      <c r="Y979" s="3"/>
      <c r="Z979" s="3" t="str">
        <f ca="1">IFERROR(__xludf.DUMMYFUNCTION("""COMPUTED_VALUE"""),"podklady@cncenter.cz")</f>
        <v>podklady@cncenter.cz</v>
      </c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 t="str">
        <f ca="1">IFERROR(__xludf.DUMMYFUNCTION("""COMPUTED_VALUE"""),"cross-device")</f>
        <v>cross-device</v>
      </c>
      <c r="AO979" s="3"/>
      <c r="AP979" s="3"/>
      <c r="AQ979" s="3"/>
      <c r="AR979" s="3"/>
      <c r="AS979" s="3"/>
      <c r="AT979" s="3"/>
      <c r="AU979" s="3" t="str">
        <f ca="1">IFERROR(__xludf.DUMMYFUNCTION("""COMPUTED_VALUE"""),"outstream")</f>
        <v>outstream</v>
      </c>
    </row>
    <row r="980" spans="1:47" x14ac:dyDescent="0.3">
      <c r="A980" s="3">
        <f ca="1"/>
        <v>2346826</v>
      </c>
      <c r="B980" s="3" t="str">
        <f ca="1"/>
        <v>CZECH NEWS CENTER a. s.</v>
      </c>
      <c r="C980" s="3" t="str">
        <f ca="1">IFERROR(__xludf.DUMMYFUNCTION("""COMPUTED_VALUE"""),"Reflex")</f>
        <v>Reflex</v>
      </c>
      <c r="D980" s="4" t="str">
        <f ca="1">IFERROR(__xludf.DUMMYFUNCTION("""COMPUTED_VALUE"""),"https://reflex.cz")</f>
        <v>https://reflex.cz</v>
      </c>
      <c r="E980" s="3" t="str">
        <f ca="1">IFERROR(__xludf.DUMMYFUNCTION("""COMPUTED_VALUE"""),"celý web")</f>
        <v>celý web</v>
      </c>
      <c r="F980" s="4" t="str">
        <f ca="1">IFERROR(__xludf.DUMMYFUNCTION("""COMPUTED_VALUE"""),"https://reflex.cz")</f>
        <v>https://reflex.cz</v>
      </c>
      <c r="G980" s="3" t="str">
        <f ca="1">IFERROR(__xludf.DUMMYFUNCTION("""COMPUTED_VALUE"""),"PR článek mid season")</f>
        <v>PR článek mid season</v>
      </c>
      <c r="H980" s="3">
        <f ca="1">IFERROR(__xludf.DUMMYFUNCTION("""COMPUTED_VALUE"""),1)</f>
        <v>1</v>
      </c>
      <c r="I980" s="5">
        <f ca="1">IFERROR(__xludf.DUMMYFUNCTION("""COMPUTED_VALUE"""),1)</f>
        <v>1</v>
      </c>
      <c r="J980" s="5">
        <f ca="1">IFERROR(__xludf.DUMMYFUNCTION("""COMPUTED_VALUE"""),30000)</f>
        <v>30000</v>
      </c>
      <c r="K980" s="3"/>
      <c r="L980" s="3" t="str">
        <f ca="1">IFERROR(__xludf.DUMMYFUNCTION("""COMPUTED_VALUE"""),"Cost per instance")</f>
        <v>Cost per instance</v>
      </c>
      <c r="M980" s="3"/>
      <c r="N980" s="3"/>
      <c r="O980" s="3"/>
      <c r="P980" s="3"/>
      <c r="Q980" s="3"/>
      <c r="R980" s="3"/>
      <c r="S980" s="3" t="str">
        <f ca="1">IFERROR(__xludf.DUMMYFUNCTION("""COMPUTED_VALUE"""),"100")</f>
        <v>100</v>
      </c>
      <c r="T980" s="3"/>
      <c r="U980" s="3" t="str">
        <f ca="1">IFERROR(__xludf.DUMMYFUNCTION("""COMPUTED_VALUE"""),"pr článek")</f>
        <v>pr článek</v>
      </c>
      <c r="V980" s="3"/>
      <c r="W980" s="4" t="str">
        <f ca="1">IFERROR(__xludf.DUMMYFUNCTION("""COMPUTED_VALUE"""),"https://reklama.cncenter.cz/?ads=PR%2520%25C4%258Dl%25C3%25A1nky")</f>
        <v>https://reklama.cncenter.cz/?ads=PR%2520%25C4%258Dl%25C3%25A1nky</v>
      </c>
      <c r="X980" s="3"/>
      <c r="Y980" s="3"/>
      <c r="Z980" s="3" t="str">
        <f ca="1">IFERROR(__xludf.DUMMYFUNCTION("""COMPUTED_VALUE"""),"podklady@cncenter.cz")</f>
        <v>podklady@cncenter.cz</v>
      </c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 t="str">
        <f ca="1">IFERROR(__xludf.DUMMYFUNCTION("""COMPUTED_VALUE"""),"cross-device")</f>
        <v>cross-device</v>
      </c>
      <c r="AO980" s="3"/>
      <c r="AP980" s="3"/>
      <c r="AQ980" s="3"/>
      <c r="AR980" s="3"/>
      <c r="AS980" s="3"/>
      <c r="AT980" s="3"/>
      <c r="AU980" s="3" t="str">
        <f ca="1">IFERROR(__xludf.DUMMYFUNCTION("""COMPUTED_VALUE"""),"PR článek")</f>
        <v>PR článek</v>
      </c>
    </row>
    <row r="981" spans="1:47" x14ac:dyDescent="0.3">
      <c r="A981" s="3">
        <f ca="1"/>
        <v>2346826</v>
      </c>
      <c r="B981" s="3" t="str">
        <f ca="1"/>
        <v>CZECH NEWS CENTER a. s.</v>
      </c>
      <c r="C981" s="3" t="str">
        <f ca="1">IFERROR(__xludf.DUMMYFUNCTION("""COMPUTED_VALUE"""),"Reflex")</f>
        <v>Reflex</v>
      </c>
      <c r="D981" s="4" t="str">
        <f ca="1">IFERROR(__xludf.DUMMYFUNCTION("""COMPUTED_VALUE"""),"https://reflex.cz")</f>
        <v>https://reflex.cz</v>
      </c>
      <c r="E981" s="3" t="str">
        <f ca="1">IFERROR(__xludf.DUMMYFUNCTION("""COMPUTED_VALUE"""),"celý web")</f>
        <v>celý web</v>
      </c>
      <c r="F981" s="4" t="str">
        <f ca="1">IFERROR(__xludf.DUMMYFUNCTION("""COMPUTED_VALUE"""),"https://reflex.cz")</f>
        <v>https://reflex.cz</v>
      </c>
      <c r="G981" s="3" t="str">
        <f ca="1">IFERROR(__xludf.DUMMYFUNCTION("""COMPUTED_VALUE"""),"Prodloužení existující microsite, bez úprav mid season")</f>
        <v>Prodloužení existující microsite, bez úprav mid season</v>
      </c>
      <c r="H981" s="3">
        <f ca="1">IFERROR(__xludf.DUMMYFUNCTION("""COMPUTED_VALUE"""),1)</f>
        <v>1</v>
      </c>
      <c r="I981" s="5">
        <f ca="1">IFERROR(__xludf.DUMMYFUNCTION("""COMPUTED_VALUE"""),1)</f>
        <v>1</v>
      </c>
      <c r="J981" s="5">
        <f ca="1">IFERROR(__xludf.DUMMYFUNCTION("""COMPUTED_VALUE"""),15000)</f>
        <v>15000</v>
      </c>
      <c r="K981" s="3"/>
      <c r="L981" s="3" t="str">
        <f ca="1">IFERROR(__xludf.DUMMYFUNCTION("""COMPUTED_VALUE"""),"Cost per instance")</f>
        <v>Cost per instance</v>
      </c>
      <c r="M981" s="3"/>
      <c r="N981" s="3"/>
      <c r="O981" s="3"/>
      <c r="P981" s="3"/>
      <c r="Q981" s="3"/>
      <c r="R981" s="3"/>
      <c r="S981" s="3" t="str">
        <f ca="1">IFERROR(__xludf.DUMMYFUNCTION("""COMPUTED_VALUE"""),"100")</f>
        <v>100</v>
      </c>
      <c r="T981" s="3"/>
      <c r="U981" s="3" t="str">
        <f ca="1">IFERROR(__xludf.DUMMYFUNCTION("""COMPUTED_VALUE"""),"microsite")</f>
        <v>microsite</v>
      </c>
      <c r="V981" s="3"/>
      <c r="W981" s="3"/>
      <c r="X981" s="3"/>
      <c r="Y981" s="3"/>
      <c r="Z981" s="3" t="str">
        <f ca="1">IFERROR(__xludf.DUMMYFUNCTION("""COMPUTED_VALUE"""),"podklady@cncenter.cz")</f>
        <v>podklady@cncenter.cz</v>
      </c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 t="str">
        <f ca="1">IFERROR(__xludf.DUMMYFUNCTION("""COMPUTED_VALUE"""),"cross-device")</f>
        <v>cross-device</v>
      </c>
      <c r="AO981" s="3"/>
      <c r="AP981" s="3"/>
      <c r="AQ981" s="3"/>
      <c r="AR981" s="3"/>
      <c r="AS981" s="3"/>
      <c r="AT981" s="3"/>
      <c r="AU981" s="3" t="str">
        <f ca="1">IFERROR(__xludf.DUMMYFUNCTION("""COMPUTED_VALUE"""),"Prodloužení existující microsite, bez úprav")</f>
        <v>Prodloužení existující microsite, bez úprav</v>
      </c>
    </row>
    <row r="982" spans="1:47" x14ac:dyDescent="0.3">
      <c r="A982" s="3">
        <f ca="1"/>
        <v>2346826</v>
      </c>
      <c r="B982" s="3" t="str">
        <f ca="1"/>
        <v>CZECH NEWS CENTER a. s.</v>
      </c>
      <c r="C982" s="3" t="str">
        <f ca="1">IFERROR(__xludf.DUMMYFUNCTION("""COMPUTED_VALUE"""),"Reflex")</f>
        <v>Reflex</v>
      </c>
      <c r="D982" s="4" t="str">
        <f ca="1">IFERROR(__xludf.DUMMYFUNCTION("""COMPUTED_VALUE"""),"https://reflex.cz")</f>
        <v>https://reflex.cz</v>
      </c>
      <c r="E982" s="3" t="str">
        <f ca="1">IFERROR(__xludf.DUMMYFUNCTION("""COMPUTED_VALUE"""),"celý web")</f>
        <v>celý web</v>
      </c>
      <c r="F982" s="4" t="str">
        <f ca="1">IFERROR(__xludf.DUMMYFUNCTION("""COMPUTED_VALUE"""),"https://reflex.cz")</f>
        <v>https://reflex.cz</v>
      </c>
      <c r="G982" s="3" t="str">
        <f ca="1">IFERROR(__xludf.DUMMYFUNCTION("""COMPUTED_VALUE"""),"Prodloužení existující microsite, bez úprav mid season")</f>
        <v>Prodloužení existující microsite, bez úprav mid season</v>
      </c>
      <c r="H982" s="3">
        <f ca="1">IFERROR(__xludf.DUMMYFUNCTION("""COMPUTED_VALUE"""),1)</f>
        <v>1</v>
      </c>
      <c r="I982" s="5">
        <f ca="1">IFERROR(__xludf.DUMMYFUNCTION("""COMPUTED_VALUE"""),1)</f>
        <v>1</v>
      </c>
      <c r="J982" s="5">
        <f ca="1">IFERROR(__xludf.DUMMYFUNCTION("""COMPUTED_VALUE"""),15000)</f>
        <v>15000</v>
      </c>
      <c r="K982" s="3"/>
      <c r="L982" s="3" t="str">
        <f ca="1">IFERROR(__xludf.DUMMYFUNCTION("""COMPUTED_VALUE"""),"Cost per instance")</f>
        <v>Cost per instance</v>
      </c>
      <c r="M982" s="3"/>
      <c r="N982" s="3"/>
      <c r="O982" s="3"/>
      <c r="P982" s="3"/>
      <c r="Q982" s="3"/>
      <c r="R982" s="3"/>
      <c r="S982" s="3" t="str">
        <f ca="1">IFERROR(__xludf.DUMMYFUNCTION("""COMPUTED_VALUE"""),"100")</f>
        <v>100</v>
      </c>
      <c r="T982" s="3"/>
      <c r="U982" s="3" t="str">
        <f ca="1">IFERROR(__xludf.DUMMYFUNCTION("""COMPUTED_VALUE"""),"microsite")</f>
        <v>microsite</v>
      </c>
      <c r="V982" s="3"/>
      <c r="W982" s="3"/>
      <c r="X982" s="3"/>
      <c r="Y982" s="3"/>
      <c r="Z982" s="3" t="str">
        <f ca="1">IFERROR(__xludf.DUMMYFUNCTION("""COMPUTED_VALUE"""),"podklady@cncenter.cz")</f>
        <v>podklady@cncenter.cz</v>
      </c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 t="str">
        <f ca="1">IFERROR(__xludf.DUMMYFUNCTION("""COMPUTED_VALUE"""),"cross-device")</f>
        <v>cross-device</v>
      </c>
      <c r="AO982" s="3"/>
      <c r="AP982" s="3"/>
      <c r="AQ982" s="3"/>
      <c r="AR982" s="3"/>
      <c r="AS982" s="3"/>
      <c r="AT982" s="3"/>
      <c r="AU982" s="3" t="str">
        <f ca="1">IFERROR(__xludf.DUMMYFUNCTION("""COMPUTED_VALUE"""),"Prodloužení existující microsite, bez úprav")</f>
        <v>Prodloužení existující microsite, bez úprav</v>
      </c>
    </row>
    <row r="983" spans="1:47" x14ac:dyDescent="0.3">
      <c r="A983" s="3">
        <f ca="1"/>
        <v>2346826</v>
      </c>
      <c r="B983" s="3" t="str">
        <f ca="1"/>
        <v>CZECH NEWS CENTER a. s.</v>
      </c>
      <c r="C983" s="3" t="str">
        <f ca="1">IFERROR(__xludf.DUMMYFUNCTION("""COMPUTED_VALUE"""),"Reflex")</f>
        <v>Reflex</v>
      </c>
      <c r="D983" s="4" t="str">
        <f ca="1">IFERROR(__xludf.DUMMYFUNCTION("""COMPUTED_VALUE"""),"https://reflex.cz")</f>
        <v>https://reflex.cz</v>
      </c>
      <c r="E983" s="3" t="str">
        <f ca="1">IFERROR(__xludf.DUMMYFUNCTION("""COMPUTED_VALUE"""),"celý web")</f>
        <v>celý web</v>
      </c>
      <c r="F983" s="4" t="str">
        <f ca="1">IFERROR(__xludf.DUMMYFUNCTION("""COMPUTED_VALUE"""),"https://reflex.cz")</f>
        <v>https://reflex.cz</v>
      </c>
      <c r="G983" s="3" t="str">
        <f ca="1">IFERROR(__xludf.DUMMYFUNCTION("""COMPUTED_VALUE"""),"Prodloužení existující microsite, bez úprav mid season")</f>
        <v>Prodloužení existující microsite, bez úprav mid season</v>
      </c>
      <c r="H983" s="3">
        <f ca="1">IFERROR(__xludf.DUMMYFUNCTION("""COMPUTED_VALUE"""),1)</f>
        <v>1</v>
      </c>
      <c r="I983" s="5">
        <f ca="1">IFERROR(__xludf.DUMMYFUNCTION("""COMPUTED_VALUE"""),1)</f>
        <v>1</v>
      </c>
      <c r="J983" s="5">
        <f ca="1">IFERROR(__xludf.DUMMYFUNCTION("""COMPUTED_VALUE"""),15000)</f>
        <v>15000</v>
      </c>
      <c r="K983" s="3"/>
      <c r="L983" s="3" t="str">
        <f ca="1">IFERROR(__xludf.DUMMYFUNCTION("""COMPUTED_VALUE"""),"Cost per instance")</f>
        <v>Cost per instance</v>
      </c>
      <c r="M983" s="3"/>
      <c r="N983" s="3"/>
      <c r="O983" s="3"/>
      <c r="P983" s="3"/>
      <c r="Q983" s="3"/>
      <c r="R983" s="3"/>
      <c r="S983" s="3" t="str">
        <f ca="1">IFERROR(__xludf.DUMMYFUNCTION("""COMPUTED_VALUE"""),"100")</f>
        <v>100</v>
      </c>
      <c r="T983" s="3"/>
      <c r="U983" s="3" t="str">
        <f ca="1">IFERROR(__xludf.DUMMYFUNCTION("""COMPUTED_VALUE"""),"microsite")</f>
        <v>microsite</v>
      </c>
      <c r="V983" s="3"/>
      <c r="W983" s="3"/>
      <c r="X983" s="3"/>
      <c r="Y983" s="3"/>
      <c r="Z983" s="3" t="str">
        <f ca="1">IFERROR(__xludf.DUMMYFUNCTION("""COMPUTED_VALUE"""),"podklady@cncenter.cz")</f>
        <v>podklady@cncenter.cz</v>
      </c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 t="str">
        <f ca="1">IFERROR(__xludf.DUMMYFUNCTION("""COMPUTED_VALUE"""),"cross-device")</f>
        <v>cross-device</v>
      </c>
      <c r="AO983" s="3"/>
      <c r="AP983" s="3"/>
      <c r="AQ983" s="3"/>
      <c r="AR983" s="3"/>
      <c r="AS983" s="3"/>
      <c r="AT983" s="3"/>
      <c r="AU983" s="3" t="str">
        <f ca="1">IFERROR(__xludf.DUMMYFUNCTION("""COMPUTED_VALUE"""),"Prodloužení existující microsite, bez úprav")</f>
        <v>Prodloužení existující microsite, bez úprav</v>
      </c>
    </row>
    <row r="984" spans="1:47" x14ac:dyDescent="0.3">
      <c r="A984" s="3">
        <f ca="1"/>
        <v>2346826</v>
      </c>
      <c r="B984" s="3" t="str">
        <f ca="1"/>
        <v>CZECH NEWS CENTER a. s.</v>
      </c>
      <c r="C984" s="3" t="str">
        <f ca="1">IFERROR(__xludf.DUMMYFUNCTION("""COMPUTED_VALUE"""),"Reflex")</f>
        <v>Reflex</v>
      </c>
      <c r="D984" s="4" t="str">
        <f ca="1">IFERROR(__xludf.DUMMYFUNCTION("""COMPUTED_VALUE"""),"https://reflex.cz")</f>
        <v>https://reflex.cz</v>
      </c>
      <c r="E984" s="3" t="str">
        <f ca="1">IFERROR(__xludf.DUMMYFUNCTION("""COMPUTED_VALUE"""),"celý web")</f>
        <v>celý web</v>
      </c>
      <c r="F984" s="4" t="str">
        <f ca="1">IFERROR(__xludf.DUMMYFUNCTION("""COMPUTED_VALUE"""),"https://reflex.cz")</f>
        <v>https://reflex.cz</v>
      </c>
      <c r="G984" s="3" t="str">
        <f ca="1">IFERROR(__xludf.DUMMYFUNCTION("""COMPUTED_VALUE"""),"videospot - max. 30 sec. / bumper mid season")</f>
        <v>videospot - max. 30 sec. / bumper mid season</v>
      </c>
      <c r="H984" s="3">
        <f ca="1">IFERROR(__xludf.DUMMYFUNCTION("""COMPUTED_VALUE"""),7)</f>
        <v>7</v>
      </c>
      <c r="I984" s="5">
        <f ca="1">IFERROR(__xludf.DUMMYFUNCTION("""COMPUTED_VALUE"""),1000)</f>
        <v>1000</v>
      </c>
      <c r="J984" s="5">
        <f ca="1">IFERROR(__xludf.DUMMYFUNCTION("""COMPUTED_VALUE"""),1040)</f>
        <v>1040</v>
      </c>
      <c r="K984" s="3"/>
      <c r="L984" s="3" t="str">
        <f ca="1">IFERROR(__xludf.DUMMYFUNCTION("""COMPUTED_VALUE"""),"Cost per period")</f>
        <v>Cost per period</v>
      </c>
      <c r="M984" s="3"/>
      <c r="N984" s="3"/>
      <c r="O984" s="3" t="str">
        <f ca="1">IFERROR(__xludf.DUMMYFUNCTION("""COMPUTED_VALUE"""),"1280")</f>
        <v>1280</v>
      </c>
      <c r="P984" s="3" t="str">
        <f ca="1">IFERROR(__xludf.DUMMYFUNCTION("""COMPUTED_VALUE"""),"720")</f>
        <v>720</v>
      </c>
      <c r="Q984" s="3" t="str">
        <f ca="1">IFERROR(__xludf.DUMMYFUNCTION("""COMPUTED_VALUE"""),"16:9 / umístění po domluvě dle možností")</f>
        <v>16:9 / umístění po domluvě dle možností</v>
      </c>
      <c r="R984" s="3" t="str">
        <f ca="1">IFERROR(__xludf.DUMMYFUNCTION("""COMPUTED_VALUE"""),"přeskočení po 7 sekundách")</f>
        <v>přeskočení po 7 sekundách</v>
      </c>
      <c r="S984" s="3" t="str">
        <f ca="1">IFERROR(__xludf.DUMMYFUNCTION("""COMPUTED_VALUE"""),"100")</f>
        <v>100</v>
      </c>
      <c r="T984" s="3"/>
      <c r="U984" s="3" t="str">
        <f ca="1">IFERROR(__xludf.DUMMYFUNCTION("""COMPUTED_VALUE"""),"videospot")</f>
        <v>videospot</v>
      </c>
      <c r="V984" s="3"/>
      <c r="W984" s="4" t="str">
        <f ca="1">IFERROR(__xludf.DUMMYFUNCTION("""COMPUTED_VALUE"""),"https://reklama.cncenter.cz/Online/Bumper")</f>
        <v>https://reklama.cncenter.cz/Online/Bumper</v>
      </c>
      <c r="X984" s="3"/>
      <c r="Y984" s="3"/>
      <c r="Z984" s="3" t="str">
        <f ca="1">IFERROR(__xludf.DUMMYFUNCTION("""COMPUTED_VALUE"""),"podklady@cncenter.cz")</f>
        <v>podklady@cncenter.cz</v>
      </c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 t="str">
        <f ca="1">IFERROR(__xludf.DUMMYFUNCTION("""COMPUTED_VALUE"""),"cross-device")</f>
        <v>cross-device</v>
      </c>
      <c r="AO984" s="3"/>
      <c r="AP984" s="3"/>
      <c r="AQ984" s="3"/>
      <c r="AR984" s="3"/>
      <c r="AS984" s="3"/>
      <c r="AT984" s="3"/>
      <c r="AU984" s="3" t="str">
        <f ca="1">IFERROR(__xludf.DUMMYFUNCTION("""COMPUTED_VALUE"""),"videospot - max. 30 sec. / bumper")</f>
        <v>videospot - max. 30 sec. / bumper</v>
      </c>
    </row>
    <row r="985" spans="1:47" x14ac:dyDescent="0.3">
      <c r="A985" s="3">
        <f ca="1"/>
        <v>2346826</v>
      </c>
      <c r="B985" s="3" t="str">
        <f ca="1"/>
        <v>CZECH NEWS CENTER a. s.</v>
      </c>
      <c r="C985" s="3" t="str">
        <f ca="1">IFERROR(__xludf.DUMMYFUNCTION("""COMPUTED_VALUE"""),"SportRevue")</f>
        <v>SportRevue</v>
      </c>
      <c r="D985" s="4" t="str">
        <f ca="1">IFERROR(__xludf.DUMMYFUNCTION("""COMPUTED_VALUE"""),"https://sportrevue.cz")</f>
        <v>https://sportrevue.cz</v>
      </c>
      <c r="E985" s="3" t="str">
        <f ca="1">IFERROR(__xludf.DUMMYFUNCTION("""COMPUTED_VALUE"""),"celý web")</f>
        <v>celý web</v>
      </c>
      <c r="F985" s="4" t="str">
        <f ca="1">IFERROR(__xludf.DUMMYFUNCTION("""COMPUTED_VALUE"""),"https://sportrevue.cz")</f>
        <v>https://sportrevue.cz</v>
      </c>
      <c r="G985" s="3" t="str">
        <f ca="1">IFERROR(__xludf.DUMMYFUNCTION("""COMPUTED_VALUE"""),"Advertorial mid season")</f>
        <v>Advertorial mid season</v>
      </c>
      <c r="H985" s="3">
        <f ca="1">IFERROR(__xludf.DUMMYFUNCTION("""COMPUTED_VALUE"""),1)</f>
        <v>1</v>
      </c>
      <c r="I985" s="5">
        <f ca="1">IFERROR(__xludf.DUMMYFUNCTION("""COMPUTED_VALUE"""),1)</f>
        <v>1</v>
      </c>
      <c r="J985" s="5">
        <f ca="1">IFERROR(__xludf.DUMMYFUNCTION("""COMPUTED_VALUE"""),90000)</f>
        <v>90000</v>
      </c>
      <c r="K985" s="3"/>
      <c r="L985" s="3" t="str">
        <f ca="1">IFERROR(__xludf.DUMMYFUNCTION("""COMPUTED_VALUE"""),"Cost per instance")</f>
        <v>Cost per instance</v>
      </c>
      <c r="M985" s="3"/>
      <c r="N985" s="3"/>
      <c r="O985" s="3"/>
      <c r="P985" s="3"/>
      <c r="Q985" s="3"/>
      <c r="R985" s="3"/>
      <c r="S985" s="3" t="str">
        <f ca="1">IFERROR(__xludf.DUMMYFUNCTION("""COMPUTED_VALUE"""),"100")</f>
        <v>100</v>
      </c>
      <c r="T985" s="3"/>
      <c r="U985" s="3" t="str">
        <f ca="1">IFERROR(__xludf.DUMMYFUNCTION("""COMPUTED_VALUE"""),"pr článek")</f>
        <v>pr článek</v>
      </c>
      <c r="V985" s="3"/>
      <c r="W985" s="3"/>
      <c r="X985" s="3"/>
      <c r="Y985" s="3"/>
      <c r="Z985" s="3" t="str">
        <f ca="1">IFERROR(__xludf.DUMMYFUNCTION("""COMPUTED_VALUE"""),"podklady@cncenter.cz")</f>
        <v>podklady@cncenter.cz</v>
      </c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 t="str">
        <f ca="1">IFERROR(__xludf.DUMMYFUNCTION("""COMPUTED_VALUE"""),"cross-device")</f>
        <v>cross-device</v>
      </c>
      <c r="AO985" s="3"/>
      <c r="AP985" s="3"/>
      <c r="AQ985" s="3"/>
      <c r="AR985" s="3"/>
      <c r="AS985" s="3"/>
      <c r="AT985" s="3"/>
      <c r="AU985" s="3" t="str">
        <f ca="1">IFERROR(__xludf.DUMMYFUNCTION("""COMPUTED_VALUE"""),"Advertorial")</f>
        <v>Advertorial</v>
      </c>
    </row>
    <row r="986" spans="1:47" x14ac:dyDescent="0.3">
      <c r="A986" s="3">
        <f ca="1"/>
        <v>2346826</v>
      </c>
      <c r="B986" s="3" t="str">
        <f ca="1"/>
        <v>CZECH NEWS CENTER a. s.</v>
      </c>
      <c r="C986" s="3" t="str">
        <f ca="1">IFERROR(__xludf.DUMMYFUNCTION("""COMPUTED_VALUE"""),"SportRevue")</f>
        <v>SportRevue</v>
      </c>
      <c r="D986" s="4" t="str">
        <f ca="1">IFERROR(__xludf.DUMMYFUNCTION("""COMPUTED_VALUE"""),"https://sportrevue.cz")</f>
        <v>https://sportrevue.cz</v>
      </c>
      <c r="E986" s="3" t="str">
        <f ca="1">IFERROR(__xludf.DUMMYFUNCTION("""COMPUTED_VALUE"""),"celý web")</f>
        <v>celý web</v>
      </c>
      <c r="F986" s="4" t="str">
        <f ca="1">IFERROR(__xludf.DUMMYFUNCTION("""COMPUTED_VALUE"""),"https://sportrevue.cz")</f>
        <v>https://sportrevue.cz</v>
      </c>
      <c r="G986" s="3" t="str">
        <f ca="1">IFERROR(__xludf.DUMMYFUNCTION("""COMPUTED_VALUE"""),"dokoupení proma o 2 týdny - 10 000 PV *** mid season")</f>
        <v>dokoupení proma o 2 týdny - 10 000 PV *** mid season</v>
      </c>
      <c r="H986" s="3">
        <f ca="1">IFERROR(__xludf.DUMMYFUNCTION("""COMPUTED_VALUE"""),1)</f>
        <v>1</v>
      </c>
      <c r="I986" s="5">
        <f ca="1">IFERROR(__xludf.DUMMYFUNCTION("""COMPUTED_VALUE"""),1)</f>
        <v>1</v>
      </c>
      <c r="J986" s="5">
        <f ca="1">IFERROR(__xludf.DUMMYFUNCTION("""COMPUTED_VALUE"""),60000)</f>
        <v>60000</v>
      </c>
      <c r="K986" s="3"/>
      <c r="L986" s="3" t="str">
        <f ca="1">IFERROR(__xludf.DUMMYFUNCTION("""COMPUTED_VALUE"""),"Cost per instance")</f>
        <v>Cost per instance</v>
      </c>
      <c r="M986" s="3"/>
      <c r="N986" s="3"/>
      <c r="O986" s="3"/>
      <c r="P986" s="3"/>
      <c r="Q986" s="3"/>
      <c r="R986" s="3"/>
      <c r="S986" s="3" t="str">
        <f ca="1">IFERROR(__xludf.DUMMYFUNCTION("""COMPUTED_VALUE"""),"100")</f>
        <v>100</v>
      </c>
      <c r="T986" s="3"/>
      <c r="U986" s="3" t="str">
        <f ca="1">IFERROR(__xludf.DUMMYFUNCTION("""COMPUTED_VALUE"""),"microsite")</f>
        <v>microsite</v>
      </c>
      <c r="V986" s="3"/>
      <c r="W986" s="3"/>
      <c r="X986" s="3"/>
      <c r="Y986" s="3"/>
      <c r="Z986" s="3" t="str">
        <f ca="1">IFERROR(__xludf.DUMMYFUNCTION("""COMPUTED_VALUE"""),"podklady@cncenter.cz")</f>
        <v>podklady@cncenter.cz</v>
      </c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 t="str">
        <f ca="1">IFERROR(__xludf.DUMMYFUNCTION("""COMPUTED_VALUE"""),"cross-device")</f>
        <v>cross-device</v>
      </c>
      <c r="AO986" s="3"/>
      <c r="AP986" s="3"/>
      <c r="AQ986" s="3"/>
      <c r="AR986" s="3"/>
      <c r="AS986" s="3"/>
      <c r="AT986" s="3"/>
      <c r="AU986" s="3" t="str">
        <f ca="1">IFERROR(__xludf.DUMMYFUNCTION("""COMPUTED_VALUE"""),"dokoupení proma o 2 týdny - 10 000 PV ***")</f>
        <v>dokoupení proma o 2 týdny - 10 000 PV ***</v>
      </c>
    </row>
    <row r="987" spans="1:47" x14ac:dyDescent="0.3">
      <c r="A987" s="3">
        <f ca="1"/>
        <v>2346826</v>
      </c>
      <c r="B987" s="3" t="str">
        <f ca="1"/>
        <v>CZECH NEWS CENTER a. s.</v>
      </c>
      <c r="C987" s="3" t="str">
        <f ca="1">IFERROR(__xludf.DUMMYFUNCTION("""COMPUTED_VALUE"""),"SportRevue")</f>
        <v>SportRevue</v>
      </c>
      <c r="D987" s="4" t="str">
        <f ca="1">IFERROR(__xludf.DUMMYFUNCTION("""COMPUTED_VALUE"""),"https://sportrevue.cz")</f>
        <v>https://sportrevue.cz</v>
      </c>
      <c r="E987" s="3" t="str">
        <f ca="1">IFERROR(__xludf.DUMMYFUNCTION("""COMPUTED_VALUE"""),"celý web")</f>
        <v>celý web</v>
      </c>
      <c r="F987" s="4" t="str">
        <f ca="1">IFERROR(__xludf.DUMMYFUNCTION("""COMPUTED_VALUE"""),"https://sportrevue.cz")</f>
        <v>https://sportrevue.cz</v>
      </c>
      <c r="G987" s="3" t="str">
        <f ca="1">IFERROR(__xludf.DUMMYFUNCTION("""COMPUTED_VALUE"""),"Native Standard mid season")</f>
        <v>Native Standard mid season</v>
      </c>
      <c r="H987" s="3">
        <f ca="1">IFERROR(__xludf.DUMMYFUNCTION("""COMPUTED_VALUE"""),1)</f>
        <v>1</v>
      </c>
      <c r="I987" s="5">
        <f ca="1">IFERROR(__xludf.DUMMYFUNCTION("""COMPUTED_VALUE"""),1)</f>
        <v>1</v>
      </c>
      <c r="J987" s="5">
        <f ca="1">IFERROR(__xludf.DUMMYFUNCTION("""COMPUTED_VALUE"""),330000)</f>
        <v>330000</v>
      </c>
      <c r="K987" s="3"/>
      <c r="L987" s="3" t="str">
        <f ca="1">IFERROR(__xludf.DUMMYFUNCTION("""COMPUTED_VALUE"""),"Cost per instance")</f>
        <v>Cost per instance</v>
      </c>
      <c r="M987" s="3"/>
      <c r="N987" s="3"/>
      <c r="O987" s="3"/>
      <c r="P987" s="3"/>
      <c r="Q987" s="3"/>
      <c r="R987" s="3"/>
      <c r="S987" s="3" t="str">
        <f ca="1">IFERROR(__xludf.DUMMYFUNCTION("""COMPUTED_VALUE"""),"100")</f>
        <v>100</v>
      </c>
      <c r="T987" s="3"/>
      <c r="U987" s="3" t="str">
        <f ca="1">IFERROR(__xludf.DUMMYFUNCTION("""COMPUTED_VALUE"""),"microsite")</f>
        <v>microsite</v>
      </c>
      <c r="V987" s="3"/>
      <c r="W987" s="3"/>
      <c r="X987" s="3"/>
      <c r="Y987" s="3"/>
      <c r="Z987" s="3" t="str">
        <f ca="1">IFERROR(__xludf.DUMMYFUNCTION("""COMPUTED_VALUE"""),"podklady@cncenter.cz")</f>
        <v>podklady@cncenter.cz</v>
      </c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 t="str">
        <f ca="1">IFERROR(__xludf.DUMMYFUNCTION("""COMPUTED_VALUE"""),"cross-device")</f>
        <v>cross-device</v>
      </c>
      <c r="AO987" s="3"/>
      <c r="AP987" s="3"/>
      <c r="AQ987" s="3"/>
      <c r="AR987" s="3"/>
      <c r="AS987" s="3"/>
      <c r="AT987" s="3"/>
      <c r="AU987" s="3" t="str">
        <f ca="1">IFERROR(__xludf.DUMMYFUNCTION("""COMPUTED_VALUE"""),"Native Standard")</f>
        <v>Native Standard</v>
      </c>
    </row>
    <row r="988" spans="1:47" x14ac:dyDescent="0.3">
      <c r="A988" s="3">
        <f ca="1"/>
        <v>2346826</v>
      </c>
      <c r="B988" s="3" t="str">
        <f ca="1"/>
        <v>CZECH NEWS CENTER a. s.</v>
      </c>
      <c r="C988" s="3" t="str">
        <f ca="1">IFERROR(__xludf.DUMMYFUNCTION("""COMPUTED_VALUE"""),"SportRevue")</f>
        <v>SportRevue</v>
      </c>
      <c r="D988" s="4" t="str">
        <f ca="1">IFERROR(__xludf.DUMMYFUNCTION("""COMPUTED_VALUE"""),"https://sportrevue.cz")</f>
        <v>https://sportrevue.cz</v>
      </c>
      <c r="E988" s="3" t="str">
        <f ca="1">IFERROR(__xludf.DUMMYFUNCTION("""COMPUTED_VALUE"""),"celý web")</f>
        <v>celý web</v>
      </c>
      <c r="F988" s="4" t="str">
        <f ca="1">IFERROR(__xludf.DUMMYFUNCTION("""COMPUTED_VALUE"""),"https://sportrevue.cz")</f>
        <v>https://sportrevue.cz</v>
      </c>
      <c r="G988" s="3" t="str">
        <f ca="1">IFERROR(__xludf.DUMMYFUNCTION("""COMPUTED_VALUE"""),"PR článek mid season")</f>
        <v>PR článek mid season</v>
      </c>
      <c r="H988" s="3">
        <f ca="1">IFERROR(__xludf.DUMMYFUNCTION("""COMPUTED_VALUE"""),1)</f>
        <v>1</v>
      </c>
      <c r="I988" s="5">
        <f ca="1">IFERROR(__xludf.DUMMYFUNCTION("""COMPUTED_VALUE"""),1)</f>
        <v>1</v>
      </c>
      <c r="J988" s="5">
        <f ca="1">IFERROR(__xludf.DUMMYFUNCTION("""COMPUTED_VALUE"""),20000)</f>
        <v>20000</v>
      </c>
      <c r="K988" s="3"/>
      <c r="L988" s="3" t="str">
        <f ca="1">IFERROR(__xludf.DUMMYFUNCTION("""COMPUTED_VALUE"""),"Cost per instance")</f>
        <v>Cost per instance</v>
      </c>
      <c r="M988" s="3"/>
      <c r="N988" s="3"/>
      <c r="O988" s="3"/>
      <c r="P988" s="3"/>
      <c r="Q988" s="3"/>
      <c r="R988" s="3"/>
      <c r="S988" s="3" t="str">
        <f ca="1">IFERROR(__xludf.DUMMYFUNCTION("""COMPUTED_VALUE"""),"100")</f>
        <v>100</v>
      </c>
      <c r="T988" s="3"/>
      <c r="U988" s="3" t="str">
        <f ca="1">IFERROR(__xludf.DUMMYFUNCTION("""COMPUTED_VALUE"""),"pr článek")</f>
        <v>pr článek</v>
      </c>
      <c r="V988" s="3"/>
      <c r="W988" s="4" t="str">
        <f ca="1">IFERROR(__xludf.DUMMYFUNCTION("""COMPUTED_VALUE"""),"https://reklama.cncenter.cz/?ads=PR%2520%25C4%258Dl%25C3%25A1nky")</f>
        <v>https://reklama.cncenter.cz/?ads=PR%2520%25C4%258Dl%25C3%25A1nky</v>
      </c>
      <c r="X988" s="3"/>
      <c r="Y988" s="3"/>
      <c r="Z988" s="3" t="str">
        <f ca="1">IFERROR(__xludf.DUMMYFUNCTION("""COMPUTED_VALUE"""),"podklady@cncenter.cz")</f>
        <v>podklady@cncenter.cz</v>
      </c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 t="str">
        <f ca="1">IFERROR(__xludf.DUMMYFUNCTION("""COMPUTED_VALUE"""),"cross-device")</f>
        <v>cross-device</v>
      </c>
      <c r="AO988" s="3"/>
      <c r="AP988" s="3"/>
      <c r="AQ988" s="3"/>
      <c r="AR988" s="3"/>
      <c r="AS988" s="3"/>
      <c r="AT988" s="3"/>
      <c r="AU988" s="3" t="str">
        <f ca="1">IFERROR(__xludf.DUMMYFUNCTION("""COMPUTED_VALUE"""),"PR článek")</f>
        <v>PR článek</v>
      </c>
    </row>
    <row r="989" spans="1:47" x14ac:dyDescent="0.3">
      <c r="A989" s="3">
        <f ca="1"/>
        <v>2346826</v>
      </c>
      <c r="B989" s="3" t="str">
        <f ca="1"/>
        <v>CZECH NEWS CENTER a. s.</v>
      </c>
      <c r="C989" s="3" t="str">
        <f ca="1">IFERROR(__xludf.DUMMYFUNCTION("""COMPUTED_VALUE"""),"SportRevue")</f>
        <v>SportRevue</v>
      </c>
      <c r="D989" s="4" t="str">
        <f ca="1">IFERROR(__xludf.DUMMYFUNCTION("""COMPUTED_VALUE"""),"https://sportrevue.cz")</f>
        <v>https://sportrevue.cz</v>
      </c>
      <c r="E989" s="3" t="str">
        <f ca="1">IFERROR(__xludf.DUMMYFUNCTION("""COMPUTED_VALUE"""),"celý web")</f>
        <v>celý web</v>
      </c>
      <c r="F989" s="4" t="str">
        <f ca="1">IFERROR(__xludf.DUMMYFUNCTION("""COMPUTED_VALUE"""),"https://sportrevue.cz")</f>
        <v>https://sportrevue.cz</v>
      </c>
      <c r="G989" s="3" t="str">
        <f ca="1">IFERROR(__xludf.DUMMYFUNCTION("""COMPUTED_VALUE"""),"Prodloužení existující microsite, bez úprav mid season")</f>
        <v>Prodloužení existující microsite, bez úprav mid season</v>
      </c>
      <c r="H989" s="3">
        <f ca="1">IFERROR(__xludf.DUMMYFUNCTION("""COMPUTED_VALUE"""),1)</f>
        <v>1</v>
      </c>
      <c r="I989" s="5">
        <f ca="1">IFERROR(__xludf.DUMMYFUNCTION("""COMPUTED_VALUE"""),1)</f>
        <v>1</v>
      </c>
      <c r="J989" s="5">
        <f ca="1">IFERROR(__xludf.DUMMYFUNCTION("""COMPUTED_VALUE"""),15000)</f>
        <v>15000</v>
      </c>
      <c r="K989" s="3"/>
      <c r="L989" s="3" t="str">
        <f ca="1">IFERROR(__xludf.DUMMYFUNCTION("""COMPUTED_VALUE"""),"Cost per instance")</f>
        <v>Cost per instance</v>
      </c>
      <c r="M989" s="3"/>
      <c r="N989" s="3"/>
      <c r="O989" s="3"/>
      <c r="P989" s="3"/>
      <c r="Q989" s="3"/>
      <c r="R989" s="3"/>
      <c r="S989" s="3" t="str">
        <f ca="1">IFERROR(__xludf.DUMMYFUNCTION("""COMPUTED_VALUE"""),"100")</f>
        <v>100</v>
      </c>
      <c r="T989" s="3"/>
      <c r="U989" s="3" t="str">
        <f ca="1">IFERROR(__xludf.DUMMYFUNCTION("""COMPUTED_VALUE"""),"microsite")</f>
        <v>microsite</v>
      </c>
      <c r="V989" s="3"/>
      <c r="W989" s="3"/>
      <c r="X989" s="3"/>
      <c r="Y989" s="3"/>
      <c r="Z989" s="3" t="str">
        <f ca="1">IFERROR(__xludf.DUMMYFUNCTION("""COMPUTED_VALUE"""),"podklady@cncenter.cz")</f>
        <v>podklady@cncenter.cz</v>
      </c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 t="str">
        <f ca="1">IFERROR(__xludf.DUMMYFUNCTION("""COMPUTED_VALUE"""),"cross-device")</f>
        <v>cross-device</v>
      </c>
      <c r="AO989" s="3"/>
      <c r="AP989" s="3"/>
      <c r="AQ989" s="3"/>
      <c r="AR989" s="3"/>
      <c r="AS989" s="3"/>
      <c r="AT989" s="3"/>
      <c r="AU989" s="3" t="str">
        <f ca="1">IFERROR(__xludf.DUMMYFUNCTION("""COMPUTED_VALUE"""),"Prodloužení existující microsite, bez úprav")</f>
        <v>Prodloužení existující microsite, bez úprav</v>
      </c>
    </row>
    <row r="990" spans="1:47" x14ac:dyDescent="0.3">
      <c r="A990" s="3">
        <f ca="1"/>
        <v>2346826</v>
      </c>
      <c r="B990" s="3" t="str">
        <f ca="1"/>
        <v>CZECH NEWS CENTER a. s.</v>
      </c>
      <c r="C990" s="3" t="str">
        <f ca="1">IFERROR(__xludf.DUMMYFUNCTION("""COMPUTED_VALUE"""),"SportRevue")</f>
        <v>SportRevue</v>
      </c>
      <c r="D990" s="4" t="str">
        <f ca="1">IFERROR(__xludf.DUMMYFUNCTION("""COMPUTED_VALUE"""),"https://sportrevue.cz")</f>
        <v>https://sportrevue.cz</v>
      </c>
      <c r="E990" s="3" t="str">
        <f ca="1">IFERROR(__xludf.DUMMYFUNCTION("""COMPUTED_VALUE"""),"celý web")</f>
        <v>celý web</v>
      </c>
      <c r="F990" s="4" t="str">
        <f ca="1">IFERROR(__xludf.DUMMYFUNCTION("""COMPUTED_VALUE"""),"https://sportrevue.cz")</f>
        <v>https://sportrevue.cz</v>
      </c>
      <c r="G990" s="3" t="str">
        <f ca="1">IFERROR(__xludf.DUMMYFUNCTION("""COMPUTED_VALUE"""),"Prodloužení existující microsite, bez úprav mid season")</f>
        <v>Prodloužení existující microsite, bez úprav mid season</v>
      </c>
      <c r="H990" s="3">
        <f ca="1">IFERROR(__xludf.DUMMYFUNCTION("""COMPUTED_VALUE"""),1)</f>
        <v>1</v>
      </c>
      <c r="I990" s="5">
        <f ca="1">IFERROR(__xludf.DUMMYFUNCTION("""COMPUTED_VALUE"""),1)</f>
        <v>1</v>
      </c>
      <c r="J990" s="5">
        <f ca="1">IFERROR(__xludf.DUMMYFUNCTION("""COMPUTED_VALUE"""),15000)</f>
        <v>15000</v>
      </c>
      <c r="K990" s="3"/>
      <c r="L990" s="3" t="str">
        <f ca="1">IFERROR(__xludf.DUMMYFUNCTION("""COMPUTED_VALUE"""),"Cost per instance")</f>
        <v>Cost per instance</v>
      </c>
      <c r="M990" s="3"/>
      <c r="N990" s="3"/>
      <c r="O990" s="3"/>
      <c r="P990" s="3"/>
      <c r="Q990" s="3"/>
      <c r="R990" s="3"/>
      <c r="S990" s="3" t="str">
        <f ca="1">IFERROR(__xludf.DUMMYFUNCTION("""COMPUTED_VALUE"""),"100")</f>
        <v>100</v>
      </c>
      <c r="T990" s="3"/>
      <c r="U990" s="3" t="str">
        <f ca="1">IFERROR(__xludf.DUMMYFUNCTION("""COMPUTED_VALUE"""),"microsite")</f>
        <v>microsite</v>
      </c>
      <c r="V990" s="3"/>
      <c r="W990" s="3"/>
      <c r="X990" s="3"/>
      <c r="Y990" s="3"/>
      <c r="Z990" s="3" t="str">
        <f ca="1">IFERROR(__xludf.DUMMYFUNCTION("""COMPUTED_VALUE"""),"podklady@cncenter.cz")</f>
        <v>podklady@cncenter.cz</v>
      </c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 t="str">
        <f ca="1">IFERROR(__xludf.DUMMYFUNCTION("""COMPUTED_VALUE"""),"cross-device")</f>
        <v>cross-device</v>
      </c>
      <c r="AO990" s="3"/>
      <c r="AP990" s="3"/>
      <c r="AQ990" s="3"/>
      <c r="AR990" s="3"/>
      <c r="AS990" s="3"/>
      <c r="AT990" s="3"/>
      <c r="AU990" s="3" t="str">
        <f ca="1">IFERROR(__xludf.DUMMYFUNCTION("""COMPUTED_VALUE"""),"Prodloužení existující microsite, bez úprav")</f>
        <v>Prodloužení existující microsite, bez úprav</v>
      </c>
    </row>
    <row r="991" spans="1:47" x14ac:dyDescent="0.3">
      <c r="A991" s="3">
        <f ca="1"/>
        <v>2346826</v>
      </c>
      <c r="B991" s="3" t="str">
        <f ca="1"/>
        <v>CZECH NEWS CENTER a. s.</v>
      </c>
      <c r="C991" s="3" t="str">
        <f ca="1">IFERROR(__xludf.DUMMYFUNCTION("""COMPUTED_VALUE"""),"SportRevue")</f>
        <v>SportRevue</v>
      </c>
      <c r="D991" s="4" t="str">
        <f ca="1">IFERROR(__xludf.DUMMYFUNCTION("""COMPUTED_VALUE"""),"https://sportrevue.cz")</f>
        <v>https://sportrevue.cz</v>
      </c>
      <c r="E991" s="3" t="str">
        <f ca="1">IFERROR(__xludf.DUMMYFUNCTION("""COMPUTED_VALUE"""),"celý web")</f>
        <v>celý web</v>
      </c>
      <c r="F991" s="4" t="str">
        <f ca="1">IFERROR(__xludf.DUMMYFUNCTION("""COMPUTED_VALUE"""),"https://sportrevue.cz")</f>
        <v>https://sportrevue.cz</v>
      </c>
      <c r="G991" s="3" t="str">
        <f ca="1">IFERROR(__xludf.DUMMYFUNCTION("""COMPUTED_VALUE"""),"Prodloužení existující microsite, bez úprav mid season")</f>
        <v>Prodloužení existující microsite, bez úprav mid season</v>
      </c>
      <c r="H991" s="3">
        <f ca="1">IFERROR(__xludf.DUMMYFUNCTION("""COMPUTED_VALUE"""),1)</f>
        <v>1</v>
      </c>
      <c r="I991" s="5">
        <f ca="1">IFERROR(__xludf.DUMMYFUNCTION("""COMPUTED_VALUE"""),1)</f>
        <v>1</v>
      </c>
      <c r="J991" s="5">
        <f ca="1">IFERROR(__xludf.DUMMYFUNCTION("""COMPUTED_VALUE"""),15000)</f>
        <v>15000</v>
      </c>
      <c r="K991" s="3"/>
      <c r="L991" s="3" t="str">
        <f ca="1">IFERROR(__xludf.DUMMYFUNCTION("""COMPUTED_VALUE"""),"Cost per instance")</f>
        <v>Cost per instance</v>
      </c>
      <c r="M991" s="3"/>
      <c r="N991" s="3"/>
      <c r="O991" s="3"/>
      <c r="P991" s="3"/>
      <c r="Q991" s="3"/>
      <c r="R991" s="3"/>
      <c r="S991" s="3" t="str">
        <f ca="1">IFERROR(__xludf.DUMMYFUNCTION("""COMPUTED_VALUE"""),"100")</f>
        <v>100</v>
      </c>
      <c r="T991" s="3"/>
      <c r="U991" s="3" t="str">
        <f ca="1">IFERROR(__xludf.DUMMYFUNCTION("""COMPUTED_VALUE"""),"microsite")</f>
        <v>microsite</v>
      </c>
      <c r="V991" s="3"/>
      <c r="W991" s="3"/>
      <c r="X991" s="3"/>
      <c r="Y991" s="3"/>
      <c r="Z991" s="3" t="str">
        <f ca="1">IFERROR(__xludf.DUMMYFUNCTION("""COMPUTED_VALUE"""),"podklady@cncenter.cz")</f>
        <v>podklady@cncenter.cz</v>
      </c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 t="str">
        <f ca="1">IFERROR(__xludf.DUMMYFUNCTION("""COMPUTED_VALUE"""),"cross-device")</f>
        <v>cross-device</v>
      </c>
      <c r="AO991" s="3"/>
      <c r="AP991" s="3"/>
      <c r="AQ991" s="3"/>
      <c r="AR991" s="3"/>
      <c r="AS991" s="3"/>
      <c r="AT991" s="3"/>
      <c r="AU991" s="3" t="str">
        <f ca="1">IFERROR(__xludf.DUMMYFUNCTION("""COMPUTED_VALUE"""),"Prodloužení existující microsite, bez úprav")</f>
        <v>Prodloužení existující microsite, bez úprav</v>
      </c>
    </row>
    <row r="992" spans="1:47" x14ac:dyDescent="0.3">
      <c r="A992" s="3">
        <f ca="1"/>
        <v>2346826</v>
      </c>
      <c r="B992" s="3" t="str">
        <f ca="1"/>
        <v>CZECH NEWS CENTER a. s.</v>
      </c>
      <c r="C992" s="3" t="str">
        <f ca="1">IFERROR(__xludf.DUMMYFUNCTION("""COMPUTED_VALUE"""),"Tiktokový profil FOMO")</f>
        <v>Tiktokový profil FOMO</v>
      </c>
      <c r="D992" s="4" t="str">
        <f ca="1">IFERROR(__xludf.DUMMYFUNCTION("""COMPUTED_VALUE"""),"www.tiktok.com")</f>
        <v>www.tiktok.com</v>
      </c>
      <c r="E992" s="3" t="str">
        <f ca="1">IFERROR(__xludf.DUMMYFUNCTION("""COMPUTED_VALUE"""),"TikTok")</f>
        <v>TikTok</v>
      </c>
      <c r="F992" s="4" t="str">
        <f ca="1">IFERROR(__xludf.DUMMYFUNCTION("""COMPUTED_VALUE"""),"www.tiktok.com")</f>
        <v>www.tiktok.com</v>
      </c>
      <c r="G992" s="3" t="str">
        <f ca="1">IFERROR(__xludf.DUMMYFUNCTION("""COMPUTED_VALUE"""),"tiktok post mid season")</f>
        <v>tiktok post mid season</v>
      </c>
      <c r="H992" s="3">
        <f ca="1">IFERROR(__xludf.DUMMYFUNCTION("""COMPUTED_VALUE"""),1)</f>
        <v>1</v>
      </c>
      <c r="I992" s="5">
        <f ca="1">IFERROR(__xludf.DUMMYFUNCTION("""COMPUTED_VALUE"""),1)</f>
        <v>1</v>
      </c>
      <c r="J992" s="5">
        <f ca="1">IFERROR(__xludf.DUMMYFUNCTION("""COMPUTED_VALUE"""),40000)</f>
        <v>40000</v>
      </c>
      <c r="K992" s="3"/>
      <c r="L992" s="3" t="str">
        <f ca="1">IFERROR(__xludf.DUMMYFUNCTION("""COMPUTED_VALUE"""),"Cost per instance")</f>
        <v>Cost per instance</v>
      </c>
      <c r="M992" s="3"/>
      <c r="N992" s="3"/>
      <c r="O992" s="3"/>
      <c r="P992" s="3"/>
      <c r="Q992" s="3"/>
      <c r="R992" s="3"/>
      <c r="S992" s="3" t="str">
        <f ca="1">IFERROR(__xludf.DUMMYFUNCTION("""COMPUTED_VALUE"""),"100")</f>
        <v>100</v>
      </c>
      <c r="T992" s="3"/>
      <c r="U992" s="3" t="str">
        <f ca="1">IFERROR(__xludf.DUMMYFUNCTION("""COMPUTED_VALUE"""),"SoMe tiktok")</f>
        <v>SoMe tiktok</v>
      </c>
      <c r="V992" s="3"/>
      <c r="W992" s="3"/>
      <c r="X992" s="3"/>
      <c r="Y992" s="3"/>
      <c r="Z992" s="3" t="str">
        <f ca="1">IFERROR(__xludf.DUMMYFUNCTION("""COMPUTED_VALUE"""),"podklady@cncenter.cz")</f>
        <v>podklady@cncenter.cz</v>
      </c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 t="str">
        <f ca="1">IFERROR(__xludf.DUMMYFUNCTION("""COMPUTED_VALUE"""),"cross-device")</f>
        <v>cross-device</v>
      </c>
      <c r="AO992" s="3"/>
      <c r="AP992" s="3"/>
      <c r="AQ992" s="3"/>
      <c r="AR992" s="3"/>
      <c r="AS992" s="3"/>
      <c r="AT992" s="3"/>
      <c r="AU992" s="3" t="str">
        <f ca="1">IFERROR(__xludf.DUMMYFUNCTION("""COMPUTED_VALUE"""),"tiktok post")</f>
        <v>tiktok post</v>
      </c>
    </row>
    <row r="993" spans="1:47" x14ac:dyDescent="0.3">
      <c r="A993" s="3">
        <f ca="1"/>
        <v>2346826</v>
      </c>
      <c r="B993" s="3" t="str">
        <f ca="1"/>
        <v>CZECH NEWS CENTER a. s.</v>
      </c>
      <c r="C993" s="3" t="str">
        <f ca="1">IFERROR(__xludf.DUMMYFUNCTION("""COMPUTED_VALUE"""),"VTM")</f>
        <v>VTM</v>
      </c>
      <c r="D993" s="4" t="str">
        <f ca="1">IFERROR(__xludf.DUMMYFUNCTION("""COMPUTED_VALUE"""),"https://vtm.zive.cz")</f>
        <v>https://vtm.zive.cz</v>
      </c>
      <c r="E993" s="3" t="str">
        <f ca="1">IFERROR(__xludf.DUMMYFUNCTION("""COMPUTED_VALUE"""),"celý web")</f>
        <v>celý web</v>
      </c>
      <c r="F993" s="4" t="str">
        <f ca="1">IFERROR(__xludf.DUMMYFUNCTION("""COMPUTED_VALUE"""),"https://vtm.zive.cz")</f>
        <v>https://vtm.zive.cz</v>
      </c>
      <c r="G993" s="3" t="str">
        <f ca="1">IFERROR(__xludf.DUMMYFUNCTION("""COMPUTED_VALUE"""),"billboard bottom mid season")</f>
        <v>billboard bottom mid season</v>
      </c>
      <c r="H993" s="3">
        <f ca="1">IFERROR(__xludf.DUMMYFUNCTION("""COMPUTED_VALUE"""),7)</f>
        <v>7</v>
      </c>
      <c r="I993" s="5">
        <f ca="1">IFERROR(__xludf.DUMMYFUNCTION("""COMPUTED_VALUE"""),1000)</f>
        <v>1000</v>
      </c>
      <c r="J993" s="5">
        <f ca="1">IFERROR(__xludf.DUMMYFUNCTION("""COMPUTED_VALUE"""),340)</f>
        <v>340</v>
      </c>
      <c r="K993" s="3"/>
      <c r="L993" s="3" t="str">
        <f ca="1">IFERROR(__xludf.DUMMYFUNCTION("""COMPUTED_VALUE"""),"Cost per period")</f>
        <v>Cost per period</v>
      </c>
      <c r="M993" s="3"/>
      <c r="N993" s="3"/>
      <c r="O993" s="3" t="str">
        <f ca="1">IFERROR(__xludf.DUMMYFUNCTION("""COMPUTED_VALUE"""),"970")</f>
        <v>970</v>
      </c>
      <c r="P993" s="3" t="str">
        <f ca="1">IFERROR(__xludf.DUMMYFUNCTION("""COMPUTED_VALUE"""),"250")</f>
        <v>250</v>
      </c>
      <c r="Q993" s="3" t="str">
        <f ca="1">IFERROR(__xludf.DUMMYFUNCTION("""COMPUTED_VALUE"""),"970x250")</f>
        <v>970x250</v>
      </c>
      <c r="R993" s="3"/>
      <c r="S993" s="3" t="str">
        <f ca="1">IFERROR(__xludf.DUMMYFUNCTION("""COMPUTED_VALUE"""),"100 (200 - HTML5)")</f>
        <v>100 (200 - HTML5)</v>
      </c>
      <c r="T993" s="3"/>
      <c r="U993" s="3" t="str">
        <f ca="1">IFERROR(__xludf.DUMMYFUNCTION("""COMPUTED_VALUE"""),"banner standard")</f>
        <v>banner standard</v>
      </c>
      <c r="V993" s="3"/>
      <c r="W993" s="4" t="str">
        <f ca="1">IFERROR(__xludf.DUMMYFUNCTION("""COMPUTED_VALUE"""),"https://reklama.cncenter.cz/Online/billboard-bottom")</f>
        <v>https://reklama.cncenter.cz/Online/billboard-bottom</v>
      </c>
      <c r="X993" s="3"/>
      <c r="Y993" s="3"/>
      <c r="Z993" s="3" t="str">
        <f ca="1">IFERROR(__xludf.DUMMYFUNCTION("""COMPUTED_VALUE"""),"podklady@cncenter.cz")</f>
        <v>podklady@cncenter.cz</v>
      </c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 t="str">
        <f ca="1">IFERROR(__xludf.DUMMYFUNCTION("""COMPUTED_VALUE"""),"desktop")</f>
        <v>desktop</v>
      </c>
      <c r="AO993" s="3"/>
      <c r="AP993" s="3"/>
      <c r="AQ993" s="3"/>
      <c r="AR993" s="3"/>
      <c r="AS993" s="3"/>
      <c r="AT993" s="3"/>
      <c r="AU993" s="3" t="str">
        <f ca="1">IFERROR(__xludf.DUMMYFUNCTION("""COMPUTED_VALUE"""),"billboard bottom")</f>
        <v>billboard bottom</v>
      </c>
    </row>
    <row r="994" spans="1:47" x14ac:dyDescent="0.3">
      <c r="A994" s="3">
        <f ca="1"/>
        <v>2346826</v>
      </c>
      <c r="B994" s="3" t="str">
        <f ca="1"/>
        <v>CZECH NEWS CENTER a. s.</v>
      </c>
      <c r="C994" s="3" t="str">
        <f ca="1">IFERROR(__xludf.DUMMYFUNCTION("""COMPUTED_VALUE"""),"VTM")</f>
        <v>VTM</v>
      </c>
      <c r="D994" s="4" t="str">
        <f ca="1">IFERROR(__xludf.DUMMYFUNCTION("""COMPUTED_VALUE"""),"https://vtm.zive.cz")</f>
        <v>https://vtm.zive.cz</v>
      </c>
      <c r="E994" s="3" t="str">
        <f ca="1">IFERROR(__xludf.DUMMYFUNCTION("""COMPUTED_VALUE"""),"celý web")</f>
        <v>celý web</v>
      </c>
      <c r="F994" s="4" t="str">
        <f ca="1">IFERROR(__xludf.DUMMYFUNCTION("""COMPUTED_VALUE"""),"https://vtm.zive.cz")</f>
        <v>https://vtm.zive.cz</v>
      </c>
      <c r="G994" s="3" t="str">
        <f ca="1">IFERROR(__xludf.DUMMYFUNCTION("""COMPUTED_VALUE"""),"branding cross-device mid season")</f>
        <v>branding cross-device mid season</v>
      </c>
      <c r="H994" s="3">
        <f ca="1">IFERROR(__xludf.DUMMYFUNCTION("""COMPUTED_VALUE"""),7)</f>
        <v>7</v>
      </c>
      <c r="I994" s="5">
        <f ca="1">IFERROR(__xludf.DUMMYFUNCTION("""COMPUTED_VALUE"""),1000)</f>
        <v>1000</v>
      </c>
      <c r="J994" s="5">
        <f ca="1">IFERROR(__xludf.DUMMYFUNCTION("""COMPUTED_VALUE"""),420)</f>
        <v>420</v>
      </c>
      <c r="K994" s="3"/>
      <c r="L994" s="3" t="str">
        <f ca="1">IFERROR(__xludf.DUMMYFUNCTION("""COMPUTED_VALUE"""),"Cost per period")</f>
        <v>Cost per period</v>
      </c>
      <c r="M994" s="3"/>
      <c r="N994" s="3"/>
      <c r="O994" s="3" t="str">
        <f ca="1">IFERROR(__xludf.DUMMYFUNCTION("""COMPUTED_VALUE"""),"2000")</f>
        <v>2000</v>
      </c>
      <c r="P994" s="3" t="str">
        <f ca="1">IFERROR(__xludf.DUMMYFUNCTION("""COMPUTED_VALUE"""),"1400")</f>
        <v>1400</v>
      </c>
      <c r="Q994" s="3" t="str">
        <f ca="1">IFERROR(__xludf.DUMMYFUNCTION("""COMPUTED_VALUE"""),"2000x1400 + 600x1080")</f>
        <v>2000x1400 + 600x1080</v>
      </c>
      <c r="R994" s="3"/>
      <c r="S994" s="3" t="str">
        <f ca="1">IFERROR(__xludf.DUMMYFUNCTION("""COMPUTED_VALUE"""),"500 (600 - HTLM5)")</f>
        <v>500 (600 - HTLM5)</v>
      </c>
      <c r="T994" s="3"/>
      <c r="U994" s="3" t="str">
        <f ca="1">IFERROR(__xludf.DUMMYFUNCTION("""COMPUTED_VALUE"""),"banner standard")</f>
        <v>banner standard</v>
      </c>
      <c r="V994" s="3"/>
      <c r="W994" s="4" t="str">
        <f ca="1">IFERROR(__xludf.DUMMYFUNCTION("""COMPUTED_VALUE"""),"https://reklama.cncenter.cz/Online/branding-cross-device")</f>
        <v>https://reklama.cncenter.cz/Online/branding-cross-device</v>
      </c>
      <c r="X994" s="3"/>
      <c r="Y994" s="3"/>
      <c r="Z994" s="3" t="str">
        <f ca="1">IFERROR(__xludf.DUMMYFUNCTION("""COMPUTED_VALUE"""),"podklady@cncenter.cz")</f>
        <v>podklady@cncenter.cz</v>
      </c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 t="str">
        <f ca="1">IFERROR(__xludf.DUMMYFUNCTION("""COMPUTED_VALUE"""),"cross-device")</f>
        <v>cross-device</v>
      </c>
      <c r="AO994" s="3"/>
      <c r="AP994" s="3"/>
      <c r="AQ994" s="3"/>
      <c r="AR994" s="3"/>
      <c r="AS994" s="3"/>
      <c r="AT994" s="3"/>
      <c r="AU994" s="3" t="str">
        <f ca="1">IFERROR(__xludf.DUMMYFUNCTION("""COMPUTED_VALUE"""),"branding cross-device")</f>
        <v>branding cross-device</v>
      </c>
    </row>
    <row r="995" spans="1:47" x14ac:dyDescent="0.3">
      <c r="A995" s="3">
        <f ca="1"/>
        <v>2346826</v>
      </c>
      <c r="B995" s="3" t="str">
        <f ca="1"/>
        <v>CZECH NEWS CENTER a. s.</v>
      </c>
      <c r="C995" s="3" t="str">
        <f ca="1">IFERROR(__xludf.DUMMYFUNCTION("""COMPUTED_VALUE"""),"VTM")</f>
        <v>VTM</v>
      </c>
      <c r="D995" s="4" t="str">
        <f ca="1">IFERROR(__xludf.DUMMYFUNCTION("""COMPUTED_VALUE"""),"https://vtm.zive.cz")</f>
        <v>https://vtm.zive.cz</v>
      </c>
      <c r="E995" s="3" t="str">
        <f ca="1">IFERROR(__xludf.DUMMYFUNCTION("""COMPUTED_VALUE"""),"celý web")</f>
        <v>celý web</v>
      </c>
      <c r="F995" s="4" t="str">
        <f ca="1">IFERROR(__xludf.DUMMYFUNCTION("""COMPUTED_VALUE"""),"https://vtm.zive.cz")</f>
        <v>https://vtm.zive.cz</v>
      </c>
      <c r="G995" s="3" t="str">
        <f ca="1">IFERROR(__xludf.DUMMYFUNCTION("""COMPUTED_VALUE"""),"branding mid season")</f>
        <v>branding mid season</v>
      </c>
      <c r="H995" s="3">
        <f ca="1">IFERROR(__xludf.DUMMYFUNCTION("""COMPUTED_VALUE"""),7)</f>
        <v>7</v>
      </c>
      <c r="I995" s="5">
        <f ca="1">IFERROR(__xludf.DUMMYFUNCTION("""COMPUTED_VALUE"""),1000)</f>
        <v>1000</v>
      </c>
      <c r="J995" s="5">
        <f ca="1">IFERROR(__xludf.DUMMYFUNCTION("""COMPUTED_VALUE"""),690)</f>
        <v>690</v>
      </c>
      <c r="K995" s="3"/>
      <c r="L995" s="3" t="str">
        <f ca="1">IFERROR(__xludf.DUMMYFUNCTION("""COMPUTED_VALUE"""),"Cost per period")</f>
        <v>Cost per period</v>
      </c>
      <c r="M995" s="3"/>
      <c r="N995" s="3"/>
      <c r="O995" s="3" t="str">
        <f ca="1">IFERROR(__xludf.DUMMYFUNCTION("""COMPUTED_VALUE"""),"2000")</f>
        <v>2000</v>
      </c>
      <c r="P995" s="3" t="str">
        <f ca="1">IFERROR(__xludf.DUMMYFUNCTION("""COMPUTED_VALUE"""),"1400")</f>
        <v>1400</v>
      </c>
      <c r="Q995" s="3" t="str">
        <f ca="1">IFERROR(__xludf.DUMMYFUNCTION("""COMPUTED_VALUE"""),"2000x1400")</f>
        <v>2000x1400</v>
      </c>
      <c r="R995" s="3"/>
      <c r="S995" s="3" t="str">
        <f ca="1">IFERROR(__xludf.DUMMYFUNCTION("""COMPUTED_VALUE"""),"500 + 200 (600+200 HTML5)")</f>
        <v>500 + 200 (600+200 HTML5)</v>
      </c>
      <c r="T995" s="3"/>
      <c r="U995" s="3" t="str">
        <f ca="1">IFERROR(__xludf.DUMMYFUNCTION("""COMPUTED_VALUE"""),"banner standard")</f>
        <v>banner standard</v>
      </c>
      <c r="V995" s="3"/>
      <c r="W995" s="4" t="str">
        <f ca="1">IFERROR(__xludf.DUMMYFUNCTION("""COMPUTED_VALUE"""),"https://reklama.cncenter.cz/Online/branding")</f>
        <v>https://reklama.cncenter.cz/Online/branding</v>
      </c>
      <c r="X995" s="3"/>
      <c r="Y995" s="3"/>
      <c r="Z995" s="3" t="str">
        <f ca="1">IFERROR(__xludf.DUMMYFUNCTION("""COMPUTED_VALUE"""),"podklady@cncenter.cz")</f>
        <v>podklady@cncenter.cz</v>
      </c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 t="str">
        <f ca="1">IFERROR(__xludf.DUMMYFUNCTION("""COMPUTED_VALUE"""),"desktop")</f>
        <v>desktop</v>
      </c>
      <c r="AO995" s="3"/>
      <c r="AP995" s="3"/>
      <c r="AQ995" s="3"/>
      <c r="AR995" s="3"/>
      <c r="AS995" s="3"/>
      <c r="AT995" s="3"/>
      <c r="AU995" s="3" t="str">
        <f ca="1">IFERROR(__xludf.DUMMYFUNCTION("""COMPUTED_VALUE"""),"branding")</f>
        <v>branding</v>
      </c>
    </row>
    <row r="996" spans="1:47" x14ac:dyDescent="0.3">
      <c r="A996" s="3">
        <f ca="1"/>
        <v>2346826</v>
      </c>
      <c r="B996" s="3" t="str">
        <f ca="1"/>
        <v>CZECH NEWS CENTER a. s.</v>
      </c>
      <c r="C996" s="3" t="str">
        <f ca="1">IFERROR(__xludf.DUMMYFUNCTION("""COMPUTED_VALUE"""),"VTM")</f>
        <v>VTM</v>
      </c>
      <c r="D996" s="4" t="str">
        <f ca="1">IFERROR(__xludf.DUMMYFUNCTION("""COMPUTED_VALUE"""),"https://vtm.zive.cz")</f>
        <v>https://vtm.zive.cz</v>
      </c>
      <c r="E996" s="3" t="str">
        <f ca="1">IFERROR(__xludf.DUMMYFUNCTION("""COMPUTED_VALUE"""),"celý web")</f>
        <v>celý web</v>
      </c>
      <c r="F996" s="4" t="str">
        <f ca="1">IFERROR(__xludf.DUMMYFUNCTION("""COMPUTED_VALUE"""),"https://vtm.zive.cz")</f>
        <v>https://vtm.zive.cz</v>
      </c>
      <c r="G996" s="3" t="str">
        <f ca="1">IFERROR(__xludf.DUMMYFUNCTION("""COMPUTED_VALUE"""),"cílený billboard bottom mid season")</f>
        <v>cílený billboard bottom mid season</v>
      </c>
      <c r="H996" s="3">
        <f ca="1">IFERROR(__xludf.DUMMYFUNCTION("""COMPUTED_VALUE"""),7)</f>
        <v>7</v>
      </c>
      <c r="I996" s="5">
        <f ca="1">IFERROR(__xludf.DUMMYFUNCTION("""COMPUTED_VALUE"""),1000)</f>
        <v>1000</v>
      </c>
      <c r="J996" s="5">
        <f ca="1">IFERROR(__xludf.DUMMYFUNCTION("""COMPUTED_VALUE"""),408)</f>
        <v>408</v>
      </c>
      <c r="K996" s="3"/>
      <c r="L996" s="3" t="str">
        <f ca="1">IFERROR(__xludf.DUMMYFUNCTION("""COMPUTED_VALUE"""),"Cost per period")</f>
        <v>Cost per period</v>
      </c>
      <c r="M996" s="3"/>
      <c r="N996" s="3"/>
      <c r="O996" s="3" t="str">
        <f ca="1">IFERROR(__xludf.DUMMYFUNCTION("""COMPUTED_VALUE"""),"970")</f>
        <v>970</v>
      </c>
      <c r="P996" s="3" t="str">
        <f ca="1">IFERROR(__xludf.DUMMYFUNCTION("""COMPUTED_VALUE"""),"250")</f>
        <v>250</v>
      </c>
      <c r="Q996" s="3" t="str">
        <f ca="1">IFERROR(__xludf.DUMMYFUNCTION("""COMPUTED_VALUE"""),"970x250")</f>
        <v>970x250</v>
      </c>
      <c r="R996" s="3"/>
      <c r="S996" s="3" t="str">
        <f ca="1">IFERROR(__xludf.DUMMYFUNCTION("""COMPUTED_VALUE"""),"100 (200 - HTML5)")</f>
        <v>100 (200 - HTML5)</v>
      </c>
      <c r="T996" s="3"/>
      <c r="U996" s="3" t="str">
        <f ca="1">IFERROR(__xludf.DUMMYFUNCTION("""COMPUTED_VALUE"""),"banner standard")</f>
        <v>banner standard</v>
      </c>
      <c r="V996" s="3"/>
      <c r="W996" s="4" t="str">
        <f ca="1">IFERROR(__xludf.DUMMYFUNCTION("""COMPUTED_VALUE"""),"https://reklama.cncenter.cz/Online/billboard-bottom")</f>
        <v>https://reklama.cncenter.cz/Online/billboard-bottom</v>
      </c>
      <c r="X996" s="3"/>
      <c r="Y996" s="3"/>
      <c r="Z996" s="3" t="str">
        <f ca="1">IFERROR(__xludf.DUMMYFUNCTION("""COMPUTED_VALUE"""),"podklady@cncenter.cz")</f>
        <v>podklady@cncenter.cz</v>
      </c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 t="str">
        <f ca="1">IFERROR(__xludf.DUMMYFUNCTION("""COMPUTED_VALUE"""),"desktop")</f>
        <v>desktop</v>
      </c>
      <c r="AO996" s="3"/>
      <c r="AP996" s="3"/>
      <c r="AQ996" s="3"/>
      <c r="AR996" s="3"/>
      <c r="AS996" s="3"/>
      <c r="AT996" s="3"/>
      <c r="AU996" s="3" t="str">
        <f ca="1">IFERROR(__xludf.DUMMYFUNCTION("""COMPUTED_VALUE"""),"cílený billboard bottom")</f>
        <v>cílený billboard bottom</v>
      </c>
    </row>
    <row r="997" spans="1:47" x14ac:dyDescent="0.3">
      <c r="A997" s="3">
        <f ca="1"/>
        <v>2346826</v>
      </c>
      <c r="B997" s="3" t="str">
        <f ca="1"/>
        <v>CZECH NEWS CENTER a. s.</v>
      </c>
      <c r="C997" s="3" t="str">
        <f ca="1">IFERROR(__xludf.DUMMYFUNCTION("""COMPUTED_VALUE"""),"VTM")</f>
        <v>VTM</v>
      </c>
      <c r="D997" s="4" t="str">
        <f ca="1">IFERROR(__xludf.DUMMYFUNCTION("""COMPUTED_VALUE"""),"https://vtm.zive.cz")</f>
        <v>https://vtm.zive.cz</v>
      </c>
      <c r="E997" s="3" t="str">
        <f ca="1">IFERROR(__xludf.DUMMYFUNCTION("""COMPUTED_VALUE"""),"celý web")</f>
        <v>celý web</v>
      </c>
      <c r="F997" s="4" t="str">
        <f ca="1">IFERROR(__xludf.DUMMYFUNCTION("""COMPUTED_VALUE"""),"https://vtm.zive.cz")</f>
        <v>https://vtm.zive.cz</v>
      </c>
      <c r="G997" s="3" t="str">
        <f ca="1">IFERROR(__xludf.DUMMYFUNCTION("""COMPUTED_VALUE"""),"cílený branding cross-device mid season")</f>
        <v>cílený branding cross-device mid season</v>
      </c>
      <c r="H997" s="3">
        <f ca="1">IFERROR(__xludf.DUMMYFUNCTION("""COMPUTED_VALUE"""),7)</f>
        <v>7</v>
      </c>
      <c r="I997" s="5">
        <f ca="1">IFERROR(__xludf.DUMMYFUNCTION("""COMPUTED_VALUE"""),1000)</f>
        <v>1000</v>
      </c>
      <c r="J997" s="5">
        <f ca="1">IFERROR(__xludf.DUMMYFUNCTION("""COMPUTED_VALUE"""),504)</f>
        <v>504</v>
      </c>
      <c r="K997" s="3"/>
      <c r="L997" s="3" t="str">
        <f ca="1">IFERROR(__xludf.DUMMYFUNCTION("""COMPUTED_VALUE"""),"Cost per period")</f>
        <v>Cost per period</v>
      </c>
      <c r="M997" s="3"/>
      <c r="N997" s="3"/>
      <c r="O997" s="3" t="str">
        <f ca="1">IFERROR(__xludf.DUMMYFUNCTION("""COMPUTED_VALUE"""),"2000")</f>
        <v>2000</v>
      </c>
      <c r="P997" s="3" t="str">
        <f ca="1">IFERROR(__xludf.DUMMYFUNCTION("""COMPUTED_VALUE"""),"1400")</f>
        <v>1400</v>
      </c>
      <c r="Q997" s="3" t="str">
        <f ca="1">IFERROR(__xludf.DUMMYFUNCTION("""COMPUTED_VALUE"""),"2000x1400 + 600x1080")</f>
        <v>2000x1400 + 600x1080</v>
      </c>
      <c r="R997" s="3"/>
      <c r="S997" s="3" t="str">
        <f ca="1">IFERROR(__xludf.DUMMYFUNCTION("""COMPUTED_VALUE"""),"500 (600 - HTLM5)")</f>
        <v>500 (600 - HTLM5)</v>
      </c>
      <c r="T997" s="3"/>
      <c r="U997" s="3" t="str">
        <f ca="1">IFERROR(__xludf.DUMMYFUNCTION("""COMPUTED_VALUE"""),"banner standard")</f>
        <v>banner standard</v>
      </c>
      <c r="V997" s="3"/>
      <c r="W997" s="4" t="str">
        <f ca="1">IFERROR(__xludf.DUMMYFUNCTION("""COMPUTED_VALUE"""),"https://reklama.cncenter.cz/Online/branding-cross-device")</f>
        <v>https://reklama.cncenter.cz/Online/branding-cross-device</v>
      </c>
      <c r="X997" s="3"/>
      <c r="Y997" s="3"/>
      <c r="Z997" s="3" t="str">
        <f ca="1">IFERROR(__xludf.DUMMYFUNCTION("""COMPUTED_VALUE"""),"podklady@cncenter.cz")</f>
        <v>podklady@cncenter.cz</v>
      </c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 t="str">
        <f ca="1">IFERROR(__xludf.DUMMYFUNCTION("""COMPUTED_VALUE"""),"cross-device")</f>
        <v>cross-device</v>
      </c>
      <c r="AO997" s="3"/>
      <c r="AP997" s="3"/>
      <c r="AQ997" s="3"/>
      <c r="AR997" s="3"/>
      <c r="AS997" s="3"/>
      <c r="AT997" s="3"/>
      <c r="AU997" s="3" t="str">
        <f ca="1">IFERROR(__xludf.DUMMYFUNCTION("""COMPUTED_VALUE"""),"cílený branding cross-device")</f>
        <v>cílený branding cross-device</v>
      </c>
    </row>
    <row r="998" spans="1:47" x14ac:dyDescent="0.3">
      <c r="A998" s="3">
        <f ca="1"/>
        <v>2346826</v>
      </c>
      <c r="B998" s="3" t="str">
        <f ca="1"/>
        <v>CZECH NEWS CENTER a. s.</v>
      </c>
      <c r="C998" s="3" t="str">
        <f ca="1">IFERROR(__xludf.DUMMYFUNCTION("""COMPUTED_VALUE"""),"VTM")</f>
        <v>VTM</v>
      </c>
      <c r="D998" s="4" t="str">
        <f ca="1">IFERROR(__xludf.DUMMYFUNCTION("""COMPUTED_VALUE"""),"https://vtm.zive.cz")</f>
        <v>https://vtm.zive.cz</v>
      </c>
      <c r="E998" s="3" t="str">
        <f ca="1">IFERROR(__xludf.DUMMYFUNCTION("""COMPUTED_VALUE"""),"celý web")</f>
        <v>celý web</v>
      </c>
      <c r="F998" s="4" t="str">
        <f ca="1">IFERROR(__xludf.DUMMYFUNCTION("""COMPUTED_VALUE"""),"https://vtm.zive.cz")</f>
        <v>https://vtm.zive.cz</v>
      </c>
      <c r="G998" s="3" t="str">
        <f ca="1">IFERROR(__xludf.DUMMYFUNCTION("""COMPUTED_VALUE"""),"cílený branding mid season")</f>
        <v>cílený branding mid season</v>
      </c>
      <c r="H998" s="3">
        <f ca="1">IFERROR(__xludf.DUMMYFUNCTION("""COMPUTED_VALUE"""),7)</f>
        <v>7</v>
      </c>
      <c r="I998" s="5">
        <f ca="1">IFERROR(__xludf.DUMMYFUNCTION("""COMPUTED_VALUE"""),1000)</f>
        <v>1000</v>
      </c>
      <c r="J998" s="5">
        <f ca="1">IFERROR(__xludf.DUMMYFUNCTION("""COMPUTED_VALUE"""),828)</f>
        <v>828</v>
      </c>
      <c r="K998" s="3"/>
      <c r="L998" s="3" t="str">
        <f ca="1">IFERROR(__xludf.DUMMYFUNCTION("""COMPUTED_VALUE"""),"Cost per period")</f>
        <v>Cost per period</v>
      </c>
      <c r="M998" s="3"/>
      <c r="N998" s="3"/>
      <c r="O998" s="3" t="str">
        <f ca="1">IFERROR(__xludf.DUMMYFUNCTION("""COMPUTED_VALUE"""),"2000")</f>
        <v>2000</v>
      </c>
      <c r="P998" s="3" t="str">
        <f ca="1">IFERROR(__xludf.DUMMYFUNCTION("""COMPUTED_VALUE"""),"1400")</f>
        <v>1400</v>
      </c>
      <c r="Q998" s="3" t="str">
        <f ca="1">IFERROR(__xludf.DUMMYFUNCTION("""COMPUTED_VALUE"""),"2000x1400")</f>
        <v>2000x1400</v>
      </c>
      <c r="R998" s="3"/>
      <c r="S998" s="3" t="str">
        <f ca="1">IFERROR(__xludf.DUMMYFUNCTION("""COMPUTED_VALUE"""),"500 + 200 (600+200 HTML5)")</f>
        <v>500 + 200 (600+200 HTML5)</v>
      </c>
      <c r="T998" s="3"/>
      <c r="U998" s="3" t="str">
        <f ca="1">IFERROR(__xludf.DUMMYFUNCTION("""COMPUTED_VALUE"""),"banner standard")</f>
        <v>banner standard</v>
      </c>
      <c r="V998" s="3"/>
      <c r="W998" s="4" t="str">
        <f ca="1">IFERROR(__xludf.DUMMYFUNCTION("""COMPUTED_VALUE"""),"https://reklama.cncenter.cz/Online/branding")</f>
        <v>https://reklama.cncenter.cz/Online/branding</v>
      </c>
      <c r="X998" s="3"/>
      <c r="Y998" s="3"/>
      <c r="Z998" s="3" t="str">
        <f ca="1">IFERROR(__xludf.DUMMYFUNCTION("""COMPUTED_VALUE"""),"podklady@cncenter.cz")</f>
        <v>podklady@cncenter.cz</v>
      </c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 t="str">
        <f ca="1">IFERROR(__xludf.DUMMYFUNCTION("""COMPUTED_VALUE"""),"desktop")</f>
        <v>desktop</v>
      </c>
      <c r="AO998" s="3"/>
      <c r="AP998" s="3"/>
      <c r="AQ998" s="3"/>
      <c r="AR998" s="3"/>
      <c r="AS998" s="3"/>
      <c r="AT998" s="3"/>
      <c r="AU998" s="3" t="str">
        <f ca="1">IFERROR(__xludf.DUMMYFUNCTION("""COMPUTED_VALUE"""),"cílený branding")</f>
        <v>cílený branding</v>
      </c>
    </row>
    <row r="999" spans="1:47" x14ac:dyDescent="0.3">
      <c r="A999" s="3">
        <f ca="1"/>
        <v>2346826</v>
      </c>
      <c r="B999" s="3" t="str">
        <f ca="1"/>
        <v>CZECH NEWS CENTER a. s.</v>
      </c>
      <c r="C999" s="3" t="str">
        <f ca="1">IFERROR(__xludf.DUMMYFUNCTION("""COMPUTED_VALUE"""),"VTM")</f>
        <v>VTM</v>
      </c>
      <c r="D999" s="4" t="str">
        <f ca="1">IFERROR(__xludf.DUMMYFUNCTION("""COMPUTED_VALUE"""),"https://vtm.zive.cz")</f>
        <v>https://vtm.zive.cz</v>
      </c>
      <c r="E999" s="3" t="str">
        <f ca="1">IFERROR(__xludf.DUMMYFUNCTION("""COMPUTED_VALUE"""),"celý web")</f>
        <v>celý web</v>
      </c>
      <c r="F999" s="4" t="str">
        <f ca="1">IFERROR(__xludf.DUMMYFUNCTION("""COMPUTED_VALUE"""),"https://vtm.zive.cz")</f>
        <v>https://vtm.zive.cz</v>
      </c>
      <c r="G999" s="3" t="str">
        <f ca="1">IFERROR(__xludf.DUMMYFUNCTION("""COMPUTED_VALUE"""),"cílený double skyscraper mid season")</f>
        <v>cílený double skyscraper mid season</v>
      </c>
      <c r="H999" s="3">
        <f ca="1">IFERROR(__xludf.DUMMYFUNCTION("""COMPUTED_VALUE"""),7)</f>
        <v>7</v>
      </c>
      <c r="I999" s="5">
        <f ca="1">IFERROR(__xludf.DUMMYFUNCTION("""COMPUTED_VALUE"""),1000)</f>
        <v>1000</v>
      </c>
      <c r="J999" s="5">
        <f ca="1">IFERROR(__xludf.DUMMYFUNCTION("""COMPUTED_VALUE"""),324)</f>
        <v>324</v>
      </c>
      <c r="K999" s="3"/>
      <c r="L999" s="3" t="str">
        <f ca="1">IFERROR(__xludf.DUMMYFUNCTION("""COMPUTED_VALUE"""),"Cost per period")</f>
        <v>Cost per period</v>
      </c>
      <c r="M999" s="3"/>
      <c r="N999" s="3"/>
      <c r="O999" s="3" t="str">
        <f ca="1">IFERROR(__xludf.DUMMYFUNCTION("""COMPUTED_VALUE"""),"300")</f>
        <v>300</v>
      </c>
      <c r="P999" s="3" t="str">
        <f ca="1">IFERROR(__xludf.DUMMYFUNCTION("""COMPUTED_VALUE"""),"600")</f>
        <v>600</v>
      </c>
      <c r="Q999" s="3" t="str">
        <f ca="1">IFERROR(__xludf.DUMMYFUNCTION("""COMPUTED_VALUE"""),"300x600")</f>
        <v>300x600</v>
      </c>
      <c r="R999" s="3"/>
      <c r="S999" s="3" t="str">
        <f ca="1">IFERROR(__xludf.DUMMYFUNCTION("""COMPUTED_VALUE"""),"100 (200 - HTML5)")</f>
        <v>100 (200 - HTML5)</v>
      </c>
      <c r="T999" s="3"/>
      <c r="U999" s="3" t="str">
        <f ca="1">IFERROR(__xludf.DUMMYFUNCTION("""COMPUTED_VALUE"""),"banner standard")</f>
        <v>banner standard</v>
      </c>
      <c r="V999" s="3"/>
      <c r="W999" s="4" t="str">
        <f ca="1">IFERROR(__xludf.DUMMYFUNCTION("""COMPUTED_VALUE"""),"https://reklama.cncenter.cz/Online/double-skyscraper")</f>
        <v>https://reklama.cncenter.cz/Online/double-skyscraper</v>
      </c>
      <c r="X999" s="3"/>
      <c r="Y999" s="3"/>
      <c r="Z999" s="3" t="str">
        <f ca="1">IFERROR(__xludf.DUMMYFUNCTION("""COMPUTED_VALUE"""),"podklady@cncenter.cz")</f>
        <v>podklady@cncenter.cz</v>
      </c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 t="str">
        <f ca="1">IFERROR(__xludf.DUMMYFUNCTION("""COMPUTED_VALUE"""),"desktop")</f>
        <v>desktop</v>
      </c>
      <c r="AO999" s="3"/>
      <c r="AP999" s="3"/>
      <c r="AQ999" s="3"/>
      <c r="AR999" s="3"/>
      <c r="AS999" s="3"/>
      <c r="AT999" s="3"/>
      <c r="AU999" s="3" t="str">
        <f ca="1">IFERROR(__xludf.DUMMYFUNCTION("""COMPUTED_VALUE"""),"cílený double skyscraper")</f>
        <v>cílený double skyscraper</v>
      </c>
    </row>
    <row r="1000" spans="1:47" x14ac:dyDescent="0.3">
      <c r="A1000" s="3">
        <f ca="1"/>
        <v>2346826</v>
      </c>
      <c r="B1000" s="3" t="str">
        <f ca="1"/>
        <v>CZECH NEWS CENTER a. s.</v>
      </c>
      <c r="C1000" s="3" t="str">
        <f ca="1">IFERROR(__xludf.DUMMYFUNCTION("""COMPUTED_VALUE"""),"VTM")</f>
        <v>VTM</v>
      </c>
      <c r="D1000" s="4" t="str">
        <f ca="1">IFERROR(__xludf.DUMMYFUNCTION("""COMPUTED_VALUE"""),"https://vtm.zive.cz")</f>
        <v>https://vtm.zive.cz</v>
      </c>
      <c r="E1000" s="3" t="str">
        <f ca="1">IFERROR(__xludf.DUMMYFUNCTION("""COMPUTED_VALUE"""),"celý web")</f>
        <v>celý web</v>
      </c>
      <c r="F1000" s="4" t="str">
        <f ca="1">IFERROR(__xludf.DUMMYFUNCTION("""COMPUTED_VALUE"""),"https://vtm.zive.cz")</f>
        <v>https://vtm.zive.cz</v>
      </c>
      <c r="G1000" s="3" t="str">
        <f ca="1">IFERROR(__xludf.DUMMYFUNCTION("""COMPUTED_VALUE"""),"cílený mobilní interscroller mid season")</f>
        <v>cílený mobilní interscroller mid season</v>
      </c>
      <c r="H1000" s="3">
        <f ca="1">IFERROR(__xludf.DUMMYFUNCTION("""COMPUTED_VALUE"""),7)</f>
        <v>7</v>
      </c>
      <c r="I1000" s="5">
        <f ca="1">IFERROR(__xludf.DUMMYFUNCTION("""COMPUTED_VALUE"""),1000)</f>
        <v>1000</v>
      </c>
      <c r="J1000" s="5">
        <f ca="1">IFERROR(__xludf.DUMMYFUNCTION("""COMPUTED_VALUE"""),420)</f>
        <v>420</v>
      </c>
      <c r="K1000" s="3"/>
      <c r="L1000" s="3" t="str">
        <f ca="1">IFERROR(__xludf.DUMMYFUNCTION("""COMPUTED_VALUE"""),"Cost per period")</f>
        <v>Cost per period</v>
      </c>
      <c r="M1000" s="3"/>
      <c r="N1000" s="3"/>
      <c r="O1000" s="3" t="str">
        <f ca="1">IFERROR(__xludf.DUMMYFUNCTION("""COMPUTED_VALUE"""),"600")</f>
        <v>600</v>
      </c>
      <c r="P1000" s="3" t="str">
        <f ca="1">IFERROR(__xludf.DUMMYFUNCTION("""COMPUTED_VALUE"""),"1080")</f>
        <v>1080</v>
      </c>
      <c r="Q1000" s="3" t="str">
        <f ca="1">IFERROR(__xludf.DUMMYFUNCTION("""COMPUTED_VALUE"""),"600x1080")</f>
        <v>600x1080</v>
      </c>
      <c r="R1000" s="3"/>
      <c r="S1000" s="3" t="str">
        <f ca="1">IFERROR(__xludf.DUMMYFUNCTION("""COMPUTED_VALUE"""),"200")</f>
        <v>200</v>
      </c>
      <c r="T1000" s="3"/>
      <c r="U1000" s="3" t="str">
        <f ca="1">IFERROR(__xludf.DUMMYFUNCTION("""COMPUTED_VALUE"""),"banner standard")</f>
        <v>banner standard</v>
      </c>
      <c r="V1000" s="3"/>
      <c r="W1000" s="4" t="str">
        <f ca="1">IFERROR(__xludf.DUMMYFUNCTION("""COMPUTED_VALUE"""),"https://reklama.cncenter.cz/Online/mobilni-interscroller")</f>
        <v>https://reklama.cncenter.cz/Online/mobilni-interscroller</v>
      </c>
      <c r="X1000" s="3"/>
      <c r="Y1000" s="3"/>
      <c r="Z1000" s="3" t="str">
        <f ca="1">IFERROR(__xludf.DUMMYFUNCTION("""COMPUTED_VALUE"""),"podklady@cncenter.cz")</f>
        <v>podklady@cncenter.cz</v>
      </c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 t="str">
        <f ca="1">IFERROR(__xludf.DUMMYFUNCTION("""COMPUTED_VALUE"""),"mobile")</f>
        <v>mobile</v>
      </c>
      <c r="AO1000" s="3"/>
      <c r="AP1000" s="3"/>
      <c r="AQ1000" s="3"/>
      <c r="AR1000" s="3"/>
      <c r="AS1000" s="3"/>
      <c r="AT1000" s="3"/>
      <c r="AU1000" s="3" t="str">
        <f ca="1">IFERROR(__xludf.DUMMYFUNCTION("""COMPUTED_VALUE"""),"cílený mobilní interscroller")</f>
        <v>cílený mobilní interscroller</v>
      </c>
    </row>
    <row r="1001" spans="1:47" x14ac:dyDescent="0.3">
      <c r="A1001" s="3">
        <f ca="1"/>
        <v>2346826</v>
      </c>
      <c r="B1001" s="3" t="str">
        <f ca="1"/>
        <v>CZECH NEWS CENTER a. s.</v>
      </c>
      <c r="C1001" s="3" t="str">
        <f ca="1">IFERROR(__xludf.DUMMYFUNCTION("""COMPUTED_VALUE"""),"VTM")</f>
        <v>VTM</v>
      </c>
      <c r="D1001" s="4" t="str">
        <f ca="1">IFERROR(__xludf.DUMMYFUNCTION("""COMPUTED_VALUE"""),"https://vtm.zive.cz")</f>
        <v>https://vtm.zive.cz</v>
      </c>
      <c r="E1001" s="3" t="str">
        <f ca="1">IFERROR(__xludf.DUMMYFUNCTION("""COMPUTED_VALUE"""),"celý web")</f>
        <v>celý web</v>
      </c>
      <c r="F1001" s="4" t="str">
        <f ca="1">IFERROR(__xludf.DUMMYFUNCTION("""COMPUTED_VALUE"""),"https://vtm.zive.cz")</f>
        <v>https://vtm.zive.cz</v>
      </c>
      <c r="G1001" s="3" t="str">
        <f ca="1">IFERROR(__xludf.DUMMYFUNCTION("""COMPUTED_VALUE"""),"cílený mobilní slide-up mid season")</f>
        <v>cílený mobilní slide-up mid season</v>
      </c>
      <c r="H1001" s="3">
        <f ca="1">IFERROR(__xludf.DUMMYFUNCTION("""COMPUTED_VALUE"""),7)</f>
        <v>7</v>
      </c>
      <c r="I1001" s="5">
        <f ca="1">IFERROR(__xludf.DUMMYFUNCTION("""COMPUTED_VALUE"""),1000)</f>
        <v>1000</v>
      </c>
      <c r="J1001" s="5">
        <f ca="1">IFERROR(__xludf.DUMMYFUNCTION("""COMPUTED_VALUE"""),864)</f>
        <v>864</v>
      </c>
      <c r="K1001" s="3"/>
      <c r="L1001" s="3" t="str">
        <f ca="1">IFERROR(__xludf.DUMMYFUNCTION("""COMPUTED_VALUE"""),"Cost per period")</f>
        <v>Cost per period</v>
      </c>
      <c r="M1001" s="3"/>
      <c r="N1001" s="3"/>
      <c r="O1001" s="3" t="str">
        <f ca="1">IFERROR(__xludf.DUMMYFUNCTION("""COMPUTED_VALUE"""),"300")</f>
        <v>300</v>
      </c>
      <c r="P1001" s="3" t="str">
        <f ca="1">IFERROR(__xludf.DUMMYFUNCTION("""COMPUTED_VALUE"""),"120")</f>
        <v>120</v>
      </c>
      <c r="Q1001" s="3" t="str">
        <f ca="1">IFERROR(__xludf.DUMMYFUNCTION("""COMPUTED_VALUE"""),"300x120")</f>
        <v>300x120</v>
      </c>
      <c r="R1001" s="3"/>
      <c r="S1001" s="3" t="str">
        <f ca="1">IFERROR(__xludf.DUMMYFUNCTION("""COMPUTED_VALUE"""),"100")</f>
        <v>100</v>
      </c>
      <c r="T1001" s="3"/>
      <c r="U1001" s="3" t="str">
        <f ca="1">IFERROR(__xludf.DUMMYFUNCTION("""COMPUTED_VALUE"""),"banner standard")</f>
        <v>banner standard</v>
      </c>
      <c r="V1001" s="3"/>
      <c r="W1001" s="4" t="str">
        <f ca="1">IFERROR(__xludf.DUMMYFUNCTION("""COMPUTED_VALUE"""),"https://reklama.cncenter.cz/Online/mobilni-slide-up")</f>
        <v>https://reklama.cncenter.cz/Online/mobilni-slide-up</v>
      </c>
      <c r="X1001" s="3"/>
      <c r="Y1001" s="3"/>
      <c r="Z1001" s="3" t="str">
        <f ca="1">IFERROR(__xludf.DUMMYFUNCTION("""COMPUTED_VALUE"""),"podklady@cncenter.cz")</f>
        <v>podklady@cncenter.cz</v>
      </c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 t="str">
        <f ca="1">IFERROR(__xludf.DUMMYFUNCTION("""COMPUTED_VALUE"""),"mobile")</f>
        <v>mobile</v>
      </c>
      <c r="AO1001" s="3"/>
      <c r="AP1001" s="3"/>
      <c r="AQ1001" s="3"/>
      <c r="AR1001" s="3"/>
      <c r="AS1001" s="3"/>
      <c r="AT1001" s="3"/>
      <c r="AU1001" s="3" t="str">
        <f ca="1">IFERROR(__xludf.DUMMYFUNCTION("""COMPUTED_VALUE"""),"cílený mobilní slide-up")</f>
        <v>cílený mobilní slide-up</v>
      </c>
    </row>
    <row r="1002" spans="1:47" x14ac:dyDescent="0.3">
      <c r="A1002" s="3">
        <f ca="1"/>
        <v>2346826</v>
      </c>
      <c r="B1002" s="3" t="str">
        <f ca="1"/>
        <v>CZECH NEWS CENTER a. s.</v>
      </c>
      <c r="C1002" s="3" t="str">
        <f ca="1">IFERROR(__xludf.DUMMYFUNCTION("""COMPUTED_VALUE"""),"VTM")</f>
        <v>VTM</v>
      </c>
      <c r="D1002" s="4" t="str">
        <f ca="1">IFERROR(__xludf.DUMMYFUNCTION("""COMPUTED_VALUE"""),"https://vtm.zive.cz")</f>
        <v>https://vtm.zive.cz</v>
      </c>
      <c r="E1002" s="3" t="str">
        <f ca="1">IFERROR(__xludf.DUMMYFUNCTION("""COMPUTED_VALUE"""),"celý web")</f>
        <v>celý web</v>
      </c>
      <c r="F1002" s="4" t="str">
        <f ca="1">IFERROR(__xludf.DUMMYFUNCTION("""COMPUTED_VALUE"""),"https://vtm.zive.cz")</f>
        <v>https://vtm.zive.cz</v>
      </c>
      <c r="G1002" s="3" t="str">
        <f ca="1">IFERROR(__xludf.DUMMYFUNCTION("""COMPUTED_VALUE"""),"cílený mobilní viněta mid season")</f>
        <v>cílený mobilní viněta mid season</v>
      </c>
      <c r="H1002" s="3">
        <f ca="1">IFERROR(__xludf.DUMMYFUNCTION("""COMPUTED_VALUE"""),7)</f>
        <v>7</v>
      </c>
      <c r="I1002" s="5">
        <f ca="1">IFERROR(__xludf.DUMMYFUNCTION("""COMPUTED_VALUE"""),1000)</f>
        <v>1000</v>
      </c>
      <c r="J1002" s="5">
        <f ca="1">IFERROR(__xludf.DUMMYFUNCTION("""COMPUTED_VALUE"""),1488)</f>
        <v>1488</v>
      </c>
      <c r="K1002" s="3"/>
      <c r="L1002" s="3" t="str">
        <f ca="1">IFERROR(__xludf.DUMMYFUNCTION("""COMPUTED_VALUE"""),"Cost per period")</f>
        <v>Cost per period</v>
      </c>
      <c r="M1002" s="3"/>
      <c r="N1002" s="3"/>
      <c r="O1002" s="3" t="str">
        <f ca="1">IFERROR(__xludf.DUMMYFUNCTION("""COMPUTED_VALUE"""),"600")</f>
        <v>600</v>
      </c>
      <c r="P1002" s="3" t="str">
        <f ca="1">IFERROR(__xludf.DUMMYFUNCTION("""COMPUTED_VALUE"""),"800")</f>
        <v>800</v>
      </c>
      <c r="Q1002" s="3" t="str">
        <f ca="1">IFERROR(__xludf.DUMMYFUNCTION("""COMPUTED_VALUE"""),"300x250 nebo 600x800")</f>
        <v>300x250 nebo 600x800</v>
      </c>
      <c r="R1002" s="3"/>
      <c r="S1002" s="3" t="str">
        <f ca="1">IFERROR(__xludf.DUMMYFUNCTION("""COMPUTED_VALUE"""),"100")</f>
        <v>100</v>
      </c>
      <c r="T1002" s="3"/>
      <c r="U1002" s="3" t="str">
        <f ca="1">IFERROR(__xludf.DUMMYFUNCTION("""COMPUTED_VALUE"""),"banner standard")</f>
        <v>banner standard</v>
      </c>
      <c r="V1002" s="3"/>
      <c r="W1002" s="4" t="str">
        <f ca="1">IFERROR(__xludf.DUMMYFUNCTION("""COMPUTED_VALUE"""),"https://reklama.cncenter.cz/Online/mobilni-vineta")</f>
        <v>https://reklama.cncenter.cz/Online/mobilni-vineta</v>
      </c>
      <c r="X1002" s="3"/>
      <c r="Y1002" s="3"/>
      <c r="Z1002" s="3" t="str">
        <f ca="1">IFERROR(__xludf.DUMMYFUNCTION("""COMPUTED_VALUE"""),"podklady@cncenter.cz")</f>
        <v>podklady@cncenter.cz</v>
      </c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 t="str">
        <f ca="1">IFERROR(__xludf.DUMMYFUNCTION("""COMPUTED_VALUE"""),"mobile")</f>
        <v>mobile</v>
      </c>
      <c r="AO1002" s="3"/>
      <c r="AP1002" s="3"/>
      <c r="AQ1002" s="3"/>
      <c r="AR1002" s="3"/>
      <c r="AS1002" s="3"/>
      <c r="AT1002" s="3"/>
      <c r="AU1002" s="3" t="str">
        <f ca="1">IFERROR(__xludf.DUMMYFUNCTION("""COMPUTED_VALUE"""),"cílený mobilní viněta")</f>
        <v>cílený mobilní viněta</v>
      </c>
    </row>
    <row r="1003" spans="1:47" x14ac:dyDescent="0.3">
      <c r="A1003" s="3">
        <f ca="1"/>
        <v>2346826</v>
      </c>
      <c r="B1003" s="3" t="str">
        <f ca="1"/>
        <v>CZECH NEWS CENTER a. s.</v>
      </c>
      <c r="C1003" s="3" t="str">
        <f ca="1">IFERROR(__xludf.DUMMYFUNCTION("""COMPUTED_VALUE"""),"VTM")</f>
        <v>VTM</v>
      </c>
      <c r="D1003" s="4" t="str">
        <f ca="1">IFERROR(__xludf.DUMMYFUNCTION("""COMPUTED_VALUE"""),"https://vtm.zive.cz")</f>
        <v>https://vtm.zive.cz</v>
      </c>
      <c r="E1003" s="3" t="str">
        <f ca="1">IFERROR(__xludf.DUMMYFUNCTION("""COMPUTED_VALUE"""),"celý web")</f>
        <v>celý web</v>
      </c>
      <c r="F1003" s="4" t="str">
        <f ca="1">IFERROR(__xludf.DUMMYFUNCTION("""COMPUTED_VALUE"""),"https://vtm.zive.cz")</f>
        <v>https://vtm.zive.cz</v>
      </c>
      <c r="G1003" s="3" t="str">
        <f ca="1">IFERROR(__xludf.DUMMYFUNCTION("""COMPUTED_VALUE"""),"cílený nativní rectangle cross-device mid season")</f>
        <v>cílený nativní rectangle cross-device mid season</v>
      </c>
      <c r="H1003" s="3">
        <f ca="1">IFERROR(__xludf.DUMMYFUNCTION("""COMPUTED_VALUE"""),7)</f>
        <v>7</v>
      </c>
      <c r="I1003" s="5">
        <f ca="1">IFERROR(__xludf.DUMMYFUNCTION("""COMPUTED_VALUE"""),1000)</f>
        <v>1000</v>
      </c>
      <c r="J1003" s="5">
        <f ca="1">IFERROR(__xludf.DUMMYFUNCTION("""COMPUTED_VALUE"""),336)</f>
        <v>336</v>
      </c>
      <c r="K1003" s="3"/>
      <c r="L1003" s="3" t="str">
        <f ca="1">IFERROR(__xludf.DUMMYFUNCTION("""COMPUTED_VALUE"""),"Cost per period")</f>
        <v>Cost per period</v>
      </c>
      <c r="M1003" s="3"/>
      <c r="N1003" s="3"/>
      <c r="O1003" s="3" t="str">
        <f ca="1">IFERROR(__xludf.DUMMYFUNCTION("""COMPUTED_VALUE"""),"640")</f>
        <v>640</v>
      </c>
      <c r="P1003" s="3" t="str">
        <f ca="1">IFERROR(__xludf.DUMMYFUNCTION("""COMPUTED_VALUE"""),"335, 640")</f>
        <v>335, 640</v>
      </c>
      <c r="Q1003" s="3" t="str">
        <f ca="1">IFERROR(__xludf.DUMMYFUNCTION("""COMPUTED_VALUE"""),"640x640 a 640x335 + text + logo")</f>
        <v>640x640 a 640x335 + text + logo</v>
      </c>
      <c r="R1003" s="3"/>
      <c r="S1003" s="3" t="str">
        <f ca="1">IFERROR(__xludf.DUMMYFUNCTION("""COMPUTED_VALUE"""),"45")</f>
        <v>45</v>
      </c>
      <c r="T1003" s="3"/>
      <c r="U1003" s="3" t="str">
        <f ca="1">IFERROR(__xludf.DUMMYFUNCTION("""COMPUTED_VALUE"""),"nativní reklama")</f>
        <v>nativní reklama</v>
      </c>
      <c r="V1003" s="3"/>
      <c r="W1003" s="4" t="str">
        <f ca="1">IFERROR(__xludf.DUMMYFUNCTION("""COMPUTED_VALUE"""),"https://reklama.cncenter.cz/Online/nativni-rectangle-cross-device")</f>
        <v>https://reklama.cncenter.cz/Online/nativni-rectangle-cross-device</v>
      </c>
      <c r="X1003" s="3"/>
      <c r="Y1003" s="3"/>
      <c r="Z1003" s="3" t="str">
        <f ca="1">IFERROR(__xludf.DUMMYFUNCTION("""COMPUTED_VALUE"""),"podklady@cncenter.cz")</f>
        <v>podklady@cncenter.cz</v>
      </c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 t="str">
        <f ca="1">IFERROR(__xludf.DUMMYFUNCTION("""COMPUTED_VALUE"""),"cross-device")</f>
        <v>cross-device</v>
      </c>
      <c r="AO1003" s="3"/>
      <c r="AP1003" s="3"/>
      <c r="AQ1003" s="3"/>
      <c r="AR1003" s="3"/>
      <c r="AS1003" s="3"/>
      <c r="AT1003" s="3"/>
      <c r="AU1003" s="3" t="str">
        <f ca="1">IFERROR(__xludf.DUMMYFUNCTION("""COMPUTED_VALUE"""),"cílený nativní rectangle cross-device")</f>
        <v>cílený nativní rectangle cross-device</v>
      </c>
    </row>
    <row r="1004" spans="1:47" x14ac:dyDescent="0.3">
      <c r="A1004" s="3">
        <f ca="1"/>
        <v>2346826</v>
      </c>
      <c r="B1004" s="3" t="str">
        <f ca="1"/>
        <v>CZECH NEWS CENTER a. s.</v>
      </c>
      <c r="C1004" s="3" t="str">
        <f ca="1">IFERROR(__xludf.DUMMYFUNCTION("""COMPUTED_VALUE"""),"VTM")</f>
        <v>VTM</v>
      </c>
      <c r="D1004" s="4" t="str">
        <f ca="1">IFERROR(__xludf.DUMMYFUNCTION("""COMPUTED_VALUE"""),"https://vtm.zive.cz")</f>
        <v>https://vtm.zive.cz</v>
      </c>
      <c r="E1004" s="3" t="str">
        <f ca="1">IFERROR(__xludf.DUMMYFUNCTION("""COMPUTED_VALUE"""),"celý web")</f>
        <v>celý web</v>
      </c>
      <c r="F1004" s="4" t="str">
        <f ca="1">IFERROR(__xludf.DUMMYFUNCTION("""COMPUTED_VALUE"""),"https://vtm.zive.cz")</f>
        <v>https://vtm.zive.cz</v>
      </c>
      <c r="G1004" s="3" t="str">
        <f ca="1">IFERROR(__xludf.DUMMYFUNCTION("""COMPUTED_VALUE"""),"cílený outstream mid season")</f>
        <v>cílený outstream mid season</v>
      </c>
      <c r="H1004" s="3">
        <f ca="1">IFERROR(__xludf.DUMMYFUNCTION("""COMPUTED_VALUE"""),7)</f>
        <v>7</v>
      </c>
      <c r="I1004" s="5">
        <f ca="1">IFERROR(__xludf.DUMMYFUNCTION("""COMPUTED_VALUE"""),1000)</f>
        <v>1000</v>
      </c>
      <c r="J1004" s="5">
        <f ca="1">IFERROR(__xludf.DUMMYFUNCTION("""COMPUTED_VALUE"""),420)</f>
        <v>420</v>
      </c>
      <c r="K1004" s="3"/>
      <c r="L1004" s="3" t="str">
        <f ca="1">IFERROR(__xludf.DUMMYFUNCTION("""COMPUTED_VALUE"""),"Cost per period")</f>
        <v>Cost per period</v>
      </c>
      <c r="M1004" s="3"/>
      <c r="N1004" s="3"/>
      <c r="O1004" s="3" t="str">
        <f ca="1">IFERROR(__xludf.DUMMYFUNCTION("""COMPUTED_VALUE"""),"1280")</f>
        <v>1280</v>
      </c>
      <c r="P1004" s="3" t="str">
        <f ca="1">IFERROR(__xludf.DUMMYFUNCTION("""COMPUTED_VALUE"""),"720")</f>
        <v>720</v>
      </c>
      <c r="Q1004" s="3" t="str">
        <f ca="1">IFERROR(__xludf.DUMMYFUNCTION("""COMPUTED_VALUE"""),"16:9")</f>
        <v>16:9</v>
      </c>
      <c r="R1004" s="3"/>
      <c r="S1004" s="3" t="str">
        <f ca="1">IFERROR(__xludf.DUMMYFUNCTION("""COMPUTED_VALUE"""),"100")</f>
        <v>100</v>
      </c>
      <c r="T1004" s="3"/>
      <c r="U1004" s="3" t="str">
        <f ca="1">IFERROR(__xludf.DUMMYFUNCTION("""COMPUTED_VALUE"""),"videospot")</f>
        <v>videospot</v>
      </c>
      <c r="V1004" s="3"/>
      <c r="W1004" s="4" t="str">
        <f ca="1">IFERROR(__xludf.DUMMYFUNCTION("""COMPUTED_VALUE"""),"https://reklama.cncenter.cz/Online/Outstream")</f>
        <v>https://reklama.cncenter.cz/Online/Outstream</v>
      </c>
      <c r="X1004" s="3"/>
      <c r="Y1004" s="3"/>
      <c r="Z1004" s="3" t="str">
        <f ca="1">IFERROR(__xludf.DUMMYFUNCTION("""COMPUTED_VALUE"""),"podklady@cncenter.cz")</f>
        <v>podklady@cncenter.cz</v>
      </c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 t="str">
        <f ca="1">IFERROR(__xludf.DUMMYFUNCTION("""COMPUTED_VALUE"""),"cross-device")</f>
        <v>cross-device</v>
      </c>
      <c r="AO1004" s="3"/>
      <c r="AP1004" s="3"/>
      <c r="AQ1004" s="3"/>
      <c r="AR1004" s="3"/>
      <c r="AS1004" s="3"/>
      <c r="AT1004" s="3"/>
      <c r="AU1004" s="3" t="str">
        <f ca="1">IFERROR(__xludf.DUMMYFUNCTION("""COMPUTED_VALUE"""),"cílený outstream")</f>
        <v>cílený outstream</v>
      </c>
    </row>
    <row r="1005" spans="1:47" x14ac:dyDescent="0.3">
      <c r="A1005" s="3">
        <f ca="1"/>
        <v>2346826</v>
      </c>
      <c r="B1005" s="3" t="str">
        <f ca="1"/>
        <v>CZECH NEWS CENTER a. s.</v>
      </c>
      <c r="C1005" s="3" t="str">
        <f ca="1">IFERROR(__xludf.DUMMYFUNCTION("""COMPUTED_VALUE"""),"VTM")</f>
        <v>VTM</v>
      </c>
      <c r="D1005" s="4" t="str">
        <f ca="1">IFERROR(__xludf.DUMMYFUNCTION("""COMPUTED_VALUE"""),"https://vtm.zive.cz")</f>
        <v>https://vtm.zive.cz</v>
      </c>
      <c r="E1005" s="3" t="str">
        <f ca="1">IFERROR(__xludf.DUMMYFUNCTION("""COMPUTED_VALUE"""),"celý web")</f>
        <v>celý web</v>
      </c>
      <c r="F1005" s="4" t="str">
        <f ca="1">IFERROR(__xludf.DUMMYFUNCTION("""COMPUTED_VALUE"""),"https://vtm.zive.cz")</f>
        <v>https://vtm.zive.cz</v>
      </c>
      <c r="G1005" s="3" t="str">
        <f ca="1">IFERROR(__xludf.DUMMYFUNCTION("""COMPUTED_VALUE"""),"double skyscraper mid season")</f>
        <v>double skyscraper mid season</v>
      </c>
      <c r="H1005" s="3">
        <f ca="1">IFERROR(__xludf.DUMMYFUNCTION("""COMPUTED_VALUE"""),7)</f>
        <v>7</v>
      </c>
      <c r="I1005" s="5">
        <f ca="1">IFERROR(__xludf.DUMMYFUNCTION("""COMPUTED_VALUE"""),1000)</f>
        <v>1000</v>
      </c>
      <c r="J1005" s="5">
        <f ca="1">IFERROR(__xludf.DUMMYFUNCTION("""COMPUTED_VALUE"""),270)</f>
        <v>270</v>
      </c>
      <c r="K1005" s="3"/>
      <c r="L1005" s="3" t="str">
        <f ca="1">IFERROR(__xludf.DUMMYFUNCTION("""COMPUTED_VALUE"""),"Cost per period")</f>
        <v>Cost per period</v>
      </c>
      <c r="M1005" s="3"/>
      <c r="N1005" s="3"/>
      <c r="O1005" s="3" t="str">
        <f ca="1">IFERROR(__xludf.DUMMYFUNCTION("""COMPUTED_VALUE"""),"300")</f>
        <v>300</v>
      </c>
      <c r="P1005" s="3" t="str">
        <f ca="1">IFERROR(__xludf.DUMMYFUNCTION("""COMPUTED_VALUE"""),"600")</f>
        <v>600</v>
      </c>
      <c r="Q1005" s="3" t="str">
        <f ca="1">IFERROR(__xludf.DUMMYFUNCTION("""COMPUTED_VALUE"""),"300x600")</f>
        <v>300x600</v>
      </c>
      <c r="R1005" s="3"/>
      <c r="S1005" s="3" t="str">
        <f ca="1">IFERROR(__xludf.DUMMYFUNCTION("""COMPUTED_VALUE"""),"100 (200 - HTML5)")</f>
        <v>100 (200 - HTML5)</v>
      </c>
      <c r="T1005" s="3"/>
      <c r="U1005" s="3" t="str">
        <f ca="1">IFERROR(__xludf.DUMMYFUNCTION("""COMPUTED_VALUE"""),"banner standard")</f>
        <v>banner standard</v>
      </c>
      <c r="V1005" s="3"/>
      <c r="W1005" s="4" t="str">
        <f ca="1">IFERROR(__xludf.DUMMYFUNCTION("""COMPUTED_VALUE"""),"https://reklama.cncenter.cz/Online/double-skyscraper")</f>
        <v>https://reklama.cncenter.cz/Online/double-skyscraper</v>
      </c>
      <c r="X1005" s="3"/>
      <c r="Y1005" s="3"/>
      <c r="Z1005" s="3" t="str">
        <f ca="1">IFERROR(__xludf.DUMMYFUNCTION("""COMPUTED_VALUE"""),"podklady@cncenter.cz")</f>
        <v>podklady@cncenter.cz</v>
      </c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 t="str">
        <f ca="1">IFERROR(__xludf.DUMMYFUNCTION("""COMPUTED_VALUE"""),"desktop")</f>
        <v>desktop</v>
      </c>
      <c r="AO1005" s="3"/>
      <c r="AP1005" s="3"/>
      <c r="AQ1005" s="3"/>
      <c r="AR1005" s="3"/>
      <c r="AS1005" s="3"/>
      <c r="AT1005" s="3"/>
      <c r="AU1005" s="3" t="str">
        <f ca="1">IFERROR(__xludf.DUMMYFUNCTION("""COMPUTED_VALUE"""),"double skyscraper")</f>
        <v>double skyscraper</v>
      </c>
    </row>
    <row r="1006" spans="1:47" x14ac:dyDescent="0.3">
      <c r="A1006" s="3">
        <f ca="1"/>
        <v>2346826</v>
      </c>
      <c r="B1006" s="3" t="str">
        <f ca="1"/>
        <v>CZECH NEWS CENTER a. s.</v>
      </c>
      <c r="C1006" s="3" t="str">
        <f ca="1">IFERROR(__xludf.DUMMYFUNCTION("""COMPUTED_VALUE"""),"VTM")</f>
        <v>VTM</v>
      </c>
      <c r="D1006" s="4" t="str">
        <f ca="1">IFERROR(__xludf.DUMMYFUNCTION("""COMPUTED_VALUE"""),"https://vtm.zive.cz")</f>
        <v>https://vtm.zive.cz</v>
      </c>
      <c r="E1006" s="3" t="str">
        <f ca="1">IFERROR(__xludf.DUMMYFUNCTION("""COMPUTED_VALUE"""),"celý web")</f>
        <v>celý web</v>
      </c>
      <c r="F1006" s="4" t="str">
        <f ca="1">IFERROR(__xludf.DUMMYFUNCTION("""COMPUTED_VALUE"""),"https://vtm.zive.cz")</f>
        <v>https://vtm.zive.cz</v>
      </c>
      <c r="G1006" s="3" t="str">
        <f ca="1">IFERROR(__xludf.DUMMYFUNCTION("""COMPUTED_VALUE"""),"mobilní interscroller mid season")</f>
        <v>mobilní interscroller mid season</v>
      </c>
      <c r="H1006" s="3">
        <f ca="1">IFERROR(__xludf.DUMMYFUNCTION("""COMPUTED_VALUE"""),7)</f>
        <v>7</v>
      </c>
      <c r="I1006" s="5">
        <f ca="1">IFERROR(__xludf.DUMMYFUNCTION("""COMPUTED_VALUE"""),1000)</f>
        <v>1000</v>
      </c>
      <c r="J1006" s="5">
        <f ca="1">IFERROR(__xludf.DUMMYFUNCTION("""COMPUTED_VALUE"""),350)</f>
        <v>350</v>
      </c>
      <c r="K1006" s="3"/>
      <c r="L1006" s="3" t="str">
        <f ca="1">IFERROR(__xludf.DUMMYFUNCTION("""COMPUTED_VALUE"""),"Cost per period")</f>
        <v>Cost per period</v>
      </c>
      <c r="M1006" s="3"/>
      <c r="N1006" s="3"/>
      <c r="O1006" s="3" t="str">
        <f ca="1">IFERROR(__xludf.DUMMYFUNCTION("""COMPUTED_VALUE"""),"600")</f>
        <v>600</v>
      </c>
      <c r="P1006" s="3" t="str">
        <f ca="1">IFERROR(__xludf.DUMMYFUNCTION("""COMPUTED_VALUE"""),"1080")</f>
        <v>1080</v>
      </c>
      <c r="Q1006" s="3" t="str">
        <f ca="1">IFERROR(__xludf.DUMMYFUNCTION("""COMPUTED_VALUE"""),"600x1080")</f>
        <v>600x1080</v>
      </c>
      <c r="R1006" s="3"/>
      <c r="S1006" s="3" t="str">
        <f ca="1">IFERROR(__xludf.DUMMYFUNCTION("""COMPUTED_VALUE"""),"200")</f>
        <v>200</v>
      </c>
      <c r="T1006" s="3"/>
      <c r="U1006" s="3" t="str">
        <f ca="1">IFERROR(__xludf.DUMMYFUNCTION("""COMPUTED_VALUE"""),"banner standard")</f>
        <v>banner standard</v>
      </c>
      <c r="V1006" s="3"/>
      <c r="W1006" s="4" t="str">
        <f ca="1">IFERROR(__xludf.DUMMYFUNCTION("""COMPUTED_VALUE"""),"https://reklama.cncenter.cz/Online/mobilni-interscroller")</f>
        <v>https://reklama.cncenter.cz/Online/mobilni-interscroller</v>
      </c>
      <c r="X1006" s="3"/>
      <c r="Y1006" s="3"/>
      <c r="Z1006" s="3" t="str">
        <f ca="1">IFERROR(__xludf.DUMMYFUNCTION("""COMPUTED_VALUE"""),"podklady@cncenter.cz")</f>
        <v>podklady@cncenter.cz</v>
      </c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 t="str">
        <f ca="1">IFERROR(__xludf.DUMMYFUNCTION("""COMPUTED_VALUE"""),"mobile")</f>
        <v>mobile</v>
      </c>
      <c r="AO1006" s="3"/>
      <c r="AP1006" s="3"/>
      <c r="AQ1006" s="3"/>
      <c r="AR1006" s="3"/>
      <c r="AS1006" s="3"/>
      <c r="AT1006" s="3"/>
      <c r="AU1006" s="3" t="str">
        <f ca="1">IFERROR(__xludf.DUMMYFUNCTION("""COMPUTED_VALUE"""),"mobilní interscroller")</f>
        <v>mobilní interscroller</v>
      </c>
    </row>
    <row r="1007" spans="1:47" x14ac:dyDescent="0.3">
      <c r="A1007" s="3">
        <f ca="1"/>
        <v>2346826</v>
      </c>
      <c r="B1007" s="3" t="str">
        <f ca="1"/>
        <v>CZECH NEWS CENTER a. s.</v>
      </c>
      <c r="C1007" s="3" t="str">
        <f ca="1">IFERROR(__xludf.DUMMYFUNCTION("""COMPUTED_VALUE"""),"VTM")</f>
        <v>VTM</v>
      </c>
      <c r="D1007" s="4" t="str">
        <f ca="1">IFERROR(__xludf.DUMMYFUNCTION("""COMPUTED_VALUE"""),"https://vtm.zive.cz")</f>
        <v>https://vtm.zive.cz</v>
      </c>
      <c r="E1007" s="3" t="str">
        <f ca="1">IFERROR(__xludf.DUMMYFUNCTION("""COMPUTED_VALUE"""),"celý web")</f>
        <v>celý web</v>
      </c>
      <c r="F1007" s="4" t="str">
        <f ca="1">IFERROR(__xludf.DUMMYFUNCTION("""COMPUTED_VALUE"""),"https://vtm.zive.cz")</f>
        <v>https://vtm.zive.cz</v>
      </c>
      <c r="G1007" s="3" t="str">
        <f ca="1">IFERROR(__xludf.DUMMYFUNCTION("""COMPUTED_VALUE"""),"mobilní slide-up mid season")</f>
        <v>mobilní slide-up mid season</v>
      </c>
      <c r="H1007" s="3">
        <f ca="1">IFERROR(__xludf.DUMMYFUNCTION("""COMPUTED_VALUE"""),7)</f>
        <v>7</v>
      </c>
      <c r="I1007" s="5">
        <f ca="1">IFERROR(__xludf.DUMMYFUNCTION("""COMPUTED_VALUE"""),1000)</f>
        <v>1000</v>
      </c>
      <c r="J1007" s="5">
        <f ca="1">IFERROR(__xludf.DUMMYFUNCTION("""COMPUTED_VALUE"""),720)</f>
        <v>720</v>
      </c>
      <c r="K1007" s="3"/>
      <c r="L1007" s="3" t="str">
        <f ca="1">IFERROR(__xludf.DUMMYFUNCTION("""COMPUTED_VALUE"""),"Cost per period")</f>
        <v>Cost per period</v>
      </c>
      <c r="M1007" s="3"/>
      <c r="N1007" s="3"/>
      <c r="O1007" s="3" t="str">
        <f ca="1">IFERROR(__xludf.DUMMYFUNCTION("""COMPUTED_VALUE"""),"300")</f>
        <v>300</v>
      </c>
      <c r="P1007" s="3" t="str">
        <f ca="1">IFERROR(__xludf.DUMMYFUNCTION("""COMPUTED_VALUE"""),"120")</f>
        <v>120</v>
      </c>
      <c r="Q1007" s="3" t="str">
        <f ca="1">IFERROR(__xludf.DUMMYFUNCTION("""COMPUTED_VALUE"""),"300x120")</f>
        <v>300x120</v>
      </c>
      <c r="R1007" s="3"/>
      <c r="S1007" s="3" t="str">
        <f ca="1">IFERROR(__xludf.DUMMYFUNCTION("""COMPUTED_VALUE"""),"100")</f>
        <v>100</v>
      </c>
      <c r="T1007" s="3"/>
      <c r="U1007" s="3" t="str">
        <f ca="1">IFERROR(__xludf.DUMMYFUNCTION("""COMPUTED_VALUE"""),"banner standard")</f>
        <v>banner standard</v>
      </c>
      <c r="V1007" s="3"/>
      <c r="W1007" s="4" t="str">
        <f ca="1">IFERROR(__xludf.DUMMYFUNCTION("""COMPUTED_VALUE"""),"https://reklama.cncenter.cz/Online/mobilni-slide-up")</f>
        <v>https://reklama.cncenter.cz/Online/mobilni-slide-up</v>
      </c>
      <c r="X1007" s="3"/>
      <c r="Y1007" s="3"/>
      <c r="Z1007" s="3" t="str">
        <f ca="1">IFERROR(__xludf.DUMMYFUNCTION("""COMPUTED_VALUE"""),"podklady@cncenter.cz")</f>
        <v>podklady@cncenter.cz</v>
      </c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 t="str">
        <f ca="1">IFERROR(__xludf.DUMMYFUNCTION("""COMPUTED_VALUE"""),"mobile")</f>
        <v>mobile</v>
      </c>
      <c r="AO1007" s="3"/>
      <c r="AP1007" s="3"/>
      <c r="AQ1007" s="3"/>
      <c r="AR1007" s="3"/>
      <c r="AS1007" s="3"/>
      <c r="AT1007" s="3"/>
      <c r="AU1007" s="3" t="str">
        <f ca="1">IFERROR(__xludf.DUMMYFUNCTION("""COMPUTED_VALUE"""),"mobilní slide-up")</f>
        <v>mobilní slide-up</v>
      </c>
    </row>
    <row r="1008" spans="1:47" x14ac:dyDescent="0.3">
      <c r="A1008" s="3">
        <f ca="1"/>
        <v>2346826</v>
      </c>
      <c r="B1008" s="3" t="str">
        <f ca="1"/>
        <v>CZECH NEWS CENTER a. s.</v>
      </c>
      <c r="C1008" s="3" t="str">
        <f ca="1">IFERROR(__xludf.DUMMYFUNCTION("""COMPUTED_VALUE"""),"VTM")</f>
        <v>VTM</v>
      </c>
      <c r="D1008" s="4" t="str">
        <f ca="1">IFERROR(__xludf.DUMMYFUNCTION("""COMPUTED_VALUE"""),"https://vtm.zive.cz")</f>
        <v>https://vtm.zive.cz</v>
      </c>
      <c r="E1008" s="3" t="str">
        <f ca="1">IFERROR(__xludf.DUMMYFUNCTION("""COMPUTED_VALUE"""),"celý web")</f>
        <v>celý web</v>
      </c>
      <c r="F1008" s="4" t="str">
        <f ca="1">IFERROR(__xludf.DUMMYFUNCTION("""COMPUTED_VALUE"""),"https://vtm.zive.cz")</f>
        <v>https://vtm.zive.cz</v>
      </c>
      <c r="G1008" s="3" t="str">
        <f ca="1">IFERROR(__xludf.DUMMYFUNCTION("""COMPUTED_VALUE"""),"mobilní viněta mid season")</f>
        <v>mobilní viněta mid season</v>
      </c>
      <c r="H1008" s="3">
        <f ca="1">IFERROR(__xludf.DUMMYFUNCTION("""COMPUTED_VALUE"""),7)</f>
        <v>7</v>
      </c>
      <c r="I1008" s="5">
        <f ca="1">IFERROR(__xludf.DUMMYFUNCTION("""COMPUTED_VALUE"""),1000)</f>
        <v>1000</v>
      </c>
      <c r="J1008" s="5">
        <f ca="1">IFERROR(__xludf.DUMMYFUNCTION("""COMPUTED_VALUE"""),1240)</f>
        <v>1240</v>
      </c>
      <c r="K1008" s="3"/>
      <c r="L1008" s="3" t="str">
        <f ca="1">IFERROR(__xludf.DUMMYFUNCTION("""COMPUTED_VALUE"""),"Cost per period")</f>
        <v>Cost per period</v>
      </c>
      <c r="M1008" s="3"/>
      <c r="N1008" s="3"/>
      <c r="O1008" s="3" t="str">
        <f ca="1">IFERROR(__xludf.DUMMYFUNCTION("""COMPUTED_VALUE"""),"600")</f>
        <v>600</v>
      </c>
      <c r="P1008" s="3" t="str">
        <f ca="1">IFERROR(__xludf.DUMMYFUNCTION("""COMPUTED_VALUE"""),"800")</f>
        <v>800</v>
      </c>
      <c r="Q1008" s="3" t="str">
        <f ca="1">IFERROR(__xludf.DUMMYFUNCTION("""COMPUTED_VALUE"""),"300x250 nebo 600x800")</f>
        <v>300x250 nebo 600x800</v>
      </c>
      <c r="R1008" s="3"/>
      <c r="S1008" s="3" t="str">
        <f ca="1">IFERROR(__xludf.DUMMYFUNCTION("""COMPUTED_VALUE"""),"100")</f>
        <v>100</v>
      </c>
      <c r="T1008" s="3"/>
      <c r="U1008" s="3" t="str">
        <f ca="1">IFERROR(__xludf.DUMMYFUNCTION("""COMPUTED_VALUE"""),"banner standard")</f>
        <v>banner standard</v>
      </c>
      <c r="V1008" s="3"/>
      <c r="W1008" s="4" t="str">
        <f ca="1">IFERROR(__xludf.DUMMYFUNCTION("""COMPUTED_VALUE"""),"https://reklama.cncenter.cz/Online/mobilni-vineta")</f>
        <v>https://reklama.cncenter.cz/Online/mobilni-vineta</v>
      </c>
      <c r="X1008" s="3"/>
      <c r="Y1008" s="3"/>
      <c r="Z1008" s="3" t="str">
        <f ca="1">IFERROR(__xludf.DUMMYFUNCTION("""COMPUTED_VALUE"""),"podklady@cncenter.cz")</f>
        <v>podklady@cncenter.cz</v>
      </c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 t="str">
        <f ca="1">IFERROR(__xludf.DUMMYFUNCTION("""COMPUTED_VALUE"""),"mobile")</f>
        <v>mobile</v>
      </c>
      <c r="AO1008" s="3"/>
      <c r="AP1008" s="3"/>
      <c r="AQ1008" s="3"/>
      <c r="AR1008" s="3"/>
      <c r="AS1008" s="3"/>
      <c r="AT1008" s="3"/>
      <c r="AU1008" s="3" t="str">
        <f ca="1">IFERROR(__xludf.DUMMYFUNCTION("""COMPUTED_VALUE"""),"mobilní viněta")</f>
        <v>mobilní viněta</v>
      </c>
    </row>
    <row r="1009" spans="1:47" x14ac:dyDescent="0.3">
      <c r="A1009" s="3">
        <f ca="1"/>
        <v>2346826</v>
      </c>
      <c r="B1009" s="3" t="str">
        <f ca="1"/>
        <v>CZECH NEWS CENTER a. s.</v>
      </c>
      <c r="C1009" s="3" t="str">
        <f ca="1">IFERROR(__xludf.DUMMYFUNCTION("""COMPUTED_VALUE"""),"VTM")</f>
        <v>VTM</v>
      </c>
      <c r="D1009" s="4" t="str">
        <f ca="1">IFERROR(__xludf.DUMMYFUNCTION("""COMPUTED_VALUE"""),"https://vtm.zive.cz")</f>
        <v>https://vtm.zive.cz</v>
      </c>
      <c r="E1009" s="3" t="str">
        <f ca="1">IFERROR(__xludf.DUMMYFUNCTION("""COMPUTED_VALUE"""),"celý web")</f>
        <v>celý web</v>
      </c>
      <c r="F1009" s="4" t="str">
        <f ca="1">IFERROR(__xludf.DUMMYFUNCTION("""COMPUTED_VALUE"""),"https://vtm.zive.cz")</f>
        <v>https://vtm.zive.cz</v>
      </c>
      <c r="G1009" s="3" t="str">
        <f ca="1">IFERROR(__xludf.DUMMYFUNCTION("""COMPUTED_VALUE"""),"nativní rectangle cross-device mid season")</f>
        <v>nativní rectangle cross-device mid season</v>
      </c>
      <c r="H1009" s="3">
        <f ca="1">IFERROR(__xludf.DUMMYFUNCTION("""COMPUTED_VALUE"""),7)</f>
        <v>7</v>
      </c>
      <c r="I1009" s="5">
        <f ca="1">IFERROR(__xludf.DUMMYFUNCTION("""COMPUTED_VALUE"""),1000)</f>
        <v>1000</v>
      </c>
      <c r="J1009" s="5">
        <f ca="1">IFERROR(__xludf.DUMMYFUNCTION("""COMPUTED_VALUE"""),280)</f>
        <v>280</v>
      </c>
      <c r="K1009" s="3"/>
      <c r="L1009" s="3" t="str">
        <f ca="1">IFERROR(__xludf.DUMMYFUNCTION("""COMPUTED_VALUE"""),"Cost per period")</f>
        <v>Cost per period</v>
      </c>
      <c r="M1009" s="3"/>
      <c r="N1009" s="3"/>
      <c r="O1009" s="3" t="str">
        <f ca="1">IFERROR(__xludf.DUMMYFUNCTION("""COMPUTED_VALUE"""),"640")</f>
        <v>640</v>
      </c>
      <c r="P1009" s="3" t="str">
        <f ca="1">IFERROR(__xludf.DUMMYFUNCTION("""COMPUTED_VALUE"""),"335, 640")</f>
        <v>335, 640</v>
      </c>
      <c r="Q1009" s="3" t="str">
        <f ca="1">IFERROR(__xludf.DUMMYFUNCTION("""COMPUTED_VALUE"""),"640x640 a 640x335 + text + logo")</f>
        <v>640x640 a 640x335 + text + logo</v>
      </c>
      <c r="R1009" s="3"/>
      <c r="S1009" s="3" t="str">
        <f ca="1">IFERROR(__xludf.DUMMYFUNCTION("""COMPUTED_VALUE"""),"45")</f>
        <v>45</v>
      </c>
      <c r="T1009" s="3"/>
      <c r="U1009" s="3" t="str">
        <f ca="1">IFERROR(__xludf.DUMMYFUNCTION("""COMPUTED_VALUE"""),"nativní reklama")</f>
        <v>nativní reklama</v>
      </c>
      <c r="V1009" s="3"/>
      <c r="W1009" s="4" t="str">
        <f ca="1">IFERROR(__xludf.DUMMYFUNCTION("""COMPUTED_VALUE"""),"https://reklama.cncenter.cz/Online/nativni-rectangle-cross-device")</f>
        <v>https://reklama.cncenter.cz/Online/nativni-rectangle-cross-device</v>
      </c>
      <c r="X1009" s="3"/>
      <c r="Y1009" s="3"/>
      <c r="Z1009" s="3" t="str">
        <f ca="1">IFERROR(__xludf.DUMMYFUNCTION("""COMPUTED_VALUE"""),"podklady@cncenter.cz")</f>
        <v>podklady@cncenter.cz</v>
      </c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 t="str">
        <f ca="1">IFERROR(__xludf.DUMMYFUNCTION("""COMPUTED_VALUE"""),"cross-device")</f>
        <v>cross-device</v>
      </c>
      <c r="AO1009" s="3"/>
      <c r="AP1009" s="3"/>
      <c r="AQ1009" s="3"/>
      <c r="AR1009" s="3"/>
      <c r="AS1009" s="3"/>
      <c r="AT1009" s="3"/>
      <c r="AU1009" s="3" t="str">
        <f ca="1">IFERROR(__xludf.DUMMYFUNCTION("""COMPUTED_VALUE"""),"nativní rectangle cross-device")</f>
        <v>nativní rectangle cross-device</v>
      </c>
    </row>
    <row r="1010" spans="1:47" x14ac:dyDescent="0.3">
      <c r="A1010" s="3">
        <f ca="1"/>
        <v>2346826</v>
      </c>
      <c r="B1010" s="3" t="str">
        <f ca="1"/>
        <v>CZECH NEWS CENTER a. s.</v>
      </c>
      <c r="C1010" s="3" t="str">
        <f ca="1">IFERROR(__xludf.DUMMYFUNCTION("""COMPUTED_VALUE"""),"VTM")</f>
        <v>VTM</v>
      </c>
      <c r="D1010" s="4" t="str">
        <f ca="1">IFERROR(__xludf.DUMMYFUNCTION("""COMPUTED_VALUE"""),"https://vtm.zive.cz")</f>
        <v>https://vtm.zive.cz</v>
      </c>
      <c r="E1010" s="3" t="str">
        <f ca="1">IFERROR(__xludf.DUMMYFUNCTION("""COMPUTED_VALUE"""),"celý web")</f>
        <v>celý web</v>
      </c>
      <c r="F1010" s="4" t="str">
        <f ca="1">IFERROR(__xludf.DUMMYFUNCTION("""COMPUTED_VALUE"""),"https://vtm.zive.cz")</f>
        <v>https://vtm.zive.cz</v>
      </c>
      <c r="G1010" s="3" t="str">
        <f ca="1">IFERROR(__xludf.DUMMYFUNCTION("""COMPUTED_VALUE"""),"outstream mid season")</f>
        <v>outstream mid season</v>
      </c>
      <c r="H1010" s="3">
        <f ca="1">IFERROR(__xludf.DUMMYFUNCTION("""COMPUTED_VALUE"""),7)</f>
        <v>7</v>
      </c>
      <c r="I1010" s="5">
        <f ca="1">IFERROR(__xludf.DUMMYFUNCTION("""COMPUTED_VALUE"""),1000)</f>
        <v>1000</v>
      </c>
      <c r="J1010" s="5">
        <f ca="1">IFERROR(__xludf.DUMMYFUNCTION("""COMPUTED_VALUE"""),350)</f>
        <v>350</v>
      </c>
      <c r="K1010" s="3"/>
      <c r="L1010" s="3" t="str">
        <f ca="1">IFERROR(__xludf.DUMMYFUNCTION("""COMPUTED_VALUE"""),"Cost per period")</f>
        <v>Cost per period</v>
      </c>
      <c r="M1010" s="3"/>
      <c r="N1010" s="3"/>
      <c r="O1010" s="3" t="str">
        <f ca="1">IFERROR(__xludf.DUMMYFUNCTION("""COMPUTED_VALUE"""),"1280")</f>
        <v>1280</v>
      </c>
      <c r="P1010" s="3" t="str">
        <f ca="1">IFERROR(__xludf.DUMMYFUNCTION("""COMPUTED_VALUE"""),"720")</f>
        <v>720</v>
      </c>
      <c r="Q1010" s="3" t="str">
        <f ca="1">IFERROR(__xludf.DUMMYFUNCTION("""COMPUTED_VALUE"""),"16:9")</f>
        <v>16:9</v>
      </c>
      <c r="R1010" s="3"/>
      <c r="S1010" s="3" t="str">
        <f ca="1">IFERROR(__xludf.DUMMYFUNCTION("""COMPUTED_VALUE"""),"100")</f>
        <v>100</v>
      </c>
      <c r="T1010" s="3"/>
      <c r="U1010" s="3" t="str">
        <f ca="1">IFERROR(__xludf.DUMMYFUNCTION("""COMPUTED_VALUE"""),"videospot")</f>
        <v>videospot</v>
      </c>
      <c r="V1010" s="3"/>
      <c r="W1010" s="4" t="str">
        <f ca="1">IFERROR(__xludf.DUMMYFUNCTION("""COMPUTED_VALUE"""),"https://reklama.cncenter.cz/Online/Outstream")</f>
        <v>https://reklama.cncenter.cz/Online/Outstream</v>
      </c>
      <c r="X1010" s="3"/>
      <c r="Y1010" s="3"/>
      <c r="Z1010" s="3" t="str">
        <f ca="1">IFERROR(__xludf.DUMMYFUNCTION("""COMPUTED_VALUE"""),"podklady@cncenter.cz")</f>
        <v>podklady@cncenter.cz</v>
      </c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 t="str">
        <f ca="1">IFERROR(__xludf.DUMMYFUNCTION("""COMPUTED_VALUE"""),"cross-device")</f>
        <v>cross-device</v>
      </c>
      <c r="AO1010" s="3"/>
      <c r="AP1010" s="3"/>
      <c r="AQ1010" s="3"/>
      <c r="AR1010" s="3"/>
      <c r="AS1010" s="3"/>
      <c r="AT1010" s="3"/>
      <c r="AU1010" s="3" t="str">
        <f ca="1">IFERROR(__xludf.DUMMYFUNCTION("""COMPUTED_VALUE"""),"outstream")</f>
        <v>outstream</v>
      </c>
    </row>
    <row r="1011" spans="1:47" x14ac:dyDescent="0.3">
      <c r="A1011" s="3">
        <f ca="1"/>
        <v>2346826</v>
      </c>
      <c r="B1011" s="3" t="str">
        <f ca="1"/>
        <v>CZECH NEWS CENTER a. s.</v>
      </c>
      <c r="C1011" s="3" t="str">
        <f ca="1">IFERROR(__xludf.DUMMYFUNCTION("""COMPUTED_VALUE"""),"X profil E15")</f>
        <v>X profil E15</v>
      </c>
      <c r="D1011" s="4" t="str">
        <f ca="1">IFERROR(__xludf.DUMMYFUNCTION("""COMPUTED_VALUE"""),"https://x.com")</f>
        <v>https://x.com</v>
      </c>
      <c r="E1011" s="3" t="str">
        <f ca="1">IFERROR(__xludf.DUMMYFUNCTION("""COMPUTED_VALUE"""),"X")</f>
        <v>X</v>
      </c>
      <c r="F1011" s="4" t="str">
        <f ca="1">IFERROR(__xludf.DUMMYFUNCTION("""COMPUTED_VALUE"""),"https://x.com")</f>
        <v>https://x.com</v>
      </c>
      <c r="G1011" s="3" t="str">
        <f ca="1">IFERROR(__xludf.DUMMYFUNCTION("""COMPUTED_VALUE"""),"X post mid season")</f>
        <v>X post mid season</v>
      </c>
      <c r="H1011" s="3">
        <f ca="1">IFERROR(__xludf.DUMMYFUNCTION("""COMPUTED_VALUE"""),1)</f>
        <v>1</v>
      </c>
      <c r="I1011" s="5">
        <f ca="1">IFERROR(__xludf.DUMMYFUNCTION("""COMPUTED_VALUE"""),1)</f>
        <v>1</v>
      </c>
      <c r="J1011" s="5">
        <f ca="1">IFERROR(__xludf.DUMMYFUNCTION("""COMPUTED_VALUE"""),18000)</f>
        <v>18000</v>
      </c>
      <c r="K1011" s="3"/>
      <c r="L1011" s="3" t="str">
        <f ca="1">IFERROR(__xludf.DUMMYFUNCTION("""COMPUTED_VALUE"""),"Cost per instance")</f>
        <v>Cost per instance</v>
      </c>
      <c r="M1011" s="3"/>
      <c r="N1011" s="3"/>
      <c r="O1011" s="3"/>
      <c r="P1011" s="3"/>
      <c r="Q1011" s="3"/>
      <c r="R1011" s="3"/>
      <c r="S1011" s="3" t="str">
        <f ca="1">IFERROR(__xludf.DUMMYFUNCTION("""COMPUTED_VALUE"""),"100")</f>
        <v>100</v>
      </c>
      <c r="T1011" s="3"/>
      <c r="U1011" s="3" t="str">
        <f ca="1">IFERROR(__xludf.DUMMYFUNCTION("""COMPUTED_VALUE"""),"SoMe X")</f>
        <v>SoMe X</v>
      </c>
      <c r="V1011" s="3"/>
      <c r="W1011" s="3"/>
      <c r="X1011" s="3"/>
      <c r="Y1011" s="3"/>
      <c r="Z1011" s="3" t="str">
        <f ca="1">IFERROR(__xludf.DUMMYFUNCTION("""COMPUTED_VALUE"""),"podklady@cncenter.cz")</f>
        <v>podklady@cncenter.cz</v>
      </c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 t="str">
        <f ca="1">IFERROR(__xludf.DUMMYFUNCTION("""COMPUTED_VALUE"""),"cross-device")</f>
        <v>cross-device</v>
      </c>
      <c r="AO1011" s="3"/>
      <c r="AP1011" s="3"/>
      <c r="AQ1011" s="3"/>
      <c r="AR1011" s="3"/>
      <c r="AS1011" s="3"/>
      <c r="AT1011" s="3"/>
      <c r="AU1011" s="3" t="str">
        <f ca="1">IFERROR(__xludf.DUMMYFUNCTION("""COMPUTED_VALUE"""),"X post")</f>
        <v>X post</v>
      </c>
    </row>
    <row r="1012" spans="1:47" x14ac:dyDescent="0.3">
      <c r="A1012" s="3">
        <f ca="1"/>
        <v>2346826</v>
      </c>
      <c r="B1012" s="3" t="str">
        <f ca="1"/>
        <v>CZECH NEWS CENTER a. s.</v>
      </c>
      <c r="C1012" s="3" t="str">
        <f ca="1">IFERROR(__xludf.DUMMYFUNCTION("""COMPUTED_VALUE"""),"X profil FOMO")</f>
        <v>X profil FOMO</v>
      </c>
      <c r="D1012" s="4" t="str">
        <f ca="1">IFERROR(__xludf.DUMMYFUNCTION("""COMPUTED_VALUE"""),"https://x.com")</f>
        <v>https://x.com</v>
      </c>
      <c r="E1012" s="3" t="str">
        <f ca="1">IFERROR(__xludf.DUMMYFUNCTION("""COMPUTED_VALUE"""),"X")</f>
        <v>X</v>
      </c>
      <c r="F1012" s="4" t="str">
        <f ca="1">IFERROR(__xludf.DUMMYFUNCTION("""COMPUTED_VALUE"""),"https://x.com")</f>
        <v>https://x.com</v>
      </c>
      <c r="G1012" s="3" t="str">
        <f ca="1">IFERROR(__xludf.DUMMYFUNCTION("""COMPUTED_VALUE"""),"X post mid season")</f>
        <v>X post mid season</v>
      </c>
      <c r="H1012" s="3">
        <f ca="1">IFERROR(__xludf.DUMMYFUNCTION("""COMPUTED_VALUE"""),1)</f>
        <v>1</v>
      </c>
      <c r="I1012" s="5">
        <f ca="1">IFERROR(__xludf.DUMMYFUNCTION("""COMPUTED_VALUE"""),1)</f>
        <v>1</v>
      </c>
      <c r="J1012" s="5">
        <f ca="1">IFERROR(__xludf.DUMMYFUNCTION("""COMPUTED_VALUE"""),15000)</f>
        <v>15000</v>
      </c>
      <c r="K1012" s="3"/>
      <c r="L1012" s="3" t="str">
        <f ca="1">IFERROR(__xludf.DUMMYFUNCTION("""COMPUTED_VALUE"""),"Cost per instance")</f>
        <v>Cost per instance</v>
      </c>
      <c r="M1012" s="3"/>
      <c r="N1012" s="3"/>
      <c r="O1012" s="3"/>
      <c r="P1012" s="3"/>
      <c r="Q1012" s="3"/>
      <c r="R1012" s="3"/>
      <c r="S1012" s="3" t="str">
        <f ca="1">IFERROR(__xludf.DUMMYFUNCTION("""COMPUTED_VALUE"""),"100")</f>
        <v>100</v>
      </c>
      <c r="T1012" s="3"/>
      <c r="U1012" s="3" t="str">
        <f ca="1">IFERROR(__xludf.DUMMYFUNCTION("""COMPUTED_VALUE"""),"SoMe X")</f>
        <v>SoMe X</v>
      </c>
      <c r="V1012" s="3"/>
      <c r="W1012" s="3"/>
      <c r="X1012" s="3"/>
      <c r="Y1012" s="3"/>
      <c r="Z1012" s="3" t="str">
        <f ca="1">IFERROR(__xludf.DUMMYFUNCTION("""COMPUTED_VALUE"""),"podklady@cncenter.cz")</f>
        <v>podklady@cncenter.cz</v>
      </c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 t="str">
        <f ca="1">IFERROR(__xludf.DUMMYFUNCTION("""COMPUTED_VALUE"""),"cross-device")</f>
        <v>cross-device</v>
      </c>
      <c r="AO1012" s="3"/>
      <c r="AP1012" s="3"/>
      <c r="AQ1012" s="3"/>
      <c r="AR1012" s="3"/>
      <c r="AS1012" s="3"/>
      <c r="AT1012" s="3"/>
      <c r="AU1012" s="3" t="str">
        <f ca="1">IFERROR(__xludf.DUMMYFUNCTION("""COMPUTED_VALUE"""),"X post")</f>
        <v>X post</v>
      </c>
    </row>
    <row r="1013" spans="1:47" x14ac:dyDescent="0.3">
      <c r="A1013" s="3">
        <f ca="1"/>
        <v>2346826</v>
      </c>
      <c r="B1013" s="3" t="str">
        <f ca="1"/>
        <v>CZECH NEWS CENTER a. s.</v>
      </c>
      <c r="C1013" s="3" t="str">
        <f ca="1">IFERROR(__xludf.DUMMYFUNCTION("""COMPUTED_VALUE"""),"Youradio")</f>
        <v>Youradio</v>
      </c>
      <c r="D1013" s="4" t="str">
        <f ca="1">IFERROR(__xludf.DUMMYFUNCTION("""COMPUTED_VALUE"""),"https://youradio.cz")</f>
        <v>https://youradio.cz</v>
      </c>
      <c r="E1013" s="3" t="str">
        <f ca="1">IFERROR(__xludf.DUMMYFUNCTION("""COMPUTED_VALUE"""),"celý web")</f>
        <v>celý web</v>
      </c>
      <c r="F1013" s="4" t="str">
        <f ca="1">IFERROR(__xludf.DUMMYFUNCTION("""COMPUTED_VALUE"""),"https://youradio.cz")</f>
        <v>https://youradio.cz</v>
      </c>
      <c r="G1013" s="3" t="str">
        <f ca="1">IFERROR(__xludf.DUMMYFUNCTION("""COMPUTED_VALUE"""),"cílený double skyscraper mid season")</f>
        <v>cílený double skyscraper mid season</v>
      </c>
      <c r="H1013" s="3">
        <f ca="1">IFERROR(__xludf.DUMMYFUNCTION("""COMPUTED_VALUE"""),7)</f>
        <v>7</v>
      </c>
      <c r="I1013" s="5">
        <f ca="1">IFERROR(__xludf.DUMMYFUNCTION("""COMPUTED_VALUE"""),1000)</f>
        <v>1000</v>
      </c>
      <c r="J1013" s="5">
        <f ca="1">IFERROR(__xludf.DUMMYFUNCTION("""COMPUTED_VALUE"""),324)</f>
        <v>324</v>
      </c>
      <c r="K1013" s="3"/>
      <c r="L1013" s="3" t="str">
        <f ca="1">IFERROR(__xludf.DUMMYFUNCTION("""COMPUTED_VALUE"""),"Cost per period")</f>
        <v>Cost per period</v>
      </c>
      <c r="M1013" s="3"/>
      <c r="N1013" s="3"/>
      <c r="O1013" s="3" t="str">
        <f ca="1">IFERROR(__xludf.DUMMYFUNCTION("""COMPUTED_VALUE"""),"300")</f>
        <v>300</v>
      </c>
      <c r="P1013" s="3" t="str">
        <f ca="1">IFERROR(__xludf.DUMMYFUNCTION("""COMPUTED_VALUE"""),"600")</f>
        <v>600</v>
      </c>
      <c r="Q1013" s="3" t="str">
        <f ca="1">IFERROR(__xludf.DUMMYFUNCTION("""COMPUTED_VALUE"""),"300x600")</f>
        <v>300x600</v>
      </c>
      <c r="R1013" s="3"/>
      <c r="S1013" s="3" t="str">
        <f ca="1">IFERROR(__xludf.DUMMYFUNCTION("""COMPUTED_VALUE"""),"100 (200 - HTML5)")</f>
        <v>100 (200 - HTML5)</v>
      </c>
      <c r="T1013" s="3"/>
      <c r="U1013" s="3" t="str">
        <f ca="1">IFERROR(__xludf.DUMMYFUNCTION("""COMPUTED_VALUE"""),"banner standard")</f>
        <v>banner standard</v>
      </c>
      <c r="V1013" s="3"/>
      <c r="W1013" s="4" t="str">
        <f ca="1">IFERROR(__xludf.DUMMYFUNCTION("""COMPUTED_VALUE"""),"https://reklama.cncenter.cz/Online/double-skyscraper")</f>
        <v>https://reklama.cncenter.cz/Online/double-skyscraper</v>
      </c>
      <c r="X1013" s="3"/>
      <c r="Y1013" s="3"/>
      <c r="Z1013" s="3" t="str">
        <f ca="1">IFERROR(__xludf.DUMMYFUNCTION("""COMPUTED_VALUE"""),"podklady@cncenter.cz")</f>
        <v>podklady@cncenter.cz</v>
      </c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 t="str">
        <f ca="1">IFERROR(__xludf.DUMMYFUNCTION("""COMPUTED_VALUE"""),"desktop")</f>
        <v>desktop</v>
      </c>
      <c r="AO1013" s="3"/>
      <c r="AP1013" s="3"/>
      <c r="AQ1013" s="3"/>
      <c r="AR1013" s="3"/>
      <c r="AS1013" s="3"/>
      <c r="AT1013" s="3"/>
      <c r="AU1013" s="3" t="str">
        <f ca="1">IFERROR(__xludf.DUMMYFUNCTION("""COMPUTED_VALUE"""),"cílený double skyscraper")</f>
        <v>cílený double skyscraper</v>
      </c>
    </row>
    <row r="1014" spans="1:47" x14ac:dyDescent="0.3">
      <c r="A1014" s="3">
        <f ca="1"/>
        <v>2346826</v>
      </c>
      <c r="B1014" s="3" t="str">
        <f ca="1"/>
        <v>CZECH NEWS CENTER a. s.</v>
      </c>
      <c r="C1014" s="3" t="str">
        <f ca="1">IFERROR(__xludf.DUMMYFUNCTION("""COMPUTED_VALUE"""),"Youradio")</f>
        <v>Youradio</v>
      </c>
      <c r="D1014" s="4" t="str">
        <f ca="1">IFERROR(__xludf.DUMMYFUNCTION("""COMPUTED_VALUE"""),"https://youradio.cz")</f>
        <v>https://youradio.cz</v>
      </c>
      <c r="E1014" s="3" t="str">
        <f ca="1">IFERROR(__xludf.DUMMYFUNCTION("""COMPUTED_VALUE"""),"celý web")</f>
        <v>celý web</v>
      </c>
      <c r="F1014" s="4" t="str">
        <f ca="1">IFERROR(__xludf.DUMMYFUNCTION("""COMPUTED_VALUE"""),"https://youradio.cz")</f>
        <v>https://youradio.cz</v>
      </c>
      <c r="G1014" s="3" t="str">
        <f ca="1">IFERROR(__xludf.DUMMYFUNCTION("""COMPUTED_VALUE"""),"double skyscraper mid season")</f>
        <v>double skyscraper mid season</v>
      </c>
      <c r="H1014" s="3">
        <f ca="1">IFERROR(__xludf.DUMMYFUNCTION("""COMPUTED_VALUE"""),7)</f>
        <v>7</v>
      </c>
      <c r="I1014" s="5">
        <f ca="1">IFERROR(__xludf.DUMMYFUNCTION("""COMPUTED_VALUE"""),1000)</f>
        <v>1000</v>
      </c>
      <c r="J1014" s="5">
        <f ca="1">IFERROR(__xludf.DUMMYFUNCTION("""COMPUTED_VALUE"""),270)</f>
        <v>270</v>
      </c>
      <c r="K1014" s="3"/>
      <c r="L1014" s="3" t="str">
        <f ca="1">IFERROR(__xludf.DUMMYFUNCTION("""COMPUTED_VALUE"""),"Cost per period")</f>
        <v>Cost per period</v>
      </c>
      <c r="M1014" s="3"/>
      <c r="N1014" s="3"/>
      <c r="O1014" s="3" t="str">
        <f ca="1">IFERROR(__xludf.DUMMYFUNCTION("""COMPUTED_VALUE"""),"300")</f>
        <v>300</v>
      </c>
      <c r="P1014" s="3" t="str">
        <f ca="1">IFERROR(__xludf.DUMMYFUNCTION("""COMPUTED_VALUE"""),"600")</f>
        <v>600</v>
      </c>
      <c r="Q1014" s="3" t="str">
        <f ca="1">IFERROR(__xludf.DUMMYFUNCTION("""COMPUTED_VALUE"""),"300x600")</f>
        <v>300x600</v>
      </c>
      <c r="R1014" s="3"/>
      <c r="S1014" s="3" t="str">
        <f ca="1">IFERROR(__xludf.DUMMYFUNCTION("""COMPUTED_VALUE"""),"100 (200 - HTML5)")</f>
        <v>100 (200 - HTML5)</v>
      </c>
      <c r="T1014" s="3"/>
      <c r="U1014" s="3" t="str">
        <f ca="1">IFERROR(__xludf.DUMMYFUNCTION("""COMPUTED_VALUE"""),"banner standard")</f>
        <v>banner standard</v>
      </c>
      <c r="V1014" s="3"/>
      <c r="W1014" s="4" t="str">
        <f ca="1">IFERROR(__xludf.DUMMYFUNCTION("""COMPUTED_VALUE"""),"https://reklama.cncenter.cz/Online/double-skyscraper")</f>
        <v>https://reklama.cncenter.cz/Online/double-skyscraper</v>
      </c>
      <c r="X1014" s="3"/>
      <c r="Y1014" s="3"/>
      <c r="Z1014" s="3" t="str">
        <f ca="1">IFERROR(__xludf.DUMMYFUNCTION("""COMPUTED_VALUE"""),"podklady@cncenter.cz")</f>
        <v>podklady@cncenter.cz</v>
      </c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 t="str">
        <f ca="1">IFERROR(__xludf.DUMMYFUNCTION("""COMPUTED_VALUE"""),"desktop")</f>
        <v>desktop</v>
      </c>
      <c r="AO1014" s="3"/>
      <c r="AP1014" s="3"/>
      <c r="AQ1014" s="3"/>
      <c r="AR1014" s="3"/>
      <c r="AS1014" s="3"/>
      <c r="AT1014" s="3"/>
      <c r="AU1014" s="3" t="str">
        <f ca="1">IFERROR(__xludf.DUMMYFUNCTION("""COMPUTED_VALUE"""),"double skyscraper")</f>
        <v>double skyscraper</v>
      </c>
    </row>
    <row r="1015" spans="1:47" x14ac:dyDescent="0.3">
      <c r="A1015" s="3">
        <f ca="1"/>
        <v>2346826</v>
      </c>
      <c r="B1015" s="3" t="str">
        <f ca="1"/>
        <v>CZECH NEWS CENTER a. s.</v>
      </c>
      <c r="C1015" s="3" t="str">
        <f ca="1">IFERROR(__xludf.DUMMYFUNCTION("""COMPUTED_VALUE"""),"Ženy")</f>
        <v>Ženy</v>
      </c>
      <c r="D1015" s="4" t="str">
        <f ca="1">IFERROR(__xludf.DUMMYFUNCTION("""COMPUTED_VALUE"""),"https://zeny.cz")</f>
        <v>https://zeny.cz</v>
      </c>
      <c r="E1015" s="3" t="str">
        <f ca="1">IFERROR(__xludf.DUMMYFUNCTION("""COMPUTED_VALUE"""),"celý web")</f>
        <v>celý web</v>
      </c>
      <c r="F1015" s="4" t="str">
        <f ca="1">IFERROR(__xludf.DUMMYFUNCTION("""COMPUTED_VALUE"""),"https://zeny.cz")</f>
        <v>https://zeny.cz</v>
      </c>
      <c r="G1015" s="3" t="str">
        <f ca="1">IFERROR(__xludf.DUMMYFUNCTION("""COMPUTED_VALUE"""),"Advertorial mid season")</f>
        <v>Advertorial mid season</v>
      </c>
      <c r="H1015" s="3">
        <f ca="1">IFERROR(__xludf.DUMMYFUNCTION("""COMPUTED_VALUE"""),1)</f>
        <v>1</v>
      </c>
      <c r="I1015" s="5">
        <f ca="1">IFERROR(__xludf.DUMMYFUNCTION("""COMPUTED_VALUE"""),1)</f>
        <v>1</v>
      </c>
      <c r="J1015" s="5">
        <f ca="1">IFERROR(__xludf.DUMMYFUNCTION("""COMPUTED_VALUE"""),90000)</f>
        <v>90000</v>
      </c>
      <c r="K1015" s="3"/>
      <c r="L1015" s="3" t="str">
        <f ca="1">IFERROR(__xludf.DUMMYFUNCTION("""COMPUTED_VALUE"""),"Cost per instance")</f>
        <v>Cost per instance</v>
      </c>
      <c r="M1015" s="3"/>
      <c r="N1015" s="3"/>
      <c r="O1015" s="3"/>
      <c r="P1015" s="3"/>
      <c r="Q1015" s="3"/>
      <c r="R1015" s="3"/>
      <c r="S1015" s="3" t="str">
        <f ca="1">IFERROR(__xludf.DUMMYFUNCTION("""COMPUTED_VALUE"""),"100")</f>
        <v>100</v>
      </c>
      <c r="T1015" s="3"/>
      <c r="U1015" s="3" t="str">
        <f ca="1">IFERROR(__xludf.DUMMYFUNCTION("""COMPUTED_VALUE"""),"pr článek")</f>
        <v>pr článek</v>
      </c>
      <c r="V1015" s="3"/>
      <c r="W1015" s="3"/>
      <c r="X1015" s="3"/>
      <c r="Y1015" s="3"/>
      <c r="Z1015" s="3" t="str">
        <f ca="1">IFERROR(__xludf.DUMMYFUNCTION("""COMPUTED_VALUE"""),"podklady@cncenter.cz")</f>
        <v>podklady@cncenter.cz</v>
      </c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 t="str">
        <f ca="1">IFERROR(__xludf.DUMMYFUNCTION("""COMPUTED_VALUE"""),"cross-device")</f>
        <v>cross-device</v>
      </c>
      <c r="AO1015" s="3"/>
      <c r="AP1015" s="3"/>
      <c r="AQ1015" s="3"/>
      <c r="AR1015" s="3"/>
      <c r="AS1015" s="3"/>
      <c r="AT1015" s="3"/>
      <c r="AU1015" s="3" t="str">
        <f ca="1">IFERROR(__xludf.DUMMYFUNCTION("""COMPUTED_VALUE"""),"Advertorial")</f>
        <v>Advertorial</v>
      </c>
    </row>
    <row r="1016" spans="1:47" x14ac:dyDescent="0.3">
      <c r="A1016" s="3">
        <f ca="1"/>
        <v>2346826</v>
      </c>
      <c r="B1016" s="3" t="str">
        <f ca="1"/>
        <v>CZECH NEWS CENTER a. s.</v>
      </c>
      <c r="C1016" s="3" t="str">
        <f ca="1">IFERROR(__xludf.DUMMYFUNCTION("""COMPUTED_VALUE"""),"Ženy")</f>
        <v>Ženy</v>
      </c>
      <c r="D1016" s="4" t="str">
        <f ca="1">IFERROR(__xludf.DUMMYFUNCTION("""COMPUTED_VALUE"""),"https://zeny.cz")</f>
        <v>https://zeny.cz</v>
      </c>
      <c r="E1016" s="3" t="str">
        <f ca="1">IFERROR(__xludf.DUMMYFUNCTION("""COMPUTED_VALUE"""),"celý web")</f>
        <v>celý web</v>
      </c>
      <c r="F1016" s="4" t="str">
        <f ca="1">IFERROR(__xludf.DUMMYFUNCTION("""COMPUTED_VALUE"""),"https://zeny.cz")</f>
        <v>https://zeny.cz</v>
      </c>
      <c r="G1016" s="3" t="str">
        <f ca="1">IFERROR(__xludf.DUMMYFUNCTION("""COMPUTED_VALUE"""),"billboard bottom mid season")</f>
        <v>billboard bottom mid season</v>
      </c>
      <c r="H1016" s="3">
        <f ca="1">IFERROR(__xludf.DUMMYFUNCTION("""COMPUTED_VALUE"""),7)</f>
        <v>7</v>
      </c>
      <c r="I1016" s="5">
        <f ca="1">IFERROR(__xludf.DUMMYFUNCTION("""COMPUTED_VALUE"""),1000)</f>
        <v>1000</v>
      </c>
      <c r="J1016" s="5">
        <f ca="1">IFERROR(__xludf.DUMMYFUNCTION("""COMPUTED_VALUE"""),340)</f>
        <v>340</v>
      </c>
      <c r="K1016" s="3"/>
      <c r="L1016" s="3" t="str">
        <f ca="1">IFERROR(__xludf.DUMMYFUNCTION("""COMPUTED_VALUE"""),"Cost per period")</f>
        <v>Cost per period</v>
      </c>
      <c r="M1016" s="3"/>
      <c r="N1016" s="3"/>
      <c r="O1016" s="3" t="str">
        <f ca="1">IFERROR(__xludf.DUMMYFUNCTION("""COMPUTED_VALUE"""),"970")</f>
        <v>970</v>
      </c>
      <c r="P1016" s="3" t="str">
        <f ca="1">IFERROR(__xludf.DUMMYFUNCTION("""COMPUTED_VALUE"""),"250")</f>
        <v>250</v>
      </c>
      <c r="Q1016" s="3" t="str">
        <f ca="1">IFERROR(__xludf.DUMMYFUNCTION("""COMPUTED_VALUE"""),"970x250")</f>
        <v>970x250</v>
      </c>
      <c r="R1016" s="3"/>
      <c r="S1016" s="3" t="str">
        <f ca="1">IFERROR(__xludf.DUMMYFUNCTION("""COMPUTED_VALUE"""),"100 (200 - HTML5)")</f>
        <v>100 (200 - HTML5)</v>
      </c>
      <c r="T1016" s="3"/>
      <c r="U1016" s="3" t="str">
        <f ca="1">IFERROR(__xludf.DUMMYFUNCTION("""COMPUTED_VALUE"""),"banner standard")</f>
        <v>banner standard</v>
      </c>
      <c r="V1016" s="3"/>
      <c r="W1016" s="4" t="str">
        <f ca="1">IFERROR(__xludf.DUMMYFUNCTION("""COMPUTED_VALUE"""),"https://reklama.cncenter.cz/Online/billboard-bottom")</f>
        <v>https://reklama.cncenter.cz/Online/billboard-bottom</v>
      </c>
      <c r="X1016" s="3"/>
      <c r="Y1016" s="3"/>
      <c r="Z1016" s="3" t="str">
        <f ca="1">IFERROR(__xludf.DUMMYFUNCTION("""COMPUTED_VALUE"""),"podklady@cncenter.cz")</f>
        <v>podklady@cncenter.cz</v>
      </c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 t="str">
        <f ca="1">IFERROR(__xludf.DUMMYFUNCTION("""COMPUTED_VALUE"""),"desktop")</f>
        <v>desktop</v>
      </c>
      <c r="AO1016" s="3"/>
      <c r="AP1016" s="3"/>
      <c r="AQ1016" s="3"/>
      <c r="AR1016" s="3"/>
      <c r="AS1016" s="3"/>
      <c r="AT1016" s="3"/>
      <c r="AU1016" s="3" t="str">
        <f ca="1">IFERROR(__xludf.DUMMYFUNCTION("""COMPUTED_VALUE"""),"billboard bottom")</f>
        <v>billboard bottom</v>
      </c>
    </row>
    <row r="1017" spans="1:47" x14ac:dyDescent="0.3">
      <c r="A1017" s="3">
        <f ca="1"/>
        <v>2346826</v>
      </c>
      <c r="B1017" s="3" t="str">
        <f ca="1"/>
        <v>CZECH NEWS CENTER a. s.</v>
      </c>
      <c r="C1017" s="3" t="str">
        <f ca="1">IFERROR(__xludf.DUMMYFUNCTION("""COMPUTED_VALUE"""),"Ženy")</f>
        <v>Ženy</v>
      </c>
      <c r="D1017" s="4" t="str">
        <f ca="1">IFERROR(__xludf.DUMMYFUNCTION("""COMPUTED_VALUE"""),"https://zeny.cz")</f>
        <v>https://zeny.cz</v>
      </c>
      <c r="E1017" s="3" t="str">
        <f ca="1">IFERROR(__xludf.DUMMYFUNCTION("""COMPUTED_VALUE"""),"celý web")</f>
        <v>celý web</v>
      </c>
      <c r="F1017" s="4" t="str">
        <f ca="1">IFERROR(__xludf.DUMMYFUNCTION("""COMPUTED_VALUE"""),"https://zeny.cz")</f>
        <v>https://zeny.cz</v>
      </c>
      <c r="G1017" s="3" t="str">
        <f ca="1">IFERROR(__xludf.DUMMYFUNCTION("""COMPUTED_VALUE"""),"branding cross-device mid season")</f>
        <v>branding cross-device mid season</v>
      </c>
      <c r="H1017" s="3">
        <f ca="1">IFERROR(__xludf.DUMMYFUNCTION("""COMPUTED_VALUE"""),7)</f>
        <v>7</v>
      </c>
      <c r="I1017" s="5">
        <f ca="1">IFERROR(__xludf.DUMMYFUNCTION("""COMPUTED_VALUE"""),1000)</f>
        <v>1000</v>
      </c>
      <c r="J1017" s="5">
        <f ca="1">IFERROR(__xludf.DUMMYFUNCTION("""COMPUTED_VALUE"""),420)</f>
        <v>420</v>
      </c>
      <c r="K1017" s="3"/>
      <c r="L1017" s="3" t="str">
        <f ca="1">IFERROR(__xludf.DUMMYFUNCTION("""COMPUTED_VALUE"""),"Cost per period")</f>
        <v>Cost per period</v>
      </c>
      <c r="M1017" s="3"/>
      <c r="N1017" s="3"/>
      <c r="O1017" s="3" t="str">
        <f ca="1">IFERROR(__xludf.DUMMYFUNCTION("""COMPUTED_VALUE"""),"2000")</f>
        <v>2000</v>
      </c>
      <c r="P1017" s="3" t="str">
        <f ca="1">IFERROR(__xludf.DUMMYFUNCTION("""COMPUTED_VALUE"""),"1400")</f>
        <v>1400</v>
      </c>
      <c r="Q1017" s="3" t="str">
        <f ca="1">IFERROR(__xludf.DUMMYFUNCTION("""COMPUTED_VALUE"""),"2000x1400 + 600x1080")</f>
        <v>2000x1400 + 600x1080</v>
      </c>
      <c r="R1017" s="3"/>
      <c r="S1017" s="3" t="str">
        <f ca="1">IFERROR(__xludf.DUMMYFUNCTION("""COMPUTED_VALUE"""),"500 (600 - HTLM5)")</f>
        <v>500 (600 - HTLM5)</v>
      </c>
      <c r="T1017" s="3"/>
      <c r="U1017" s="3" t="str">
        <f ca="1">IFERROR(__xludf.DUMMYFUNCTION("""COMPUTED_VALUE"""),"banner standard")</f>
        <v>banner standard</v>
      </c>
      <c r="V1017" s="3"/>
      <c r="W1017" s="4" t="str">
        <f ca="1">IFERROR(__xludf.DUMMYFUNCTION("""COMPUTED_VALUE"""),"https://reklama.cncenter.cz/Online/branding-cross-device")</f>
        <v>https://reklama.cncenter.cz/Online/branding-cross-device</v>
      </c>
      <c r="X1017" s="3"/>
      <c r="Y1017" s="3"/>
      <c r="Z1017" s="3" t="str">
        <f ca="1">IFERROR(__xludf.DUMMYFUNCTION("""COMPUTED_VALUE"""),"podklady@cncenter.cz")</f>
        <v>podklady@cncenter.cz</v>
      </c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 t="str">
        <f ca="1">IFERROR(__xludf.DUMMYFUNCTION("""COMPUTED_VALUE"""),"cross-device")</f>
        <v>cross-device</v>
      </c>
      <c r="AO1017" s="3"/>
      <c r="AP1017" s="3"/>
      <c r="AQ1017" s="3"/>
      <c r="AR1017" s="3"/>
      <c r="AS1017" s="3"/>
      <c r="AT1017" s="3"/>
      <c r="AU1017" s="3" t="str">
        <f ca="1">IFERROR(__xludf.DUMMYFUNCTION("""COMPUTED_VALUE"""),"branding cross-device")</f>
        <v>branding cross-device</v>
      </c>
    </row>
    <row r="1018" spans="1:47" x14ac:dyDescent="0.3">
      <c r="A1018" s="3">
        <f ca="1"/>
        <v>2346826</v>
      </c>
      <c r="B1018" s="3" t="str">
        <f ca="1"/>
        <v>CZECH NEWS CENTER a. s.</v>
      </c>
      <c r="C1018" s="3" t="str">
        <f ca="1">IFERROR(__xludf.DUMMYFUNCTION("""COMPUTED_VALUE"""),"Ženy")</f>
        <v>Ženy</v>
      </c>
      <c r="D1018" s="4" t="str">
        <f ca="1">IFERROR(__xludf.DUMMYFUNCTION("""COMPUTED_VALUE"""),"https://zeny.cz")</f>
        <v>https://zeny.cz</v>
      </c>
      <c r="E1018" s="3" t="str">
        <f ca="1">IFERROR(__xludf.DUMMYFUNCTION("""COMPUTED_VALUE"""),"celý web")</f>
        <v>celý web</v>
      </c>
      <c r="F1018" s="4" t="str">
        <f ca="1">IFERROR(__xludf.DUMMYFUNCTION("""COMPUTED_VALUE"""),"https://zeny.cz")</f>
        <v>https://zeny.cz</v>
      </c>
      <c r="G1018" s="3" t="str">
        <f ca="1">IFERROR(__xludf.DUMMYFUNCTION("""COMPUTED_VALUE"""),"branding mid season")</f>
        <v>branding mid season</v>
      </c>
      <c r="H1018" s="3">
        <f ca="1">IFERROR(__xludf.DUMMYFUNCTION("""COMPUTED_VALUE"""),7)</f>
        <v>7</v>
      </c>
      <c r="I1018" s="5">
        <f ca="1">IFERROR(__xludf.DUMMYFUNCTION("""COMPUTED_VALUE"""),1000)</f>
        <v>1000</v>
      </c>
      <c r="J1018" s="5">
        <f ca="1">IFERROR(__xludf.DUMMYFUNCTION("""COMPUTED_VALUE"""),690)</f>
        <v>690</v>
      </c>
      <c r="K1018" s="3"/>
      <c r="L1018" s="3" t="str">
        <f ca="1">IFERROR(__xludf.DUMMYFUNCTION("""COMPUTED_VALUE"""),"Cost per period")</f>
        <v>Cost per period</v>
      </c>
      <c r="M1018" s="3"/>
      <c r="N1018" s="3"/>
      <c r="O1018" s="3" t="str">
        <f ca="1">IFERROR(__xludf.DUMMYFUNCTION("""COMPUTED_VALUE"""),"2000")</f>
        <v>2000</v>
      </c>
      <c r="P1018" s="3" t="str">
        <f ca="1">IFERROR(__xludf.DUMMYFUNCTION("""COMPUTED_VALUE"""),"1400")</f>
        <v>1400</v>
      </c>
      <c r="Q1018" s="3" t="str">
        <f ca="1">IFERROR(__xludf.DUMMYFUNCTION("""COMPUTED_VALUE"""),"2000x1400")</f>
        <v>2000x1400</v>
      </c>
      <c r="R1018" s="3"/>
      <c r="S1018" s="3" t="str">
        <f ca="1">IFERROR(__xludf.DUMMYFUNCTION("""COMPUTED_VALUE"""),"500 + 200 (600+200 HTML5)")</f>
        <v>500 + 200 (600+200 HTML5)</v>
      </c>
      <c r="T1018" s="3"/>
      <c r="U1018" s="3" t="str">
        <f ca="1">IFERROR(__xludf.DUMMYFUNCTION("""COMPUTED_VALUE"""),"banner standard")</f>
        <v>banner standard</v>
      </c>
      <c r="V1018" s="3"/>
      <c r="W1018" s="4" t="str">
        <f ca="1">IFERROR(__xludf.DUMMYFUNCTION("""COMPUTED_VALUE"""),"https://reklama.cncenter.cz/Online/branding")</f>
        <v>https://reklama.cncenter.cz/Online/branding</v>
      </c>
      <c r="X1018" s="3"/>
      <c r="Y1018" s="3"/>
      <c r="Z1018" s="3" t="str">
        <f ca="1">IFERROR(__xludf.DUMMYFUNCTION("""COMPUTED_VALUE"""),"podklady@cncenter.cz")</f>
        <v>podklady@cncenter.cz</v>
      </c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 t="str">
        <f ca="1">IFERROR(__xludf.DUMMYFUNCTION("""COMPUTED_VALUE"""),"desktop")</f>
        <v>desktop</v>
      </c>
      <c r="AO1018" s="3"/>
      <c r="AP1018" s="3"/>
      <c r="AQ1018" s="3"/>
      <c r="AR1018" s="3"/>
      <c r="AS1018" s="3"/>
      <c r="AT1018" s="3"/>
      <c r="AU1018" s="3" t="str">
        <f ca="1">IFERROR(__xludf.DUMMYFUNCTION("""COMPUTED_VALUE"""),"branding")</f>
        <v>branding</v>
      </c>
    </row>
    <row r="1019" spans="1:47" x14ac:dyDescent="0.3">
      <c r="A1019" s="3">
        <f ca="1"/>
        <v>2346826</v>
      </c>
      <c r="B1019" s="3" t="str">
        <f ca="1"/>
        <v>CZECH NEWS CENTER a. s.</v>
      </c>
      <c r="C1019" s="3" t="str">
        <f ca="1">IFERROR(__xludf.DUMMYFUNCTION("""COMPUTED_VALUE"""),"Ženy")</f>
        <v>Ženy</v>
      </c>
      <c r="D1019" s="4" t="str">
        <f ca="1">IFERROR(__xludf.DUMMYFUNCTION("""COMPUTED_VALUE"""),"https://zeny.cz")</f>
        <v>https://zeny.cz</v>
      </c>
      <c r="E1019" s="3" t="str">
        <f ca="1">IFERROR(__xludf.DUMMYFUNCTION("""COMPUTED_VALUE"""),"celý web")</f>
        <v>celý web</v>
      </c>
      <c r="F1019" s="4" t="str">
        <f ca="1">IFERROR(__xludf.DUMMYFUNCTION("""COMPUTED_VALUE"""),"https://zeny.cz")</f>
        <v>https://zeny.cz</v>
      </c>
      <c r="G1019" s="3" t="str">
        <f ca="1">IFERROR(__xludf.DUMMYFUNCTION("""COMPUTED_VALUE"""),"cílený billboard bottom mid season")</f>
        <v>cílený billboard bottom mid season</v>
      </c>
      <c r="H1019" s="3">
        <f ca="1">IFERROR(__xludf.DUMMYFUNCTION("""COMPUTED_VALUE"""),7)</f>
        <v>7</v>
      </c>
      <c r="I1019" s="5">
        <f ca="1">IFERROR(__xludf.DUMMYFUNCTION("""COMPUTED_VALUE"""),1000)</f>
        <v>1000</v>
      </c>
      <c r="J1019" s="5">
        <f ca="1">IFERROR(__xludf.DUMMYFUNCTION("""COMPUTED_VALUE"""),408)</f>
        <v>408</v>
      </c>
      <c r="K1019" s="3"/>
      <c r="L1019" s="3" t="str">
        <f ca="1">IFERROR(__xludf.DUMMYFUNCTION("""COMPUTED_VALUE"""),"Cost per period")</f>
        <v>Cost per period</v>
      </c>
      <c r="M1019" s="3"/>
      <c r="N1019" s="3"/>
      <c r="O1019" s="3" t="str">
        <f ca="1">IFERROR(__xludf.DUMMYFUNCTION("""COMPUTED_VALUE"""),"970")</f>
        <v>970</v>
      </c>
      <c r="P1019" s="3" t="str">
        <f ca="1">IFERROR(__xludf.DUMMYFUNCTION("""COMPUTED_VALUE"""),"250")</f>
        <v>250</v>
      </c>
      <c r="Q1019" s="3" t="str">
        <f ca="1">IFERROR(__xludf.DUMMYFUNCTION("""COMPUTED_VALUE"""),"970x250")</f>
        <v>970x250</v>
      </c>
      <c r="R1019" s="3"/>
      <c r="S1019" s="3" t="str">
        <f ca="1">IFERROR(__xludf.DUMMYFUNCTION("""COMPUTED_VALUE"""),"100 (200 - HTML5)")</f>
        <v>100 (200 - HTML5)</v>
      </c>
      <c r="T1019" s="3"/>
      <c r="U1019" s="3" t="str">
        <f ca="1">IFERROR(__xludf.DUMMYFUNCTION("""COMPUTED_VALUE"""),"banner standard")</f>
        <v>banner standard</v>
      </c>
      <c r="V1019" s="3"/>
      <c r="W1019" s="4" t="str">
        <f ca="1">IFERROR(__xludf.DUMMYFUNCTION("""COMPUTED_VALUE"""),"https://reklama.cncenter.cz/Online/billboard-bottom")</f>
        <v>https://reklama.cncenter.cz/Online/billboard-bottom</v>
      </c>
      <c r="X1019" s="3"/>
      <c r="Y1019" s="3"/>
      <c r="Z1019" s="3" t="str">
        <f ca="1">IFERROR(__xludf.DUMMYFUNCTION("""COMPUTED_VALUE"""),"podklady@cncenter.cz")</f>
        <v>podklady@cncenter.cz</v>
      </c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 t="str">
        <f ca="1">IFERROR(__xludf.DUMMYFUNCTION("""COMPUTED_VALUE"""),"desktop")</f>
        <v>desktop</v>
      </c>
      <c r="AO1019" s="3"/>
      <c r="AP1019" s="3"/>
      <c r="AQ1019" s="3"/>
      <c r="AR1019" s="3"/>
      <c r="AS1019" s="3"/>
      <c r="AT1019" s="3"/>
      <c r="AU1019" s="3" t="str">
        <f ca="1">IFERROR(__xludf.DUMMYFUNCTION("""COMPUTED_VALUE"""),"cílený billboard bottom")</f>
        <v>cílený billboard bottom</v>
      </c>
    </row>
    <row r="1020" spans="1:47" x14ac:dyDescent="0.3">
      <c r="A1020" s="3">
        <f ca="1"/>
        <v>2346826</v>
      </c>
      <c r="B1020" s="3" t="str">
        <f ca="1"/>
        <v>CZECH NEWS CENTER a. s.</v>
      </c>
      <c r="C1020" s="3" t="str">
        <f ca="1">IFERROR(__xludf.DUMMYFUNCTION("""COMPUTED_VALUE"""),"Ženy")</f>
        <v>Ženy</v>
      </c>
      <c r="D1020" s="4" t="str">
        <f ca="1">IFERROR(__xludf.DUMMYFUNCTION("""COMPUTED_VALUE"""),"https://zeny.cz")</f>
        <v>https://zeny.cz</v>
      </c>
      <c r="E1020" s="3" t="str">
        <f ca="1">IFERROR(__xludf.DUMMYFUNCTION("""COMPUTED_VALUE"""),"celý web")</f>
        <v>celý web</v>
      </c>
      <c r="F1020" s="4" t="str">
        <f ca="1">IFERROR(__xludf.DUMMYFUNCTION("""COMPUTED_VALUE"""),"https://zeny.cz")</f>
        <v>https://zeny.cz</v>
      </c>
      <c r="G1020" s="3" t="str">
        <f ca="1">IFERROR(__xludf.DUMMYFUNCTION("""COMPUTED_VALUE"""),"cílený branding cross-device mid season")</f>
        <v>cílený branding cross-device mid season</v>
      </c>
      <c r="H1020" s="3">
        <f ca="1">IFERROR(__xludf.DUMMYFUNCTION("""COMPUTED_VALUE"""),7)</f>
        <v>7</v>
      </c>
      <c r="I1020" s="5">
        <f ca="1">IFERROR(__xludf.DUMMYFUNCTION("""COMPUTED_VALUE"""),1000)</f>
        <v>1000</v>
      </c>
      <c r="J1020" s="5">
        <f ca="1">IFERROR(__xludf.DUMMYFUNCTION("""COMPUTED_VALUE"""),504)</f>
        <v>504</v>
      </c>
      <c r="K1020" s="3"/>
      <c r="L1020" s="3" t="str">
        <f ca="1">IFERROR(__xludf.DUMMYFUNCTION("""COMPUTED_VALUE"""),"Cost per period")</f>
        <v>Cost per period</v>
      </c>
      <c r="M1020" s="3"/>
      <c r="N1020" s="3"/>
      <c r="O1020" s="3" t="str">
        <f ca="1">IFERROR(__xludf.DUMMYFUNCTION("""COMPUTED_VALUE"""),"2000")</f>
        <v>2000</v>
      </c>
      <c r="P1020" s="3" t="str">
        <f ca="1">IFERROR(__xludf.DUMMYFUNCTION("""COMPUTED_VALUE"""),"1400")</f>
        <v>1400</v>
      </c>
      <c r="Q1020" s="3" t="str">
        <f ca="1">IFERROR(__xludf.DUMMYFUNCTION("""COMPUTED_VALUE"""),"2000x1400 + 600x1080")</f>
        <v>2000x1400 + 600x1080</v>
      </c>
      <c r="R1020" s="3"/>
      <c r="S1020" s="3" t="str">
        <f ca="1">IFERROR(__xludf.DUMMYFUNCTION("""COMPUTED_VALUE"""),"500 (600 - HTLM5)")</f>
        <v>500 (600 - HTLM5)</v>
      </c>
      <c r="T1020" s="3"/>
      <c r="U1020" s="3" t="str">
        <f ca="1">IFERROR(__xludf.DUMMYFUNCTION("""COMPUTED_VALUE"""),"banner standard")</f>
        <v>banner standard</v>
      </c>
      <c r="V1020" s="3"/>
      <c r="W1020" s="4" t="str">
        <f ca="1">IFERROR(__xludf.DUMMYFUNCTION("""COMPUTED_VALUE"""),"https://reklama.cncenter.cz/Online/branding-cross-device")</f>
        <v>https://reklama.cncenter.cz/Online/branding-cross-device</v>
      </c>
      <c r="X1020" s="3"/>
      <c r="Y1020" s="3"/>
      <c r="Z1020" s="3" t="str">
        <f ca="1">IFERROR(__xludf.DUMMYFUNCTION("""COMPUTED_VALUE"""),"podklady@cncenter.cz")</f>
        <v>podklady@cncenter.cz</v>
      </c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 t="str">
        <f ca="1">IFERROR(__xludf.DUMMYFUNCTION("""COMPUTED_VALUE"""),"cross-device")</f>
        <v>cross-device</v>
      </c>
      <c r="AO1020" s="3"/>
      <c r="AP1020" s="3"/>
      <c r="AQ1020" s="3"/>
      <c r="AR1020" s="3"/>
      <c r="AS1020" s="3"/>
      <c r="AT1020" s="3"/>
      <c r="AU1020" s="3" t="str">
        <f ca="1">IFERROR(__xludf.DUMMYFUNCTION("""COMPUTED_VALUE"""),"cílený branding cross-device")</f>
        <v>cílený branding cross-device</v>
      </c>
    </row>
    <row r="1021" spans="1:47" x14ac:dyDescent="0.3">
      <c r="A1021" s="3">
        <f ca="1"/>
        <v>2346826</v>
      </c>
      <c r="B1021" s="3" t="str">
        <f ca="1"/>
        <v>CZECH NEWS CENTER a. s.</v>
      </c>
      <c r="C1021" s="3" t="str">
        <f ca="1">IFERROR(__xludf.DUMMYFUNCTION("""COMPUTED_VALUE"""),"Ženy")</f>
        <v>Ženy</v>
      </c>
      <c r="D1021" s="4" t="str">
        <f ca="1">IFERROR(__xludf.DUMMYFUNCTION("""COMPUTED_VALUE"""),"https://zeny.cz")</f>
        <v>https://zeny.cz</v>
      </c>
      <c r="E1021" s="3" t="str">
        <f ca="1">IFERROR(__xludf.DUMMYFUNCTION("""COMPUTED_VALUE"""),"celý web")</f>
        <v>celý web</v>
      </c>
      <c r="F1021" s="4" t="str">
        <f ca="1">IFERROR(__xludf.DUMMYFUNCTION("""COMPUTED_VALUE"""),"https://zeny.cz")</f>
        <v>https://zeny.cz</v>
      </c>
      <c r="G1021" s="3" t="str">
        <f ca="1">IFERROR(__xludf.DUMMYFUNCTION("""COMPUTED_VALUE"""),"cílený branding mid season")</f>
        <v>cílený branding mid season</v>
      </c>
      <c r="H1021" s="3">
        <f ca="1">IFERROR(__xludf.DUMMYFUNCTION("""COMPUTED_VALUE"""),7)</f>
        <v>7</v>
      </c>
      <c r="I1021" s="5">
        <f ca="1">IFERROR(__xludf.DUMMYFUNCTION("""COMPUTED_VALUE"""),1000)</f>
        <v>1000</v>
      </c>
      <c r="J1021" s="5">
        <f ca="1">IFERROR(__xludf.DUMMYFUNCTION("""COMPUTED_VALUE"""),828)</f>
        <v>828</v>
      </c>
      <c r="K1021" s="3"/>
      <c r="L1021" s="3" t="str">
        <f ca="1">IFERROR(__xludf.DUMMYFUNCTION("""COMPUTED_VALUE"""),"Cost per period")</f>
        <v>Cost per period</v>
      </c>
      <c r="M1021" s="3"/>
      <c r="N1021" s="3"/>
      <c r="O1021" s="3" t="str">
        <f ca="1">IFERROR(__xludf.DUMMYFUNCTION("""COMPUTED_VALUE"""),"2000")</f>
        <v>2000</v>
      </c>
      <c r="P1021" s="3" t="str">
        <f ca="1">IFERROR(__xludf.DUMMYFUNCTION("""COMPUTED_VALUE"""),"1400")</f>
        <v>1400</v>
      </c>
      <c r="Q1021" s="3" t="str">
        <f ca="1">IFERROR(__xludf.DUMMYFUNCTION("""COMPUTED_VALUE"""),"2000x1400")</f>
        <v>2000x1400</v>
      </c>
      <c r="R1021" s="3"/>
      <c r="S1021" s="3" t="str">
        <f ca="1">IFERROR(__xludf.DUMMYFUNCTION("""COMPUTED_VALUE"""),"500 + 200 (600+200 HTML5)")</f>
        <v>500 + 200 (600+200 HTML5)</v>
      </c>
      <c r="T1021" s="3"/>
      <c r="U1021" s="3" t="str">
        <f ca="1">IFERROR(__xludf.DUMMYFUNCTION("""COMPUTED_VALUE"""),"banner standard")</f>
        <v>banner standard</v>
      </c>
      <c r="V1021" s="3"/>
      <c r="W1021" s="4" t="str">
        <f ca="1">IFERROR(__xludf.DUMMYFUNCTION("""COMPUTED_VALUE"""),"https://reklama.cncenter.cz/Online/branding")</f>
        <v>https://reklama.cncenter.cz/Online/branding</v>
      </c>
      <c r="X1021" s="3"/>
      <c r="Y1021" s="3"/>
      <c r="Z1021" s="3" t="str">
        <f ca="1">IFERROR(__xludf.DUMMYFUNCTION("""COMPUTED_VALUE"""),"podklady@cncenter.cz")</f>
        <v>podklady@cncenter.cz</v>
      </c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 t="str">
        <f ca="1">IFERROR(__xludf.DUMMYFUNCTION("""COMPUTED_VALUE"""),"desktop")</f>
        <v>desktop</v>
      </c>
      <c r="AO1021" s="3"/>
      <c r="AP1021" s="3"/>
      <c r="AQ1021" s="3"/>
      <c r="AR1021" s="3"/>
      <c r="AS1021" s="3"/>
      <c r="AT1021" s="3"/>
      <c r="AU1021" s="3" t="str">
        <f ca="1">IFERROR(__xludf.DUMMYFUNCTION("""COMPUTED_VALUE"""),"cílený branding")</f>
        <v>cílený branding</v>
      </c>
    </row>
    <row r="1022" spans="1:47" x14ac:dyDescent="0.3">
      <c r="A1022" s="3">
        <f ca="1"/>
        <v>2346826</v>
      </c>
      <c r="B1022" s="3" t="str">
        <f ca="1"/>
        <v>CZECH NEWS CENTER a. s.</v>
      </c>
      <c r="C1022" s="3" t="str">
        <f ca="1">IFERROR(__xludf.DUMMYFUNCTION("""COMPUTED_VALUE"""),"Ženy")</f>
        <v>Ženy</v>
      </c>
      <c r="D1022" s="4" t="str">
        <f ca="1">IFERROR(__xludf.DUMMYFUNCTION("""COMPUTED_VALUE"""),"https://zeny.cz")</f>
        <v>https://zeny.cz</v>
      </c>
      <c r="E1022" s="3" t="str">
        <f ca="1">IFERROR(__xludf.DUMMYFUNCTION("""COMPUTED_VALUE"""),"celý web")</f>
        <v>celý web</v>
      </c>
      <c r="F1022" s="4" t="str">
        <f ca="1">IFERROR(__xludf.DUMMYFUNCTION("""COMPUTED_VALUE"""),"https://zeny.cz")</f>
        <v>https://zeny.cz</v>
      </c>
      <c r="G1022" s="3" t="str">
        <f ca="1">IFERROR(__xludf.DUMMYFUNCTION("""COMPUTED_VALUE"""),"cílený double skyscraper mid season")</f>
        <v>cílený double skyscraper mid season</v>
      </c>
      <c r="H1022" s="3">
        <f ca="1">IFERROR(__xludf.DUMMYFUNCTION("""COMPUTED_VALUE"""),7)</f>
        <v>7</v>
      </c>
      <c r="I1022" s="5">
        <f ca="1">IFERROR(__xludf.DUMMYFUNCTION("""COMPUTED_VALUE"""),1000)</f>
        <v>1000</v>
      </c>
      <c r="J1022" s="5">
        <f ca="1">IFERROR(__xludf.DUMMYFUNCTION("""COMPUTED_VALUE"""),324)</f>
        <v>324</v>
      </c>
      <c r="K1022" s="3"/>
      <c r="L1022" s="3" t="str">
        <f ca="1">IFERROR(__xludf.DUMMYFUNCTION("""COMPUTED_VALUE"""),"Cost per period")</f>
        <v>Cost per period</v>
      </c>
      <c r="M1022" s="3"/>
      <c r="N1022" s="3"/>
      <c r="O1022" s="3" t="str">
        <f ca="1">IFERROR(__xludf.DUMMYFUNCTION("""COMPUTED_VALUE"""),"300")</f>
        <v>300</v>
      </c>
      <c r="P1022" s="3" t="str">
        <f ca="1">IFERROR(__xludf.DUMMYFUNCTION("""COMPUTED_VALUE"""),"600")</f>
        <v>600</v>
      </c>
      <c r="Q1022" s="3" t="str">
        <f ca="1">IFERROR(__xludf.DUMMYFUNCTION("""COMPUTED_VALUE"""),"300x600")</f>
        <v>300x600</v>
      </c>
      <c r="R1022" s="3"/>
      <c r="S1022" s="3" t="str">
        <f ca="1">IFERROR(__xludf.DUMMYFUNCTION("""COMPUTED_VALUE"""),"100 (200 - HTML5)")</f>
        <v>100 (200 - HTML5)</v>
      </c>
      <c r="T1022" s="3"/>
      <c r="U1022" s="3" t="str">
        <f ca="1">IFERROR(__xludf.DUMMYFUNCTION("""COMPUTED_VALUE"""),"banner standard")</f>
        <v>banner standard</v>
      </c>
      <c r="V1022" s="3"/>
      <c r="W1022" s="4" t="str">
        <f ca="1">IFERROR(__xludf.DUMMYFUNCTION("""COMPUTED_VALUE"""),"https://reklama.cncenter.cz/Online/double-skyscraper")</f>
        <v>https://reklama.cncenter.cz/Online/double-skyscraper</v>
      </c>
      <c r="X1022" s="3"/>
      <c r="Y1022" s="3"/>
      <c r="Z1022" s="3" t="str">
        <f ca="1">IFERROR(__xludf.DUMMYFUNCTION("""COMPUTED_VALUE"""),"podklady@cncenter.cz")</f>
        <v>podklady@cncenter.cz</v>
      </c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 t="str">
        <f ca="1">IFERROR(__xludf.DUMMYFUNCTION("""COMPUTED_VALUE"""),"desktop")</f>
        <v>desktop</v>
      </c>
      <c r="AO1022" s="3"/>
      <c r="AP1022" s="3"/>
      <c r="AQ1022" s="3"/>
      <c r="AR1022" s="3"/>
      <c r="AS1022" s="3"/>
      <c r="AT1022" s="3"/>
      <c r="AU1022" s="3" t="str">
        <f ca="1">IFERROR(__xludf.DUMMYFUNCTION("""COMPUTED_VALUE"""),"cílený double skyscraper")</f>
        <v>cílený double skyscraper</v>
      </c>
    </row>
    <row r="1023" spans="1:47" x14ac:dyDescent="0.3">
      <c r="A1023" s="3">
        <f ca="1"/>
        <v>2346826</v>
      </c>
      <c r="B1023" s="3" t="str">
        <f ca="1"/>
        <v>CZECH NEWS CENTER a. s.</v>
      </c>
      <c r="C1023" s="3" t="str">
        <f ca="1">IFERROR(__xludf.DUMMYFUNCTION("""COMPUTED_VALUE"""),"Ženy")</f>
        <v>Ženy</v>
      </c>
      <c r="D1023" s="4" t="str">
        <f ca="1">IFERROR(__xludf.DUMMYFUNCTION("""COMPUTED_VALUE"""),"https://zeny.cz")</f>
        <v>https://zeny.cz</v>
      </c>
      <c r="E1023" s="3" t="str">
        <f ca="1">IFERROR(__xludf.DUMMYFUNCTION("""COMPUTED_VALUE"""),"celý web")</f>
        <v>celý web</v>
      </c>
      <c r="F1023" s="4" t="str">
        <f ca="1">IFERROR(__xludf.DUMMYFUNCTION("""COMPUTED_VALUE"""),"https://zeny.cz")</f>
        <v>https://zeny.cz</v>
      </c>
      <c r="G1023" s="3" t="str">
        <f ca="1">IFERROR(__xludf.DUMMYFUNCTION("""COMPUTED_VALUE"""),"cílený mini videospot - max. 30 sec. mid season")</f>
        <v>cílený mini videospot - max. 30 sec. mid season</v>
      </c>
      <c r="H1023" s="3">
        <f ca="1">IFERROR(__xludf.DUMMYFUNCTION("""COMPUTED_VALUE"""),7)</f>
        <v>7</v>
      </c>
      <c r="I1023" s="5">
        <f ca="1">IFERROR(__xludf.DUMMYFUNCTION("""COMPUTED_VALUE"""),1000)</f>
        <v>1000</v>
      </c>
      <c r="J1023" s="5">
        <f ca="1">IFERROR(__xludf.DUMMYFUNCTION("""COMPUTED_VALUE"""),240)</f>
        <v>240</v>
      </c>
      <c r="K1023" s="3"/>
      <c r="L1023" s="3" t="str">
        <f ca="1">IFERROR(__xludf.DUMMYFUNCTION("""COMPUTED_VALUE"""),"Cost per period")</f>
        <v>Cost per period</v>
      </c>
      <c r="M1023" s="3"/>
      <c r="N1023" s="3"/>
      <c r="O1023" s="3"/>
      <c r="P1023" s="3"/>
      <c r="Q1023" s="3" t="str">
        <f ca="1">IFERROR(__xludf.DUMMYFUNCTION("""COMPUTED_VALUE"""),"16:9 / umístění po domluvě dle možností")</f>
        <v>16:9 / umístění po domluvě dle možností</v>
      </c>
      <c r="R1023" s="3" t="str">
        <f ca="1">IFERROR(__xludf.DUMMYFUNCTION("""COMPUTED_VALUE"""),"přeskočení po 7 sekundách")</f>
        <v>přeskočení po 7 sekundách</v>
      </c>
      <c r="S1023" s="3" t="str">
        <f ca="1">IFERROR(__xludf.DUMMYFUNCTION("""COMPUTED_VALUE"""),"100")</f>
        <v>100</v>
      </c>
      <c r="T1023" s="3"/>
      <c r="U1023" s="3" t="str">
        <f ca="1">IFERROR(__xludf.DUMMYFUNCTION("""COMPUTED_VALUE"""),"videospot")</f>
        <v>videospot</v>
      </c>
      <c r="V1023" s="3"/>
      <c r="W1023" s="4" t="str">
        <f ca="1">IFERROR(__xludf.DUMMYFUNCTION("""COMPUTED_VALUE"""),"https://reklama.cncenter.cz/Online/Videospot")</f>
        <v>https://reklama.cncenter.cz/Online/Videospot</v>
      </c>
      <c r="X1023" s="3"/>
      <c r="Y1023" s="3"/>
      <c r="Z1023" s="3" t="str">
        <f ca="1">IFERROR(__xludf.DUMMYFUNCTION("""COMPUTED_VALUE"""),"podklady@cncenter.cz")</f>
        <v>podklady@cncenter.cz</v>
      </c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 t="str">
        <f ca="1">IFERROR(__xludf.DUMMYFUNCTION("""COMPUTED_VALUE"""),"desktop")</f>
        <v>desktop</v>
      </c>
      <c r="AO1023" s="3"/>
      <c r="AP1023" s="3"/>
      <c r="AQ1023" s="3"/>
      <c r="AR1023" s="3"/>
      <c r="AS1023" s="3"/>
      <c r="AT1023" s="3"/>
      <c r="AU1023" s="3" t="str">
        <f ca="1">IFERROR(__xludf.DUMMYFUNCTION("""COMPUTED_VALUE"""),"cílený mini videospot - max. 30 sec.")</f>
        <v>cílený mini videospot - max. 30 sec.</v>
      </c>
    </row>
    <row r="1024" spans="1:47" x14ac:dyDescent="0.3">
      <c r="A1024" s="3">
        <f ca="1"/>
        <v>2346826</v>
      </c>
      <c r="B1024" s="3" t="str">
        <f ca="1"/>
        <v>CZECH NEWS CENTER a. s.</v>
      </c>
      <c r="C1024" s="3" t="str">
        <f ca="1">IFERROR(__xludf.DUMMYFUNCTION("""COMPUTED_VALUE"""),"Ženy")</f>
        <v>Ženy</v>
      </c>
      <c r="D1024" s="4" t="str">
        <f ca="1">IFERROR(__xludf.DUMMYFUNCTION("""COMPUTED_VALUE"""),"https://zeny.cz")</f>
        <v>https://zeny.cz</v>
      </c>
      <c r="E1024" s="3" t="str">
        <f ca="1">IFERROR(__xludf.DUMMYFUNCTION("""COMPUTED_VALUE"""),"celý web")</f>
        <v>celý web</v>
      </c>
      <c r="F1024" s="4" t="str">
        <f ca="1">IFERROR(__xludf.DUMMYFUNCTION("""COMPUTED_VALUE"""),"https://zeny.cz")</f>
        <v>https://zeny.cz</v>
      </c>
      <c r="G1024" s="3" t="str">
        <f ca="1">IFERROR(__xludf.DUMMYFUNCTION("""COMPUTED_VALUE"""),"cílený mobilní interscroller mid season")</f>
        <v>cílený mobilní interscroller mid season</v>
      </c>
      <c r="H1024" s="3">
        <f ca="1">IFERROR(__xludf.DUMMYFUNCTION("""COMPUTED_VALUE"""),7)</f>
        <v>7</v>
      </c>
      <c r="I1024" s="5">
        <f ca="1">IFERROR(__xludf.DUMMYFUNCTION("""COMPUTED_VALUE"""),1000)</f>
        <v>1000</v>
      </c>
      <c r="J1024" s="5">
        <f ca="1">IFERROR(__xludf.DUMMYFUNCTION("""COMPUTED_VALUE"""),420)</f>
        <v>420</v>
      </c>
      <c r="K1024" s="3"/>
      <c r="L1024" s="3" t="str">
        <f ca="1">IFERROR(__xludf.DUMMYFUNCTION("""COMPUTED_VALUE"""),"Cost per period")</f>
        <v>Cost per period</v>
      </c>
      <c r="M1024" s="3"/>
      <c r="N1024" s="3"/>
      <c r="O1024" s="3" t="str">
        <f ca="1">IFERROR(__xludf.DUMMYFUNCTION("""COMPUTED_VALUE"""),"600")</f>
        <v>600</v>
      </c>
      <c r="P1024" s="3" t="str">
        <f ca="1">IFERROR(__xludf.DUMMYFUNCTION("""COMPUTED_VALUE"""),"1080")</f>
        <v>1080</v>
      </c>
      <c r="Q1024" s="3" t="str">
        <f ca="1">IFERROR(__xludf.DUMMYFUNCTION("""COMPUTED_VALUE"""),"600x1080")</f>
        <v>600x1080</v>
      </c>
      <c r="R1024" s="3"/>
      <c r="S1024" s="3" t="str">
        <f ca="1">IFERROR(__xludf.DUMMYFUNCTION("""COMPUTED_VALUE"""),"200")</f>
        <v>200</v>
      </c>
      <c r="T1024" s="3"/>
      <c r="U1024" s="3" t="str">
        <f ca="1">IFERROR(__xludf.DUMMYFUNCTION("""COMPUTED_VALUE"""),"banner standard")</f>
        <v>banner standard</v>
      </c>
      <c r="V1024" s="3"/>
      <c r="W1024" s="4" t="str">
        <f ca="1">IFERROR(__xludf.DUMMYFUNCTION("""COMPUTED_VALUE"""),"https://reklama.cncenter.cz/Online/mobilni-interscroller")</f>
        <v>https://reklama.cncenter.cz/Online/mobilni-interscroller</v>
      </c>
      <c r="X1024" s="3"/>
      <c r="Y1024" s="3"/>
      <c r="Z1024" s="3" t="str">
        <f ca="1">IFERROR(__xludf.DUMMYFUNCTION("""COMPUTED_VALUE"""),"podklady@cncenter.cz")</f>
        <v>podklady@cncenter.cz</v>
      </c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 t="str">
        <f ca="1">IFERROR(__xludf.DUMMYFUNCTION("""COMPUTED_VALUE"""),"mobile")</f>
        <v>mobile</v>
      </c>
      <c r="AO1024" s="3"/>
      <c r="AP1024" s="3"/>
      <c r="AQ1024" s="3"/>
      <c r="AR1024" s="3"/>
      <c r="AS1024" s="3"/>
      <c r="AT1024" s="3"/>
      <c r="AU1024" s="3" t="str">
        <f ca="1">IFERROR(__xludf.DUMMYFUNCTION("""COMPUTED_VALUE"""),"cílený mobilní interscroller")</f>
        <v>cílený mobilní interscroller</v>
      </c>
    </row>
    <row r="1025" spans="1:47" x14ac:dyDescent="0.3">
      <c r="A1025" s="3">
        <f ca="1"/>
        <v>2346826</v>
      </c>
      <c r="B1025" s="3" t="str">
        <f ca="1"/>
        <v>CZECH NEWS CENTER a. s.</v>
      </c>
      <c r="C1025" s="3" t="str">
        <f ca="1">IFERROR(__xludf.DUMMYFUNCTION("""COMPUTED_VALUE"""),"Ženy")</f>
        <v>Ženy</v>
      </c>
      <c r="D1025" s="4" t="str">
        <f ca="1">IFERROR(__xludf.DUMMYFUNCTION("""COMPUTED_VALUE"""),"https://zeny.cz")</f>
        <v>https://zeny.cz</v>
      </c>
      <c r="E1025" s="3" t="str">
        <f ca="1">IFERROR(__xludf.DUMMYFUNCTION("""COMPUTED_VALUE"""),"celý web")</f>
        <v>celý web</v>
      </c>
      <c r="F1025" s="4" t="str">
        <f ca="1">IFERROR(__xludf.DUMMYFUNCTION("""COMPUTED_VALUE"""),"https://zeny.cz")</f>
        <v>https://zeny.cz</v>
      </c>
      <c r="G1025" s="3" t="str">
        <f ca="1">IFERROR(__xludf.DUMMYFUNCTION("""COMPUTED_VALUE"""),"cílený mobilní slide-up mid season")</f>
        <v>cílený mobilní slide-up mid season</v>
      </c>
      <c r="H1025" s="3">
        <f ca="1">IFERROR(__xludf.DUMMYFUNCTION("""COMPUTED_VALUE"""),7)</f>
        <v>7</v>
      </c>
      <c r="I1025" s="5">
        <f ca="1">IFERROR(__xludf.DUMMYFUNCTION("""COMPUTED_VALUE"""),1000)</f>
        <v>1000</v>
      </c>
      <c r="J1025" s="5">
        <f ca="1">IFERROR(__xludf.DUMMYFUNCTION("""COMPUTED_VALUE"""),864)</f>
        <v>864</v>
      </c>
      <c r="K1025" s="3"/>
      <c r="L1025" s="3" t="str">
        <f ca="1">IFERROR(__xludf.DUMMYFUNCTION("""COMPUTED_VALUE"""),"Cost per period")</f>
        <v>Cost per period</v>
      </c>
      <c r="M1025" s="3"/>
      <c r="N1025" s="3"/>
      <c r="O1025" s="3" t="str">
        <f ca="1">IFERROR(__xludf.DUMMYFUNCTION("""COMPUTED_VALUE"""),"300")</f>
        <v>300</v>
      </c>
      <c r="P1025" s="3" t="str">
        <f ca="1">IFERROR(__xludf.DUMMYFUNCTION("""COMPUTED_VALUE"""),"120")</f>
        <v>120</v>
      </c>
      <c r="Q1025" s="3" t="str">
        <f ca="1">IFERROR(__xludf.DUMMYFUNCTION("""COMPUTED_VALUE"""),"300x120")</f>
        <v>300x120</v>
      </c>
      <c r="R1025" s="3"/>
      <c r="S1025" s="3" t="str">
        <f ca="1">IFERROR(__xludf.DUMMYFUNCTION("""COMPUTED_VALUE"""),"100")</f>
        <v>100</v>
      </c>
      <c r="T1025" s="3"/>
      <c r="U1025" s="3" t="str">
        <f ca="1">IFERROR(__xludf.DUMMYFUNCTION("""COMPUTED_VALUE"""),"banner standard")</f>
        <v>banner standard</v>
      </c>
      <c r="V1025" s="3"/>
      <c r="W1025" s="4" t="str">
        <f ca="1">IFERROR(__xludf.DUMMYFUNCTION("""COMPUTED_VALUE"""),"https://reklama.cncenter.cz/Online/mobilni-slide-up")</f>
        <v>https://reklama.cncenter.cz/Online/mobilni-slide-up</v>
      </c>
      <c r="X1025" s="3"/>
      <c r="Y1025" s="3"/>
      <c r="Z1025" s="3" t="str">
        <f ca="1">IFERROR(__xludf.DUMMYFUNCTION("""COMPUTED_VALUE"""),"podklady@cncenter.cz")</f>
        <v>podklady@cncenter.cz</v>
      </c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 t="str">
        <f ca="1">IFERROR(__xludf.DUMMYFUNCTION("""COMPUTED_VALUE"""),"mobile")</f>
        <v>mobile</v>
      </c>
      <c r="AO1025" s="3"/>
      <c r="AP1025" s="3"/>
      <c r="AQ1025" s="3"/>
      <c r="AR1025" s="3"/>
      <c r="AS1025" s="3"/>
      <c r="AT1025" s="3"/>
      <c r="AU1025" s="3" t="str">
        <f ca="1">IFERROR(__xludf.DUMMYFUNCTION("""COMPUTED_VALUE"""),"cílený mobilní slide-up")</f>
        <v>cílený mobilní slide-up</v>
      </c>
    </row>
    <row r="1026" spans="1:47" x14ac:dyDescent="0.3">
      <c r="A1026" s="3">
        <f ca="1"/>
        <v>2346826</v>
      </c>
      <c r="B1026" s="3" t="str">
        <f ca="1"/>
        <v>CZECH NEWS CENTER a. s.</v>
      </c>
      <c r="C1026" s="3" t="str">
        <f ca="1">IFERROR(__xludf.DUMMYFUNCTION("""COMPUTED_VALUE"""),"Ženy")</f>
        <v>Ženy</v>
      </c>
      <c r="D1026" s="4" t="str">
        <f ca="1">IFERROR(__xludf.DUMMYFUNCTION("""COMPUTED_VALUE"""),"https://zeny.cz")</f>
        <v>https://zeny.cz</v>
      </c>
      <c r="E1026" s="3" t="str">
        <f ca="1">IFERROR(__xludf.DUMMYFUNCTION("""COMPUTED_VALUE"""),"celý web")</f>
        <v>celý web</v>
      </c>
      <c r="F1026" s="4" t="str">
        <f ca="1">IFERROR(__xludf.DUMMYFUNCTION("""COMPUTED_VALUE"""),"https://zeny.cz")</f>
        <v>https://zeny.cz</v>
      </c>
      <c r="G1026" s="3" t="str">
        <f ca="1">IFERROR(__xludf.DUMMYFUNCTION("""COMPUTED_VALUE"""),"cílený mobilní viněta mid season")</f>
        <v>cílený mobilní viněta mid season</v>
      </c>
      <c r="H1026" s="3">
        <f ca="1">IFERROR(__xludf.DUMMYFUNCTION("""COMPUTED_VALUE"""),7)</f>
        <v>7</v>
      </c>
      <c r="I1026" s="5">
        <f ca="1">IFERROR(__xludf.DUMMYFUNCTION("""COMPUTED_VALUE"""),1000)</f>
        <v>1000</v>
      </c>
      <c r="J1026" s="5">
        <f ca="1">IFERROR(__xludf.DUMMYFUNCTION("""COMPUTED_VALUE"""),1488)</f>
        <v>1488</v>
      </c>
      <c r="K1026" s="3"/>
      <c r="L1026" s="3" t="str">
        <f ca="1">IFERROR(__xludf.DUMMYFUNCTION("""COMPUTED_VALUE"""),"Cost per period")</f>
        <v>Cost per period</v>
      </c>
      <c r="M1026" s="3"/>
      <c r="N1026" s="3"/>
      <c r="O1026" s="3" t="str">
        <f ca="1">IFERROR(__xludf.DUMMYFUNCTION("""COMPUTED_VALUE"""),"600")</f>
        <v>600</v>
      </c>
      <c r="P1026" s="3" t="str">
        <f ca="1">IFERROR(__xludf.DUMMYFUNCTION("""COMPUTED_VALUE"""),"800")</f>
        <v>800</v>
      </c>
      <c r="Q1026" s="3" t="str">
        <f ca="1">IFERROR(__xludf.DUMMYFUNCTION("""COMPUTED_VALUE"""),"300x250 nebo 600x800")</f>
        <v>300x250 nebo 600x800</v>
      </c>
      <c r="R1026" s="3"/>
      <c r="S1026" s="3" t="str">
        <f ca="1">IFERROR(__xludf.DUMMYFUNCTION("""COMPUTED_VALUE"""),"100")</f>
        <v>100</v>
      </c>
      <c r="T1026" s="3"/>
      <c r="U1026" s="3" t="str">
        <f ca="1">IFERROR(__xludf.DUMMYFUNCTION("""COMPUTED_VALUE"""),"banner standard")</f>
        <v>banner standard</v>
      </c>
      <c r="V1026" s="3"/>
      <c r="W1026" s="4" t="str">
        <f ca="1">IFERROR(__xludf.DUMMYFUNCTION("""COMPUTED_VALUE"""),"https://reklama.cncenter.cz/Online/mobilni-vineta")</f>
        <v>https://reklama.cncenter.cz/Online/mobilni-vineta</v>
      </c>
      <c r="X1026" s="3"/>
      <c r="Y1026" s="3"/>
      <c r="Z1026" s="3" t="str">
        <f ca="1">IFERROR(__xludf.DUMMYFUNCTION("""COMPUTED_VALUE"""),"podklady@cncenter.cz")</f>
        <v>podklady@cncenter.cz</v>
      </c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 t="str">
        <f ca="1">IFERROR(__xludf.DUMMYFUNCTION("""COMPUTED_VALUE"""),"mobile")</f>
        <v>mobile</v>
      </c>
      <c r="AO1026" s="3"/>
      <c r="AP1026" s="3"/>
      <c r="AQ1026" s="3"/>
      <c r="AR1026" s="3"/>
      <c r="AS1026" s="3"/>
      <c r="AT1026" s="3"/>
      <c r="AU1026" s="3" t="str">
        <f ca="1">IFERROR(__xludf.DUMMYFUNCTION("""COMPUTED_VALUE"""),"cílený mobilní viněta")</f>
        <v>cílený mobilní viněta</v>
      </c>
    </row>
    <row r="1027" spans="1:47" x14ac:dyDescent="0.3">
      <c r="A1027" s="3">
        <f ca="1"/>
        <v>2346826</v>
      </c>
      <c r="B1027" s="3" t="str">
        <f ca="1"/>
        <v>CZECH NEWS CENTER a. s.</v>
      </c>
      <c r="C1027" s="3" t="str">
        <f ca="1">IFERROR(__xludf.DUMMYFUNCTION("""COMPUTED_VALUE"""),"Ženy")</f>
        <v>Ženy</v>
      </c>
      <c r="D1027" s="4" t="str">
        <f ca="1">IFERROR(__xludf.DUMMYFUNCTION("""COMPUTED_VALUE"""),"https://zeny.cz")</f>
        <v>https://zeny.cz</v>
      </c>
      <c r="E1027" s="3" t="str">
        <f ca="1">IFERROR(__xludf.DUMMYFUNCTION("""COMPUTED_VALUE"""),"celý web")</f>
        <v>celý web</v>
      </c>
      <c r="F1027" s="4" t="str">
        <f ca="1">IFERROR(__xludf.DUMMYFUNCTION("""COMPUTED_VALUE"""),"https://zeny.cz")</f>
        <v>https://zeny.cz</v>
      </c>
      <c r="G1027" s="3" t="str">
        <f ca="1">IFERROR(__xludf.DUMMYFUNCTION("""COMPUTED_VALUE"""),"cílený nativní pr premium mid season")</f>
        <v>cílený nativní pr premium mid season</v>
      </c>
      <c r="H1027" s="3">
        <f ca="1">IFERROR(__xludf.DUMMYFUNCTION("""COMPUTED_VALUE"""),7)</f>
        <v>7</v>
      </c>
      <c r="I1027" s="5">
        <f ca="1">IFERROR(__xludf.DUMMYFUNCTION("""COMPUTED_VALUE"""),1000)</f>
        <v>1000</v>
      </c>
      <c r="J1027" s="5">
        <f ca="1">IFERROR(__xludf.DUMMYFUNCTION("""COMPUTED_VALUE"""),168)</f>
        <v>168</v>
      </c>
      <c r="K1027" s="3"/>
      <c r="L1027" s="3" t="str">
        <f ca="1">IFERROR(__xludf.DUMMYFUNCTION("""COMPUTED_VALUE"""),"Cost per period")</f>
        <v>Cost per period</v>
      </c>
      <c r="M1027" s="3"/>
      <c r="N1027" s="3"/>
      <c r="O1027" s="3" t="str">
        <f ca="1">IFERROR(__xludf.DUMMYFUNCTION("""COMPUTED_VALUE"""),"640")</f>
        <v>640</v>
      </c>
      <c r="P1027" s="3" t="str">
        <f ca="1">IFERROR(__xludf.DUMMYFUNCTION("""COMPUTED_VALUE"""),"335, 640")</f>
        <v>335, 640</v>
      </c>
      <c r="Q1027" s="3" t="str">
        <f ca="1">IFERROR(__xludf.DUMMYFUNCTION("""COMPUTED_VALUE"""),"640x640 a 640x335 + text + logo")</f>
        <v>640x640 a 640x335 + text + logo</v>
      </c>
      <c r="R1027" s="3" t="str">
        <f ca="1">IFERROR(__xludf.DUMMYFUNCTION("""COMPUTED_VALUE"""),"detailní specifikace na URL odkaze")</f>
        <v>detailní specifikace na URL odkaze</v>
      </c>
      <c r="S1027" s="3" t="str">
        <f ca="1">IFERROR(__xludf.DUMMYFUNCTION("""COMPUTED_VALUE"""),"100")</f>
        <v>100</v>
      </c>
      <c r="T1027" s="3"/>
      <c r="U1027" s="3" t="str">
        <f ca="1">IFERROR(__xludf.DUMMYFUNCTION("""COMPUTED_VALUE"""),"nativní reklama")</f>
        <v>nativní reklama</v>
      </c>
      <c r="V1027" s="3"/>
      <c r="W1027" s="4" t="str">
        <f ca="1">IFERROR(__xludf.DUMMYFUNCTION("""COMPUTED_VALUE"""),"https://reklama.cncenter.cz/Online/nativni-PR-premium")</f>
        <v>https://reklama.cncenter.cz/Online/nativni-PR-premium</v>
      </c>
      <c r="X1027" s="3"/>
      <c r="Y1027" s="3"/>
      <c r="Z1027" s="3" t="str">
        <f ca="1">IFERROR(__xludf.DUMMYFUNCTION("""COMPUTED_VALUE"""),"podklady@cncenter.cz")</f>
        <v>podklady@cncenter.cz</v>
      </c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 t="str">
        <f ca="1">IFERROR(__xludf.DUMMYFUNCTION("""COMPUTED_VALUE"""),"cross-device")</f>
        <v>cross-device</v>
      </c>
      <c r="AO1027" s="3"/>
      <c r="AP1027" s="3"/>
      <c r="AQ1027" s="3"/>
      <c r="AR1027" s="3"/>
      <c r="AS1027" s="3"/>
      <c r="AT1027" s="3"/>
      <c r="AU1027" s="3" t="str">
        <f ca="1">IFERROR(__xludf.DUMMYFUNCTION("""COMPUTED_VALUE"""),"cílený nativní pr premium")</f>
        <v>cílený nativní pr premium</v>
      </c>
    </row>
    <row r="1028" spans="1:47" x14ac:dyDescent="0.3">
      <c r="A1028" s="3">
        <f ca="1"/>
        <v>2346826</v>
      </c>
      <c r="B1028" s="3" t="str">
        <f ca="1"/>
        <v>CZECH NEWS CENTER a. s.</v>
      </c>
      <c r="C1028" s="3" t="str">
        <f ca="1">IFERROR(__xludf.DUMMYFUNCTION("""COMPUTED_VALUE"""),"Ženy")</f>
        <v>Ženy</v>
      </c>
      <c r="D1028" s="4" t="str">
        <f ca="1">IFERROR(__xludf.DUMMYFUNCTION("""COMPUTED_VALUE"""),"https://zeny.cz")</f>
        <v>https://zeny.cz</v>
      </c>
      <c r="E1028" s="3" t="str">
        <f ca="1">IFERROR(__xludf.DUMMYFUNCTION("""COMPUTED_VALUE"""),"celý web")</f>
        <v>celý web</v>
      </c>
      <c r="F1028" s="4" t="str">
        <f ca="1">IFERROR(__xludf.DUMMYFUNCTION("""COMPUTED_VALUE"""),"https://zeny.cz")</f>
        <v>https://zeny.cz</v>
      </c>
      <c r="G1028" s="3" t="str">
        <f ca="1">IFERROR(__xludf.DUMMYFUNCTION("""COMPUTED_VALUE"""),"cílený nativní rectangle cross-device mid season")</f>
        <v>cílený nativní rectangle cross-device mid season</v>
      </c>
      <c r="H1028" s="3">
        <f ca="1">IFERROR(__xludf.DUMMYFUNCTION("""COMPUTED_VALUE"""),7)</f>
        <v>7</v>
      </c>
      <c r="I1028" s="5">
        <f ca="1">IFERROR(__xludf.DUMMYFUNCTION("""COMPUTED_VALUE"""),1000)</f>
        <v>1000</v>
      </c>
      <c r="J1028" s="5">
        <f ca="1">IFERROR(__xludf.DUMMYFUNCTION("""COMPUTED_VALUE"""),336)</f>
        <v>336</v>
      </c>
      <c r="K1028" s="3"/>
      <c r="L1028" s="3" t="str">
        <f ca="1">IFERROR(__xludf.DUMMYFUNCTION("""COMPUTED_VALUE"""),"Cost per period")</f>
        <v>Cost per period</v>
      </c>
      <c r="M1028" s="3"/>
      <c r="N1028" s="3"/>
      <c r="O1028" s="3" t="str">
        <f ca="1">IFERROR(__xludf.DUMMYFUNCTION("""COMPUTED_VALUE"""),"640")</f>
        <v>640</v>
      </c>
      <c r="P1028" s="3" t="str">
        <f ca="1">IFERROR(__xludf.DUMMYFUNCTION("""COMPUTED_VALUE"""),"335, 640")</f>
        <v>335, 640</v>
      </c>
      <c r="Q1028" s="3" t="str">
        <f ca="1">IFERROR(__xludf.DUMMYFUNCTION("""COMPUTED_VALUE"""),"640x640 a 640x335 + text + logo")</f>
        <v>640x640 a 640x335 + text + logo</v>
      </c>
      <c r="R1028" s="3"/>
      <c r="S1028" s="3" t="str">
        <f ca="1">IFERROR(__xludf.DUMMYFUNCTION("""COMPUTED_VALUE"""),"45")</f>
        <v>45</v>
      </c>
      <c r="T1028" s="3"/>
      <c r="U1028" s="3" t="str">
        <f ca="1">IFERROR(__xludf.DUMMYFUNCTION("""COMPUTED_VALUE"""),"nativní reklama")</f>
        <v>nativní reklama</v>
      </c>
      <c r="V1028" s="3"/>
      <c r="W1028" s="4" t="str">
        <f ca="1">IFERROR(__xludf.DUMMYFUNCTION("""COMPUTED_VALUE"""),"https://reklama.cncenter.cz/Online/nativni-rectangle-cross-device")</f>
        <v>https://reklama.cncenter.cz/Online/nativni-rectangle-cross-device</v>
      </c>
      <c r="X1028" s="3"/>
      <c r="Y1028" s="3"/>
      <c r="Z1028" s="3" t="str">
        <f ca="1">IFERROR(__xludf.DUMMYFUNCTION("""COMPUTED_VALUE"""),"podklady@cncenter.cz")</f>
        <v>podklady@cncenter.cz</v>
      </c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 t="str">
        <f ca="1">IFERROR(__xludf.DUMMYFUNCTION("""COMPUTED_VALUE"""),"cross-device")</f>
        <v>cross-device</v>
      </c>
      <c r="AO1028" s="3"/>
      <c r="AP1028" s="3"/>
      <c r="AQ1028" s="3"/>
      <c r="AR1028" s="3"/>
      <c r="AS1028" s="3"/>
      <c r="AT1028" s="3"/>
      <c r="AU1028" s="3" t="str">
        <f ca="1">IFERROR(__xludf.DUMMYFUNCTION("""COMPUTED_VALUE"""),"cílený nativní rectangle cross-device")</f>
        <v>cílený nativní rectangle cross-device</v>
      </c>
    </row>
    <row r="1029" spans="1:47" x14ac:dyDescent="0.3">
      <c r="A1029" s="3">
        <f ca="1"/>
        <v>2346826</v>
      </c>
      <c r="B1029" s="3" t="str">
        <f ca="1"/>
        <v>CZECH NEWS CENTER a. s.</v>
      </c>
      <c r="C1029" s="3" t="str">
        <f ca="1">IFERROR(__xludf.DUMMYFUNCTION("""COMPUTED_VALUE"""),"Ženy")</f>
        <v>Ženy</v>
      </c>
      <c r="D1029" s="4" t="str">
        <f ca="1">IFERROR(__xludf.DUMMYFUNCTION("""COMPUTED_VALUE"""),"https://zeny.cz")</f>
        <v>https://zeny.cz</v>
      </c>
      <c r="E1029" s="3" t="str">
        <f ca="1">IFERROR(__xludf.DUMMYFUNCTION("""COMPUTED_VALUE"""),"celý web")</f>
        <v>celý web</v>
      </c>
      <c r="F1029" s="4" t="str">
        <f ca="1">IFERROR(__xludf.DUMMYFUNCTION("""COMPUTED_VALUE"""),"https://zeny.cz")</f>
        <v>https://zeny.cz</v>
      </c>
      <c r="G1029" s="3" t="str">
        <f ca="1">IFERROR(__xludf.DUMMYFUNCTION("""COMPUTED_VALUE"""),"cílený outstream mid season")</f>
        <v>cílený outstream mid season</v>
      </c>
      <c r="H1029" s="3">
        <f ca="1">IFERROR(__xludf.DUMMYFUNCTION("""COMPUTED_VALUE"""),7)</f>
        <v>7</v>
      </c>
      <c r="I1029" s="5">
        <f ca="1">IFERROR(__xludf.DUMMYFUNCTION("""COMPUTED_VALUE"""),1000)</f>
        <v>1000</v>
      </c>
      <c r="J1029" s="5">
        <f ca="1">IFERROR(__xludf.DUMMYFUNCTION("""COMPUTED_VALUE"""),420)</f>
        <v>420</v>
      </c>
      <c r="K1029" s="3"/>
      <c r="L1029" s="3" t="str">
        <f ca="1">IFERROR(__xludf.DUMMYFUNCTION("""COMPUTED_VALUE"""),"Cost per period")</f>
        <v>Cost per period</v>
      </c>
      <c r="M1029" s="3"/>
      <c r="N1029" s="3"/>
      <c r="O1029" s="3" t="str">
        <f ca="1">IFERROR(__xludf.DUMMYFUNCTION("""COMPUTED_VALUE"""),"1280")</f>
        <v>1280</v>
      </c>
      <c r="P1029" s="3" t="str">
        <f ca="1">IFERROR(__xludf.DUMMYFUNCTION("""COMPUTED_VALUE"""),"720")</f>
        <v>720</v>
      </c>
      <c r="Q1029" s="3" t="str">
        <f ca="1">IFERROR(__xludf.DUMMYFUNCTION("""COMPUTED_VALUE"""),"16:9")</f>
        <v>16:9</v>
      </c>
      <c r="R1029" s="3"/>
      <c r="S1029" s="3" t="str">
        <f ca="1">IFERROR(__xludf.DUMMYFUNCTION("""COMPUTED_VALUE"""),"100")</f>
        <v>100</v>
      </c>
      <c r="T1029" s="3"/>
      <c r="U1029" s="3" t="str">
        <f ca="1">IFERROR(__xludf.DUMMYFUNCTION("""COMPUTED_VALUE"""),"videospot")</f>
        <v>videospot</v>
      </c>
      <c r="V1029" s="3"/>
      <c r="W1029" s="4" t="str">
        <f ca="1">IFERROR(__xludf.DUMMYFUNCTION("""COMPUTED_VALUE"""),"https://reklama.cncenter.cz/Online/Outstream")</f>
        <v>https://reklama.cncenter.cz/Online/Outstream</v>
      </c>
      <c r="X1029" s="3"/>
      <c r="Y1029" s="3"/>
      <c r="Z1029" s="3" t="str">
        <f ca="1">IFERROR(__xludf.DUMMYFUNCTION("""COMPUTED_VALUE"""),"podklady@cncenter.cz")</f>
        <v>podklady@cncenter.cz</v>
      </c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 t="str">
        <f ca="1">IFERROR(__xludf.DUMMYFUNCTION("""COMPUTED_VALUE"""),"cross-device")</f>
        <v>cross-device</v>
      </c>
      <c r="AO1029" s="3"/>
      <c r="AP1029" s="3"/>
      <c r="AQ1029" s="3"/>
      <c r="AR1029" s="3"/>
      <c r="AS1029" s="3"/>
      <c r="AT1029" s="3"/>
      <c r="AU1029" s="3" t="str">
        <f ca="1">IFERROR(__xludf.DUMMYFUNCTION("""COMPUTED_VALUE"""),"cílený outstream")</f>
        <v>cílený outstream</v>
      </c>
    </row>
    <row r="1030" spans="1:47" x14ac:dyDescent="0.3">
      <c r="A1030" s="3">
        <f ca="1"/>
        <v>2346826</v>
      </c>
      <c r="B1030" s="3" t="str">
        <f ca="1"/>
        <v>CZECH NEWS CENTER a. s.</v>
      </c>
      <c r="C1030" s="3" t="str">
        <f ca="1">IFERROR(__xludf.DUMMYFUNCTION("""COMPUTED_VALUE"""),"Ženy")</f>
        <v>Ženy</v>
      </c>
      <c r="D1030" s="4" t="str">
        <f ca="1">IFERROR(__xludf.DUMMYFUNCTION("""COMPUTED_VALUE"""),"https://zeny.cz")</f>
        <v>https://zeny.cz</v>
      </c>
      <c r="E1030" s="3" t="str">
        <f ca="1">IFERROR(__xludf.DUMMYFUNCTION("""COMPUTED_VALUE"""),"celý web")</f>
        <v>celý web</v>
      </c>
      <c r="F1030" s="4" t="str">
        <f ca="1">IFERROR(__xludf.DUMMYFUNCTION("""COMPUTED_VALUE"""),"https://zeny.cz")</f>
        <v>https://zeny.cz</v>
      </c>
      <c r="G1030" s="3" t="str">
        <f ca="1">IFERROR(__xludf.DUMMYFUNCTION("""COMPUTED_VALUE"""),"cílený videospot - max. 30 sec. / bumper mid season")</f>
        <v>cílený videospot - max. 30 sec. / bumper mid season</v>
      </c>
      <c r="H1030" s="3">
        <f ca="1">IFERROR(__xludf.DUMMYFUNCTION("""COMPUTED_VALUE"""),7)</f>
        <v>7</v>
      </c>
      <c r="I1030" s="5">
        <f ca="1">IFERROR(__xludf.DUMMYFUNCTION("""COMPUTED_VALUE"""),1000)</f>
        <v>1000</v>
      </c>
      <c r="J1030" s="5">
        <f ca="1">IFERROR(__xludf.DUMMYFUNCTION("""COMPUTED_VALUE"""),1248)</f>
        <v>1248</v>
      </c>
      <c r="K1030" s="3"/>
      <c r="L1030" s="3" t="str">
        <f ca="1">IFERROR(__xludf.DUMMYFUNCTION("""COMPUTED_VALUE"""),"Cost per period")</f>
        <v>Cost per period</v>
      </c>
      <c r="M1030" s="3"/>
      <c r="N1030" s="3"/>
      <c r="O1030" s="3" t="str">
        <f ca="1">IFERROR(__xludf.DUMMYFUNCTION("""COMPUTED_VALUE"""),"1280")</f>
        <v>1280</v>
      </c>
      <c r="P1030" s="3" t="str">
        <f ca="1">IFERROR(__xludf.DUMMYFUNCTION("""COMPUTED_VALUE"""),"720")</f>
        <v>720</v>
      </c>
      <c r="Q1030" s="3" t="str">
        <f ca="1">IFERROR(__xludf.DUMMYFUNCTION("""COMPUTED_VALUE"""),"16:9 / umístění po domluvě dle možností")</f>
        <v>16:9 / umístění po domluvě dle možností</v>
      </c>
      <c r="R1030" s="3" t="str">
        <f ca="1">IFERROR(__xludf.DUMMYFUNCTION("""COMPUTED_VALUE"""),"přeskočení po 7 sekundách")</f>
        <v>přeskočení po 7 sekundách</v>
      </c>
      <c r="S1030" s="3" t="str">
        <f ca="1">IFERROR(__xludf.DUMMYFUNCTION("""COMPUTED_VALUE"""),"100")</f>
        <v>100</v>
      </c>
      <c r="T1030" s="3"/>
      <c r="U1030" s="3" t="str">
        <f ca="1">IFERROR(__xludf.DUMMYFUNCTION("""COMPUTED_VALUE"""),"videospot")</f>
        <v>videospot</v>
      </c>
      <c r="V1030" s="3"/>
      <c r="W1030" s="4" t="str">
        <f ca="1">IFERROR(__xludf.DUMMYFUNCTION("""COMPUTED_VALUE"""),"https://reklama.cncenter.cz/Online/Bumper")</f>
        <v>https://reklama.cncenter.cz/Online/Bumper</v>
      </c>
      <c r="X1030" s="3"/>
      <c r="Y1030" s="3"/>
      <c r="Z1030" s="3" t="str">
        <f ca="1">IFERROR(__xludf.DUMMYFUNCTION("""COMPUTED_VALUE"""),"podklady@cncenter.cz")</f>
        <v>podklady@cncenter.cz</v>
      </c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 t="str">
        <f ca="1">IFERROR(__xludf.DUMMYFUNCTION("""COMPUTED_VALUE"""),"cross-device")</f>
        <v>cross-device</v>
      </c>
      <c r="AO1030" s="3"/>
      <c r="AP1030" s="3"/>
      <c r="AQ1030" s="3"/>
      <c r="AR1030" s="3"/>
      <c r="AS1030" s="3"/>
      <c r="AT1030" s="3"/>
      <c r="AU1030" s="3" t="str">
        <f ca="1">IFERROR(__xludf.DUMMYFUNCTION("""COMPUTED_VALUE"""),"cílený videospot - max. 30 sec. / bumper")</f>
        <v>cílený videospot - max. 30 sec. / bumper</v>
      </c>
    </row>
    <row r="1031" spans="1:47" x14ac:dyDescent="0.3">
      <c r="A1031" s="3">
        <f ca="1"/>
        <v>2346826</v>
      </c>
      <c r="B1031" s="3" t="str">
        <f ca="1"/>
        <v>CZECH NEWS CENTER a. s.</v>
      </c>
      <c r="C1031" s="3" t="str">
        <f ca="1">IFERROR(__xludf.DUMMYFUNCTION("""COMPUTED_VALUE"""),"Ženy")</f>
        <v>Ženy</v>
      </c>
      <c r="D1031" s="4" t="str">
        <f ca="1">IFERROR(__xludf.DUMMYFUNCTION("""COMPUTED_VALUE"""),"https://zeny.cz")</f>
        <v>https://zeny.cz</v>
      </c>
      <c r="E1031" s="3" t="str">
        <f ca="1">IFERROR(__xludf.DUMMYFUNCTION("""COMPUTED_VALUE"""),"celý web")</f>
        <v>celý web</v>
      </c>
      <c r="F1031" s="4" t="str">
        <f ca="1">IFERROR(__xludf.DUMMYFUNCTION("""COMPUTED_VALUE"""),"https://zeny.cz")</f>
        <v>https://zeny.cz</v>
      </c>
      <c r="G1031" s="3" t="str">
        <f ca="1">IFERROR(__xludf.DUMMYFUNCTION("""COMPUTED_VALUE"""),"dokoupení proma o 2 týdny - 10 000 PV *** mid season")</f>
        <v>dokoupení proma o 2 týdny - 10 000 PV *** mid season</v>
      </c>
      <c r="H1031" s="3">
        <f ca="1">IFERROR(__xludf.DUMMYFUNCTION("""COMPUTED_VALUE"""),1)</f>
        <v>1</v>
      </c>
      <c r="I1031" s="5">
        <f ca="1">IFERROR(__xludf.DUMMYFUNCTION("""COMPUTED_VALUE"""),1)</f>
        <v>1</v>
      </c>
      <c r="J1031" s="5">
        <f ca="1">IFERROR(__xludf.DUMMYFUNCTION("""COMPUTED_VALUE"""),60000)</f>
        <v>60000</v>
      </c>
      <c r="K1031" s="3"/>
      <c r="L1031" s="3" t="str">
        <f ca="1">IFERROR(__xludf.DUMMYFUNCTION("""COMPUTED_VALUE"""),"Cost per instance")</f>
        <v>Cost per instance</v>
      </c>
      <c r="M1031" s="3"/>
      <c r="N1031" s="3"/>
      <c r="O1031" s="3"/>
      <c r="P1031" s="3"/>
      <c r="Q1031" s="3"/>
      <c r="R1031" s="3"/>
      <c r="S1031" s="3" t="str">
        <f ca="1">IFERROR(__xludf.DUMMYFUNCTION("""COMPUTED_VALUE"""),"100")</f>
        <v>100</v>
      </c>
      <c r="T1031" s="3"/>
      <c r="U1031" s="3" t="str">
        <f ca="1">IFERROR(__xludf.DUMMYFUNCTION("""COMPUTED_VALUE"""),"microsite")</f>
        <v>microsite</v>
      </c>
      <c r="V1031" s="3"/>
      <c r="W1031" s="3"/>
      <c r="X1031" s="3"/>
      <c r="Y1031" s="3"/>
      <c r="Z1031" s="3" t="str">
        <f ca="1">IFERROR(__xludf.DUMMYFUNCTION("""COMPUTED_VALUE"""),"podklady@cncenter.cz")</f>
        <v>podklady@cncenter.cz</v>
      </c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 t="str">
        <f ca="1">IFERROR(__xludf.DUMMYFUNCTION("""COMPUTED_VALUE"""),"cross-device")</f>
        <v>cross-device</v>
      </c>
      <c r="AO1031" s="3"/>
      <c r="AP1031" s="3"/>
      <c r="AQ1031" s="3"/>
      <c r="AR1031" s="3"/>
      <c r="AS1031" s="3"/>
      <c r="AT1031" s="3"/>
      <c r="AU1031" s="3" t="str">
        <f ca="1">IFERROR(__xludf.DUMMYFUNCTION("""COMPUTED_VALUE"""),"dokoupení proma o 2 týdny - 10 000 PV ***")</f>
        <v>dokoupení proma o 2 týdny - 10 000 PV ***</v>
      </c>
    </row>
    <row r="1032" spans="1:47" x14ac:dyDescent="0.3">
      <c r="A1032" s="3">
        <f ca="1"/>
        <v>2346826</v>
      </c>
      <c r="B1032" s="3" t="str">
        <f ca="1"/>
        <v>CZECH NEWS CENTER a. s.</v>
      </c>
      <c r="C1032" s="3" t="str">
        <f ca="1">IFERROR(__xludf.DUMMYFUNCTION("""COMPUTED_VALUE"""),"Ženy")</f>
        <v>Ženy</v>
      </c>
      <c r="D1032" s="4" t="str">
        <f ca="1">IFERROR(__xludf.DUMMYFUNCTION("""COMPUTED_VALUE"""),"https://zeny.cz")</f>
        <v>https://zeny.cz</v>
      </c>
      <c r="E1032" s="3" t="str">
        <f ca="1">IFERROR(__xludf.DUMMYFUNCTION("""COMPUTED_VALUE"""),"celý web")</f>
        <v>celý web</v>
      </c>
      <c r="F1032" s="4" t="str">
        <f ca="1">IFERROR(__xludf.DUMMYFUNCTION("""COMPUTED_VALUE"""),"https://zeny.cz")</f>
        <v>https://zeny.cz</v>
      </c>
      <c r="G1032" s="3" t="str">
        <f ca="1">IFERROR(__xludf.DUMMYFUNCTION("""COMPUTED_VALUE"""),"double skyscraper mid season")</f>
        <v>double skyscraper mid season</v>
      </c>
      <c r="H1032" s="3">
        <f ca="1">IFERROR(__xludf.DUMMYFUNCTION("""COMPUTED_VALUE"""),7)</f>
        <v>7</v>
      </c>
      <c r="I1032" s="5">
        <f ca="1">IFERROR(__xludf.DUMMYFUNCTION("""COMPUTED_VALUE"""),1000)</f>
        <v>1000</v>
      </c>
      <c r="J1032" s="5">
        <f ca="1">IFERROR(__xludf.DUMMYFUNCTION("""COMPUTED_VALUE"""),270)</f>
        <v>270</v>
      </c>
      <c r="K1032" s="3"/>
      <c r="L1032" s="3" t="str">
        <f ca="1">IFERROR(__xludf.DUMMYFUNCTION("""COMPUTED_VALUE"""),"Cost per period")</f>
        <v>Cost per period</v>
      </c>
      <c r="M1032" s="3"/>
      <c r="N1032" s="3"/>
      <c r="O1032" s="3" t="str">
        <f ca="1">IFERROR(__xludf.DUMMYFUNCTION("""COMPUTED_VALUE"""),"300")</f>
        <v>300</v>
      </c>
      <c r="P1032" s="3" t="str">
        <f ca="1">IFERROR(__xludf.DUMMYFUNCTION("""COMPUTED_VALUE"""),"600")</f>
        <v>600</v>
      </c>
      <c r="Q1032" s="3" t="str">
        <f ca="1">IFERROR(__xludf.DUMMYFUNCTION("""COMPUTED_VALUE"""),"300x600")</f>
        <v>300x600</v>
      </c>
      <c r="R1032" s="3"/>
      <c r="S1032" s="3" t="str">
        <f ca="1">IFERROR(__xludf.DUMMYFUNCTION("""COMPUTED_VALUE"""),"100 (200 - HTML5)")</f>
        <v>100 (200 - HTML5)</v>
      </c>
      <c r="T1032" s="3"/>
      <c r="U1032" s="3" t="str">
        <f ca="1">IFERROR(__xludf.DUMMYFUNCTION("""COMPUTED_VALUE"""),"banner standard")</f>
        <v>banner standard</v>
      </c>
      <c r="V1032" s="3"/>
      <c r="W1032" s="4" t="str">
        <f ca="1">IFERROR(__xludf.DUMMYFUNCTION("""COMPUTED_VALUE"""),"https://reklama.cncenter.cz/Online/double-skyscraper")</f>
        <v>https://reklama.cncenter.cz/Online/double-skyscraper</v>
      </c>
      <c r="X1032" s="3"/>
      <c r="Y1032" s="3"/>
      <c r="Z1032" s="3" t="str">
        <f ca="1">IFERROR(__xludf.DUMMYFUNCTION("""COMPUTED_VALUE"""),"podklady@cncenter.cz")</f>
        <v>podklady@cncenter.cz</v>
      </c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 t="str">
        <f ca="1">IFERROR(__xludf.DUMMYFUNCTION("""COMPUTED_VALUE"""),"desktop")</f>
        <v>desktop</v>
      </c>
      <c r="AO1032" s="3"/>
      <c r="AP1032" s="3"/>
      <c r="AQ1032" s="3"/>
      <c r="AR1032" s="3"/>
      <c r="AS1032" s="3"/>
      <c r="AT1032" s="3"/>
      <c r="AU1032" s="3" t="str">
        <f ca="1">IFERROR(__xludf.DUMMYFUNCTION("""COMPUTED_VALUE"""),"double skyscraper")</f>
        <v>double skyscraper</v>
      </c>
    </row>
    <row r="1033" spans="1:47" x14ac:dyDescent="0.3">
      <c r="A1033" s="3">
        <f ca="1"/>
        <v>2346826</v>
      </c>
      <c r="B1033" s="3" t="str">
        <f ca="1"/>
        <v>CZECH NEWS CENTER a. s.</v>
      </c>
      <c r="C1033" s="3" t="str">
        <f ca="1">IFERROR(__xludf.DUMMYFUNCTION("""COMPUTED_VALUE"""),"Ženy")</f>
        <v>Ženy</v>
      </c>
      <c r="D1033" s="4" t="str">
        <f ca="1">IFERROR(__xludf.DUMMYFUNCTION("""COMPUTED_VALUE"""),"https://zeny.cz")</f>
        <v>https://zeny.cz</v>
      </c>
      <c r="E1033" s="3" t="str">
        <f ca="1">IFERROR(__xludf.DUMMYFUNCTION("""COMPUTED_VALUE"""),"celý web")</f>
        <v>celý web</v>
      </c>
      <c r="F1033" s="4" t="str">
        <f ca="1">IFERROR(__xludf.DUMMYFUNCTION("""COMPUTED_VALUE"""),"https://zeny.cz")</f>
        <v>https://zeny.cz</v>
      </c>
      <c r="G1033" s="3" t="str">
        <f ca="1">IFERROR(__xludf.DUMMYFUNCTION("""COMPUTED_VALUE"""),"mini videospot - max. 30 sec. mid season")</f>
        <v>mini videospot - max. 30 sec. mid season</v>
      </c>
      <c r="H1033" s="3">
        <f ca="1">IFERROR(__xludf.DUMMYFUNCTION("""COMPUTED_VALUE"""),7)</f>
        <v>7</v>
      </c>
      <c r="I1033" s="5">
        <f ca="1">IFERROR(__xludf.DUMMYFUNCTION("""COMPUTED_VALUE"""),1000)</f>
        <v>1000</v>
      </c>
      <c r="J1033" s="5">
        <f ca="1">IFERROR(__xludf.DUMMYFUNCTION("""COMPUTED_VALUE"""),200)</f>
        <v>200</v>
      </c>
      <c r="K1033" s="3"/>
      <c r="L1033" s="3" t="str">
        <f ca="1">IFERROR(__xludf.DUMMYFUNCTION("""COMPUTED_VALUE"""),"Cost per period")</f>
        <v>Cost per period</v>
      </c>
      <c r="M1033" s="3"/>
      <c r="N1033" s="3"/>
      <c r="O1033" s="3"/>
      <c r="P1033" s="3"/>
      <c r="Q1033" s="3" t="str">
        <f ca="1">IFERROR(__xludf.DUMMYFUNCTION("""COMPUTED_VALUE"""),"16:9 / umístění po domluvě dle možností")</f>
        <v>16:9 / umístění po domluvě dle možností</v>
      </c>
      <c r="R1033" s="3" t="str">
        <f ca="1">IFERROR(__xludf.DUMMYFUNCTION("""COMPUTED_VALUE"""),"přeskočení po 7 sekundách")</f>
        <v>přeskočení po 7 sekundách</v>
      </c>
      <c r="S1033" s="3" t="str">
        <f ca="1">IFERROR(__xludf.DUMMYFUNCTION("""COMPUTED_VALUE"""),"100")</f>
        <v>100</v>
      </c>
      <c r="T1033" s="3"/>
      <c r="U1033" s="3" t="str">
        <f ca="1">IFERROR(__xludf.DUMMYFUNCTION("""COMPUTED_VALUE"""),"videospot")</f>
        <v>videospot</v>
      </c>
      <c r="V1033" s="3"/>
      <c r="W1033" s="4" t="str">
        <f ca="1">IFERROR(__xludf.DUMMYFUNCTION("""COMPUTED_VALUE"""),"https://reklama.cncenter.cz/Online/Videospot")</f>
        <v>https://reklama.cncenter.cz/Online/Videospot</v>
      </c>
      <c r="X1033" s="3"/>
      <c r="Y1033" s="3"/>
      <c r="Z1033" s="3" t="str">
        <f ca="1">IFERROR(__xludf.DUMMYFUNCTION("""COMPUTED_VALUE"""),"podklady@cncenter.cz")</f>
        <v>podklady@cncenter.cz</v>
      </c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 t="str">
        <f ca="1">IFERROR(__xludf.DUMMYFUNCTION("""COMPUTED_VALUE"""),"desktop")</f>
        <v>desktop</v>
      </c>
      <c r="AO1033" s="3"/>
      <c r="AP1033" s="3"/>
      <c r="AQ1033" s="3"/>
      <c r="AR1033" s="3"/>
      <c r="AS1033" s="3"/>
      <c r="AT1033" s="3"/>
      <c r="AU1033" s="3" t="str">
        <f ca="1">IFERROR(__xludf.DUMMYFUNCTION("""COMPUTED_VALUE"""),"mini videospot - max. 30 sec.")</f>
        <v>mini videospot - max. 30 sec.</v>
      </c>
    </row>
    <row r="1034" spans="1:47" x14ac:dyDescent="0.3">
      <c r="A1034" s="3">
        <f ca="1"/>
        <v>2346826</v>
      </c>
      <c r="B1034" s="3" t="str">
        <f ca="1"/>
        <v>CZECH NEWS CENTER a. s.</v>
      </c>
      <c r="C1034" s="3" t="str">
        <f ca="1">IFERROR(__xludf.DUMMYFUNCTION("""COMPUTED_VALUE"""),"Ženy")</f>
        <v>Ženy</v>
      </c>
      <c r="D1034" s="4" t="str">
        <f ca="1">IFERROR(__xludf.DUMMYFUNCTION("""COMPUTED_VALUE"""),"https://zeny.cz")</f>
        <v>https://zeny.cz</v>
      </c>
      <c r="E1034" s="3" t="str">
        <f ca="1">IFERROR(__xludf.DUMMYFUNCTION("""COMPUTED_VALUE"""),"celý web")</f>
        <v>celý web</v>
      </c>
      <c r="F1034" s="4" t="str">
        <f ca="1">IFERROR(__xludf.DUMMYFUNCTION("""COMPUTED_VALUE"""),"https://zeny.cz")</f>
        <v>https://zeny.cz</v>
      </c>
      <c r="G1034" s="3" t="str">
        <f ca="1">IFERROR(__xludf.DUMMYFUNCTION("""COMPUTED_VALUE"""),"mobilní interscroller mid season")</f>
        <v>mobilní interscroller mid season</v>
      </c>
      <c r="H1034" s="3">
        <f ca="1">IFERROR(__xludf.DUMMYFUNCTION("""COMPUTED_VALUE"""),7)</f>
        <v>7</v>
      </c>
      <c r="I1034" s="5">
        <f ca="1">IFERROR(__xludf.DUMMYFUNCTION("""COMPUTED_VALUE"""),1000)</f>
        <v>1000</v>
      </c>
      <c r="J1034" s="5">
        <f ca="1">IFERROR(__xludf.DUMMYFUNCTION("""COMPUTED_VALUE"""),350)</f>
        <v>350</v>
      </c>
      <c r="K1034" s="3"/>
      <c r="L1034" s="3" t="str">
        <f ca="1">IFERROR(__xludf.DUMMYFUNCTION("""COMPUTED_VALUE"""),"Cost per period")</f>
        <v>Cost per period</v>
      </c>
      <c r="M1034" s="3"/>
      <c r="N1034" s="3"/>
      <c r="O1034" s="3" t="str">
        <f ca="1">IFERROR(__xludf.DUMMYFUNCTION("""COMPUTED_VALUE"""),"600")</f>
        <v>600</v>
      </c>
      <c r="P1034" s="3" t="str">
        <f ca="1">IFERROR(__xludf.DUMMYFUNCTION("""COMPUTED_VALUE"""),"1080")</f>
        <v>1080</v>
      </c>
      <c r="Q1034" s="3" t="str">
        <f ca="1">IFERROR(__xludf.DUMMYFUNCTION("""COMPUTED_VALUE"""),"600x1080")</f>
        <v>600x1080</v>
      </c>
      <c r="R1034" s="3"/>
      <c r="S1034" s="3" t="str">
        <f ca="1">IFERROR(__xludf.DUMMYFUNCTION("""COMPUTED_VALUE"""),"200")</f>
        <v>200</v>
      </c>
      <c r="T1034" s="3"/>
      <c r="U1034" s="3" t="str">
        <f ca="1">IFERROR(__xludf.DUMMYFUNCTION("""COMPUTED_VALUE"""),"banner standard")</f>
        <v>banner standard</v>
      </c>
      <c r="V1034" s="3"/>
      <c r="W1034" s="4" t="str">
        <f ca="1">IFERROR(__xludf.DUMMYFUNCTION("""COMPUTED_VALUE"""),"https://reklama.cncenter.cz/Online/mobilni-interscroller")</f>
        <v>https://reklama.cncenter.cz/Online/mobilni-interscroller</v>
      </c>
      <c r="X1034" s="3"/>
      <c r="Y1034" s="3"/>
      <c r="Z1034" s="3" t="str">
        <f ca="1">IFERROR(__xludf.DUMMYFUNCTION("""COMPUTED_VALUE"""),"podklady@cncenter.cz")</f>
        <v>podklady@cncenter.cz</v>
      </c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 t="str">
        <f ca="1">IFERROR(__xludf.DUMMYFUNCTION("""COMPUTED_VALUE"""),"mobile")</f>
        <v>mobile</v>
      </c>
      <c r="AO1034" s="3"/>
      <c r="AP1034" s="3"/>
      <c r="AQ1034" s="3"/>
      <c r="AR1034" s="3"/>
      <c r="AS1034" s="3"/>
      <c r="AT1034" s="3"/>
      <c r="AU1034" s="3" t="str">
        <f ca="1">IFERROR(__xludf.DUMMYFUNCTION("""COMPUTED_VALUE"""),"mobilní interscroller")</f>
        <v>mobilní interscroller</v>
      </c>
    </row>
    <row r="1035" spans="1:47" x14ac:dyDescent="0.3">
      <c r="A1035" s="3">
        <f ca="1"/>
        <v>2346826</v>
      </c>
      <c r="B1035" s="3" t="str">
        <f ca="1"/>
        <v>CZECH NEWS CENTER a. s.</v>
      </c>
      <c r="C1035" s="3" t="str">
        <f ca="1">IFERROR(__xludf.DUMMYFUNCTION("""COMPUTED_VALUE"""),"Ženy")</f>
        <v>Ženy</v>
      </c>
      <c r="D1035" s="4" t="str">
        <f ca="1">IFERROR(__xludf.DUMMYFUNCTION("""COMPUTED_VALUE"""),"https://zeny.cz")</f>
        <v>https://zeny.cz</v>
      </c>
      <c r="E1035" s="3" t="str">
        <f ca="1">IFERROR(__xludf.DUMMYFUNCTION("""COMPUTED_VALUE"""),"celý web")</f>
        <v>celý web</v>
      </c>
      <c r="F1035" s="4" t="str">
        <f ca="1">IFERROR(__xludf.DUMMYFUNCTION("""COMPUTED_VALUE"""),"https://zeny.cz")</f>
        <v>https://zeny.cz</v>
      </c>
      <c r="G1035" s="3" t="str">
        <f ca="1">IFERROR(__xludf.DUMMYFUNCTION("""COMPUTED_VALUE"""),"mobilní slide-up mid season")</f>
        <v>mobilní slide-up mid season</v>
      </c>
      <c r="H1035" s="3">
        <f ca="1">IFERROR(__xludf.DUMMYFUNCTION("""COMPUTED_VALUE"""),7)</f>
        <v>7</v>
      </c>
      <c r="I1035" s="5">
        <f ca="1">IFERROR(__xludf.DUMMYFUNCTION("""COMPUTED_VALUE"""),1000)</f>
        <v>1000</v>
      </c>
      <c r="J1035" s="5">
        <f ca="1">IFERROR(__xludf.DUMMYFUNCTION("""COMPUTED_VALUE"""),720)</f>
        <v>720</v>
      </c>
      <c r="K1035" s="3"/>
      <c r="L1035" s="3" t="str">
        <f ca="1">IFERROR(__xludf.DUMMYFUNCTION("""COMPUTED_VALUE"""),"Cost per period")</f>
        <v>Cost per period</v>
      </c>
      <c r="M1035" s="3"/>
      <c r="N1035" s="3"/>
      <c r="O1035" s="3" t="str">
        <f ca="1">IFERROR(__xludf.DUMMYFUNCTION("""COMPUTED_VALUE"""),"300")</f>
        <v>300</v>
      </c>
      <c r="P1035" s="3" t="str">
        <f ca="1">IFERROR(__xludf.DUMMYFUNCTION("""COMPUTED_VALUE"""),"120")</f>
        <v>120</v>
      </c>
      <c r="Q1035" s="3" t="str">
        <f ca="1">IFERROR(__xludf.DUMMYFUNCTION("""COMPUTED_VALUE"""),"300x120")</f>
        <v>300x120</v>
      </c>
      <c r="R1035" s="3"/>
      <c r="S1035" s="3" t="str">
        <f ca="1">IFERROR(__xludf.DUMMYFUNCTION("""COMPUTED_VALUE"""),"100")</f>
        <v>100</v>
      </c>
      <c r="T1035" s="3"/>
      <c r="U1035" s="3" t="str">
        <f ca="1">IFERROR(__xludf.DUMMYFUNCTION("""COMPUTED_VALUE"""),"banner standard")</f>
        <v>banner standard</v>
      </c>
      <c r="V1035" s="3"/>
      <c r="W1035" s="4" t="str">
        <f ca="1">IFERROR(__xludf.DUMMYFUNCTION("""COMPUTED_VALUE"""),"https://reklama.cncenter.cz/Online/mobilni-slide-up")</f>
        <v>https://reklama.cncenter.cz/Online/mobilni-slide-up</v>
      </c>
      <c r="X1035" s="3"/>
      <c r="Y1035" s="3"/>
      <c r="Z1035" s="3" t="str">
        <f ca="1">IFERROR(__xludf.DUMMYFUNCTION("""COMPUTED_VALUE"""),"podklady@cncenter.cz")</f>
        <v>podklady@cncenter.cz</v>
      </c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 t="str">
        <f ca="1">IFERROR(__xludf.DUMMYFUNCTION("""COMPUTED_VALUE"""),"mobile")</f>
        <v>mobile</v>
      </c>
      <c r="AO1035" s="3"/>
      <c r="AP1035" s="3"/>
      <c r="AQ1035" s="3"/>
      <c r="AR1035" s="3"/>
      <c r="AS1035" s="3"/>
      <c r="AT1035" s="3"/>
      <c r="AU1035" s="3" t="str">
        <f ca="1">IFERROR(__xludf.DUMMYFUNCTION("""COMPUTED_VALUE"""),"mobilní slide-up")</f>
        <v>mobilní slide-up</v>
      </c>
    </row>
    <row r="1036" spans="1:47" x14ac:dyDescent="0.3">
      <c r="A1036" s="3">
        <f ca="1"/>
        <v>2346826</v>
      </c>
      <c r="B1036" s="3" t="str">
        <f ca="1"/>
        <v>CZECH NEWS CENTER a. s.</v>
      </c>
      <c r="C1036" s="3" t="str">
        <f ca="1">IFERROR(__xludf.DUMMYFUNCTION("""COMPUTED_VALUE"""),"Ženy")</f>
        <v>Ženy</v>
      </c>
      <c r="D1036" s="4" t="str">
        <f ca="1">IFERROR(__xludf.DUMMYFUNCTION("""COMPUTED_VALUE"""),"https://zeny.cz")</f>
        <v>https://zeny.cz</v>
      </c>
      <c r="E1036" s="3" t="str">
        <f ca="1">IFERROR(__xludf.DUMMYFUNCTION("""COMPUTED_VALUE"""),"celý web")</f>
        <v>celý web</v>
      </c>
      <c r="F1036" s="4" t="str">
        <f ca="1">IFERROR(__xludf.DUMMYFUNCTION("""COMPUTED_VALUE"""),"https://zeny.cz")</f>
        <v>https://zeny.cz</v>
      </c>
      <c r="G1036" s="3" t="str">
        <f ca="1">IFERROR(__xludf.DUMMYFUNCTION("""COMPUTED_VALUE"""),"mobilní viněta mid season")</f>
        <v>mobilní viněta mid season</v>
      </c>
      <c r="H1036" s="3">
        <f ca="1">IFERROR(__xludf.DUMMYFUNCTION("""COMPUTED_VALUE"""),7)</f>
        <v>7</v>
      </c>
      <c r="I1036" s="5">
        <f ca="1">IFERROR(__xludf.DUMMYFUNCTION("""COMPUTED_VALUE"""),1000)</f>
        <v>1000</v>
      </c>
      <c r="J1036" s="5">
        <f ca="1">IFERROR(__xludf.DUMMYFUNCTION("""COMPUTED_VALUE"""),1240)</f>
        <v>1240</v>
      </c>
      <c r="K1036" s="3"/>
      <c r="L1036" s="3" t="str">
        <f ca="1">IFERROR(__xludf.DUMMYFUNCTION("""COMPUTED_VALUE"""),"Cost per period")</f>
        <v>Cost per period</v>
      </c>
      <c r="M1036" s="3"/>
      <c r="N1036" s="3"/>
      <c r="O1036" s="3" t="str">
        <f ca="1">IFERROR(__xludf.DUMMYFUNCTION("""COMPUTED_VALUE"""),"600")</f>
        <v>600</v>
      </c>
      <c r="P1036" s="3" t="str">
        <f ca="1">IFERROR(__xludf.DUMMYFUNCTION("""COMPUTED_VALUE"""),"800")</f>
        <v>800</v>
      </c>
      <c r="Q1036" s="3" t="str">
        <f ca="1">IFERROR(__xludf.DUMMYFUNCTION("""COMPUTED_VALUE"""),"300x250 nebo 600x800")</f>
        <v>300x250 nebo 600x800</v>
      </c>
      <c r="R1036" s="3"/>
      <c r="S1036" s="3" t="str">
        <f ca="1">IFERROR(__xludf.DUMMYFUNCTION("""COMPUTED_VALUE"""),"100")</f>
        <v>100</v>
      </c>
      <c r="T1036" s="3"/>
      <c r="U1036" s="3" t="str">
        <f ca="1">IFERROR(__xludf.DUMMYFUNCTION("""COMPUTED_VALUE"""),"banner standard")</f>
        <v>banner standard</v>
      </c>
      <c r="V1036" s="3"/>
      <c r="W1036" s="4" t="str">
        <f ca="1">IFERROR(__xludf.DUMMYFUNCTION("""COMPUTED_VALUE"""),"https://reklama.cncenter.cz/Online/mobilni-vineta")</f>
        <v>https://reklama.cncenter.cz/Online/mobilni-vineta</v>
      </c>
      <c r="X1036" s="3"/>
      <c r="Y1036" s="3"/>
      <c r="Z1036" s="3" t="str">
        <f ca="1">IFERROR(__xludf.DUMMYFUNCTION("""COMPUTED_VALUE"""),"podklady@cncenter.cz")</f>
        <v>podklady@cncenter.cz</v>
      </c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 t="str">
        <f ca="1">IFERROR(__xludf.DUMMYFUNCTION("""COMPUTED_VALUE"""),"mobile")</f>
        <v>mobile</v>
      </c>
      <c r="AO1036" s="3"/>
      <c r="AP1036" s="3"/>
      <c r="AQ1036" s="3"/>
      <c r="AR1036" s="3"/>
      <c r="AS1036" s="3"/>
      <c r="AT1036" s="3"/>
      <c r="AU1036" s="3" t="str">
        <f ca="1">IFERROR(__xludf.DUMMYFUNCTION("""COMPUTED_VALUE"""),"mobilní viněta")</f>
        <v>mobilní viněta</v>
      </c>
    </row>
    <row r="1037" spans="1:47" x14ac:dyDescent="0.3">
      <c r="A1037" s="3">
        <f ca="1"/>
        <v>2346826</v>
      </c>
      <c r="B1037" s="3" t="str">
        <f ca="1"/>
        <v>CZECH NEWS CENTER a. s.</v>
      </c>
      <c r="C1037" s="3" t="str">
        <f ca="1">IFERROR(__xludf.DUMMYFUNCTION("""COMPUTED_VALUE"""),"Ženy")</f>
        <v>Ženy</v>
      </c>
      <c r="D1037" s="4" t="str">
        <f ca="1">IFERROR(__xludf.DUMMYFUNCTION("""COMPUTED_VALUE"""),"https://zeny.cz")</f>
        <v>https://zeny.cz</v>
      </c>
      <c r="E1037" s="3" t="str">
        <f ca="1">IFERROR(__xludf.DUMMYFUNCTION("""COMPUTED_VALUE"""),"celý web")</f>
        <v>celý web</v>
      </c>
      <c r="F1037" s="4" t="str">
        <f ca="1">IFERROR(__xludf.DUMMYFUNCTION("""COMPUTED_VALUE"""),"https://zeny.cz")</f>
        <v>https://zeny.cz</v>
      </c>
      <c r="G1037" s="3" t="str">
        <f ca="1">IFERROR(__xludf.DUMMYFUNCTION("""COMPUTED_VALUE"""),"Native Standard mid season")</f>
        <v>Native Standard mid season</v>
      </c>
      <c r="H1037" s="3">
        <f ca="1">IFERROR(__xludf.DUMMYFUNCTION("""COMPUTED_VALUE"""),1)</f>
        <v>1</v>
      </c>
      <c r="I1037" s="5">
        <f ca="1">IFERROR(__xludf.DUMMYFUNCTION("""COMPUTED_VALUE"""),1)</f>
        <v>1</v>
      </c>
      <c r="J1037" s="5">
        <f ca="1">IFERROR(__xludf.DUMMYFUNCTION("""COMPUTED_VALUE"""),330000)</f>
        <v>330000</v>
      </c>
      <c r="K1037" s="3"/>
      <c r="L1037" s="3" t="str">
        <f ca="1">IFERROR(__xludf.DUMMYFUNCTION("""COMPUTED_VALUE"""),"Cost per instance")</f>
        <v>Cost per instance</v>
      </c>
      <c r="M1037" s="3"/>
      <c r="N1037" s="3"/>
      <c r="O1037" s="3"/>
      <c r="P1037" s="3"/>
      <c r="Q1037" s="3"/>
      <c r="R1037" s="3"/>
      <c r="S1037" s="3" t="str">
        <f ca="1">IFERROR(__xludf.DUMMYFUNCTION("""COMPUTED_VALUE"""),"100")</f>
        <v>100</v>
      </c>
      <c r="T1037" s="3"/>
      <c r="U1037" s="3" t="str">
        <f ca="1">IFERROR(__xludf.DUMMYFUNCTION("""COMPUTED_VALUE"""),"microsite")</f>
        <v>microsite</v>
      </c>
      <c r="V1037" s="3"/>
      <c r="W1037" s="3"/>
      <c r="X1037" s="3"/>
      <c r="Y1037" s="3"/>
      <c r="Z1037" s="3" t="str">
        <f ca="1">IFERROR(__xludf.DUMMYFUNCTION("""COMPUTED_VALUE"""),"podklady@cncenter.cz")</f>
        <v>podklady@cncenter.cz</v>
      </c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 t="str">
        <f ca="1">IFERROR(__xludf.DUMMYFUNCTION("""COMPUTED_VALUE"""),"cross-device")</f>
        <v>cross-device</v>
      </c>
      <c r="AO1037" s="3"/>
      <c r="AP1037" s="3"/>
      <c r="AQ1037" s="3"/>
      <c r="AR1037" s="3"/>
      <c r="AS1037" s="3"/>
      <c r="AT1037" s="3"/>
      <c r="AU1037" s="3" t="str">
        <f ca="1">IFERROR(__xludf.DUMMYFUNCTION("""COMPUTED_VALUE"""),"Native Standard")</f>
        <v>Native Standard</v>
      </c>
    </row>
    <row r="1038" spans="1:47" x14ac:dyDescent="0.3">
      <c r="A1038" s="3">
        <f ca="1"/>
        <v>2346826</v>
      </c>
      <c r="B1038" s="3" t="str">
        <f ca="1"/>
        <v>CZECH NEWS CENTER a. s.</v>
      </c>
      <c r="C1038" s="3" t="str">
        <f ca="1">IFERROR(__xludf.DUMMYFUNCTION("""COMPUTED_VALUE"""),"Ženy")</f>
        <v>Ženy</v>
      </c>
      <c r="D1038" s="4" t="str">
        <f ca="1">IFERROR(__xludf.DUMMYFUNCTION("""COMPUTED_VALUE"""),"https://zeny.cz")</f>
        <v>https://zeny.cz</v>
      </c>
      <c r="E1038" s="3" t="str">
        <f ca="1">IFERROR(__xludf.DUMMYFUNCTION("""COMPUTED_VALUE"""),"celý web")</f>
        <v>celý web</v>
      </c>
      <c r="F1038" s="4" t="str">
        <f ca="1">IFERROR(__xludf.DUMMYFUNCTION("""COMPUTED_VALUE"""),"https://zeny.cz")</f>
        <v>https://zeny.cz</v>
      </c>
      <c r="G1038" s="3" t="str">
        <f ca="1">IFERROR(__xludf.DUMMYFUNCTION("""COMPUTED_VALUE"""),"nativní pr premium mid season")</f>
        <v>nativní pr premium mid season</v>
      </c>
      <c r="H1038" s="3">
        <f ca="1">IFERROR(__xludf.DUMMYFUNCTION("""COMPUTED_VALUE"""),7)</f>
        <v>7</v>
      </c>
      <c r="I1038" s="5">
        <f ca="1">IFERROR(__xludf.DUMMYFUNCTION("""COMPUTED_VALUE"""),1000)</f>
        <v>1000</v>
      </c>
      <c r="J1038" s="5">
        <f ca="1">IFERROR(__xludf.DUMMYFUNCTION("""COMPUTED_VALUE"""),140)</f>
        <v>140</v>
      </c>
      <c r="K1038" s="3"/>
      <c r="L1038" s="3" t="str">
        <f ca="1">IFERROR(__xludf.DUMMYFUNCTION("""COMPUTED_VALUE"""),"Cost per period")</f>
        <v>Cost per period</v>
      </c>
      <c r="M1038" s="3"/>
      <c r="N1038" s="3"/>
      <c r="O1038" s="3" t="str">
        <f ca="1">IFERROR(__xludf.DUMMYFUNCTION("""COMPUTED_VALUE"""),"640")</f>
        <v>640</v>
      </c>
      <c r="P1038" s="3" t="str">
        <f ca="1">IFERROR(__xludf.DUMMYFUNCTION("""COMPUTED_VALUE"""),"335, 640")</f>
        <v>335, 640</v>
      </c>
      <c r="Q1038" s="3" t="str">
        <f ca="1">IFERROR(__xludf.DUMMYFUNCTION("""COMPUTED_VALUE"""),"640x640 a 640x335 + text + logo")</f>
        <v>640x640 a 640x335 + text + logo</v>
      </c>
      <c r="R1038" s="3" t="str">
        <f ca="1">IFERROR(__xludf.DUMMYFUNCTION("""COMPUTED_VALUE"""),"detailní specifikace na URL odkaze")</f>
        <v>detailní specifikace na URL odkaze</v>
      </c>
      <c r="S1038" s="3" t="str">
        <f ca="1">IFERROR(__xludf.DUMMYFUNCTION("""COMPUTED_VALUE"""),"100")</f>
        <v>100</v>
      </c>
      <c r="T1038" s="3"/>
      <c r="U1038" s="3" t="str">
        <f ca="1">IFERROR(__xludf.DUMMYFUNCTION("""COMPUTED_VALUE"""),"nativní reklama")</f>
        <v>nativní reklama</v>
      </c>
      <c r="V1038" s="3"/>
      <c r="W1038" s="4" t="str">
        <f ca="1">IFERROR(__xludf.DUMMYFUNCTION("""COMPUTED_VALUE"""),"https://reklama.cncenter.cz/Online/nativni-PR-premium")</f>
        <v>https://reklama.cncenter.cz/Online/nativni-PR-premium</v>
      </c>
      <c r="X1038" s="3"/>
      <c r="Y1038" s="3"/>
      <c r="Z1038" s="3" t="str">
        <f ca="1">IFERROR(__xludf.DUMMYFUNCTION("""COMPUTED_VALUE"""),"podklady@cncenter.cz")</f>
        <v>podklady@cncenter.cz</v>
      </c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 t="str">
        <f ca="1">IFERROR(__xludf.DUMMYFUNCTION("""COMPUTED_VALUE"""),"cross-device")</f>
        <v>cross-device</v>
      </c>
      <c r="AO1038" s="3"/>
      <c r="AP1038" s="3"/>
      <c r="AQ1038" s="3"/>
      <c r="AR1038" s="3"/>
      <c r="AS1038" s="3"/>
      <c r="AT1038" s="3"/>
      <c r="AU1038" s="3" t="str">
        <f ca="1">IFERROR(__xludf.DUMMYFUNCTION("""COMPUTED_VALUE"""),"nativní pr premium")</f>
        <v>nativní pr premium</v>
      </c>
    </row>
    <row r="1039" spans="1:47" x14ac:dyDescent="0.3">
      <c r="A1039" s="3">
        <f ca="1"/>
        <v>2346826</v>
      </c>
      <c r="B1039" s="3" t="str">
        <f ca="1"/>
        <v>CZECH NEWS CENTER a. s.</v>
      </c>
      <c r="C1039" s="3" t="str">
        <f ca="1">IFERROR(__xludf.DUMMYFUNCTION("""COMPUTED_VALUE"""),"Ženy")</f>
        <v>Ženy</v>
      </c>
      <c r="D1039" s="4" t="str">
        <f ca="1">IFERROR(__xludf.DUMMYFUNCTION("""COMPUTED_VALUE"""),"https://zeny.cz")</f>
        <v>https://zeny.cz</v>
      </c>
      <c r="E1039" s="3" t="str">
        <f ca="1">IFERROR(__xludf.DUMMYFUNCTION("""COMPUTED_VALUE"""),"celý web")</f>
        <v>celý web</v>
      </c>
      <c r="F1039" s="4" t="str">
        <f ca="1">IFERROR(__xludf.DUMMYFUNCTION("""COMPUTED_VALUE"""),"https://zeny.cz")</f>
        <v>https://zeny.cz</v>
      </c>
      <c r="G1039" s="3" t="str">
        <f ca="1">IFERROR(__xludf.DUMMYFUNCTION("""COMPUTED_VALUE"""),"nativní rectangle cross-device mid season")</f>
        <v>nativní rectangle cross-device mid season</v>
      </c>
      <c r="H1039" s="3">
        <f ca="1">IFERROR(__xludf.DUMMYFUNCTION("""COMPUTED_VALUE"""),7)</f>
        <v>7</v>
      </c>
      <c r="I1039" s="5">
        <f ca="1">IFERROR(__xludf.DUMMYFUNCTION("""COMPUTED_VALUE"""),1000)</f>
        <v>1000</v>
      </c>
      <c r="J1039" s="5">
        <f ca="1">IFERROR(__xludf.DUMMYFUNCTION("""COMPUTED_VALUE"""),280)</f>
        <v>280</v>
      </c>
      <c r="K1039" s="3"/>
      <c r="L1039" s="3" t="str">
        <f ca="1">IFERROR(__xludf.DUMMYFUNCTION("""COMPUTED_VALUE"""),"Cost per period")</f>
        <v>Cost per period</v>
      </c>
      <c r="M1039" s="3"/>
      <c r="N1039" s="3"/>
      <c r="O1039" s="3" t="str">
        <f ca="1">IFERROR(__xludf.DUMMYFUNCTION("""COMPUTED_VALUE"""),"640")</f>
        <v>640</v>
      </c>
      <c r="P1039" s="3" t="str">
        <f ca="1">IFERROR(__xludf.DUMMYFUNCTION("""COMPUTED_VALUE"""),"335, 640")</f>
        <v>335, 640</v>
      </c>
      <c r="Q1039" s="3" t="str">
        <f ca="1">IFERROR(__xludf.DUMMYFUNCTION("""COMPUTED_VALUE"""),"640x640 a 640x335 + text + logo")</f>
        <v>640x640 a 640x335 + text + logo</v>
      </c>
      <c r="R1039" s="3"/>
      <c r="S1039" s="3" t="str">
        <f ca="1">IFERROR(__xludf.DUMMYFUNCTION("""COMPUTED_VALUE"""),"45")</f>
        <v>45</v>
      </c>
      <c r="T1039" s="3"/>
      <c r="U1039" s="3" t="str">
        <f ca="1">IFERROR(__xludf.DUMMYFUNCTION("""COMPUTED_VALUE"""),"nativní reklama")</f>
        <v>nativní reklama</v>
      </c>
      <c r="V1039" s="3"/>
      <c r="W1039" s="4" t="str">
        <f ca="1">IFERROR(__xludf.DUMMYFUNCTION("""COMPUTED_VALUE"""),"https://reklama.cncenter.cz/Online/nativni-rectangle-cross-device")</f>
        <v>https://reklama.cncenter.cz/Online/nativni-rectangle-cross-device</v>
      </c>
      <c r="X1039" s="3"/>
      <c r="Y1039" s="3"/>
      <c r="Z1039" s="3" t="str">
        <f ca="1">IFERROR(__xludf.DUMMYFUNCTION("""COMPUTED_VALUE"""),"podklady@cncenter.cz")</f>
        <v>podklady@cncenter.cz</v>
      </c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 t="str">
        <f ca="1">IFERROR(__xludf.DUMMYFUNCTION("""COMPUTED_VALUE"""),"cross-device")</f>
        <v>cross-device</v>
      </c>
      <c r="AO1039" s="3"/>
      <c r="AP1039" s="3"/>
      <c r="AQ1039" s="3"/>
      <c r="AR1039" s="3"/>
      <c r="AS1039" s="3"/>
      <c r="AT1039" s="3"/>
      <c r="AU1039" s="3" t="str">
        <f ca="1">IFERROR(__xludf.DUMMYFUNCTION("""COMPUTED_VALUE"""),"nativní rectangle cross-device")</f>
        <v>nativní rectangle cross-device</v>
      </c>
    </row>
    <row r="1040" spans="1:47" x14ac:dyDescent="0.3">
      <c r="A1040" s="3">
        <f ca="1"/>
        <v>2346826</v>
      </c>
      <c r="B1040" s="3" t="str">
        <f ca="1"/>
        <v>CZECH NEWS CENTER a. s.</v>
      </c>
      <c r="C1040" s="3" t="str">
        <f ca="1">IFERROR(__xludf.DUMMYFUNCTION("""COMPUTED_VALUE"""),"Ženy")</f>
        <v>Ženy</v>
      </c>
      <c r="D1040" s="4" t="str">
        <f ca="1">IFERROR(__xludf.DUMMYFUNCTION("""COMPUTED_VALUE"""),"https://zeny.cz")</f>
        <v>https://zeny.cz</v>
      </c>
      <c r="E1040" s="3" t="str">
        <f ca="1">IFERROR(__xludf.DUMMYFUNCTION("""COMPUTED_VALUE"""),"celý web")</f>
        <v>celý web</v>
      </c>
      <c r="F1040" s="4" t="str">
        <f ca="1">IFERROR(__xludf.DUMMYFUNCTION("""COMPUTED_VALUE"""),"https://zeny.cz")</f>
        <v>https://zeny.cz</v>
      </c>
      <c r="G1040" s="3" t="str">
        <f ca="1">IFERROR(__xludf.DUMMYFUNCTION("""COMPUTED_VALUE"""),"outstream mid season")</f>
        <v>outstream mid season</v>
      </c>
      <c r="H1040" s="3">
        <f ca="1">IFERROR(__xludf.DUMMYFUNCTION("""COMPUTED_VALUE"""),7)</f>
        <v>7</v>
      </c>
      <c r="I1040" s="5">
        <f ca="1">IFERROR(__xludf.DUMMYFUNCTION("""COMPUTED_VALUE"""),1000)</f>
        <v>1000</v>
      </c>
      <c r="J1040" s="5">
        <f ca="1">IFERROR(__xludf.DUMMYFUNCTION("""COMPUTED_VALUE"""),350)</f>
        <v>350</v>
      </c>
      <c r="K1040" s="3"/>
      <c r="L1040" s="3" t="str">
        <f ca="1">IFERROR(__xludf.DUMMYFUNCTION("""COMPUTED_VALUE"""),"Cost per period")</f>
        <v>Cost per period</v>
      </c>
      <c r="M1040" s="3"/>
      <c r="N1040" s="3"/>
      <c r="O1040" s="3" t="str">
        <f ca="1">IFERROR(__xludf.DUMMYFUNCTION("""COMPUTED_VALUE"""),"1280")</f>
        <v>1280</v>
      </c>
      <c r="P1040" s="3" t="str">
        <f ca="1">IFERROR(__xludf.DUMMYFUNCTION("""COMPUTED_VALUE"""),"720")</f>
        <v>720</v>
      </c>
      <c r="Q1040" s="3" t="str">
        <f ca="1">IFERROR(__xludf.DUMMYFUNCTION("""COMPUTED_VALUE"""),"16:9")</f>
        <v>16:9</v>
      </c>
      <c r="R1040" s="3"/>
      <c r="S1040" s="3" t="str">
        <f ca="1">IFERROR(__xludf.DUMMYFUNCTION("""COMPUTED_VALUE"""),"100")</f>
        <v>100</v>
      </c>
      <c r="T1040" s="3"/>
      <c r="U1040" s="3" t="str">
        <f ca="1">IFERROR(__xludf.DUMMYFUNCTION("""COMPUTED_VALUE"""),"videospot")</f>
        <v>videospot</v>
      </c>
      <c r="V1040" s="3"/>
      <c r="W1040" s="4" t="str">
        <f ca="1">IFERROR(__xludf.DUMMYFUNCTION("""COMPUTED_VALUE"""),"https://reklama.cncenter.cz/Online/Outstream")</f>
        <v>https://reklama.cncenter.cz/Online/Outstream</v>
      </c>
      <c r="X1040" s="3"/>
      <c r="Y1040" s="3"/>
      <c r="Z1040" s="3" t="str">
        <f ca="1">IFERROR(__xludf.DUMMYFUNCTION("""COMPUTED_VALUE"""),"podklady@cncenter.cz")</f>
        <v>podklady@cncenter.cz</v>
      </c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 t="str">
        <f ca="1">IFERROR(__xludf.DUMMYFUNCTION("""COMPUTED_VALUE"""),"cross-device")</f>
        <v>cross-device</v>
      </c>
      <c r="AO1040" s="3"/>
      <c r="AP1040" s="3"/>
      <c r="AQ1040" s="3"/>
      <c r="AR1040" s="3"/>
      <c r="AS1040" s="3"/>
      <c r="AT1040" s="3"/>
      <c r="AU1040" s="3" t="str">
        <f ca="1">IFERROR(__xludf.DUMMYFUNCTION("""COMPUTED_VALUE"""),"outstream")</f>
        <v>outstream</v>
      </c>
    </row>
    <row r="1041" spans="1:47" x14ac:dyDescent="0.3">
      <c r="A1041" s="3">
        <f ca="1"/>
        <v>2346826</v>
      </c>
      <c r="B1041" s="3" t="str">
        <f ca="1"/>
        <v>CZECH NEWS CENTER a. s.</v>
      </c>
      <c r="C1041" s="3" t="str">
        <f ca="1">IFERROR(__xludf.DUMMYFUNCTION("""COMPUTED_VALUE"""),"Ženy")</f>
        <v>Ženy</v>
      </c>
      <c r="D1041" s="4" t="str">
        <f ca="1">IFERROR(__xludf.DUMMYFUNCTION("""COMPUTED_VALUE"""),"https://zeny.cz")</f>
        <v>https://zeny.cz</v>
      </c>
      <c r="E1041" s="3" t="str">
        <f ca="1">IFERROR(__xludf.DUMMYFUNCTION("""COMPUTED_VALUE"""),"celý web")</f>
        <v>celý web</v>
      </c>
      <c r="F1041" s="4" t="str">
        <f ca="1">IFERROR(__xludf.DUMMYFUNCTION("""COMPUTED_VALUE"""),"https://zeny.cz")</f>
        <v>https://zeny.cz</v>
      </c>
      <c r="G1041" s="3" t="str">
        <f ca="1">IFERROR(__xludf.DUMMYFUNCTION("""COMPUTED_VALUE"""),"PR článek mid season")</f>
        <v>PR článek mid season</v>
      </c>
      <c r="H1041" s="3">
        <f ca="1">IFERROR(__xludf.DUMMYFUNCTION("""COMPUTED_VALUE"""),1)</f>
        <v>1</v>
      </c>
      <c r="I1041" s="5">
        <f ca="1">IFERROR(__xludf.DUMMYFUNCTION("""COMPUTED_VALUE"""),1)</f>
        <v>1</v>
      </c>
      <c r="J1041" s="5">
        <f ca="1">IFERROR(__xludf.DUMMYFUNCTION("""COMPUTED_VALUE"""),30000)</f>
        <v>30000</v>
      </c>
      <c r="K1041" s="3"/>
      <c r="L1041" s="3" t="str">
        <f ca="1">IFERROR(__xludf.DUMMYFUNCTION("""COMPUTED_VALUE"""),"Cost per instance")</f>
        <v>Cost per instance</v>
      </c>
      <c r="M1041" s="3"/>
      <c r="N1041" s="3"/>
      <c r="O1041" s="3"/>
      <c r="P1041" s="3"/>
      <c r="Q1041" s="3"/>
      <c r="R1041" s="3"/>
      <c r="S1041" s="3" t="str">
        <f ca="1">IFERROR(__xludf.DUMMYFUNCTION("""COMPUTED_VALUE"""),"100")</f>
        <v>100</v>
      </c>
      <c r="T1041" s="3"/>
      <c r="U1041" s="3" t="str">
        <f ca="1">IFERROR(__xludf.DUMMYFUNCTION("""COMPUTED_VALUE"""),"pr článek")</f>
        <v>pr článek</v>
      </c>
      <c r="V1041" s="3"/>
      <c r="W1041" s="4" t="str">
        <f ca="1">IFERROR(__xludf.DUMMYFUNCTION("""COMPUTED_VALUE"""),"https://reklama.cncenter.cz/?ads=PR%2520%25C4%258Dl%25C3%25A1nky")</f>
        <v>https://reklama.cncenter.cz/?ads=PR%2520%25C4%258Dl%25C3%25A1nky</v>
      </c>
      <c r="X1041" s="3"/>
      <c r="Y1041" s="3"/>
      <c r="Z1041" s="3" t="str">
        <f ca="1">IFERROR(__xludf.DUMMYFUNCTION("""COMPUTED_VALUE"""),"podklady@cncenter.cz")</f>
        <v>podklady@cncenter.cz</v>
      </c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 t="str">
        <f ca="1">IFERROR(__xludf.DUMMYFUNCTION("""COMPUTED_VALUE"""),"cross-device")</f>
        <v>cross-device</v>
      </c>
      <c r="AO1041" s="3"/>
      <c r="AP1041" s="3"/>
      <c r="AQ1041" s="3"/>
      <c r="AR1041" s="3"/>
      <c r="AS1041" s="3"/>
      <c r="AT1041" s="3"/>
      <c r="AU1041" s="3" t="str">
        <f ca="1">IFERROR(__xludf.DUMMYFUNCTION("""COMPUTED_VALUE"""),"PR článek")</f>
        <v>PR článek</v>
      </c>
    </row>
    <row r="1042" spans="1:47" x14ac:dyDescent="0.3">
      <c r="A1042" s="3">
        <f ca="1"/>
        <v>2346826</v>
      </c>
      <c r="B1042" s="3" t="str">
        <f ca="1"/>
        <v>CZECH NEWS CENTER a. s.</v>
      </c>
      <c r="C1042" s="3" t="str">
        <f ca="1">IFERROR(__xludf.DUMMYFUNCTION("""COMPUTED_VALUE"""),"Ženy")</f>
        <v>Ženy</v>
      </c>
      <c r="D1042" s="4" t="str">
        <f ca="1">IFERROR(__xludf.DUMMYFUNCTION("""COMPUTED_VALUE"""),"https://zeny.cz")</f>
        <v>https://zeny.cz</v>
      </c>
      <c r="E1042" s="3" t="str">
        <f ca="1">IFERROR(__xludf.DUMMYFUNCTION("""COMPUTED_VALUE"""),"celý web")</f>
        <v>celý web</v>
      </c>
      <c r="F1042" s="4" t="str">
        <f ca="1">IFERROR(__xludf.DUMMYFUNCTION("""COMPUTED_VALUE"""),"https://zeny.cz")</f>
        <v>https://zeny.cz</v>
      </c>
      <c r="G1042" s="3" t="str">
        <f ca="1">IFERROR(__xludf.DUMMYFUNCTION("""COMPUTED_VALUE"""),"Prodloužení existující microsite, bez úprav mid season")</f>
        <v>Prodloužení existující microsite, bez úprav mid season</v>
      </c>
      <c r="H1042" s="3">
        <f ca="1">IFERROR(__xludf.DUMMYFUNCTION("""COMPUTED_VALUE"""),1)</f>
        <v>1</v>
      </c>
      <c r="I1042" s="5">
        <f ca="1">IFERROR(__xludf.DUMMYFUNCTION("""COMPUTED_VALUE"""),1)</f>
        <v>1</v>
      </c>
      <c r="J1042" s="5">
        <f ca="1">IFERROR(__xludf.DUMMYFUNCTION("""COMPUTED_VALUE"""),15000)</f>
        <v>15000</v>
      </c>
      <c r="K1042" s="3"/>
      <c r="L1042" s="3" t="str">
        <f ca="1">IFERROR(__xludf.DUMMYFUNCTION("""COMPUTED_VALUE"""),"Cost per instance")</f>
        <v>Cost per instance</v>
      </c>
      <c r="M1042" s="3"/>
      <c r="N1042" s="3"/>
      <c r="O1042" s="3"/>
      <c r="P1042" s="3"/>
      <c r="Q1042" s="3"/>
      <c r="R1042" s="3"/>
      <c r="S1042" s="3" t="str">
        <f ca="1">IFERROR(__xludf.DUMMYFUNCTION("""COMPUTED_VALUE"""),"100")</f>
        <v>100</v>
      </c>
      <c r="T1042" s="3"/>
      <c r="U1042" s="3" t="str">
        <f ca="1">IFERROR(__xludf.DUMMYFUNCTION("""COMPUTED_VALUE"""),"microsite")</f>
        <v>microsite</v>
      </c>
      <c r="V1042" s="3"/>
      <c r="W1042" s="3"/>
      <c r="X1042" s="3"/>
      <c r="Y1042" s="3"/>
      <c r="Z1042" s="3" t="str">
        <f ca="1">IFERROR(__xludf.DUMMYFUNCTION("""COMPUTED_VALUE"""),"podklady@cncenter.cz")</f>
        <v>podklady@cncenter.cz</v>
      </c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 t="str">
        <f ca="1">IFERROR(__xludf.DUMMYFUNCTION("""COMPUTED_VALUE"""),"cross-device")</f>
        <v>cross-device</v>
      </c>
      <c r="AO1042" s="3"/>
      <c r="AP1042" s="3"/>
      <c r="AQ1042" s="3"/>
      <c r="AR1042" s="3"/>
      <c r="AS1042" s="3"/>
      <c r="AT1042" s="3"/>
      <c r="AU1042" s="3" t="str">
        <f ca="1">IFERROR(__xludf.DUMMYFUNCTION("""COMPUTED_VALUE"""),"Prodloužení existující microsite, bez úprav")</f>
        <v>Prodloužení existující microsite, bez úprav</v>
      </c>
    </row>
    <row r="1043" spans="1:47" x14ac:dyDescent="0.3">
      <c r="A1043" s="3">
        <f ca="1"/>
        <v>2346826</v>
      </c>
      <c r="B1043" s="3" t="str">
        <f ca="1"/>
        <v>CZECH NEWS CENTER a. s.</v>
      </c>
      <c r="C1043" s="3" t="str">
        <f ca="1">IFERROR(__xludf.DUMMYFUNCTION("""COMPUTED_VALUE"""),"Ženy")</f>
        <v>Ženy</v>
      </c>
      <c r="D1043" s="4" t="str">
        <f ca="1">IFERROR(__xludf.DUMMYFUNCTION("""COMPUTED_VALUE"""),"https://zeny.cz")</f>
        <v>https://zeny.cz</v>
      </c>
      <c r="E1043" s="3" t="str">
        <f ca="1">IFERROR(__xludf.DUMMYFUNCTION("""COMPUTED_VALUE"""),"celý web")</f>
        <v>celý web</v>
      </c>
      <c r="F1043" s="4" t="str">
        <f ca="1">IFERROR(__xludf.DUMMYFUNCTION("""COMPUTED_VALUE"""),"https://zeny.cz")</f>
        <v>https://zeny.cz</v>
      </c>
      <c r="G1043" s="3" t="str">
        <f ca="1">IFERROR(__xludf.DUMMYFUNCTION("""COMPUTED_VALUE"""),"Prodloužení existující microsite, bez úprav mid season")</f>
        <v>Prodloužení existující microsite, bez úprav mid season</v>
      </c>
      <c r="H1043" s="3">
        <f ca="1">IFERROR(__xludf.DUMMYFUNCTION("""COMPUTED_VALUE"""),1)</f>
        <v>1</v>
      </c>
      <c r="I1043" s="5">
        <f ca="1">IFERROR(__xludf.DUMMYFUNCTION("""COMPUTED_VALUE"""),1)</f>
        <v>1</v>
      </c>
      <c r="J1043" s="5">
        <f ca="1">IFERROR(__xludf.DUMMYFUNCTION("""COMPUTED_VALUE"""),15000)</f>
        <v>15000</v>
      </c>
      <c r="K1043" s="3"/>
      <c r="L1043" s="3" t="str">
        <f ca="1">IFERROR(__xludf.DUMMYFUNCTION("""COMPUTED_VALUE"""),"Cost per instance")</f>
        <v>Cost per instance</v>
      </c>
      <c r="M1043" s="3"/>
      <c r="N1043" s="3"/>
      <c r="O1043" s="3"/>
      <c r="P1043" s="3"/>
      <c r="Q1043" s="3"/>
      <c r="R1043" s="3"/>
      <c r="S1043" s="3" t="str">
        <f ca="1">IFERROR(__xludf.DUMMYFUNCTION("""COMPUTED_VALUE"""),"100")</f>
        <v>100</v>
      </c>
      <c r="T1043" s="3"/>
      <c r="U1043" s="3" t="str">
        <f ca="1">IFERROR(__xludf.DUMMYFUNCTION("""COMPUTED_VALUE"""),"microsite")</f>
        <v>microsite</v>
      </c>
      <c r="V1043" s="3"/>
      <c r="W1043" s="3"/>
      <c r="X1043" s="3"/>
      <c r="Y1043" s="3"/>
      <c r="Z1043" s="3" t="str">
        <f ca="1">IFERROR(__xludf.DUMMYFUNCTION("""COMPUTED_VALUE"""),"podklady@cncenter.cz")</f>
        <v>podklady@cncenter.cz</v>
      </c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 t="str">
        <f ca="1">IFERROR(__xludf.DUMMYFUNCTION("""COMPUTED_VALUE"""),"cross-device")</f>
        <v>cross-device</v>
      </c>
      <c r="AO1043" s="3"/>
      <c r="AP1043" s="3"/>
      <c r="AQ1043" s="3"/>
      <c r="AR1043" s="3"/>
      <c r="AS1043" s="3"/>
      <c r="AT1043" s="3"/>
      <c r="AU1043" s="3" t="str">
        <f ca="1">IFERROR(__xludf.DUMMYFUNCTION("""COMPUTED_VALUE"""),"Prodloužení existující microsite, bez úprav")</f>
        <v>Prodloužení existující microsite, bez úprav</v>
      </c>
    </row>
    <row r="1044" spans="1:47" x14ac:dyDescent="0.3">
      <c r="A1044" s="3">
        <f ca="1"/>
        <v>2346826</v>
      </c>
      <c r="B1044" s="3" t="str">
        <f ca="1"/>
        <v>CZECH NEWS CENTER a. s.</v>
      </c>
      <c r="C1044" s="3" t="str">
        <f ca="1">IFERROR(__xludf.DUMMYFUNCTION("""COMPUTED_VALUE"""),"Ženy")</f>
        <v>Ženy</v>
      </c>
      <c r="D1044" s="4" t="str">
        <f ca="1">IFERROR(__xludf.DUMMYFUNCTION("""COMPUTED_VALUE"""),"https://zeny.cz")</f>
        <v>https://zeny.cz</v>
      </c>
      <c r="E1044" s="3" t="str">
        <f ca="1">IFERROR(__xludf.DUMMYFUNCTION("""COMPUTED_VALUE"""),"celý web")</f>
        <v>celý web</v>
      </c>
      <c r="F1044" s="4" t="str">
        <f ca="1">IFERROR(__xludf.DUMMYFUNCTION("""COMPUTED_VALUE"""),"https://zeny.cz")</f>
        <v>https://zeny.cz</v>
      </c>
      <c r="G1044" s="3" t="str">
        <f ca="1">IFERROR(__xludf.DUMMYFUNCTION("""COMPUTED_VALUE"""),"Prodloužení existující microsite, bez úprav mid season")</f>
        <v>Prodloužení existující microsite, bez úprav mid season</v>
      </c>
      <c r="H1044" s="3">
        <f ca="1">IFERROR(__xludf.DUMMYFUNCTION("""COMPUTED_VALUE"""),1)</f>
        <v>1</v>
      </c>
      <c r="I1044" s="5">
        <f ca="1">IFERROR(__xludf.DUMMYFUNCTION("""COMPUTED_VALUE"""),1)</f>
        <v>1</v>
      </c>
      <c r="J1044" s="5">
        <f ca="1">IFERROR(__xludf.DUMMYFUNCTION("""COMPUTED_VALUE"""),15000)</f>
        <v>15000</v>
      </c>
      <c r="K1044" s="3"/>
      <c r="L1044" s="3" t="str">
        <f ca="1">IFERROR(__xludf.DUMMYFUNCTION("""COMPUTED_VALUE"""),"Cost per instance")</f>
        <v>Cost per instance</v>
      </c>
      <c r="M1044" s="3"/>
      <c r="N1044" s="3"/>
      <c r="O1044" s="3"/>
      <c r="P1044" s="3"/>
      <c r="Q1044" s="3"/>
      <c r="R1044" s="3"/>
      <c r="S1044" s="3" t="str">
        <f ca="1">IFERROR(__xludf.DUMMYFUNCTION("""COMPUTED_VALUE"""),"100")</f>
        <v>100</v>
      </c>
      <c r="T1044" s="3"/>
      <c r="U1044" s="3" t="str">
        <f ca="1">IFERROR(__xludf.DUMMYFUNCTION("""COMPUTED_VALUE"""),"microsite")</f>
        <v>microsite</v>
      </c>
      <c r="V1044" s="3"/>
      <c r="W1044" s="3"/>
      <c r="X1044" s="3"/>
      <c r="Y1044" s="3"/>
      <c r="Z1044" s="3" t="str">
        <f ca="1">IFERROR(__xludf.DUMMYFUNCTION("""COMPUTED_VALUE"""),"podklady@cncenter.cz")</f>
        <v>podklady@cncenter.cz</v>
      </c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 t="str">
        <f ca="1">IFERROR(__xludf.DUMMYFUNCTION("""COMPUTED_VALUE"""),"cross-device")</f>
        <v>cross-device</v>
      </c>
      <c r="AO1044" s="3"/>
      <c r="AP1044" s="3"/>
      <c r="AQ1044" s="3"/>
      <c r="AR1044" s="3"/>
      <c r="AS1044" s="3"/>
      <c r="AT1044" s="3"/>
      <c r="AU1044" s="3" t="str">
        <f ca="1">IFERROR(__xludf.DUMMYFUNCTION("""COMPUTED_VALUE"""),"Prodloužení existující microsite, bez úprav")</f>
        <v>Prodloužení existující microsite, bez úprav</v>
      </c>
    </row>
    <row r="1045" spans="1:47" x14ac:dyDescent="0.3">
      <c r="A1045" s="3">
        <f ca="1"/>
        <v>2346826</v>
      </c>
      <c r="B1045" s="3" t="str">
        <f ca="1"/>
        <v>CZECH NEWS CENTER a. s.</v>
      </c>
      <c r="C1045" s="3" t="str">
        <f ca="1">IFERROR(__xludf.DUMMYFUNCTION("""COMPUTED_VALUE"""),"Ženy")</f>
        <v>Ženy</v>
      </c>
      <c r="D1045" s="4" t="str">
        <f ca="1">IFERROR(__xludf.DUMMYFUNCTION("""COMPUTED_VALUE"""),"https://zeny.cz")</f>
        <v>https://zeny.cz</v>
      </c>
      <c r="E1045" s="3" t="str">
        <f ca="1">IFERROR(__xludf.DUMMYFUNCTION("""COMPUTED_VALUE"""),"celý web")</f>
        <v>celý web</v>
      </c>
      <c r="F1045" s="4" t="str">
        <f ca="1">IFERROR(__xludf.DUMMYFUNCTION("""COMPUTED_VALUE"""),"https://zeny.cz")</f>
        <v>https://zeny.cz</v>
      </c>
      <c r="G1045" s="3" t="str">
        <f ca="1">IFERROR(__xludf.DUMMYFUNCTION("""COMPUTED_VALUE"""),"videospot - max. 30 sec. / bumper mid season")</f>
        <v>videospot - max. 30 sec. / bumper mid season</v>
      </c>
      <c r="H1045" s="3">
        <f ca="1">IFERROR(__xludf.DUMMYFUNCTION("""COMPUTED_VALUE"""),7)</f>
        <v>7</v>
      </c>
      <c r="I1045" s="5">
        <f ca="1">IFERROR(__xludf.DUMMYFUNCTION("""COMPUTED_VALUE"""),1000)</f>
        <v>1000</v>
      </c>
      <c r="J1045" s="5">
        <f ca="1">IFERROR(__xludf.DUMMYFUNCTION("""COMPUTED_VALUE"""),1040)</f>
        <v>1040</v>
      </c>
      <c r="K1045" s="3"/>
      <c r="L1045" s="3" t="str">
        <f ca="1">IFERROR(__xludf.DUMMYFUNCTION("""COMPUTED_VALUE"""),"Cost per period")</f>
        <v>Cost per period</v>
      </c>
      <c r="M1045" s="3"/>
      <c r="N1045" s="3"/>
      <c r="O1045" s="3" t="str">
        <f ca="1">IFERROR(__xludf.DUMMYFUNCTION("""COMPUTED_VALUE"""),"1280")</f>
        <v>1280</v>
      </c>
      <c r="P1045" s="3" t="str">
        <f ca="1">IFERROR(__xludf.DUMMYFUNCTION("""COMPUTED_VALUE"""),"720")</f>
        <v>720</v>
      </c>
      <c r="Q1045" s="3" t="str">
        <f ca="1">IFERROR(__xludf.DUMMYFUNCTION("""COMPUTED_VALUE"""),"16:9 / umístění po domluvě dle možností")</f>
        <v>16:9 / umístění po domluvě dle možností</v>
      </c>
      <c r="R1045" s="3" t="str">
        <f ca="1">IFERROR(__xludf.DUMMYFUNCTION("""COMPUTED_VALUE"""),"přeskočení po 7 sekundách")</f>
        <v>přeskočení po 7 sekundách</v>
      </c>
      <c r="S1045" s="3" t="str">
        <f ca="1">IFERROR(__xludf.DUMMYFUNCTION("""COMPUTED_VALUE"""),"100")</f>
        <v>100</v>
      </c>
      <c r="T1045" s="3"/>
      <c r="U1045" s="3" t="str">
        <f ca="1">IFERROR(__xludf.DUMMYFUNCTION("""COMPUTED_VALUE"""),"videospot")</f>
        <v>videospot</v>
      </c>
      <c r="V1045" s="3"/>
      <c r="W1045" s="4" t="str">
        <f ca="1">IFERROR(__xludf.DUMMYFUNCTION("""COMPUTED_VALUE"""),"https://reklama.cncenter.cz/Online/Bumper")</f>
        <v>https://reklama.cncenter.cz/Online/Bumper</v>
      </c>
      <c r="X1045" s="3"/>
      <c r="Y1045" s="3"/>
      <c r="Z1045" s="3" t="str">
        <f ca="1">IFERROR(__xludf.DUMMYFUNCTION("""COMPUTED_VALUE"""),"podklady@cncenter.cz")</f>
        <v>podklady@cncenter.cz</v>
      </c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 t="str">
        <f ca="1">IFERROR(__xludf.DUMMYFUNCTION("""COMPUTED_VALUE"""),"cross-device")</f>
        <v>cross-device</v>
      </c>
      <c r="AO1045" s="3"/>
      <c r="AP1045" s="3"/>
      <c r="AQ1045" s="3"/>
      <c r="AR1045" s="3"/>
      <c r="AS1045" s="3"/>
      <c r="AT1045" s="3"/>
      <c r="AU1045" s="3" t="str">
        <f ca="1">IFERROR(__xludf.DUMMYFUNCTION("""COMPUTED_VALUE"""),"videospot - max. 30 sec. / bumper")</f>
        <v>videospot - max. 30 sec. / bumper</v>
      </c>
    </row>
    <row r="1046" spans="1:47" x14ac:dyDescent="0.3">
      <c r="A1046" s="3">
        <f ca="1"/>
        <v>2346826</v>
      </c>
      <c r="B1046" s="3" t="str">
        <f ca="1"/>
        <v>CZECH NEWS CENTER a. s.</v>
      </c>
      <c r="C1046" s="3" t="str">
        <f ca="1">IFERROR(__xludf.DUMMYFUNCTION("""COMPUTED_VALUE"""),"Živě")</f>
        <v>Živě</v>
      </c>
      <c r="D1046" s="4" t="str">
        <f ca="1">IFERROR(__xludf.DUMMYFUNCTION("""COMPUTED_VALUE"""),"https://zive.cz")</f>
        <v>https://zive.cz</v>
      </c>
      <c r="E1046" s="3" t="str">
        <f ca="1">IFERROR(__xludf.DUMMYFUNCTION("""COMPUTED_VALUE"""),"celý web")</f>
        <v>celý web</v>
      </c>
      <c r="F1046" s="4" t="str">
        <f ca="1">IFERROR(__xludf.DUMMYFUNCTION("""COMPUTED_VALUE"""),"https://zive.cz")</f>
        <v>https://zive.cz</v>
      </c>
      <c r="G1046" s="3" t="str">
        <f ca="1">IFERROR(__xludf.DUMMYFUNCTION("""COMPUTED_VALUE"""),"Advertorial mid season")</f>
        <v>Advertorial mid season</v>
      </c>
      <c r="H1046" s="3">
        <f ca="1">IFERROR(__xludf.DUMMYFUNCTION("""COMPUTED_VALUE"""),1)</f>
        <v>1</v>
      </c>
      <c r="I1046" s="5">
        <f ca="1">IFERROR(__xludf.DUMMYFUNCTION("""COMPUTED_VALUE"""),1)</f>
        <v>1</v>
      </c>
      <c r="J1046" s="5">
        <f ca="1">IFERROR(__xludf.DUMMYFUNCTION("""COMPUTED_VALUE"""),90000)</f>
        <v>90000</v>
      </c>
      <c r="K1046" s="3"/>
      <c r="L1046" s="3" t="str">
        <f ca="1">IFERROR(__xludf.DUMMYFUNCTION("""COMPUTED_VALUE"""),"Cost per instance")</f>
        <v>Cost per instance</v>
      </c>
      <c r="M1046" s="3"/>
      <c r="N1046" s="3"/>
      <c r="O1046" s="3"/>
      <c r="P1046" s="3"/>
      <c r="Q1046" s="3"/>
      <c r="R1046" s="3"/>
      <c r="S1046" s="3" t="str">
        <f ca="1">IFERROR(__xludf.DUMMYFUNCTION("""COMPUTED_VALUE"""),"100")</f>
        <v>100</v>
      </c>
      <c r="T1046" s="3"/>
      <c r="U1046" s="3" t="str">
        <f ca="1">IFERROR(__xludf.DUMMYFUNCTION("""COMPUTED_VALUE"""),"pr článek")</f>
        <v>pr článek</v>
      </c>
      <c r="V1046" s="3"/>
      <c r="W1046" s="3"/>
      <c r="X1046" s="3"/>
      <c r="Y1046" s="3"/>
      <c r="Z1046" s="3" t="str">
        <f ca="1">IFERROR(__xludf.DUMMYFUNCTION("""COMPUTED_VALUE"""),"podklady@cncenter.cz")</f>
        <v>podklady@cncenter.cz</v>
      </c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 t="str">
        <f ca="1">IFERROR(__xludf.DUMMYFUNCTION("""COMPUTED_VALUE"""),"cross-device")</f>
        <v>cross-device</v>
      </c>
      <c r="AO1046" s="3"/>
      <c r="AP1046" s="3"/>
      <c r="AQ1046" s="3"/>
      <c r="AR1046" s="3"/>
      <c r="AS1046" s="3"/>
      <c r="AT1046" s="3"/>
      <c r="AU1046" s="3" t="str">
        <f ca="1">IFERROR(__xludf.DUMMYFUNCTION("""COMPUTED_VALUE"""),"Advertorial")</f>
        <v>Advertorial</v>
      </c>
    </row>
    <row r="1047" spans="1:47" x14ac:dyDescent="0.3">
      <c r="A1047" s="3">
        <f ca="1"/>
        <v>2346826</v>
      </c>
      <c r="B1047" s="3" t="str">
        <f ca="1"/>
        <v>CZECH NEWS CENTER a. s.</v>
      </c>
      <c r="C1047" s="3" t="str">
        <f ca="1">IFERROR(__xludf.DUMMYFUNCTION("""COMPUTED_VALUE"""),"Živě")</f>
        <v>Živě</v>
      </c>
      <c r="D1047" s="4" t="str">
        <f ca="1">IFERROR(__xludf.DUMMYFUNCTION("""COMPUTED_VALUE"""),"https://zive.cz")</f>
        <v>https://zive.cz</v>
      </c>
      <c r="E1047" s="3" t="str">
        <f ca="1">IFERROR(__xludf.DUMMYFUNCTION("""COMPUTED_VALUE"""),"celý web")</f>
        <v>celý web</v>
      </c>
      <c r="F1047" s="4" t="str">
        <f ca="1">IFERROR(__xludf.DUMMYFUNCTION("""COMPUTED_VALUE"""),"https://zive.cz")</f>
        <v>https://zive.cz</v>
      </c>
      <c r="G1047" s="3" t="str">
        <f ca="1">IFERROR(__xludf.DUMMYFUNCTION("""COMPUTED_VALUE"""),"billboard bottom mid season")</f>
        <v>billboard bottom mid season</v>
      </c>
      <c r="H1047" s="3">
        <f ca="1">IFERROR(__xludf.DUMMYFUNCTION("""COMPUTED_VALUE"""),7)</f>
        <v>7</v>
      </c>
      <c r="I1047" s="5">
        <f ca="1">IFERROR(__xludf.DUMMYFUNCTION("""COMPUTED_VALUE"""),1000)</f>
        <v>1000</v>
      </c>
      <c r="J1047" s="5">
        <f ca="1">IFERROR(__xludf.DUMMYFUNCTION("""COMPUTED_VALUE"""),340)</f>
        <v>340</v>
      </c>
      <c r="K1047" s="3"/>
      <c r="L1047" s="3" t="str">
        <f ca="1">IFERROR(__xludf.DUMMYFUNCTION("""COMPUTED_VALUE"""),"Cost per period")</f>
        <v>Cost per period</v>
      </c>
      <c r="M1047" s="3"/>
      <c r="N1047" s="3"/>
      <c r="O1047" s="3" t="str">
        <f ca="1">IFERROR(__xludf.DUMMYFUNCTION("""COMPUTED_VALUE"""),"970")</f>
        <v>970</v>
      </c>
      <c r="P1047" s="3" t="str">
        <f ca="1">IFERROR(__xludf.DUMMYFUNCTION("""COMPUTED_VALUE"""),"250")</f>
        <v>250</v>
      </c>
      <c r="Q1047" s="3" t="str">
        <f ca="1">IFERROR(__xludf.DUMMYFUNCTION("""COMPUTED_VALUE"""),"970x250")</f>
        <v>970x250</v>
      </c>
      <c r="R1047" s="3"/>
      <c r="S1047" s="3" t="str">
        <f ca="1">IFERROR(__xludf.DUMMYFUNCTION("""COMPUTED_VALUE"""),"100 (200 - HTML5)")</f>
        <v>100 (200 - HTML5)</v>
      </c>
      <c r="T1047" s="3"/>
      <c r="U1047" s="3" t="str">
        <f ca="1">IFERROR(__xludf.DUMMYFUNCTION("""COMPUTED_VALUE"""),"banner standard")</f>
        <v>banner standard</v>
      </c>
      <c r="V1047" s="3"/>
      <c r="W1047" s="4" t="str">
        <f ca="1">IFERROR(__xludf.DUMMYFUNCTION("""COMPUTED_VALUE"""),"https://reklama.cncenter.cz/Online/billboard-bottom")</f>
        <v>https://reklama.cncenter.cz/Online/billboard-bottom</v>
      </c>
      <c r="X1047" s="3"/>
      <c r="Y1047" s="3"/>
      <c r="Z1047" s="3" t="str">
        <f ca="1">IFERROR(__xludf.DUMMYFUNCTION("""COMPUTED_VALUE"""),"podklady@cncenter.cz")</f>
        <v>podklady@cncenter.cz</v>
      </c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 t="str">
        <f ca="1">IFERROR(__xludf.DUMMYFUNCTION("""COMPUTED_VALUE"""),"desktop")</f>
        <v>desktop</v>
      </c>
      <c r="AO1047" s="3"/>
      <c r="AP1047" s="3"/>
      <c r="AQ1047" s="3"/>
      <c r="AR1047" s="3"/>
      <c r="AS1047" s="3"/>
      <c r="AT1047" s="3"/>
      <c r="AU1047" s="3" t="str">
        <f ca="1">IFERROR(__xludf.DUMMYFUNCTION("""COMPUTED_VALUE"""),"billboard bottom")</f>
        <v>billboard bottom</v>
      </c>
    </row>
    <row r="1048" spans="1:47" x14ac:dyDescent="0.3">
      <c r="A1048" s="3">
        <f ca="1"/>
        <v>2346826</v>
      </c>
      <c r="B1048" s="3" t="str">
        <f ca="1"/>
        <v>CZECH NEWS CENTER a. s.</v>
      </c>
      <c r="C1048" s="3" t="str">
        <f ca="1">IFERROR(__xludf.DUMMYFUNCTION("""COMPUTED_VALUE"""),"Živě")</f>
        <v>Živě</v>
      </c>
      <c r="D1048" s="4" t="str">
        <f ca="1">IFERROR(__xludf.DUMMYFUNCTION("""COMPUTED_VALUE"""),"https://zive.cz")</f>
        <v>https://zive.cz</v>
      </c>
      <c r="E1048" s="3" t="str">
        <f ca="1">IFERROR(__xludf.DUMMYFUNCTION("""COMPUTED_VALUE"""),"celý web")</f>
        <v>celý web</v>
      </c>
      <c r="F1048" s="4" t="str">
        <f ca="1">IFERROR(__xludf.DUMMYFUNCTION("""COMPUTED_VALUE"""),"https://zive.cz")</f>
        <v>https://zive.cz</v>
      </c>
      <c r="G1048" s="3" t="str">
        <f ca="1">IFERROR(__xludf.DUMMYFUNCTION("""COMPUTED_VALUE"""),"branding cross-device mid season")</f>
        <v>branding cross-device mid season</v>
      </c>
      <c r="H1048" s="3">
        <f ca="1">IFERROR(__xludf.DUMMYFUNCTION("""COMPUTED_VALUE"""),7)</f>
        <v>7</v>
      </c>
      <c r="I1048" s="5">
        <f ca="1">IFERROR(__xludf.DUMMYFUNCTION("""COMPUTED_VALUE"""),1000)</f>
        <v>1000</v>
      </c>
      <c r="J1048" s="5">
        <f ca="1">IFERROR(__xludf.DUMMYFUNCTION("""COMPUTED_VALUE"""),420)</f>
        <v>420</v>
      </c>
      <c r="K1048" s="3"/>
      <c r="L1048" s="3" t="str">
        <f ca="1">IFERROR(__xludf.DUMMYFUNCTION("""COMPUTED_VALUE"""),"Cost per period")</f>
        <v>Cost per period</v>
      </c>
      <c r="M1048" s="3"/>
      <c r="N1048" s="3"/>
      <c r="O1048" s="3" t="str">
        <f ca="1">IFERROR(__xludf.DUMMYFUNCTION("""COMPUTED_VALUE"""),"2000")</f>
        <v>2000</v>
      </c>
      <c r="P1048" s="3" t="str">
        <f ca="1">IFERROR(__xludf.DUMMYFUNCTION("""COMPUTED_VALUE"""),"1400")</f>
        <v>1400</v>
      </c>
      <c r="Q1048" s="3" t="str">
        <f ca="1">IFERROR(__xludf.DUMMYFUNCTION("""COMPUTED_VALUE"""),"2000x1400 + 600x1080")</f>
        <v>2000x1400 + 600x1080</v>
      </c>
      <c r="R1048" s="3"/>
      <c r="S1048" s="3" t="str">
        <f ca="1">IFERROR(__xludf.DUMMYFUNCTION("""COMPUTED_VALUE"""),"500 (600 - HTLM5)")</f>
        <v>500 (600 - HTLM5)</v>
      </c>
      <c r="T1048" s="3"/>
      <c r="U1048" s="3" t="str">
        <f ca="1">IFERROR(__xludf.DUMMYFUNCTION("""COMPUTED_VALUE"""),"banner standard")</f>
        <v>banner standard</v>
      </c>
      <c r="V1048" s="3"/>
      <c r="W1048" s="4" t="str">
        <f ca="1">IFERROR(__xludf.DUMMYFUNCTION("""COMPUTED_VALUE"""),"https://reklama.cncenter.cz/Online/branding-cross-device")</f>
        <v>https://reklama.cncenter.cz/Online/branding-cross-device</v>
      </c>
      <c r="X1048" s="3"/>
      <c r="Y1048" s="3"/>
      <c r="Z1048" s="3" t="str">
        <f ca="1">IFERROR(__xludf.DUMMYFUNCTION("""COMPUTED_VALUE"""),"podklady@cncenter.cz")</f>
        <v>podklady@cncenter.cz</v>
      </c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 t="str">
        <f ca="1">IFERROR(__xludf.DUMMYFUNCTION("""COMPUTED_VALUE"""),"cross-device")</f>
        <v>cross-device</v>
      </c>
      <c r="AO1048" s="3"/>
      <c r="AP1048" s="3"/>
      <c r="AQ1048" s="3"/>
      <c r="AR1048" s="3"/>
      <c r="AS1048" s="3"/>
      <c r="AT1048" s="3"/>
      <c r="AU1048" s="3" t="str">
        <f ca="1">IFERROR(__xludf.DUMMYFUNCTION("""COMPUTED_VALUE"""),"branding cross-device")</f>
        <v>branding cross-device</v>
      </c>
    </row>
    <row r="1049" spans="1:47" x14ac:dyDescent="0.3">
      <c r="A1049" s="3">
        <f ca="1"/>
        <v>2346826</v>
      </c>
      <c r="B1049" s="3" t="str">
        <f ca="1"/>
        <v>CZECH NEWS CENTER a. s.</v>
      </c>
      <c r="C1049" s="3" t="str">
        <f ca="1">IFERROR(__xludf.DUMMYFUNCTION("""COMPUTED_VALUE"""),"Živě")</f>
        <v>Živě</v>
      </c>
      <c r="D1049" s="4" t="str">
        <f ca="1">IFERROR(__xludf.DUMMYFUNCTION("""COMPUTED_VALUE"""),"https://zive.cz")</f>
        <v>https://zive.cz</v>
      </c>
      <c r="E1049" s="3" t="str">
        <f ca="1">IFERROR(__xludf.DUMMYFUNCTION("""COMPUTED_VALUE"""),"celý web")</f>
        <v>celý web</v>
      </c>
      <c r="F1049" s="4" t="str">
        <f ca="1">IFERROR(__xludf.DUMMYFUNCTION("""COMPUTED_VALUE"""),"https://zive.cz")</f>
        <v>https://zive.cz</v>
      </c>
      <c r="G1049" s="3" t="str">
        <f ca="1">IFERROR(__xludf.DUMMYFUNCTION("""COMPUTED_VALUE"""),"branding mid season")</f>
        <v>branding mid season</v>
      </c>
      <c r="H1049" s="3">
        <f ca="1">IFERROR(__xludf.DUMMYFUNCTION("""COMPUTED_VALUE"""),7)</f>
        <v>7</v>
      </c>
      <c r="I1049" s="5">
        <f ca="1">IFERROR(__xludf.DUMMYFUNCTION("""COMPUTED_VALUE"""),1000)</f>
        <v>1000</v>
      </c>
      <c r="J1049" s="5">
        <f ca="1">IFERROR(__xludf.DUMMYFUNCTION("""COMPUTED_VALUE"""),690)</f>
        <v>690</v>
      </c>
      <c r="K1049" s="3"/>
      <c r="L1049" s="3" t="str">
        <f ca="1">IFERROR(__xludf.DUMMYFUNCTION("""COMPUTED_VALUE"""),"Cost per period")</f>
        <v>Cost per period</v>
      </c>
      <c r="M1049" s="3"/>
      <c r="N1049" s="3"/>
      <c r="O1049" s="3" t="str">
        <f ca="1">IFERROR(__xludf.DUMMYFUNCTION("""COMPUTED_VALUE"""),"2000")</f>
        <v>2000</v>
      </c>
      <c r="P1049" s="3" t="str">
        <f ca="1">IFERROR(__xludf.DUMMYFUNCTION("""COMPUTED_VALUE"""),"1400")</f>
        <v>1400</v>
      </c>
      <c r="Q1049" s="3" t="str">
        <f ca="1">IFERROR(__xludf.DUMMYFUNCTION("""COMPUTED_VALUE"""),"2000x1400")</f>
        <v>2000x1400</v>
      </c>
      <c r="R1049" s="3"/>
      <c r="S1049" s="3" t="str">
        <f ca="1">IFERROR(__xludf.DUMMYFUNCTION("""COMPUTED_VALUE"""),"500 + 200 (600+200 HTML5)")</f>
        <v>500 + 200 (600+200 HTML5)</v>
      </c>
      <c r="T1049" s="3"/>
      <c r="U1049" s="3" t="str">
        <f ca="1">IFERROR(__xludf.DUMMYFUNCTION("""COMPUTED_VALUE"""),"banner standard")</f>
        <v>banner standard</v>
      </c>
      <c r="V1049" s="3"/>
      <c r="W1049" s="4" t="str">
        <f ca="1">IFERROR(__xludf.DUMMYFUNCTION("""COMPUTED_VALUE"""),"https://reklama.cncenter.cz/Online/branding")</f>
        <v>https://reklama.cncenter.cz/Online/branding</v>
      </c>
      <c r="X1049" s="3"/>
      <c r="Y1049" s="3"/>
      <c r="Z1049" s="3" t="str">
        <f ca="1">IFERROR(__xludf.DUMMYFUNCTION("""COMPUTED_VALUE"""),"podklady@cncenter.cz")</f>
        <v>podklady@cncenter.cz</v>
      </c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 t="str">
        <f ca="1">IFERROR(__xludf.DUMMYFUNCTION("""COMPUTED_VALUE"""),"desktop")</f>
        <v>desktop</v>
      </c>
      <c r="AO1049" s="3"/>
      <c r="AP1049" s="3"/>
      <c r="AQ1049" s="3"/>
      <c r="AR1049" s="3"/>
      <c r="AS1049" s="3"/>
      <c r="AT1049" s="3"/>
      <c r="AU1049" s="3" t="str">
        <f ca="1">IFERROR(__xludf.DUMMYFUNCTION("""COMPUTED_VALUE"""),"branding")</f>
        <v>branding</v>
      </c>
    </row>
    <row r="1050" spans="1:47" x14ac:dyDescent="0.3">
      <c r="A1050" s="3">
        <f ca="1"/>
        <v>2346826</v>
      </c>
      <c r="B1050" s="3" t="str">
        <f ca="1"/>
        <v>CZECH NEWS CENTER a. s.</v>
      </c>
      <c r="C1050" s="3" t="str">
        <f ca="1">IFERROR(__xludf.DUMMYFUNCTION("""COMPUTED_VALUE"""),"Živě")</f>
        <v>Živě</v>
      </c>
      <c r="D1050" s="4" t="str">
        <f ca="1">IFERROR(__xludf.DUMMYFUNCTION("""COMPUTED_VALUE"""),"https://zive.cz")</f>
        <v>https://zive.cz</v>
      </c>
      <c r="E1050" s="3" t="str">
        <f ca="1">IFERROR(__xludf.DUMMYFUNCTION("""COMPUTED_VALUE"""),"celý web")</f>
        <v>celý web</v>
      </c>
      <c r="F1050" s="4" t="str">
        <f ca="1">IFERROR(__xludf.DUMMYFUNCTION("""COMPUTED_VALUE"""),"https://zive.cz")</f>
        <v>https://zive.cz</v>
      </c>
      <c r="G1050" s="3" t="str">
        <f ca="1">IFERROR(__xludf.DUMMYFUNCTION("""COMPUTED_VALUE"""),"cílený billboard bottom mid season")</f>
        <v>cílený billboard bottom mid season</v>
      </c>
      <c r="H1050" s="3">
        <f ca="1">IFERROR(__xludf.DUMMYFUNCTION("""COMPUTED_VALUE"""),7)</f>
        <v>7</v>
      </c>
      <c r="I1050" s="5">
        <f ca="1">IFERROR(__xludf.DUMMYFUNCTION("""COMPUTED_VALUE"""),1000)</f>
        <v>1000</v>
      </c>
      <c r="J1050" s="5">
        <f ca="1">IFERROR(__xludf.DUMMYFUNCTION("""COMPUTED_VALUE"""),408)</f>
        <v>408</v>
      </c>
      <c r="K1050" s="3"/>
      <c r="L1050" s="3" t="str">
        <f ca="1">IFERROR(__xludf.DUMMYFUNCTION("""COMPUTED_VALUE"""),"Cost per period")</f>
        <v>Cost per period</v>
      </c>
      <c r="M1050" s="3"/>
      <c r="N1050" s="3"/>
      <c r="O1050" s="3" t="str">
        <f ca="1">IFERROR(__xludf.DUMMYFUNCTION("""COMPUTED_VALUE"""),"970")</f>
        <v>970</v>
      </c>
      <c r="P1050" s="3" t="str">
        <f ca="1">IFERROR(__xludf.DUMMYFUNCTION("""COMPUTED_VALUE"""),"250")</f>
        <v>250</v>
      </c>
      <c r="Q1050" s="3" t="str">
        <f ca="1">IFERROR(__xludf.DUMMYFUNCTION("""COMPUTED_VALUE"""),"970x250")</f>
        <v>970x250</v>
      </c>
      <c r="R1050" s="3"/>
      <c r="S1050" s="3" t="str">
        <f ca="1">IFERROR(__xludf.DUMMYFUNCTION("""COMPUTED_VALUE"""),"100 (200 - HTML5)")</f>
        <v>100 (200 - HTML5)</v>
      </c>
      <c r="T1050" s="3"/>
      <c r="U1050" s="3" t="str">
        <f ca="1">IFERROR(__xludf.DUMMYFUNCTION("""COMPUTED_VALUE"""),"banner standard")</f>
        <v>banner standard</v>
      </c>
      <c r="V1050" s="3"/>
      <c r="W1050" s="4" t="str">
        <f ca="1">IFERROR(__xludf.DUMMYFUNCTION("""COMPUTED_VALUE"""),"https://reklama.cncenter.cz/Online/billboard-bottom")</f>
        <v>https://reklama.cncenter.cz/Online/billboard-bottom</v>
      </c>
      <c r="X1050" s="3"/>
      <c r="Y1050" s="3"/>
      <c r="Z1050" s="3" t="str">
        <f ca="1">IFERROR(__xludf.DUMMYFUNCTION("""COMPUTED_VALUE"""),"podklady@cncenter.cz")</f>
        <v>podklady@cncenter.cz</v>
      </c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 t="str">
        <f ca="1">IFERROR(__xludf.DUMMYFUNCTION("""COMPUTED_VALUE"""),"desktop")</f>
        <v>desktop</v>
      </c>
      <c r="AO1050" s="3"/>
      <c r="AP1050" s="3"/>
      <c r="AQ1050" s="3"/>
      <c r="AR1050" s="3"/>
      <c r="AS1050" s="3"/>
      <c r="AT1050" s="3"/>
      <c r="AU1050" s="3" t="str">
        <f ca="1">IFERROR(__xludf.DUMMYFUNCTION("""COMPUTED_VALUE"""),"cílený billboard bottom")</f>
        <v>cílený billboard bottom</v>
      </c>
    </row>
    <row r="1051" spans="1:47" x14ac:dyDescent="0.3">
      <c r="A1051" s="3">
        <f ca="1"/>
        <v>2346826</v>
      </c>
      <c r="B1051" s="3" t="str">
        <f ca="1"/>
        <v>CZECH NEWS CENTER a. s.</v>
      </c>
      <c r="C1051" s="3" t="str">
        <f ca="1">IFERROR(__xludf.DUMMYFUNCTION("""COMPUTED_VALUE"""),"Živě")</f>
        <v>Živě</v>
      </c>
      <c r="D1051" s="4" t="str">
        <f ca="1">IFERROR(__xludf.DUMMYFUNCTION("""COMPUTED_VALUE"""),"https://zive.cz")</f>
        <v>https://zive.cz</v>
      </c>
      <c r="E1051" s="3" t="str">
        <f ca="1">IFERROR(__xludf.DUMMYFUNCTION("""COMPUTED_VALUE"""),"celý web")</f>
        <v>celý web</v>
      </c>
      <c r="F1051" s="4" t="str">
        <f ca="1">IFERROR(__xludf.DUMMYFUNCTION("""COMPUTED_VALUE"""),"https://zive.cz")</f>
        <v>https://zive.cz</v>
      </c>
      <c r="G1051" s="3" t="str">
        <f ca="1">IFERROR(__xludf.DUMMYFUNCTION("""COMPUTED_VALUE"""),"cílený branding cross-device mid season")</f>
        <v>cílený branding cross-device mid season</v>
      </c>
      <c r="H1051" s="3">
        <f ca="1">IFERROR(__xludf.DUMMYFUNCTION("""COMPUTED_VALUE"""),7)</f>
        <v>7</v>
      </c>
      <c r="I1051" s="5">
        <f ca="1">IFERROR(__xludf.DUMMYFUNCTION("""COMPUTED_VALUE"""),1000)</f>
        <v>1000</v>
      </c>
      <c r="J1051" s="5">
        <f ca="1">IFERROR(__xludf.DUMMYFUNCTION("""COMPUTED_VALUE"""),504)</f>
        <v>504</v>
      </c>
      <c r="K1051" s="3"/>
      <c r="L1051" s="3" t="str">
        <f ca="1">IFERROR(__xludf.DUMMYFUNCTION("""COMPUTED_VALUE"""),"Cost per period")</f>
        <v>Cost per period</v>
      </c>
      <c r="M1051" s="3"/>
      <c r="N1051" s="3"/>
      <c r="O1051" s="3" t="str">
        <f ca="1">IFERROR(__xludf.DUMMYFUNCTION("""COMPUTED_VALUE"""),"2000")</f>
        <v>2000</v>
      </c>
      <c r="P1051" s="3" t="str">
        <f ca="1">IFERROR(__xludf.DUMMYFUNCTION("""COMPUTED_VALUE"""),"1400")</f>
        <v>1400</v>
      </c>
      <c r="Q1051" s="3" t="str">
        <f ca="1">IFERROR(__xludf.DUMMYFUNCTION("""COMPUTED_VALUE"""),"2000x1400 + 600x1080")</f>
        <v>2000x1400 + 600x1080</v>
      </c>
      <c r="R1051" s="3"/>
      <c r="S1051" s="3" t="str">
        <f ca="1">IFERROR(__xludf.DUMMYFUNCTION("""COMPUTED_VALUE"""),"500 (600 - HTLM5)")</f>
        <v>500 (600 - HTLM5)</v>
      </c>
      <c r="T1051" s="3"/>
      <c r="U1051" s="3" t="str">
        <f ca="1">IFERROR(__xludf.DUMMYFUNCTION("""COMPUTED_VALUE"""),"banner standard")</f>
        <v>banner standard</v>
      </c>
      <c r="V1051" s="3"/>
      <c r="W1051" s="4" t="str">
        <f ca="1">IFERROR(__xludf.DUMMYFUNCTION("""COMPUTED_VALUE"""),"https://reklama.cncenter.cz/Online/branding-cross-device")</f>
        <v>https://reklama.cncenter.cz/Online/branding-cross-device</v>
      </c>
      <c r="X1051" s="3"/>
      <c r="Y1051" s="3"/>
      <c r="Z1051" s="3" t="str">
        <f ca="1">IFERROR(__xludf.DUMMYFUNCTION("""COMPUTED_VALUE"""),"podklady@cncenter.cz")</f>
        <v>podklady@cncenter.cz</v>
      </c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 t="str">
        <f ca="1">IFERROR(__xludf.DUMMYFUNCTION("""COMPUTED_VALUE"""),"cross-device")</f>
        <v>cross-device</v>
      </c>
      <c r="AO1051" s="3"/>
      <c r="AP1051" s="3"/>
      <c r="AQ1051" s="3"/>
      <c r="AR1051" s="3"/>
      <c r="AS1051" s="3"/>
      <c r="AT1051" s="3"/>
      <c r="AU1051" s="3" t="str">
        <f ca="1">IFERROR(__xludf.DUMMYFUNCTION("""COMPUTED_VALUE"""),"cílený branding cross-device")</f>
        <v>cílený branding cross-device</v>
      </c>
    </row>
    <row r="1052" spans="1:47" x14ac:dyDescent="0.3">
      <c r="A1052" s="3">
        <f ca="1"/>
        <v>2346826</v>
      </c>
      <c r="B1052" s="3" t="str">
        <f ca="1"/>
        <v>CZECH NEWS CENTER a. s.</v>
      </c>
      <c r="C1052" s="3" t="str">
        <f ca="1">IFERROR(__xludf.DUMMYFUNCTION("""COMPUTED_VALUE"""),"Živě")</f>
        <v>Živě</v>
      </c>
      <c r="D1052" s="4" t="str">
        <f ca="1">IFERROR(__xludf.DUMMYFUNCTION("""COMPUTED_VALUE"""),"https://zive.cz")</f>
        <v>https://zive.cz</v>
      </c>
      <c r="E1052" s="3" t="str">
        <f ca="1">IFERROR(__xludf.DUMMYFUNCTION("""COMPUTED_VALUE"""),"celý web")</f>
        <v>celý web</v>
      </c>
      <c r="F1052" s="4" t="str">
        <f ca="1">IFERROR(__xludf.DUMMYFUNCTION("""COMPUTED_VALUE"""),"https://zive.cz")</f>
        <v>https://zive.cz</v>
      </c>
      <c r="G1052" s="3" t="str">
        <f ca="1">IFERROR(__xludf.DUMMYFUNCTION("""COMPUTED_VALUE"""),"cílený branding mid season")</f>
        <v>cílený branding mid season</v>
      </c>
      <c r="H1052" s="3">
        <f ca="1">IFERROR(__xludf.DUMMYFUNCTION("""COMPUTED_VALUE"""),7)</f>
        <v>7</v>
      </c>
      <c r="I1052" s="5">
        <f ca="1">IFERROR(__xludf.DUMMYFUNCTION("""COMPUTED_VALUE"""),1000)</f>
        <v>1000</v>
      </c>
      <c r="J1052" s="5">
        <f ca="1">IFERROR(__xludf.DUMMYFUNCTION("""COMPUTED_VALUE"""),828)</f>
        <v>828</v>
      </c>
      <c r="K1052" s="3"/>
      <c r="L1052" s="3" t="str">
        <f ca="1">IFERROR(__xludf.DUMMYFUNCTION("""COMPUTED_VALUE"""),"Cost per period")</f>
        <v>Cost per period</v>
      </c>
      <c r="M1052" s="3"/>
      <c r="N1052" s="3"/>
      <c r="O1052" s="3" t="str">
        <f ca="1">IFERROR(__xludf.DUMMYFUNCTION("""COMPUTED_VALUE"""),"2000")</f>
        <v>2000</v>
      </c>
      <c r="P1052" s="3" t="str">
        <f ca="1">IFERROR(__xludf.DUMMYFUNCTION("""COMPUTED_VALUE"""),"1400")</f>
        <v>1400</v>
      </c>
      <c r="Q1052" s="3" t="str">
        <f ca="1">IFERROR(__xludf.DUMMYFUNCTION("""COMPUTED_VALUE"""),"2000x1400")</f>
        <v>2000x1400</v>
      </c>
      <c r="R1052" s="3"/>
      <c r="S1052" s="3" t="str">
        <f ca="1">IFERROR(__xludf.DUMMYFUNCTION("""COMPUTED_VALUE"""),"500 + 200 (600+200 HTML5)")</f>
        <v>500 + 200 (600+200 HTML5)</v>
      </c>
      <c r="T1052" s="3"/>
      <c r="U1052" s="3" t="str">
        <f ca="1">IFERROR(__xludf.DUMMYFUNCTION("""COMPUTED_VALUE"""),"banner standard")</f>
        <v>banner standard</v>
      </c>
      <c r="V1052" s="3"/>
      <c r="W1052" s="4" t="str">
        <f ca="1">IFERROR(__xludf.DUMMYFUNCTION("""COMPUTED_VALUE"""),"https://reklama.cncenter.cz/Online/branding")</f>
        <v>https://reklama.cncenter.cz/Online/branding</v>
      </c>
      <c r="X1052" s="3"/>
      <c r="Y1052" s="3"/>
      <c r="Z1052" s="3" t="str">
        <f ca="1">IFERROR(__xludf.DUMMYFUNCTION("""COMPUTED_VALUE"""),"podklady@cncenter.cz")</f>
        <v>podklady@cncenter.cz</v>
      </c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 t="str">
        <f ca="1">IFERROR(__xludf.DUMMYFUNCTION("""COMPUTED_VALUE"""),"desktop")</f>
        <v>desktop</v>
      </c>
      <c r="AO1052" s="3"/>
      <c r="AP1052" s="3"/>
      <c r="AQ1052" s="3"/>
      <c r="AR1052" s="3"/>
      <c r="AS1052" s="3"/>
      <c r="AT1052" s="3"/>
      <c r="AU1052" s="3" t="str">
        <f ca="1">IFERROR(__xludf.DUMMYFUNCTION("""COMPUTED_VALUE"""),"cílený branding")</f>
        <v>cílený branding</v>
      </c>
    </row>
    <row r="1053" spans="1:47" x14ac:dyDescent="0.3">
      <c r="A1053" s="3">
        <f ca="1"/>
        <v>2346826</v>
      </c>
      <c r="B1053" s="3" t="str">
        <f ca="1"/>
        <v>CZECH NEWS CENTER a. s.</v>
      </c>
      <c r="C1053" s="3" t="str">
        <f ca="1">IFERROR(__xludf.DUMMYFUNCTION("""COMPUTED_VALUE"""),"Živě")</f>
        <v>Živě</v>
      </c>
      <c r="D1053" s="4" t="str">
        <f ca="1">IFERROR(__xludf.DUMMYFUNCTION("""COMPUTED_VALUE"""),"https://zive.cz")</f>
        <v>https://zive.cz</v>
      </c>
      <c r="E1053" s="3" t="str">
        <f ca="1">IFERROR(__xludf.DUMMYFUNCTION("""COMPUTED_VALUE"""),"celý web")</f>
        <v>celý web</v>
      </c>
      <c r="F1053" s="4" t="str">
        <f ca="1">IFERROR(__xludf.DUMMYFUNCTION("""COMPUTED_VALUE"""),"https://zive.cz")</f>
        <v>https://zive.cz</v>
      </c>
      <c r="G1053" s="3" t="str">
        <f ca="1">IFERROR(__xludf.DUMMYFUNCTION("""COMPUTED_VALUE"""),"cílený double skyscraper mid season")</f>
        <v>cílený double skyscraper mid season</v>
      </c>
      <c r="H1053" s="3">
        <f ca="1">IFERROR(__xludf.DUMMYFUNCTION("""COMPUTED_VALUE"""),7)</f>
        <v>7</v>
      </c>
      <c r="I1053" s="5">
        <f ca="1">IFERROR(__xludf.DUMMYFUNCTION("""COMPUTED_VALUE"""),1000)</f>
        <v>1000</v>
      </c>
      <c r="J1053" s="5">
        <f ca="1">IFERROR(__xludf.DUMMYFUNCTION("""COMPUTED_VALUE"""),324)</f>
        <v>324</v>
      </c>
      <c r="K1053" s="3"/>
      <c r="L1053" s="3" t="str">
        <f ca="1">IFERROR(__xludf.DUMMYFUNCTION("""COMPUTED_VALUE"""),"Cost per period")</f>
        <v>Cost per period</v>
      </c>
      <c r="M1053" s="3"/>
      <c r="N1053" s="3"/>
      <c r="O1053" s="3" t="str">
        <f ca="1">IFERROR(__xludf.DUMMYFUNCTION("""COMPUTED_VALUE"""),"300")</f>
        <v>300</v>
      </c>
      <c r="P1053" s="3" t="str">
        <f ca="1">IFERROR(__xludf.DUMMYFUNCTION("""COMPUTED_VALUE"""),"600")</f>
        <v>600</v>
      </c>
      <c r="Q1053" s="3" t="str">
        <f ca="1">IFERROR(__xludf.DUMMYFUNCTION("""COMPUTED_VALUE"""),"300x600")</f>
        <v>300x600</v>
      </c>
      <c r="R1053" s="3"/>
      <c r="S1053" s="3" t="str">
        <f ca="1">IFERROR(__xludf.DUMMYFUNCTION("""COMPUTED_VALUE"""),"100 (200 - HTML5)")</f>
        <v>100 (200 - HTML5)</v>
      </c>
      <c r="T1053" s="3"/>
      <c r="U1053" s="3" t="str">
        <f ca="1">IFERROR(__xludf.DUMMYFUNCTION("""COMPUTED_VALUE"""),"banner standard")</f>
        <v>banner standard</v>
      </c>
      <c r="V1053" s="3"/>
      <c r="W1053" s="4" t="str">
        <f ca="1">IFERROR(__xludf.DUMMYFUNCTION("""COMPUTED_VALUE"""),"https://reklama.cncenter.cz/Online/double-skyscraper")</f>
        <v>https://reklama.cncenter.cz/Online/double-skyscraper</v>
      </c>
      <c r="X1053" s="3"/>
      <c r="Y1053" s="3"/>
      <c r="Z1053" s="3" t="str">
        <f ca="1">IFERROR(__xludf.DUMMYFUNCTION("""COMPUTED_VALUE"""),"podklady@cncenter.cz")</f>
        <v>podklady@cncenter.cz</v>
      </c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 t="str">
        <f ca="1">IFERROR(__xludf.DUMMYFUNCTION("""COMPUTED_VALUE"""),"desktop")</f>
        <v>desktop</v>
      </c>
      <c r="AO1053" s="3"/>
      <c r="AP1053" s="3"/>
      <c r="AQ1053" s="3"/>
      <c r="AR1053" s="3"/>
      <c r="AS1053" s="3"/>
      <c r="AT1053" s="3"/>
      <c r="AU1053" s="3" t="str">
        <f ca="1">IFERROR(__xludf.DUMMYFUNCTION("""COMPUTED_VALUE"""),"cílený double skyscraper")</f>
        <v>cílený double skyscraper</v>
      </c>
    </row>
    <row r="1054" spans="1:47" x14ac:dyDescent="0.3">
      <c r="A1054" s="3">
        <f ca="1"/>
        <v>2346826</v>
      </c>
      <c r="B1054" s="3" t="str">
        <f ca="1"/>
        <v>CZECH NEWS CENTER a. s.</v>
      </c>
      <c r="C1054" s="3" t="str">
        <f ca="1">IFERROR(__xludf.DUMMYFUNCTION("""COMPUTED_VALUE"""),"Živě")</f>
        <v>Živě</v>
      </c>
      <c r="D1054" s="4" t="str">
        <f ca="1">IFERROR(__xludf.DUMMYFUNCTION("""COMPUTED_VALUE"""),"https://zive.cz")</f>
        <v>https://zive.cz</v>
      </c>
      <c r="E1054" s="3" t="str">
        <f ca="1">IFERROR(__xludf.DUMMYFUNCTION("""COMPUTED_VALUE"""),"celý web")</f>
        <v>celý web</v>
      </c>
      <c r="F1054" s="4" t="str">
        <f ca="1">IFERROR(__xludf.DUMMYFUNCTION("""COMPUTED_VALUE"""),"https://zive.cz")</f>
        <v>https://zive.cz</v>
      </c>
      <c r="G1054" s="3" t="str">
        <f ca="1">IFERROR(__xludf.DUMMYFUNCTION("""COMPUTED_VALUE"""),"cílený mobilní interscroller mid season")</f>
        <v>cílený mobilní interscroller mid season</v>
      </c>
      <c r="H1054" s="3">
        <f ca="1">IFERROR(__xludf.DUMMYFUNCTION("""COMPUTED_VALUE"""),7)</f>
        <v>7</v>
      </c>
      <c r="I1054" s="5">
        <f ca="1">IFERROR(__xludf.DUMMYFUNCTION("""COMPUTED_VALUE"""),1000)</f>
        <v>1000</v>
      </c>
      <c r="J1054" s="5">
        <f ca="1">IFERROR(__xludf.DUMMYFUNCTION("""COMPUTED_VALUE"""),420)</f>
        <v>420</v>
      </c>
      <c r="K1054" s="3"/>
      <c r="L1054" s="3" t="str">
        <f ca="1">IFERROR(__xludf.DUMMYFUNCTION("""COMPUTED_VALUE"""),"Cost per period")</f>
        <v>Cost per period</v>
      </c>
      <c r="M1054" s="3"/>
      <c r="N1054" s="3"/>
      <c r="O1054" s="3" t="str">
        <f ca="1">IFERROR(__xludf.DUMMYFUNCTION("""COMPUTED_VALUE"""),"600")</f>
        <v>600</v>
      </c>
      <c r="P1054" s="3" t="str">
        <f ca="1">IFERROR(__xludf.DUMMYFUNCTION("""COMPUTED_VALUE"""),"1080")</f>
        <v>1080</v>
      </c>
      <c r="Q1054" s="3" t="str">
        <f ca="1">IFERROR(__xludf.DUMMYFUNCTION("""COMPUTED_VALUE"""),"600x1080")</f>
        <v>600x1080</v>
      </c>
      <c r="R1054" s="3"/>
      <c r="S1054" s="3" t="str">
        <f ca="1">IFERROR(__xludf.DUMMYFUNCTION("""COMPUTED_VALUE"""),"200")</f>
        <v>200</v>
      </c>
      <c r="T1054" s="3"/>
      <c r="U1054" s="3" t="str">
        <f ca="1">IFERROR(__xludf.DUMMYFUNCTION("""COMPUTED_VALUE"""),"banner standard")</f>
        <v>banner standard</v>
      </c>
      <c r="V1054" s="3"/>
      <c r="W1054" s="4" t="str">
        <f ca="1">IFERROR(__xludf.DUMMYFUNCTION("""COMPUTED_VALUE"""),"https://reklama.cncenter.cz/Online/mobilni-interscroller")</f>
        <v>https://reklama.cncenter.cz/Online/mobilni-interscroller</v>
      </c>
      <c r="X1054" s="3"/>
      <c r="Y1054" s="3"/>
      <c r="Z1054" s="3" t="str">
        <f ca="1">IFERROR(__xludf.DUMMYFUNCTION("""COMPUTED_VALUE"""),"podklady@cncenter.cz")</f>
        <v>podklady@cncenter.cz</v>
      </c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 t="str">
        <f ca="1">IFERROR(__xludf.DUMMYFUNCTION("""COMPUTED_VALUE"""),"mobile")</f>
        <v>mobile</v>
      </c>
      <c r="AO1054" s="3"/>
      <c r="AP1054" s="3"/>
      <c r="AQ1054" s="3"/>
      <c r="AR1054" s="3"/>
      <c r="AS1054" s="3"/>
      <c r="AT1054" s="3"/>
      <c r="AU1054" s="3" t="str">
        <f ca="1">IFERROR(__xludf.DUMMYFUNCTION("""COMPUTED_VALUE"""),"cílený mobilní interscroller")</f>
        <v>cílený mobilní interscroller</v>
      </c>
    </row>
    <row r="1055" spans="1:47" x14ac:dyDescent="0.3">
      <c r="A1055" s="3">
        <f ca="1"/>
        <v>2346826</v>
      </c>
      <c r="B1055" s="3" t="str">
        <f ca="1"/>
        <v>CZECH NEWS CENTER a. s.</v>
      </c>
      <c r="C1055" s="3" t="str">
        <f ca="1">IFERROR(__xludf.DUMMYFUNCTION("""COMPUTED_VALUE"""),"Živě")</f>
        <v>Živě</v>
      </c>
      <c r="D1055" s="4" t="str">
        <f ca="1">IFERROR(__xludf.DUMMYFUNCTION("""COMPUTED_VALUE"""),"https://zive.cz")</f>
        <v>https://zive.cz</v>
      </c>
      <c r="E1055" s="3" t="str">
        <f ca="1">IFERROR(__xludf.DUMMYFUNCTION("""COMPUTED_VALUE"""),"celý web")</f>
        <v>celý web</v>
      </c>
      <c r="F1055" s="4" t="str">
        <f ca="1">IFERROR(__xludf.DUMMYFUNCTION("""COMPUTED_VALUE"""),"https://zive.cz")</f>
        <v>https://zive.cz</v>
      </c>
      <c r="G1055" s="3" t="str">
        <f ca="1">IFERROR(__xludf.DUMMYFUNCTION("""COMPUTED_VALUE"""),"cílený mobilní slide-up mid season")</f>
        <v>cílený mobilní slide-up mid season</v>
      </c>
      <c r="H1055" s="3">
        <f ca="1">IFERROR(__xludf.DUMMYFUNCTION("""COMPUTED_VALUE"""),7)</f>
        <v>7</v>
      </c>
      <c r="I1055" s="5">
        <f ca="1">IFERROR(__xludf.DUMMYFUNCTION("""COMPUTED_VALUE"""),1000)</f>
        <v>1000</v>
      </c>
      <c r="J1055" s="5">
        <f ca="1">IFERROR(__xludf.DUMMYFUNCTION("""COMPUTED_VALUE"""),864)</f>
        <v>864</v>
      </c>
      <c r="K1055" s="3"/>
      <c r="L1055" s="3" t="str">
        <f ca="1">IFERROR(__xludf.DUMMYFUNCTION("""COMPUTED_VALUE"""),"Cost per period")</f>
        <v>Cost per period</v>
      </c>
      <c r="M1055" s="3"/>
      <c r="N1055" s="3"/>
      <c r="O1055" s="3" t="str">
        <f ca="1">IFERROR(__xludf.DUMMYFUNCTION("""COMPUTED_VALUE"""),"300")</f>
        <v>300</v>
      </c>
      <c r="P1055" s="3" t="str">
        <f ca="1">IFERROR(__xludf.DUMMYFUNCTION("""COMPUTED_VALUE"""),"120")</f>
        <v>120</v>
      </c>
      <c r="Q1055" s="3" t="str">
        <f ca="1">IFERROR(__xludf.DUMMYFUNCTION("""COMPUTED_VALUE"""),"300x120")</f>
        <v>300x120</v>
      </c>
      <c r="R1055" s="3"/>
      <c r="S1055" s="3" t="str">
        <f ca="1">IFERROR(__xludf.DUMMYFUNCTION("""COMPUTED_VALUE"""),"100")</f>
        <v>100</v>
      </c>
      <c r="T1055" s="3"/>
      <c r="U1055" s="3" t="str">
        <f ca="1">IFERROR(__xludf.DUMMYFUNCTION("""COMPUTED_VALUE"""),"banner standard")</f>
        <v>banner standard</v>
      </c>
      <c r="V1055" s="3"/>
      <c r="W1055" s="4" t="str">
        <f ca="1">IFERROR(__xludf.DUMMYFUNCTION("""COMPUTED_VALUE"""),"https://reklama.cncenter.cz/Online/mobilni-slide-up")</f>
        <v>https://reklama.cncenter.cz/Online/mobilni-slide-up</v>
      </c>
      <c r="X1055" s="3"/>
      <c r="Y1055" s="3"/>
      <c r="Z1055" s="3" t="str">
        <f ca="1">IFERROR(__xludf.DUMMYFUNCTION("""COMPUTED_VALUE"""),"podklady@cncenter.cz")</f>
        <v>podklady@cncenter.cz</v>
      </c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 t="str">
        <f ca="1">IFERROR(__xludf.DUMMYFUNCTION("""COMPUTED_VALUE"""),"mobile")</f>
        <v>mobile</v>
      </c>
      <c r="AO1055" s="3"/>
      <c r="AP1055" s="3"/>
      <c r="AQ1055" s="3"/>
      <c r="AR1055" s="3"/>
      <c r="AS1055" s="3"/>
      <c r="AT1055" s="3"/>
      <c r="AU1055" s="3" t="str">
        <f ca="1">IFERROR(__xludf.DUMMYFUNCTION("""COMPUTED_VALUE"""),"cílený mobilní slide-up")</f>
        <v>cílený mobilní slide-up</v>
      </c>
    </row>
    <row r="1056" spans="1:47" x14ac:dyDescent="0.3">
      <c r="A1056" s="3">
        <f ca="1"/>
        <v>2346826</v>
      </c>
      <c r="B1056" s="3" t="str">
        <f ca="1"/>
        <v>CZECH NEWS CENTER a. s.</v>
      </c>
      <c r="C1056" s="3" t="str">
        <f ca="1">IFERROR(__xludf.DUMMYFUNCTION("""COMPUTED_VALUE"""),"Živě")</f>
        <v>Živě</v>
      </c>
      <c r="D1056" s="4" t="str">
        <f ca="1">IFERROR(__xludf.DUMMYFUNCTION("""COMPUTED_VALUE"""),"https://zive.cz")</f>
        <v>https://zive.cz</v>
      </c>
      <c r="E1056" s="3" t="str">
        <f ca="1">IFERROR(__xludf.DUMMYFUNCTION("""COMPUTED_VALUE"""),"celý web")</f>
        <v>celý web</v>
      </c>
      <c r="F1056" s="4" t="str">
        <f ca="1">IFERROR(__xludf.DUMMYFUNCTION("""COMPUTED_VALUE"""),"https://zive.cz")</f>
        <v>https://zive.cz</v>
      </c>
      <c r="G1056" s="3" t="str">
        <f ca="1">IFERROR(__xludf.DUMMYFUNCTION("""COMPUTED_VALUE"""),"cílený mobilní viněta mid season")</f>
        <v>cílený mobilní viněta mid season</v>
      </c>
      <c r="H1056" s="3">
        <f ca="1">IFERROR(__xludf.DUMMYFUNCTION("""COMPUTED_VALUE"""),7)</f>
        <v>7</v>
      </c>
      <c r="I1056" s="5">
        <f ca="1">IFERROR(__xludf.DUMMYFUNCTION("""COMPUTED_VALUE"""),1000)</f>
        <v>1000</v>
      </c>
      <c r="J1056" s="5">
        <f ca="1">IFERROR(__xludf.DUMMYFUNCTION("""COMPUTED_VALUE"""),1488)</f>
        <v>1488</v>
      </c>
      <c r="K1056" s="3"/>
      <c r="L1056" s="3" t="str">
        <f ca="1">IFERROR(__xludf.DUMMYFUNCTION("""COMPUTED_VALUE"""),"Cost per period")</f>
        <v>Cost per period</v>
      </c>
      <c r="M1056" s="3"/>
      <c r="N1056" s="3"/>
      <c r="O1056" s="3" t="str">
        <f ca="1">IFERROR(__xludf.DUMMYFUNCTION("""COMPUTED_VALUE"""),"600")</f>
        <v>600</v>
      </c>
      <c r="P1056" s="3" t="str">
        <f ca="1">IFERROR(__xludf.DUMMYFUNCTION("""COMPUTED_VALUE"""),"800")</f>
        <v>800</v>
      </c>
      <c r="Q1056" s="3" t="str">
        <f ca="1">IFERROR(__xludf.DUMMYFUNCTION("""COMPUTED_VALUE"""),"300x250 nebo 600x800")</f>
        <v>300x250 nebo 600x800</v>
      </c>
      <c r="R1056" s="3"/>
      <c r="S1056" s="3" t="str">
        <f ca="1">IFERROR(__xludf.DUMMYFUNCTION("""COMPUTED_VALUE"""),"100")</f>
        <v>100</v>
      </c>
      <c r="T1056" s="3"/>
      <c r="U1056" s="3" t="str">
        <f ca="1">IFERROR(__xludf.DUMMYFUNCTION("""COMPUTED_VALUE"""),"banner standard")</f>
        <v>banner standard</v>
      </c>
      <c r="V1056" s="3"/>
      <c r="W1056" s="4" t="str">
        <f ca="1">IFERROR(__xludf.DUMMYFUNCTION("""COMPUTED_VALUE"""),"https://reklama.cncenter.cz/Online/mobilni-vineta")</f>
        <v>https://reklama.cncenter.cz/Online/mobilni-vineta</v>
      </c>
      <c r="X1056" s="3"/>
      <c r="Y1056" s="3"/>
      <c r="Z1056" s="3" t="str">
        <f ca="1">IFERROR(__xludf.DUMMYFUNCTION("""COMPUTED_VALUE"""),"podklady@cncenter.cz")</f>
        <v>podklady@cncenter.cz</v>
      </c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 t="str">
        <f ca="1">IFERROR(__xludf.DUMMYFUNCTION("""COMPUTED_VALUE"""),"mobile")</f>
        <v>mobile</v>
      </c>
      <c r="AO1056" s="3"/>
      <c r="AP1056" s="3"/>
      <c r="AQ1056" s="3"/>
      <c r="AR1056" s="3"/>
      <c r="AS1056" s="3"/>
      <c r="AT1056" s="3"/>
      <c r="AU1056" s="3" t="str">
        <f ca="1">IFERROR(__xludf.DUMMYFUNCTION("""COMPUTED_VALUE"""),"cílený mobilní viněta")</f>
        <v>cílený mobilní viněta</v>
      </c>
    </row>
    <row r="1057" spans="1:47" x14ac:dyDescent="0.3">
      <c r="A1057" s="3">
        <f ca="1"/>
        <v>2346826</v>
      </c>
      <c r="B1057" s="3" t="str">
        <f ca="1"/>
        <v>CZECH NEWS CENTER a. s.</v>
      </c>
      <c r="C1057" s="3" t="str">
        <f ca="1">IFERROR(__xludf.DUMMYFUNCTION("""COMPUTED_VALUE"""),"Živě")</f>
        <v>Živě</v>
      </c>
      <c r="D1057" s="4" t="str">
        <f ca="1">IFERROR(__xludf.DUMMYFUNCTION("""COMPUTED_VALUE"""),"https://zive.cz")</f>
        <v>https://zive.cz</v>
      </c>
      <c r="E1057" s="3" t="str">
        <f ca="1">IFERROR(__xludf.DUMMYFUNCTION("""COMPUTED_VALUE"""),"celý web")</f>
        <v>celý web</v>
      </c>
      <c r="F1057" s="4" t="str">
        <f ca="1">IFERROR(__xludf.DUMMYFUNCTION("""COMPUTED_VALUE"""),"https://zive.cz")</f>
        <v>https://zive.cz</v>
      </c>
      <c r="G1057" s="3" t="str">
        <f ca="1">IFERROR(__xludf.DUMMYFUNCTION("""COMPUTED_VALUE"""),"cílený nativní pr premium mid season")</f>
        <v>cílený nativní pr premium mid season</v>
      </c>
      <c r="H1057" s="3">
        <f ca="1">IFERROR(__xludf.DUMMYFUNCTION("""COMPUTED_VALUE"""),7)</f>
        <v>7</v>
      </c>
      <c r="I1057" s="5">
        <f ca="1">IFERROR(__xludf.DUMMYFUNCTION("""COMPUTED_VALUE"""),1000)</f>
        <v>1000</v>
      </c>
      <c r="J1057" s="5">
        <f ca="1">IFERROR(__xludf.DUMMYFUNCTION("""COMPUTED_VALUE"""),168)</f>
        <v>168</v>
      </c>
      <c r="K1057" s="3"/>
      <c r="L1057" s="3" t="str">
        <f ca="1">IFERROR(__xludf.DUMMYFUNCTION("""COMPUTED_VALUE"""),"Cost per period")</f>
        <v>Cost per period</v>
      </c>
      <c r="M1057" s="3"/>
      <c r="N1057" s="3"/>
      <c r="O1057" s="3" t="str">
        <f ca="1">IFERROR(__xludf.DUMMYFUNCTION("""COMPUTED_VALUE"""),"640")</f>
        <v>640</v>
      </c>
      <c r="P1057" s="3" t="str">
        <f ca="1">IFERROR(__xludf.DUMMYFUNCTION("""COMPUTED_VALUE"""),"335, 640")</f>
        <v>335, 640</v>
      </c>
      <c r="Q1057" s="3" t="str">
        <f ca="1">IFERROR(__xludf.DUMMYFUNCTION("""COMPUTED_VALUE"""),"640x640 a 640x335 + text + logo")</f>
        <v>640x640 a 640x335 + text + logo</v>
      </c>
      <c r="R1057" s="3" t="str">
        <f ca="1">IFERROR(__xludf.DUMMYFUNCTION("""COMPUTED_VALUE"""),"detailní specifikace na URL odkaze")</f>
        <v>detailní specifikace na URL odkaze</v>
      </c>
      <c r="S1057" s="3" t="str">
        <f ca="1">IFERROR(__xludf.DUMMYFUNCTION("""COMPUTED_VALUE"""),"100")</f>
        <v>100</v>
      </c>
      <c r="T1057" s="3"/>
      <c r="U1057" s="3" t="str">
        <f ca="1">IFERROR(__xludf.DUMMYFUNCTION("""COMPUTED_VALUE"""),"nativní reklama")</f>
        <v>nativní reklama</v>
      </c>
      <c r="V1057" s="3"/>
      <c r="W1057" s="4" t="str">
        <f ca="1">IFERROR(__xludf.DUMMYFUNCTION("""COMPUTED_VALUE"""),"https://reklama.cncenter.cz/Online/nativni-PR-premium")</f>
        <v>https://reklama.cncenter.cz/Online/nativni-PR-premium</v>
      </c>
      <c r="X1057" s="3"/>
      <c r="Y1057" s="3"/>
      <c r="Z1057" s="3" t="str">
        <f ca="1">IFERROR(__xludf.DUMMYFUNCTION("""COMPUTED_VALUE"""),"podklady@cncenter.cz")</f>
        <v>podklady@cncenter.cz</v>
      </c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 t="str">
        <f ca="1">IFERROR(__xludf.DUMMYFUNCTION("""COMPUTED_VALUE"""),"cross-device")</f>
        <v>cross-device</v>
      </c>
      <c r="AO1057" s="3"/>
      <c r="AP1057" s="3"/>
      <c r="AQ1057" s="3"/>
      <c r="AR1057" s="3"/>
      <c r="AS1057" s="3"/>
      <c r="AT1057" s="3"/>
      <c r="AU1057" s="3" t="str">
        <f ca="1">IFERROR(__xludf.DUMMYFUNCTION("""COMPUTED_VALUE"""),"cílený nativní pr premium")</f>
        <v>cílený nativní pr premium</v>
      </c>
    </row>
    <row r="1058" spans="1:47" x14ac:dyDescent="0.3">
      <c r="A1058" s="3">
        <f ca="1"/>
        <v>2346826</v>
      </c>
      <c r="B1058" s="3" t="str">
        <f ca="1"/>
        <v>CZECH NEWS CENTER a. s.</v>
      </c>
      <c r="C1058" s="3" t="str">
        <f ca="1">IFERROR(__xludf.DUMMYFUNCTION("""COMPUTED_VALUE"""),"Živě")</f>
        <v>Živě</v>
      </c>
      <c r="D1058" s="4" t="str">
        <f ca="1">IFERROR(__xludf.DUMMYFUNCTION("""COMPUTED_VALUE"""),"https://zive.cz")</f>
        <v>https://zive.cz</v>
      </c>
      <c r="E1058" s="3" t="str">
        <f ca="1">IFERROR(__xludf.DUMMYFUNCTION("""COMPUTED_VALUE"""),"celý web")</f>
        <v>celý web</v>
      </c>
      <c r="F1058" s="4" t="str">
        <f ca="1">IFERROR(__xludf.DUMMYFUNCTION("""COMPUTED_VALUE"""),"https://zive.cz")</f>
        <v>https://zive.cz</v>
      </c>
      <c r="G1058" s="3" t="str">
        <f ca="1">IFERROR(__xludf.DUMMYFUNCTION("""COMPUTED_VALUE"""),"cílený nativní rectangle cross-device mid season")</f>
        <v>cílený nativní rectangle cross-device mid season</v>
      </c>
      <c r="H1058" s="3">
        <f ca="1">IFERROR(__xludf.DUMMYFUNCTION("""COMPUTED_VALUE"""),7)</f>
        <v>7</v>
      </c>
      <c r="I1058" s="5">
        <f ca="1">IFERROR(__xludf.DUMMYFUNCTION("""COMPUTED_VALUE"""),1000)</f>
        <v>1000</v>
      </c>
      <c r="J1058" s="5">
        <f ca="1">IFERROR(__xludf.DUMMYFUNCTION("""COMPUTED_VALUE"""),336)</f>
        <v>336</v>
      </c>
      <c r="K1058" s="3"/>
      <c r="L1058" s="3" t="str">
        <f ca="1">IFERROR(__xludf.DUMMYFUNCTION("""COMPUTED_VALUE"""),"Cost per period")</f>
        <v>Cost per period</v>
      </c>
      <c r="M1058" s="3"/>
      <c r="N1058" s="3"/>
      <c r="O1058" s="3" t="str">
        <f ca="1">IFERROR(__xludf.DUMMYFUNCTION("""COMPUTED_VALUE"""),"640")</f>
        <v>640</v>
      </c>
      <c r="P1058" s="3" t="str">
        <f ca="1">IFERROR(__xludf.DUMMYFUNCTION("""COMPUTED_VALUE"""),"335, 640")</f>
        <v>335, 640</v>
      </c>
      <c r="Q1058" s="3" t="str">
        <f ca="1">IFERROR(__xludf.DUMMYFUNCTION("""COMPUTED_VALUE"""),"640x640 a 640x335 + text + logo")</f>
        <v>640x640 a 640x335 + text + logo</v>
      </c>
      <c r="R1058" s="3"/>
      <c r="S1058" s="3" t="str">
        <f ca="1">IFERROR(__xludf.DUMMYFUNCTION("""COMPUTED_VALUE"""),"45")</f>
        <v>45</v>
      </c>
      <c r="T1058" s="3"/>
      <c r="U1058" s="3" t="str">
        <f ca="1">IFERROR(__xludf.DUMMYFUNCTION("""COMPUTED_VALUE"""),"nativní reklama")</f>
        <v>nativní reklama</v>
      </c>
      <c r="V1058" s="3"/>
      <c r="W1058" s="4" t="str">
        <f ca="1">IFERROR(__xludf.DUMMYFUNCTION("""COMPUTED_VALUE"""),"https://reklama.cncenter.cz/Online/nativni-rectangle-cross-device")</f>
        <v>https://reklama.cncenter.cz/Online/nativni-rectangle-cross-device</v>
      </c>
      <c r="X1058" s="3"/>
      <c r="Y1058" s="3"/>
      <c r="Z1058" s="3" t="str">
        <f ca="1">IFERROR(__xludf.DUMMYFUNCTION("""COMPUTED_VALUE"""),"podklady@cncenter.cz")</f>
        <v>podklady@cncenter.cz</v>
      </c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 t="str">
        <f ca="1">IFERROR(__xludf.DUMMYFUNCTION("""COMPUTED_VALUE"""),"cross-device")</f>
        <v>cross-device</v>
      </c>
      <c r="AO1058" s="3"/>
      <c r="AP1058" s="3"/>
      <c r="AQ1058" s="3"/>
      <c r="AR1058" s="3"/>
      <c r="AS1058" s="3"/>
      <c r="AT1058" s="3"/>
      <c r="AU1058" s="3" t="str">
        <f ca="1">IFERROR(__xludf.DUMMYFUNCTION("""COMPUTED_VALUE"""),"cílený nativní rectangle cross-device")</f>
        <v>cílený nativní rectangle cross-device</v>
      </c>
    </row>
    <row r="1059" spans="1:47" x14ac:dyDescent="0.3">
      <c r="A1059" s="3">
        <f ca="1"/>
        <v>2346826</v>
      </c>
      <c r="B1059" s="3" t="str">
        <f ca="1"/>
        <v>CZECH NEWS CENTER a. s.</v>
      </c>
      <c r="C1059" s="3" t="str">
        <f ca="1">IFERROR(__xludf.DUMMYFUNCTION("""COMPUTED_VALUE"""),"Živě")</f>
        <v>Živě</v>
      </c>
      <c r="D1059" s="4" t="str">
        <f ca="1">IFERROR(__xludf.DUMMYFUNCTION("""COMPUTED_VALUE"""),"https://zive.cz")</f>
        <v>https://zive.cz</v>
      </c>
      <c r="E1059" s="3" t="str">
        <f ca="1">IFERROR(__xludf.DUMMYFUNCTION("""COMPUTED_VALUE"""),"celý web")</f>
        <v>celý web</v>
      </c>
      <c r="F1059" s="4" t="str">
        <f ca="1">IFERROR(__xludf.DUMMYFUNCTION("""COMPUTED_VALUE"""),"https://zive.cz")</f>
        <v>https://zive.cz</v>
      </c>
      <c r="G1059" s="3" t="str">
        <f ca="1">IFERROR(__xludf.DUMMYFUNCTION("""COMPUTED_VALUE"""),"cílený outstream mid season")</f>
        <v>cílený outstream mid season</v>
      </c>
      <c r="H1059" s="3">
        <f ca="1">IFERROR(__xludf.DUMMYFUNCTION("""COMPUTED_VALUE"""),7)</f>
        <v>7</v>
      </c>
      <c r="I1059" s="5">
        <f ca="1">IFERROR(__xludf.DUMMYFUNCTION("""COMPUTED_VALUE"""),1000)</f>
        <v>1000</v>
      </c>
      <c r="J1059" s="5">
        <f ca="1">IFERROR(__xludf.DUMMYFUNCTION("""COMPUTED_VALUE"""),420)</f>
        <v>420</v>
      </c>
      <c r="K1059" s="3"/>
      <c r="L1059" s="3" t="str">
        <f ca="1">IFERROR(__xludf.DUMMYFUNCTION("""COMPUTED_VALUE"""),"Cost per period")</f>
        <v>Cost per period</v>
      </c>
      <c r="M1059" s="3"/>
      <c r="N1059" s="3"/>
      <c r="O1059" s="3" t="str">
        <f ca="1">IFERROR(__xludf.DUMMYFUNCTION("""COMPUTED_VALUE"""),"1280")</f>
        <v>1280</v>
      </c>
      <c r="P1059" s="3" t="str">
        <f ca="1">IFERROR(__xludf.DUMMYFUNCTION("""COMPUTED_VALUE"""),"720")</f>
        <v>720</v>
      </c>
      <c r="Q1059" s="3" t="str">
        <f ca="1">IFERROR(__xludf.DUMMYFUNCTION("""COMPUTED_VALUE"""),"16:9")</f>
        <v>16:9</v>
      </c>
      <c r="R1059" s="3"/>
      <c r="S1059" s="3" t="str">
        <f ca="1">IFERROR(__xludf.DUMMYFUNCTION("""COMPUTED_VALUE"""),"100")</f>
        <v>100</v>
      </c>
      <c r="T1059" s="3"/>
      <c r="U1059" s="3" t="str">
        <f ca="1">IFERROR(__xludf.DUMMYFUNCTION("""COMPUTED_VALUE"""),"videospot")</f>
        <v>videospot</v>
      </c>
      <c r="V1059" s="3"/>
      <c r="W1059" s="4" t="str">
        <f ca="1">IFERROR(__xludf.DUMMYFUNCTION("""COMPUTED_VALUE"""),"https://reklama.cncenter.cz/Online/Outstream")</f>
        <v>https://reklama.cncenter.cz/Online/Outstream</v>
      </c>
      <c r="X1059" s="3"/>
      <c r="Y1059" s="3"/>
      <c r="Z1059" s="3" t="str">
        <f ca="1">IFERROR(__xludf.DUMMYFUNCTION("""COMPUTED_VALUE"""),"podklady@cncenter.cz")</f>
        <v>podklady@cncenter.cz</v>
      </c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 t="str">
        <f ca="1">IFERROR(__xludf.DUMMYFUNCTION("""COMPUTED_VALUE"""),"cross-device")</f>
        <v>cross-device</v>
      </c>
      <c r="AO1059" s="3"/>
      <c r="AP1059" s="3"/>
      <c r="AQ1059" s="3"/>
      <c r="AR1059" s="3"/>
      <c r="AS1059" s="3"/>
      <c r="AT1059" s="3"/>
      <c r="AU1059" s="3" t="str">
        <f ca="1">IFERROR(__xludf.DUMMYFUNCTION("""COMPUTED_VALUE"""),"cílený outstream")</f>
        <v>cílený outstream</v>
      </c>
    </row>
    <row r="1060" spans="1:47" x14ac:dyDescent="0.3">
      <c r="A1060" s="3">
        <f ca="1"/>
        <v>2346826</v>
      </c>
      <c r="B1060" s="3" t="str">
        <f ca="1"/>
        <v>CZECH NEWS CENTER a. s.</v>
      </c>
      <c r="C1060" s="3" t="str">
        <f ca="1">IFERROR(__xludf.DUMMYFUNCTION("""COMPUTED_VALUE"""),"Živě")</f>
        <v>Živě</v>
      </c>
      <c r="D1060" s="4" t="str">
        <f ca="1">IFERROR(__xludf.DUMMYFUNCTION("""COMPUTED_VALUE"""),"https://zive.cz")</f>
        <v>https://zive.cz</v>
      </c>
      <c r="E1060" s="3" t="str">
        <f ca="1">IFERROR(__xludf.DUMMYFUNCTION("""COMPUTED_VALUE"""),"celý web")</f>
        <v>celý web</v>
      </c>
      <c r="F1060" s="4" t="str">
        <f ca="1">IFERROR(__xludf.DUMMYFUNCTION("""COMPUTED_VALUE"""),"https://zive.cz")</f>
        <v>https://zive.cz</v>
      </c>
      <c r="G1060" s="3" t="str">
        <f ca="1">IFERROR(__xludf.DUMMYFUNCTION("""COMPUTED_VALUE"""),"cílený videospot - max. 30 sec. / bumper mid season")</f>
        <v>cílený videospot - max. 30 sec. / bumper mid season</v>
      </c>
      <c r="H1060" s="3">
        <f ca="1">IFERROR(__xludf.DUMMYFUNCTION("""COMPUTED_VALUE"""),7)</f>
        <v>7</v>
      </c>
      <c r="I1060" s="5">
        <f ca="1">IFERROR(__xludf.DUMMYFUNCTION("""COMPUTED_VALUE"""),1000)</f>
        <v>1000</v>
      </c>
      <c r="J1060" s="5">
        <f ca="1">IFERROR(__xludf.DUMMYFUNCTION("""COMPUTED_VALUE"""),1248)</f>
        <v>1248</v>
      </c>
      <c r="K1060" s="3"/>
      <c r="L1060" s="3" t="str">
        <f ca="1">IFERROR(__xludf.DUMMYFUNCTION("""COMPUTED_VALUE"""),"Cost per period")</f>
        <v>Cost per period</v>
      </c>
      <c r="M1060" s="3"/>
      <c r="N1060" s="3"/>
      <c r="O1060" s="3" t="str">
        <f ca="1">IFERROR(__xludf.DUMMYFUNCTION("""COMPUTED_VALUE"""),"1280")</f>
        <v>1280</v>
      </c>
      <c r="P1060" s="3" t="str">
        <f ca="1">IFERROR(__xludf.DUMMYFUNCTION("""COMPUTED_VALUE"""),"720")</f>
        <v>720</v>
      </c>
      <c r="Q1060" s="3" t="str">
        <f ca="1">IFERROR(__xludf.DUMMYFUNCTION("""COMPUTED_VALUE"""),"16:9 / umístění po domluvě dle možností")</f>
        <v>16:9 / umístění po domluvě dle možností</v>
      </c>
      <c r="R1060" s="3" t="str">
        <f ca="1">IFERROR(__xludf.DUMMYFUNCTION("""COMPUTED_VALUE"""),"přeskočení po 7 sekundách")</f>
        <v>přeskočení po 7 sekundách</v>
      </c>
      <c r="S1060" s="3" t="str">
        <f ca="1">IFERROR(__xludf.DUMMYFUNCTION("""COMPUTED_VALUE"""),"100")</f>
        <v>100</v>
      </c>
      <c r="T1060" s="3"/>
      <c r="U1060" s="3" t="str">
        <f ca="1">IFERROR(__xludf.DUMMYFUNCTION("""COMPUTED_VALUE"""),"videospot")</f>
        <v>videospot</v>
      </c>
      <c r="V1060" s="3"/>
      <c r="W1060" s="4" t="str">
        <f ca="1">IFERROR(__xludf.DUMMYFUNCTION("""COMPUTED_VALUE"""),"https://reklama.cncenter.cz/Online/Bumper")</f>
        <v>https://reklama.cncenter.cz/Online/Bumper</v>
      </c>
      <c r="X1060" s="3"/>
      <c r="Y1060" s="3"/>
      <c r="Z1060" s="3" t="str">
        <f ca="1">IFERROR(__xludf.DUMMYFUNCTION("""COMPUTED_VALUE"""),"podklady@cncenter.cz")</f>
        <v>podklady@cncenter.cz</v>
      </c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 t="str">
        <f ca="1">IFERROR(__xludf.DUMMYFUNCTION("""COMPUTED_VALUE"""),"cross-device")</f>
        <v>cross-device</v>
      </c>
      <c r="AO1060" s="3"/>
      <c r="AP1060" s="3"/>
      <c r="AQ1060" s="3"/>
      <c r="AR1060" s="3"/>
      <c r="AS1060" s="3"/>
      <c r="AT1060" s="3"/>
      <c r="AU1060" s="3" t="str">
        <f ca="1">IFERROR(__xludf.DUMMYFUNCTION("""COMPUTED_VALUE"""),"cílený videospot - max. 30 sec. / bumper")</f>
        <v>cílený videospot - max. 30 sec. / bumper</v>
      </c>
    </row>
    <row r="1061" spans="1:47" x14ac:dyDescent="0.3">
      <c r="A1061" s="3">
        <f ca="1"/>
        <v>2346826</v>
      </c>
      <c r="B1061" s="3" t="str">
        <f ca="1"/>
        <v>CZECH NEWS CENTER a. s.</v>
      </c>
      <c r="C1061" s="3" t="str">
        <f ca="1">IFERROR(__xludf.DUMMYFUNCTION("""COMPUTED_VALUE"""),"Živě")</f>
        <v>Živě</v>
      </c>
      <c r="D1061" s="4" t="str">
        <f ca="1">IFERROR(__xludf.DUMMYFUNCTION("""COMPUTED_VALUE"""),"https://zive.cz")</f>
        <v>https://zive.cz</v>
      </c>
      <c r="E1061" s="3" t="str">
        <f ca="1">IFERROR(__xludf.DUMMYFUNCTION("""COMPUTED_VALUE"""),"celý web")</f>
        <v>celý web</v>
      </c>
      <c r="F1061" s="4" t="str">
        <f ca="1">IFERROR(__xludf.DUMMYFUNCTION("""COMPUTED_VALUE"""),"https://zive.cz")</f>
        <v>https://zive.cz</v>
      </c>
      <c r="G1061" s="3" t="str">
        <f ca="1">IFERROR(__xludf.DUMMYFUNCTION("""COMPUTED_VALUE"""),"dokoupení proma o 2 týdny - 10 000 PV *** mid season")</f>
        <v>dokoupení proma o 2 týdny - 10 000 PV *** mid season</v>
      </c>
      <c r="H1061" s="3">
        <f ca="1">IFERROR(__xludf.DUMMYFUNCTION("""COMPUTED_VALUE"""),1)</f>
        <v>1</v>
      </c>
      <c r="I1061" s="5">
        <f ca="1">IFERROR(__xludf.DUMMYFUNCTION("""COMPUTED_VALUE"""),1)</f>
        <v>1</v>
      </c>
      <c r="J1061" s="5">
        <f ca="1">IFERROR(__xludf.DUMMYFUNCTION("""COMPUTED_VALUE"""),60000)</f>
        <v>60000</v>
      </c>
      <c r="K1061" s="3"/>
      <c r="L1061" s="3" t="str">
        <f ca="1">IFERROR(__xludf.DUMMYFUNCTION("""COMPUTED_VALUE"""),"Cost per instance")</f>
        <v>Cost per instance</v>
      </c>
      <c r="M1061" s="3"/>
      <c r="N1061" s="3"/>
      <c r="O1061" s="3"/>
      <c r="P1061" s="3"/>
      <c r="Q1061" s="3"/>
      <c r="R1061" s="3"/>
      <c r="S1061" s="3" t="str">
        <f ca="1">IFERROR(__xludf.DUMMYFUNCTION("""COMPUTED_VALUE"""),"100")</f>
        <v>100</v>
      </c>
      <c r="T1061" s="3"/>
      <c r="U1061" s="3" t="str">
        <f ca="1">IFERROR(__xludf.DUMMYFUNCTION("""COMPUTED_VALUE"""),"microsite")</f>
        <v>microsite</v>
      </c>
      <c r="V1061" s="3"/>
      <c r="W1061" s="3"/>
      <c r="X1061" s="3"/>
      <c r="Y1061" s="3"/>
      <c r="Z1061" s="3" t="str">
        <f ca="1">IFERROR(__xludf.DUMMYFUNCTION("""COMPUTED_VALUE"""),"podklady@cncenter.cz")</f>
        <v>podklady@cncenter.cz</v>
      </c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 t="str">
        <f ca="1">IFERROR(__xludf.DUMMYFUNCTION("""COMPUTED_VALUE"""),"cross-device")</f>
        <v>cross-device</v>
      </c>
      <c r="AO1061" s="3"/>
      <c r="AP1061" s="3"/>
      <c r="AQ1061" s="3"/>
      <c r="AR1061" s="3"/>
      <c r="AS1061" s="3"/>
      <c r="AT1061" s="3"/>
      <c r="AU1061" s="3" t="str">
        <f ca="1">IFERROR(__xludf.DUMMYFUNCTION("""COMPUTED_VALUE"""),"dokoupení proma o 2 týdny - 10 000 PV ***")</f>
        <v>dokoupení proma o 2 týdny - 10 000 PV ***</v>
      </c>
    </row>
    <row r="1062" spans="1:47" x14ac:dyDescent="0.3">
      <c r="A1062" s="3">
        <f ca="1"/>
        <v>2346826</v>
      </c>
      <c r="B1062" s="3" t="str">
        <f ca="1"/>
        <v>CZECH NEWS CENTER a. s.</v>
      </c>
      <c r="C1062" s="3" t="str">
        <f ca="1">IFERROR(__xludf.DUMMYFUNCTION("""COMPUTED_VALUE"""),"Živě")</f>
        <v>Živě</v>
      </c>
      <c r="D1062" s="4" t="str">
        <f ca="1">IFERROR(__xludf.DUMMYFUNCTION("""COMPUTED_VALUE"""),"https://zive.cz")</f>
        <v>https://zive.cz</v>
      </c>
      <c r="E1062" s="3" t="str">
        <f ca="1">IFERROR(__xludf.DUMMYFUNCTION("""COMPUTED_VALUE"""),"celý web")</f>
        <v>celý web</v>
      </c>
      <c r="F1062" s="4" t="str">
        <f ca="1">IFERROR(__xludf.DUMMYFUNCTION("""COMPUTED_VALUE"""),"https://zive.cz")</f>
        <v>https://zive.cz</v>
      </c>
      <c r="G1062" s="3" t="str">
        <f ca="1">IFERROR(__xludf.DUMMYFUNCTION("""COMPUTED_VALUE"""),"double skyscraper mid season")</f>
        <v>double skyscraper mid season</v>
      </c>
      <c r="H1062" s="3">
        <f ca="1">IFERROR(__xludf.DUMMYFUNCTION("""COMPUTED_VALUE"""),7)</f>
        <v>7</v>
      </c>
      <c r="I1062" s="5">
        <f ca="1">IFERROR(__xludf.DUMMYFUNCTION("""COMPUTED_VALUE"""),1000)</f>
        <v>1000</v>
      </c>
      <c r="J1062" s="5">
        <f ca="1">IFERROR(__xludf.DUMMYFUNCTION("""COMPUTED_VALUE"""),270)</f>
        <v>270</v>
      </c>
      <c r="K1062" s="3"/>
      <c r="L1062" s="3" t="str">
        <f ca="1">IFERROR(__xludf.DUMMYFUNCTION("""COMPUTED_VALUE"""),"Cost per period")</f>
        <v>Cost per period</v>
      </c>
      <c r="M1062" s="3"/>
      <c r="N1062" s="3"/>
      <c r="O1062" s="3" t="str">
        <f ca="1">IFERROR(__xludf.DUMMYFUNCTION("""COMPUTED_VALUE"""),"300")</f>
        <v>300</v>
      </c>
      <c r="P1062" s="3" t="str">
        <f ca="1">IFERROR(__xludf.DUMMYFUNCTION("""COMPUTED_VALUE"""),"600")</f>
        <v>600</v>
      </c>
      <c r="Q1062" s="3" t="str">
        <f ca="1">IFERROR(__xludf.DUMMYFUNCTION("""COMPUTED_VALUE"""),"300x600")</f>
        <v>300x600</v>
      </c>
      <c r="R1062" s="3"/>
      <c r="S1062" s="3" t="str">
        <f ca="1">IFERROR(__xludf.DUMMYFUNCTION("""COMPUTED_VALUE"""),"100 (200 - HTML5)")</f>
        <v>100 (200 - HTML5)</v>
      </c>
      <c r="T1062" s="3"/>
      <c r="U1062" s="3" t="str">
        <f ca="1">IFERROR(__xludf.DUMMYFUNCTION("""COMPUTED_VALUE"""),"banner standard")</f>
        <v>banner standard</v>
      </c>
      <c r="V1062" s="3"/>
      <c r="W1062" s="4" t="str">
        <f ca="1">IFERROR(__xludf.DUMMYFUNCTION("""COMPUTED_VALUE"""),"https://reklama.cncenter.cz/Online/double-skyscraper")</f>
        <v>https://reklama.cncenter.cz/Online/double-skyscraper</v>
      </c>
      <c r="X1062" s="3"/>
      <c r="Y1062" s="3"/>
      <c r="Z1062" s="3" t="str">
        <f ca="1">IFERROR(__xludf.DUMMYFUNCTION("""COMPUTED_VALUE"""),"podklady@cncenter.cz")</f>
        <v>podklady@cncenter.cz</v>
      </c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 t="str">
        <f ca="1">IFERROR(__xludf.DUMMYFUNCTION("""COMPUTED_VALUE"""),"desktop")</f>
        <v>desktop</v>
      </c>
      <c r="AO1062" s="3"/>
      <c r="AP1062" s="3"/>
      <c r="AQ1062" s="3"/>
      <c r="AR1062" s="3"/>
      <c r="AS1062" s="3"/>
      <c r="AT1062" s="3"/>
      <c r="AU1062" s="3" t="str">
        <f ca="1">IFERROR(__xludf.DUMMYFUNCTION("""COMPUTED_VALUE"""),"double skyscraper")</f>
        <v>double skyscraper</v>
      </c>
    </row>
    <row r="1063" spans="1:47" x14ac:dyDescent="0.3">
      <c r="A1063" s="3">
        <f ca="1"/>
        <v>2346826</v>
      </c>
      <c r="B1063" s="3" t="str">
        <f ca="1"/>
        <v>CZECH NEWS CENTER a. s.</v>
      </c>
      <c r="C1063" s="3" t="str">
        <f ca="1">IFERROR(__xludf.DUMMYFUNCTION("""COMPUTED_VALUE"""),"Živě")</f>
        <v>Živě</v>
      </c>
      <c r="D1063" s="4" t="str">
        <f ca="1">IFERROR(__xludf.DUMMYFUNCTION("""COMPUTED_VALUE"""),"https://zive.cz")</f>
        <v>https://zive.cz</v>
      </c>
      <c r="E1063" s="3" t="str">
        <f ca="1">IFERROR(__xludf.DUMMYFUNCTION("""COMPUTED_VALUE"""),"celý web")</f>
        <v>celý web</v>
      </c>
      <c r="F1063" s="4" t="str">
        <f ca="1">IFERROR(__xludf.DUMMYFUNCTION("""COMPUTED_VALUE"""),"https://zive.cz")</f>
        <v>https://zive.cz</v>
      </c>
      <c r="G1063" s="3" t="str">
        <f ca="1">IFERROR(__xludf.DUMMYFUNCTION("""COMPUTED_VALUE"""),"mobilní interscroller mid season")</f>
        <v>mobilní interscroller mid season</v>
      </c>
      <c r="H1063" s="3">
        <f ca="1">IFERROR(__xludf.DUMMYFUNCTION("""COMPUTED_VALUE"""),7)</f>
        <v>7</v>
      </c>
      <c r="I1063" s="5">
        <f ca="1">IFERROR(__xludf.DUMMYFUNCTION("""COMPUTED_VALUE"""),1000)</f>
        <v>1000</v>
      </c>
      <c r="J1063" s="5">
        <f ca="1">IFERROR(__xludf.DUMMYFUNCTION("""COMPUTED_VALUE"""),350)</f>
        <v>350</v>
      </c>
      <c r="K1063" s="3"/>
      <c r="L1063" s="3" t="str">
        <f ca="1">IFERROR(__xludf.DUMMYFUNCTION("""COMPUTED_VALUE"""),"Cost per period")</f>
        <v>Cost per period</v>
      </c>
      <c r="M1063" s="3"/>
      <c r="N1063" s="3"/>
      <c r="O1063" s="3" t="str">
        <f ca="1">IFERROR(__xludf.DUMMYFUNCTION("""COMPUTED_VALUE"""),"600")</f>
        <v>600</v>
      </c>
      <c r="P1063" s="3" t="str">
        <f ca="1">IFERROR(__xludf.DUMMYFUNCTION("""COMPUTED_VALUE"""),"1080")</f>
        <v>1080</v>
      </c>
      <c r="Q1063" s="3" t="str">
        <f ca="1">IFERROR(__xludf.DUMMYFUNCTION("""COMPUTED_VALUE"""),"600x1080")</f>
        <v>600x1080</v>
      </c>
      <c r="R1063" s="3"/>
      <c r="S1063" s="3" t="str">
        <f ca="1">IFERROR(__xludf.DUMMYFUNCTION("""COMPUTED_VALUE"""),"200")</f>
        <v>200</v>
      </c>
      <c r="T1063" s="3"/>
      <c r="U1063" s="3" t="str">
        <f ca="1">IFERROR(__xludf.DUMMYFUNCTION("""COMPUTED_VALUE"""),"banner standard")</f>
        <v>banner standard</v>
      </c>
      <c r="V1063" s="3"/>
      <c r="W1063" s="4" t="str">
        <f ca="1">IFERROR(__xludf.DUMMYFUNCTION("""COMPUTED_VALUE"""),"https://reklama.cncenter.cz/Online/mobilni-interscroller")</f>
        <v>https://reklama.cncenter.cz/Online/mobilni-interscroller</v>
      </c>
      <c r="X1063" s="3"/>
      <c r="Y1063" s="3"/>
      <c r="Z1063" s="3" t="str">
        <f ca="1">IFERROR(__xludf.DUMMYFUNCTION("""COMPUTED_VALUE"""),"podklady@cncenter.cz")</f>
        <v>podklady@cncenter.cz</v>
      </c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 t="str">
        <f ca="1">IFERROR(__xludf.DUMMYFUNCTION("""COMPUTED_VALUE"""),"mobile")</f>
        <v>mobile</v>
      </c>
      <c r="AO1063" s="3"/>
      <c r="AP1063" s="3"/>
      <c r="AQ1063" s="3"/>
      <c r="AR1063" s="3"/>
      <c r="AS1063" s="3"/>
      <c r="AT1063" s="3"/>
      <c r="AU1063" s="3" t="str">
        <f ca="1">IFERROR(__xludf.DUMMYFUNCTION("""COMPUTED_VALUE"""),"mobilní interscroller")</f>
        <v>mobilní interscroller</v>
      </c>
    </row>
    <row r="1064" spans="1:47" x14ac:dyDescent="0.3">
      <c r="A1064" s="3">
        <f ca="1"/>
        <v>2346826</v>
      </c>
      <c r="B1064" s="3" t="str">
        <f ca="1"/>
        <v>CZECH NEWS CENTER a. s.</v>
      </c>
      <c r="C1064" s="3" t="str">
        <f ca="1">IFERROR(__xludf.DUMMYFUNCTION("""COMPUTED_VALUE"""),"Živě")</f>
        <v>Živě</v>
      </c>
      <c r="D1064" s="4" t="str">
        <f ca="1">IFERROR(__xludf.DUMMYFUNCTION("""COMPUTED_VALUE"""),"https://zive.cz")</f>
        <v>https://zive.cz</v>
      </c>
      <c r="E1064" s="3" t="str">
        <f ca="1">IFERROR(__xludf.DUMMYFUNCTION("""COMPUTED_VALUE"""),"celý web")</f>
        <v>celý web</v>
      </c>
      <c r="F1064" s="4" t="str">
        <f ca="1">IFERROR(__xludf.DUMMYFUNCTION("""COMPUTED_VALUE"""),"https://zive.cz")</f>
        <v>https://zive.cz</v>
      </c>
      <c r="G1064" s="3" t="str">
        <f ca="1">IFERROR(__xludf.DUMMYFUNCTION("""COMPUTED_VALUE"""),"mobilní slide-up mid season")</f>
        <v>mobilní slide-up mid season</v>
      </c>
      <c r="H1064" s="3">
        <f ca="1">IFERROR(__xludf.DUMMYFUNCTION("""COMPUTED_VALUE"""),7)</f>
        <v>7</v>
      </c>
      <c r="I1064" s="5">
        <f ca="1">IFERROR(__xludf.DUMMYFUNCTION("""COMPUTED_VALUE"""),1000)</f>
        <v>1000</v>
      </c>
      <c r="J1064" s="5">
        <f ca="1">IFERROR(__xludf.DUMMYFUNCTION("""COMPUTED_VALUE"""),720)</f>
        <v>720</v>
      </c>
      <c r="K1064" s="3"/>
      <c r="L1064" s="3" t="str">
        <f ca="1">IFERROR(__xludf.DUMMYFUNCTION("""COMPUTED_VALUE"""),"Cost per period")</f>
        <v>Cost per period</v>
      </c>
      <c r="M1064" s="3"/>
      <c r="N1064" s="3"/>
      <c r="O1064" s="3" t="str">
        <f ca="1">IFERROR(__xludf.DUMMYFUNCTION("""COMPUTED_VALUE"""),"300")</f>
        <v>300</v>
      </c>
      <c r="P1064" s="3" t="str">
        <f ca="1">IFERROR(__xludf.DUMMYFUNCTION("""COMPUTED_VALUE"""),"120")</f>
        <v>120</v>
      </c>
      <c r="Q1064" s="3" t="str">
        <f ca="1">IFERROR(__xludf.DUMMYFUNCTION("""COMPUTED_VALUE"""),"300x120")</f>
        <v>300x120</v>
      </c>
      <c r="R1064" s="3"/>
      <c r="S1064" s="3" t="str">
        <f ca="1">IFERROR(__xludf.DUMMYFUNCTION("""COMPUTED_VALUE"""),"100")</f>
        <v>100</v>
      </c>
      <c r="T1064" s="3"/>
      <c r="U1064" s="3" t="str">
        <f ca="1">IFERROR(__xludf.DUMMYFUNCTION("""COMPUTED_VALUE"""),"banner standard")</f>
        <v>banner standard</v>
      </c>
      <c r="V1064" s="3"/>
      <c r="W1064" s="4" t="str">
        <f ca="1">IFERROR(__xludf.DUMMYFUNCTION("""COMPUTED_VALUE"""),"https://reklama.cncenter.cz/Online/mobilni-slide-up")</f>
        <v>https://reklama.cncenter.cz/Online/mobilni-slide-up</v>
      </c>
      <c r="X1064" s="3"/>
      <c r="Y1064" s="3"/>
      <c r="Z1064" s="3" t="str">
        <f ca="1">IFERROR(__xludf.DUMMYFUNCTION("""COMPUTED_VALUE"""),"podklady@cncenter.cz")</f>
        <v>podklady@cncenter.cz</v>
      </c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 t="str">
        <f ca="1">IFERROR(__xludf.DUMMYFUNCTION("""COMPUTED_VALUE"""),"mobile")</f>
        <v>mobile</v>
      </c>
      <c r="AO1064" s="3"/>
      <c r="AP1064" s="3"/>
      <c r="AQ1064" s="3"/>
      <c r="AR1064" s="3"/>
      <c r="AS1064" s="3"/>
      <c r="AT1064" s="3"/>
      <c r="AU1064" s="3" t="str">
        <f ca="1">IFERROR(__xludf.DUMMYFUNCTION("""COMPUTED_VALUE"""),"mobilní slide-up")</f>
        <v>mobilní slide-up</v>
      </c>
    </row>
    <row r="1065" spans="1:47" x14ac:dyDescent="0.3">
      <c r="A1065" s="3">
        <f ca="1"/>
        <v>2346826</v>
      </c>
      <c r="B1065" s="3" t="str">
        <f ca="1"/>
        <v>CZECH NEWS CENTER a. s.</v>
      </c>
      <c r="C1065" s="3" t="str">
        <f ca="1">IFERROR(__xludf.DUMMYFUNCTION("""COMPUTED_VALUE"""),"Živě")</f>
        <v>Živě</v>
      </c>
      <c r="D1065" s="4" t="str">
        <f ca="1">IFERROR(__xludf.DUMMYFUNCTION("""COMPUTED_VALUE"""),"https://zive.cz")</f>
        <v>https://zive.cz</v>
      </c>
      <c r="E1065" s="3" t="str">
        <f ca="1">IFERROR(__xludf.DUMMYFUNCTION("""COMPUTED_VALUE"""),"celý web")</f>
        <v>celý web</v>
      </c>
      <c r="F1065" s="4" t="str">
        <f ca="1">IFERROR(__xludf.DUMMYFUNCTION("""COMPUTED_VALUE"""),"https://zive.cz")</f>
        <v>https://zive.cz</v>
      </c>
      <c r="G1065" s="3" t="str">
        <f ca="1">IFERROR(__xludf.DUMMYFUNCTION("""COMPUTED_VALUE"""),"mobilní viněta mid season")</f>
        <v>mobilní viněta mid season</v>
      </c>
      <c r="H1065" s="3">
        <f ca="1">IFERROR(__xludf.DUMMYFUNCTION("""COMPUTED_VALUE"""),7)</f>
        <v>7</v>
      </c>
      <c r="I1065" s="5">
        <f ca="1">IFERROR(__xludf.DUMMYFUNCTION("""COMPUTED_VALUE"""),1000)</f>
        <v>1000</v>
      </c>
      <c r="J1065" s="5">
        <f ca="1">IFERROR(__xludf.DUMMYFUNCTION("""COMPUTED_VALUE"""),1240)</f>
        <v>1240</v>
      </c>
      <c r="K1065" s="3"/>
      <c r="L1065" s="3" t="str">
        <f ca="1">IFERROR(__xludf.DUMMYFUNCTION("""COMPUTED_VALUE"""),"Cost per period")</f>
        <v>Cost per period</v>
      </c>
      <c r="M1065" s="3"/>
      <c r="N1065" s="3"/>
      <c r="O1065" s="3" t="str">
        <f ca="1">IFERROR(__xludf.DUMMYFUNCTION("""COMPUTED_VALUE"""),"600")</f>
        <v>600</v>
      </c>
      <c r="P1065" s="3" t="str">
        <f ca="1">IFERROR(__xludf.DUMMYFUNCTION("""COMPUTED_VALUE"""),"800")</f>
        <v>800</v>
      </c>
      <c r="Q1065" s="3" t="str">
        <f ca="1">IFERROR(__xludf.DUMMYFUNCTION("""COMPUTED_VALUE"""),"300x250 nebo 600x800")</f>
        <v>300x250 nebo 600x800</v>
      </c>
      <c r="R1065" s="3"/>
      <c r="S1065" s="3" t="str">
        <f ca="1">IFERROR(__xludf.DUMMYFUNCTION("""COMPUTED_VALUE"""),"100")</f>
        <v>100</v>
      </c>
      <c r="T1065" s="3"/>
      <c r="U1065" s="3" t="str">
        <f ca="1">IFERROR(__xludf.DUMMYFUNCTION("""COMPUTED_VALUE"""),"banner standard")</f>
        <v>banner standard</v>
      </c>
      <c r="V1065" s="3"/>
      <c r="W1065" s="4" t="str">
        <f ca="1">IFERROR(__xludf.DUMMYFUNCTION("""COMPUTED_VALUE"""),"https://reklama.cncenter.cz/Online/mobilni-vineta")</f>
        <v>https://reklama.cncenter.cz/Online/mobilni-vineta</v>
      </c>
      <c r="X1065" s="3"/>
      <c r="Y1065" s="3"/>
      <c r="Z1065" s="3" t="str">
        <f ca="1">IFERROR(__xludf.DUMMYFUNCTION("""COMPUTED_VALUE"""),"podklady@cncenter.cz")</f>
        <v>podklady@cncenter.cz</v>
      </c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 t="str">
        <f ca="1">IFERROR(__xludf.DUMMYFUNCTION("""COMPUTED_VALUE"""),"mobile")</f>
        <v>mobile</v>
      </c>
      <c r="AO1065" s="3"/>
      <c r="AP1065" s="3"/>
      <c r="AQ1065" s="3"/>
      <c r="AR1065" s="3"/>
      <c r="AS1065" s="3"/>
      <c r="AT1065" s="3"/>
      <c r="AU1065" s="3" t="str">
        <f ca="1">IFERROR(__xludf.DUMMYFUNCTION("""COMPUTED_VALUE"""),"mobilní viněta")</f>
        <v>mobilní viněta</v>
      </c>
    </row>
    <row r="1066" spans="1:47" x14ac:dyDescent="0.3">
      <c r="A1066" s="3">
        <f ca="1"/>
        <v>2346826</v>
      </c>
      <c r="B1066" s="3" t="str">
        <f ca="1"/>
        <v>CZECH NEWS CENTER a. s.</v>
      </c>
      <c r="C1066" s="3" t="str">
        <f ca="1">IFERROR(__xludf.DUMMYFUNCTION("""COMPUTED_VALUE"""),"Živě")</f>
        <v>Živě</v>
      </c>
      <c r="D1066" s="4" t="str">
        <f ca="1">IFERROR(__xludf.DUMMYFUNCTION("""COMPUTED_VALUE"""),"https://zive.cz")</f>
        <v>https://zive.cz</v>
      </c>
      <c r="E1066" s="3" t="str">
        <f ca="1">IFERROR(__xludf.DUMMYFUNCTION("""COMPUTED_VALUE"""),"celý web")</f>
        <v>celý web</v>
      </c>
      <c r="F1066" s="4" t="str">
        <f ca="1">IFERROR(__xludf.DUMMYFUNCTION("""COMPUTED_VALUE"""),"https://zive.cz")</f>
        <v>https://zive.cz</v>
      </c>
      <c r="G1066" s="3" t="str">
        <f ca="1">IFERROR(__xludf.DUMMYFUNCTION("""COMPUTED_VALUE"""),"Native Standard mid season")</f>
        <v>Native Standard mid season</v>
      </c>
      <c r="H1066" s="3">
        <f ca="1">IFERROR(__xludf.DUMMYFUNCTION("""COMPUTED_VALUE"""),1)</f>
        <v>1</v>
      </c>
      <c r="I1066" s="5">
        <f ca="1">IFERROR(__xludf.DUMMYFUNCTION("""COMPUTED_VALUE"""),1)</f>
        <v>1</v>
      </c>
      <c r="J1066" s="5">
        <f ca="1">IFERROR(__xludf.DUMMYFUNCTION("""COMPUTED_VALUE"""),330000)</f>
        <v>330000</v>
      </c>
      <c r="K1066" s="3"/>
      <c r="L1066" s="3" t="str">
        <f ca="1">IFERROR(__xludf.DUMMYFUNCTION("""COMPUTED_VALUE"""),"Cost per instance")</f>
        <v>Cost per instance</v>
      </c>
      <c r="M1066" s="3"/>
      <c r="N1066" s="3"/>
      <c r="O1066" s="3"/>
      <c r="P1066" s="3"/>
      <c r="Q1066" s="3"/>
      <c r="R1066" s="3"/>
      <c r="S1066" s="3" t="str">
        <f ca="1">IFERROR(__xludf.DUMMYFUNCTION("""COMPUTED_VALUE"""),"100")</f>
        <v>100</v>
      </c>
      <c r="T1066" s="3"/>
      <c r="U1066" s="3" t="str">
        <f ca="1">IFERROR(__xludf.DUMMYFUNCTION("""COMPUTED_VALUE"""),"microsite")</f>
        <v>microsite</v>
      </c>
      <c r="V1066" s="3"/>
      <c r="W1066" s="3"/>
      <c r="X1066" s="3"/>
      <c r="Y1066" s="3"/>
      <c r="Z1066" s="3" t="str">
        <f ca="1">IFERROR(__xludf.DUMMYFUNCTION("""COMPUTED_VALUE"""),"podklady@cncenter.cz")</f>
        <v>podklady@cncenter.cz</v>
      </c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 t="str">
        <f ca="1">IFERROR(__xludf.DUMMYFUNCTION("""COMPUTED_VALUE"""),"cross-device")</f>
        <v>cross-device</v>
      </c>
      <c r="AO1066" s="3"/>
      <c r="AP1066" s="3"/>
      <c r="AQ1066" s="3"/>
      <c r="AR1066" s="3"/>
      <c r="AS1066" s="3"/>
      <c r="AT1066" s="3"/>
      <c r="AU1066" s="3" t="str">
        <f ca="1">IFERROR(__xludf.DUMMYFUNCTION("""COMPUTED_VALUE"""),"Native Standard")</f>
        <v>Native Standard</v>
      </c>
    </row>
    <row r="1067" spans="1:47" x14ac:dyDescent="0.3">
      <c r="A1067" s="3">
        <f ca="1"/>
        <v>2346826</v>
      </c>
      <c r="B1067" s="3" t="str">
        <f ca="1"/>
        <v>CZECH NEWS CENTER a. s.</v>
      </c>
      <c r="C1067" s="3" t="str">
        <f ca="1">IFERROR(__xludf.DUMMYFUNCTION("""COMPUTED_VALUE"""),"Živě")</f>
        <v>Živě</v>
      </c>
      <c r="D1067" s="4" t="str">
        <f ca="1">IFERROR(__xludf.DUMMYFUNCTION("""COMPUTED_VALUE"""),"https://zive.cz")</f>
        <v>https://zive.cz</v>
      </c>
      <c r="E1067" s="3" t="str">
        <f ca="1">IFERROR(__xludf.DUMMYFUNCTION("""COMPUTED_VALUE"""),"celý web")</f>
        <v>celý web</v>
      </c>
      <c r="F1067" s="4" t="str">
        <f ca="1">IFERROR(__xludf.DUMMYFUNCTION("""COMPUTED_VALUE"""),"https://zive.cz")</f>
        <v>https://zive.cz</v>
      </c>
      <c r="G1067" s="3" t="str">
        <f ca="1">IFERROR(__xludf.DUMMYFUNCTION("""COMPUTED_VALUE"""),"nativní pr premium mid season")</f>
        <v>nativní pr premium mid season</v>
      </c>
      <c r="H1067" s="3">
        <f ca="1">IFERROR(__xludf.DUMMYFUNCTION("""COMPUTED_VALUE"""),7)</f>
        <v>7</v>
      </c>
      <c r="I1067" s="5">
        <f ca="1">IFERROR(__xludf.DUMMYFUNCTION("""COMPUTED_VALUE"""),1000)</f>
        <v>1000</v>
      </c>
      <c r="J1067" s="5">
        <f ca="1">IFERROR(__xludf.DUMMYFUNCTION("""COMPUTED_VALUE"""),140)</f>
        <v>140</v>
      </c>
      <c r="K1067" s="3"/>
      <c r="L1067" s="3" t="str">
        <f ca="1">IFERROR(__xludf.DUMMYFUNCTION("""COMPUTED_VALUE"""),"Cost per period")</f>
        <v>Cost per period</v>
      </c>
      <c r="M1067" s="3"/>
      <c r="N1067" s="3"/>
      <c r="O1067" s="3" t="str">
        <f ca="1">IFERROR(__xludf.DUMMYFUNCTION("""COMPUTED_VALUE"""),"640")</f>
        <v>640</v>
      </c>
      <c r="P1067" s="3" t="str">
        <f ca="1">IFERROR(__xludf.DUMMYFUNCTION("""COMPUTED_VALUE"""),"335, 640")</f>
        <v>335, 640</v>
      </c>
      <c r="Q1067" s="3" t="str">
        <f ca="1">IFERROR(__xludf.DUMMYFUNCTION("""COMPUTED_VALUE"""),"640x640 a 640x335 + text + logo")</f>
        <v>640x640 a 640x335 + text + logo</v>
      </c>
      <c r="R1067" s="3" t="str">
        <f ca="1">IFERROR(__xludf.DUMMYFUNCTION("""COMPUTED_VALUE"""),"detailní specifikace na URL odkaze")</f>
        <v>detailní specifikace na URL odkaze</v>
      </c>
      <c r="S1067" s="3" t="str">
        <f ca="1">IFERROR(__xludf.DUMMYFUNCTION("""COMPUTED_VALUE"""),"100")</f>
        <v>100</v>
      </c>
      <c r="T1067" s="3"/>
      <c r="U1067" s="3" t="str">
        <f ca="1">IFERROR(__xludf.DUMMYFUNCTION("""COMPUTED_VALUE"""),"nativní reklama")</f>
        <v>nativní reklama</v>
      </c>
      <c r="V1067" s="3"/>
      <c r="W1067" s="4" t="str">
        <f ca="1">IFERROR(__xludf.DUMMYFUNCTION("""COMPUTED_VALUE"""),"https://reklama.cncenter.cz/Online/nativni-PR-premium")</f>
        <v>https://reklama.cncenter.cz/Online/nativni-PR-premium</v>
      </c>
      <c r="X1067" s="3"/>
      <c r="Y1067" s="3"/>
      <c r="Z1067" s="3" t="str">
        <f ca="1">IFERROR(__xludf.DUMMYFUNCTION("""COMPUTED_VALUE"""),"podklady@cncenter.cz")</f>
        <v>podklady@cncenter.cz</v>
      </c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 t="str">
        <f ca="1">IFERROR(__xludf.DUMMYFUNCTION("""COMPUTED_VALUE"""),"cross-device")</f>
        <v>cross-device</v>
      </c>
      <c r="AO1067" s="3"/>
      <c r="AP1067" s="3"/>
      <c r="AQ1067" s="3"/>
      <c r="AR1067" s="3"/>
      <c r="AS1067" s="3"/>
      <c r="AT1067" s="3"/>
      <c r="AU1067" s="3" t="str">
        <f ca="1">IFERROR(__xludf.DUMMYFUNCTION("""COMPUTED_VALUE"""),"nativní pr premium")</f>
        <v>nativní pr premium</v>
      </c>
    </row>
    <row r="1068" spans="1:47" x14ac:dyDescent="0.3">
      <c r="A1068" s="3">
        <f ca="1"/>
        <v>2346826</v>
      </c>
      <c r="B1068" s="3" t="str">
        <f ca="1"/>
        <v>CZECH NEWS CENTER a. s.</v>
      </c>
      <c r="C1068" s="3" t="str">
        <f ca="1">IFERROR(__xludf.DUMMYFUNCTION("""COMPUTED_VALUE"""),"Živě")</f>
        <v>Živě</v>
      </c>
      <c r="D1068" s="4" t="str">
        <f ca="1">IFERROR(__xludf.DUMMYFUNCTION("""COMPUTED_VALUE"""),"https://zive.cz")</f>
        <v>https://zive.cz</v>
      </c>
      <c r="E1068" s="3" t="str">
        <f ca="1">IFERROR(__xludf.DUMMYFUNCTION("""COMPUTED_VALUE"""),"celý web")</f>
        <v>celý web</v>
      </c>
      <c r="F1068" s="4" t="str">
        <f ca="1">IFERROR(__xludf.DUMMYFUNCTION("""COMPUTED_VALUE"""),"https://zive.cz")</f>
        <v>https://zive.cz</v>
      </c>
      <c r="G1068" s="3" t="str">
        <f ca="1">IFERROR(__xludf.DUMMYFUNCTION("""COMPUTED_VALUE"""),"nativní rectangle cross-device mid season")</f>
        <v>nativní rectangle cross-device mid season</v>
      </c>
      <c r="H1068" s="3">
        <f ca="1">IFERROR(__xludf.DUMMYFUNCTION("""COMPUTED_VALUE"""),7)</f>
        <v>7</v>
      </c>
      <c r="I1068" s="5">
        <f ca="1">IFERROR(__xludf.DUMMYFUNCTION("""COMPUTED_VALUE"""),1000)</f>
        <v>1000</v>
      </c>
      <c r="J1068" s="5">
        <f ca="1">IFERROR(__xludf.DUMMYFUNCTION("""COMPUTED_VALUE"""),280)</f>
        <v>280</v>
      </c>
      <c r="K1068" s="3"/>
      <c r="L1068" s="3" t="str">
        <f ca="1">IFERROR(__xludf.DUMMYFUNCTION("""COMPUTED_VALUE"""),"Cost per period")</f>
        <v>Cost per period</v>
      </c>
      <c r="M1068" s="3"/>
      <c r="N1068" s="3"/>
      <c r="O1068" s="3" t="str">
        <f ca="1">IFERROR(__xludf.DUMMYFUNCTION("""COMPUTED_VALUE"""),"640")</f>
        <v>640</v>
      </c>
      <c r="P1068" s="3" t="str">
        <f ca="1">IFERROR(__xludf.DUMMYFUNCTION("""COMPUTED_VALUE"""),"335, 640")</f>
        <v>335, 640</v>
      </c>
      <c r="Q1068" s="3" t="str">
        <f ca="1">IFERROR(__xludf.DUMMYFUNCTION("""COMPUTED_VALUE"""),"640x640 a 640x335 + text + logo")</f>
        <v>640x640 a 640x335 + text + logo</v>
      </c>
      <c r="R1068" s="3"/>
      <c r="S1068" s="3" t="str">
        <f ca="1">IFERROR(__xludf.DUMMYFUNCTION("""COMPUTED_VALUE"""),"45")</f>
        <v>45</v>
      </c>
      <c r="T1068" s="3"/>
      <c r="U1068" s="3" t="str">
        <f ca="1">IFERROR(__xludf.DUMMYFUNCTION("""COMPUTED_VALUE"""),"nativní reklama")</f>
        <v>nativní reklama</v>
      </c>
      <c r="V1068" s="3"/>
      <c r="W1068" s="4" t="str">
        <f ca="1">IFERROR(__xludf.DUMMYFUNCTION("""COMPUTED_VALUE"""),"https://reklama.cncenter.cz/Online/nativni-rectangle-cross-device")</f>
        <v>https://reklama.cncenter.cz/Online/nativni-rectangle-cross-device</v>
      </c>
      <c r="X1068" s="3"/>
      <c r="Y1068" s="3"/>
      <c r="Z1068" s="3" t="str">
        <f ca="1">IFERROR(__xludf.DUMMYFUNCTION("""COMPUTED_VALUE"""),"podklady@cncenter.cz")</f>
        <v>podklady@cncenter.cz</v>
      </c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 t="str">
        <f ca="1">IFERROR(__xludf.DUMMYFUNCTION("""COMPUTED_VALUE"""),"cross-device")</f>
        <v>cross-device</v>
      </c>
      <c r="AO1068" s="3"/>
      <c r="AP1068" s="3"/>
      <c r="AQ1068" s="3"/>
      <c r="AR1068" s="3"/>
      <c r="AS1068" s="3"/>
      <c r="AT1068" s="3"/>
      <c r="AU1068" s="3" t="str">
        <f ca="1">IFERROR(__xludf.DUMMYFUNCTION("""COMPUTED_VALUE"""),"nativní rectangle cross-device")</f>
        <v>nativní rectangle cross-device</v>
      </c>
    </row>
    <row r="1069" spans="1:47" x14ac:dyDescent="0.3">
      <c r="A1069" s="3">
        <f ca="1"/>
        <v>2346826</v>
      </c>
      <c r="B1069" s="3" t="str">
        <f ca="1"/>
        <v>CZECH NEWS CENTER a. s.</v>
      </c>
      <c r="C1069" s="3" t="str">
        <f ca="1">IFERROR(__xludf.DUMMYFUNCTION("""COMPUTED_VALUE"""),"Živě")</f>
        <v>Živě</v>
      </c>
      <c r="D1069" s="4" t="str">
        <f ca="1">IFERROR(__xludf.DUMMYFUNCTION("""COMPUTED_VALUE"""),"https://zive.cz")</f>
        <v>https://zive.cz</v>
      </c>
      <c r="E1069" s="3" t="str">
        <f ca="1">IFERROR(__xludf.DUMMYFUNCTION("""COMPUTED_VALUE"""),"celý web")</f>
        <v>celý web</v>
      </c>
      <c r="F1069" s="4" t="str">
        <f ca="1">IFERROR(__xludf.DUMMYFUNCTION("""COMPUTED_VALUE"""),"https://zive.cz")</f>
        <v>https://zive.cz</v>
      </c>
      <c r="G1069" s="3" t="str">
        <f ca="1">IFERROR(__xludf.DUMMYFUNCTION("""COMPUTED_VALUE"""),"outstream mid season")</f>
        <v>outstream mid season</v>
      </c>
      <c r="H1069" s="3">
        <f ca="1">IFERROR(__xludf.DUMMYFUNCTION("""COMPUTED_VALUE"""),7)</f>
        <v>7</v>
      </c>
      <c r="I1069" s="5">
        <f ca="1">IFERROR(__xludf.DUMMYFUNCTION("""COMPUTED_VALUE"""),1000)</f>
        <v>1000</v>
      </c>
      <c r="J1069" s="5">
        <f ca="1">IFERROR(__xludf.DUMMYFUNCTION("""COMPUTED_VALUE"""),350)</f>
        <v>350</v>
      </c>
      <c r="K1069" s="3"/>
      <c r="L1069" s="3" t="str">
        <f ca="1">IFERROR(__xludf.DUMMYFUNCTION("""COMPUTED_VALUE"""),"Cost per period")</f>
        <v>Cost per period</v>
      </c>
      <c r="M1069" s="3"/>
      <c r="N1069" s="3"/>
      <c r="O1069" s="3" t="str">
        <f ca="1">IFERROR(__xludf.DUMMYFUNCTION("""COMPUTED_VALUE"""),"1280")</f>
        <v>1280</v>
      </c>
      <c r="P1069" s="3" t="str">
        <f ca="1">IFERROR(__xludf.DUMMYFUNCTION("""COMPUTED_VALUE"""),"720")</f>
        <v>720</v>
      </c>
      <c r="Q1069" s="3" t="str">
        <f ca="1">IFERROR(__xludf.DUMMYFUNCTION("""COMPUTED_VALUE"""),"16:9")</f>
        <v>16:9</v>
      </c>
      <c r="R1069" s="3"/>
      <c r="S1069" s="3" t="str">
        <f ca="1">IFERROR(__xludf.DUMMYFUNCTION("""COMPUTED_VALUE"""),"100")</f>
        <v>100</v>
      </c>
      <c r="T1069" s="3"/>
      <c r="U1069" s="3" t="str">
        <f ca="1">IFERROR(__xludf.DUMMYFUNCTION("""COMPUTED_VALUE"""),"videospot")</f>
        <v>videospot</v>
      </c>
      <c r="V1069" s="3"/>
      <c r="W1069" s="4" t="str">
        <f ca="1">IFERROR(__xludf.DUMMYFUNCTION("""COMPUTED_VALUE"""),"https://reklama.cncenter.cz/Online/Outstream")</f>
        <v>https://reklama.cncenter.cz/Online/Outstream</v>
      </c>
      <c r="X1069" s="3"/>
      <c r="Y1069" s="3"/>
      <c r="Z1069" s="3" t="str">
        <f ca="1">IFERROR(__xludf.DUMMYFUNCTION("""COMPUTED_VALUE"""),"podklady@cncenter.cz")</f>
        <v>podklady@cncenter.cz</v>
      </c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 t="str">
        <f ca="1">IFERROR(__xludf.DUMMYFUNCTION("""COMPUTED_VALUE"""),"cross-device")</f>
        <v>cross-device</v>
      </c>
      <c r="AO1069" s="3"/>
      <c r="AP1069" s="3"/>
      <c r="AQ1069" s="3"/>
      <c r="AR1069" s="3"/>
      <c r="AS1069" s="3"/>
      <c r="AT1069" s="3"/>
      <c r="AU1069" s="3" t="str">
        <f ca="1">IFERROR(__xludf.DUMMYFUNCTION("""COMPUTED_VALUE"""),"outstream")</f>
        <v>outstream</v>
      </c>
    </row>
    <row r="1070" spans="1:47" x14ac:dyDescent="0.3">
      <c r="A1070" s="3">
        <f ca="1"/>
        <v>2346826</v>
      </c>
      <c r="B1070" s="3" t="str">
        <f ca="1"/>
        <v>CZECH NEWS CENTER a. s.</v>
      </c>
      <c r="C1070" s="3" t="str">
        <f ca="1">IFERROR(__xludf.DUMMYFUNCTION("""COMPUTED_VALUE"""),"Živě")</f>
        <v>Živě</v>
      </c>
      <c r="D1070" s="4" t="str">
        <f ca="1">IFERROR(__xludf.DUMMYFUNCTION("""COMPUTED_VALUE"""),"https://zive.cz")</f>
        <v>https://zive.cz</v>
      </c>
      <c r="E1070" s="3" t="str">
        <f ca="1">IFERROR(__xludf.DUMMYFUNCTION("""COMPUTED_VALUE"""),"celý web")</f>
        <v>celý web</v>
      </c>
      <c r="F1070" s="4" t="str">
        <f ca="1">IFERROR(__xludf.DUMMYFUNCTION("""COMPUTED_VALUE"""),"https://zive.cz")</f>
        <v>https://zive.cz</v>
      </c>
      <c r="G1070" s="3" t="str">
        <f ca="1">IFERROR(__xludf.DUMMYFUNCTION("""COMPUTED_VALUE"""),"PR článek mid season")</f>
        <v>PR článek mid season</v>
      </c>
      <c r="H1070" s="3">
        <f ca="1">IFERROR(__xludf.DUMMYFUNCTION("""COMPUTED_VALUE"""),1)</f>
        <v>1</v>
      </c>
      <c r="I1070" s="5">
        <f ca="1">IFERROR(__xludf.DUMMYFUNCTION("""COMPUTED_VALUE"""),1)</f>
        <v>1</v>
      </c>
      <c r="J1070" s="5">
        <f ca="1">IFERROR(__xludf.DUMMYFUNCTION("""COMPUTED_VALUE"""),50000)</f>
        <v>50000</v>
      </c>
      <c r="K1070" s="3"/>
      <c r="L1070" s="3" t="str">
        <f ca="1">IFERROR(__xludf.DUMMYFUNCTION("""COMPUTED_VALUE"""),"Cost per instance")</f>
        <v>Cost per instance</v>
      </c>
      <c r="M1070" s="3"/>
      <c r="N1070" s="3"/>
      <c r="O1070" s="3"/>
      <c r="P1070" s="3"/>
      <c r="Q1070" s="3"/>
      <c r="R1070" s="3"/>
      <c r="S1070" s="3" t="str">
        <f ca="1">IFERROR(__xludf.DUMMYFUNCTION("""COMPUTED_VALUE"""),"100")</f>
        <v>100</v>
      </c>
      <c r="T1070" s="3"/>
      <c r="U1070" s="3" t="str">
        <f ca="1">IFERROR(__xludf.DUMMYFUNCTION("""COMPUTED_VALUE"""),"pr článek")</f>
        <v>pr článek</v>
      </c>
      <c r="V1070" s="3"/>
      <c r="W1070" s="4" t="str">
        <f ca="1">IFERROR(__xludf.DUMMYFUNCTION("""COMPUTED_VALUE"""),"https://reklama.cncenter.cz/?ads=PR%2520%25C4%258Dl%25C3%25A1nky")</f>
        <v>https://reklama.cncenter.cz/?ads=PR%2520%25C4%258Dl%25C3%25A1nky</v>
      </c>
      <c r="X1070" s="3"/>
      <c r="Y1070" s="3"/>
      <c r="Z1070" s="3" t="str">
        <f ca="1">IFERROR(__xludf.DUMMYFUNCTION("""COMPUTED_VALUE"""),"podklady@cncenter.cz")</f>
        <v>podklady@cncenter.cz</v>
      </c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 t="str">
        <f ca="1">IFERROR(__xludf.DUMMYFUNCTION("""COMPUTED_VALUE"""),"cross-device")</f>
        <v>cross-device</v>
      </c>
      <c r="AO1070" s="3"/>
      <c r="AP1070" s="3"/>
      <c r="AQ1070" s="3"/>
      <c r="AR1070" s="3"/>
      <c r="AS1070" s="3"/>
      <c r="AT1070" s="3"/>
      <c r="AU1070" s="3" t="str">
        <f ca="1">IFERROR(__xludf.DUMMYFUNCTION("""COMPUTED_VALUE"""),"PR článek")</f>
        <v>PR článek</v>
      </c>
    </row>
    <row r="1071" spans="1:47" x14ac:dyDescent="0.3">
      <c r="A1071" s="3">
        <f ca="1"/>
        <v>2346826</v>
      </c>
      <c r="B1071" s="3" t="str">
        <f ca="1"/>
        <v>CZECH NEWS CENTER a. s.</v>
      </c>
      <c r="C1071" s="3" t="str">
        <f ca="1">IFERROR(__xludf.DUMMYFUNCTION("""COMPUTED_VALUE"""),"Živě")</f>
        <v>Živě</v>
      </c>
      <c r="D1071" s="4" t="str">
        <f ca="1">IFERROR(__xludf.DUMMYFUNCTION("""COMPUTED_VALUE"""),"https://zive.cz")</f>
        <v>https://zive.cz</v>
      </c>
      <c r="E1071" s="3" t="str">
        <f ca="1">IFERROR(__xludf.DUMMYFUNCTION("""COMPUTED_VALUE"""),"celý web")</f>
        <v>celý web</v>
      </c>
      <c r="F1071" s="4" t="str">
        <f ca="1">IFERROR(__xludf.DUMMYFUNCTION("""COMPUTED_VALUE"""),"https://zive.cz")</f>
        <v>https://zive.cz</v>
      </c>
      <c r="G1071" s="3" t="str">
        <f ca="1">IFERROR(__xludf.DUMMYFUNCTION("""COMPUTED_VALUE"""),"Prodloužení existující microsite, bez úprav mid season")</f>
        <v>Prodloužení existující microsite, bez úprav mid season</v>
      </c>
      <c r="H1071" s="3">
        <f ca="1">IFERROR(__xludf.DUMMYFUNCTION("""COMPUTED_VALUE"""),1)</f>
        <v>1</v>
      </c>
      <c r="I1071" s="5">
        <f ca="1">IFERROR(__xludf.DUMMYFUNCTION("""COMPUTED_VALUE"""),1)</f>
        <v>1</v>
      </c>
      <c r="J1071" s="5">
        <f ca="1">IFERROR(__xludf.DUMMYFUNCTION("""COMPUTED_VALUE"""),15000)</f>
        <v>15000</v>
      </c>
      <c r="K1071" s="3"/>
      <c r="L1071" s="3" t="str">
        <f ca="1">IFERROR(__xludf.DUMMYFUNCTION("""COMPUTED_VALUE"""),"Cost per instance")</f>
        <v>Cost per instance</v>
      </c>
      <c r="M1071" s="3"/>
      <c r="N1071" s="3"/>
      <c r="O1071" s="3"/>
      <c r="P1071" s="3"/>
      <c r="Q1071" s="3"/>
      <c r="R1071" s="3"/>
      <c r="S1071" s="3" t="str">
        <f ca="1">IFERROR(__xludf.DUMMYFUNCTION("""COMPUTED_VALUE"""),"100")</f>
        <v>100</v>
      </c>
      <c r="T1071" s="3"/>
      <c r="U1071" s="3" t="str">
        <f ca="1">IFERROR(__xludf.DUMMYFUNCTION("""COMPUTED_VALUE"""),"microsite")</f>
        <v>microsite</v>
      </c>
      <c r="V1071" s="3"/>
      <c r="W1071" s="3"/>
      <c r="X1071" s="3"/>
      <c r="Y1071" s="3"/>
      <c r="Z1071" s="3" t="str">
        <f ca="1">IFERROR(__xludf.DUMMYFUNCTION("""COMPUTED_VALUE"""),"podklady@cncenter.cz")</f>
        <v>podklady@cncenter.cz</v>
      </c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 t="str">
        <f ca="1">IFERROR(__xludf.DUMMYFUNCTION("""COMPUTED_VALUE"""),"cross-device")</f>
        <v>cross-device</v>
      </c>
      <c r="AO1071" s="3"/>
      <c r="AP1071" s="3"/>
      <c r="AQ1071" s="3"/>
      <c r="AR1071" s="3"/>
      <c r="AS1071" s="3"/>
      <c r="AT1071" s="3"/>
      <c r="AU1071" s="3" t="str">
        <f ca="1">IFERROR(__xludf.DUMMYFUNCTION("""COMPUTED_VALUE"""),"Prodloužení existující microsite, bez úprav")</f>
        <v>Prodloužení existující microsite, bez úprav</v>
      </c>
    </row>
    <row r="1072" spans="1:47" x14ac:dyDescent="0.3">
      <c r="A1072" s="3">
        <f ca="1"/>
        <v>2346826</v>
      </c>
      <c r="B1072" s="3" t="str">
        <f ca="1"/>
        <v>CZECH NEWS CENTER a. s.</v>
      </c>
      <c r="C1072" s="3" t="str">
        <f ca="1">IFERROR(__xludf.DUMMYFUNCTION("""COMPUTED_VALUE"""),"Živě")</f>
        <v>Živě</v>
      </c>
      <c r="D1072" s="4" t="str">
        <f ca="1">IFERROR(__xludf.DUMMYFUNCTION("""COMPUTED_VALUE"""),"https://zive.cz")</f>
        <v>https://zive.cz</v>
      </c>
      <c r="E1072" s="3" t="str">
        <f ca="1">IFERROR(__xludf.DUMMYFUNCTION("""COMPUTED_VALUE"""),"celý web")</f>
        <v>celý web</v>
      </c>
      <c r="F1072" s="4" t="str">
        <f ca="1">IFERROR(__xludf.DUMMYFUNCTION("""COMPUTED_VALUE"""),"https://zive.cz")</f>
        <v>https://zive.cz</v>
      </c>
      <c r="G1072" s="3" t="str">
        <f ca="1">IFERROR(__xludf.DUMMYFUNCTION("""COMPUTED_VALUE"""),"Prodloužení existující microsite, bez úprav mid season")</f>
        <v>Prodloužení existující microsite, bez úprav mid season</v>
      </c>
      <c r="H1072" s="3">
        <f ca="1">IFERROR(__xludf.DUMMYFUNCTION("""COMPUTED_VALUE"""),1)</f>
        <v>1</v>
      </c>
      <c r="I1072" s="5">
        <f ca="1">IFERROR(__xludf.DUMMYFUNCTION("""COMPUTED_VALUE"""),1)</f>
        <v>1</v>
      </c>
      <c r="J1072" s="5">
        <f ca="1">IFERROR(__xludf.DUMMYFUNCTION("""COMPUTED_VALUE"""),15000)</f>
        <v>15000</v>
      </c>
      <c r="K1072" s="3"/>
      <c r="L1072" s="3" t="str">
        <f ca="1">IFERROR(__xludf.DUMMYFUNCTION("""COMPUTED_VALUE"""),"Cost per instance")</f>
        <v>Cost per instance</v>
      </c>
      <c r="M1072" s="3"/>
      <c r="N1072" s="3"/>
      <c r="O1072" s="3"/>
      <c r="P1072" s="3"/>
      <c r="Q1072" s="3"/>
      <c r="R1072" s="3"/>
      <c r="S1072" s="3" t="str">
        <f ca="1">IFERROR(__xludf.DUMMYFUNCTION("""COMPUTED_VALUE"""),"100")</f>
        <v>100</v>
      </c>
      <c r="T1072" s="3"/>
      <c r="U1072" s="3" t="str">
        <f ca="1">IFERROR(__xludf.DUMMYFUNCTION("""COMPUTED_VALUE"""),"microsite")</f>
        <v>microsite</v>
      </c>
      <c r="V1072" s="3"/>
      <c r="W1072" s="3"/>
      <c r="X1072" s="3"/>
      <c r="Y1072" s="3"/>
      <c r="Z1072" s="3" t="str">
        <f ca="1">IFERROR(__xludf.DUMMYFUNCTION("""COMPUTED_VALUE"""),"podklady@cncenter.cz")</f>
        <v>podklady@cncenter.cz</v>
      </c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 t="str">
        <f ca="1">IFERROR(__xludf.DUMMYFUNCTION("""COMPUTED_VALUE"""),"cross-device")</f>
        <v>cross-device</v>
      </c>
      <c r="AO1072" s="3"/>
      <c r="AP1072" s="3"/>
      <c r="AQ1072" s="3"/>
      <c r="AR1072" s="3"/>
      <c r="AS1072" s="3"/>
      <c r="AT1072" s="3"/>
      <c r="AU1072" s="3" t="str">
        <f ca="1">IFERROR(__xludf.DUMMYFUNCTION("""COMPUTED_VALUE"""),"Prodloužení existující microsite, bez úprav")</f>
        <v>Prodloužení existující microsite, bez úprav</v>
      </c>
    </row>
    <row r="1073" spans="1:47" x14ac:dyDescent="0.3">
      <c r="A1073" s="3">
        <f ca="1"/>
        <v>2346826</v>
      </c>
      <c r="B1073" s="3" t="str">
        <f ca="1"/>
        <v>CZECH NEWS CENTER a. s.</v>
      </c>
      <c r="C1073" s="3" t="str">
        <f ca="1">IFERROR(__xludf.DUMMYFUNCTION("""COMPUTED_VALUE"""),"Živě")</f>
        <v>Živě</v>
      </c>
      <c r="D1073" s="4" t="str">
        <f ca="1">IFERROR(__xludf.DUMMYFUNCTION("""COMPUTED_VALUE"""),"https://zive.cz")</f>
        <v>https://zive.cz</v>
      </c>
      <c r="E1073" s="3" t="str">
        <f ca="1">IFERROR(__xludf.DUMMYFUNCTION("""COMPUTED_VALUE"""),"celý web")</f>
        <v>celý web</v>
      </c>
      <c r="F1073" s="4" t="str">
        <f ca="1">IFERROR(__xludf.DUMMYFUNCTION("""COMPUTED_VALUE"""),"https://zive.cz")</f>
        <v>https://zive.cz</v>
      </c>
      <c r="G1073" s="3" t="str">
        <f ca="1">IFERROR(__xludf.DUMMYFUNCTION("""COMPUTED_VALUE"""),"Prodloužení existující microsite, bez úprav mid season")</f>
        <v>Prodloužení existující microsite, bez úprav mid season</v>
      </c>
      <c r="H1073" s="3">
        <f ca="1">IFERROR(__xludf.DUMMYFUNCTION("""COMPUTED_VALUE"""),1)</f>
        <v>1</v>
      </c>
      <c r="I1073" s="5">
        <f ca="1">IFERROR(__xludf.DUMMYFUNCTION("""COMPUTED_VALUE"""),1)</f>
        <v>1</v>
      </c>
      <c r="J1073" s="5">
        <f ca="1">IFERROR(__xludf.DUMMYFUNCTION("""COMPUTED_VALUE"""),15000)</f>
        <v>15000</v>
      </c>
      <c r="K1073" s="3"/>
      <c r="L1073" s="3" t="str">
        <f ca="1">IFERROR(__xludf.DUMMYFUNCTION("""COMPUTED_VALUE"""),"Cost per instance")</f>
        <v>Cost per instance</v>
      </c>
      <c r="M1073" s="3"/>
      <c r="N1073" s="3"/>
      <c r="O1073" s="3"/>
      <c r="P1073" s="3"/>
      <c r="Q1073" s="3"/>
      <c r="R1073" s="3"/>
      <c r="S1073" s="3" t="str">
        <f ca="1">IFERROR(__xludf.DUMMYFUNCTION("""COMPUTED_VALUE"""),"100")</f>
        <v>100</v>
      </c>
      <c r="T1073" s="3"/>
      <c r="U1073" s="3" t="str">
        <f ca="1">IFERROR(__xludf.DUMMYFUNCTION("""COMPUTED_VALUE"""),"microsite")</f>
        <v>microsite</v>
      </c>
      <c r="V1073" s="3"/>
      <c r="W1073" s="3"/>
      <c r="X1073" s="3"/>
      <c r="Y1073" s="3"/>
      <c r="Z1073" s="3" t="str">
        <f ca="1">IFERROR(__xludf.DUMMYFUNCTION("""COMPUTED_VALUE"""),"podklady@cncenter.cz")</f>
        <v>podklady@cncenter.cz</v>
      </c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 t="str">
        <f ca="1">IFERROR(__xludf.DUMMYFUNCTION("""COMPUTED_VALUE"""),"cross-device")</f>
        <v>cross-device</v>
      </c>
      <c r="AO1073" s="3"/>
      <c r="AP1073" s="3"/>
      <c r="AQ1073" s="3"/>
      <c r="AR1073" s="3"/>
      <c r="AS1073" s="3"/>
      <c r="AT1073" s="3"/>
      <c r="AU1073" s="3" t="str">
        <f ca="1">IFERROR(__xludf.DUMMYFUNCTION("""COMPUTED_VALUE"""),"Prodloužení existující microsite, bez úprav")</f>
        <v>Prodloužení existující microsite, bez úprav</v>
      </c>
    </row>
    <row r="1074" spans="1:47" x14ac:dyDescent="0.3">
      <c r="A1074" s="3">
        <f ca="1"/>
        <v>2346826</v>
      </c>
      <c r="B1074" s="3" t="str">
        <f ca="1"/>
        <v>CZECH NEWS CENTER a. s.</v>
      </c>
      <c r="C1074" s="3" t="str">
        <f ca="1">IFERROR(__xludf.DUMMYFUNCTION("""COMPUTED_VALUE"""),"Živě")</f>
        <v>Živě</v>
      </c>
      <c r="D1074" s="4" t="str">
        <f ca="1">IFERROR(__xludf.DUMMYFUNCTION("""COMPUTED_VALUE"""),"https://zive.cz")</f>
        <v>https://zive.cz</v>
      </c>
      <c r="E1074" s="3" t="str">
        <f ca="1">IFERROR(__xludf.DUMMYFUNCTION("""COMPUTED_VALUE"""),"celý web")</f>
        <v>celý web</v>
      </c>
      <c r="F1074" s="4" t="str">
        <f ca="1">IFERROR(__xludf.DUMMYFUNCTION("""COMPUTED_VALUE"""),"https://zive.cz")</f>
        <v>https://zive.cz</v>
      </c>
      <c r="G1074" s="3" t="str">
        <f ca="1">IFERROR(__xludf.DUMMYFUNCTION("""COMPUTED_VALUE"""),"videospot - max. 30 sec. / bumper mid season")</f>
        <v>videospot - max. 30 sec. / bumper mid season</v>
      </c>
      <c r="H1074" s="3">
        <f ca="1">IFERROR(__xludf.DUMMYFUNCTION("""COMPUTED_VALUE"""),7)</f>
        <v>7</v>
      </c>
      <c r="I1074" s="5">
        <f ca="1">IFERROR(__xludf.DUMMYFUNCTION("""COMPUTED_VALUE"""),1000)</f>
        <v>1000</v>
      </c>
      <c r="J1074" s="5">
        <f ca="1">IFERROR(__xludf.DUMMYFUNCTION("""COMPUTED_VALUE"""),1040)</f>
        <v>1040</v>
      </c>
      <c r="K1074" s="3"/>
      <c r="L1074" s="3" t="str">
        <f ca="1">IFERROR(__xludf.DUMMYFUNCTION("""COMPUTED_VALUE"""),"Cost per period")</f>
        <v>Cost per period</v>
      </c>
      <c r="M1074" s="3"/>
      <c r="N1074" s="3"/>
      <c r="O1074" s="3" t="str">
        <f ca="1">IFERROR(__xludf.DUMMYFUNCTION("""COMPUTED_VALUE"""),"1280")</f>
        <v>1280</v>
      </c>
      <c r="P1074" s="3" t="str">
        <f ca="1">IFERROR(__xludf.DUMMYFUNCTION("""COMPUTED_VALUE"""),"720")</f>
        <v>720</v>
      </c>
      <c r="Q1074" s="3" t="str">
        <f ca="1">IFERROR(__xludf.DUMMYFUNCTION("""COMPUTED_VALUE"""),"16:9 / umístění po domluvě dle možností")</f>
        <v>16:9 / umístění po domluvě dle možností</v>
      </c>
      <c r="R1074" s="3" t="str">
        <f ca="1">IFERROR(__xludf.DUMMYFUNCTION("""COMPUTED_VALUE"""),"přeskočení po 7 sekundách")</f>
        <v>přeskočení po 7 sekundách</v>
      </c>
      <c r="S1074" s="3" t="str">
        <f ca="1">IFERROR(__xludf.DUMMYFUNCTION("""COMPUTED_VALUE"""),"100")</f>
        <v>100</v>
      </c>
      <c r="T1074" s="3"/>
      <c r="U1074" s="3" t="str">
        <f ca="1">IFERROR(__xludf.DUMMYFUNCTION("""COMPUTED_VALUE"""),"videospot")</f>
        <v>videospot</v>
      </c>
      <c r="V1074" s="3"/>
      <c r="W1074" s="4" t="str">
        <f ca="1">IFERROR(__xludf.DUMMYFUNCTION("""COMPUTED_VALUE"""),"https://reklama.cncenter.cz/Online/Bumper")</f>
        <v>https://reklama.cncenter.cz/Online/Bumper</v>
      </c>
      <c r="X1074" s="3"/>
      <c r="Y1074" s="3"/>
      <c r="Z1074" s="3" t="str">
        <f ca="1">IFERROR(__xludf.DUMMYFUNCTION("""COMPUTED_VALUE"""),"podklady@cncenter.cz")</f>
        <v>podklady@cncenter.cz</v>
      </c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 t="str">
        <f ca="1">IFERROR(__xludf.DUMMYFUNCTION("""COMPUTED_VALUE"""),"cross-device")</f>
        <v>cross-device</v>
      </c>
      <c r="AO1074" s="3"/>
      <c r="AP1074" s="3"/>
      <c r="AQ1074" s="3"/>
      <c r="AR1074" s="3"/>
      <c r="AS1074" s="3"/>
      <c r="AT1074" s="3"/>
      <c r="AU1074" s="3" t="str">
        <f ca="1">IFERROR(__xludf.DUMMYFUNCTION("""COMPUTED_VALUE"""),"videospot - max. 30 sec. / bumper")</f>
        <v>videospot - max. 30 sec. / bumper</v>
      </c>
    </row>
  </sheetData>
  <hyperlinks>
    <hyperlink ref="D2" r:id="rId1" display="https://abecedazahrady.dama.cz/"/>
    <hyperlink ref="F2" r:id="rId2" display="https://abecedazahrady.dama.cz/"/>
    <hyperlink ref="D3" r:id="rId3" display="https://abecedazahrady.dama.cz/"/>
    <hyperlink ref="F3" r:id="rId4" display="https://abecedazahrady.dama.cz/"/>
    <hyperlink ref="W3" r:id="rId5" display="https://reklama.cncenter.cz/Online/billboard-bottom"/>
    <hyperlink ref="D4" r:id="rId6" display="https://abecedazahrady.dama.cz/"/>
    <hyperlink ref="F4" r:id="rId7" display="https://abecedazahrady.dama.cz/"/>
    <hyperlink ref="W4" r:id="rId8" display="https://reklama.cncenter.cz/Online/branding-cross-device"/>
    <hyperlink ref="D5" r:id="rId9" display="https://abecedazahrady.dama.cz/"/>
    <hyperlink ref="F5" r:id="rId10" display="https://abecedazahrady.dama.cz/"/>
    <hyperlink ref="W5" r:id="rId11" display="https://reklama.cncenter.cz/Online/branding"/>
    <hyperlink ref="D6" r:id="rId12" display="https://abecedazahrady.dama.cz/"/>
    <hyperlink ref="F6" r:id="rId13" display="https://abecedazahrady.dama.cz/"/>
    <hyperlink ref="W6" r:id="rId14" display="https://reklama.cncenter.cz/Online/billboard-bottom"/>
    <hyperlink ref="D7" r:id="rId15" display="https://abecedazahrady.dama.cz/"/>
    <hyperlink ref="F7" r:id="rId16" display="https://abecedazahrady.dama.cz/"/>
    <hyperlink ref="W7" r:id="rId17" display="https://reklama.cncenter.cz/Online/branding-cross-device"/>
    <hyperlink ref="D8" r:id="rId18" display="https://abecedazahrady.dama.cz/"/>
    <hyperlink ref="F8" r:id="rId19" display="https://abecedazahrady.dama.cz/"/>
    <hyperlink ref="W8" r:id="rId20" display="https://reklama.cncenter.cz/Online/branding"/>
    <hyperlink ref="D9" r:id="rId21" display="https://abecedazahrady.dama.cz/"/>
    <hyperlink ref="F9" r:id="rId22" display="https://abecedazahrady.dama.cz/"/>
    <hyperlink ref="W9" r:id="rId23" display="https://reklama.cncenter.cz/Online/double-skyscraper"/>
    <hyperlink ref="D10" r:id="rId24" display="https://abecedazahrady.dama.cz/"/>
    <hyperlink ref="F10" r:id="rId25" display="https://abecedazahrady.dama.cz/"/>
    <hyperlink ref="W10" r:id="rId26" display="https://reklama.cncenter.cz/Online/mobilni-interscroller"/>
    <hyperlink ref="D11" r:id="rId27" display="https://abecedazahrady.dama.cz/"/>
    <hyperlink ref="F11" r:id="rId28" display="https://abecedazahrady.dama.cz/"/>
    <hyperlink ref="W11" r:id="rId29" display="https://reklama.cncenter.cz/Online/mobilni-slide-up"/>
    <hyperlink ref="D12" r:id="rId30" display="https://abecedazahrady.dama.cz/"/>
    <hyperlink ref="F12" r:id="rId31" display="https://abecedazahrady.dama.cz/"/>
    <hyperlink ref="W12" r:id="rId32" display="https://reklama.cncenter.cz/Online/mobilni-vineta"/>
    <hyperlink ref="D13" r:id="rId33" display="https://abecedazahrady.dama.cz/"/>
    <hyperlink ref="F13" r:id="rId34" display="https://abecedazahrady.dama.cz/"/>
    <hyperlink ref="W13" r:id="rId35" display="https://reklama.cncenter.cz/Online/nativni-rectangle-cross-device"/>
    <hyperlink ref="D14" r:id="rId36" display="https://abecedazahrady.dama.cz/"/>
    <hyperlink ref="F14" r:id="rId37" display="https://abecedazahrady.dama.cz/"/>
    <hyperlink ref="W14" r:id="rId38" display="https://reklama.cncenter.cz/Online/Outstream"/>
    <hyperlink ref="D15" r:id="rId39" display="https://abecedazahrady.dama.cz/"/>
    <hyperlink ref="F15" r:id="rId40" display="https://abecedazahrady.dama.cz/"/>
    <hyperlink ref="D16" r:id="rId41" display="https://abecedazahrady.dama.cz/"/>
    <hyperlink ref="F16" r:id="rId42" display="https://abecedazahrady.dama.cz/"/>
    <hyperlink ref="W16" r:id="rId43" display="https://reklama.cncenter.cz/Online/double-skyscraper"/>
    <hyperlink ref="D17" r:id="rId44" display="https://abecedazahrady.dama.cz/"/>
    <hyperlink ref="F17" r:id="rId45" display="https://abecedazahrady.dama.cz/"/>
    <hyperlink ref="W17" r:id="rId46" display="https://reklama.cncenter.cz/Online/mobilni-interscroller"/>
    <hyperlink ref="D18" r:id="rId47" display="https://abecedazahrady.dama.cz/"/>
    <hyperlink ref="F18" r:id="rId48" display="https://abecedazahrady.dama.cz/"/>
    <hyperlink ref="W18" r:id="rId49" display="https://reklama.cncenter.cz/Online/mobilni-slide-up"/>
    <hyperlink ref="D19" r:id="rId50" display="https://abecedazahrady.dama.cz/"/>
    <hyperlink ref="F19" r:id="rId51" display="https://abecedazahrady.dama.cz/"/>
    <hyperlink ref="W19" r:id="rId52" display="https://reklama.cncenter.cz/Online/mobilni-vineta"/>
    <hyperlink ref="D20" r:id="rId53" display="https://abecedazahrady.dama.cz/"/>
    <hyperlink ref="F20" r:id="rId54" display="https://abecedazahrady.dama.cz/"/>
    <hyperlink ref="D21" r:id="rId55" display="https://abecedazahrady.dama.cz/"/>
    <hyperlink ref="F21" r:id="rId56" display="https://abecedazahrady.dama.cz/"/>
    <hyperlink ref="W21" r:id="rId57" display="https://reklama.cncenter.cz/Online/nativni-rectangle-cross-device"/>
    <hyperlink ref="D22" r:id="rId58" display="https://abecedazahrady.dama.cz/"/>
    <hyperlink ref="F22" r:id="rId59" display="https://abecedazahrady.dama.cz/"/>
    <hyperlink ref="W22" r:id="rId60" display="https://reklama.cncenter.cz/Online/Outstream"/>
    <hyperlink ref="D23" r:id="rId61" display="https://abecedazahrady.dama.cz/"/>
    <hyperlink ref="F23" r:id="rId62" display="https://abecedazahrady.dama.cz/"/>
    <hyperlink ref="W23" r:id="rId63" display="https://reklama.cncenter.cz/?ads=PR%2520%25C4%258Dl%25C3%25A1nky"/>
    <hyperlink ref="D24" r:id="rId64" display="https://abecedazahrady.dama.cz/"/>
    <hyperlink ref="F24" r:id="rId65" display="https://abecedazahrady.dama.cz/"/>
    <hyperlink ref="D25" r:id="rId66" display="https://abecedazahrady.dama.cz/"/>
    <hyperlink ref="F25" r:id="rId67" display="https://abecedazahrady.dama.cz/"/>
    <hyperlink ref="D26" r:id="rId68" display="https://abecedazahrady.dama.cz/"/>
    <hyperlink ref="F26" r:id="rId69" display="https://abecedazahrady.dama.cz/"/>
    <hyperlink ref="D27" r:id="rId70" display="https://abicko.cz/"/>
    <hyperlink ref="F27" r:id="rId71" display="https://abicko.cz/"/>
    <hyperlink ref="D28" r:id="rId72" display="https://abicko.cz/"/>
    <hyperlink ref="F28" r:id="rId73" display="https://abicko.cz/"/>
    <hyperlink ref="W28" r:id="rId74" display="https://reklama.cncenter.cz/Online/billboard-bottom"/>
    <hyperlink ref="D29" r:id="rId75" display="https://abicko.cz/"/>
    <hyperlink ref="F29" r:id="rId76" display="https://abicko.cz/"/>
    <hyperlink ref="W29" r:id="rId77" display="https://reklama.cncenter.cz/Online/branding-cross-device"/>
    <hyperlink ref="D30" r:id="rId78" display="https://abicko.cz/"/>
    <hyperlink ref="F30" r:id="rId79" display="https://abicko.cz/"/>
    <hyperlink ref="W30" r:id="rId80" display="https://reklama.cncenter.cz/Online/branding"/>
    <hyperlink ref="D31" r:id="rId81" display="https://abicko.cz/"/>
    <hyperlink ref="F31" r:id="rId82" display="https://abicko.cz/"/>
    <hyperlink ref="W31" r:id="rId83" display="https://reklama.cncenter.cz/Online/billboard-bottom"/>
    <hyperlink ref="D32" r:id="rId84" display="https://abicko.cz/"/>
    <hyperlink ref="F32" r:id="rId85" display="https://abicko.cz/"/>
    <hyperlink ref="W32" r:id="rId86" display="https://reklama.cncenter.cz/Online/branding-cross-device"/>
    <hyperlink ref="D33" r:id="rId87" display="https://abicko.cz/"/>
    <hyperlink ref="F33" r:id="rId88" display="https://abicko.cz/"/>
    <hyperlink ref="W33" r:id="rId89" display="https://reklama.cncenter.cz/Online/branding"/>
    <hyperlink ref="D34" r:id="rId90" display="https://abicko.cz/"/>
    <hyperlink ref="F34" r:id="rId91" display="https://abicko.cz/"/>
    <hyperlink ref="W34" r:id="rId92" display="https://reklama.cncenter.cz/Online/double-skyscraper"/>
    <hyperlink ref="D35" r:id="rId93" display="https://abicko.cz/"/>
    <hyperlink ref="F35" r:id="rId94" display="https://abicko.cz/"/>
    <hyperlink ref="W35" r:id="rId95" display="https://reklama.cncenter.cz/Online/mobilni-interscroller"/>
    <hyperlink ref="D36" r:id="rId96" display="https://abicko.cz/"/>
    <hyperlink ref="F36" r:id="rId97" display="https://abicko.cz/"/>
    <hyperlink ref="W36" r:id="rId98" display="https://reklama.cncenter.cz/Online/mobilni-slide-up"/>
    <hyperlink ref="D37" r:id="rId99" display="https://abicko.cz/"/>
    <hyperlink ref="F37" r:id="rId100" display="https://abicko.cz/"/>
    <hyperlink ref="W37" r:id="rId101" display="https://reklama.cncenter.cz/Online/mobilni-vineta"/>
    <hyperlink ref="D38" r:id="rId102" display="https://abicko.cz/"/>
    <hyperlink ref="F38" r:id="rId103" display="https://abicko.cz/"/>
    <hyperlink ref="W38" r:id="rId104" display="https://reklama.cncenter.cz/Online/nativni-PR-premium"/>
    <hyperlink ref="D39" r:id="rId105" display="https://abicko.cz/"/>
    <hyperlink ref="F39" r:id="rId106" display="https://abicko.cz/"/>
    <hyperlink ref="W39" r:id="rId107" display="https://reklama.cncenter.cz/Online/nativni-rectangle-cross-device"/>
    <hyperlink ref="D40" r:id="rId108" display="https://abicko.cz/"/>
    <hyperlink ref="F40" r:id="rId109" display="https://abicko.cz/"/>
    <hyperlink ref="W40" r:id="rId110" display="https://reklama.cncenter.cz/Online/Outstream"/>
    <hyperlink ref="D41" r:id="rId111" display="https://abicko.cz/"/>
    <hyperlink ref="F41" r:id="rId112" display="https://abicko.cz/"/>
    <hyperlink ref="W41" r:id="rId113" display="https://reklama.cncenter.cz/Online/Bumper"/>
    <hyperlink ref="D42" r:id="rId114" display="https://abicko.cz/"/>
    <hyperlink ref="F42" r:id="rId115" display="https://abicko.cz/"/>
    <hyperlink ref="D43" r:id="rId116" display="https://abicko.cz/"/>
    <hyperlink ref="F43" r:id="rId117" display="https://abicko.cz/"/>
    <hyperlink ref="W43" r:id="rId118" display="https://reklama.cncenter.cz/Online/double-skyscraper"/>
    <hyperlink ref="D44" r:id="rId119" display="https://abicko.cz/"/>
    <hyperlink ref="F44" r:id="rId120" display="https://abicko.cz/"/>
    <hyperlink ref="W44" r:id="rId121" display="https://reklama.cncenter.cz/Online/mobilni-interscroller"/>
    <hyperlink ref="D45" r:id="rId122" display="https://abicko.cz/"/>
    <hyperlink ref="F45" r:id="rId123" display="https://abicko.cz/"/>
    <hyperlink ref="W45" r:id="rId124" display="https://reklama.cncenter.cz/Online/mobilni-slide-up"/>
    <hyperlink ref="D46" r:id="rId125" display="https://abicko.cz/"/>
    <hyperlink ref="F46" r:id="rId126" display="https://abicko.cz/"/>
    <hyperlink ref="W46" r:id="rId127" display="https://reklama.cncenter.cz/Online/mobilni-vineta"/>
    <hyperlink ref="D47" r:id="rId128" display="https://abicko.cz/"/>
    <hyperlink ref="F47" r:id="rId129" display="https://abicko.cz/"/>
    <hyperlink ref="D48" r:id="rId130" display="https://abicko.cz/"/>
    <hyperlink ref="F48" r:id="rId131" display="https://abicko.cz/"/>
    <hyperlink ref="W48" r:id="rId132" display="https://reklama.cncenter.cz/Online/nativni-PR-premium"/>
    <hyperlink ref="D49" r:id="rId133" display="https://abicko.cz/"/>
    <hyperlink ref="F49" r:id="rId134" display="https://abicko.cz/"/>
    <hyperlink ref="W49" r:id="rId135" display="https://reklama.cncenter.cz/Online/nativni-rectangle-cross-device"/>
    <hyperlink ref="D50" r:id="rId136" display="https://abicko.cz/"/>
    <hyperlink ref="F50" r:id="rId137" display="https://abicko.cz/"/>
    <hyperlink ref="W50" r:id="rId138" display="https://reklama.cncenter.cz/Online/Outstream"/>
    <hyperlink ref="D51" r:id="rId139" display="https://abicko.cz/"/>
    <hyperlink ref="F51" r:id="rId140" display="https://abicko.cz/"/>
    <hyperlink ref="W51" r:id="rId141" display="https://reklama.cncenter.cz/?ads=PR%2520%25C4%258Dl%25C3%25A1nky"/>
    <hyperlink ref="D52" r:id="rId142" display="https://abicko.cz/"/>
    <hyperlink ref="F52" r:id="rId143" display="https://abicko.cz/"/>
    <hyperlink ref="D53" r:id="rId144" display="https://abicko.cz/"/>
    <hyperlink ref="F53" r:id="rId145" display="https://abicko.cz/"/>
    <hyperlink ref="D54" r:id="rId146" display="https://abicko.cz/"/>
    <hyperlink ref="F54" r:id="rId147" display="https://abicko.cz/"/>
    <hyperlink ref="D55" r:id="rId148" display="https://abicko.cz/"/>
    <hyperlink ref="F55" r:id="rId149" display="https://abicko.cz/"/>
    <hyperlink ref="W55" r:id="rId150" display="https://reklama.cncenter.cz/Online/Bumper"/>
    <hyperlink ref="W56" r:id="rId151" display="https://www.activegroup.cz/reklama"/>
    <hyperlink ref="W57" r:id="rId152" display="https://www.activegroup.cz/reklama"/>
    <hyperlink ref="W58" r:id="rId153" display="https://www.activegroup.cz/reklama"/>
    <hyperlink ref="W59" r:id="rId154" display="https://www.activegroup.cz/reklama"/>
    <hyperlink ref="W60" r:id="rId155" display="https://www.activegroup.cz/reklama"/>
    <hyperlink ref="W61" r:id="rId156" display="https://www.activegroup.cz/reklama"/>
    <hyperlink ref="W62" r:id="rId157" display="https://www.activegroup.cz/reklama"/>
    <hyperlink ref="D63" r:id="rId158" display="https://ahaonline.cz/"/>
    <hyperlink ref="F63" r:id="rId159" display="https://ahaonline.cz/"/>
    <hyperlink ref="D64" r:id="rId160" display="https://ahaonline.cz/"/>
    <hyperlink ref="F64" r:id="rId161" display="https://ahaonline.cz/"/>
    <hyperlink ref="W64" r:id="rId162" display="https://reklama.cncenter.cz/Online/billboard-bottom"/>
    <hyperlink ref="D65" r:id="rId163" display="https://ahaonline.cz/"/>
    <hyperlink ref="F65" r:id="rId164" display="https://ahaonline.cz/"/>
    <hyperlink ref="W65" r:id="rId165" display="https://reklama.cncenter.cz/Online/branding-cross-device"/>
    <hyperlink ref="D66" r:id="rId166" display="https://ahaonline.cz/"/>
    <hyperlink ref="F66" r:id="rId167" display="https://ahaonline.cz/"/>
    <hyperlink ref="W66" r:id="rId168" display="https://reklama.cncenter.cz/Online/branding"/>
    <hyperlink ref="D67" r:id="rId169" display="https://ahaonline.cz/"/>
    <hyperlink ref="F67" r:id="rId170" display="https://ahaonline.cz/"/>
    <hyperlink ref="W67" r:id="rId171" display="https://reklama.cncenter.cz/Online/billboard-bottom"/>
    <hyperlink ref="D68" r:id="rId172" display="https://ahaonline.cz/"/>
    <hyperlink ref="F68" r:id="rId173" display="https://ahaonline.cz/"/>
    <hyperlink ref="W68" r:id="rId174" display="https://reklama.cncenter.cz/Online/branding-cross-device"/>
    <hyperlink ref="D69" r:id="rId175" display="https://ahaonline.cz/"/>
    <hyperlink ref="F69" r:id="rId176" display="https://ahaonline.cz/"/>
    <hyperlink ref="W69" r:id="rId177" display="https://reklama.cncenter.cz/Online/branding"/>
    <hyperlink ref="D70" r:id="rId178" display="https://ahaonline.cz/"/>
    <hyperlink ref="F70" r:id="rId179" display="https://ahaonline.cz/"/>
    <hyperlink ref="W70" r:id="rId180" display="https://reklama.cncenter.cz/Online/double-skyscraper"/>
    <hyperlink ref="D71" r:id="rId181" display="https://ahaonline.cz/"/>
    <hyperlink ref="F71" r:id="rId182" display="https://ahaonline.cz/"/>
    <hyperlink ref="W71" r:id="rId183" display="https://reklama.cncenter.cz/Online/mobilni-interscroller"/>
    <hyperlink ref="D72" r:id="rId184" display="https://ahaonline.cz/"/>
    <hyperlink ref="F72" r:id="rId185" display="https://ahaonline.cz/"/>
    <hyperlink ref="W72" r:id="rId186" display="https://reklama.cncenter.cz/Online/mobilni-slide-up"/>
    <hyperlink ref="D73" r:id="rId187" display="https://ahaonline.cz/"/>
    <hyperlink ref="F73" r:id="rId188" display="https://ahaonline.cz/"/>
    <hyperlink ref="W73" r:id="rId189" display="https://reklama.cncenter.cz/Online/mobilni-vineta"/>
    <hyperlink ref="D74" r:id="rId190" display="https://ahaonline.cz/"/>
    <hyperlink ref="F74" r:id="rId191" display="https://ahaonline.cz/"/>
    <hyperlink ref="W74" r:id="rId192" display="https://reklama.cncenter.cz/Online/nativni-PR-premium"/>
    <hyperlink ref="D75" r:id="rId193" display="https://ahaonline.cz/"/>
    <hyperlink ref="F75" r:id="rId194" display="https://ahaonline.cz/"/>
    <hyperlink ref="W75" r:id="rId195" display="https://reklama.cncenter.cz/Online/nativni-rectangle-cross-device"/>
    <hyperlink ref="D76" r:id="rId196" display="https://ahaonline.cz/"/>
    <hyperlink ref="F76" r:id="rId197" display="https://ahaonline.cz/"/>
    <hyperlink ref="W76" r:id="rId198" display="https://reklama.cncenter.cz/Online/Outstream"/>
    <hyperlink ref="D77" r:id="rId199" display="https://ahaonline.cz/"/>
    <hyperlink ref="F77" r:id="rId200" display="https://ahaonline.cz/"/>
    <hyperlink ref="W77" r:id="rId201" display="https://reklama.cncenter.cz/Online/Bumper"/>
    <hyperlink ref="D78" r:id="rId202" display="https://ahaonline.cz/"/>
    <hyperlink ref="F78" r:id="rId203" display="https://ahaonline.cz/"/>
    <hyperlink ref="D79" r:id="rId204" display="https://ahaonline.cz/"/>
    <hyperlink ref="F79" r:id="rId205" display="https://ahaonline.cz/"/>
    <hyperlink ref="W79" r:id="rId206" display="https://reklama.cncenter.cz/Online/double-skyscraper"/>
    <hyperlink ref="D80" r:id="rId207" display="https://ahaonline.cz/"/>
    <hyperlink ref="F80" r:id="rId208" display="https://ahaonline.cz/"/>
    <hyperlink ref="W80" r:id="rId209" display="https://reklama.cncenter.cz/Online/mobilni-interscroller"/>
    <hyperlink ref="D81" r:id="rId210" display="https://ahaonline.cz/"/>
    <hyperlink ref="F81" r:id="rId211" display="https://ahaonline.cz/"/>
    <hyperlink ref="W81" r:id="rId212" display="https://reklama.cncenter.cz/Online/mobilni-slide-up"/>
    <hyperlink ref="D82" r:id="rId213" display="https://ahaonline.cz/"/>
    <hyperlink ref="F82" r:id="rId214" display="https://ahaonline.cz/"/>
    <hyperlink ref="W82" r:id="rId215" display="https://reklama.cncenter.cz/Online/mobilni-vineta"/>
    <hyperlink ref="D83" r:id="rId216" display="https://ahaonline.cz/"/>
    <hyperlink ref="F83" r:id="rId217" display="https://ahaonline.cz/"/>
    <hyperlink ref="D84" r:id="rId218" display="https://ahaonline.cz/"/>
    <hyperlink ref="F84" r:id="rId219" display="https://ahaonline.cz/"/>
    <hyperlink ref="W84" r:id="rId220" display="https://reklama.cncenter.cz/Online/nativni-PR-premium"/>
    <hyperlink ref="D85" r:id="rId221" display="https://ahaonline.cz/"/>
    <hyperlink ref="F85" r:id="rId222" display="https://ahaonline.cz/"/>
    <hyperlink ref="W85" r:id="rId223" display="https://reklama.cncenter.cz/Online/nativni-rectangle-cross-device"/>
    <hyperlink ref="D86" r:id="rId224" display="https://ahaonline.cz/"/>
    <hyperlink ref="F86" r:id="rId225" display="https://ahaonline.cz/"/>
    <hyperlink ref="W86" r:id="rId226" display="https://reklama.cncenter.cz/Online/Outstream"/>
    <hyperlink ref="D87" r:id="rId227" display="https://ahaonline.cz/"/>
    <hyperlink ref="F87" r:id="rId228" display="https://ahaonline.cz/"/>
    <hyperlink ref="W87" r:id="rId229" display="https://reklama.cncenter.cz/?ads=PR%2520%25C4%258Dl%25C3%25A1nky"/>
    <hyperlink ref="D88" r:id="rId230" display="https://ahaonline.cz/"/>
    <hyperlink ref="F88" r:id="rId231" display="https://ahaonline.cz/"/>
    <hyperlink ref="D89" r:id="rId232" display="https://ahaonline.cz/"/>
    <hyperlink ref="F89" r:id="rId233" display="https://ahaonline.cz/"/>
    <hyperlink ref="D90" r:id="rId234" display="https://ahaonline.cz/"/>
    <hyperlink ref="F90" r:id="rId235" display="https://ahaonline.cz/"/>
    <hyperlink ref="D91" r:id="rId236" display="https://ahaonline.cz/"/>
    <hyperlink ref="F91" r:id="rId237" display="https://ahaonline.cz/"/>
    <hyperlink ref="W91" r:id="rId238" display="https://reklama.cncenter.cz/Online/Bumper"/>
    <hyperlink ref="D92" r:id="rId239" display="https://auto.cz/"/>
    <hyperlink ref="F92" r:id="rId240" display="https://auto.cz/"/>
    <hyperlink ref="D93" r:id="rId241" display="https://auto.cz/"/>
    <hyperlink ref="F93" r:id="rId242" display="https://auto.cz/"/>
    <hyperlink ref="W93" r:id="rId243" display="https://reklama.cncenter.cz/Online/billboard-bottom"/>
    <hyperlink ref="D94" r:id="rId244" display="https://auto.cz/"/>
    <hyperlink ref="F94" r:id="rId245" display="https://auto.cz/"/>
    <hyperlink ref="W94" r:id="rId246" display="https://reklama.cncenter.cz/Online/branding-cross-device"/>
    <hyperlink ref="D95" r:id="rId247" display="https://auto.cz/"/>
    <hyperlink ref="F95" r:id="rId248" display="https://auto.cz/"/>
    <hyperlink ref="W95" r:id="rId249" display="https://reklama.cncenter.cz/Online/branding"/>
    <hyperlink ref="D96" r:id="rId250" display="https://auto.cz/"/>
    <hyperlink ref="F96" r:id="rId251" display="https://auto.cz/"/>
    <hyperlink ref="W96" r:id="rId252" display="https://reklama.cncenter.cz/Online/billboard-bottom"/>
    <hyperlink ref="D97" r:id="rId253" display="https://auto.cz/"/>
    <hyperlink ref="F97" r:id="rId254" display="https://auto.cz/"/>
    <hyperlink ref="W97" r:id="rId255" display="https://reklama.cncenter.cz/Online/branding-cross-device"/>
    <hyperlink ref="D98" r:id="rId256" display="https://auto.cz/"/>
    <hyperlink ref="F98" r:id="rId257" display="https://auto.cz/"/>
    <hyperlink ref="W98" r:id="rId258" display="https://reklama.cncenter.cz/Online/branding"/>
    <hyperlink ref="D99" r:id="rId259" display="https://auto.cz/"/>
    <hyperlink ref="F99" r:id="rId260" display="https://auto.cz/"/>
    <hyperlink ref="W99" r:id="rId261" display="https://reklama.cncenter.cz/Online/double-skyscraper"/>
    <hyperlink ref="D100" r:id="rId262" display="https://auto.cz/"/>
    <hyperlink ref="F100" r:id="rId263" display="https://auto.cz/"/>
    <hyperlink ref="W100" r:id="rId264" display="https://reklama.cncenter.cz/Online/Videospot"/>
    <hyperlink ref="D101" r:id="rId265" display="https://auto.cz/"/>
    <hyperlink ref="F101" r:id="rId266" display="https://auto.cz/"/>
    <hyperlink ref="W101" r:id="rId267" display="https://reklama.cncenter.cz/Online/mobilni-interscroller"/>
    <hyperlink ref="D102" r:id="rId268" display="https://auto.cz/"/>
    <hyperlink ref="F102" r:id="rId269" display="https://auto.cz/"/>
    <hyperlink ref="W102" r:id="rId270" display="https://reklama.cncenter.cz/Online/mobilni-slide-up"/>
    <hyperlink ref="D103" r:id="rId271" display="https://auto.cz/"/>
    <hyperlink ref="F103" r:id="rId272" display="https://auto.cz/"/>
    <hyperlink ref="W103" r:id="rId273" display="https://reklama.cncenter.cz/Online/mobilni-vineta"/>
    <hyperlink ref="D104" r:id="rId274" display="https://auto.cz/"/>
    <hyperlink ref="F104" r:id="rId275" display="https://auto.cz/"/>
    <hyperlink ref="W104" r:id="rId276" display="https://reklama.cncenter.cz/Online/nativni-PR-premium"/>
    <hyperlink ref="D105" r:id="rId277" display="https://auto.cz/"/>
    <hyperlink ref="F105" r:id="rId278" display="https://auto.cz/"/>
    <hyperlink ref="W105" r:id="rId279" display="https://reklama.cncenter.cz/Online/nativni-rectangle-cross-device"/>
    <hyperlink ref="D106" r:id="rId280" display="https://auto.cz/"/>
    <hyperlink ref="F106" r:id="rId281" display="https://auto.cz/"/>
    <hyperlink ref="W106" r:id="rId282" display="https://reklama.cncenter.cz/Online/Outstream"/>
    <hyperlink ref="D107" r:id="rId283" display="https://auto.cz/"/>
    <hyperlink ref="F107" r:id="rId284" display="https://auto.cz/"/>
    <hyperlink ref="W107" r:id="rId285" display="https://reklama.cncenter.cz/Online/Bumper"/>
    <hyperlink ref="D108" r:id="rId286" display="https://auto.cz/"/>
    <hyperlink ref="F108" r:id="rId287" display="https://auto.cz/"/>
    <hyperlink ref="D109" r:id="rId288" display="https://auto.cz/"/>
    <hyperlink ref="F109" r:id="rId289" display="https://auto.cz/"/>
    <hyperlink ref="W109" r:id="rId290" display="https://reklama.cncenter.cz/Online/double-skyscraper"/>
    <hyperlink ref="D110" r:id="rId291" display="https://auto.cz/"/>
    <hyperlink ref="F110" r:id="rId292" display="https://auto.cz/"/>
    <hyperlink ref="W110" r:id="rId293" display="https://reklama.cncenter.cz/Online/Videospot"/>
    <hyperlink ref="D111" r:id="rId294" display="https://auto.cz/"/>
    <hyperlink ref="F111" r:id="rId295" display="https://auto.cz/"/>
    <hyperlink ref="W111" r:id="rId296" display="https://reklama.cncenter.cz/Online/mobilni-interscroller"/>
    <hyperlink ref="D112" r:id="rId297" display="https://auto.cz/"/>
    <hyperlink ref="F112" r:id="rId298" display="https://auto.cz/"/>
    <hyperlink ref="W112" r:id="rId299" display="https://reklama.cncenter.cz/Online/mobilni-slide-up"/>
    <hyperlink ref="D113" r:id="rId300" display="https://auto.cz/"/>
    <hyperlink ref="F113" r:id="rId301" display="https://auto.cz/"/>
    <hyperlink ref="W113" r:id="rId302" display="https://reklama.cncenter.cz/Online/mobilni-vineta"/>
    <hyperlink ref="D114" r:id="rId303" display="https://auto.cz/"/>
    <hyperlink ref="F114" r:id="rId304" display="https://auto.cz/"/>
    <hyperlink ref="D115" r:id="rId305" display="https://auto.cz/"/>
    <hyperlink ref="F115" r:id="rId306" display="https://auto.cz/"/>
    <hyperlink ref="W115" r:id="rId307" display="https://reklama.cncenter.cz/Online/nativni-PR-premium"/>
    <hyperlink ref="D116" r:id="rId308" display="https://auto.cz/"/>
    <hyperlink ref="F116" r:id="rId309" display="https://auto.cz/"/>
    <hyperlink ref="W116" r:id="rId310" display="https://reklama.cncenter.cz/Online/nativni-rectangle-cross-device"/>
    <hyperlink ref="D117" r:id="rId311" display="https://auto.cz/"/>
    <hyperlink ref="F117" r:id="rId312" display="https://auto.cz/"/>
    <hyperlink ref="W117" r:id="rId313" display="https://reklama.cncenter.cz/Online/Outstream"/>
    <hyperlink ref="D118" r:id="rId314" display="https://auto.cz/"/>
    <hyperlink ref="F118" r:id="rId315" display="https://auto.cz/"/>
    <hyperlink ref="W118" r:id="rId316" display="https://reklama.cncenter.cz/?ads=PR%2520%25C4%258Dl%25C3%25A1nky"/>
    <hyperlink ref="D119" r:id="rId317" display="https://auto.cz/"/>
    <hyperlink ref="F119" r:id="rId318" display="https://auto.cz/"/>
    <hyperlink ref="D120" r:id="rId319" display="https://auto.cz/"/>
    <hyperlink ref="F120" r:id="rId320" display="https://auto.cz/"/>
    <hyperlink ref="D121" r:id="rId321" display="https://auto.cz/"/>
    <hyperlink ref="F121" r:id="rId322" display="https://auto.cz/"/>
    <hyperlink ref="D122" r:id="rId323" display="https://auto.cz/"/>
    <hyperlink ref="F122" r:id="rId324" display="https://auto.cz/"/>
    <hyperlink ref="W122" r:id="rId325" display="https://reklama.cncenter.cz/Online/Bumper"/>
    <hyperlink ref="D123" r:id="rId326" display="https://autorevue.cz/"/>
    <hyperlink ref="F123" r:id="rId327" display="https://autorevue.cz/"/>
    <hyperlink ref="D124" r:id="rId328" display="https://autorevue.cz/"/>
    <hyperlink ref="F124" r:id="rId329" display="https://autorevue.cz/"/>
    <hyperlink ref="W124" r:id="rId330" display="https://reklama.cncenter.cz/Online/billboard-bottom"/>
    <hyperlink ref="D125" r:id="rId331" display="https://autorevue.cz/"/>
    <hyperlink ref="F125" r:id="rId332" display="https://autorevue.cz/"/>
    <hyperlink ref="W125" r:id="rId333" display="https://reklama.cncenter.cz/Online/branding-cross-device"/>
    <hyperlink ref="D126" r:id="rId334" display="https://autorevue.cz/"/>
    <hyperlink ref="F126" r:id="rId335" display="https://autorevue.cz/"/>
    <hyperlink ref="W126" r:id="rId336" display="https://reklama.cncenter.cz/Online/branding"/>
    <hyperlink ref="D127" r:id="rId337" display="https://autorevue.cz/"/>
    <hyperlink ref="F127" r:id="rId338" display="https://autorevue.cz/"/>
    <hyperlink ref="W127" r:id="rId339" display="https://reklama.cncenter.cz/Online/billboard-bottom"/>
    <hyperlink ref="D128" r:id="rId340" display="https://autorevue.cz/"/>
    <hyperlink ref="F128" r:id="rId341" display="https://autorevue.cz/"/>
    <hyperlink ref="W128" r:id="rId342" display="https://reklama.cncenter.cz/Online/branding-cross-device"/>
    <hyperlink ref="D129" r:id="rId343" display="https://autorevue.cz/"/>
    <hyperlink ref="F129" r:id="rId344" display="https://autorevue.cz/"/>
    <hyperlink ref="W129" r:id="rId345" display="https://reklama.cncenter.cz/Online/branding"/>
    <hyperlink ref="D130" r:id="rId346" display="https://autorevue.cz/"/>
    <hyperlink ref="F130" r:id="rId347" display="https://autorevue.cz/"/>
    <hyperlink ref="W130" r:id="rId348" display="https://reklama.cncenter.cz/Online/double-skyscraper"/>
    <hyperlink ref="D131" r:id="rId349" display="https://autorevue.cz/"/>
    <hyperlink ref="F131" r:id="rId350" display="https://autorevue.cz/"/>
    <hyperlink ref="W131" r:id="rId351" display="https://reklama.cncenter.cz/Online/mobilni-interscroller"/>
    <hyperlink ref="D132" r:id="rId352" display="https://autorevue.cz/"/>
    <hyperlink ref="F132" r:id="rId353" display="https://autorevue.cz/"/>
    <hyperlink ref="W132" r:id="rId354" display="https://reklama.cncenter.cz/Online/mobilni-slide-up"/>
    <hyperlink ref="D133" r:id="rId355" display="https://autorevue.cz/"/>
    <hyperlink ref="F133" r:id="rId356" display="https://autorevue.cz/"/>
    <hyperlink ref="W133" r:id="rId357" display="https://reklama.cncenter.cz/Online/mobilni-vineta"/>
    <hyperlink ref="D134" r:id="rId358" display="https://autorevue.cz/"/>
    <hyperlink ref="F134" r:id="rId359" display="https://autorevue.cz/"/>
    <hyperlink ref="W134" r:id="rId360" display="https://reklama.cncenter.cz/Online/nativni-PR-premium"/>
    <hyperlink ref="D135" r:id="rId361" display="https://autorevue.cz/"/>
    <hyperlink ref="F135" r:id="rId362" display="https://autorevue.cz/"/>
    <hyperlink ref="W135" r:id="rId363" display="https://reklama.cncenter.cz/Online/nativni-rectangle-cross-device"/>
    <hyperlink ref="D136" r:id="rId364" display="https://autorevue.cz/"/>
    <hyperlink ref="F136" r:id="rId365" display="https://autorevue.cz/"/>
    <hyperlink ref="W136" r:id="rId366" display="https://reklama.cncenter.cz/Online/Outstream"/>
    <hyperlink ref="D137" r:id="rId367" display="https://autorevue.cz/"/>
    <hyperlink ref="F137" r:id="rId368" display="https://autorevue.cz/"/>
    <hyperlink ref="W137" r:id="rId369" display="https://reklama.cncenter.cz/Online/Bumper"/>
    <hyperlink ref="D138" r:id="rId370" display="https://autorevue.cz/"/>
    <hyperlink ref="F138" r:id="rId371" display="https://autorevue.cz/"/>
    <hyperlink ref="D139" r:id="rId372" display="https://autorevue.cz/"/>
    <hyperlink ref="F139" r:id="rId373" display="https://autorevue.cz/"/>
    <hyperlink ref="W139" r:id="rId374" display="https://reklama.cncenter.cz/Online/double-skyscraper"/>
    <hyperlink ref="D140" r:id="rId375" display="https://autorevue.cz/"/>
    <hyperlink ref="F140" r:id="rId376" display="https://autorevue.cz/"/>
    <hyperlink ref="W140" r:id="rId377" display="https://reklama.cncenter.cz/Online/mobilni-interscroller"/>
    <hyperlink ref="D141" r:id="rId378" display="https://autorevue.cz/"/>
    <hyperlink ref="F141" r:id="rId379" display="https://autorevue.cz/"/>
    <hyperlink ref="W141" r:id="rId380" display="https://reklama.cncenter.cz/Online/mobilni-slide-up"/>
    <hyperlink ref="D142" r:id="rId381" display="https://autorevue.cz/"/>
    <hyperlink ref="F142" r:id="rId382" display="https://autorevue.cz/"/>
    <hyperlink ref="W142" r:id="rId383" display="https://reklama.cncenter.cz/Online/mobilni-vineta"/>
    <hyperlink ref="D143" r:id="rId384" display="https://autorevue.cz/"/>
    <hyperlink ref="F143" r:id="rId385" display="https://autorevue.cz/"/>
    <hyperlink ref="D144" r:id="rId386" display="https://autorevue.cz/"/>
    <hyperlink ref="F144" r:id="rId387" display="https://autorevue.cz/"/>
    <hyperlink ref="W144" r:id="rId388" display="https://reklama.cncenter.cz/Online/nativni-PR-premium"/>
    <hyperlink ref="D145" r:id="rId389" display="https://autorevue.cz/"/>
    <hyperlink ref="F145" r:id="rId390" display="https://autorevue.cz/"/>
    <hyperlink ref="W145" r:id="rId391" display="https://reklama.cncenter.cz/Online/nativni-rectangle-cross-device"/>
    <hyperlink ref="D146" r:id="rId392" display="https://autorevue.cz/"/>
    <hyperlink ref="F146" r:id="rId393" display="https://autorevue.cz/"/>
    <hyperlink ref="W146" r:id="rId394" display="https://reklama.cncenter.cz/Online/Outstream"/>
    <hyperlink ref="D147" r:id="rId395" display="https://autorevue.cz/"/>
    <hyperlink ref="F147" r:id="rId396" display="https://autorevue.cz/"/>
    <hyperlink ref="W147" r:id="rId397" display="https://reklama.cncenter.cz/?ads=PR%2520%25C4%258Dl%25C3%25A1nky"/>
    <hyperlink ref="D148" r:id="rId398" display="https://autorevue.cz/"/>
    <hyperlink ref="F148" r:id="rId399" display="https://autorevue.cz/"/>
    <hyperlink ref="D149" r:id="rId400" display="https://autorevue.cz/"/>
    <hyperlink ref="F149" r:id="rId401" display="https://autorevue.cz/"/>
    <hyperlink ref="D150" r:id="rId402" display="https://autorevue.cz/"/>
    <hyperlink ref="F150" r:id="rId403" display="https://autorevue.cz/"/>
    <hyperlink ref="D151" r:id="rId404" display="https://autorevue.cz/"/>
    <hyperlink ref="F151" r:id="rId405" display="https://autorevue.cz/"/>
    <hyperlink ref="W151" r:id="rId406" display="https://reklama.cncenter.cz/Online/Bumper"/>
    <hyperlink ref="D152" r:id="rId407" display="https://avmania.zive.cz/"/>
    <hyperlink ref="F152" r:id="rId408" display="https://avmania.zive.cz/"/>
    <hyperlink ref="D153" r:id="rId409" display="https://avmania.zive.cz/"/>
    <hyperlink ref="F153" r:id="rId410" display="https://avmania.zive.cz/"/>
    <hyperlink ref="W153" r:id="rId411" display="https://reklama.cncenter.cz/Online/billboard-bottom"/>
    <hyperlink ref="D154" r:id="rId412" display="https://avmania.zive.cz/"/>
    <hyperlink ref="F154" r:id="rId413" display="https://avmania.zive.cz/"/>
    <hyperlink ref="W154" r:id="rId414" display="https://reklama.cncenter.cz/Online/branding-cross-device"/>
    <hyperlink ref="D155" r:id="rId415" display="https://avmania.zive.cz/"/>
    <hyperlink ref="F155" r:id="rId416" display="https://avmania.zive.cz/"/>
    <hyperlink ref="W155" r:id="rId417" display="https://reklama.cncenter.cz/Online/branding"/>
    <hyperlink ref="D156" r:id="rId418" display="https://avmania.zive.cz/"/>
    <hyperlink ref="F156" r:id="rId419" display="https://avmania.zive.cz/"/>
    <hyperlink ref="W156" r:id="rId420" display="https://reklama.cncenter.cz/Online/billboard-bottom"/>
    <hyperlink ref="D157" r:id="rId421" display="https://avmania.zive.cz/"/>
    <hyperlink ref="F157" r:id="rId422" display="https://avmania.zive.cz/"/>
    <hyperlink ref="W157" r:id="rId423" display="https://reklama.cncenter.cz/Online/branding-cross-device"/>
    <hyperlink ref="D158" r:id="rId424" display="https://avmania.zive.cz/"/>
    <hyperlink ref="F158" r:id="rId425" display="https://avmania.zive.cz/"/>
    <hyperlink ref="W158" r:id="rId426" display="https://reklama.cncenter.cz/Online/branding"/>
    <hyperlink ref="D159" r:id="rId427" display="https://avmania.zive.cz/"/>
    <hyperlink ref="F159" r:id="rId428" display="https://avmania.zive.cz/"/>
    <hyperlink ref="W159" r:id="rId429" display="https://reklama.cncenter.cz/Online/double-skyscraper"/>
    <hyperlink ref="D160" r:id="rId430" display="https://avmania.zive.cz/"/>
    <hyperlink ref="F160" r:id="rId431" display="https://avmania.zive.cz/"/>
    <hyperlink ref="W160" r:id="rId432" display="https://reklama.cncenter.cz/Online/mobilni-interscroller"/>
    <hyperlink ref="D161" r:id="rId433" display="https://avmania.zive.cz/"/>
    <hyperlink ref="F161" r:id="rId434" display="https://avmania.zive.cz/"/>
    <hyperlink ref="W161" r:id="rId435" display="https://reklama.cncenter.cz/Online/mobilni-slide-up"/>
    <hyperlink ref="D162" r:id="rId436" display="https://avmania.zive.cz/"/>
    <hyperlink ref="F162" r:id="rId437" display="https://avmania.zive.cz/"/>
    <hyperlink ref="W162" r:id="rId438" display="https://reklama.cncenter.cz/Online/mobilni-vineta"/>
    <hyperlink ref="D163" r:id="rId439" display="https://avmania.zive.cz/"/>
    <hyperlink ref="F163" r:id="rId440" display="https://avmania.zive.cz/"/>
    <hyperlink ref="W163" r:id="rId441" display="https://reklama.cncenter.cz/Online/nativni-rectangle-cross-device"/>
    <hyperlink ref="D164" r:id="rId442" display="https://avmania.zive.cz/"/>
    <hyperlink ref="F164" r:id="rId443" display="https://avmania.zive.cz/"/>
    <hyperlink ref="W164" r:id="rId444" display="https://reklama.cncenter.cz/Online/Outstream"/>
    <hyperlink ref="D165" r:id="rId445" display="https://avmania.zive.cz/"/>
    <hyperlink ref="F165" r:id="rId446" display="https://avmania.zive.cz/"/>
    <hyperlink ref="D166" r:id="rId447" display="https://avmania.zive.cz/"/>
    <hyperlink ref="F166" r:id="rId448" display="https://avmania.zive.cz/"/>
    <hyperlink ref="W166" r:id="rId449" display="https://reklama.cncenter.cz/Online/double-skyscraper"/>
    <hyperlink ref="D167" r:id="rId450" display="https://avmania.zive.cz/"/>
    <hyperlink ref="F167" r:id="rId451" display="https://avmania.zive.cz/"/>
    <hyperlink ref="W167" r:id="rId452" display="https://reklama.cncenter.cz/Online/mobilni-interscroller"/>
    <hyperlink ref="D168" r:id="rId453" display="https://avmania.zive.cz/"/>
    <hyperlink ref="F168" r:id="rId454" display="https://avmania.zive.cz/"/>
    <hyperlink ref="W168" r:id="rId455" display="https://reklama.cncenter.cz/Online/mobilni-slide-up"/>
    <hyperlink ref="D169" r:id="rId456" display="https://avmania.zive.cz/"/>
    <hyperlink ref="F169" r:id="rId457" display="https://avmania.zive.cz/"/>
    <hyperlink ref="W169" r:id="rId458" display="https://reklama.cncenter.cz/Online/mobilni-vineta"/>
    <hyperlink ref="D170" r:id="rId459" display="https://avmania.zive.cz/"/>
    <hyperlink ref="F170" r:id="rId460" display="https://avmania.zive.cz/"/>
    <hyperlink ref="D171" r:id="rId461" display="https://avmania.zive.cz/"/>
    <hyperlink ref="F171" r:id="rId462" display="https://avmania.zive.cz/"/>
    <hyperlink ref="W171" r:id="rId463" display="https://reklama.cncenter.cz/Online/nativni-rectangle-cross-device"/>
    <hyperlink ref="D172" r:id="rId464" display="https://avmania.zive.cz/"/>
    <hyperlink ref="F172" r:id="rId465" display="https://avmania.zive.cz/"/>
    <hyperlink ref="W172" r:id="rId466" display="https://reklama.cncenter.cz/Online/Outstream"/>
    <hyperlink ref="D173" r:id="rId467" display="https://avmania.zive.cz/"/>
    <hyperlink ref="F173" r:id="rId468" display="https://avmania.zive.cz/"/>
    <hyperlink ref="W173" r:id="rId469" display="https://reklama.cncenter.cz/?ads=PR%2520%25C4%258Dl%25C3%25A1nky"/>
    <hyperlink ref="D174" r:id="rId470" display="https://avmania.zive.cz/"/>
    <hyperlink ref="F174" r:id="rId471" display="https://avmania.zive.cz/"/>
    <hyperlink ref="D175" r:id="rId472" display="https://avmania.zive.cz/"/>
    <hyperlink ref="F175" r:id="rId473" display="https://avmania.zive.cz/"/>
    <hyperlink ref="D176" r:id="rId474" display="https://avmania.zive.cz/"/>
    <hyperlink ref="F176" r:id="rId475" display="https://avmania.zive.cz/"/>
    <hyperlink ref="D177" r:id="rId476" display="https://blesk.cz/"/>
    <hyperlink ref="F177" r:id="rId477" display="https://blesk.cz/"/>
    <hyperlink ref="D178" r:id="rId478" display="https://blesk.cz/"/>
    <hyperlink ref="F178" r:id="rId479" display="https://blesk.cz/"/>
    <hyperlink ref="W178" r:id="rId480" display="https://reklama.cncenter.cz/Online/nativni-rectangle-cross-device"/>
    <hyperlink ref="D179" r:id="rId481" display="https://blesk.cz/"/>
    <hyperlink ref="F179" r:id="rId482" display="https://blesk.cz/"/>
    <hyperlink ref="D180" r:id="rId483" display="https://blesk.cz/"/>
    <hyperlink ref="F180" r:id="rId484" display="https://blesk.cz/"/>
    <hyperlink ref="D181" r:id="rId485" display="https://blesk.cz/"/>
    <hyperlink ref="F181" r:id="rId486" display="https://blesk.cz/"/>
    <hyperlink ref="W181" r:id="rId487" display="https://reklama.cncenter.cz/Online/nativni-rectangle-cross-device"/>
    <hyperlink ref="D182" r:id="rId488" display="https://blesk.cz/"/>
    <hyperlink ref="F182" r:id="rId489" display="https://blesk.cz/"/>
    <hyperlink ref="W182" r:id="rId490" display="https://reklama.cncenter.cz/?ads=PR%2520%25C4%258Dl%25C3%25A1nky"/>
    <hyperlink ref="D183" r:id="rId491" display="https://blesk.cz/"/>
    <hyperlink ref="F183" r:id="rId492" display="https://blesk.cz/"/>
    <hyperlink ref="D184" r:id="rId493" display="https://blesk.cz/"/>
    <hyperlink ref="F184" r:id="rId494" display="https://blesk.cz/"/>
    <hyperlink ref="D185" r:id="rId495" display="https://blesk.cz/"/>
    <hyperlink ref="F185" r:id="rId496" display="https://blesk.cz/"/>
    <hyperlink ref="W186" r:id="rId497" display="https://reklama.cncenter.cz/Online/billboard-bottom"/>
    <hyperlink ref="W187" r:id="rId498" display="https://reklama.cncenter.cz/Online/branding-cross-device"/>
    <hyperlink ref="W188" r:id="rId499" display="https://reklama.cncenter.cz/Online/branding"/>
    <hyperlink ref="W189" r:id="rId500" display="https://reklama.cncenter.cz/Online/billboard-bottom"/>
    <hyperlink ref="W190" r:id="rId501" display="https://reklama.cncenter.cz/Online/branding-cross-device"/>
    <hyperlink ref="W191" r:id="rId502" display="https://reklama.cncenter.cz/Online/branding"/>
    <hyperlink ref="W192" r:id="rId503" display="https://reklama.cncenter.cz/Online/double-skyscraper"/>
    <hyperlink ref="W193" r:id="rId504" display="https://reklama.cncenter.cz/Online/Videospot"/>
    <hyperlink ref="W194" r:id="rId505" display="https://reklama.cncenter.cz/Online/mobilni-interscroller"/>
    <hyperlink ref="W195" r:id="rId506" display="https://reklama.cncenter.cz/Online/mobilni-slide-up"/>
    <hyperlink ref="W196" r:id="rId507" display="https://reklama.cncenter.cz/Online/mobilni-vineta"/>
    <hyperlink ref="W197" r:id="rId508" display="https://reklama.cncenter.cz/Online/nativni-rectangle-cross-device"/>
    <hyperlink ref="W198" r:id="rId509" display="https://reklama.cncenter.cz/Online/Outstream"/>
    <hyperlink ref="W199" r:id="rId510" display="https://reklama.cncenter.cz/Online/Smarticle"/>
    <hyperlink ref="W200" r:id="rId511" display="https://reklama.cncenter.cz/Online/Bumper"/>
    <hyperlink ref="W201" r:id="rId512" display="https://reklama.cncenter.cz/Online/double-skyscraper"/>
    <hyperlink ref="W202" r:id="rId513" display="https://reklama.cncenter.cz/Online/Videospot"/>
    <hyperlink ref="W203" r:id="rId514" display="https://reklama.cncenter.cz/Online/mobilni-interscroller"/>
    <hyperlink ref="W204" r:id="rId515" display="https://reklama.cncenter.cz/Online/mobilni-slide-up"/>
    <hyperlink ref="W205" r:id="rId516" display="https://reklama.cncenter.cz/Online/mobilni-vineta"/>
    <hyperlink ref="W206" r:id="rId517" display="https://reklama.cncenter.cz/Online/nativni-rectangle-cross-device"/>
    <hyperlink ref="W207" r:id="rId518" display="https://reklama.cncenter.cz/Online/Outstream"/>
    <hyperlink ref="W208" r:id="rId519" display="https://reklama.cncenter.cz/Online/Smarticle"/>
    <hyperlink ref="W209" r:id="rId520" display="https://reklama.cncenter.cz/Online/Bumper"/>
    <hyperlink ref="D210" r:id="rId521" display="https://blesk.cz/"/>
    <hyperlink ref="F210" r:id="rId522" display="https://blesk.cz/"/>
    <hyperlink ref="W210" r:id="rId523" display="https://reklama.cncenter.cz/Online/branding-cross-device"/>
    <hyperlink ref="D211" r:id="rId524" display="https://blesk.cz/"/>
    <hyperlink ref="F211" r:id="rId525" display="https://blesk.cz/"/>
    <hyperlink ref="W211" r:id="rId526" display="https://reklama.cncenter.cz/Online/branding"/>
    <hyperlink ref="D212" r:id="rId527" display="https://blesk.cz/"/>
    <hyperlink ref="F212" r:id="rId528" display="https://blesk.cz/"/>
    <hyperlink ref="W212" r:id="rId529" display="https://reklama.cncenter.cz/Online/branding-cross-device"/>
    <hyperlink ref="D213" r:id="rId530" display="https://blesk.cz/"/>
    <hyperlink ref="F213" r:id="rId531" display="https://blesk.cz/"/>
    <hyperlink ref="W213" r:id="rId532" display="https://reklama.cncenter.cz/Online/branding"/>
    <hyperlink ref="D214" r:id="rId533" display="https://blesk.cz/"/>
    <hyperlink ref="F214" r:id="rId534" display="https://blesk.cz/"/>
    <hyperlink ref="W214" r:id="rId535" display="https://reklama.cncenter.cz/Online/mobilni-interscroller"/>
    <hyperlink ref="D215" r:id="rId536" display="https://blesk.cz/"/>
    <hyperlink ref="F215" r:id="rId537" display="https://blesk.cz/"/>
    <hyperlink ref="W215" r:id="rId538" display="https://reklama.cncenter.cz/Online/mobilni-slide-up"/>
    <hyperlink ref="D216" r:id="rId539" display="https://blesk.cz/"/>
    <hyperlink ref="F216" r:id="rId540" display="https://blesk.cz/"/>
    <hyperlink ref="W216" r:id="rId541" display="https://reklama.cncenter.cz/Online/mobilni-interscroller"/>
    <hyperlink ref="D217" r:id="rId542" display="https://blesk.cz/"/>
    <hyperlink ref="F217" r:id="rId543" display="https://blesk.cz/"/>
    <hyperlink ref="W217" r:id="rId544" display="https://reklama.cncenter.cz/Online/mobilni-slide-up"/>
    <hyperlink ref="D218" r:id="rId545" display="https://bleskprozeny.cz/"/>
    <hyperlink ref="F218" r:id="rId546" display="https://bleskprozeny.cz/"/>
    <hyperlink ref="D219" r:id="rId547" display="https://bleskprozeny.cz/"/>
    <hyperlink ref="F219" r:id="rId548" display="https://bleskprozeny.cz/"/>
    <hyperlink ref="W219" r:id="rId549" display="https://reklama.cncenter.cz/Online/billboard-bottom"/>
    <hyperlink ref="D220" r:id="rId550" display="https://bleskprozeny.cz/"/>
    <hyperlink ref="F220" r:id="rId551" display="https://bleskprozeny.cz/"/>
    <hyperlink ref="W220" r:id="rId552" display="https://reklama.cncenter.cz/Online/branding-cross-device"/>
    <hyperlink ref="D221" r:id="rId553" display="https://bleskprozeny.cz/"/>
    <hyperlink ref="F221" r:id="rId554" display="https://bleskprozeny.cz/"/>
    <hyperlink ref="W221" r:id="rId555" display="https://reklama.cncenter.cz/Online/branding"/>
    <hyperlink ref="D222" r:id="rId556" display="https://bleskprozeny.cz/"/>
    <hyperlink ref="F222" r:id="rId557" display="https://bleskprozeny.cz/"/>
    <hyperlink ref="W222" r:id="rId558" display="https://reklama.cncenter.cz/Online/billboard-bottom"/>
    <hyperlink ref="D223" r:id="rId559" display="https://bleskprozeny.cz/"/>
    <hyperlink ref="F223" r:id="rId560" display="https://bleskprozeny.cz/"/>
    <hyperlink ref="W223" r:id="rId561" display="https://reklama.cncenter.cz/Online/branding-cross-device"/>
    <hyperlink ref="D224" r:id="rId562" display="https://bleskprozeny.cz/"/>
    <hyperlink ref="F224" r:id="rId563" display="https://bleskprozeny.cz/"/>
    <hyperlink ref="W224" r:id="rId564" display="https://reklama.cncenter.cz/Online/branding"/>
    <hyperlink ref="D225" r:id="rId565" display="https://bleskprozeny.cz/"/>
    <hyperlink ref="F225" r:id="rId566" display="https://bleskprozeny.cz/"/>
    <hyperlink ref="W225" r:id="rId567" display="https://reklama.cncenter.cz/Online/double-skyscraper"/>
    <hyperlink ref="D226" r:id="rId568" display="https://bleskprozeny.cz/"/>
    <hyperlink ref="F226" r:id="rId569" display="https://bleskprozeny.cz/"/>
    <hyperlink ref="W226" r:id="rId570" display="https://reklama.cncenter.cz/Online/Videospot"/>
    <hyperlink ref="D227" r:id="rId571" display="https://bleskprozeny.cz/"/>
    <hyperlink ref="F227" r:id="rId572" display="https://bleskprozeny.cz/"/>
    <hyperlink ref="W227" r:id="rId573" display="https://reklama.cncenter.cz/Online/mobilni-interscroller"/>
    <hyperlink ref="D228" r:id="rId574" display="https://bleskprozeny.cz/"/>
    <hyperlink ref="F228" r:id="rId575" display="https://bleskprozeny.cz/"/>
    <hyperlink ref="W228" r:id="rId576" display="https://reklama.cncenter.cz/Online/mobilni-slide-up"/>
    <hyperlink ref="D229" r:id="rId577" display="https://bleskprozeny.cz/"/>
    <hyperlink ref="F229" r:id="rId578" display="https://bleskprozeny.cz/"/>
    <hyperlink ref="W229" r:id="rId579" display="https://reklama.cncenter.cz/Online/mobilni-vineta"/>
    <hyperlink ref="D230" r:id="rId580" display="https://bleskprozeny.cz/"/>
    <hyperlink ref="F230" r:id="rId581" display="https://bleskprozeny.cz/"/>
    <hyperlink ref="W230" r:id="rId582" display="https://reklama.cncenter.cz/Online/nativni-PR-premium"/>
    <hyperlink ref="D231" r:id="rId583" display="https://bleskprozeny.cz/"/>
    <hyperlink ref="F231" r:id="rId584" display="https://bleskprozeny.cz/"/>
    <hyperlink ref="W231" r:id="rId585" display="https://reklama.cncenter.cz/Online/nativni-rectangle-cross-device"/>
    <hyperlink ref="D232" r:id="rId586" display="https://bleskprozeny.cz/"/>
    <hyperlink ref="F232" r:id="rId587" display="https://bleskprozeny.cz/"/>
    <hyperlink ref="W232" r:id="rId588" display="https://reklama.cncenter.cz/Online/Outstream"/>
    <hyperlink ref="D233" r:id="rId589" display="https://bleskprozeny.cz/"/>
    <hyperlink ref="F233" r:id="rId590" display="https://bleskprozeny.cz/"/>
    <hyperlink ref="W233" r:id="rId591" display="https://reklama.cncenter.cz/Online/Bumper"/>
    <hyperlink ref="D234" r:id="rId592" display="https://bleskprozeny.cz/"/>
    <hyperlink ref="F234" r:id="rId593" display="https://bleskprozeny.cz/"/>
    <hyperlink ref="D235" r:id="rId594" display="https://bleskprozeny.cz/"/>
    <hyperlink ref="F235" r:id="rId595" display="https://bleskprozeny.cz/"/>
    <hyperlink ref="W235" r:id="rId596" display="https://reklama.cncenter.cz/Online/double-skyscraper"/>
    <hyperlink ref="D236" r:id="rId597" display="https://bleskprozeny.cz/"/>
    <hyperlink ref="F236" r:id="rId598" display="https://bleskprozeny.cz/"/>
    <hyperlink ref="W236" r:id="rId599" display="https://reklama.cncenter.cz/Online/Videospot"/>
    <hyperlink ref="D237" r:id="rId600" display="https://bleskprozeny.cz/"/>
    <hyperlink ref="F237" r:id="rId601" display="https://bleskprozeny.cz/"/>
    <hyperlink ref="W237" r:id="rId602" display="https://reklama.cncenter.cz/Online/mobilni-interscroller"/>
    <hyperlink ref="D238" r:id="rId603" display="https://bleskprozeny.cz/"/>
    <hyperlink ref="F238" r:id="rId604" display="https://bleskprozeny.cz/"/>
    <hyperlink ref="W238" r:id="rId605" display="https://reklama.cncenter.cz/Online/mobilni-slide-up"/>
    <hyperlink ref="D239" r:id="rId606" display="https://bleskprozeny.cz/"/>
    <hyperlink ref="F239" r:id="rId607" display="https://bleskprozeny.cz/"/>
    <hyperlink ref="W239" r:id="rId608" display="https://reklama.cncenter.cz/Online/mobilni-vineta"/>
    <hyperlink ref="D240" r:id="rId609" display="https://bleskprozeny.cz/"/>
    <hyperlink ref="F240" r:id="rId610" display="https://bleskprozeny.cz/"/>
    <hyperlink ref="D241" r:id="rId611" display="https://bleskprozeny.cz/"/>
    <hyperlink ref="F241" r:id="rId612" display="https://bleskprozeny.cz/"/>
    <hyperlink ref="W241" r:id="rId613" display="https://reklama.cncenter.cz/Online/nativni-PR-premium"/>
    <hyperlink ref="D242" r:id="rId614" display="https://bleskprozeny.cz/"/>
    <hyperlink ref="F242" r:id="rId615" display="https://bleskprozeny.cz/"/>
    <hyperlink ref="W242" r:id="rId616" display="https://reklama.cncenter.cz/Online/nativni-rectangle-cross-device"/>
    <hyperlink ref="D243" r:id="rId617" display="https://bleskprozeny.cz/"/>
    <hyperlink ref="F243" r:id="rId618" display="https://bleskprozeny.cz/"/>
    <hyperlink ref="W243" r:id="rId619" display="https://reklama.cncenter.cz/Online/Outstream"/>
    <hyperlink ref="D244" r:id="rId620" display="https://bleskprozeny.cz/"/>
    <hyperlink ref="F244" r:id="rId621" display="https://bleskprozeny.cz/"/>
    <hyperlink ref="W244" r:id="rId622" display="https://reklama.cncenter.cz/?ads=PR%2520%25C4%258Dl%25C3%25A1nky"/>
    <hyperlink ref="D245" r:id="rId623" display="https://bleskprozeny.cz/"/>
    <hyperlink ref="F245" r:id="rId624" display="https://bleskprozeny.cz/"/>
    <hyperlink ref="D246" r:id="rId625" display="https://bleskprozeny.cz/"/>
    <hyperlink ref="F246" r:id="rId626" display="https://bleskprozeny.cz/"/>
    <hyperlink ref="D247" r:id="rId627" display="https://bleskprozeny.cz/"/>
    <hyperlink ref="F247" r:id="rId628" display="https://bleskprozeny.cz/"/>
    <hyperlink ref="D248" r:id="rId629" display="https://bleskprozeny.cz/"/>
    <hyperlink ref="F248" r:id="rId630" display="https://bleskprozeny.cz/"/>
    <hyperlink ref="W248" r:id="rId631" display="https://reklama.cncenter.cz/Online/Bumper"/>
    <hyperlink ref="W249" r:id="rId632" display="https://reklama.cncenter.cz/Online/billboard-bottom"/>
    <hyperlink ref="W250" r:id="rId633" display="https://reklama.cncenter.cz/Online/branding-cross-device"/>
    <hyperlink ref="W251" r:id="rId634" display="https://reklama.cncenter.cz/Online/branding"/>
    <hyperlink ref="W252" r:id="rId635" display="https://reklama.cncenter.cz/Online/billboard-bottom"/>
    <hyperlink ref="W253" r:id="rId636" display="https://reklama.cncenter.cz/Online/branding-cross-device"/>
    <hyperlink ref="W254" r:id="rId637" display="https://reklama.cncenter.cz/Online/branding"/>
    <hyperlink ref="W255" r:id="rId638" display="https://reklama.cncenter.cz/Online/double-skyscraper"/>
    <hyperlink ref="W256" r:id="rId639" display="https://reklama.cncenter.cz/Online/Videospot"/>
    <hyperlink ref="W257" r:id="rId640" display="https://reklama.cncenter.cz/Online/mobilni-interscroller"/>
    <hyperlink ref="W258" r:id="rId641" display="https://reklama.cncenter.cz/Online/mobilni-slide-up"/>
    <hyperlink ref="W259" r:id="rId642" display="https://reklama.cncenter.cz/Online/mobilni-vineta"/>
    <hyperlink ref="W260" r:id="rId643" display="https://reklama.cncenter.cz/Online/nativni-rectangle-cross-device"/>
    <hyperlink ref="W261" r:id="rId644" display="https://reklama.cncenter.cz/Online/Outstream"/>
    <hyperlink ref="W262" r:id="rId645" display="https://reklama.cncenter.cz/Online/Smarticle"/>
    <hyperlink ref="W263" r:id="rId646" display="https://reklama.cncenter.cz/Online/Bumper"/>
    <hyperlink ref="W264" r:id="rId647" display="https://reklama.cncenter.cz/Online/double-skyscraper"/>
    <hyperlink ref="W265" r:id="rId648" display="https://reklama.cncenter.cz/Online/Videospot"/>
    <hyperlink ref="W266" r:id="rId649" display="https://reklama.cncenter.cz/Online/mobilni-interscroller"/>
    <hyperlink ref="W267" r:id="rId650" display="https://reklama.cncenter.cz/Online/mobilni-slide-up"/>
    <hyperlink ref="W268" r:id="rId651" display="https://reklama.cncenter.cz/Online/mobilni-vineta"/>
    <hyperlink ref="W269" r:id="rId652" display="https://reklama.cncenter.cz/Online/nativni-rectangle-cross-device"/>
    <hyperlink ref="W270" r:id="rId653" display="https://reklama.cncenter.cz/Online/Outstream"/>
    <hyperlink ref="W271" r:id="rId654" display="https://reklama.cncenter.cz/Online/Smarticle"/>
    <hyperlink ref="W272" r:id="rId655" display="https://reklama.cncenter.cz/Online/Bumper"/>
    <hyperlink ref="W273" r:id="rId656" display="https://reklama.cncenter.cz/Online/billboard-bottom"/>
    <hyperlink ref="W274" r:id="rId657" display="https://reklama.cncenter.cz/Online/branding-cross-device"/>
    <hyperlink ref="W275" r:id="rId658" display="https://reklama.cncenter.cz/Online/branding"/>
    <hyperlink ref="W276" r:id="rId659" display="https://reklama.cncenter.cz/Online/billboard-bottom"/>
    <hyperlink ref="W277" r:id="rId660" display="https://reklama.cncenter.cz/Online/branding-cross-device"/>
    <hyperlink ref="W278" r:id="rId661" display="https://reklama.cncenter.cz/Online/branding"/>
    <hyperlink ref="W279" r:id="rId662" display="https://reklama.cncenter.cz/Online/double-skyscraper"/>
    <hyperlink ref="W280" r:id="rId663" display="https://reklama.cncenter.cz/Online/Videospot"/>
    <hyperlink ref="W281" r:id="rId664" display="https://reklama.cncenter.cz/Online/mobilni-interscroller"/>
    <hyperlink ref="W282" r:id="rId665" display="https://reklama.cncenter.cz/Online/mobilni-slide-up"/>
    <hyperlink ref="W283" r:id="rId666" display="https://reklama.cncenter.cz/Online/mobilni-vineta"/>
    <hyperlink ref="W284" r:id="rId667" display="https://reklama.cncenter.cz/Online/nativni-rectangle-cross-device"/>
    <hyperlink ref="W285" r:id="rId668" display="https://reklama.cncenter.cz/Online/Outstream"/>
    <hyperlink ref="W286" r:id="rId669" display="https://reklama.cncenter.cz/Online/Smarticle"/>
    <hyperlink ref="W287" r:id="rId670" display="https://reklama.cncenter.cz/Online/Bumper"/>
    <hyperlink ref="W288" r:id="rId671" display="https://reklama.cncenter.cz/Online/double-skyscraper"/>
    <hyperlink ref="W290" r:id="rId672" display="https://reklama.cncenter.cz/Online/Videospot"/>
    <hyperlink ref="W291" r:id="rId673" display="https://reklama.cncenter.cz/Online/mobilni-interscroller"/>
    <hyperlink ref="W292" r:id="rId674" display="https://reklama.cncenter.cz/Online/mobilni-slide-up"/>
    <hyperlink ref="W293" r:id="rId675" display="https://reklama.cncenter.cz/Online/mobilni-vineta"/>
    <hyperlink ref="W294" r:id="rId676" display="https://reklama.cncenter.cz/Online/nativni-rectangle-cross-device"/>
    <hyperlink ref="W295" r:id="rId677" display="https://reklama.cncenter.cz/Online/Outstream"/>
    <hyperlink ref="W297" r:id="rId678" display="https://reklama.cncenter.cz/Online/Smarticle"/>
    <hyperlink ref="W302" r:id="rId679" display="https://reklama.cncenter.cz/Online/Bumper"/>
    <hyperlink ref="W304" r:id="rId680" display="https://reklama.cncenter.cz/Online/billboard-bottom"/>
    <hyperlink ref="W305" r:id="rId681" display="https://reklama.cncenter.cz/Online/branding-cross-device"/>
    <hyperlink ref="W306" r:id="rId682" display="https://reklama.cncenter.cz/Online/branding"/>
    <hyperlink ref="W307" r:id="rId683" display="https://reklama.cncenter.cz/Online/billboard-bottom"/>
    <hyperlink ref="W308" r:id="rId684" display="https://reklama.cncenter.cz/Online/branding-cross-device"/>
    <hyperlink ref="W309" r:id="rId685" display="https://reklama.cncenter.cz/Online/branding"/>
    <hyperlink ref="W310" r:id="rId686" display="https://reklama.cncenter.cz/Online/double-skyscraper"/>
    <hyperlink ref="W311" r:id="rId687" display="https://reklama.cncenter.cz/Online/mobilni-interscroller"/>
    <hyperlink ref="W312" r:id="rId688" display="https://reklama.cncenter.cz/Online/mobilni-slide-up"/>
    <hyperlink ref="W313" r:id="rId689" display="https://reklama.cncenter.cz/Online/mobilni-vineta"/>
    <hyperlink ref="W314" r:id="rId690" display="https://reklama.cncenter.cz/Online/nativni-rectangle-cross-device"/>
    <hyperlink ref="W315" r:id="rId691" display="https://reklama.cncenter.cz/Online/Outstream"/>
    <hyperlink ref="W316" r:id="rId692" display="https://reklama.cncenter.cz/Online/Smarticle"/>
    <hyperlink ref="W317" r:id="rId693" display="https://reklama.cncenter.cz/Online/Bumper"/>
    <hyperlink ref="W318" r:id="rId694" display="https://reklama.cncenter.cz/Online/double-skyscraper"/>
    <hyperlink ref="W319" r:id="rId695" display="https://reklama.cncenter.cz/Online/mobilni-interscroller"/>
    <hyperlink ref="W320" r:id="rId696" display="https://reklama.cncenter.cz/Online/mobilni-slide-up"/>
    <hyperlink ref="W321" r:id="rId697" display="https://reklama.cncenter.cz/Online/mobilni-vineta"/>
    <hyperlink ref="W322" r:id="rId698" display="https://reklama.cncenter.cz/Online/nativni-rectangle-cross-device"/>
    <hyperlink ref="W323" r:id="rId699" display="https://reklama.cncenter.cz/Online/Outstream"/>
    <hyperlink ref="W324" r:id="rId700" display="https://reklama.cncenter.cz/Online/Smarticle"/>
    <hyperlink ref="W325" r:id="rId701" display="https://reklama.cncenter.cz/Online/Bumper"/>
    <hyperlink ref="W326" r:id="rId702" display="https://reklama.cncenter.cz/Online/billboard-bottom"/>
    <hyperlink ref="W327" r:id="rId703" display="https://reklama.cncenter.cz/Online/branding-cross-device"/>
    <hyperlink ref="W328" r:id="rId704" display="https://reklama.cncenter.cz/Online/branding"/>
    <hyperlink ref="W329" r:id="rId705" display="https://reklama.cncenter.cz/Online/billboard-bottom"/>
    <hyperlink ref="W330" r:id="rId706" display="https://reklama.cncenter.cz/Online/branding-cross-device"/>
    <hyperlink ref="W331" r:id="rId707" display="https://reklama.cncenter.cz/Online/branding"/>
    <hyperlink ref="W332" r:id="rId708" display="https://reklama.cncenter.cz/Online/double-skyscraper"/>
    <hyperlink ref="W333" r:id="rId709" display="https://reklama.cncenter.cz/Online/Videospot"/>
    <hyperlink ref="W334" r:id="rId710" display="https://reklama.cncenter.cz/Online/mobilni-interscroller"/>
    <hyperlink ref="W335" r:id="rId711" display="https://reklama.cncenter.cz/Online/mobilni-slide-up"/>
    <hyperlink ref="W336" r:id="rId712" display="https://reklama.cncenter.cz/Online/mobilni-vineta"/>
    <hyperlink ref="W337" r:id="rId713" display="https://reklama.cncenter.cz/Online/nativni-rectangle-cross-device"/>
    <hyperlink ref="W338" r:id="rId714" display="https://reklama.cncenter.cz/Online/Outstream"/>
    <hyperlink ref="W339" r:id="rId715" display="https://reklama.cncenter.cz/Online/Smarticle"/>
    <hyperlink ref="W340" r:id="rId716" display="https://reklama.cncenter.cz/Online/Bumper"/>
    <hyperlink ref="W341" r:id="rId717" display="https://reklama.cncenter.cz/Online/double-skyscraper"/>
    <hyperlink ref="W342" r:id="rId718" display="https://reklama.cncenter.cz/Online/Videospot"/>
    <hyperlink ref="W343" r:id="rId719" display="https://reklama.cncenter.cz/Online/mobilni-interscroller"/>
    <hyperlink ref="W344" r:id="rId720" display="https://reklama.cncenter.cz/Online/mobilni-slide-up"/>
    <hyperlink ref="W345" r:id="rId721" display="https://reklama.cncenter.cz/Online/mobilni-vineta"/>
    <hyperlink ref="W346" r:id="rId722" display="https://reklama.cncenter.cz/Online/nativni-rectangle-cross-device"/>
    <hyperlink ref="W347" r:id="rId723" display="https://reklama.cncenter.cz/Online/Outstream"/>
    <hyperlink ref="W348" r:id="rId724" display="https://reklama.cncenter.cz/Online/Smarticle"/>
    <hyperlink ref="W349" r:id="rId725" display="https://reklama.cncenter.cz/Online/Bumper"/>
    <hyperlink ref="W350" r:id="rId726" display="https://reklama.cncenter.cz/Online/billboard-bottom"/>
    <hyperlink ref="W351" r:id="rId727" display="https://reklama.cncenter.cz/Online/branding-cross-device"/>
    <hyperlink ref="W352" r:id="rId728" display="https://reklama.cncenter.cz/Online/branding"/>
    <hyperlink ref="W353" r:id="rId729" display="https://reklama.cncenter.cz/Online/billboard-bottom"/>
    <hyperlink ref="W354" r:id="rId730" display="https://reklama.cncenter.cz/Online/branding-cross-device"/>
    <hyperlink ref="W355" r:id="rId731" display="https://reklama.cncenter.cz/Online/branding"/>
    <hyperlink ref="W356" r:id="rId732" display="https://reklama.cncenter.cz/Online/double-skyscraper"/>
    <hyperlink ref="W357" r:id="rId733" display="https://reklama.cncenter.cz/Online/Videospot"/>
    <hyperlink ref="W358" r:id="rId734" display="https://reklama.cncenter.cz/Online/mobilni-interscroller"/>
    <hyperlink ref="W359" r:id="rId735" display="https://reklama.cncenter.cz/Online/mobilni-slide-up"/>
    <hyperlink ref="W360" r:id="rId736" display="https://reklama.cncenter.cz/Online/mobilni-vineta"/>
    <hyperlink ref="W361" r:id="rId737" display="https://reklama.cncenter.cz/Online/nativni-rectangle-cross-device"/>
    <hyperlink ref="W362" r:id="rId738" display="https://reklama.cncenter.cz/Online/Outstream"/>
    <hyperlink ref="W363" r:id="rId739" display="https://reklama.cncenter.cz/Online/Smarticle"/>
    <hyperlink ref="W364" r:id="rId740" display="https://reklama.cncenter.cz/Online/Bumper"/>
    <hyperlink ref="W365" r:id="rId741" display="https://reklama.cncenter.cz/Online/double-skyscraper"/>
    <hyperlink ref="W366" r:id="rId742" display="https://reklama.cncenter.cz/Online/Videospot"/>
    <hyperlink ref="W367" r:id="rId743" display="https://reklama.cncenter.cz/Online/mobilni-interscroller"/>
    <hyperlink ref="W368" r:id="rId744" display="https://reklama.cncenter.cz/Online/mobilni-slide-up"/>
    <hyperlink ref="W369" r:id="rId745" display="https://reklama.cncenter.cz/Online/mobilni-vineta"/>
    <hyperlink ref="W370" r:id="rId746" display="https://reklama.cncenter.cz/Online/nativni-rectangle-cross-device"/>
    <hyperlink ref="W371" r:id="rId747" display="https://reklama.cncenter.cz/Online/Outstream"/>
    <hyperlink ref="W372" r:id="rId748" display="https://reklama.cncenter.cz/Online/Smarticle"/>
    <hyperlink ref="W373" r:id="rId749" display="https://reklama.cncenter.cz/Online/Bumper"/>
    <hyperlink ref="W374" r:id="rId750" display="https://reklama.cncenter.cz/Online/billboard-bottom"/>
    <hyperlink ref="W375" r:id="rId751" display="https://reklama.cncenter.cz/Online/branding-cross-device"/>
    <hyperlink ref="W376" r:id="rId752" display="https://reklama.cncenter.cz/Online/branding"/>
    <hyperlink ref="W377" r:id="rId753" display="https://reklama.cncenter.cz/Online/billboard-bottom"/>
    <hyperlink ref="W378" r:id="rId754" display="https://reklama.cncenter.cz/Online/branding-cross-device"/>
    <hyperlink ref="W379" r:id="rId755" display="https://reklama.cncenter.cz/Online/branding"/>
    <hyperlink ref="W380" r:id="rId756" display="https://reklama.cncenter.cz/Online/double-skyscraper"/>
    <hyperlink ref="W381" r:id="rId757" display="https://reklama.cncenter.cz/Online/Videospot"/>
    <hyperlink ref="W382" r:id="rId758" display="https://reklama.cncenter.cz/Online/mobilni-interscroller"/>
    <hyperlink ref="W383" r:id="rId759" display="https://reklama.cncenter.cz/Online/mobilni-slide-up"/>
    <hyperlink ref="W384" r:id="rId760" display="https://reklama.cncenter.cz/Online/mobilni-vineta"/>
    <hyperlink ref="W385" r:id="rId761" display="https://reklama.cncenter.cz/Online/nativni-rectangle-cross-device"/>
    <hyperlink ref="W386" r:id="rId762" display="https://reklama.cncenter.cz/Online/Outstream"/>
    <hyperlink ref="W387" r:id="rId763" display="https://reklama.cncenter.cz/Online/Smarticle"/>
    <hyperlink ref="W388" r:id="rId764" display="https://reklama.cncenter.cz/Online/Bumper"/>
    <hyperlink ref="W389" r:id="rId765" display="https://reklama.cncenter.cz/Online/double-skyscraper"/>
    <hyperlink ref="W390" r:id="rId766" display="https://reklama.cncenter.cz/Online/Videospot"/>
    <hyperlink ref="W391" r:id="rId767" display="https://reklama.cncenter.cz/Online/mobilni-interscroller"/>
    <hyperlink ref="W392" r:id="rId768" display="https://reklama.cncenter.cz/Online/mobilni-slide-up"/>
    <hyperlink ref="W393" r:id="rId769" display="https://reklama.cncenter.cz/Online/mobilni-vineta"/>
    <hyperlink ref="W394" r:id="rId770" display="https://reklama.cncenter.cz/Online/nativni-rectangle-cross-device"/>
    <hyperlink ref="W395" r:id="rId771" display="https://reklama.cncenter.cz/Online/Outstream"/>
    <hyperlink ref="W396" r:id="rId772" display="https://reklama.cncenter.cz/Online/Smarticle"/>
    <hyperlink ref="W397" r:id="rId773" display="https://reklama.cncenter.cz/Online/Bumper"/>
    <hyperlink ref="D398" r:id="rId774" display="https://digiarena.zive.cz/"/>
    <hyperlink ref="F398" r:id="rId775" display="https://digiarena.zive.cz/"/>
    <hyperlink ref="D399" r:id="rId776" display="https://digiarena.zive.cz/"/>
    <hyperlink ref="F399" r:id="rId777" display="https://digiarena.zive.cz/"/>
    <hyperlink ref="W399" r:id="rId778" display="https://reklama.cncenter.cz/Online/billboard-bottom"/>
    <hyperlink ref="D400" r:id="rId779" display="https://digiarena.zive.cz/"/>
    <hyperlink ref="F400" r:id="rId780" display="https://digiarena.zive.cz/"/>
    <hyperlink ref="W400" r:id="rId781" display="https://reklama.cncenter.cz/Online/branding-cross-device"/>
    <hyperlink ref="D401" r:id="rId782" display="https://digiarena.zive.cz/"/>
    <hyperlink ref="F401" r:id="rId783" display="https://digiarena.zive.cz/"/>
    <hyperlink ref="W401" r:id="rId784" display="https://reklama.cncenter.cz/Online/branding"/>
    <hyperlink ref="D402" r:id="rId785" display="https://digiarena.zive.cz/"/>
    <hyperlink ref="F402" r:id="rId786" display="https://digiarena.zive.cz/"/>
    <hyperlink ref="W402" r:id="rId787" display="https://reklama.cncenter.cz/Online/billboard-bottom"/>
    <hyperlink ref="D403" r:id="rId788" display="https://digiarena.zive.cz/"/>
    <hyperlink ref="F403" r:id="rId789" display="https://digiarena.zive.cz/"/>
    <hyperlink ref="W403" r:id="rId790" display="https://reklama.cncenter.cz/Online/branding-cross-device"/>
    <hyperlink ref="D404" r:id="rId791" display="https://digiarena.zive.cz/"/>
    <hyperlink ref="F404" r:id="rId792" display="https://digiarena.zive.cz/"/>
    <hyperlink ref="W404" r:id="rId793" display="https://reklama.cncenter.cz/Online/branding"/>
    <hyperlink ref="D405" r:id="rId794" display="https://digiarena.zive.cz/"/>
    <hyperlink ref="F405" r:id="rId795" display="https://digiarena.zive.cz/"/>
    <hyperlink ref="W405" r:id="rId796" display="https://reklama.cncenter.cz/Online/double-skyscraper"/>
    <hyperlink ref="D406" r:id="rId797" display="https://digiarena.zive.cz/"/>
    <hyperlink ref="F406" r:id="rId798" display="https://digiarena.zive.cz/"/>
    <hyperlink ref="W406" r:id="rId799" display="https://reklama.cncenter.cz/Online/mobilni-interscroller"/>
    <hyperlink ref="D407" r:id="rId800" display="https://digiarena.zive.cz/"/>
    <hyperlink ref="F407" r:id="rId801" display="https://digiarena.zive.cz/"/>
    <hyperlink ref="W407" r:id="rId802" display="https://reklama.cncenter.cz/Online/mobilni-slide-up"/>
    <hyperlink ref="D408" r:id="rId803" display="https://digiarena.zive.cz/"/>
    <hyperlink ref="F408" r:id="rId804" display="https://digiarena.zive.cz/"/>
    <hyperlink ref="W408" r:id="rId805" display="https://reklama.cncenter.cz/Online/mobilni-vineta"/>
    <hyperlink ref="D409" r:id="rId806" display="https://digiarena.zive.cz/"/>
    <hyperlink ref="F409" r:id="rId807" display="https://digiarena.zive.cz/"/>
    <hyperlink ref="W409" r:id="rId808" display="https://reklama.cncenter.cz/Online/nativni-rectangle-cross-device"/>
    <hyperlink ref="D410" r:id="rId809" display="https://digiarena.zive.cz/"/>
    <hyperlink ref="F410" r:id="rId810" display="https://digiarena.zive.cz/"/>
    <hyperlink ref="W410" r:id="rId811" display="https://reklama.cncenter.cz/Online/Outstream"/>
    <hyperlink ref="D411" r:id="rId812" display="https://digiarena.zive.cz/"/>
    <hyperlink ref="F411" r:id="rId813" display="https://digiarena.zive.cz/"/>
    <hyperlink ref="D412" r:id="rId814" display="https://digiarena.zive.cz/"/>
    <hyperlink ref="F412" r:id="rId815" display="https://digiarena.zive.cz/"/>
    <hyperlink ref="W412" r:id="rId816" display="https://reklama.cncenter.cz/Online/double-skyscraper"/>
    <hyperlink ref="D413" r:id="rId817" display="https://digiarena.zive.cz/"/>
    <hyperlink ref="F413" r:id="rId818" display="https://digiarena.zive.cz/"/>
    <hyperlink ref="W413" r:id="rId819" display="https://reklama.cncenter.cz/Online/mobilni-interscroller"/>
    <hyperlink ref="D414" r:id="rId820" display="https://digiarena.zive.cz/"/>
    <hyperlink ref="F414" r:id="rId821" display="https://digiarena.zive.cz/"/>
    <hyperlink ref="W414" r:id="rId822" display="https://reklama.cncenter.cz/Online/mobilni-slide-up"/>
    <hyperlink ref="D415" r:id="rId823" display="https://digiarena.zive.cz/"/>
    <hyperlink ref="F415" r:id="rId824" display="https://digiarena.zive.cz/"/>
    <hyperlink ref="W415" r:id="rId825" display="https://reklama.cncenter.cz/Online/mobilni-vineta"/>
    <hyperlink ref="D416" r:id="rId826" display="https://digiarena.zive.cz/"/>
    <hyperlink ref="F416" r:id="rId827" display="https://digiarena.zive.cz/"/>
    <hyperlink ref="D417" r:id="rId828" display="https://digiarena.zive.cz/"/>
    <hyperlink ref="F417" r:id="rId829" display="https://digiarena.zive.cz/"/>
    <hyperlink ref="W417" r:id="rId830" display="https://reklama.cncenter.cz/Online/nativni-rectangle-cross-device"/>
    <hyperlink ref="D418" r:id="rId831" display="https://digiarena.zive.cz/"/>
    <hyperlink ref="F418" r:id="rId832" display="https://digiarena.zive.cz/"/>
    <hyperlink ref="W418" r:id="rId833" display="https://reklama.cncenter.cz/Online/Outstream"/>
    <hyperlink ref="D419" r:id="rId834" display="https://digiarena.zive.cz/"/>
    <hyperlink ref="F419" r:id="rId835" display="https://digiarena.zive.cz/"/>
    <hyperlink ref="W419" r:id="rId836" display="https://reklama.cncenter.cz/?ads=PR%2520%25C4%258Dl%25C3%25A1nky"/>
    <hyperlink ref="D420" r:id="rId837" display="https://digiarena.zive.cz/"/>
    <hyperlink ref="F420" r:id="rId838" display="https://digiarena.zive.cz/"/>
    <hyperlink ref="D421" r:id="rId839" display="https://digiarena.zive.cz/"/>
    <hyperlink ref="F421" r:id="rId840" display="https://digiarena.zive.cz/"/>
    <hyperlink ref="D422" r:id="rId841" display="https://digiarena.zive.cz/"/>
    <hyperlink ref="F422" r:id="rId842" display="https://digiarena.zive.cz/"/>
    <hyperlink ref="D423" r:id="rId843" display="https://doupe.zive.cz/"/>
    <hyperlink ref="F423" r:id="rId844" display="https://doupe.zive.cz/"/>
    <hyperlink ref="D424" r:id="rId845" display="https://doupe.zive.cz/"/>
    <hyperlink ref="F424" r:id="rId846" display="https://doupe.zive.cz/"/>
    <hyperlink ref="W424" r:id="rId847" display="https://reklama.cncenter.cz/Online/billboard-bottom"/>
    <hyperlink ref="D425" r:id="rId848" display="https://doupe.zive.cz/"/>
    <hyperlink ref="F425" r:id="rId849" display="https://doupe.zive.cz/"/>
    <hyperlink ref="W425" r:id="rId850" display="https://reklama.cncenter.cz/Online/branding-cross-device"/>
    <hyperlink ref="D426" r:id="rId851" display="https://doupe.zive.cz/"/>
    <hyperlink ref="F426" r:id="rId852" display="https://doupe.zive.cz/"/>
    <hyperlink ref="W426" r:id="rId853" display="https://reklama.cncenter.cz/Online/branding"/>
    <hyperlink ref="D427" r:id="rId854" display="https://doupe.zive.cz/"/>
    <hyperlink ref="F427" r:id="rId855" display="https://doupe.zive.cz/"/>
    <hyperlink ref="W427" r:id="rId856" display="https://reklama.cncenter.cz/Online/billboard-bottom"/>
    <hyperlink ref="D428" r:id="rId857" display="https://doupe.zive.cz/"/>
    <hyperlink ref="F428" r:id="rId858" display="https://doupe.zive.cz/"/>
    <hyperlink ref="W428" r:id="rId859" display="https://reklama.cncenter.cz/Online/branding-cross-device"/>
    <hyperlink ref="D429" r:id="rId860" display="https://doupe.zive.cz/"/>
    <hyperlink ref="F429" r:id="rId861" display="https://doupe.zive.cz/"/>
    <hyperlink ref="W429" r:id="rId862" display="https://reklama.cncenter.cz/Online/branding"/>
    <hyperlink ref="D430" r:id="rId863" display="https://doupe.zive.cz/"/>
    <hyperlink ref="F430" r:id="rId864" display="https://doupe.zive.cz/"/>
    <hyperlink ref="W430" r:id="rId865" display="https://reklama.cncenter.cz/Online/double-skyscraper"/>
    <hyperlink ref="D431" r:id="rId866" display="https://doupe.zive.cz/"/>
    <hyperlink ref="F431" r:id="rId867" display="https://doupe.zive.cz/"/>
    <hyperlink ref="W431" r:id="rId868" display="https://reklama.cncenter.cz/Online/mobilni-interscroller"/>
    <hyperlink ref="D432" r:id="rId869" display="https://doupe.zive.cz/"/>
    <hyperlink ref="F432" r:id="rId870" display="https://doupe.zive.cz/"/>
    <hyperlink ref="W432" r:id="rId871" display="https://reklama.cncenter.cz/Online/mobilni-slide-up"/>
    <hyperlink ref="D433" r:id="rId872" display="https://doupe.zive.cz/"/>
    <hyperlink ref="F433" r:id="rId873" display="https://doupe.zive.cz/"/>
    <hyperlink ref="W433" r:id="rId874" display="https://reklama.cncenter.cz/Online/mobilni-vineta"/>
    <hyperlink ref="D434" r:id="rId875" display="https://doupe.zive.cz/"/>
    <hyperlink ref="F434" r:id="rId876" display="https://doupe.zive.cz/"/>
    <hyperlink ref="W434" r:id="rId877" display="https://reklama.cncenter.cz/Online/nativni-rectangle-cross-device"/>
    <hyperlink ref="D435" r:id="rId878" display="https://doupe.zive.cz/"/>
    <hyperlink ref="F435" r:id="rId879" display="https://doupe.zive.cz/"/>
    <hyperlink ref="W435" r:id="rId880" display="https://reklama.cncenter.cz/Online/Outstream"/>
    <hyperlink ref="D436" r:id="rId881" display="https://doupe.zive.cz/"/>
    <hyperlink ref="F436" r:id="rId882" display="https://doupe.zive.cz/"/>
    <hyperlink ref="D437" r:id="rId883" display="https://doupe.zive.cz/"/>
    <hyperlink ref="F437" r:id="rId884" display="https://doupe.zive.cz/"/>
    <hyperlink ref="W437" r:id="rId885" display="https://reklama.cncenter.cz/Online/double-skyscraper"/>
    <hyperlink ref="D438" r:id="rId886" display="https://doupe.zive.cz/"/>
    <hyperlink ref="F438" r:id="rId887" display="https://doupe.zive.cz/"/>
    <hyperlink ref="W438" r:id="rId888" display="https://reklama.cncenter.cz/Online/mobilni-interscroller"/>
    <hyperlink ref="D439" r:id="rId889" display="https://doupe.zive.cz/"/>
    <hyperlink ref="F439" r:id="rId890" display="https://doupe.zive.cz/"/>
    <hyperlink ref="W439" r:id="rId891" display="https://reklama.cncenter.cz/Online/mobilni-slide-up"/>
    <hyperlink ref="D440" r:id="rId892" display="https://doupe.zive.cz/"/>
    <hyperlink ref="F440" r:id="rId893" display="https://doupe.zive.cz/"/>
    <hyperlink ref="W440" r:id="rId894" display="https://reklama.cncenter.cz/Online/mobilni-vineta"/>
    <hyperlink ref="D441" r:id="rId895" display="https://doupe.zive.cz/"/>
    <hyperlink ref="F441" r:id="rId896" display="https://doupe.zive.cz/"/>
    <hyperlink ref="D442" r:id="rId897" display="https://doupe.zive.cz/"/>
    <hyperlink ref="F442" r:id="rId898" display="https://doupe.zive.cz/"/>
    <hyperlink ref="W442" r:id="rId899" display="https://reklama.cncenter.cz/Online/nativni-rectangle-cross-device"/>
    <hyperlink ref="D443" r:id="rId900" display="https://doupe.zive.cz/"/>
    <hyperlink ref="F443" r:id="rId901" display="https://doupe.zive.cz/"/>
    <hyperlink ref="W443" r:id="rId902" display="https://reklama.cncenter.cz/Online/Outstream"/>
    <hyperlink ref="D444" r:id="rId903" display="https://doupe.zive.cz/"/>
    <hyperlink ref="F444" r:id="rId904" display="https://doupe.zive.cz/"/>
    <hyperlink ref="W444" r:id="rId905" display="https://reklama.cncenter.cz/?ads=PR%2520%25C4%258Dl%25C3%25A1nky"/>
    <hyperlink ref="D445" r:id="rId906" display="https://doupe.zive.cz/"/>
    <hyperlink ref="F445" r:id="rId907" display="https://doupe.zive.cz/"/>
    <hyperlink ref="D446" r:id="rId908" display="https://doupe.zive.cz/"/>
    <hyperlink ref="F446" r:id="rId909" display="https://doupe.zive.cz/"/>
    <hyperlink ref="D447" r:id="rId910" display="https://doupe.zive.cz/"/>
    <hyperlink ref="F447" r:id="rId911" display="https://doupe.zive.cz/"/>
    <hyperlink ref="D448" r:id="rId912" display="https://dama.cz/"/>
    <hyperlink ref="F448" r:id="rId913" display="https://dama.cz/"/>
    <hyperlink ref="D449" r:id="rId914" display="https://dama.cz/"/>
    <hyperlink ref="F449" r:id="rId915" display="https://dama.cz/"/>
    <hyperlink ref="W449" r:id="rId916" display="https://reklama.cncenter.cz/Online/billboard-bottom"/>
    <hyperlink ref="D450" r:id="rId917" display="https://dama.cz/"/>
    <hyperlink ref="F450" r:id="rId918" display="https://dama.cz/"/>
    <hyperlink ref="W450" r:id="rId919" display="https://reklama.cncenter.cz/Online/branding-cross-device"/>
    <hyperlink ref="D451" r:id="rId920" display="https://dama.cz/"/>
    <hyperlink ref="F451" r:id="rId921" display="https://dama.cz/"/>
    <hyperlink ref="W451" r:id="rId922" display="https://reklama.cncenter.cz/Online/branding"/>
    <hyperlink ref="D452" r:id="rId923" display="https://dama.cz/"/>
    <hyperlink ref="F452" r:id="rId924" display="https://dama.cz/"/>
    <hyperlink ref="W452" r:id="rId925" display="https://reklama.cncenter.cz/Online/billboard-bottom"/>
    <hyperlink ref="D453" r:id="rId926" display="https://dama.cz/"/>
    <hyperlink ref="F453" r:id="rId927" display="https://dama.cz/"/>
    <hyperlink ref="W453" r:id="rId928" display="https://reklama.cncenter.cz/Online/branding-cross-device"/>
    <hyperlink ref="D454" r:id="rId929" display="https://dama.cz/"/>
    <hyperlink ref="F454" r:id="rId930" display="https://dama.cz/"/>
    <hyperlink ref="W454" r:id="rId931" display="https://reklama.cncenter.cz/Online/branding"/>
    <hyperlink ref="D455" r:id="rId932" display="https://dama.cz/"/>
    <hyperlink ref="F455" r:id="rId933" display="https://dama.cz/"/>
    <hyperlink ref="W455" r:id="rId934" display="https://reklama.cncenter.cz/Online/double-skyscraper"/>
    <hyperlink ref="D456" r:id="rId935" display="https://dama.cz/"/>
    <hyperlink ref="F456" r:id="rId936" display="https://dama.cz/"/>
    <hyperlink ref="W456" r:id="rId937" display="https://reklama.cncenter.cz/Online/Videospot"/>
    <hyperlink ref="D457" r:id="rId938" display="https://dama.cz/"/>
    <hyperlink ref="F457" r:id="rId939" display="https://dama.cz/"/>
    <hyperlink ref="W457" r:id="rId940" display="https://reklama.cncenter.cz/Online/mobilni-interscroller"/>
    <hyperlink ref="D458" r:id="rId941" display="https://dama.cz/"/>
    <hyperlink ref="F458" r:id="rId942" display="https://dama.cz/"/>
    <hyperlink ref="W458" r:id="rId943" display="https://reklama.cncenter.cz/Online/mobilni-slide-up"/>
    <hyperlink ref="D459" r:id="rId944" display="https://dama.cz/"/>
    <hyperlink ref="F459" r:id="rId945" display="https://dama.cz/"/>
    <hyperlink ref="W459" r:id="rId946" display="https://reklama.cncenter.cz/Online/mobilni-vineta"/>
    <hyperlink ref="D460" r:id="rId947" display="https://dama.cz/"/>
    <hyperlink ref="F460" r:id="rId948" display="https://dama.cz/"/>
    <hyperlink ref="W460" r:id="rId949" display="https://reklama.cncenter.cz/Online/nativni-PR-premium"/>
    <hyperlink ref="D461" r:id="rId950" display="https://dama.cz/"/>
    <hyperlink ref="F461" r:id="rId951" display="https://dama.cz/"/>
    <hyperlink ref="W461" r:id="rId952" display="https://reklama.cncenter.cz/Online/nativni-rectangle-cross-device"/>
    <hyperlink ref="D462" r:id="rId953" display="https://dama.cz/"/>
    <hyperlink ref="F462" r:id="rId954" display="https://dama.cz/"/>
    <hyperlink ref="W462" r:id="rId955" display="https://reklama.cncenter.cz/Online/Outstream"/>
    <hyperlink ref="D463" r:id="rId956" display="https://dama.cz/"/>
    <hyperlink ref="F463" r:id="rId957" display="https://dama.cz/"/>
    <hyperlink ref="W463" r:id="rId958" display="https://reklama.cncenter.cz/Online/Bumper"/>
    <hyperlink ref="D464" r:id="rId959" display="https://dama.cz/"/>
    <hyperlink ref="F464" r:id="rId960" display="https://dama.cz/"/>
    <hyperlink ref="D465" r:id="rId961" display="https://dama.cz/"/>
    <hyperlink ref="F465" r:id="rId962" display="https://dama.cz/"/>
    <hyperlink ref="W465" r:id="rId963" display="https://reklama.cncenter.cz/Online/double-skyscraper"/>
    <hyperlink ref="D466" r:id="rId964" display="https://dama.cz/"/>
    <hyperlink ref="F466" r:id="rId965" display="https://dama.cz/"/>
    <hyperlink ref="W466" r:id="rId966" display="https://reklama.cncenter.cz/Online/Videospot"/>
    <hyperlink ref="D467" r:id="rId967" display="https://dama.cz/"/>
    <hyperlink ref="F467" r:id="rId968" display="https://dama.cz/"/>
    <hyperlink ref="W467" r:id="rId969" display="https://reklama.cncenter.cz/Online/mobilni-interscroller"/>
    <hyperlink ref="D468" r:id="rId970" display="https://dama.cz/"/>
    <hyperlink ref="F468" r:id="rId971" display="https://dama.cz/"/>
    <hyperlink ref="W468" r:id="rId972" display="https://reklama.cncenter.cz/Online/mobilni-slide-up"/>
    <hyperlink ref="D469" r:id="rId973" display="https://dama.cz/"/>
    <hyperlink ref="F469" r:id="rId974" display="https://dama.cz/"/>
    <hyperlink ref="W469" r:id="rId975" display="https://reklama.cncenter.cz/Online/mobilni-vineta"/>
    <hyperlink ref="D470" r:id="rId976" display="https://dama.cz/"/>
    <hyperlink ref="F470" r:id="rId977" display="https://dama.cz/"/>
    <hyperlink ref="D471" r:id="rId978" display="https://dama.cz/"/>
    <hyperlink ref="F471" r:id="rId979" display="https://dama.cz/"/>
    <hyperlink ref="W471" r:id="rId980" display="https://reklama.cncenter.cz/Online/nativni-PR-premium"/>
    <hyperlink ref="D472" r:id="rId981" display="https://dama.cz/"/>
    <hyperlink ref="F472" r:id="rId982" display="https://dama.cz/"/>
    <hyperlink ref="W472" r:id="rId983" display="https://reklama.cncenter.cz/Online/nativni-rectangle-cross-device"/>
    <hyperlink ref="D473" r:id="rId984" display="https://dama.cz/"/>
    <hyperlink ref="F473" r:id="rId985" display="https://dama.cz/"/>
    <hyperlink ref="W473" r:id="rId986" display="https://reklama.cncenter.cz/Online/Outstream"/>
    <hyperlink ref="D474" r:id="rId987" display="https://dama.cz/"/>
    <hyperlink ref="F474" r:id="rId988" display="https://dama.cz/"/>
    <hyperlink ref="W474" r:id="rId989" display="https://reklama.cncenter.cz/?ads=PR%2520%25C4%258Dl%25C3%25A1nky"/>
    <hyperlink ref="D475" r:id="rId990" display="https://dama.cz/"/>
    <hyperlink ref="F475" r:id="rId991" display="https://dama.cz/"/>
    <hyperlink ref="D476" r:id="rId992" display="https://dama.cz/"/>
    <hyperlink ref="F476" r:id="rId993" display="https://dama.cz/"/>
    <hyperlink ref="D477" r:id="rId994" display="https://dama.cz/"/>
    <hyperlink ref="F477" r:id="rId995" display="https://dama.cz/"/>
    <hyperlink ref="D478" r:id="rId996" display="https://dama.cz/"/>
    <hyperlink ref="F478" r:id="rId997" display="https://dama.cz/"/>
    <hyperlink ref="W478" r:id="rId998" display="https://reklama.cncenter.cz/Online/Bumper"/>
    <hyperlink ref="W480" r:id="rId999" display="https://reklama.cncenter.cz/Online/billboard-bottom"/>
    <hyperlink ref="W481" r:id="rId1000" display="https://reklama.cncenter.cz/Online/branding-cross-device"/>
    <hyperlink ref="W482" r:id="rId1001" display="https://reklama.cncenter.cz/Online/branding"/>
    <hyperlink ref="W483" r:id="rId1002" display="https://reklama.cncenter.cz/Online/billboard-bottom"/>
    <hyperlink ref="W484" r:id="rId1003" display="https://reklama.cncenter.cz/Online/branding-cross-device"/>
    <hyperlink ref="W485" r:id="rId1004" display="https://reklama.cncenter.cz/Online/branding"/>
    <hyperlink ref="W486" r:id="rId1005" display="https://reklama.cncenter.cz/Online/double-skyscraper"/>
    <hyperlink ref="W487" r:id="rId1006" display="https://reklama.cncenter.cz/Online/Videospot"/>
    <hyperlink ref="W488" r:id="rId1007" display="https://reklama.cncenter.cz/Online/mobilni-interscroller"/>
    <hyperlink ref="W489" r:id="rId1008" display="https://reklama.cncenter.cz/Online/mobilni-slide-up"/>
    <hyperlink ref="W490" r:id="rId1009" display="https://reklama.cncenter.cz/Online/mobilni-vineta"/>
    <hyperlink ref="W491" r:id="rId1010" display="https://reklama.cncenter.cz/Online/nativni-rectangle-cross-device"/>
    <hyperlink ref="W492" r:id="rId1011" display="https://reklama.cncenter.cz/Online/Outstream"/>
    <hyperlink ref="W493" r:id="rId1012" display="https://reklama.cncenter.cz/Online/Bumper"/>
    <hyperlink ref="W495" r:id="rId1013" display="https://reklama.cncenter.cz/Online/double-skyscraper"/>
    <hyperlink ref="W496" r:id="rId1014" display="https://reklama.cncenter.cz/Online/Videospot"/>
    <hyperlink ref="W497" r:id="rId1015" display="https://reklama.cncenter.cz/Online/mobilni-interscroller"/>
    <hyperlink ref="W498" r:id="rId1016" display="https://reklama.cncenter.cz/Online/mobilni-slide-up"/>
    <hyperlink ref="W499" r:id="rId1017" display="https://reklama.cncenter.cz/Online/mobilni-vineta"/>
    <hyperlink ref="W501" r:id="rId1018" display="https://reklama.cncenter.cz/Online/nativni-rectangle-cross-device"/>
    <hyperlink ref="W502" r:id="rId1019" display="https://reklama.cncenter.cz/Online/Outstream"/>
    <hyperlink ref="W504" r:id="rId1020" display="https://reklama.cncenter.cz/?ads=PR%2520%25C4%258Dl%25C3%25A1nky"/>
    <hyperlink ref="W508" r:id="rId1021" display="https://reklama.cncenter.cz/Online/Bumper"/>
    <hyperlink ref="D509" r:id="rId1022" display="https://evropa2.cz/"/>
    <hyperlink ref="F509" r:id="rId1023" display="https://evropa2.cz/"/>
    <hyperlink ref="W509" r:id="rId1024" display="https://reklama.cncenter.cz/Online/branding-cross-device"/>
    <hyperlink ref="D510" r:id="rId1025" display="https://evropa2.cz/"/>
    <hyperlink ref="F510" r:id="rId1026" display="https://evropa2.cz/"/>
    <hyperlink ref="W510" r:id="rId1027" display="https://reklama.cncenter.cz/Online/branding"/>
    <hyperlink ref="D511" r:id="rId1028" display="https://evropa2.cz/"/>
    <hyperlink ref="F511" r:id="rId1029" display="https://evropa2.cz/"/>
    <hyperlink ref="W511" r:id="rId1030" display="https://reklama.cncenter.cz/Online/branding-cross-device"/>
    <hyperlink ref="D512" r:id="rId1031" display="https://evropa2.cz/"/>
    <hyperlink ref="F512" r:id="rId1032" display="https://evropa2.cz/"/>
    <hyperlink ref="W512" r:id="rId1033" display="https://reklama.cncenter.cz/Online/branding"/>
    <hyperlink ref="D513" r:id="rId1034" display="https://evropa2.cz/"/>
    <hyperlink ref="F513" r:id="rId1035" display="https://evropa2.cz/"/>
    <hyperlink ref="W513" r:id="rId1036" display="https://reklama.cncenter.cz/Online/double-skyscraper"/>
    <hyperlink ref="D514" r:id="rId1037" display="https://evropa2.cz/"/>
    <hyperlink ref="F514" r:id="rId1038" display="https://evropa2.cz/"/>
    <hyperlink ref="W514" r:id="rId1039" display="https://reklama.cncenter.cz/Online/Videospot"/>
    <hyperlink ref="D515" r:id="rId1040" display="https://evropa2.cz/"/>
    <hyperlink ref="F515" r:id="rId1041" display="https://evropa2.cz/"/>
    <hyperlink ref="W515" r:id="rId1042" display="https://reklama.cncenter.cz/Online/mobilni-interscroller"/>
    <hyperlink ref="D516" r:id="rId1043" display="https://evropa2.cz/"/>
    <hyperlink ref="F516" r:id="rId1044" display="https://evropa2.cz/"/>
    <hyperlink ref="W516" r:id="rId1045" display="https://reklama.cncenter.cz/Online/mobilni-slide-up"/>
    <hyperlink ref="D517" r:id="rId1046" display="https://evropa2.cz/"/>
    <hyperlink ref="F517" r:id="rId1047" display="https://evropa2.cz/"/>
    <hyperlink ref="W517" r:id="rId1048" display="https://reklama.cncenter.cz/Online/mobilni-vineta"/>
    <hyperlink ref="D518" r:id="rId1049" display="https://evropa2.cz/"/>
    <hyperlink ref="F518" r:id="rId1050" display="https://evropa2.cz/"/>
    <hyperlink ref="W518" r:id="rId1051" display="https://reklama.cncenter.cz/Online/nativni-rectangle-cross-device"/>
    <hyperlink ref="D519" r:id="rId1052" display="https://evropa2.cz/"/>
    <hyperlink ref="F519" r:id="rId1053" display="https://evropa2.cz/"/>
    <hyperlink ref="W519" r:id="rId1054" display="https://reklama.cncenter.cz/Online/Bumper"/>
    <hyperlink ref="D520" r:id="rId1055" display="https://evropa2.cz/"/>
    <hyperlink ref="F520" r:id="rId1056" display="https://evropa2.cz/"/>
    <hyperlink ref="W520" r:id="rId1057" display="https://reklama.cncenter.cz/Online/double-skyscraper"/>
    <hyperlink ref="D521" r:id="rId1058" display="https://evropa2.cz/"/>
    <hyperlink ref="F521" r:id="rId1059" display="https://evropa2.cz/"/>
    <hyperlink ref="W521" r:id="rId1060" display="https://reklama.cncenter.cz/Online/Videospot"/>
    <hyperlink ref="D522" r:id="rId1061" display="https://evropa2.cz/"/>
    <hyperlink ref="F522" r:id="rId1062" display="https://evropa2.cz/"/>
    <hyperlink ref="W522" r:id="rId1063" display="https://reklama.cncenter.cz/Online/mobilni-interscroller"/>
    <hyperlink ref="D523" r:id="rId1064" display="https://evropa2.cz/"/>
    <hyperlink ref="F523" r:id="rId1065" display="https://evropa2.cz/"/>
    <hyperlink ref="W523" r:id="rId1066" display="https://reklama.cncenter.cz/Online/mobilni-slide-up"/>
    <hyperlink ref="D524" r:id="rId1067" display="https://evropa2.cz/"/>
    <hyperlink ref="F524" r:id="rId1068" display="https://evropa2.cz/"/>
    <hyperlink ref="W524" r:id="rId1069" display="https://reklama.cncenter.cz/Online/mobilni-vineta"/>
    <hyperlink ref="D525" r:id="rId1070" display="https://evropa2.cz/"/>
    <hyperlink ref="F525" r:id="rId1071" display="https://evropa2.cz/"/>
    <hyperlink ref="W525" r:id="rId1072" display="https://reklama.cncenter.cz/Online/nativni-rectangle-cross-device"/>
    <hyperlink ref="D526" r:id="rId1073" display="https://evropa2.cz/"/>
    <hyperlink ref="F526" r:id="rId1074" display="https://evropa2.cz/"/>
    <hyperlink ref="W526" r:id="rId1075" display="https://reklama.cncenter.cz/Online/Bumper"/>
    <hyperlink ref="D527" r:id="rId1076" display="https://f1sport.auto.cz/"/>
    <hyperlink ref="F527" r:id="rId1077" display="https://f1sport.auto.cz/"/>
    <hyperlink ref="D528" r:id="rId1078" display="https://f1sport.auto.cz/"/>
    <hyperlink ref="F528" r:id="rId1079" display="https://f1sport.auto.cz/"/>
    <hyperlink ref="W528" r:id="rId1080" display="https://reklama.cncenter.cz/Online/billboard-bottom"/>
    <hyperlink ref="D529" r:id="rId1081" display="https://f1sport.auto.cz/"/>
    <hyperlink ref="F529" r:id="rId1082" display="https://f1sport.auto.cz/"/>
    <hyperlink ref="W529" r:id="rId1083" display="https://reklama.cncenter.cz/Online/branding-cross-device"/>
    <hyperlink ref="D530" r:id="rId1084" display="https://f1sport.auto.cz/"/>
    <hyperlink ref="F530" r:id="rId1085" display="https://f1sport.auto.cz/"/>
    <hyperlink ref="W530" r:id="rId1086" display="https://reklama.cncenter.cz/Online/branding"/>
    <hyperlink ref="D531" r:id="rId1087" display="https://f1sport.auto.cz/"/>
    <hyperlink ref="F531" r:id="rId1088" display="https://f1sport.auto.cz/"/>
    <hyperlink ref="W531" r:id="rId1089" display="https://reklama.cncenter.cz/Online/billboard-bottom"/>
    <hyperlink ref="D532" r:id="rId1090" display="https://f1sport.auto.cz/"/>
    <hyperlink ref="F532" r:id="rId1091" display="https://f1sport.auto.cz/"/>
    <hyperlink ref="W532" r:id="rId1092" display="https://reklama.cncenter.cz/Online/branding-cross-device"/>
    <hyperlink ref="D533" r:id="rId1093" display="https://f1sport.auto.cz/"/>
    <hyperlink ref="F533" r:id="rId1094" display="https://f1sport.auto.cz/"/>
    <hyperlink ref="W533" r:id="rId1095" display="https://reklama.cncenter.cz/Online/branding"/>
    <hyperlink ref="D534" r:id="rId1096" display="https://f1sport.auto.cz/"/>
    <hyperlink ref="F534" r:id="rId1097" display="https://f1sport.auto.cz/"/>
    <hyperlink ref="W534" r:id="rId1098" display="https://reklama.cncenter.cz/Online/double-skyscraper"/>
    <hyperlink ref="D535" r:id="rId1099" display="https://f1sport.auto.cz/"/>
    <hyperlink ref="F535" r:id="rId1100" display="https://f1sport.auto.cz/"/>
    <hyperlink ref="W535" r:id="rId1101" display="https://reklama.cncenter.cz/Online/mobilni-interscroller"/>
    <hyperlink ref="D536" r:id="rId1102" display="https://f1sport.auto.cz/"/>
    <hyperlink ref="F536" r:id="rId1103" display="https://f1sport.auto.cz/"/>
    <hyperlink ref="W536" r:id="rId1104" display="https://reklama.cncenter.cz/Online/mobilni-slide-up"/>
    <hyperlink ref="D537" r:id="rId1105" display="https://f1sport.auto.cz/"/>
    <hyperlink ref="F537" r:id="rId1106" display="https://f1sport.auto.cz/"/>
    <hyperlink ref="W537" r:id="rId1107" display="https://reklama.cncenter.cz/Online/mobilni-vineta"/>
    <hyperlink ref="D538" r:id="rId1108" display="https://f1sport.auto.cz/"/>
    <hyperlink ref="F538" r:id="rId1109" display="https://f1sport.auto.cz/"/>
    <hyperlink ref="W538" r:id="rId1110" display="https://reklama.cncenter.cz/Online/nativni-rectangle-cross-device"/>
    <hyperlink ref="D539" r:id="rId1111" display="https://f1sport.auto.cz/"/>
    <hyperlink ref="F539" r:id="rId1112" display="https://f1sport.auto.cz/"/>
    <hyperlink ref="W539" r:id="rId1113" display="https://reklama.cncenter.cz/Online/Outstream"/>
    <hyperlink ref="D540" r:id="rId1114" display="https://f1sport.auto.cz/"/>
    <hyperlink ref="F540" r:id="rId1115" display="https://f1sport.auto.cz/"/>
    <hyperlink ref="D541" r:id="rId1116" display="https://f1sport.auto.cz/"/>
    <hyperlink ref="F541" r:id="rId1117" display="https://f1sport.auto.cz/"/>
    <hyperlink ref="W541" r:id="rId1118" display="https://reklama.cncenter.cz/Online/double-skyscraper"/>
    <hyperlink ref="D542" r:id="rId1119" display="https://f1sport.auto.cz/"/>
    <hyperlink ref="F542" r:id="rId1120" display="https://f1sport.auto.cz/"/>
    <hyperlink ref="W542" r:id="rId1121" display="https://reklama.cncenter.cz/Online/mobilni-interscroller"/>
    <hyperlink ref="D543" r:id="rId1122" display="https://f1sport.auto.cz/"/>
    <hyperlink ref="F543" r:id="rId1123" display="https://f1sport.auto.cz/"/>
    <hyperlink ref="W543" r:id="rId1124" display="https://reklama.cncenter.cz/Online/mobilni-slide-up"/>
    <hyperlink ref="D544" r:id="rId1125" display="https://f1sport.auto.cz/"/>
    <hyperlink ref="F544" r:id="rId1126" display="https://f1sport.auto.cz/"/>
    <hyperlink ref="W544" r:id="rId1127" display="https://reklama.cncenter.cz/Online/mobilni-vineta"/>
    <hyperlink ref="D545" r:id="rId1128" display="https://f1sport.auto.cz/"/>
    <hyperlink ref="F545" r:id="rId1129" display="https://f1sport.auto.cz/"/>
    <hyperlink ref="D546" r:id="rId1130" display="https://f1sport.auto.cz/"/>
    <hyperlink ref="F546" r:id="rId1131" display="https://f1sport.auto.cz/"/>
    <hyperlink ref="W546" r:id="rId1132" display="https://reklama.cncenter.cz/Online/nativni-rectangle-cross-device"/>
    <hyperlink ref="D547" r:id="rId1133" display="https://f1sport.auto.cz/"/>
    <hyperlink ref="F547" r:id="rId1134" display="https://f1sport.auto.cz/"/>
    <hyperlink ref="W547" r:id="rId1135" display="https://reklama.cncenter.cz/Online/Outstream"/>
    <hyperlink ref="D548" r:id="rId1136" display="https://f1sport.auto.cz/"/>
    <hyperlink ref="F548" r:id="rId1137" display="https://f1sport.auto.cz/"/>
    <hyperlink ref="W548" r:id="rId1138" display="https://reklama.cncenter.cz/?ads=PR%2520%25C4%258Dl%25C3%25A1nky"/>
    <hyperlink ref="D549" r:id="rId1139" display="https://f1sport.auto.cz/"/>
    <hyperlink ref="F549" r:id="rId1140" display="https://f1sport.auto.cz/"/>
    <hyperlink ref="D550" r:id="rId1141" display="https://f1sport.auto.cz/"/>
    <hyperlink ref="F550" r:id="rId1142" display="https://f1sport.auto.cz/"/>
    <hyperlink ref="D551" r:id="rId1143" display="https://f1sport.auto.cz/"/>
    <hyperlink ref="F551" r:id="rId1144" display="https://f1sport.auto.cz/"/>
    <hyperlink ref="D552" r:id="rId1145" display="http://www.facebook.com/"/>
    <hyperlink ref="F552" r:id="rId1146" display="http://www.facebook.com/"/>
    <hyperlink ref="W552" r:id="rId1147" display="https://www.facebook.com/business/ads-guide/image/facebook-feed"/>
    <hyperlink ref="D553" r:id="rId1148" display="http://www.facebook.com/"/>
    <hyperlink ref="F553" r:id="rId1149" display="http://www.facebook.com/"/>
    <hyperlink ref="W553" r:id="rId1150" display="https://www.facebook.com/business/ads-guide/image/facebook-feed"/>
    <hyperlink ref="D554" r:id="rId1151" display="http://www.facebook.com/"/>
    <hyperlink ref="F554" r:id="rId1152" display="http://www.facebook.com/"/>
    <hyperlink ref="W554" r:id="rId1153" display="https://www.facebook.com/business/ads-guide/image/facebook-feed"/>
    <hyperlink ref="D555" r:id="rId1154" display="http://www.facebook.com/"/>
    <hyperlink ref="F555" r:id="rId1155" display="http://www.facebook.com/"/>
    <hyperlink ref="W555" r:id="rId1156" display="https://www.facebook.com/business/ads-guide/image/facebook-feed"/>
    <hyperlink ref="D556" r:id="rId1157" display="http://www.facebook.com/"/>
    <hyperlink ref="F556" r:id="rId1158" display="http://www.facebook.com/"/>
    <hyperlink ref="W556" r:id="rId1159" display="https://www.facebook.com/business/ads-guide/image/facebook-feed"/>
    <hyperlink ref="D557" r:id="rId1160" display="http://www.facebook.com/"/>
    <hyperlink ref="F557" r:id="rId1161" display="http://www.facebook.com/"/>
    <hyperlink ref="W557" r:id="rId1162" display="https://www.facebook.com/business/ads-guide/image/facebook-feed"/>
    <hyperlink ref="D558" r:id="rId1163" display="http://www.facebook.com/"/>
    <hyperlink ref="F558" r:id="rId1164" display="http://www.facebook.com/"/>
    <hyperlink ref="W558" r:id="rId1165" display="https://www.facebook.com/business/ads-guide/image/facebook-feed"/>
    <hyperlink ref="D559" r:id="rId1166" display="http://www.facebook.com/"/>
    <hyperlink ref="F559" r:id="rId1167" display="http://www.facebook.com/"/>
    <hyperlink ref="W559" r:id="rId1168" display="https://www.facebook.com/business/ads-guide/image/facebook-feed"/>
    <hyperlink ref="D560" r:id="rId1169" display="http://www.facebook.com/"/>
    <hyperlink ref="F560" r:id="rId1170" display="http://www.facebook.com/"/>
    <hyperlink ref="W560" r:id="rId1171" display="https://www.facebook.com/business/ads-guide/image/facebook-feed"/>
    <hyperlink ref="D561" r:id="rId1172" display="http://www.facebook.com/"/>
    <hyperlink ref="F561" r:id="rId1173" display="http://www.facebook.com/"/>
    <hyperlink ref="W561" r:id="rId1174" display="https://www.facebook.com/business/ads-guide/image/facebook-feed"/>
    <hyperlink ref="D562" r:id="rId1175" display="http://www.facebook.com/"/>
    <hyperlink ref="F562" r:id="rId1176" display="http://www.facebook.com/"/>
    <hyperlink ref="W562" r:id="rId1177" display="https://www.facebook.com/business/ads-guide/image/facebook-feed"/>
    <hyperlink ref="D563" r:id="rId1178" display="http://www.facebook.com/"/>
    <hyperlink ref="F563" r:id="rId1179" display="http://www.facebook.com/"/>
    <hyperlink ref="W563" r:id="rId1180" display="https://www.facebook.com/business/ads-guide/image/facebook-feed"/>
    <hyperlink ref="D564" r:id="rId1181" display="http://www.facebook.com/"/>
    <hyperlink ref="F564" r:id="rId1182" display="http://www.facebook.com/"/>
    <hyperlink ref="W564" r:id="rId1183" display="https://www.facebook.com/business/ads-guide/image/facebook-feed"/>
    <hyperlink ref="D565" r:id="rId1184" display="http://www.facebook.com/"/>
    <hyperlink ref="F565" r:id="rId1185" display="http://www.facebook.com/"/>
    <hyperlink ref="W565" r:id="rId1186" display="https://www.facebook.com/business/ads-guide/image/facebook-feed"/>
    <hyperlink ref="D566" r:id="rId1187" display="http://www.facebook.com/"/>
    <hyperlink ref="F566" r:id="rId1188" display="http://www.facebook.com/"/>
    <hyperlink ref="W566" r:id="rId1189" display="https://www.facebook.com/business/ads-guide/image/facebook-feed"/>
    <hyperlink ref="D567" r:id="rId1190" display="http://www.facebook.com/"/>
    <hyperlink ref="F567" r:id="rId1191" display="http://www.facebook.com/"/>
    <hyperlink ref="W567" r:id="rId1192" display="https://www.facebook.com/business/ads-guide/image/facebook-feed"/>
    <hyperlink ref="D568" r:id="rId1193" display="http://www.facebook.com/"/>
    <hyperlink ref="F568" r:id="rId1194" display="http://www.facebook.com/"/>
    <hyperlink ref="W568" r:id="rId1195" display="https://www.facebook.com/business/ads-guide/image/facebook-feed"/>
    <hyperlink ref="D569" r:id="rId1196" display="http://www.facebook.com/"/>
    <hyperlink ref="F569" r:id="rId1197" display="http://www.facebook.com/"/>
    <hyperlink ref="W569" r:id="rId1198" display="https://www.facebook.com/business/ads-guide/image/facebook-feed"/>
    <hyperlink ref="D570" r:id="rId1199" display="http://www.facebook.com/"/>
    <hyperlink ref="F570" r:id="rId1200" display="http://www.facebook.com/"/>
    <hyperlink ref="W570" r:id="rId1201" display="https://www.facebook.com/business/ads-guide/image/facebook-feed"/>
    <hyperlink ref="D571" r:id="rId1202" display="http://www.facebook.com/"/>
    <hyperlink ref="F571" r:id="rId1203" display="http://www.facebook.com/"/>
    <hyperlink ref="W571" r:id="rId1204" display="https://www.facebook.com/business/ads-guide/image/facebook-feed"/>
    <hyperlink ref="D572" r:id="rId1205" display="http://www.facebook.com/"/>
    <hyperlink ref="F572" r:id="rId1206" display="http://www.facebook.com/"/>
    <hyperlink ref="W572" r:id="rId1207" display="https://www.facebook.com/business/ads-guide/image/facebook-feed"/>
    <hyperlink ref="D573" r:id="rId1208" display="http://www.facebook.com/"/>
    <hyperlink ref="F573" r:id="rId1209" display="http://www.facebook.com/"/>
    <hyperlink ref="W573" r:id="rId1210" display="https://www.facebook.com/business/ads-guide/image/facebook-feed"/>
    <hyperlink ref="D574" r:id="rId1211" display="http://www.facebook.com/"/>
    <hyperlink ref="F574" r:id="rId1212" display="http://www.facebook.com/"/>
    <hyperlink ref="W574" r:id="rId1213" display="https://www.facebook.com/business/ads-guide/image/facebook-feed"/>
    <hyperlink ref="D575" r:id="rId1214" display="http://www.facebook.com/"/>
    <hyperlink ref="F575" r:id="rId1215" display="http://www.facebook.com/"/>
    <hyperlink ref="W575" r:id="rId1216" display="https://www.facebook.com/business/ads-guide/image/facebook-feed"/>
    <hyperlink ref="D576" r:id="rId1217" display="http://www.facebook.com/"/>
    <hyperlink ref="F576" r:id="rId1218" display="http://www.facebook.com/"/>
    <hyperlink ref="W576" r:id="rId1219" display="https://www.facebook.com/business/ads-guide/image/facebook-feed"/>
    <hyperlink ref="D577" r:id="rId1220" display="https://finexpert.cz/"/>
    <hyperlink ref="F577" r:id="rId1221" display="https://finexpert.cz/"/>
    <hyperlink ref="D578" r:id="rId1222" display="https://finexpert.cz/"/>
    <hyperlink ref="F578" r:id="rId1223" display="https://finexpert.cz/"/>
    <hyperlink ref="D579" r:id="rId1224" display="https://finexpert.cz/"/>
    <hyperlink ref="F579" r:id="rId1225" display="https://finexpert.cz/"/>
    <hyperlink ref="D580" r:id="rId1226" display="https://finexpert.cz/"/>
    <hyperlink ref="F580" r:id="rId1227" display="https://finexpert.cz/"/>
    <hyperlink ref="W580" r:id="rId1228" display="https://reklama.cncenter.cz/?ads=PR%2520%25C4%258Dl%25C3%25A1nky"/>
    <hyperlink ref="D581" r:id="rId1229" display="https://finexpert.cz/"/>
    <hyperlink ref="F581" r:id="rId1230" display="https://finexpert.cz/"/>
    <hyperlink ref="D582" r:id="rId1231" display="https://finexpert.cz/"/>
    <hyperlink ref="F582" r:id="rId1232" display="https://finexpert.cz/"/>
    <hyperlink ref="D583" r:id="rId1233" display="https://finexpert.cz/"/>
    <hyperlink ref="F583" r:id="rId1234" display="https://finexpert.cz/"/>
    <hyperlink ref="D584" r:id="rId1235" display="https://fitweb.cz/"/>
    <hyperlink ref="F584" r:id="rId1236" display="https://fitweb.cz/"/>
    <hyperlink ref="W584" r:id="rId1237" display="https://reklama.cncenter.cz/Online/billboard-bottom"/>
    <hyperlink ref="D585" r:id="rId1238" display="https://fitweb.cz/"/>
    <hyperlink ref="F585" r:id="rId1239" display="https://fitweb.cz/"/>
    <hyperlink ref="W585" r:id="rId1240" display="https://reklama.cncenter.cz/Online/branding-cross-device"/>
    <hyperlink ref="D586" r:id="rId1241" display="https://fitweb.cz/"/>
    <hyperlink ref="F586" r:id="rId1242" display="https://fitweb.cz/"/>
    <hyperlink ref="W586" r:id="rId1243" display="https://reklama.cncenter.cz/Online/branding"/>
    <hyperlink ref="D587" r:id="rId1244" display="https://fitweb.cz/"/>
    <hyperlink ref="F587" r:id="rId1245" display="https://fitweb.cz/"/>
    <hyperlink ref="W587" r:id="rId1246" display="https://reklama.cncenter.cz/Online/billboard-bottom"/>
    <hyperlink ref="D588" r:id="rId1247" display="https://fitweb.cz/"/>
    <hyperlink ref="F588" r:id="rId1248" display="https://fitweb.cz/"/>
    <hyperlink ref="W588" r:id="rId1249" display="https://reklama.cncenter.cz/Online/branding-cross-device"/>
    <hyperlink ref="D589" r:id="rId1250" display="https://fitweb.cz/"/>
    <hyperlink ref="F589" r:id="rId1251" display="https://fitweb.cz/"/>
    <hyperlink ref="W589" r:id="rId1252" display="https://reklama.cncenter.cz/Online/branding"/>
    <hyperlink ref="D590" r:id="rId1253" display="https://fitweb.cz/"/>
    <hyperlink ref="F590" r:id="rId1254" display="https://fitweb.cz/"/>
    <hyperlink ref="W590" r:id="rId1255" display="https://reklama.cncenter.cz/Online/double-skyscraper"/>
    <hyperlink ref="D591" r:id="rId1256" display="https://fitweb.cz/"/>
    <hyperlink ref="F591" r:id="rId1257" display="https://fitweb.cz/"/>
    <hyperlink ref="W591" r:id="rId1258" display="https://reklama.cncenter.cz/Online/mobilni-interscroller"/>
    <hyperlink ref="D592" r:id="rId1259" display="https://fitweb.cz/"/>
    <hyperlink ref="F592" r:id="rId1260" display="https://fitweb.cz/"/>
    <hyperlink ref="W592" r:id="rId1261" display="https://reklama.cncenter.cz/Online/mobilni-slide-up"/>
    <hyperlink ref="D593" r:id="rId1262" display="https://fitweb.cz/"/>
    <hyperlink ref="F593" r:id="rId1263" display="https://fitweb.cz/"/>
    <hyperlink ref="W593" r:id="rId1264" display="https://reklama.cncenter.cz/Online/mobilni-vineta"/>
    <hyperlink ref="D594" r:id="rId1265" display="https://fitweb.cz/"/>
    <hyperlink ref="F594" r:id="rId1266" display="https://fitweb.cz/"/>
    <hyperlink ref="W594" r:id="rId1267" display="https://reklama.cncenter.cz/Online/nativni-rectangle-cross-device"/>
    <hyperlink ref="D595" r:id="rId1268" display="https://fitweb.cz/"/>
    <hyperlink ref="F595" r:id="rId1269" display="https://fitweb.cz/"/>
    <hyperlink ref="W595" r:id="rId1270" display="https://reklama.cncenter.cz/Online/Outstream"/>
    <hyperlink ref="D596" r:id="rId1271" display="https://fitweb.cz/"/>
    <hyperlink ref="F596" r:id="rId1272" display="https://fitweb.cz/"/>
    <hyperlink ref="W596" r:id="rId1273" display="https://reklama.cncenter.cz/Online/double-skyscraper"/>
    <hyperlink ref="D597" r:id="rId1274" display="https://fitweb.cz/"/>
    <hyperlink ref="F597" r:id="rId1275" display="https://fitweb.cz/"/>
    <hyperlink ref="W597" r:id="rId1276" display="https://reklama.cncenter.cz/Online/mobilni-interscroller"/>
    <hyperlink ref="D598" r:id="rId1277" display="https://fitweb.cz/"/>
    <hyperlink ref="F598" r:id="rId1278" display="https://fitweb.cz/"/>
    <hyperlink ref="W598" r:id="rId1279" display="https://reklama.cncenter.cz/Online/mobilni-slide-up"/>
    <hyperlink ref="D599" r:id="rId1280" display="https://fitweb.cz/"/>
    <hyperlink ref="F599" r:id="rId1281" display="https://fitweb.cz/"/>
    <hyperlink ref="W599" r:id="rId1282" display="https://reklama.cncenter.cz/Online/mobilni-vineta"/>
    <hyperlink ref="D600" r:id="rId1283" display="https://fitweb.cz/"/>
    <hyperlink ref="F600" r:id="rId1284" display="https://fitweb.cz/"/>
    <hyperlink ref="W600" r:id="rId1285" display="https://reklama.cncenter.cz/Online/nativni-rectangle-cross-device"/>
    <hyperlink ref="D601" r:id="rId1286" display="https://fitweb.cz/"/>
    <hyperlink ref="F601" r:id="rId1287" display="https://fitweb.cz/"/>
    <hyperlink ref="W601" r:id="rId1288" display="https://reklama.cncenter.cz/Online/Outstream"/>
    <hyperlink ref="D602" r:id="rId1289" display="https://heyfomo.cz/"/>
    <hyperlink ref="F602" r:id="rId1290" display="https://heyfomo.cz/"/>
    <hyperlink ref="D603" r:id="rId1291" display="https://heyfomo.cz/"/>
    <hyperlink ref="F603" r:id="rId1292" display="https://heyfomo.cz/"/>
    <hyperlink ref="D604" r:id="rId1293" display="https://heyfomo.cz/"/>
    <hyperlink ref="F604" r:id="rId1294" display="https://heyfomo.cz/"/>
    <hyperlink ref="D605" r:id="rId1295" display="https://heyfomo.cz/"/>
    <hyperlink ref="F605" r:id="rId1296" display="https://heyfomo.cz/"/>
    <hyperlink ref="W605" r:id="rId1297" display="https://reklama.cncenter.cz/?ads=PR%2520%25C4%258Dl%25C3%25A1nky"/>
    <hyperlink ref="D606" r:id="rId1298" display="https://heyfomo.cz/"/>
    <hyperlink ref="F606" r:id="rId1299" display="https://heyfomo.cz/"/>
    <hyperlink ref="D607" r:id="rId1300" display="https://heyfomo.cz/"/>
    <hyperlink ref="F607" r:id="rId1301" display="https://heyfomo.cz/"/>
    <hyperlink ref="D608" r:id="rId1302" display="https://heyfomo.cz/"/>
    <hyperlink ref="F608" r:id="rId1303" display="https://heyfomo.cz/"/>
    <hyperlink ref="D609" r:id="rId1304" display="https://frekvence1.cz/"/>
    <hyperlink ref="F609" r:id="rId1305" display="https://frekvence1.cz/"/>
    <hyperlink ref="W609" r:id="rId1306" display="https://reklama.cncenter.cz/Online/branding-cross-device"/>
    <hyperlink ref="D610" r:id="rId1307" display="https://frekvence1.cz/"/>
    <hyperlink ref="F610" r:id="rId1308" display="https://frekvence1.cz/"/>
    <hyperlink ref="W610" r:id="rId1309" display="https://reklama.cncenter.cz/Online/branding"/>
    <hyperlink ref="D611" r:id="rId1310" display="https://frekvence1.cz/"/>
    <hyperlink ref="F611" r:id="rId1311" display="https://frekvence1.cz/"/>
    <hyperlink ref="W611" r:id="rId1312" display="https://reklama.cncenter.cz/Online/branding-cross-device"/>
    <hyperlink ref="D612" r:id="rId1313" display="https://frekvence1.cz/"/>
    <hyperlink ref="F612" r:id="rId1314" display="https://frekvence1.cz/"/>
    <hyperlink ref="W612" r:id="rId1315" display="https://reklama.cncenter.cz/Online/branding"/>
    <hyperlink ref="D613" r:id="rId1316" display="https://frekvence1.cz/"/>
    <hyperlink ref="F613" r:id="rId1317" display="https://frekvence1.cz/"/>
    <hyperlink ref="W613" r:id="rId1318" display="https://reklama.cncenter.cz/Online/double-skyscraper"/>
    <hyperlink ref="D614" r:id="rId1319" display="https://frekvence1.cz/"/>
    <hyperlink ref="F614" r:id="rId1320" display="https://frekvence1.cz/"/>
    <hyperlink ref="W614" r:id="rId1321" display="https://reklama.cncenter.cz/Online/mobilni-interscroller"/>
    <hyperlink ref="D615" r:id="rId1322" display="https://frekvence1.cz/"/>
    <hyperlink ref="F615" r:id="rId1323" display="https://frekvence1.cz/"/>
    <hyperlink ref="W615" r:id="rId1324" display="https://reklama.cncenter.cz/Online/mobilni-slide-up"/>
    <hyperlink ref="D616" r:id="rId1325" display="https://frekvence1.cz/"/>
    <hyperlink ref="F616" r:id="rId1326" display="https://frekvence1.cz/"/>
    <hyperlink ref="W616" r:id="rId1327" display="https://reklama.cncenter.cz/Online/mobilni-vineta"/>
    <hyperlink ref="D617" r:id="rId1328" display="https://frekvence1.cz/"/>
    <hyperlink ref="F617" r:id="rId1329" display="https://frekvence1.cz/"/>
    <hyperlink ref="W617" r:id="rId1330" display="https://reklama.cncenter.cz/Online/nativni-rectangle-cross-device"/>
    <hyperlink ref="D618" r:id="rId1331" display="https://frekvence1.cz/"/>
    <hyperlink ref="F618" r:id="rId1332" display="https://frekvence1.cz/"/>
    <hyperlink ref="W618" r:id="rId1333" display="https://reklama.cncenter.cz/Online/Bumper"/>
    <hyperlink ref="D619" r:id="rId1334" display="https://frekvence1.cz/"/>
    <hyperlink ref="F619" r:id="rId1335" display="https://frekvence1.cz/"/>
    <hyperlink ref="W619" r:id="rId1336" display="https://reklama.cncenter.cz/Online/double-skyscraper"/>
    <hyperlink ref="D620" r:id="rId1337" display="https://frekvence1.cz/"/>
    <hyperlink ref="F620" r:id="rId1338" display="https://frekvence1.cz/"/>
    <hyperlink ref="W620" r:id="rId1339" display="https://reklama.cncenter.cz/Online/mobilni-interscroller"/>
    <hyperlink ref="D621" r:id="rId1340" display="https://frekvence1.cz/"/>
    <hyperlink ref="F621" r:id="rId1341" display="https://frekvence1.cz/"/>
    <hyperlink ref="W621" r:id="rId1342" display="https://reklama.cncenter.cz/Online/mobilni-slide-up"/>
    <hyperlink ref="D622" r:id="rId1343" display="https://frekvence1.cz/"/>
    <hyperlink ref="F622" r:id="rId1344" display="https://frekvence1.cz/"/>
    <hyperlink ref="W622" r:id="rId1345" display="https://reklama.cncenter.cz/Online/mobilni-vineta"/>
    <hyperlink ref="D623" r:id="rId1346" display="https://frekvence1.cz/"/>
    <hyperlink ref="F623" r:id="rId1347" display="https://frekvence1.cz/"/>
    <hyperlink ref="W623" r:id="rId1348" display="https://reklama.cncenter.cz/Online/nativni-rectangle-cross-device"/>
    <hyperlink ref="D624" r:id="rId1349" display="https://frekvence1.cz/"/>
    <hyperlink ref="F624" r:id="rId1350" display="https://frekvence1.cz/"/>
    <hyperlink ref="W624" r:id="rId1351" display="https://reklama.cncenter.cz/Online/Bumper"/>
    <hyperlink ref="D625" r:id="rId1352" display="https://www.heureka.cz/"/>
    <hyperlink ref="F625" r:id="rId1353" display="https://www.heureka.cz/"/>
    <hyperlink ref="W625" r:id="rId1354" display="https://reklama.cncenter.cz/Online/heureka-wallpaper"/>
    <hyperlink ref="D626" r:id="rId1355" display="https://hledejceny.cz/"/>
    <hyperlink ref="F626" r:id="rId1356" display="https://hledejceny.cz/"/>
    <hyperlink ref="W626" r:id="rId1357" display="https://reklama.cncenter.cz/Online/billboard-bottom"/>
    <hyperlink ref="D627" r:id="rId1358" display="https://hledejceny.cz/"/>
    <hyperlink ref="F627" r:id="rId1359" display="https://hledejceny.cz/"/>
    <hyperlink ref="W627" r:id="rId1360" display="https://reklama.cncenter.cz/Online/branding-cross-device"/>
    <hyperlink ref="D628" r:id="rId1361" display="https://hledejceny.cz/"/>
    <hyperlink ref="F628" r:id="rId1362" display="https://hledejceny.cz/"/>
    <hyperlink ref="W628" r:id="rId1363" display="https://reklama.cncenter.cz/Online/branding"/>
    <hyperlink ref="D629" r:id="rId1364" display="https://hledejceny.cz/"/>
    <hyperlink ref="F629" r:id="rId1365" display="https://hledejceny.cz/"/>
    <hyperlink ref="W629" r:id="rId1366" display="https://reklama.cncenter.cz/Online/billboard-bottom"/>
    <hyperlink ref="D630" r:id="rId1367" display="https://hledejceny.cz/"/>
    <hyperlink ref="F630" r:id="rId1368" display="https://hledejceny.cz/"/>
    <hyperlink ref="W630" r:id="rId1369" display="https://reklama.cncenter.cz/Online/branding-cross-device"/>
    <hyperlink ref="D631" r:id="rId1370" display="https://hledejceny.cz/"/>
    <hyperlink ref="F631" r:id="rId1371" display="https://hledejceny.cz/"/>
    <hyperlink ref="W631" r:id="rId1372" display="https://reklama.cncenter.cz/Online/branding"/>
    <hyperlink ref="D632" r:id="rId1373" display="https://hledejceny.cz/"/>
    <hyperlink ref="F632" r:id="rId1374" display="https://hledejceny.cz/"/>
    <hyperlink ref="W632" r:id="rId1375" display="https://reklama.cncenter.cz/Online/double-skyscraper"/>
    <hyperlink ref="D633" r:id="rId1376" display="https://hledejceny.cz/"/>
    <hyperlink ref="F633" r:id="rId1377" display="https://hledejceny.cz/"/>
    <hyperlink ref="W633" r:id="rId1378" display="https://reklama.cncenter.cz/Online/double-skyscraper"/>
    <hyperlink ref="D634" r:id="rId1379" display="http://www.instagram.com/"/>
    <hyperlink ref="F634" r:id="rId1380" display="http://www.instagram.com/"/>
    <hyperlink ref="D635" r:id="rId1381" display="http://www.instagram.com/"/>
    <hyperlink ref="F635" r:id="rId1382" display="http://www.instagram.com/"/>
    <hyperlink ref="D636" r:id="rId1383" display="http://www.instagram.com/"/>
    <hyperlink ref="F636" r:id="rId1384" display="http://www.instagram.com/"/>
    <hyperlink ref="D637" r:id="rId1385" display="http://www.instagram.com/"/>
    <hyperlink ref="F637" r:id="rId1386" display="http://www.instagram.com/"/>
    <hyperlink ref="D638" r:id="rId1387" display="http://www.instagram.com/"/>
    <hyperlink ref="F638" r:id="rId1388" display="http://www.instagram.com/"/>
    <hyperlink ref="D639" r:id="rId1389" display="http://www.instagram.com/"/>
    <hyperlink ref="F639" r:id="rId1390" display="http://www.instagram.com/"/>
    <hyperlink ref="D640" r:id="rId1391" display="http://www.instagram.com/"/>
    <hyperlink ref="F640" r:id="rId1392" display="http://www.instagram.com/"/>
    <hyperlink ref="D641" r:id="rId1393" display="http://www.instagram.com/"/>
    <hyperlink ref="F641" r:id="rId1394" display="http://www.instagram.com/"/>
    <hyperlink ref="D642" r:id="rId1395" display="http://www.instagram.com/"/>
    <hyperlink ref="F642" r:id="rId1396" display="http://www.instagram.com/"/>
    <hyperlink ref="D643" r:id="rId1397" display="http://www.instagram.com/"/>
    <hyperlink ref="F643" r:id="rId1398" display="http://www.instagram.com/"/>
    <hyperlink ref="D644" r:id="rId1399" display="http://www.instagram.com/"/>
    <hyperlink ref="F644" r:id="rId1400" display="http://www.instagram.com/"/>
    <hyperlink ref="D645" r:id="rId1401" display="http://www.instagram.com/"/>
    <hyperlink ref="F645" r:id="rId1402" display="http://www.instagram.com/"/>
    <hyperlink ref="D646" r:id="rId1403" display="http://www.instagram.com/"/>
    <hyperlink ref="F646" r:id="rId1404" display="http://www.instagram.com/"/>
    <hyperlink ref="D647" r:id="rId1405" display="http://www.instagram.com/"/>
    <hyperlink ref="F647" r:id="rId1406" display="http://www.instagram.com/"/>
    <hyperlink ref="D648" r:id="rId1407" display="http://www.instagram.com/"/>
    <hyperlink ref="F648" r:id="rId1408" display="http://www.instagram.com/"/>
    <hyperlink ref="D649" r:id="rId1409" display="http://www.instagram.com/"/>
    <hyperlink ref="F649" r:id="rId1410" display="http://www.instagram.com/"/>
    <hyperlink ref="D650" r:id="rId1411" display="http://www.instagram.com/"/>
    <hyperlink ref="F650" r:id="rId1412" display="http://www.instagram.com/"/>
    <hyperlink ref="D651" r:id="rId1413" display="http://www.instagram.com/"/>
    <hyperlink ref="F651" r:id="rId1414" display="http://www.instagram.com/"/>
    <hyperlink ref="D652" r:id="rId1415" display="http://www.instagram.com/"/>
    <hyperlink ref="F652" r:id="rId1416" display="http://www.instagram.com/"/>
    <hyperlink ref="D653" r:id="rId1417" display="http://www.instagram.com/"/>
    <hyperlink ref="F653" r:id="rId1418" display="http://www.instagram.com/"/>
    <hyperlink ref="D654" r:id="rId1419" display="http://www.instagram.com/"/>
    <hyperlink ref="F654" r:id="rId1420" display="http://www.instagram.com/"/>
    <hyperlink ref="D655" r:id="rId1421" display="http://www.instagram.com/"/>
    <hyperlink ref="F655" r:id="rId1422" display="http://www.instagram.com/"/>
    <hyperlink ref="D656" r:id="rId1423" display="http://www.instagram.com/"/>
    <hyperlink ref="F656" r:id="rId1424" display="http://www.instagram.com/"/>
    <hyperlink ref="D657" r:id="rId1425" display="http://www.instagram.com/"/>
    <hyperlink ref="F657" r:id="rId1426" display="http://www.instagram.com/"/>
    <hyperlink ref="D658" r:id="rId1427" display="http://www.instagram.com/"/>
    <hyperlink ref="F658" r:id="rId1428" display="http://www.instagram.com/"/>
    <hyperlink ref="D659" r:id="rId1429" display="http://www.instagram.com/"/>
    <hyperlink ref="F659" r:id="rId1430" display="http://www.instagram.com/"/>
    <hyperlink ref="D660" r:id="rId1431" display="http://www.instagram.com/"/>
    <hyperlink ref="F660" r:id="rId1432" display="http://www.instagram.com/"/>
    <hyperlink ref="D661" r:id="rId1433" display="http://www.instagram.com/"/>
    <hyperlink ref="F661" r:id="rId1434" display="http://www.instagram.com/"/>
    <hyperlink ref="D662" r:id="rId1435" display="http://www.instagram.com/"/>
    <hyperlink ref="F662" r:id="rId1436" display="http://www.instagram.com/"/>
    <hyperlink ref="D663" r:id="rId1437" display="http://www.instagram.com/"/>
    <hyperlink ref="F663" r:id="rId1438" display="http://www.instagram.com/"/>
    <hyperlink ref="D664" r:id="rId1439" display="http://www.instagram.com/"/>
    <hyperlink ref="F664" r:id="rId1440" display="http://www.instagram.com/"/>
    <hyperlink ref="D665" r:id="rId1441" display="http://www.instagram.com/"/>
    <hyperlink ref="F665" r:id="rId1442" display="http://www.instagram.com/"/>
    <hyperlink ref="D666" r:id="rId1443" display="http://www.instagram.com/"/>
    <hyperlink ref="F666" r:id="rId1444" display="http://www.instagram.com/"/>
    <hyperlink ref="D667" r:id="rId1445" display="http://www.instagram.com/"/>
    <hyperlink ref="F667" r:id="rId1446" display="http://www.instagram.com/"/>
    <hyperlink ref="D668" r:id="rId1447" display="http://www.instagram.com/"/>
    <hyperlink ref="F668" r:id="rId1448" display="http://www.instagram.com/"/>
    <hyperlink ref="D669" r:id="rId1449" display="http://www.instagram.com/"/>
    <hyperlink ref="F669" r:id="rId1450" display="http://www.instagram.com/"/>
    <hyperlink ref="D670" r:id="rId1451" display="http://www.instagram.com/"/>
    <hyperlink ref="F670" r:id="rId1452" display="http://www.instagram.com/"/>
    <hyperlink ref="D671" r:id="rId1453" display="http://www.instagram.com/"/>
    <hyperlink ref="F671" r:id="rId1454" display="http://www.instagram.com/"/>
    <hyperlink ref="D672" r:id="rId1455" display="http://www.instagram.com/"/>
    <hyperlink ref="F672" r:id="rId1456" display="http://www.instagram.com/"/>
    <hyperlink ref="D673" r:id="rId1457" display="http://www.instagram.com/"/>
    <hyperlink ref="F673" r:id="rId1458" display="http://www.instagram.com/"/>
    <hyperlink ref="D674" r:id="rId1459" display="http://www.instagram.com/"/>
    <hyperlink ref="F674" r:id="rId1460" display="http://www.instagram.com/"/>
    <hyperlink ref="D675" r:id="rId1461" display="http://www.instagram.com/"/>
    <hyperlink ref="F675" r:id="rId1462" display="http://www.instagram.com/"/>
    <hyperlink ref="D676" r:id="rId1463" display="http://www.instagram.com/"/>
    <hyperlink ref="F676" r:id="rId1464" display="http://www.instagram.com/"/>
    <hyperlink ref="W678" r:id="rId1465" display="https://reklama.cncenter.cz/Online/billboard-bottom"/>
    <hyperlink ref="W679" r:id="rId1466" display="https://reklama.cncenter.cz/Online/branding-cross-device"/>
    <hyperlink ref="W680" r:id="rId1467" display="https://reklama.cncenter.cz/Online/branding"/>
    <hyperlink ref="W681" r:id="rId1468" display="https://reklama.cncenter.cz/Online/billboard-bottom"/>
    <hyperlink ref="W682" r:id="rId1469" display="https://reklama.cncenter.cz/Online/branding-cross-device"/>
    <hyperlink ref="W683" r:id="rId1470" display="https://reklama.cncenter.cz/Online/branding"/>
    <hyperlink ref="W684" r:id="rId1471" display="https://reklama.cncenter.cz/Online/double-skyscraper"/>
    <hyperlink ref="W685" r:id="rId1472" display="https://reklama.cncenter.cz/Online/Videospot"/>
    <hyperlink ref="W686" r:id="rId1473" display="https://reklama.cncenter.cz/Online/mobilni-interscroller"/>
    <hyperlink ref="W687" r:id="rId1474" display="https://reklama.cncenter.cz/Online/mobilni-slide-up"/>
    <hyperlink ref="W688" r:id="rId1475" display="https://reklama.cncenter.cz/Online/mobilni-vineta"/>
    <hyperlink ref="W689" r:id="rId1476" display="https://reklama.cncenter.cz/Online/nativni-rectangle-cross-device"/>
    <hyperlink ref="W690" r:id="rId1477" display="https://reklama.cncenter.cz/Online/Outstream"/>
    <hyperlink ref="W691" r:id="rId1478" display="https://reklama.cncenter.cz/Online/Bumper"/>
    <hyperlink ref="W693" r:id="rId1479" display="https://reklama.cncenter.cz/Online/double-skyscraper"/>
    <hyperlink ref="W694" r:id="rId1480" display="https://reklama.cncenter.cz/Online/Videospot"/>
    <hyperlink ref="W695" r:id="rId1481" display="https://reklama.cncenter.cz/Online/mobilni-interscroller"/>
    <hyperlink ref="W696" r:id="rId1482" display="https://reklama.cncenter.cz/Online/mobilni-slide-up"/>
    <hyperlink ref="W697" r:id="rId1483" display="https://reklama.cncenter.cz/Online/mobilni-vineta"/>
    <hyperlink ref="W699" r:id="rId1484" display="https://reklama.cncenter.cz/Online/nativni-rectangle-cross-device"/>
    <hyperlink ref="W700" r:id="rId1485" display="https://reklama.cncenter.cz/Online/Outstream"/>
    <hyperlink ref="W701" r:id="rId1486" display="https://reklama.cncenter.cz/?ads=PR%2520%25C4%258Dl%25C3%25A1nky"/>
    <hyperlink ref="W705" r:id="rId1487" display="https://reklama.cncenter.cz/Online/Bumper"/>
    <hyperlink ref="D706" r:id="rId1488" display="https://lideazeme.cz/"/>
    <hyperlink ref="F706" r:id="rId1489" display="https://lideazeme.cz/"/>
    <hyperlink ref="D707" r:id="rId1490" display="https://lideazeme.cz/"/>
    <hyperlink ref="F707" r:id="rId1491" display="https://lideazeme.cz/"/>
    <hyperlink ref="W707" r:id="rId1492" display="https://reklama.cncenter.cz/Online/billboard-bottom"/>
    <hyperlink ref="D708" r:id="rId1493" display="https://lideazeme.cz/"/>
    <hyperlink ref="F708" r:id="rId1494" display="https://lideazeme.cz/"/>
    <hyperlink ref="W708" r:id="rId1495" display="https://reklama.cncenter.cz/Online/branding-cross-device"/>
    <hyperlink ref="D709" r:id="rId1496" display="https://lideazeme.cz/"/>
    <hyperlink ref="F709" r:id="rId1497" display="https://lideazeme.cz/"/>
    <hyperlink ref="W709" r:id="rId1498" display="https://reklama.cncenter.cz/Online/branding"/>
    <hyperlink ref="D710" r:id="rId1499" display="https://lideazeme.cz/"/>
    <hyperlink ref="F710" r:id="rId1500" display="https://lideazeme.cz/"/>
    <hyperlink ref="W710" r:id="rId1501" display="https://reklama.cncenter.cz/Online/billboard-bottom"/>
    <hyperlink ref="D711" r:id="rId1502" display="https://lideazeme.cz/"/>
    <hyperlink ref="F711" r:id="rId1503" display="https://lideazeme.cz/"/>
    <hyperlink ref="W711" r:id="rId1504" display="https://reklama.cncenter.cz/Online/branding-cross-device"/>
    <hyperlink ref="D712" r:id="rId1505" display="https://lideazeme.cz/"/>
    <hyperlink ref="F712" r:id="rId1506" display="https://lideazeme.cz/"/>
    <hyperlink ref="W712" r:id="rId1507" display="https://reklama.cncenter.cz/Online/branding"/>
    <hyperlink ref="D713" r:id="rId1508" display="https://lideazeme.cz/"/>
    <hyperlink ref="F713" r:id="rId1509" display="https://lideazeme.cz/"/>
    <hyperlink ref="W713" r:id="rId1510" display="https://reklama.cncenter.cz/Online/double-skyscraper"/>
    <hyperlink ref="D714" r:id="rId1511" display="https://lideazeme.cz/"/>
    <hyperlink ref="F714" r:id="rId1512" display="https://lideazeme.cz/"/>
    <hyperlink ref="W714" r:id="rId1513" display="https://reklama.cncenter.cz/Online/mobilni-interscroller"/>
    <hyperlink ref="D715" r:id="rId1514" display="https://lideazeme.cz/"/>
    <hyperlink ref="F715" r:id="rId1515" display="https://lideazeme.cz/"/>
    <hyperlink ref="W715" r:id="rId1516" display="https://reklama.cncenter.cz/Online/mobilni-slide-up"/>
    <hyperlink ref="D716" r:id="rId1517" display="https://lideazeme.cz/"/>
    <hyperlink ref="F716" r:id="rId1518" display="https://lideazeme.cz/"/>
    <hyperlink ref="W716" r:id="rId1519" display="https://reklama.cncenter.cz/Online/mobilni-vineta"/>
    <hyperlink ref="D717" r:id="rId1520" display="https://lideazeme.cz/"/>
    <hyperlink ref="F717" r:id="rId1521" display="https://lideazeme.cz/"/>
    <hyperlink ref="W717" r:id="rId1522" display="https://reklama.cncenter.cz/Online/nativni-rectangle-cross-device"/>
    <hyperlink ref="D718" r:id="rId1523" display="https://lideazeme.cz/"/>
    <hyperlink ref="F718" r:id="rId1524" display="https://lideazeme.cz/"/>
    <hyperlink ref="W718" r:id="rId1525" display="https://reklama.cncenter.cz/Online/Outstream"/>
    <hyperlink ref="D719" r:id="rId1526" display="https://lideazeme.cz/"/>
    <hyperlink ref="F719" r:id="rId1527" display="https://lideazeme.cz/"/>
    <hyperlink ref="D720" r:id="rId1528" display="https://lideazeme.cz/"/>
    <hyperlink ref="F720" r:id="rId1529" display="https://lideazeme.cz/"/>
    <hyperlink ref="W720" r:id="rId1530" display="https://reklama.cncenter.cz/Online/double-skyscraper"/>
    <hyperlink ref="D721" r:id="rId1531" display="https://lideazeme.cz/"/>
    <hyperlink ref="F721" r:id="rId1532" display="https://lideazeme.cz/"/>
    <hyperlink ref="W721" r:id="rId1533" display="https://reklama.cncenter.cz/Online/mobilni-interscroller"/>
    <hyperlink ref="D722" r:id="rId1534" display="https://lideazeme.cz/"/>
    <hyperlink ref="F722" r:id="rId1535" display="https://lideazeme.cz/"/>
    <hyperlink ref="W722" r:id="rId1536" display="https://reklama.cncenter.cz/Online/mobilni-slide-up"/>
    <hyperlink ref="D723" r:id="rId1537" display="https://lideazeme.cz/"/>
    <hyperlink ref="F723" r:id="rId1538" display="https://lideazeme.cz/"/>
    <hyperlink ref="W723" r:id="rId1539" display="https://reklama.cncenter.cz/Online/mobilni-vineta"/>
    <hyperlink ref="D724" r:id="rId1540" display="https://lideazeme.cz/"/>
    <hyperlink ref="F724" r:id="rId1541" display="https://lideazeme.cz/"/>
    <hyperlink ref="D725" r:id="rId1542" display="https://lideazeme.cz/"/>
    <hyperlink ref="F725" r:id="rId1543" display="https://lideazeme.cz/"/>
    <hyperlink ref="W725" r:id="rId1544" display="https://reklama.cncenter.cz/Online/nativni-rectangle-cross-device"/>
    <hyperlink ref="D726" r:id="rId1545" display="https://lideazeme.cz/"/>
    <hyperlink ref="F726" r:id="rId1546" display="https://lideazeme.cz/"/>
    <hyperlink ref="W726" r:id="rId1547" display="https://reklama.cncenter.cz/Online/Outstream"/>
    <hyperlink ref="D727" r:id="rId1548" display="https://lideazeme.cz/"/>
    <hyperlink ref="F727" r:id="rId1549" display="https://lideazeme.cz/"/>
    <hyperlink ref="W727" r:id="rId1550" display="https://reklama.cncenter.cz/?ads=PR%2520%25C4%258Dl%25C3%25A1nky"/>
    <hyperlink ref="D728" r:id="rId1551" display="https://lideazeme.cz/"/>
    <hyperlink ref="F728" r:id="rId1552" display="https://lideazeme.cz/"/>
    <hyperlink ref="D729" r:id="rId1553" display="https://lideazeme.cz/"/>
    <hyperlink ref="F729" r:id="rId1554" display="https://lideazeme.cz/"/>
    <hyperlink ref="D730" r:id="rId1555" display="https://lideazeme.cz/"/>
    <hyperlink ref="F730" r:id="rId1556" display="https://lideazeme.cz/"/>
    <hyperlink ref="D731" r:id="rId1557" display="https://maminka.cz/"/>
    <hyperlink ref="F731" r:id="rId1558" display="https://maminka.cz/"/>
    <hyperlink ref="D732" r:id="rId1559" display="https://maminka.cz/"/>
    <hyperlink ref="F732" r:id="rId1560" display="https://maminka.cz/"/>
    <hyperlink ref="W732" r:id="rId1561" display="https://reklama.cncenter.cz/Online/billboard-bottom"/>
    <hyperlink ref="D733" r:id="rId1562" display="https://maminka.cz/"/>
    <hyperlink ref="F733" r:id="rId1563" display="https://maminka.cz/"/>
    <hyperlink ref="W733" r:id="rId1564" display="https://reklama.cncenter.cz/Online/branding-cross-device"/>
    <hyperlink ref="D734" r:id="rId1565" display="https://maminka.cz/"/>
    <hyperlink ref="F734" r:id="rId1566" display="https://maminka.cz/"/>
    <hyperlink ref="W734" r:id="rId1567" display="https://reklama.cncenter.cz/Online/branding"/>
    <hyperlink ref="D735" r:id="rId1568" display="https://maminka.cz/"/>
    <hyperlink ref="F735" r:id="rId1569" display="https://maminka.cz/"/>
    <hyperlink ref="W735" r:id="rId1570" display="https://reklama.cncenter.cz/Online/billboard-bottom"/>
    <hyperlink ref="D736" r:id="rId1571" display="https://maminka.cz/"/>
    <hyperlink ref="F736" r:id="rId1572" display="https://maminka.cz/"/>
    <hyperlink ref="W736" r:id="rId1573" display="https://reklama.cncenter.cz/Online/branding-cross-device"/>
    <hyperlink ref="D737" r:id="rId1574" display="https://maminka.cz/"/>
    <hyperlink ref="F737" r:id="rId1575" display="https://maminka.cz/"/>
    <hyperlink ref="W737" r:id="rId1576" display="https://reklama.cncenter.cz/Online/branding"/>
    <hyperlink ref="D738" r:id="rId1577" display="https://maminka.cz/"/>
    <hyperlink ref="F738" r:id="rId1578" display="https://maminka.cz/"/>
    <hyperlink ref="W738" r:id="rId1579" display="https://reklama.cncenter.cz/Online/double-skyscraper"/>
    <hyperlink ref="D739" r:id="rId1580" display="https://maminka.cz/"/>
    <hyperlink ref="F739" r:id="rId1581" display="https://maminka.cz/"/>
    <hyperlink ref="W739" r:id="rId1582" display="https://reklama.cncenter.cz/Online/Videospot"/>
    <hyperlink ref="D740" r:id="rId1583" display="https://maminka.cz/"/>
    <hyperlink ref="F740" r:id="rId1584" display="https://maminka.cz/"/>
    <hyperlink ref="W740" r:id="rId1585" display="https://reklama.cncenter.cz/Online/mobilni-interscroller"/>
    <hyperlink ref="D741" r:id="rId1586" display="https://maminka.cz/"/>
    <hyperlink ref="F741" r:id="rId1587" display="https://maminka.cz/"/>
    <hyperlink ref="W741" r:id="rId1588" display="https://reklama.cncenter.cz/Online/mobilni-slide-up"/>
    <hyperlink ref="D742" r:id="rId1589" display="https://maminka.cz/"/>
    <hyperlink ref="F742" r:id="rId1590" display="https://maminka.cz/"/>
    <hyperlink ref="W742" r:id="rId1591" display="https://reklama.cncenter.cz/Online/mobilni-vineta"/>
    <hyperlink ref="D743" r:id="rId1592" display="https://maminka.cz/"/>
    <hyperlink ref="F743" r:id="rId1593" display="https://maminka.cz/"/>
    <hyperlink ref="W743" r:id="rId1594" display="https://reklama.cncenter.cz/Online/nativni-PR-premium"/>
    <hyperlink ref="D744" r:id="rId1595" display="https://maminka.cz/"/>
    <hyperlink ref="F744" r:id="rId1596" display="https://maminka.cz/"/>
    <hyperlink ref="W744" r:id="rId1597" display="https://reklama.cncenter.cz/Online/nativni-rectangle-cross-device"/>
    <hyperlink ref="D745" r:id="rId1598" display="https://maminka.cz/"/>
    <hyperlink ref="F745" r:id="rId1599" display="https://maminka.cz/"/>
    <hyperlink ref="W745" r:id="rId1600" display="https://reklama.cncenter.cz/Online/Outstream"/>
    <hyperlink ref="D746" r:id="rId1601" display="https://maminka.cz/"/>
    <hyperlink ref="F746" r:id="rId1602" display="https://maminka.cz/"/>
    <hyperlink ref="W746" r:id="rId1603" display="https://reklama.cncenter.cz/Online/Bumper"/>
    <hyperlink ref="D747" r:id="rId1604" display="https://maminka.cz/"/>
    <hyperlink ref="F747" r:id="rId1605" display="https://maminka.cz/"/>
    <hyperlink ref="D748" r:id="rId1606" display="https://maminka.cz/"/>
    <hyperlink ref="F748" r:id="rId1607" display="https://maminka.cz/"/>
    <hyperlink ref="W748" r:id="rId1608" display="https://reklama.cncenter.cz/Online/double-skyscraper"/>
    <hyperlink ref="D749" r:id="rId1609" display="https://maminka.cz/"/>
    <hyperlink ref="F749" r:id="rId1610" display="https://maminka.cz/"/>
    <hyperlink ref="W749" r:id="rId1611" display="https://reklama.cncenter.cz/Online/Videospot"/>
    <hyperlink ref="D750" r:id="rId1612" display="https://maminka.cz/"/>
    <hyperlink ref="F750" r:id="rId1613" display="https://maminka.cz/"/>
    <hyperlink ref="W750" r:id="rId1614" display="https://reklama.cncenter.cz/Online/mobilni-interscroller"/>
    <hyperlink ref="D751" r:id="rId1615" display="https://maminka.cz/"/>
    <hyperlink ref="F751" r:id="rId1616" display="https://maminka.cz/"/>
    <hyperlink ref="W751" r:id="rId1617" display="https://reklama.cncenter.cz/Online/mobilni-slide-up"/>
    <hyperlink ref="D752" r:id="rId1618" display="https://maminka.cz/"/>
    <hyperlink ref="F752" r:id="rId1619" display="https://maminka.cz/"/>
    <hyperlink ref="W752" r:id="rId1620" display="https://reklama.cncenter.cz/Online/mobilni-vineta"/>
    <hyperlink ref="D753" r:id="rId1621" display="https://maminka.cz/"/>
    <hyperlink ref="F753" r:id="rId1622" display="https://maminka.cz/"/>
    <hyperlink ref="D754" r:id="rId1623" display="https://maminka.cz/"/>
    <hyperlink ref="F754" r:id="rId1624" display="https://maminka.cz/"/>
    <hyperlink ref="W754" r:id="rId1625" display="https://reklama.cncenter.cz/Online/nativni-PR-premium"/>
    <hyperlink ref="D755" r:id="rId1626" display="https://maminka.cz/"/>
    <hyperlink ref="F755" r:id="rId1627" display="https://maminka.cz/"/>
    <hyperlink ref="W755" r:id="rId1628" display="https://reklama.cncenter.cz/Online/nativni-rectangle-cross-device"/>
    <hyperlink ref="D756" r:id="rId1629" display="https://maminka.cz/"/>
    <hyperlink ref="F756" r:id="rId1630" display="https://maminka.cz/"/>
    <hyperlink ref="W756" r:id="rId1631" display="https://reklama.cncenter.cz/Online/Outstream"/>
    <hyperlink ref="D757" r:id="rId1632" display="https://maminka.cz/"/>
    <hyperlink ref="F757" r:id="rId1633" display="https://maminka.cz/"/>
    <hyperlink ref="W757" r:id="rId1634" display="https://reklama.cncenter.cz/?ads=PR%2520%25C4%258Dl%25C3%25A1nky"/>
    <hyperlink ref="D758" r:id="rId1635" display="https://maminka.cz/"/>
    <hyperlink ref="F758" r:id="rId1636" display="https://maminka.cz/"/>
    <hyperlink ref="D759" r:id="rId1637" display="https://maminka.cz/"/>
    <hyperlink ref="F759" r:id="rId1638" display="https://maminka.cz/"/>
    <hyperlink ref="D760" r:id="rId1639" display="https://maminka.cz/"/>
    <hyperlink ref="F760" r:id="rId1640" display="https://maminka.cz/"/>
    <hyperlink ref="D761" r:id="rId1641" display="https://maminka.cz/"/>
    <hyperlink ref="F761" r:id="rId1642" display="https://maminka.cz/"/>
    <hyperlink ref="W761" r:id="rId1643" display="https://reklama.cncenter.cz/Online/Bumper"/>
    <hyperlink ref="W763" r:id="rId1644" display="https://reklama.cncenter.cz/Online/billboard-bottom"/>
    <hyperlink ref="W764" r:id="rId1645" display="https://reklama.cncenter.cz/Online/branding-cross-device"/>
    <hyperlink ref="W765" r:id="rId1646" display="https://reklama.cncenter.cz/Online/branding"/>
    <hyperlink ref="W766" r:id="rId1647" display="https://reklama.cncenter.cz/Online/billboard-bottom"/>
    <hyperlink ref="W767" r:id="rId1648" display="https://reklama.cncenter.cz/Online/branding-cross-device"/>
    <hyperlink ref="W768" r:id="rId1649" display="https://reklama.cncenter.cz/Online/branding"/>
    <hyperlink ref="W769" r:id="rId1650" display="https://reklama.cncenter.cz/Online/double-skyscraper"/>
    <hyperlink ref="W770" r:id="rId1651" display="https://reklama.cncenter.cz/Online/mobilni-interscroller"/>
    <hyperlink ref="W771" r:id="rId1652" display="https://reklama.cncenter.cz/Online/mobilni-slide-up"/>
    <hyperlink ref="W772" r:id="rId1653" display="https://reklama.cncenter.cz/Online/mobilni-vineta"/>
    <hyperlink ref="W773" r:id="rId1654" display="https://reklama.cncenter.cz/Online/nativni-rectangle-cross-device"/>
    <hyperlink ref="W774" r:id="rId1655" display="https://reklama.cncenter.cz/Online/Outstream"/>
    <hyperlink ref="W775" r:id="rId1656" display="https://reklama.cncenter.cz/Online/Bumper"/>
    <hyperlink ref="W777" r:id="rId1657" display="https://reklama.cncenter.cz/Online/double-skyscraper"/>
    <hyperlink ref="W778" r:id="rId1658" display="https://reklama.cncenter.cz/Online/mobilni-interscroller"/>
    <hyperlink ref="W779" r:id="rId1659" display="https://reklama.cncenter.cz/Online/mobilni-slide-up"/>
    <hyperlink ref="W780" r:id="rId1660" display="https://reklama.cncenter.cz/Online/mobilni-vineta"/>
    <hyperlink ref="W782" r:id="rId1661" display="https://reklama.cncenter.cz/Online/nativni-rectangle-cross-device"/>
    <hyperlink ref="W783" r:id="rId1662" display="https://reklama.cncenter.cz/Online/Outstream"/>
    <hyperlink ref="W784" r:id="rId1663" display="https://reklama.cncenter.cz/?ads=PR%2520%25C4%258Dl%25C3%25A1nky"/>
    <hyperlink ref="W788" r:id="rId1664" display="https://reklama.cncenter.cz/Online/Bumper"/>
    <hyperlink ref="D789" r:id="rId1665" display="https://mobilmania.cz/"/>
    <hyperlink ref="F789" r:id="rId1666" display="https://mobilmania.cz/"/>
    <hyperlink ref="D790" r:id="rId1667" display="https://mobilmania.cz/"/>
    <hyperlink ref="F790" r:id="rId1668" display="https://mobilmania.cz/"/>
    <hyperlink ref="W790" r:id="rId1669" display="https://reklama.cncenter.cz/Online/billboard-bottom"/>
    <hyperlink ref="D791" r:id="rId1670" display="https://mobilmania.cz/"/>
    <hyperlink ref="F791" r:id="rId1671" display="https://mobilmania.cz/"/>
    <hyperlink ref="W791" r:id="rId1672" display="https://reklama.cncenter.cz/Online/branding-cross-device"/>
    <hyperlink ref="D792" r:id="rId1673" display="https://mobilmania.cz/"/>
    <hyperlink ref="F792" r:id="rId1674" display="https://mobilmania.cz/"/>
    <hyperlink ref="W792" r:id="rId1675" display="https://reklama.cncenter.cz/Online/branding"/>
    <hyperlink ref="D793" r:id="rId1676" display="https://mobilmania.cz/"/>
    <hyperlink ref="F793" r:id="rId1677" display="https://mobilmania.cz/"/>
    <hyperlink ref="W793" r:id="rId1678" display="https://reklama.cncenter.cz/Online/billboard-bottom"/>
    <hyperlink ref="D794" r:id="rId1679" display="https://mobilmania.cz/"/>
    <hyperlink ref="F794" r:id="rId1680" display="https://mobilmania.cz/"/>
    <hyperlink ref="W794" r:id="rId1681" display="https://reklama.cncenter.cz/Online/branding-cross-device"/>
    <hyperlink ref="D795" r:id="rId1682" display="https://mobilmania.cz/"/>
    <hyperlink ref="F795" r:id="rId1683" display="https://mobilmania.cz/"/>
    <hyperlink ref="W795" r:id="rId1684" display="https://reklama.cncenter.cz/Online/branding"/>
    <hyperlink ref="D796" r:id="rId1685" display="https://mobilmania.cz/"/>
    <hyperlink ref="F796" r:id="rId1686" display="https://mobilmania.cz/"/>
    <hyperlink ref="W796" r:id="rId1687" display="https://reklama.cncenter.cz/Online/double-skyscraper"/>
    <hyperlink ref="D797" r:id="rId1688" display="https://mobilmania.cz/"/>
    <hyperlink ref="F797" r:id="rId1689" display="https://mobilmania.cz/"/>
    <hyperlink ref="W797" r:id="rId1690" display="https://reklama.cncenter.cz/Online/mobilni-interscroller"/>
    <hyperlink ref="D798" r:id="rId1691" display="https://mobilmania.cz/"/>
    <hyperlink ref="F798" r:id="rId1692" display="https://mobilmania.cz/"/>
    <hyperlink ref="W798" r:id="rId1693" display="https://reklama.cncenter.cz/Online/mobilni-slide-up"/>
    <hyperlink ref="D799" r:id="rId1694" display="https://mobilmania.cz/"/>
    <hyperlink ref="F799" r:id="rId1695" display="https://mobilmania.cz/"/>
    <hyperlink ref="W799" r:id="rId1696" display="https://reklama.cncenter.cz/Online/mobilni-vineta"/>
    <hyperlink ref="D800" r:id="rId1697" display="https://mobilmania.cz/"/>
    <hyperlink ref="F800" r:id="rId1698" display="https://mobilmania.cz/"/>
    <hyperlink ref="W800" r:id="rId1699" display="https://reklama.cncenter.cz/Online/nativni-PR-premium"/>
    <hyperlink ref="D801" r:id="rId1700" display="https://mobilmania.cz/"/>
    <hyperlink ref="F801" r:id="rId1701" display="https://mobilmania.cz/"/>
    <hyperlink ref="W801" r:id="rId1702" display="https://reklama.cncenter.cz/Online/nativni-rectangle-cross-device"/>
    <hyperlink ref="D802" r:id="rId1703" display="https://mobilmania.cz/"/>
    <hyperlink ref="F802" r:id="rId1704" display="https://mobilmania.cz/"/>
    <hyperlink ref="W802" r:id="rId1705" display="https://reklama.cncenter.cz/Online/Outstream"/>
    <hyperlink ref="D803" r:id="rId1706" display="https://mobilmania.cz/"/>
    <hyperlink ref="F803" r:id="rId1707" display="https://mobilmania.cz/"/>
    <hyperlink ref="W803" r:id="rId1708" display="https://reklama.cncenter.cz/Online/Bumper"/>
    <hyperlink ref="D804" r:id="rId1709" display="https://mobilmania.cz/"/>
    <hyperlink ref="F804" r:id="rId1710" display="https://mobilmania.cz/"/>
    <hyperlink ref="D805" r:id="rId1711" display="https://mobilmania.cz/"/>
    <hyperlink ref="F805" r:id="rId1712" display="https://mobilmania.cz/"/>
    <hyperlink ref="W805" r:id="rId1713" display="https://reklama.cncenter.cz/Online/double-skyscraper"/>
    <hyperlink ref="D806" r:id="rId1714" display="https://mobilmania.cz/"/>
    <hyperlink ref="F806" r:id="rId1715" display="https://mobilmania.cz/"/>
    <hyperlink ref="W806" r:id="rId1716" display="https://reklama.cncenter.cz/Online/mobilni-interscroller"/>
    <hyperlink ref="D807" r:id="rId1717" display="https://mobilmania.cz/"/>
    <hyperlink ref="F807" r:id="rId1718" display="https://mobilmania.cz/"/>
    <hyperlink ref="W807" r:id="rId1719" display="https://reklama.cncenter.cz/Online/mobilni-slide-up"/>
    <hyperlink ref="D808" r:id="rId1720" display="https://mobilmania.cz/"/>
    <hyperlink ref="F808" r:id="rId1721" display="https://mobilmania.cz/"/>
    <hyperlink ref="W808" r:id="rId1722" display="https://reklama.cncenter.cz/Online/mobilni-vineta"/>
    <hyperlink ref="D809" r:id="rId1723" display="https://mobilmania.cz/"/>
    <hyperlink ref="F809" r:id="rId1724" display="https://mobilmania.cz/"/>
    <hyperlink ref="D810" r:id="rId1725" display="https://mobilmania.cz/"/>
    <hyperlink ref="F810" r:id="rId1726" display="https://mobilmania.cz/"/>
    <hyperlink ref="W810" r:id="rId1727" display="https://reklama.cncenter.cz/Online/nativni-PR-premium"/>
    <hyperlink ref="D811" r:id="rId1728" display="https://mobilmania.cz/"/>
    <hyperlink ref="F811" r:id="rId1729" display="https://mobilmania.cz/"/>
    <hyperlink ref="W811" r:id="rId1730" display="https://reklama.cncenter.cz/Online/nativni-rectangle-cross-device"/>
    <hyperlink ref="D812" r:id="rId1731" display="https://mobilmania.cz/"/>
    <hyperlink ref="F812" r:id="rId1732" display="https://mobilmania.cz/"/>
    <hyperlink ref="W812" r:id="rId1733" display="https://reklama.cncenter.cz/Online/Outstream"/>
    <hyperlink ref="D813" r:id="rId1734" display="https://mobilmania.cz/"/>
    <hyperlink ref="F813" r:id="rId1735" display="https://mobilmania.cz/"/>
    <hyperlink ref="W813" r:id="rId1736" display="https://reklama.cncenter.cz/?ads=PR%2520%25C4%258Dl%25C3%25A1nky"/>
    <hyperlink ref="D814" r:id="rId1737" display="https://mobilmania.cz/"/>
    <hyperlink ref="F814" r:id="rId1738" display="https://mobilmania.cz/"/>
    <hyperlink ref="D815" r:id="rId1739" display="https://mobilmania.cz/"/>
    <hyperlink ref="F815" r:id="rId1740" display="https://mobilmania.cz/"/>
    <hyperlink ref="D816" r:id="rId1741" display="https://mobilmania.cz/"/>
    <hyperlink ref="F816" r:id="rId1742" display="https://mobilmania.cz/"/>
    <hyperlink ref="D817" r:id="rId1743" display="https://mobilmania.cz/"/>
    <hyperlink ref="F817" r:id="rId1744" display="https://mobilmania.cz/"/>
    <hyperlink ref="W817" r:id="rId1745" display="https://reklama.cncenter.cz/Online/Bumper"/>
    <hyperlink ref="D818" r:id="rId1746" display="https://mojezdravi.cz/"/>
    <hyperlink ref="F818" r:id="rId1747" display="https://mojezdravi.cz/"/>
    <hyperlink ref="D819" r:id="rId1748" display="https://mojezdravi.cz/"/>
    <hyperlink ref="F819" r:id="rId1749" display="https://mojezdravi.cz/"/>
    <hyperlink ref="W819" r:id="rId1750" display="https://reklama.cncenter.cz/Online/billboard-bottom"/>
    <hyperlink ref="D820" r:id="rId1751" display="https://mojezdravi.cz/"/>
    <hyperlink ref="F820" r:id="rId1752" display="https://mojezdravi.cz/"/>
    <hyperlink ref="W820" r:id="rId1753" display="https://reklama.cncenter.cz/Online/branding-cross-device"/>
    <hyperlink ref="D821" r:id="rId1754" display="https://mojezdravi.cz/"/>
    <hyperlink ref="F821" r:id="rId1755" display="https://mojezdravi.cz/"/>
    <hyperlink ref="W821" r:id="rId1756" display="https://reklama.cncenter.cz/Online/branding"/>
    <hyperlink ref="D822" r:id="rId1757" display="https://mojezdravi.cz/"/>
    <hyperlink ref="F822" r:id="rId1758" display="https://mojezdravi.cz/"/>
    <hyperlink ref="W822" r:id="rId1759" display="https://reklama.cncenter.cz/Online/billboard-bottom"/>
    <hyperlink ref="D823" r:id="rId1760" display="https://mojezdravi.cz/"/>
    <hyperlink ref="F823" r:id="rId1761" display="https://mojezdravi.cz/"/>
    <hyperlink ref="W823" r:id="rId1762" display="https://reklama.cncenter.cz/Online/branding-cross-device"/>
    <hyperlink ref="D824" r:id="rId1763" display="https://mojezdravi.cz/"/>
    <hyperlink ref="F824" r:id="rId1764" display="https://mojezdravi.cz/"/>
    <hyperlink ref="W824" r:id="rId1765" display="https://reklama.cncenter.cz/Online/branding"/>
    <hyperlink ref="D825" r:id="rId1766" display="https://mojezdravi.cz/"/>
    <hyperlink ref="F825" r:id="rId1767" display="https://mojezdravi.cz/"/>
    <hyperlink ref="W825" r:id="rId1768" display="https://reklama.cncenter.cz/Online/double-skyscraper"/>
    <hyperlink ref="D826" r:id="rId1769" display="https://mojezdravi.cz/"/>
    <hyperlink ref="F826" r:id="rId1770" display="https://mojezdravi.cz/"/>
    <hyperlink ref="W826" r:id="rId1771" display="https://reklama.cncenter.cz/Online/Videospot"/>
    <hyperlink ref="D827" r:id="rId1772" display="https://mojezdravi.cz/"/>
    <hyperlink ref="F827" r:id="rId1773" display="https://mojezdravi.cz/"/>
    <hyperlink ref="W827" r:id="rId1774" display="https://reklama.cncenter.cz/Online/mobilni-interscroller"/>
    <hyperlink ref="D828" r:id="rId1775" display="https://mojezdravi.cz/"/>
    <hyperlink ref="F828" r:id="rId1776" display="https://mojezdravi.cz/"/>
    <hyperlink ref="W828" r:id="rId1777" display="https://reklama.cncenter.cz/Online/mobilni-slide-up"/>
    <hyperlink ref="D829" r:id="rId1778" display="https://mojezdravi.cz/"/>
    <hyperlink ref="F829" r:id="rId1779" display="https://mojezdravi.cz/"/>
    <hyperlink ref="W829" r:id="rId1780" display="https://reklama.cncenter.cz/Online/mobilni-vineta"/>
    <hyperlink ref="D830" r:id="rId1781" display="https://mojezdravi.cz/"/>
    <hyperlink ref="F830" r:id="rId1782" display="https://mojezdravi.cz/"/>
    <hyperlink ref="W830" r:id="rId1783" display="https://reklama.cncenter.cz/Online/nativni-rectangle-cross-device"/>
    <hyperlink ref="D831" r:id="rId1784" display="https://mojezdravi.cz/"/>
    <hyperlink ref="F831" r:id="rId1785" display="https://mojezdravi.cz/"/>
    <hyperlink ref="W831" r:id="rId1786" display="https://reklama.cncenter.cz/Online/Outstream"/>
    <hyperlink ref="D832" r:id="rId1787" display="https://mojezdravi.cz/"/>
    <hyperlink ref="F832" r:id="rId1788" display="https://mojezdravi.cz/"/>
    <hyperlink ref="W832" r:id="rId1789" display="https://reklama.cncenter.cz/Online/Bumper"/>
    <hyperlink ref="D833" r:id="rId1790" display="https://mojezdravi.cz/"/>
    <hyperlink ref="F833" r:id="rId1791" display="https://mojezdravi.cz/"/>
    <hyperlink ref="D834" r:id="rId1792" display="https://mojezdravi.cz/"/>
    <hyperlink ref="F834" r:id="rId1793" display="https://mojezdravi.cz/"/>
    <hyperlink ref="W834" r:id="rId1794" display="https://reklama.cncenter.cz/Online/double-skyscraper"/>
    <hyperlink ref="D835" r:id="rId1795" display="https://mojezdravi.cz/"/>
    <hyperlink ref="F835" r:id="rId1796" display="https://mojezdravi.cz/"/>
    <hyperlink ref="W835" r:id="rId1797" display="https://reklama.cncenter.cz/Online/Videospot"/>
    <hyperlink ref="D836" r:id="rId1798" display="https://mojezdravi.cz/"/>
    <hyperlink ref="F836" r:id="rId1799" display="https://mojezdravi.cz/"/>
    <hyperlink ref="W836" r:id="rId1800" display="https://reklama.cncenter.cz/Online/mobilni-interscroller"/>
    <hyperlink ref="D837" r:id="rId1801" display="https://mojezdravi.cz/"/>
    <hyperlink ref="F837" r:id="rId1802" display="https://mojezdravi.cz/"/>
    <hyperlink ref="W837" r:id="rId1803" display="https://reklama.cncenter.cz/Online/mobilni-slide-up"/>
    <hyperlink ref="D838" r:id="rId1804" display="https://mojezdravi.cz/"/>
    <hyperlink ref="F838" r:id="rId1805" display="https://mojezdravi.cz/"/>
    <hyperlink ref="W838" r:id="rId1806" display="https://reklama.cncenter.cz/Online/mobilni-vineta"/>
    <hyperlink ref="D839" r:id="rId1807" display="https://mojezdravi.cz/"/>
    <hyperlink ref="F839" r:id="rId1808" display="https://mojezdravi.cz/"/>
    <hyperlink ref="D840" r:id="rId1809" display="https://mojezdravi.cz/"/>
    <hyperlink ref="F840" r:id="rId1810" display="https://mojezdravi.cz/"/>
    <hyperlink ref="W840" r:id="rId1811" display="https://reklama.cncenter.cz/Online/nativni-rectangle-cross-device"/>
    <hyperlink ref="D841" r:id="rId1812" display="https://mojezdravi.cz/"/>
    <hyperlink ref="F841" r:id="rId1813" display="https://mojezdravi.cz/"/>
    <hyperlink ref="W841" r:id="rId1814" display="https://reklama.cncenter.cz/Online/Outstream"/>
    <hyperlink ref="D842" r:id="rId1815" display="https://mojezdravi.cz/"/>
    <hyperlink ref="F842" r:id="rId1816" display="https://mojezdravi.cz/"/>
    <hyperlink ref="W842" r:id="rId1817" display="https://reklama.cncenter.cz/?ads=PR%2520%25C4%258Dl%25C3%25A1nky"/>
    <hyperlink ref="D843" r:id="rId1818" display="https://mojezdravi.cz/"/>
    <hyperlink ref="F843" r:id="rId1819" display="https://mojezdravi.cz/"/>
    <hyperlink ref="D844" r:id="rId1820" display="https://mojezdravi.cz/"/>
    <hyperlink ref="F844" r:id="rId1821" display="https://mojezdravi.cz/"/>
    <hyperlink ref="D845" r:id="rId1822" display="https://mojezdravi.cz/"/>
    <hyperlink ref="F845" r:id="rId1823" display="https://mojezdravi.cz/"/>
    <hyperlink ref="D846" r:id="rId1824" display="https://mojezdravi.cz/"/>
    <hyperlink ref="F846" r:id="rId1825" display="https://mojezdravi.cz/"/>
    <hyperlink ref="W846" r:id="rId1826" display="https://reklama.cncenter.cz/Online/Bumper"/>
    <hyperlink ref="D847" r:id="rId1827" display="https://motogpsport.cz/"/>
    <hyperlink ref="F847" r:id="rId1828" display="https://motogpsport.cz/"/>
    <hyperlink ref="D848" r:id="rId1829" display="https://motogpsport.cz/"/>
    <hyperlink ref="F848" r:id="rId1830" display="https://motogpsport.cz/"/>
    <hyperlink ref="W848" r:id="rId1831" display="https://reklama.cncenter.cz/Online/billboard-bottom"/>
    <hyperlink ref="D849" r:id="rId1832" display="https://motogpsport.cz/"/>
    <hyperlink ref="F849" r:id="rId1833" display="https://motogpsport.cz/"/>
    <hyperlink ref="W849" r:id="rId1834" display="https://reklama.cncenter.cz/Online/branding-cross-device"/>
    <hyperlink ref="D850" r:id="rId1835" display="https://motogpsport.cz/"/>
    <hyperlink ref="F850" r:id="rId1836" display="https://motogpsport.cz/"/>
    <hyperlink ref="W850" r:id="rId1837" display="https://reklama.cncenter.cz/Online/branding"/>
    <hyperlink ref="D851" r:id="rId1838" display="https://motogpsport.cz/"/>
    <hyperlink ref="F851" r:id="rId1839" display="https://motogpsport.cz/"/>
    <hyperlink ref="W851" r:id="rId1840" display="https://reklama.cncenter.cz/Online/billboard-bottom"/>
    <hyperlink ref="D852" r:id="rId1841" display="https://motogpsport.cz/"/>
    <hyperlink ref="F852" r:id="rId1842" display="https://motogpsport.cz/"/>
    <hyperlink ref="W852" r:id="rId1843" display="https://reklama.cncenter.cz/Online/branding-cross-device"/>
    <hyperlink ref="D853" r:id="rId1844" display="https://motogpsport.cz/"/>
    <hyperlink ref="F853" r:id="rId1845" display="https://motogpsport.cz/"/>
    <hyperlink ref="W853" r:id="rId1846" display="https://reklama.cncenter.cz/Online/branding"/>
    <hyperlink ref="D854" r:id="rId1847" display="https://motogpsport.cz/"/>
    <hyperlink ref="F854" r:id="rId1848" display="https://motogpsport.cz/"/>
    <hyperlink ref="W854" r:id="rId1849" display="https://reklama.cncenter.cz/Online/double-skyscraper"/>
    <hyperlink ref="D855" r:id="rId1850" display="https://motogpsport.cz/"/>
    <hyperlink ref="F855" r:id="rId1851" display="https://motogpsport.cz/"/>
    <hyperlink ref="W855" r:id="rId1852" display="https://reklama.cncenter.cz/Online/mobilni-interscroller"/>
    <hyperlink ref="D856" r:id="rId1853" display="https://motogpsport.cz/"/>
    <hyperlink ref="F856" r:id="rId1854" display="https://motogpsport.cz/"/>
    <hyperlink ref="W856" r:id="rId1855" display="https://reklama.cncenter.cz/Online/mobilni-slide-up"/>
    <hyperlink ref="D857" r:id="rId1856" display="https://motogpsport.cz/"/>
    <hyperlink ref="F857" r:id="rId1857" display="https://motogpsport.cz/"/>
    <hyperlink ref="W857" r:id="rId1858" display="https://reklama.cncenter.cz/Online/mobilni-vineta"/>
    <hyperlink ref="D858" r:id="rId1859" display="https://motogpsport.cz/"/>
    <hyperlink ref="F858" r:id="rId1860" display="https://motogpsport.cz/"/>
    <hyperlink ref="W858" r:id="rId1861" display="https://reklama.cncenter.cz/Online/nativni-rectangle-cross-device"/>
    <hyperlink ref="D859" r:id="rId1862" display="https://motogpsport.cz/"/>
    <hyperlink ref="F859" r:id="rId1863" display="https://motogpsport.cz/"/>
    <hyperlink ref="W859" r:id="rId1864" display="https://reklama.cncenter.cz/Online/Outstream"/>
    <hyperlink ref="D860" r:id="rId1865" display="https://motogpsport.cz/"/>
    <hyperlink ref="F860" r:id="rId1866" display="https://motogpsport.cz/"/>
    <hyperlink ref="D861" r:id="rId1867" display="https://motogpsport.cz/"/>
    <hyperlink ref="F861" r:id="rId1868" display="https://motogpsport.cz/"/>
    <hyperlink ref="W861" r:id="rId1869" display="https://reklama.cncenter.cz/Online/double-skyscraper"/>
    <hyperlink ref="D862" r:id="rId1870" display="https://motogpsport.cz/"/>
    <hyperlink ref="F862" r:id="rId1871" display="https://motogpsport.cz/"/>
    <hyperlink ref="W862" r:id="rId1872" display="https://reklama.cncenter.cz/Online/mobilni-interscroller"/>
    <hyperlink ref="D863" r:id="rId1873" display="https://motogpsport.cz/"/>
    <hyperlink ref="F863" r:id="rId1874" display="https://motogpsport.cz/"/>
    <hyperlink ref="W863" r:id="rId1875" display="https://reklama.cncenter.cz/Online/mobilni-slide-up"/>
    <hyperlink ref="D864" r:id="rId1876" display="https://motogpsport.cz/"/>
    <hyperlink ref="F864" r:id="rId1877" display="https://motogpsport.cz/"/>
    <hyperlink ref="W864" r:id="rId1878" display="https://reklama.cncenter.cz/Online/mobilni-vineta"/>
    <hyperlink ref="D865" r:id="rId1879" display="https://motogpsport.cz/"/>
    <hyperlink ref="F865" r:id="rId1880" display="https://motogpsport.cz/"/>
    <hyperlink ref="D866" r:id="rId1881" display="https://motogpsport.cz/"/>
    <hyperlink ref="F866" r:id="rId1882" display="https://motogpsport.cz/"/>
    <hyperlink ref="W866" r:id="rId1883" display="https://reklama.cncenter.cz/Online/nativni-rectangle-cross-device"/>
    <hyperlink ref="D867" r:id="rId1884" display="https://motogpsport.cz/"/>
    <hyperlink ref="F867" r:id="rId1885" display="https://motogpsport.cz/"/>
    <hyperlink ref="W867" r:id="rId1886" display="https://reklama.cncenter.cz/Online/Outstream"/>
    <hyperlink ref="D868" r:id="rId1887" display="https://motogpsport.cz/"/>
    <hyperlink ref="F868" r:id="rId1888" display="https://motogpsport.cz/"/>
    <hyperlink ref="W868" r:id="rId1889" display="https://reklama.cncenter.cz/?ads=PR%2520%25C4%258Dl%25C3%25A1nky"/>
    <hyperlink ref="D869" r:id="rId1890" display="https://motogpsport.cz/"/>
    <hyperlink ref="F869" r:id="rId1891" display="https://motogpsport.cz/"/>
    <hyperlink ref="D870" r:id="rId1892" display="https://motogpsport.cz/"/>
    <hyperlink ref="F870" r:id="rId1893" display="https://motogpsport.cz/"/>
    <hyperlink ref="D871" r:id="rId1894" display="https://motogpsport.cz/"/>
    <hyperlink ref="F871" r:id="rId1895" display="https://motogpsport.cz/"/>
    <hyperlink ref="C872" r:id="rId1896" display="http://nemovitosti.blesk.cz/"/>
    <hyperlink ref="D872" r:id="rId1897" display="https://nemovitosti.blesk.cz/"/>
    <hyperlink ref="F872" r:id="rId1898" display="https://nemovitosti.blesk.cz/"/>
    <hyperlink ref="C873" r:id="rId1899" display="http://nemovitosti.blesk.cz/"/>
    <hyperlink ref="D873" r:id="rId1900" display="https://nemovitosti.blesk.cz/"/>
    <hyperlink ref="F873" r:id="rId1901" display="https://nemovitosti.blesk.cz/"/>
    <hyperlink ref="W873" r:id="rId1902" display="https://reklama.cncenter.cz/Online/billboard-bottom"/>
    <hyperlink ref="C874" r:id="rId1903" display="http://nemovitosti.blesk.cz/"/>
    <hyperlink ref="D874" r:id="rId1904" display="https://nemovitosti.blesk.cz/"/>
    <hyperlink ref="F874" r:id="rId1905" display="https://nemovitosti.blesk.cz/"/>
    <hyperlink ref="W874" r:id="rId1906" display="https://reklama.cncenter.cz/Online/branding-cross-device"/>
    <hyperlink ref="C875" r:id="rId1907" display="http://nemovitosti.blesk.cz/"/>
    <hyperlink ref="D875" r:id="rId1908" display="https://nemovitosti.blesk.cz/"/>
    <hyperlink ref="F875" r:id="rId1909" display="https://nemovitosti.blesk.cz/"/>
    <hyperlink ref="W875" r:id="rId1910" display="https://reklama.cncenter.cz/Online/branding"/>
    <hyperlink ref="C876" r:id="rId1911" display="http://nemovitosti.blesk.cz/"/>
    <hyperlink ref="D876" r:id="rId1912" display="https://nemovitosti.blesk.cz/"/>
    <hyperlink ref="F876" r:id="rId1913" display="https://nemovitosti.blesk.cz/"/>
    <hyperlink ref="W876" r:id="rId1914" display="https://reklama.cncenter.cz/Online/billboard-bottom"/>
    <hyperlink ref="C877" r:id="rId1915" display="http://nemovitosti.blesk.cz/"/>
    <hyperlink ref="D877" r:id="rId1916" display="https://nemovitosti.blesk.cz/"/>
    <hyperlink ref="F877" r:id="rId1917" display="https://nemovitosti.blesk.cz/"/>
    <hyperlink ref="W877" r:id="rId1918" display="https://reklama.cncenter.cz/Online/branding-cross-device"/>
    <hyperlink ref="C878" r:id="rId1919" display="http://nemovitosti.blesk.cz/"/>
    <hyperlink ref="D878" r:id="rId1920" display="https://nemovitosti.blesk.cz/"/>
    <hyperlink ref="F878" r:id="rId1921" display="https://nemovitosti.blesk.cz/"/>
    <hyperlink ref="W878" r:id="rId1922" display="https://reklama.cncenter.cz/Online/branding"/>
    <hyperlink ref="C879" r:id="rId1923" display="http://nemovitosti.blesk.cz/"/>
    <hyperlink ref="D879" r:id="rId1924" display="https://nemovitosti.blesk.cz/"/>
    <hyperlink ref="F879" r:id="rId1925" display="https://nemovitosti.blesk.cz/"/>
    <hyperlink ref="W879" r:id="rId1926" display="https://reklama.cncenter.cz/Online/double-skyscraper"/>
    <hyperlink ref="C880" r:id="rId1927" display="http://nemovitosti.blesk.cz/"/>
    <hyperlink ref="D880" r:id="rId1928" display="https://nemovitosti.blesk.cz/"/>
    <hyperlink ref="F880" r:id="rId1929" display="https://nemovitosti.blesk.cz/"/>
    <hyperlink ref="W880" r:id="rId1930" display="https://reklama.cncenter.cz/Online/mobilni-interscroller"/>
    <hyperlink ref="C881" r:id="rId1931" display="http://nemovitosti.blesk.cz/"/>
    <hyperlink ref="D881" r:id="rId1932" display="https://nemovitosti.blesk.cz/"/>
    <hyperlink ref="F881" r:id="rId1933" display="https://nemovitosti.blesk.cz/"/>
    <hyperlink ref="W881" r:id="rId1934" display="https://reklama.cncenter.cz/Online/nativni-PR-premium"/>
    <hyperlink ref="C882" r:id="rId1935" display="http://nemovitosti.blesk.cz/"/>
    <hyperlink ref="D882" r:id="rId1936" display="https://nemovitosti.blesk.cz/"/>
    <hyperlink ref="F882" r:id="rId1937" display="https://nemovitosti.blesk.cz/"/>
    <hyperlink ref="W882" r:id="rId1938" display="https://reklama.cncenter.cz/Online/nativni-rectangle-cross-device"/>
    <hyperlink ref="C883" r:id="rId1939" display="http://nemovitosti.blesk.cz/"/>
    <hyperlink ref="D883" r:id="rId1940" display="https://nemovitosti.blesk.cz/"/>
    <hyperlink ref="F883" r:id="rId1941" display="https://nemovitosti.blesk.cz/"/>
    <hyperlink ref="W883" r:id="rId1942" display="https://reklama.cncenter.cz/Online/Outstream"/>
    <hyperlink ref="C884" r:id="rId1943" display="http://nemovitosti.blesk.cz/"/>
    <hyperlink ref="D884" r:id="rId1944" display="https://nemovitosti.blesk.cz/"/>
    <hyperlink ref="F884" r:id="rId1945" display="https://nemovitosti.blesk.cz/"/>
    <hyperlink ref="C885" r:id="rId1946" display="http://nemovitosti.blesk.cz/"/>
    <hyperlink ref="D885" r:id="rId1947" display="https://nemovitosti.blesk.cz/"/>
    <hyperlink ref="F885" r:id="rId1948" display="https://nemovitosti.blesk.cz/"/>
    <hyperlink ref="W885" r:id="rId1949" display="https://reklama.cncenter.cz/Online/double-skyscraper"/>
    <hyperlink ref="C886" r:id="rId1950" display="http://nemovitosti.blesk.cz/"/>
    <hyperlink ref="D886" r:id="rId1951" display="https://nemovitosti.blesk.cz/"/>
    <hyperlink ref="F886" r:id="rId1952" display="https://nemovitosti.blesk.cz/"/>
    <hyperlink ref="W886" r:id="rId1953" display="https://reklama.cncenter.cz/Online/mobilni-interscroller"/>
    <hyperlink ref="C887" r:id="rId1954" display="http://nemovitosti.blesk.cz/"/>
    <hyperlink ref="D887" r:id="rId1955" display="https://nemovitosti.blesk.cz/"/>
    <hyperlink ref="F887" r:id="rId1956" display="https://nemovitosti.blesk.cz/"/>
    <hyperlink ref="C888" r:id="rId1957" display="http://nemovitosti.blesk.cz/"/>
    <hyperlink ref="D888" r:id="rId1958" display="https://nemovitosti.blesk.cz/"/>
    <hyperlink ref="F888" r:id="rId1959" display="https://nemovitosti.blesk.cz/"/>
    <hyperlink ref="C889" r:id="rId1960" display="http://nemovitosti.blesk.cz/"/>
    <hyperlink ref="D889" r:id="rId1961" display="https://nemovitosti.blesk.cz/"/>
    <hyperlink ref="F889" r:id="rId1962" display="https://nemovitosti.blesk.cz/"/>
    <hyperlink ref="C890" r:id="rId1963" display="http://nemovitosti.blesk.cz/"/>
    <hyperlink ref="D890" r:id="rId1964" display="https://nemovitosti.blesk.cz/"/>
    <hyperlink ref="F890" r:id="rId1965" display="https://nemovitosti.blesk.cz/"/>
    <hyperlink ref="W890" r:id="rId1966" display="https://reklama.cncenter.cz/Online/nativni-PR-premium"/>
    <hyperlink ref="C891" r:id="rId1967" display="http://nemovitosti.blesk.cz/"/>
    <hyperlink ref="D891" r:id="rId1968" display="https://nemovitosti.blesk.cz/"/>
    <hyperlink ref="F891" r:id="rId1969" display="https://nemovitosti.blesk.cz/"/>
    <hyperlink ref="W891" r:id="rId1970" display="https://reklama.cncenter.cz/Online/nativni-rectangle-cross-device"/>
    <hyperlink ref="C892" r:id="rId1971" display="http://nemovitosti.blesk.cz/"/>
    <hyperlink ref="D892" r:id="rId1972" display="https://nemovitosti.blesk.cz/"/>
    <hyperlink ref="F892" r:id="rId1973" display="https://nemovitosti.blesk.cz/"/>
    <hyperlink ref="W892" r:id="rId1974" display="https://reklama.cncenter.cz/Online/Outstream"/>
    <hyperlink ref="C893" r:id="rId1975" display="http://nemovitosti.blesk.cz/"/>
    <hyperlink ref="D893" r:id="rId1976" display="https://nemovitosti.blesk.cz/"/>
    <hyperlink ref="F893" r:id="rId1977" display="https://nemovitosti.blesk.cz/"/>
    <hyperlink ref="W893" r:id="rId1978" display="https://reklama.cncenter.cz/?ads=PR%2520%25C4%258Dl%25C3%25A1nky"/>
    <hyperlink ref="C894" r:id="rId1979" display="http://nemovitosti.blesk.cz/"/>
    <hyperlink ref="D894" r:id="rId1980" display="https://nemovitosti.blesk.cz/"/>
    <hyperlink ref="F894" r:id="rId1981" display="https://nemovitosti.blesk.cz/"/>
    <hyperlink ref="C895" r:id="rId1982" display="http://nemovitosti.blesk.cz/"/>
    <hyperlink ref="D895" r:id="rId1983" display="https://nemovitosti.blesk.cz/"/>
    <hyperlink ref="F895" r:id="rId1984" display="https://nemovitosti.blesk.cz/"/>
    <hyperlink ref="C896" r:id="rId1985" display="http://nemovitosti.blesk.cz/"/>
    <hyperlink ref="D896" r:id="rId1986" display="https://nemovitosti.blesk.cz/"/>
    <hyperlink ref="F896" r:id="rId1987" display="https://nemovitosti.blesk.cz/"/>
    <hyperlink ref="D897" r:id="rId1988" display="https://www.poggers.cz/"/>
    <hyperlink ref="F897" r:id="rId1989" display="https://www.poggers.cz/"/>
    <hyperlink ref="W897" r:id="rId1990" display="https://reklama.cncenter.cz/Online/branding-cross-device"/>
    <hyperlink ref="D898" r:id="rId1991" display="https://www.poggers.cz/"/>
    <hyperlink ref="F898" r:id="rId1992" display="https://www.poggers.cz/"/>
    <hyperlink ref="W898" r:id="rId1993" display="https://reklama.cncenter.cz/Online/double-skyscraper"/>
    <hyperlink ref="D899" r:id="rId1994" display="https://www.poggers.cz/"/>
    <hyperlink ref="F899" r:id="rId1995" display="https://www.poggers.cz/"/>
    <hyperlink ref="W899" r:id="rId1996" display="https://reklama.cncenter.cz/Online/nativni-rectangle-cross-device"/>
    <hyperlink ref="D900" r:id="rId1997" display="https://www.realitnitrh.cz/"/>
    <hyperlink ref="F900" r:id="rId1998" display="https://www.realitnitrh.cz/"/>
    <hyperlink ref="D901" r:id="rId1999" display="https://www.realitnitrh.cz/"/>
    <hyperlink ref="F901" r:id="rId2000" display="https://www.realitnitrh.cz/"/>
    <hyperlink ref="W901" r:id="rId2001" display="https://reklama.cncenter.cz/Online/billboard-bottom"/>
    <hyperlink ref="D902" r:id="rId2002" display="https://www.realitnitrh.cz/"/>
    <hyperlink ref="F902" r:id="rId2003" display="https://www.realitnitrh.cz/"/>
    <hyperlink ref="W902" r:id="rId2004" display="https://reklama.cncenter.cz/Online/branding-cross-device"/>
    <hyperlink ref="D903" r:id="rId2005" display="https://www.realitnitrh.cz/"/>
    <hyperlink ref="F903" r:id="rId2006" display="https://www.realitnitrh.cz/"/>
    <hyperlink ref="W903" r:id="rId2007" display="https://reklama.cncenter.cz/Online/branding"/>
    <hyperlink ref="D904" r:id="rId2008" display="https://www.realitnitrh.cz/"/>
    <hyperlink ref="F904" r:id="rId2009" display="https://www.realitnitrh.cz/"/>
    <hyperlink ref="W904" r:id="rId2010" display="https://reklama.cncenter.cz/Online/billboard-bottom"/>
    <hyperlink ref="D905" r:id="rId2011" display="https://www.realitnitrh.cz/"/>
    <hyperlink ref="F905" r:id="rId2012" display="https://www.realitnitrh.cz/"/>
    <hyperlink ref="W905" r:id="rId2013" display="https://reklama.cncenter.cz/Online/branding-cross-device"/>
    <hyperlink ref="D906" r:id="rId2014" display="https://www.realitnitrh.cz/"/>
    <hyperlink ref="F906" r:id="rId2015" display="https://www.realitnitrh.cz/"/>
    <hyperlink ref="W906" r:id="rId2016" display="https://reklama.cncenter.cz/Online/branding"/>
    <hyperlink ref="D907" r:id="rId2017" display="https://www.realitnitrh.cz/"/>
    <hyperlink ref="F907" r:id="rId2018" display="https://www.realitnitrh.cz/"/>
    <hyperlink ref="W907" r:id="rId2019" display="https://reklama.cncenter.cz/Online/double-skyscraper"/>
    <hyperlink ref="D908" r:id="rId2020" display="https://www.realitnitrh.cz/"/>
    <hyperlink ref="F908" r:id="rId2021" display="https://www.realitnitrh.cz/"/>
    <hyperlink ref="W908" r:id="rId2022" display="https://reklama.cncenter.cz/Online/mobilni-interscroller"/>
    <hyperlink ref="D909" r:id="rId2023" display="https://www.realitnitrh.cz/"/>
    <hyperlink ref="F909" r:id="rId2024" display="https://www.realitnitrh.cz/"/>
    <hyperlink ref="W909" r:id="rId2025" display="https://reklama.cncenter.cz/Online/nativni-PR-premium"/>
    <hyperlink ref="D910" r:id="rId2026" display="https://www.realitnitrh.cz/"/>
    <hyperlink ref="F910" r:id="rId2027" display="https://www.realitnitrh.cz/"/>
    <hyperlink ref="W910" r:id="rId2028" display="https://reklama.cncenter.cz/Online/nativni-rectangle-cross-device"/>
    <hyperlink ref="D911" r:id="rId2029" display="https://www.realitnitrh.cz/"/>
    <hyperlink ref="F911" r:id="rId2030" display="https://www.realitnitrh.cz/"/>
    <hyperlink ref="W911" r:id="rId2031" display="https://reklama.cncenter.cz/Online/Outstream"/>
    <hyperlink ref="D912" r:id="rId2032" display="https://www.realitnitrh.cz/"/>
    <hyperlink ref="F912" r:id="rId2033" display="https://www.realitnitrh.cz/"/>
    <hyperlink ref="D913" r:id="rId2034" display="https://www.realitnitrh.cz/"/>
    <hyperlink ref="F913" r:id="rId2035" display="https://www.realitnitrh.cz/"/>
    <hyperlink ref="W913" r:id="rId2036" display="https://reklama.cncenter.cz/Online/double-skyscraper"/>
    <hyperlink ref="D914" r:id="rId2037" display="https://www.realitnitrh.cz/"/>
    <hyperlink ref="F914" r:id="rId2038" display="https://www.realitnitrh.cz/"/>
    <hyperlink ref="W914" r:id="rId2039" display="https://reklama.cncenter.cz/Online/mobilni-interscroller"/>
    <hyperlink ref="D915" r:id="rId2040" display="https://www.realitnitrh.cz/"/>
    <hyperlink ref="F915" r:id="rId2041" display="https://www.realitnitrh.cz/"/>
    <hyperlink ref="D916" r:id="rId2042" display="https://www.realitnitrh.cz/"/>
    <hyperlink ref="F916" r:id="rId2043" display="https://www.realitnitrh.cz/"/>
    <hyperlink ref="W916" r:id="rId2044" display="https://reklama.cncenter.cz/Online/nativni-PR-premium"/>
    <hyperlink ref="D917" r:id="rId2045" display="https://www.realitnitrh.cz/"/>
    <hyperlink ref="F917" r:id="rId2046" display="https://www.realitnitrh.cz/"/>
    <hyperlink ref="W917" r:id="rId2047" display="https://reklama.cncenter.cz/Online/nativni-rectangle-cross-device"/>
    <hyperlink ref="D918" r:id="rId2048" display="https://www.realitnitrh.cz/"/>
    <hyperlink ref="F918" r:id="rId2049" display="https://www.realitnitrh.cz/"/>
    <hyperlink ref="W918" r:id="rId2050" display="https://reklama.cncenter.cz/Online/Outstream"/>
    <hyperlink ref="D919" r:id="rId2051" display="https://www.realitnitrh.cz/"/>
    <hyperlink ref="F919" r:id="rId2052" display="https://www.realitnitrh.cz/"/>
    <hyperlink ref="W919" r:id="rId2053" display="https://reklama.cncenter.cz/?ads=PR%2520%25C4%258Dl%25C3%25A1nky"/>
    <hyperlink ref="D920" r:id="rId2054" display="https://www.realitnitrh.cz/"/>
    <hyperlink ref="F920" r:id="rId2055" display="https://www.realitnitrh.cz/"/>
    <hyperlink ref="D921" r:id="rId2056" display="https://www.realitnitrh.cz/"/>
    <hyperlink ref="F921" r:id="rId2057" display="https://www.realitnitrh.cz/"/>
    <hyperlink ref="D922" r:id="rId2058" display="https://www.realitnitrh.cz/"/>
    <hyperlink ref="F922" r:id="rId2059" display="https://www.realitnitrh.cz/"/>
    <hyperlink ref="D923" r:id="rId2060" display="https://recepty.cz/"/>
    <hyperlink ref="F923" r:id="rId2061" display="https://recepty.cz/"/>
    <hyperlink ref="D924" r:id="rId2062" display="https://recepty.cz/"/>
    <hyperlink ref="F924" r:id="rId2063" display="https://recepty.cz/"/>
    <hyperlink ref="W924" r:id="rId2064" display="https://reklama.cncenter.cz/Online/billboard-bottom"/>
    <hyperlink ref="D925" r:id="rId2065" display="https://recepty.cz/"/>
    <hyperlink ref="F925" r:id="rId2066" display="https://recepty.cz/"/>
    <hyperlink ref="W925" r:id="rId2067" display="https://reklama.cncenter.cz/Online/branding-cross-device"/>
    <hyperlink ref="D926" r:id="rId2068" display="https://recepty.cz/"/>
    <hyperlink ref="F926" r:id="rId2069" display="https://recepty.cz/"/>
    <hyperlink ref="W926" r:id="rId2070" display="https://reklama.cncenter.cz/Online/branding"/>
    <hyperlink ref="D927" r:id="rId2071" display="https://recepty.cz/"/>
    <hyperlink ref="F927" r:id="rId2072" display="https://recepty.cz/"/>
    <hyperlink ref="W927" r:id="rId2073" display="https://reklama.cncenter.cz/Online/billboard-bottom"/>
    <hyperlink ref="D928" r:id="rId2074" display="https://recepty.cz/"/>
    <hyperlink ref="F928" r:id="rId2075" display="https://recepty.cz/"/>
    <hyperlink ref="W928" r:id="rId2076" display="https://reklama.cncenter.cz/Online/branding-cross-device"/>
    <hyperlink ref="D929" r:id="rId2077" display="https://recepty.cz/"/>
    <hyperlink ref="F929" r:id="rId2078" display="https://recepty.cz/"/>
    <hyperlink ref="W929" r:id="rId2079" display="https://reklama.cncenter.cz/Online/branding"/>
    <hyperlink ref="D930" r:id="rId2080" display="https://recepty.cz/"/>
    <hyperlink ref="F930" r:id="rId2081" display="https://recepty.cz/"/>
    <hyperlink ref="W930" r:id="rId2082" display="https://reklama.cncenter.cz/Online/double-skyscraper"/>
    <hyperlink ref="D931" r:id="rId2083" display="https://recepty.cz/"/>
    <hyperlink ref="F931" r:id="rId2084" display="https://recepty.cz/"/>
    <hyperlink ref="W931" r:id="rId2085" display="https://reklama.cncenter.cz/Online/Videospot"/>
    <hyperlink ref="D932" r:id="rId2086" display="https://recepty.cz/"/>
    <hyperlink ref="F932" r:id="rId2087" display="https://recepty.cz/"/>
    <hyperlink ref="W932" r:id="rId2088" display="https://reklama.cncenter.cz/Online/mobilni-interscroller"/>
    <hyperlink ref="D933" r:id="rId2089" display="https://recepty.cz/"/>
    <hyperlink ref="F933" r:id="rId2090" display="https://recepty.cz/"/>
    <hyperlink ref="W933" r:id="rId2091" display="https://reklama.cncenter.cz/Online/mobilni-slide-up"/>
    <hyperlink ref="D934" r:id="rId2092" display="https://recepty.cz/"/>
    <hyperlink ref="F934" r:id="rId2093" display="https://recepty.cz/"/>
    <hyperlink ref="W934" r:id="rId2094" display="https://reklama.cncenter.cz/Online/mobilni-vineta"/>
    <hyperlink ref="D935" r:id="rId2095" display="https://recepty.cz/"/>
    <hyperlink ref="F935" r:id="rId2096" display="https://recepty.cz/"/>
    <hyperlink ref="W935" r:id="rId2097" display="https://reklama.cncenter.cz/Online/nativni-PR-premium"/>
    <hyperlink ref="D936" r:id="rId2098" display="https://recepty.cz/"/>
    <hyperlink ref="F936" r:id="rId2099" display="https://recepty.cz/"/>
    <hyperlink ref="W936" r:id="rId2100" display="https://reklama.cncenter.cz/Online/nativni-rectangle-cross-device"/>
    <hyperlink ref="D937" r:id="rId2101" display="https://recepty.cz/"/>
    <hyperlink ref="F937" r:id="rId2102" display="https://recepty.cz/"/>
    <hyperlink ref="W937" r:id="rId2103" display="https://reklama.cncenter.cz/Online/Outstream"/>
    <hyperlink ref="D938" r:id="rId2104" display="https://recepty.cz/"/>
    <hyperlink ref="F938" r:id="rId2105" display="https://recepty.cz/"/>
    <hyperlink ref="W938" r:id="rId2106" display="https://reklama.cncenter.cz/Online/Bumper"/>
    <hyperlink ref="D939" r:id="rId2107" display="https://recepty.cz/"/>
    <hyperlink ref="F939" r:id="rId2108" display="https://recepty.cz/"/>
    <hyperlink ref="D940" r:id="rId2109" display="https://recepty.cz/"/>
    <hyperlink ref="F940" r:id="rId2110" display="https://recepty.cz/"/>
    <hyperlink ref="W940" r:id="rId2111" display="https://reklama.cncenter.cz/Online/double-skyscraper"/>
    <hyperlink ref="D941" r:id="rId2112" display="https://recepty.cz/"/>
    <hyperlink ref="F941" r:id="rId2113" display="https://recepty.cz/"/>
    <hyperlink ref="W941" r:id="rId2114" display="https://reklama.cncenter.cz/Online/Videospot"/>
    <hyperlink ref="D942" r:id="rId2115" display="https://recepty.cz/"/>
    <hyperlink ref="F942" r:id="rId2116" display="https://recepty.cz/"/>
    <hyperlink ref="W942" r:id="rId2117" display="https://reklama.cncenter.cz/Online/mobilni-interscroller"/>
    <hyperlink ref="D943" r:id="rId2118" display="https://recepty.cz/"/>
    <hyperlink ref="F943" r:id="rId2119" display="https://recepty.cz/"/>
    <hyperlink ref="W943" r:id="rId2120" display="https://reklama.cncenter.cz/Online/mobilni-slide-up"/>
    <hyperlink ref="D944" r:id="rId2121" display="https://recepty.cz/"/>
    <hyperlink ref="F944" r:id="rId2122" display="https://recepty.cz/"/>
    <hyperlink ref="W944" r:id="rId2123" display="https://reklama.cncenter.cz/Online/mobilni-vineta"/>
    <hyperlink ref="D945" r:id="rId2124" display="https://recepty.cz/"/>
    <hyperlink ref="F945" r:id="rId2125" display="https://recepty.cz/"/>
    <hyperlink ref="D946" r:id="rId2126" display="https://recepty.cz/"/>
    <hyperlink ref="F946" r:id="rId2127" display="https://recepty.cz/"/>
    <hyperlink ref="W946" r:id="rId2128" display="https://reklama.cncenter.cz/Online/nativni-PR-premium"/>
    <hyperlink ref="D947" r:id="rId2129" display="https://recepty.cz/"/>
    <hyperlink ref="F947" r:id="rId2130" display="https://recepty.cz/"/>
    <hyperlink ref="W947" r:id="rId2131" display="https://reklama.cncenter.cz/Online/nativni-rectangle-cross-device"/>
    <hyperlink ref="D948" r:id="rId2132" display="https://recepty.cz/"/>
    <hyperlink ref="F948" r:id="rId2133" display="https://recepty.cz/"/>
    <hyperlink ref="W948" r:id="rId2134" display="https://reklama.cncenter.cz/Online/Outstream"/>
    <hyperlink ref="D949" r:id="rId2135" display="https://recepty.cz/"/>
    <hyperlink ref="F949" r:id="rId2136" display="https://recepty.cz/"/>
    <hyperlink ref="W949" r:id="rId2137" display="https://reklama.cncenter.cz/?ads=PR%2520%25C4%258Dl%25C3%25A1nky"/>
    <hyperlink ref="D950" r:id="rId2138" display="https://recepty.cz/"/>
    <hyperlink ref="F950" r:id="rId2139" display="https://recepty.cz/"/>
    <hyperlink ref="D951" r:id="rId2140" display="https://recepty.cz/"/>
    <hyperlink ref="F951" r:id="rId2141" display="https://recepty.cz/"/>
    <hyperlink ref="D952" r:id="rId2142" display="https://recepty.cz/"/>
    <hyperlink ref="F952" r:id="rId2143" display="https://recepty.cz/"/>
    <hyperlink ref="D953" r:id="rId2144" display="https://recepty.cz/"/>
    <hyperlink ref="F953" r:id="rId2145" display="https://recepty.cz/"/>
    <hyperlink ref="W953" r:id="rId2146" display="https://reklama.cncenter.cz/Online/Bumper"/>
    <hyperlink ref="D954" r:id="rId2147" display="https://reflex.cz/"/>
    <hyperlink ref="F954" r:id="rId2148" display="https://reflex.cz/"/>
    <hyperlink ref="D955" r:id="rId2149" display="https://reflex.cz/"/>
    <hyperlink ref="F955" r:id="rId2150" display="https://reflex.cz/"/>
    <hyperlink ref="W955" r:id="rId2151" display="https://reklama.cncenter.cz/Online/billboard-bottom"/>
    <hyperlink ref="D956" r:id="rId2152" display="https://reflex.cz/"/>
    <hyperlink ref="F956" r:id="rId2153" display="https://reflex.cz/"/>
    <hyperlink ref="W956" r:id="rId2154" display="https://reklama.cncenter.cz/Online/branding-cross-device"/>
    <hyperlink ref="D957" r:id="rId2155" display="https://reflex.cz/"/>
    <hyperlink ref="F957" r:id="rId2156" display="https://reflex.cz/"/>
    <hyperlink ref="W957" r:id="rId2157" display="https://reklama.cncenter.cz/Online/branding"/>
    <hyperlink ref="D958" r:id="rId2158" display="https://reflex.cz/"/>
    <hyperlink ref="F958" r:id="rId2159" display="https://reflex.cz/"/>
    <hyperlink ref="W958" r:id="rId2160" display="https://reklama.cncenter.cz/Online/billboard-bottom"/>
    <hyperlink ref="D959" r:id="rId2161" display="https://reflex.cz/"/>
    <hyperlink ref="F959" r:id="rId2162" display="https://reflex.cz/"/>
    <hyperlink ref="W959" r:id="rId2163" display="https://reklama.cncenter.cz/Online/branding-cross-device"/>
    <hyperlink ref="D960" r:id="rId2164" display="https://reflex.cz/"/>
    <hyperlink ref="F960" r:id="rId2165" display="https://reflex.cz/"/>
    <hyperlink ref="W960" r:id="rId2166" display="https://reklama.cncenter.cz/Online/branding"/>
    <hyperlink ref="D961" r:id="rId2167" display="https://reflex.cz/"/>
    <hyperlink ref="F961" r:id="rId2168" display="https://reflex.cz/"/>
    <hyperlink ref="W961" r:id="rId2169" display="https://reklama.cncenter.cz/Online/double-skyscraper"/>
    <hyperlink ref="D962" r:id="rId2170" display="https://reflex.cz/"/>
    <hyperlink ref="F962" r:id="rId2171" display="https://reflex.cz/"/>
    <hyperlink ref="W962" r:id="rId2172" display="https://reklama.cncenter.cz/Online/Videospot"/>
    <hyperlink ref="D963" r:id="rId2173" display="https://reflex.cz/"/>
    <hyperlink ref="F963" r:id="rId2174" display="https://reflex.cz/"/>
    <hyperlink ref="W963" r:id="rId2175" display="https://reklama.cncenter.cz/Online/mobilni-interscroller"/>
    <hyperlink ref="D964" r:id="rId2176" display="https://reflex.cz/"/>
    <hyperlink ref="F964" r:id="rId2177" display="https://reflex.cz/"/>
    <hyperlink ref="W964" r:id="rId2178" display="https://reklama.cncenter.cz/Online/mobilni-slide-up"/>
    <hyperlink ref="D965" r:id="rId2179" display="https://reflex.cz/"/>
    <hyperlink ref="F965" r:id="rId2180" display="https://reflex.cz/"/>
    <hyperlink ref="W965" r:id="rId2181" display="https://reklama.cncenter.cz/Online/mobilni-vineta"/>
    <hyperlink ref="D966" r:id="rId2182" display="https://reflex.cz/"/>
    <hyperlink ref="F966" r:id="rId2183" display="https://reflex.cz/"/>
    <hyperlink ref="W966" r:id="rId2184" display="https://reklama.cncenter.cz/Online/nativni-PR-premium"/>
    <hyperlink ref="D967" r:id="rId2185" display="https://reflex.cz/"/>
    <hyperlink ref="F967" r:id="rId2186" display="https://reflex.cz/"/>
    <hyperlink ref="W967" r:id="rId2187" display="https://reklama.cncenter.cz/Online/nativni-rectangle-cross-device"/>
    <hyperlink ref="D968" r:id="rId2188" display="https://reflex.cz/"/>
    <hyperlink ref="F968" r:id="rId2189" display="https://reflex.cz/"/>
    <hyperlink ref="W968" r:id="rId2190" display="https://reklama.cncenter.cz/Online/Outstream"/>
    <hyperlink ref="D969" r:id="rId2191" display="https://reflex.cz/"/>
    <hyperlink ref="F969" r:id="rId2192" display="https://reflex.cz/"/>
    <hyperlink ref="W969" r:id="rId2193" display="https://reklama.cncenter.cz/Online/Bumper"/>
    <hyperlink ref="D970" r:id="rId2194" display="https://reflex.cz/"/>
    <hyperlink ref="F970" r:id="rId2195" display="https://reflex.cz/"/>
    <hyperlink ref="D971" r:id="rId2196" display="https://reflex.cz/"/>
    <hyperlink ref="F971" r:id="rId2197" display="https://reflex.cz/"/>
    <hyperlink ref="W971" r:id="rId2198" display="https://reklama.cncenter.cz/Online/double-skyscraper"/>
    <hyperlink ref="D972" r:id="rId2199" display="https://reflex.cz/"/>
    <hyperlink ref="F972" r:id="rId2200" display="https://reflex.cz/"/>
    <hyperlink ref="W972" r:id="rId2201" display="https://reklama.cncenter.cz/Online/Videospot"/>
    <hyperlink ref="D973" r:id="rId2202" display="https://reflex.cz/"/>
    <hyperlink ref="F973" r:id="rId2203" display="https://reflex.cz/"/>
    <hyperlink ref="W973" r:id="rId2204" display="https://reklama.cncenter.cz/Online/mobilni-interscroller"/>
    <hyperlink ref="D974" r:id="rId2205" display="https://reflex.cz/"/>
    <hyperlink ref="F974" r:id="rId2206" display="https://reflex.cz/"/>
    <hyperlink ref="W974" r:id="rId2207" display="https://reklama.cncenter.cz/Online/mobilni-slide-up"/>
    <hyperlink ref="D975" r:id="rId2208" display="https://reflex.cz/"/>
    <hyperlink ref="F975" r:id="rId2209" display="https://reflex.cz/"/>
    <hyperlink ref="W975" r:id="rId2210" display="https://reklama.cncenter.cz/Online/mobilni-vineta"/>
    <hyperlink ref="D976" r:id="rId2211" display="https://reflex.cz/"/>
    <hyperlink ref="F976" r:id="rId2212" display="https://reflex.cz/"/>
    <hyperlink ref="D977" r:id="rId2213" display="https://reflex.cz/"/>
    <hyperlink ref="F977" r:id="rId2214" display="https://reflex.cz/"/>
    <hyperlink ref="W977" r:id="rId2215" display="https://reklama.cncenter.cz/Online/nativni-PR-premium"/>
    <hyperlink ref="D978" r:id="rId2216" display="https://reflex.cz/"/>
    <hyperlink ref="F978" r:id="rId2217" display="https://reflex.cz/"/>
    <hyperlink ref="W978" r:id="rId2218" display="https://reklama.cncenter.cz/Online/nativni-rectangle-cross-device"/>
    <hyperlink ref="D979" r:id="rId2219" display="https://reflex.cz/"/>
    <hyperlink ref="F979" r:id="rId2220" display="https://reflex.cz/"/>
    <hyperlink ref="W979" r:id="rId2221" display="https://reklama.cncenter.cz/Online/Outstream"/>
    <hyperlink ref="D980" r:id="rId2222" display="https://reflex.cz/"/>
    <hyperlink ref="F980" r:id="rId2223" display="https://reflex.cz/"/>
    <hyperlink ref="W980" r:id="rId2224" display="https://reklama.cncenter.cz/?ads=PR%2520%25C4%258Dl%25C3%25A1nky"/>
    <hyperlink ref="D981" r:id="rId2225" display="https://reflex.cz/"/>
    <hyperlink ref="F981" r:id="rId2226" display="https://reflex.cz/"/>
    <hyperlink ref="D982" r:id="rId2227" display="https://reflex.cz/"/>
    <hyperlink ref="F982" r:id="rId2228" display="https://reflex.cz/"/>
    <hyperlink ref="D983" r:id="rId2229" display="https://reflex.cz/"/>
    <hyperlink ref="F983" r:id="rId2230" display="https://reflex.cz/"/>
    <hyperlink ref="D984" r:id="rId2231" display="https://reflex.cz/"/>
    <hyperlink ref="F984" r:id="rId2232" display="https://reflex.cz/"/>
    <hyperlink ref="W984" r:id="rId2233" display="https://reklama.cncenter.cz/Online/Bumper"/>
    <hyperlink ref="D985" r:id="rId2234" display="https://sportrevue.cz/"/>
    <hyperlink ref="F985" r:id="rId2235" display="https://sportrevue.cz/"/>
    <hyperlink ref="D986" r:id="rId2236" display="https://sportrevue.cz/"/>
    <hyperlink ref="F986" r:id="rId2237" display="https://sportrevue.cz/"/>
    <hyperlink ref="D987" r:id="rId2238" display="https://sportrevue.cz/"/>
    <hyperlink ref="F987" r:id="rId2239" display="https://sportrevue.cz/"/>
    <hyperlink ref="D988" r:id="rId2240" display="https://sportrevue.cz/"/>
    <hyperlink ref="F988" r:id="rId2241" display="https://sportrevue.cz/"/>
    <hyperlink ref="W988" r:id="rId2242" display="https://reklama.cncenter.cz/?ads=PR%2520%25C4%258Dl%25C3%25A1nky"/>
    <hyperlink ref="D989" r:id="rId2243" display="https://sportrevue.cz/"/>
    <hyperlink ref="F989" r:id="rId2244" display="https://sportrevue.cz/"/>
    <hyperlink ref="D990" r:id="rId2245" display="https://sportrevue.cz/"/>
    <hyperlink ref="F990" r:id="rId2246" display="https://sportrevue.cz/"/>
    <hyperlink ref="D991" r:id="rId2247" display="https://sportrevue.cz/"/>
    <hyperlink ref="F991" r:id="rId2248" display="https://sportrevue.cz/"/>
    <hyperlink ref="D992" r:id="rId2249" display="http://www.tiktok.com/"/>
    <hyperlink ref="F992" r:id="rId2250" display="http://www.tiktok.com/"/>
    <hyperlink ref="D993" r:id="rId2251" display="https://vtm.zive.cz/"/>
    <hyperlink ref="F993" r:id="rId2252" display="https://vtm.zive.cz/"/>
    <hyperlink ref="W993" r:id="rId2253" display="https://reklama.cncenter.cz/Online/billboard-bottom"/>
    <hyperlink ref="D994" r:id="rId2254" display="https://vtm.zive.cz/"/>
    <hyperlink ref="F994" r:id="rId2255" display="https://vtm.zive.cz/"/>
    <hyperlink ref="W994" r:id="rId2256" display="https://reklama.cncenter.cz/Online/branding-cross-device"/>
    <hyperlink ref="D995" r:id="rId2257" display="https://vtm.zive.cz/"/>
    <hyperlink ref="F995" r:id="rId2258" display="https://vtm.zive.cz/"/>
    <hyperlink ref="W995" r:id="rId2259" display="https://reklama.cncenter.cz/Online/branding"/>
    <hyperlink ref="D996" r:id="rId2260" display="https://vtm.zive.cz/"/>
    <hyperlink ref="F996" r:id="rId2261" display="https://vtm.zive.cz/"/>
    <hyperlink ref="W996" r:id="rId2262" display="https://reklama.cncenter.cz/Online/billboard-bottom"/>
    <hyperlink ref="D997" r:id="rId2263" display="https://vtm.zive.cz/"/>
    <hyperlink ref="F997" r:id="rId2264" display="https://vtm.zive.cz/"/>
    <hyperlink ref="W997" r:id="rId2265" display="https://reklama.cncenter.cz/Online/branding-cross-device"/>
    <hyperlink ref="D998" r:id="rId2266" display="https://vtm.zive.cz/"/>
    <hyperlink ref="F998" r:id="rId2267" display="https://vtm.zive.cz/"/>
    <hyperlink ref="W998" r:id="rId2268" display="https://reklama.cncenter.cz/Online/branding"/>
    <hyperlink ref="D999" r:id="rId2269" display="https://vtm.zive.cz/"/>
    <hyperlink ref="F999" r:id="rId2270" display="https://vtm.zive.cz/"/>
    <hyperlink ref="W999" r:id="rId2271" display="https://reklama.cncenter.cz/Online/double-skyscraper"/>
    <hyperlink ref="D1000" r:id="rId2272" display="https://vtm.zive.cz/"/>
    <hyperlink ref="F1000" r:id="rId2273" display="https://vtm.zive.cz/"/>
    <hyperlink ref="W1000" r:id="rId2274" display="https://reklama.cncenter.cz/Online/mobilni-interscroller"/>
    <hyperlink ref="D1001" r:id="rId2275" display="https://vtm.zive.cz/"/>
    <hyperlink ref="F1001" r:id="rId2276" display="https://vtm.zive.cz/"/>
    <hyperlink ref="W1001" r:id="rId2277" display="https://reklama.cncenter.cz/Online/mobilni-slide-up"/>
    <hyperlink ref="D1002" r:id="rId2278" display="https://vtm.zive.cz/"/>
    <hyperlink ref="F1002" r:id="rId2279" display="https://vtm.zive.cz/"/>
    <hyperlink ref="W1002" r:id="rId2280" display="https://reklama.cncenter.cz/Online/mobilni-vineta"/>
    <hyperlink ref="D1003" r:id="rId2281" display="https://vtm.zive.cz/"/>
    <hyperlink ref="F1003" r:id="rId2282" display="https://vtm.zive.cz/"/>
    <hyperlink ref="W1003" r:id="rId2283" display="https://reklama.cncenter.cz/Online/nativni-rectangle-cross-device"/>
    <hyperlink ref="D1004" r:id="rId2284" display="https://vtm.zive.cz/"/>
    <hyperlink ref="F1004" r:id="rId2285" display="https://vtm.zive.cz/"/>
    <hyperlink ref="W1004" r:id="rId2286" display="https://reklama.cncenter.cz/Online/Outstream"/>
    <hyperlink ref="D1005" r:id="rId2287" display="https://vtm.zive.cz/"/>
    <hyperlink ref="F1005" r:id="rId2288" display="https://vtm.zive.cz/"/>
    <hyperlink ref="W1005" r:id="rId2289" display="https://reklama.cncenter.cz/Online/double-skyscraper"/>
    <hyperlink ref="D1006" r:id="rId2290" display="https://vtm.zive.cz/"/>
    <hyperlink ref="F1006" r:id="rId2291" display="https://vtm.zive.cz/"/>
    <hyperlink ref="W1006" r:id="rId2292" display="https://reklama.cncenter.cz/Online/mobilni-interscroller"/>
    <hyperlink ref="D1007" r:id="rId2293" display="https://vtm.zive.cz/"/>
    <hyperlink ref="F1007" r:id="rId2294" display="https://vtm.zive.cz/"/>
    <hyperlink ref="W1007" r:id="rId2295" display="https://reklama.cncenter.cz/Online/mobilni-slide-up"/>
    <hyperlink ref="D1008" r:id="rId2296" display="https://vtm.zive.cz/"/>
    <hyperlink ref="F1008" r:id="rId2297" display="https://vtm.zive.cz/"/>
    <hyperlink ref="W1008" r:id="rId2298" display="https://reklama.cncenter.cz/Online/mobilni-vineta"/>
    <hyperlink ref="D1009" r:id="rId2299" display="https://vtm.zive.cz/"/>
    <hyperlink ref="F1009" r:id="rId2300" display="https://vtm.zive.cz/"/>
    <hyperlink ref="W1009" r:id="rId2301" display="https://reklama.cncenter.cz/Online/nativni-rectangle-cross-device"/>
    <hyperlink ref="D1010" r:id="rId2302" display="https://vtm.zive.cz/"/>
    <hyperlink ref="F1010" r:id="rId2303" display="https://vtm.zive.cz/"/>
    <hyperlink ref="W1010" r:id="rId2304" display="https://reklama.cncenter.cz/Online/Outstream"/>
    <hyperlink ref="D1011" r:id="rId2305" display="https://x.com/"/>
    <hyperlink ref="F1011" r:id="rId2306" display="https://x.com/"/>
    <hyperlink ref="D1012" r:id="rId2307" display="https://x.com/"/>
    <hyperlink ref="F1012" r:id="rId2308" display="https://x.com/"/>
    <hyperlink ref="D1013" r:id="rId2309" display="https://youradio.cz/"/>
    <hyperlink ref="F1013" r:id="rId2310" display="https://youradio.cz/"/>
    <hyperlink ref="W1013" r:id="rId2311" display="https://reklama.cncenter.cz/Online/double-skyscraper"/>
    <hyperlink ref="D1014" r:id="rId2312" display="https://youradio.cz/"/>
    <hyperlink ref="F1014" r:id="rId2313" display="https://youradio.cz/"/>
    <hyperlink ref="W1014" r:id="rId2314" display="https://reklama.cncenter.cz/Online/double-skyscraper"/>
    <hyperlink ref="D1015" r:id="rId2315" display="https://zeny.cz/"/>
    <hyperlink ref="F1015" r:id="rId2316" display="https://zeny.cz/"/>
    <hyperlink ref="D1016" r:id="rId2317" display="https://zeny.cz/"/>
    <hyperlink ref="F1016" r:id="rId2318" display="https://zeny.cz/"/>
    <hyperlink ref="W1016" r:id="rId2319" display="https://reklama.cncenter.cz/Online/billboard-bottom"/>
    <hyperlink ref="D1017" r:id="rId2320" display="https://zeny.cz/"/>
    <hyperlink ref="F1017" r:id="rId2321" display="https://zeny.cz/"/>
    <hyperlink ref="W1017" r:id="rId2322" display="https://reklama.cncenter.cz/Online/branding-cross-device"/>
    <hyperlink ref="D1018" r:id="rId2323" display="https://zeny.cz/"/>
    <hyperlink ref="F1018" r:id="rId2324" display="https://zeny.cz/"/>
    <hyperlink ref="W1018" r:id="rId2325" display="https://reklama.cncenter.cz/Online/branding"/>
    <hyperlink ref="D1019" r:id="rId2326" display="https://zeny.cz/"/>
    <hyperlink ref="F1019" r:id="rId2327" display="https://zeny.cz/"/>
    <hyperlink ref="W1019" r:id="rId2328" display="https://reklama.cncenter.cz/Online/billboard-bottom"/>
    <hyperlink ref="D1020" r:id="rId2329" display="https://zeny.cz/"/>
    <hyperlink ref="F1020" r:id="rId2330" display="https://zeny.cz/"/>
    <hyperlink ref="W1020" r:id="rId2331" display="https://reklama.cncenter.cz/Online/branding-cross-device"/>
    <hyperlink ref="D1021" r:id="rId2332" display="https://zeny.cz/"/>
    <hyperlink ref="F1021" r:id="rId2333" display="https://zeny.cz/"/>
    <hyperlink ref="W1021" r:id="rId2334" display="https://reklama.cncenter.cz/Online/branding"/>
    <hyperlink ref="D1022" r:id="rId2335" display="https://zeny.cz/"/>
    <hyperlink ref="F1022" r:id="rId2336" display="https://zeny.cz/"/>
    <hyperlink ref="W1022" r:id="rId2337" display="https://reklama.cncenter.cz/Online/double-skyscraper"/>
    <hyperlink ref="D1023" r:id="rId2338" display="https://zeny.cz/"/>
    <hyperlink ref="F1023" r:id="rId2339" display="https://zeny.cz/"/>
    <hyperlink ref="W1023" r:id="rId2340" display="https://reklama.cncenter.cz/Online/Videospot"/>
    <hyperlink ref="D1024" r:id="rId2341" display="https://zeny.cz/"/>
    <hyperlink ref="F1024" r:id="rId2342" display="https://zeny.cz/"/>
    <hyperlink ref="W1024" r:id="rId2343" display="https://reklama.cncenter.cz/Online/mobilni-interscroller"/>
    <hyperlink ref="D1025" r:id="rId2344" display="https://zeny.cz/"/>
    <hyperlink ref="F1025" r:id="rId2345" display="https://zeny.cz/"/>
    <hyperlink ref="W1025" r:id="rId2346" display="https://reklama.cncenter.cz/Online/mobilni-slide-up"/>
    <hyperlink ref="D1026" r:id="rId2347" display="https://zeny.cz/"/>
    <hyperlink ref="F1026" r:id="rId2348" display="https://zeny.cz/"/>
    <hyperlink ref="W1026" r:id="rId2349" display="https://reklama.cncenter.cz/Online/mobilni-vineta"/>
    <hyperlink ref="D1027" r:id="rId2350" display="https://zeny.cz/"/>
    <hyperlink ref="F1027" r:id="rId2351" display="https://zeny.cz/"/>
    <hyperlink ref="W1027" r:id="rId2352" display="https://reklama.cncenter.cz/Online/nativni-PR-premium"/>
    <hyperlink ref="D1028" r:id="rId2353" display="https://zeny.cz/"/>
    <hyperlink ref="F1028" r:id="rId2354" display="https://zeny.cz/"/>
    <hyperlink ref="W1028" r:id="rId2355" display="https://reklama.cncenter.cz/Online/nativni-rectangle-cross-device"/>
    <hyperlink ref="D1029" r:id="rId2356" display="https://zeny.cz/"/>
    <hyperlink ref="F1029" r:id="rId2357" display="https://zeny.cz/"/>
    <hyperlink ref="W1029" r:id="rId2358" display="https://reklama.cncenter.cz/Online/Outstream"/>
    <hyperlink ref="D1030" r:id="rId2359" display="https://zeny.cz/"/>
    <hyperlink ref="F1030" r:id="rId2360" display="https://zeny.cz/"/>
    <hyperlink ref="W1030" r:id="rId2361" display="https://reklama.cncenter.cz/Online/Bumper"/>
    <hyperlink ref="D1031" r:id="rId2362" display="https://zeny.cz/"/>
    <hyperlink ref="F1031" r:id="rId2363" display="https://zeny.cz/"/>
    <hyperlink ref="D1032" r:id="rId2364" display="https://zeny.cz/"/>
    <hyperlink ref="F1032" r:id="rId2365" display="https://zeny.cz/"/>
    <hyperlink ref="W1032" r:id="rId2366" display="https://reklama.cncenter.cz/Online/double-skyscraper"/>
    <hyperlink ref="D1033" r:id="rId2367" display="https://zeny.cz/"/>
    <hyperlink ref="F1033" r:id="rId2368" display="https://zeny.cz/"/>
    <hyperlink ref="W1033" r:id="rId2369" display="https://reklama.cncenter.cz/Online/Videospot"/>
    <hyperlink ref="D1034" r:id="rId2370" display="https://zeny.cz/"/>
    <hyperlink ref="F1034" r:id="rId2371" display="https://zeny.cz/"/>
    <hyperlink ref="W1034" r:id="rId2372" display="https://reklama.cncenter.cz/Online/mobilni-interscroller"/>
    <hyperlink ref="D1035" r:id="rId2373" display="https://zeny.cz/"/>
    <hyperlink ref="F1035" r:id="rId2374" display="https://zeny.cz/"/>
    <hyperlink ref="W1035" r:id="rId2375" display="https://reklama.cncenter.cz/Online/mobilni-slide-up"/>
    <hyperlink ref="D1036" r:id="rId2376" display="https://zeny.cz/"/>
    <hyperlink ref="F1036" r:id="rId2377" display="https://zeny.cz/"/>
    <hyperlink ref="W1036" r:id="rId2378" display="https://reklama.cncenter.cz/Online/mobilni-vineta"/>
    <hyperlink ref="D1037" r:id="rId2379" display="https://zeny.cz/"/>
    <hyperlink ref="F1037" r:id="rId2380" display="https://zeny.cz/"/>
    <hyperlink ref="D1038" r:id="rId2381" display="https://zeny.cz/"/>
    <hyperlink ref="F1038" r:id="rId2382" display="https://zeny.cz/"/>
    <hyperlink ref="W1038" r:id="rId2383" display="https://reklama.cncenter.cz/Online/nativni-PR-premium"/>
    <hyperlink ref="D1039" r:id="rId2384" display="https://zeny.cz/"/>
    <hyperlink ref="F1039" r:id="rId2385" display="https://zeny.cz/"/>
    <hyperlink ref="W1039" r:id="rId2386" display="https://reklama.cncenter.cz/Online/nativni-rectangle-cross-device"/>
    <hyperlink ref="D1040" r:id="rId2387" display="https://zeny.cz/"/>
    <hyperlink ref="F1040" r:id="rId2388" display="https://zeny.cz/"/>
    <hyperlink ref="W1040" r:id="rId2389" display="https://reklama.cncenter.cz/Online/Outstream"/>
    <hyperlink ref="D1041" r:id="rId2390" display="https://zeny.cz/"/>
    <hyperlink ref="F1041" r:id="rId2391" display="https://zeny.cz/"/>
    <hyperlink ref="W1041" r:id="rId2392" display="https://reklama.cncenter.cz/?ads=PR%2520%25C4%258Dl%25C3%25A1nky"/>
    <hyperlink ref="D1042" r:id="rId2393" display="https://zeny.cz/"/>
    <hyperlink ref="F1042" r:id="rId2394" display="https://zeny.cz/"/>
    <hyperlink ref="D1043" r:id="rId2395" display="https://zeny.cz/"/>
    <hyperlink ref="F1043" r:id="rId2396" display="https://zeny.cz/"/>
    <hyperlink ref="D1044" r:id="rId2397" display="https://zeny.cz/"/>
    <hyperlink ref="F1044" r:id="rId2398" display="https://zeny.cz/"/>
    <hyperlink ref="D1045" r:id="rId2399" display="https://zeny.cz/"/>
    <hyperlink ref="F1045" r:id="rId2400" display="https://zeny.cz/"/>
    <hyperlink ref="W1045" r:id="rId2401" display="https://reklama.cncenter.cz/Online/Bumper"/>
    <hyperlink ref="D1046" r:id="rId2402" display="https://zive.cz/"/>
    <hyperlink ref="F1046" r:id="rId2403" display="https://zive.cz/"/>
    <hyperlink ref="D1047" r:id="rId2404" display="https://zive.cz/"/>
    <hyperlink ref="F1047" r:id="rId2405" display="https://zive.cz/"/>
    <hyperlink ref="W1047" r:id="rId2406" display="https://reklama.cncenter.cz/Online/billboard-bottom"/>
    <hyperlink ref="D1048" r:id="rId2407" display="https://zive.cz/"/>
    <hyperlink ref="F1048" r:id="rId2408" display="https://zive.cz/"/>
    <hyperlink ref="W1048" r:id="rId2409" display="https://reklama.cncenter.cz/Online/branding-cross-device"/>
    <hyperlink ref="D1049" r:id="rId2410" display="https://zive.cz/"/>
    <hyperlink ref="F1049" r:id="rId2411" display="https://zive.cz/"/>
    <hyperlink ref="W1049" r:id="rId2412" display="https://reklama.cncenter.cz/Online/branding"/>
    <hyperlink ref="D1050" r:id="rId2413" display="https://zive.cz/"/>
    <hyperlink ref="F1050" r:id="rId2414" display="https://zive.cz/"/>
    <hyperlink ref="W1050" r:id="rId2415" display="https://reklama.cncenter.cz/Online/billboard-bottom"/>
    <hyperlink ref="D1051" r:id="rId2416" display="https://zive.cz/"/>
    <hyperlink ref="F1051" r:id="rId2417" display="https://zive.cz/"/>
    <hyperlink ref="W1051" r:id="rId2418" display="https://reklama.cncenter.cz/Online/branding-cross-device"/>
    <hyperlink ref="D1052" r:id="rId2419" display="https://zive.cz/"/>
    <hyperlink ref="F1052" r:id="rId2420" display="https://zive.cz/"/>
    <hyperlink ref="W1052" r:id="rId2421" display="https://reklama.cncenter.cz/Online/branding"/>
    <hyperlink ref="D1053" r:id="rId2422" display="https://zive.cz/"/>
    <hyperlink ref="F1053" r:id="rId2423" display="https://zive.cz/"/>
    <hyperlink ref="W1053" r:id="rId2424" display="https://reklama.cncenter.cz/Online/double-skyscraper"/>
    <hyperlink ref="D1054" r:id="rId2425" display="https://zive.cz/"/>
    <hyperlink ref="F1054" r:id="rId2426" display="https://zive.cz/"/>
    <hyperlink ref="W1054" r:id="rId2427" display="https://reklama.cncenter.cz/Online/mobilni-interscroller"/>
    <hyperlink ref="D1055" r:id="rId2428" display="https://zive.cz/"/>
    <hyperlink ref="F1055" r:id="rId2429" display="https://zive.cz/"/>
    <hyperlink ref="W1055" r:id="rId2430" display="https://reklama.cncenter.cz/Online/mobilni-slide-up"/>
    <hyperlink ref="D1056" r:id="rId2431" display="https://zive.cz/"/>
    <hyperlink ref="F1056" r:id="rId2432" display="https://zive.cz/"/>
    <hyperlink ref="W1056" r:id="rId2433" display="https://reklama.cncenter.cz/Online/mobilni-vineta"/>
    <hyperlink ref="D1057" r:id="rId2434" display="https://zive.cz/"/>
    <hyperlink ref="F1057" r:id="rId2435" display="https://zive.cz/"/>
    <hyperlink ref="W1057" r:id="rId2436" display="https://reklama.cncenter.cz/Online/nativni-PR-premium"/>
    <hyperlink ref="D1058" r:id="rId2437" display="https://zive.cz/"/>
    <hyperlink ref="F1058" r:id="rId2438" display="https://zive.cz/"/>
    <hyperlink ref="W1058" r:id="rId2439" display="https://reklama.cncenter.cz/Online/nativni-rectangle-cross-device"/>
    <hyperlink ref="D1059" r:id="rId2440" display="https://zive.cz/"/>
    <hyperlink ref="F1059" r:id="rId2441" display="https://zive.cz/"/>
    <hyperlink ref="W1059" r:id="rId2442" display="https://reklama.cncenter.cz/Online/Outstream"/>
    <hyperlink ref="D1060" r:id="rId2443" display="https://zive.cz/"/>
    <hyperlink ref="F1060" r:id="rId2444" display="https://zive.cz/"/>
    <hyperlink ref="W1060" r:id="rId2445" display="https://reklama.cncenter.cz/Online/Bumper"/>
    <hyperlink ref="D1061" r:id="rId2446" display="https://zive.cz/"/>
    <hyperlink ref="F1061" r:id="rId2447" display="https://zive.cz/"/>
    <hyperlink ref="D1062" r:id="rId2448" display="https://zive.cz/"/>
    <hyperlink ref="F1062" r:id="rId2449" display="https://zive.cz/"/>
    <hyperlink ref="W1062" r:id="rId2450" display="https://reklama.cncenter.cz/Online/double-skyscraper"/>
    <hyperlink ref="D1063" r:id="rId2451" display="https://zive.cz/"/>
    <hyperlink ref="F1063" r:id="rId2452" display="https://zive.cz/"/>
    <hyperlink ref="W1063" r:id="rId2453" display="https://reklama.cncenter.cz/Online/mobilni-interscroller"/>
    <hyperlink ref="D1064" r:id="rId2454" display="https://zive.cz/"/>
    <hyperlink ref="F1064" r:id="rId2455" display="https://zive.cz/"/>
    <hyperlink ref="W1064" r:id="rId2456" display="https://reklama.cncenter.cz/Online/mobilni-slide-up"/>
    <hyperlink ref="D1065" r:id="rId2457" display="https://zive.cz/"/>
    <hyperlink ref="F1065" r:id="rId2458" display="https://zive.cz/"/>
    <hyperlink ref="W1065" r:id="rId2459" display="https://reklama.cncenter.cz/Online/mobilni-vineta"/>
    <hyperlink ref="D1066" r:id="rId2460" display="https://zive.cz/"/>
    <hyperlink ref="F1066" r:id="rId2461" display="https://zive.cz/"/>
    <hyperlink ref="D1067" r:id="rId2462" display="https://zive.cz/"/>
    <hyperlink ref="F1067" r:id="rId2463" display="https://zive.cz/"/>
    <hyperlink ref="W1067" r:id="rId2464" display="https://reklama.cncenter.cz/Online/nativni-PR-premium"/>
    <hyperlink ref="D1068" r:id="rId2465" display="https://zive.cz/"/>
    <hyperlink ref="F1068" r:id="rId2466" display="https://zive.cz/"/>
    <hyperlink ref="W1068" r:id="rId2467" display="https://reklama.cncenter.cz/Online/nativni-rectangle-cross-device"/>
    <hyperlink ref="D1069" r:id="rId2468" display="https://zive.cz/"/>
    <hyperlink ref="F1069" r:id="rId2469" display="https://zive.cz/"/>
    <hyperlink ref="W1069" r:id="rId2470" display="https://reklama.cncenter.cz/Online/Outstream"/>
    <hyperlink ref="D1070" r:id="rId2471" display="https://zive.cz/"/>
    <hyperlink ref="F1070" r:id="rId2472" display="https://zive.cz/"/>
    <hyperlink ref="W1070" r:id="rId2473" display="https://reklama.cncenter.cz/?ads=PR%2520%25C4%258Dl%25C3%25A1nky"/>
    <hyperlink ref="D1071" r:id="rId2474" display="https://zive.cz/"/>
    <hyperlink ref="F1071" r:id="rId2475" display="https://zive.cz/"/>
    <hyperlink ref="D1072" r:id="rId2476" display="https://zive.cz/"/>
    <hyperlink ref="F1072" r:id="rId2477" display="https://zive.cz/"/>
    <hyperlink ref="D1073" r:id="rId2478" display="https://zive.cz/"/>
    <hyperlink ref="F1073" r:id="rId2479" display="https://zive.cz/"/>
    <hyperlink ref="D1074" r:id="rId2480" display="https://zive.cz/"/>
    <hyperlink ref="F1074" r:id="rId2481" display="https://zive.cz/"/>
    <hyperlink ref="W1074" r:id="rId2482" display="https://reklama.cncenter.cz/Online/Bumper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074"/>
  <sheetViews>
    <sheetView tabSelected="1" workbookViewId="0">
      <selection sqref="A1:XFD1"/>
    </sheetView>
  </sheetViews>
  <sheetFormatPr defaultRowHeight="14.4" x14ac:dyDescent="0.3"/>
  <sheetData>
    <row r="1" spans="1:67" s="2" customFormat="1" ht="46.5" customHeight="1" x14ac:dyDescent="0.3">
      <c r="A1" s="1" t="s">
        <v>0</v>
      </c>
      <c r="B1" s="1" t="s">
        <v>1</v>
      </c>
      <c r="C1" s="1" t="str">
        <f ca="1">IFERROR(__xludf.DUMMYFUNCTION("QUERY({'weby  packy sprava'!C1:BD1242;  'pr produkty sprava'!C2:BD1242; 'idvert sprava'!C2:BD1242; 'SoMe site sprava'!C2:BD1242; 'active radio sprava'!C2:BD1242;  'kvizuj sprava'!C2:BD1242;  'heureka sprava'!C2:BD1242;  'tivio sprava'!C2:BD1242}, ""SELECT"&amp;" Col1, Col2, Col3, Col4, Col5, Col6, Col7, Col8, Col9, Col10, Col11, Col12, Col13, Col14, Col15, Col16, Col17,Col18, Col19, Col20, Col21, Col22, Col23, Col24, Col25, Col26, Col27, Col28, Col29, Col30, Col31, Col32, Col33, Col34, Col35, Col36, Col37, Col38"&amp;", Col39, Col40, Col41, Col42,  Col44, Col45, Col54 WHERE (Not Col50 Like '%bazary%' OR Not Col50 Like '%zbozaky%') And (Col51 Like '%mid season%' OR Col51 Like '%Celorok%') And Col53 is null Order By Col1, Col5 "")"),"web_name")</f>
        <v>web_name</v>
      </c>
      <c r="D1" s="1" t="str">
        <f ca="1">IFERROR(__xludf.DUMMYFUNCTION("""COMPUTED_VALUE"""),"web_url")</f>
        <v>web_url</v>
      </c>
      <c r="E1" s="1" t="str">
        <f ca="1">IFERROR(__xludf.DUMMYFUNCTION("""COMPUTED_VALUE"""),"section_name")</f>
        <v>section_name</v>
      </c>
      <c r="F1" s="1" t="str">
        <f ca="1">IFERROR(__xludf.DUMMYFUNCTION("""COMPUTED_VALUE"""),"section_url")</f>
        <v>section_url</v>
      </c>
      <c r="G1" s="1" t="str">
        <f ca="1">IFERROR(__xludf.DUMMYFUNCTION("""COMPUTED_VALUE"""),"format_name")</f>
        <v>format_name</v>
      </c>
      <c r="H1" s="1" t="str">
        <f ca="1">IFERROR(__xludf.DUMMYFUNCTION("""COMPUTED_VALUE"""),"buy_unit_days")</f>
        <v>buy_unit_days</v>
      </c>
      <c r="I1" s="1" t="str">
        <f ca="1">IFERROR(__xludf.DUMMYFUNCTION("""COMPUTED_VALUE"""),"price_units_number")</f>
        <v>price_units_number</v>
      </c>
      <c r="J1" s="1" t="str">
        <f ca="1">IFERROR(__xludf.DUMMYFUNCTION("""COMPUTED_VALUE"""),"price")</f>
        <v>price</v>
      </c>
      <c r="K1" s="1" t="str">
        <f ca="1">IFERROR(__xludf.DUMMYFUNCTION("""COMPUTED_VALUE"""),"users")</f>
        <v>users</v>
      </c>
      <c r="L1" s="1" t="str">
        <f ca="1">IFERROR(__xludf.DUMMYFUNCTION("""COMPUTED_VALUE"""),"buying_model")</f>
        <v>buying_model</v>
      </c>
      <c r="M1" s="1" t="str">
        <f ca="1">IFERROR(__xludf.DUMMYFUNCTION("""COMPUTED_VALUE"""),"fixed_position")</f>
        <v>fixed_position</v>
      </c>
      <c r="N1" s="1" t="str">
        <f ca="1">IFERROR(__xludf.DUMMYFUNCTION("""COMPUTED_VALUE"""),"format_max_symbols")</f>
        <v>format_max_symbols</v>
      </c>
      <c r="O1" s="1" t="str">
        <f ca="1">IFERROR(__xludf.DUMMYFUNCTION("""COMPUTED_VALUE"""),"format_width")</f>
        <v>format_width</v>
      </c>
      <c r="P1" s="1" t="str">
        <f ca="1">IFERROR(__xludf.DUMMYFUNCTION("""COMPUTED_VALUE"""),"format_height")</f>
        <v>format_height</v>
      </c>
      <c r="Q1" s="1" t="str">
        <f ca="1">IFERROR(__xludf.DUMMYFUNCTION("""COMPUTED_VALUE"""),"format_next_dimensions")</f>
        <v>format_next_dimensions</v>
      </c>
      <c r="R1" s="1" t="str">
        <f ca="1">IFERROR(__xludf.DUMMYFUNCTION("""COMPUTED_VALUE"""),"position_description")</f>
        <v>position_description</v>
      </c>
      <c r="S1" s="1" t="str">
        <f ca="1">IFERROR(__xludf.DUMMYFUNCTION("""COMPUTED_VALUE"""),"format_max_KB")</f>
        <v>format_max_KB</v>
      </c>
      <c r="T1" s="1" t="str">
        <f ca="1">IFERROR(__xludf.DUMMYFUNCTION("""COMPUTED_VALUE"""),"rotation")</f>
        <v>rotation</v>
      </c>
      <c r="U1" s="1" t="str">
        <f ca="1">IFERROR(__xludf.DUMMYFUNCTION("""COMPUTED_VALUE"""),"position_category")</f>
        <v>position_category</v>
      </c>
      <c r="V1" s="1" t="str">
        <f ca="1">IFERROR(__xludf.DUMMYFUNCTION("""COMPUTED_VALUE"""),"web_description_tp")</f>
        <v>web_description_tp</v>
      </c>
      <c r="W1" s="1" t="str">
        <f ca="1">IFERROR(__xludf.DUMMYFUNCTION("""COMPUTED_VALUE"""),"position_description_tp")</f>
        <v>position_description_tp</v>
      </c>
      <c r="X1" s="1" t="str">
        <f ca="1">IFERROR(__xludf.DUMMYFUNCTION("""COMPUTED_VALUE"""),"seller_email_reservation")</f>
        <v>seller_email_reservation</v>
      </c>
      <c r="Y1" s="1" t="str">
        <f ca="1">IFERROR(__xludf.DUMMYFUNCTION("""COMPUTED_VALUE"""),"seller_email_order")</f>
        <v>seller_email_order</v>
      </c>
      <c r="Z1" s="1" t="str">
        <f ca="1">IFERROR(__xludf.DUMMYFUNCTION("""COMPUTED_VALUE"""),"seller_email_materials")</f>
        <v>seller_email_materials</v>
      </c>
      <c r="AA1" s="1" t="str">
        <f ca="1">IFERROR(__xludf.DUMMYFUNCTION("""COMPUTED_VALUE"""),"seller_description_tp")</f>
        <v>seller_description_tp</v>
      </c>
      <c r="AB1" s="1" t="str">
        <f ca="1">IFERROR(__xludf.DUMMYFUNCTION("""COMPUTED_VALUE"""),"screenshot_url")</f>
        <v>screenshot_url</v>
      </c>
      <c r="AC1" s="1" t="str">
        <f ca="1">IFERROR(__xludf.DUMMYFUNCTION("""COMPUTED_VALUE"""),"screenshot_url_0")</f>
        <v>screenshot_url_0</v>
      </c>
      <c r="AD1" s="1" t="str">
        <f ca="1">IFERROR(__xludf.DUMMYFUNCTION("""COMPUTED_VALUE"""),"screenshot_url_1")</f>
        <v>screenshot_url_1</v>
      </c>
      <c r="AE1" s="1" t="str">
        <f ca="1">IFERROR(__xludf.DUMMYFUNCTION("""COMPUTED_VALUE"""),"screenshot_url_2")</f>
        <v>screenshot_url_2</v>
      </c>
      <c r="AF1" s="1" t="str">
        <f ca="1">IFERROR(__xludf.DUMMYFUNCTION("""COMPUTED_VALUE"""),"non_ac")</f>
        <v>non_ac</v>
      </c>
      <c r="AG1" s="1" t="str">
        <f ca="1">IFERROR(__xludf.DUMMYFUNCTION("""COMPUTED_VALUE"""),"non_fee")</f>
        <v>non_fee</v>
      </c>
      <c r="AH1" s="1" t="str">
        <f ca="1">IFERROR(__xludf.DUMMYFUNCTION("""COMPUTED_VALUE"""),"private_position")</f>
        <v>private_position</v>
      </c>
      <c r="AI1" s="1" t="str">
        <f ca="1">IFERROR(__xludf.DUMMYFUNCTION("""COMPUTED_VALUE"""),"position_charges")</f>
        <v>position_charges</v>
      </c>
      <c r="AJ1" s="1" t="str">
        <f ca="1">IFERROR(__xludf.DUMMYFUNCTION("""COMPUTED_VALUE"""),"maximum_capacity")</f>
        <v>maximum_capacity</v>
      </c>
      <c r="AK1" s="1" t="str">
        <f ca="1">IFERROR(__xludf.DUMMYFUNCTION("""COMPUTED_VALUE"""),"language")</f>
        <v>language</v>
      </c>
      <c r="AL1" s="1" t="str">
        <f ca="1">IFERROR(__xludf.DUMMYFUNCTION("""COMPUTED_VALUE"""),"click_tag")</f>
        <v>click_tag</v>
      </c>
      <c r="AM1" s="1" t="str">
        <f ca="1">IFERROR(__xludf.DUMMYFUNCTION("""COMPUTED_VALUE"""),"file_types")</f>
        <v>file_types</v>
      </c>
      <c r="AN1" s="1" t="str">
        <f ca="1">IFERROR(__xludf.DUMMYFUNCTION("""COMPUTED_VALUE"""),"platform")</f>
        <v>platform</v>
      </c>
      <c r="AO1" s="1" t="str">
        <f ca="1">IFERROR(__xludf.DUMMYFUNCTION("""COMPUTED_VALUE"""),"cat1")</f>
        <v>cat1</v>
      </c>
      <c r="AP1" s="1" t="str">
        <f ca="1">IFERROR(__xludf.DUMMYFUNCTION("""COMPUTED_VALUE"""),"cat2")</f>
        <v>cat2</v>
      </c>
      <c r="AQ1" s="1" t="str">
        <f ca="1">IFERROR(__xludf.DUMMYFUNCTION("""COMPUTED_VALUE"""),"cat3")</f>
        <v>cat3</v>
      </c>
      <c r="AR1" s="1" t="str">
        <f ca="1">IFERROR(__xludf.DUMMYFUNCTION("""COMPUTED_VALUE"""),"cat4")</f>
        <v>cat4</v>
      </c>
      <c r="AS1" s="1" t="str">
        <f ca="1">IFERROR(__xludf.DUMMYFUNCTION("""COMPUTED_VALUE"""),"cat6")</f>
        <v>cat6</v>
      </c>
      <c r="AT1" s="1" t="str">
        <f ca="1">IFERROR(__xludf.DUMMYFUNCTION("""COMPUTED_VALUE"""),"cat7")</f>
        <v>cat7</v>
      </c>
      <c r="AU1" s="1" t="str">
        <f ca="1">IFERROR(__xludf.DUMMYFUNCTION("""COMPUTED_VALUE"""),"format_name_admon")</f>
        <v>format_name_admon</v>
      </c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 x14ac:dyDescent="0.3">
      <c r="A2" s="3">
        <f t="array" ref="A2:A1074" ca="1">IF(ISTEXT(C2:INDIRECT("C"&amp;(COUNTA(C:C)))),seller_ic_def,"")</f>
        <v>2346826</v>
      </c>
      <c r="B2" s="3" t="str">
        <f t="array" ref="B2:B1074" ca="1">IF(ISTEXT(C2:INDIRECT("C"&amp;(COUNTA(C:C)))),seller_name_def,"")</f>
        <v>CZECH NEWS CENTER a. s.</v>
      </c>
      <c r="C2" s="3" t="str">
        <f ca="1">IFERROR(__xludf.DUMMYFUNCTION("""COMPUTED_VALUE"""),"Abeceda zahrady")</f>
        <v>Abeceda zahrady</v>
      </c>
      <c r="D2" s="4" t="str">
        <f ca="1">IFERROR(__xludf.DUMMYFUNCTION("""COMPUTED_VALUE"""),"https://abecedazahrady.dama.cz")</f>
        <v>https://abecedazahrady.dama.cz</v>
      </c>
      <c r="E2" s="3" t="str">
        <f ca="1">IFERROR(__xludf.DUMMYFUNCTION("""COMPUTED_VALUE"""),"celý web")</f>
        <v>celý web</v>
      </c>
      <c r="F2" s="4" t="str">
        <f ca="1">IFERROR(__xludf.DUMMYFUNCTION("""COMPUTED_VALUE"""),"https://abecedazahrady.dama.cz")</f>
        <v>https://abecedazahrady.dama.cz</v>
      </c>
      <c r="G2" s="3" t="str">
        <f ca="1">IFERROR(__xludf.DUMMYFUNCTION("""COMPUTED_VALUE"""),"Advertorial high season")</f>
        <v>Advertorial high season</v>
      </c>
      <c r="H2" s="3">
        <f ca="1">IFERROR(__xludf.DUMMYFUNCTION("""COMPUTED_VALUE"""),1)</f>
        <v>1</v>
      </c>
      <c r="I2" s="5">
        <f ca="1">IFERROR(__xludf.DUMMYFUNCTION("""COMPUTED_VALUE"""),1)</f>
        <v>1</v>
      </c>
      <c r="J2" s="5">
        <f ca="1">IFERROR(__xludf.DUMMYFUNCTION("""COMPUTED_VALUE"""),90000)</f>
        <v>90000</v>
      </c>
      <c r="K2" s="3"/>
      <c r="L2" s="3" t="str">
        <f ca="1">IFERROR(__xludf.DUMMYFUNCTION("""COMPUTED_VALUE"""),"Cost per instance")</f>
        <v>Cost per instance</v>
      </c>
      <c r="M2" s="3"/>
      <c r="N2" s="3"/>
      <c r="O2" s="3"/>
      <c r="P2" s="3"/>
      <c r="Q2" s="3"/>
      <c r="R2" s="3"/>
      <c r="S2" s="3" t="str">
        <f ca="1">IFERROR(__xludf.DUMMYFUNCTION("""COMPUTED_VALUE"""),"100")</f>
        <v>100</v>
      </c>
      <c r="T2" s="3"/>
      <c r="U2" s="3" t="str">
        <f ca="1">IFERROR(__xludf.DUMMYFUNCTION("""COMPUTED_VALUE"""),"pr článek")</f>
        <v>pr článek</v>
      </c>
      <c r="V2" s="3"/>
      <c r="W2" s="3"/>
      <c r="X2" s="3"/>
      <c r="Y2" s="3"/>
      <c r="Z2" s="3" t="str">
        <f ca="1">IFERROR(__xludf.DUMMYFUNCTION("""COMPUTED_VALUE"""),"podklady@cncenter.cz")</f>
        <v>podklady@cncenter.cz</v>
      </c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 t="str">
        <f ca="1">IFERROR(__xludf.DUMMYFUNCTION("""COMPUTED_VALUE"""),"cross-device")</f>
        <v>cross-device</v>
      </c>
      <c r="AO2" s="3"/>
      <c r="AP2" s="3"/>
      <c r="AQ2" s="3"/>
      <c r="AR2" s="3"/>
      <c r="AS2" s="3"/>
      <c r="AT2" s="3"/>
      <c r="AU2" s="3" t="str">
        <f ca="1">IFERROR(__xludf.DUMMYFUNCTION("""COMPUTED_VALUE"""),"Advertorial")</f>
        <v>Advertorial</v>
      </c>
    </row>
    <row r="3" spans="1:67" x14ac:dyDescent="0.3">
      <c r="A3" s="3">
        <f ca="1"/>
        <v>2346826</v>
      </c>
      <c r="B3" s="3" t="str">
        <f ca="1"/>
        <v>CZECH NEWS CENTER a. s.</v>
      </c>
      <c r="C3" s="3" t="str">
        <f ca="1">IFERROR(__xludf.DUMMYFUNCTION("""COMPUTED_VALUE"""),"Abeceda zahrady")</f>
        <v>Abeceda zahrady</v>
      </c>
      <c r="D3" s="4" t="str">
        <f ca="1">IFERROR(__xludf.DUMMYFUNCTION("""COMPUTED_VALUE"""),"https://abecedazahrady.dama.cz")</f>
        <v>https://abecedazahrady.dama.cz</v>
      </c>
      <c r="E3" s="3" t="str">
        <f ca="1">IFERROR(__xludf.DUMMYFUNCTION("""COMPUTED_VALUE"""),"celý web")</f>
        <v>celý web</v>
      </c>
      <c r="F3" s="4" t="str">
        <f ca="1">IFERROR(__xludf.DUMMYFUNCTION("""COMPUTED_VALUE"""),"https://abecedazahrady.dama.cz")</f>
        <v>https://abecedazahrady.dama.cz</v>
      </c>
      <c r="G3" s="3" t="str">
        <f ca="1">IFERROR(__xludf.DUMMYFUNCTION("""COMPUTED_VALUE"""),"billboard bottom high season")</f>
        <v>billboard bottom high season</v>
      </c>
      <c r="H3" s="3">
        <f ca="1">IFERROR(__xludf.DUMMYFUNCTION("""COMPUTED_VALUE"""),7)</f>
        <v>7</v>
      </c>
      <c r="I3" s="5">
        <f ca="1">IFERROR(__xludf.DUMMYFUNCTION("""COMPUTED_VALUE"""),1000)</f>
        <v>1000</v>
      </c>
      <c r="J3" s="5">
        <f ca="1">IFERROR(__xludf.DUMMYFUNCTION("""COMPUTED_VALUE"""),440)</f>
        <v>440</v>
      </c>
      <c r="K3" s="3"/>
      <c r="L3" s="3" t="str">
        <f ca="1">IFERROR(__xludf.DUMMYFUNCTION("""COMPUTED_VALUE"""),"Cost per period")</f>
        <v>Cost per period</v>
      </c>
      <c r="M3" s="3"/>
      <c r="N3" s="3"/>
      <c r="O3" s="3" t="str">
        <f ca="1">IFERROR(__xludf.DUMMYFUNCTION("""COMPUTED_VALUE"""),"970")</f>
        <v>970</v>
      </c>
      <c r="P3" s="3" t="str">
        <f ca="1">IFERROR(__xludf.DUMMYFUNCTION("""COMPUTED_VALUE"""),"250")</f>
        <v>250</v>
      </c>
      <c r="Q3" s="3" t="str">
        <f ca="1">IFERROR(__xludf.DUMMYFUNCTION("""COMPUTED_VALUE"""),"970x250")</f>
        <v>970x250</v>
      </c>
      <c r="R3" s="3"/>
      <c r="S3" s="3" t="str">
        <f ca="1">IFERROR(__xludf.DUMMYFUNCTION("""COMPUTED_VALUE"""),"100 (200 - HTML5)")</f>
        <v>100 (200 - HTML5)</v>
      </c>
      <c r="T3" s="3"/>
      <c r="U3" s="3" t="str">
        <f ca="1">IFERROR(__xludf.DUMMYFUNCTION("""COMPUTED_VALUE"""),"banner standard")</f>
        <v>banner standard</v>
      </c>
      <c r="V3" s="3"/>
      <c r="W3" s="4" t="str">
        <f ca="1">IFERROR(__xludf.DUMMYFUNCTION("""COMPUTED_VALUE"""),"https://reklama.cncenter.cz/Online/billboard-bottom")</f>
        <v>https://reklama.cncenter.cz/Online/billboard-bottom</v>
      </c>
      <c r="X3" s="3"/>
      <c r="Y3" s="3"/>
      <c r="Z3" s="3" t="str">
        <f ca="1">IFERROR(__xludf.DUMMYFUNCTION("""COMPUTED_VALUE"""),"podklady@cncenter.cz")</f>
        <v>podklady@cncenter.cz</v>
      </c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 t="str">
        <f ca="1">IFERROR(__xludf.DUMMYFUNCTION("""COMPUTED_VALUE"""),"desktop")</f>
        <v>desktop</v>
      </c>
      <c r="AO3" s="3"/>
      <c r="AP3" s="3"/>
      <c r="AQ3" s="3"/>
      <c r="AR3" s="3"/>
      <c r="AS3" s="3"/>
      <c r="AT3" s="3"/>
      <c r="AU3" s="3" t="str">
        <f ca="1">IFERROR(__xludf.DUMMYFUNCTION("""COMPUTED_VALUE"""),"billboard bottom")</f>
        <v>billboard bottom</v>
      </c>
    </row>
    <row r="4" spans="1:67" x14ac:dyDescent="0.3">
      <c r="A4" s="3">
        <f ca="1"/>
        <v>2346826</v>
      </c>
      <c r="B4" s="3" t="str">
        <f ca="1"/>
        <v>CZECH NEWS CENTER a. s.</v>
      </c>
      <c r="C4" s="3" t="str">
        <f ca="1">IFERROR(__xludf.DUMMYFUNCTION("""COMPUTED_VALUE"""),"Abeceda zahrady")</f>
        <v>Abeceda zahrady</v>
      </c>
      <c r="D4" s="4" t="str">
        <f ca="1">IFERROR(__xludf.DUMMYFUNCTION("""COMPUTED_VALUE"""),"https://abecedazahrady.dama.cz")</f>
        <v>https://abecedazahrady.dama.cz</v>
      </c>
      <c r="E4" s="3" t="str">
        <f ca="1">IFERROR(__xludf.DUMMYFUNCTION("""COMPUTED_VALUE"""),"celý web")</f>
        <v>celý web</v>
      </c>
      <c r="F4" s="4" t="str">
        <f ca="1">IFERROR(__xludf.DUMMYFUNCTION("""COMPUTED_VALUE"""),"https://abecedazahrady.dama.cz")</f>
        <v>https://abecedazahrady.dama.cz</v>
      </c>
      <c r="G4" s="3" t="str">
        <f ca="1">IFERROR(__xludf.DUMMYFUNCTION("""COMPUTED_VALUE"""),"branding cross-device high season")</f>
        <v>branding cross-device high season</v>
      </c>
      <c r="H4" s="3">
        <f ca="1">IFERROR(__xludf.DUMMYFUNCTION("""COMPUTED_VALUE"""),7)</f>
        <v>7</v>
      </c>
      <c r="I4" s="5">
        <f ca="1">IFERROR(__xludf.DUMMYFUNCTION("""COMPUTED_VALUE"""),1000)</f>
        <v>1000</v>
      </c>
      <c r="J4" s="5">
        <f ca="1">IFERROR(__xludf.DUMMYFUNCTION("""COMPUTED_VALUE"""),540)</f>
        <v>540</v>
      </c>
      <c r="K4" s="3"/>
      <c r="L4" s="3" t="str">
        <f ca="1">IFERROR(__xludf.DUMMYFUNCTION("""COMPUTED_VALUE"""),"Cost per period")</f>
        <v>Cost per period</v>
      </c>
      <c r="M4" s="3"/>
      <c r="N4" s="3"/>
      <c r="O4" s="3" t="str">
        <f ca="1">IFERROR(__xludf.DUMMYFUNCTION("""COMPUTED_VALUE"""),"2000")</f>
        <v>2000</v>
      </c>
      <c r="P4" s="3" t="str">
        <f ca="1">IFERROR(__xludf.DUMMYFUNCTION("""COMPUTED_VALUE"""),"1400")</f>
        <v>1400</v>
      </c>
      <c r="Q4" s="3" t="str">
        <f ca="1">IFERROR(__xludf.DUMMYFUNCTION("""COMPUTED_VALUE"""),"2000x1400 + 600x1080")</f>
        <v>2000x1400 + 600x1080</v>
      </c>
      <c r="R4" s="3"/>
      <c r="S4" s="3" t="str">
        <f ca="1">IFERROR(__xludf.DUMMYFUNCTION("""COMPUTED_VALUE"""),"500 (600 - HTLM5)")</f>
        <v>500 (600 - HTLM5)</v>
      </c>
      <c r="T4" s="3"/>
      <c r="U4" s="3" t="str">
        <f ca="1">IFERROR(__xludf.DUMMYFUNCTION("""COMPUTED_VALUE"""),"banner standard")</f>
        <v>banner standard</v>
      </c>
      <c r="V4" s="3"/>
      <c r="W4" s="4" t="str">
        <f ca="1">IFERROR(__xludf.DUMMYFUNCTION("""COMPUTED_VALUE"""),"https://reklama.cncenter.cz/Online/branding-cross-device")</f>
        <v>https://reklama.cncenter.cz/Online/branding-cross-device</v>
      </c>
      <c r="X4" s="3"/>
      <c r="Y4" s="3"/>
      <c r="Z4" s="3" t="str">
        <f ca="1">IFERROR(__xludf.DUMMYFUNCTION("""COMPUTED_VALUE"""),"podklady@cncenter.cz")</f>
        <v>podklady@cncenter.cz</v>
      </c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 t="str">
        <f ca="1">IFERROR(__xludf.DUMMYFUNCTION("""COMPUTED_VALUE"""),"cross-device")</f>
        <v>cross-device</v>
      </c>
      <c r="AO4" s="3"/>
      <c r="AP4" s="3"/>
      <c r="AQ4" s="3"/>
      <c r="AR4" s="3"/>
      <c r="AS4" s="3"/>
      <c r="AT4" s="3"/>
      <c r="AU4" s="3" t="str">
        <f ca="1">IFERROR(__xludf.DUMMYFUNCTION("""COMPUTED_VALUE"""),"branding cross-device")</f>
        <v>branding cross-device</v>
      </c>
    </row>
    <row r="5" spans="1:67" x14ac:dyDescent="0.3">
      <c r="A5" s="3">
        <f ca="1"/>
        <v>2346826</v>
      </c>
      <c r="B5" s="3" t="str">
        <f ca="1"/>
        <v>CZECH NEWS CENTER a. s.</v>
      </c>
      <c r="C5" s="3" t="str">
        <f ca="1">IFERROR(__xludf.DUMMYFUNCTION("""COMPUTED_VALUE"""),"Abeceda zahrady")</f>
        <v>Abeceda zahrady</v>
      </c>
      <c r="D5" s="4" t="str">
        <f ca="1">IFERROR(__xludf.DUMMYFUNCTION("""COMPUTED_VALUE"""),"https://abecedazahrady.dama.cz")</f>
        <v>https://abecedazahrady.dama.cz</v>
      </c>
      <c r="E5" s="3" t="str">
        <f ca="1">IFERROR(__xludf.DUMMYFUNCTION("""COMPUTED_VALUE"""),"celý web")</f>
        <v>celý web</v>
      </c>
      <c r="F5" s="4" t="str">
        <f ca="1">IFERROR(__xludf.DUMMYFUNCTION("""COMPUTED_VALUE"""),"https://abecedazahrady.dama.cz")</f>
        <v>https://abecedazahrady.dama.cz</v>
      </c>
      <c r="G5" s="3" t="str">
        <f ca="1">IFERROR(__xludf.DUMMYFUNCTION("""COMPUTED_VALUE"""),"branding high season")</f>
        <v>branding high season</v>
      </c>
      <c r="H5" s="3">
        <f ca="1">IFERROR(__xludf.DUMMYFUNCTION("""COMPUTED_VALUE"""),7)</f>
        <v>7</v>
      </c>
      <c r="I5" s="5">
        <f ca="1">IFERROR(__xludf.DUMMYFUNCTION("""COMPUTED_VALUE"""),1000)</f>
        <v>1000</v>
      </c>
      <c r="J5" s="5">
        <f ca="1">IFERROR(__xludf.DUMMYFUNCTION("""COMPUTED_VALUE"""),890)</f>
        <v>890</v>
      </c>
      <c r="K5" s="3"/>
      <c r="L5" s="3" t="str">
        <f ca="1">IFERROR(__xludf.DUMMYFUNCTION("""COMPUTED_VALUE"""),"Cost per period")</f>
        <v>Cost per period</v>
      </c>
      <c r="M5" s="3"/>
      <c r="N5" s="3"/>
      <c r="O5" s="3" t="str">
        <f ca="1">IFERROR(__xludf.DUMMYFUNCTION("""COMPUTED_VALUE"""),"2000")</f>
        <v>2000</v>
      </c>
      <c r="P5" s="3" t="str">
        <f ca="1">IFERROR(__xludf.DUMMYFUNCTION("""COMPUTED_VALUE"""),"1400")</f>
        <v>1400</v>
      </c>
      <c r="Q5" s="3" t="str">
        <f ca="1">IFERROR(__xludf.DUMMYFUNCTION("""COMPUTED_VALUE"""),"2000x1400")</f>
        <v>2000x1400</v>
      </c>
      <c r="R5" s="3"/>
      <c r="S5" s="3" t="str">
        <f ca="1">IFERROR(__xludf.DUMMYFUNCTION("""COMPUTED_VALUE"""),"500 + 200 (600+200 HTML5)")</f>
        <v>500 + 200 (600+200 HTML5)</v>
      </c>
      <c r="T5" s="3"/>
      <c r="U5" s="3" t="str">
        <f ca="1">IFERROR(__xludf.DUMMYFUNCTION("""COMPUTED_VALUE"""),"banner standard")</f>
        <v>banner standard</v>
      </c>
      <c r="V5" s="3"/>
      <c r="W5" s="4" t="str">
        <f ca="1">IFERROR(__xludf.DUMMYFUNCTION("""COMPUTED_VALUE"""),"https://reklama.cncenter.cz/Online/branding")</f>
        <v>https://reklama.cncenter.cz/Online/branding</v>
      </c>
      <c r="X5" s="3"/>
      <c r="Y5" s="3"/>
      <c r="Z5" s="3" t="str">
        <f ca="1">IFERROR(__xludf.DUMMYFUNCTION("""COMPUTED_VALUE"""),"podklady@cncenter.cz")</f>
        <v>podklady@cncenter.cz</v>
      </c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 t="str">
        <f ca="1">IFERROR(__xludf.DUMMYFUNCTION("""COMPUTED_VALUE"""),"desktop")</f>
        <v>desktop</v>
      </c>
      <c r="AO5" s="3"/>
      <c r="AP5" s="3"/>
      <c r="AQ5" s="3"/>
      <c r="AR5" s="3"/>
      <c r="AS5" s="3"/>
      <c r="AT5" s="3"/>
      <c r="AU5" s="3" t="str">
        <f ca="1">IFERROR(__xludf.DUMMYFUNCTION("""COMPUTED_VALUE"""),"branding")</f>
        <v>branding</v>
      </c>
    </row>
    <row r="6" spans="1:67" x14ac:dyDescent="0.3">
      <c r="A6" s="3">
        <f ca="1"/>
        <v>2346826</v>
      </c>
      <c r="B6" s="3" t="str">
        <f ca="1"/>
        <v>CZECH NEWS CENTER a. s.</v>
      </c>
      <c r="C6" s="3" t="str">
        <f ca="1">IFERROR(__xludf.DUMMYFUNCTION("""COMPUTED_VALUE"""),"Abeceda zahrady")</f>
        <v>Abeceda zahrady</v>
      </c>
      <c r="D6" s="4" t="str">
        <f ca="1">IFERROR(__xludf.DUMMYFUNCTION("""COMPUTED_VALUE"""),"https://abecedazahrady.dama.cz")</f>
        <v>https://abecedazahrady.dama.cz</v>
      </c>
      <c r="E6" s="3" t="str">
        <f ca="1">IFERROR(__xludf.DUMMYFUNCTION("""COMPUTED_VALUE"""),"celý web")</f>
        <v>celý web</v>
      </c>
      <c r="F6" s="4" t="str">
        <f ca="1">IFERROR(__xludf.DUMMYFUNCTION("""COMPUTED_VALUE"""),"https://abecedazahrady.dama.cz")</f>
        <v>https://abecedazahrady.dama.cz</v>
      </c>
      <c r="G6" s="3" t="str">
        <f ca="1">IFERROR(__xludf.DUMMYFUNCTION("""COMPUTED_VALUE"""),"cílený billboard bottom high season")</f>
        <v>cílený billboard bottom high season</v>
      </c>
      <c r="H6" s="3">
        <f ca="1">IFERROR(__xludf.DUMMYFUNCTION("""COMPUTED_VALUE"""),7)</f>
        <v>7</v>
      </c>
      <c r="I6" s="5">
        <f ca="1">IFERROR(__xludf.DUMMYFUNCTION("""COMPUTED_VALUE"""),1000)</f>
        <v>1000</v>
      </c>
      <c r="J6" s="5">
        <f ca="1">IFERROR(__xludf.DUMMYFUNCTION("""COMPUTED_VALUE"""),528)</f>
        <v>528</v>
      </c>
      <c r="K6" s="3"/>
      <c r="L6" s="3" t="str">
        <f ca="1">IFERROR(__xludf.DUMMYFUNCTION("""COMPUTED_VALUE"""),"Cost per period")</f>
        <v>Cost per period</v>
      </c>
      <c r="M6" s="3"/>
      <c r="N6" s="3"/>
      <c r="O6" s="3" t="str">
        <f ca="1">IFERROR(__xludf.DUMMYFUNCTION("""COMPUTED_VALUE"""),"970")</f>
        <v>970</v>
      </c>
      <c r="P6" s="3" t="str">
        <f ca="1">IFERROR(__xludf.DUMMYFUNCTION("""COMPUTED_VALUE"""),"250")</f>
        <v>250</v>
      </c>
      <c r="Q6" s="3" t="str">
        <f ca="1">IFERROR(__xludf.DUMMYFUNCTION("""COMPUTED_VALUE"""),"970x250")</f>
        <v>970x250</v>
      </c>
      <c r="R6" s="3"/>
      <c r="S6" s="3" t="str">
        <f ca="1">IFERROR(__xludf.DUMMYFUNCTION("""COMPUTED_VALUE"""),"100 (200 - HTML5)")</f>
        <v>100 (200 - HTML5)</v>
      </c>
      <c r="T6" s="3"/>
      <c r="U6" s="3" t="str">
        <f ca="1">IFERROR(__xludf.DUMMYFUNCTION("""COMPUTED_VALUE"""),"banner standard")</f>
        <v>banner standard</v>
      </c>
      <c r="V6" s="3"/>
      <c r="W6" s="4" t="str">
        <f ca="1">IFERROR(__xludf.DUMMYFUNCTION("""COMPUTED_VALUE"""),"https://reklama.cncenter.cz/Online/billboard-bottom")</f>
        <v>https://reklama.cncenter.cz/Online/billboard-bottom</v>
      </c>
      <c r="X6" s="3"/>
      <c r="Y6" s="3"/>
      <c r="Z6" s="3" t="str">
        <f ca="1">IFERROR(__xludf.DUMMYFUNCTION("""COMPUTED_VALUE"""),"podklady@cncenter.cz")</f>
        <v>podklady@cncenter.cz</v>
      </c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 t="str">
        <f ca="1">IFERROR(__xludf.DUMMYFUNCTION("""COMPUTED_VALUE"""),"desktop")</f>
        <v>desktop</v>
      </c>
      <c r="AO6" s="3"/>
      <c r="AP6" s="3"/>
      <c r="AQ6" s="3"/>
      <c r="AR6" s="3"/>
      <c r="AS6" s="3"/>
      <c r="AT6" s="3"/>
      <c r="AU6" s="3" t="str">
        <f ca="1">IFERROR(__xludf.DUMMYFUNCTION("""COMPUTED_VALUE"""),"cílený billboard bottom")</f>
        <v>cílený billboard bottom</v>
      </c>
    </row>
    <row r="7" spans="1:67" x14ac:dyDescent="0.3">
      <c r="A7" s="3">
        <f ca="1"/>
        <v>2346826</v>
      </c>
      <c r="B7" s="3" t="str">
        <f ca="1"/>
        <v>CZECH NEWS CENTER a. s.</v>
      </c>
      <c r="C7" s="3" t="str">
        <f ca="1">IFERROR(__xludf.DUMMYFUNCTION("""COMPUTED_VALUE"""),"Abeceda zahrady")</f>
        <v>Abeceda zahrady</v>
      </c>
      <c r="D7" s="4" t="str">
        <f ca="1">IFERROR(__xludf.DUMMYFUNCTION("""COMPUTED_VALUE"""),"https://abecedazahrady.dama.cz")</f>
        <v>https://abecedazahrady.dama.cz</v>
      </c>
      <c r="E7" s="3" t="str">
        <f ca="1">IFERROR(__xludf.DUMMYFUNCTION("""COMPUTED_VALUE"""),"celý web")</f>
        <v>celý web</v>
      </c>
      <c r="F7" s="4" t="str">
        <f ca="1">IFERROR(__xludf.DUMMYFUNCTION("""COMPUTED_VALUE"""),"https://abecedazahrady.dama.cz")</f>
        <v>https://abecedazahrady.dama.cz</v>
      </c>
      <c r="G7" s="3" t="str">
        <f ca="1">IFERROR(__xludf.DUMMYFUNCTION("""COMPUTED_VALUE"""),"cílený branding cross-device high season")</f>
        <v>cílený branding cross-device high season</v>
      </c>
      <c r="H7" s="3">
        <f ca="1">IFERROR(__xludf.DUMMYFUNCTION("""COMPUTED_VALUE"""),7)</f>
        <v>7</v>
      </c>
      <c r="I7" s="5">
        <f ca="1">IFERROR(__xludf.DUMMYFUNCTION("""COMPUTED_VALUE"""),1000)</f>
        <v>1000</v>
      </c>
      <c r="J7" s="5">
        <f ca="1">IFERROR(__xludf.DUMMYFUNCTION("""COMPUTED_VALUE"""),648)</f>
        <v>648</v>
      </c>
      <c r="K7" s="3"/>
      <c r="L7" s="3" t="str">
        <f ca="1">IFERROR(__xludf.DUMMYFUNCTION("""COMPUTED_VALUE"""),"Cost per period")</f>
        <v>Cost per period</v>
      </c>
      <c r="M7" s="3"/>
      <c r="N7" s="3"/>
      <c r="O7" s="3" t="str">
        <f ca="1">IFERROR(__xludf.DUMMYFUNCTION("""COMPUTED_VALUE"""),"2000")</f>
        <v>2000</v>
      </c>
      <c r="P7" s="3" t="str">
        <f ca="1">IFERROR(__xludf.DUMMYFUNCTION("""COMPUTED_VALUE"""),"1400")</f>
        <v>1400</v>
      </c>
      <c r="Q7" s="3" t="str">
        <f ca="1">IFERROR(__xludf.DUMMYFUNCTION("""COMPUTED_VALUE"""),"2000x1400 + 600x1080")</f>
        <v>2000x1400 + 600x1080</v>
      </c>
      <c r="R7" s="3"/>
      <c r="S7" s="3" t="str">
        <f ca="1">IFERROR(__xludf.DUMMYFUNCTION("""COMPUTED_VALUE"""),"500 (600 - HTLM5)")</f>
        <v>500 (600 - HTLM5)</v>
      </c>
      <c r="T7" s="3"/>
      <c r="U7" s="3" t="str">
        <f ca="1">IFERROR(__xludf.DUMMYFUNCTION("""COMPUTED_VALUE"""),"banner standard")</f>
        <v>banner standard</v>
      </c>
      <c r="V7" s="3"/>
      <c r="W7" s="4" t="str">
        <f ca="1">IFERROR(__xludf.DUMMYFUNCTION("""COMPUTED_VALUE"""),"https://reklama.cncenter.cz/Online/branding-cross-device")</f>
        <v>https://reklama.cncenter.cz/Online/branding-cross-device</v>
      </c>
      <c r="X7" s="3"/>
      <c r="Y7" s="3"/>
      <c r="Z7" s="3" t="str">
        <f ca="1">IFERROR(__xludf.DUMMYFUNCTION("""COMPUTED_VALUE"""),"podklady@cncenter.cz")</f>
        <v>podklady@cncenter.cz</v>
      </c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 t="str">
        <f ca="1">IFERROR(__xludf.DUMMYFUNCTION("""COMPUTED_VALUE"""),"cross-device")</f>
        <v>cross-device</v>
      </c>
      <c r="AO7" s="3"/>
      <c r="AP7" s="3"/>
      <c r="AQ7" s="3"/>
      <c r="AR7" s="3"/>
      <c r="AS7" s="3"/>
      <c r="AT7" s="3"/>
      <c r="AU7" s="3" t="str">
        <f ca="1">IFERROR(__xludf.DUMMYFUNCTION("""COMPUTED_VALUE"""),"cílený branding cross-device")</f>
        <v>cílený branding cross-device</v>
      </c>
    </row>
    <row r="8" spans="1:67" x14ac:dyDescent="0.3">
      <c r="A8" s="3">
        <f ca="1"/>
        <v>2346826</v>
      </c>
      <c r="B8" s="3" t="str">
        <f ca="1"/>
        <v>CZECH NEWS CENTER a. s.</v>
      </c>
      <c r="C8" s="3" t="str">
        <f ca="1">IFERROR(__xludf.DUMMYFUNCTION("""COMPUTED_VALUE"""),"Abeceda zahrady")</f>
        <v>Abeceda zahrady</v>
      </c>
      <c r="D8" s="4" t="str">
        <f ca="1">IFERROR(__xludf.DUMMYFUNCTION("""COMPUTED_VALUE"""),"https://abecedazahrady.dama.cz")</f>
        <v>https://abecedazahrady.dama.cz</v>
      </c>
      <c r="E8" s="3" t="str">
        <f ca="1">IFERROR(__xludf.DUMMYFUNCTION("""COMPUTED_VALUE"""),"celý web")</f>
        <v>celý web</v>
      </c>
      <c r="F8" s="4" t="str">
        <f ca="1">IFERROR(__xludf.DUMMYFUNCTION("""COMPUTED_VALUE"""),"https://abecedazahrady.dama.cz")</f>
        <v>https://abecedazahrady.dama.cz</v>
      </c>
      <c r="G8" s="3" t="str">
        <f ca="1">IFERROR(__xludf.DUMMYFUNCTION("""COMPUTED_VALUE"""),"cílený branding high season")</f>
        <v>cílený branding high season</v>
      </c>
      <c r="H8" s="3">
        <f ca="1">IFERROR(__xludf.DUMMYFUNCTION("""COMPUTED_VALUE"""),7)</f>
        <v>7</v>
      </c>
      <c r="I8" s="5">
        <f ca="1">IFERROR(__xludf.DUMMYFUNCTION("""COMPUTED_VALUE"""),1000)</f>
        <v>1000</v>
      </c>
      <c r="J8" s="5">
        <f ca="1">IFERROR(__xludf.DUMMYFUNCTION("""COMPUTED_VALUE"""),1068)</f>
        <v>1068</v>
      </c>
      <c r="K8" s="3"/>
      <c r="L8" s="3" t="str">
        <f ca="1">IFERROR(__xludf.DUMMYFUNCTION("""COMPUTED_VALUE"""),"Cost per period")</f>
        <v>Cost per period</v>
      </c>
      <c r="M8" s="3"/>
      <c r="N8" s="3"/>
      <c r="O8" s="3" t="str">
        <f ca="1">IFERROR(__xludf.DUMMYFUNCTION("""COMPUTED_VALUE"""),"2000")</f>
        <v>2000</v>
      </c>
      <c r="P8" s="3" t="str">
        <f ca="1">IFERROR(__xludf.DUMMYFUNCTION("""COMPUTED_VALUE"""),"1400")</f>
        <v>1400</v>
      </c>
      <c r="Q8" s="3" t="str">
        <f ca="1">IFERROR(__xludf.DUMMYFUNCTION("""COMPUTED_VALUE"""),"2000x1400")</f>
        <v>2000x1400</v>
      </c>
      <c r="R8" s="3"/>
      <c r="S8" s="3" t="str">
        <f ca="1">IFERROR(__xludf.DUMMYFUNCTION("""COMPUTED_VALUE"""),"500 + 200 (600+200 HTML5)")</f>
        <v>500 + 200 (600+200 HTML5)</v>
      </c>
      <c r="T8" s="3"/>
      <c r="U8" s="3" t="str">
        <f ca="1">IFERROR(__xludf.DUMMYFUNCTION("""COMPUTED_VALUE"""),"banner standard")</f>
        <v>banner standard</v>
      </c>
      <c r="V8" s="3"/>
      <c r="W8" s="4" t="str">
        <f ca="1">IFERROR(__xludf.DUMMYFUNCTION("""COMPUTED_VALUE"""),"https://reklama.cncenter.cz/Online/branding")</f>
        <v>https://reklama.cncenter.cz/Online/branding</v>
      </c>
      <c r="X8" s="3"/>
      <c r="Y8" s="3"/>
      <c r="Z8" s="3" t="str">
        <f ca="1">IFERROR(__xludf.DUMMYFUNCTION("""COMPUTED_VALUE"""),"podklady@cncenter.cz")</f>
        <v>podklady@cncenter.cz</v>
      </c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 t="str">
        <f ca="1">IFERROR(__xludf.DUMMYFUNCTION("""COMPUTED_VALUE"""),"desktop")</f>
        <v>desktop</v>
      </c>
      <c r="AO8" s="3"/>
      <c r="AP8" s="3"/>
      <c r="AQ8" s="3"/>
      <c r="AR8" s="3"/>
      <c r="AS8" s="3"/>
      <c r="AT8" s="3"/>
      <c r="AU8" s="3" t="str">
        <f ca="1">IFERROR(__xludf.DUMMYFUNCTION("""COMPUTED_VALUE"""),"cílený branding")</f>
        <v>cílený branding</v>
      </c>
    </row>
    <row r="9" spans="1:67" x14ac:dyDescent="0.3">
      <c r="A9" s="3">
        <f ca="1"/>
        <v>2346826</v>
      </c>
      <c r="B9" s="3" t="str">
        <f ca="1"/>
        <v>CZECH NEWS CENTER a. s.</v>
      </c>
      <c r="C9" s="3" t="str">
        <f ca="1">IFERROR(__xludf.DUMMYFUNCTION("""COMPUTED_VALUE"""),"Abeceda zahrady")</f>
        <v>Abeceda zahrady</v>
      </c>
      <c r="D9" s="4" t="str">
        <f ca="1">IFERROR(__xludf.DUMMYFUNCTION("""COMPUTED_VALUE"""),"https://abecedazahrady.dama.cz")</f>
        <v>https://abecedazahrady.dama.cz</v>
      </c>
      <c r="E9" s="3" t="str">
        <f ca="1">IFERROR(__xludf.DUMMYFUNCTION("""COMPUTED_VALUE"""),"celý web")</f>
        <v>celý web</v>
      </c>
      <c r="F9" s="4" t="str">
        <f ca="1">IFERROR(__xludf.DUMMYFUNCTION("""COMPUTED_VALUE"""),"https://abecedazahrady.dama.cz")</f>
        <v>https://abecedazahrady.dama.cz</v>
      </c>
      <c r="G9" s="3" t="str">
        <f ca="1">IFERROR(__xludf.DUMMYFUNCTION("""COMPUTED_VALUE"""),"cílený double skyscraper high season")</f>
        <v>cílený double skyscraper high season</v>
      </c>
      <c r="H9" s="3">
        <f ca="1">IFERROR(__xludf.DUMMYFUNCTION("""COMPUTED_VALUE"""),7)</f>
        <v>7</v>
      </c>
      <c r="I9" s="5">
        <f ca="1">IFERROR(__xludf.DUMMYFUNCTION("""COMPUTED_VALUE"""),1000)</f>
        <v>1000</v>
      </c>
      <c r="J9" s="5">
        <f ca="1">IFERROR(__xludf.DUMMYFUNCTION("""COMPUTED_VALUE"""),420)</f>
        <v>420</v>
      </c>
      <c r="K9" s="3"/>
      <c r="L9" s="3" t="str">
        <f ca="1">IFERROR(__xludf.DUMMYFUNCTION("""COMPUTED_VALUE"""),"Cost per period")</f>
        <v>Cost per period</v>
      </c>
      <c r="M9" s="3"/>
      <c r="N9" s="3"/>
      <c r="O9" s="3" t="str">
        <f ca="1">IFERROR(__xludf.DUMMYFUNCTION("""COMPUTED_VALUE"""),"300")</f>
        <v>300</v>
      </c>
      <c r="P9" s="3" t="str">
        <f ca="1">IFERROR(__xludf.DUMMYFUNCTION("""COMPUTED_VALUE"""),"600")</f>
        <v>600</v>
      </c>
      <c r="Q9" s="3" t="str">
        <f ca="1">IFERROR(__xludf.DUMMYFUNCTION("""COMPUTED_VALUE"""),"300x600")</f>
        <v>300x600</v>
      </c>
      <c r="R9" s="3"/>
      <c r="S9" s="3" t="str">
        <f ca="1">IFERROR(__xludf.DUMMYFUNCTION("""COMPUTED_VALUE"""),"100 (200 - HTML5)")</f>
        <v>100 (200 - HTML5)</v>
      </c>
      <c r="T9" s="3"/>
      <c r="U9" s="3" t="str">
        <f ca="1">IFERROR(__xludf.DUMMYFUNCTION("""COMPUTED_VALUE"""),"banner standard")</f>
        <v>banner standard</v>
      </c>
      <c r="V9" s="3"/>
      <c r="W9" s="4" t="str">
        <f ca="1">IFERROR(__xludf.DUMMYFUNCTION("""COMPUTED_VALUE"""),"https://reklama.cncenter.cz/Online/double-skyscraper")</f>
        <v>https://reklama.cncenter.cz/Online/double-skyscraper</v>
      </c>
      <c r="X9" s="3"/>
      <c r="Y9" s="3"/>
      <c r="Z9" s="3" t="str">
        <f ca="1">IFERROR(__xludf.DUMMYFUNCTION("""COMPUTED_VALUE"""),"podklady@cncenter.cz")</f>
        <v>podklady@cncenter.cz</v>
      </c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 t="str">
        <f ca="1">IFERROR(__xludf.DUMMYFUNCTION("""COMPUTED_VALUE"""),"desktop")</f>
        <v>desktop</v>
      </c>
      <c r="AO9" s="3"/>
      <c r="AP9" s="3"/>
      <c r="AQ9" s="3"/>
      <c r="AR9" s="3"/>
      <c r="AS9" s="3"/>
      <c r="AT9" s="3"/>
      <c r="AU9" s="3" t="str">
        <f ca="1">IFERROR(__xludf.DUMMYFUNCTION("""COMPUTED_VALUE"""),"cílený double skyscraper")</f>
        <v>cílený double skyscraper</v>
      </c>
    </row>
    <row r="10" spans="1:67" x14ac:dyDescent="0.3">
      <c r="A10" s="3">
        <f ca="1"/>
        <v>2346826</v>
      </c>
      <c r="B10" s="3" t="str">
        <f ca="1"/>
        <v>CZECH NEWS CENTER a. s.</v>
      </c>
      <c r="C10" s="3" t="str">
        <f ca="1">IFERROR(__xludf.DUMMYFUNCTION("""COMPUTED_VALUE"""),"Abeceda zahrady")</f>
        <v>Abeceda zahrady</v>
      </c>
      <c r="D10" s="4" t="str">
        <f ca="1">IFERROR(__xludf.DUMMYFUNCTION("""COMPUTED_VALUE"""),"https://abecedazahrady.dama.cz")</f>
        <v>https://abecedazahrady.dama.cz</v>
      </c>
      <c r="E10" s="3" t="str">
        <f ca="1">IFERROR(__xludf.DUMMYFUNCTION("""COMPUTED_VALUE"""),"celý web")</f>
        <v>celý web</v>
      </c>
      <c r="F10" s="4" t="str">
        <f ca="1">IFERROR(__xludf.DUMMYFUNCTION("""COMPUTED_VALUE"""),"https://abecedazahrady.dama.cz")</f>
        <v>https://abecedazahrady.dama.cz</v>
      </c>
      <c r="G10" s="3" t="str">
        <f ca="1">IFERROR(__xludf.DUMMYFUNCTION("""COMPUTED_VALUE"""),"cílený mobilní interscroller high season")</f>
        <v>cílený mobilní interscroller high season</v>
      </c>
      <c r="H10" s="3">
        <f ca="1">IFERROR(__xludf.DUMMYFUNCTION("""COMPUTED_VALUE"""),7)</f>
        <v>7</v>
      </c>
      <c r="I10" s="5">
        <f ca="1">IFERROR(__xludf.DUMMYFUNCTION("""COMPUTED_VALUE"""),1000)</f>
        <v>1000</v>
      </c>
      <c r="J10" s="5">
        <f ca="1">IFERROR(__xludf.DUMMYFUNCTION("""COMPUTED_VALUE"""),540)</f>
        <v>540</v>
      </c>
      <c r="K10" s="3"/>
      <c r="L10" s="3" t="str">
        <f ca="1">IFERROR(__xludf.DUMMYFUNCTION("""COMPUTED_VALUE"""),"Cost per period")</f>
        <v>Cost per period</v>
      </c>
      <c r="M10" s="3"/>
      <c r="N10" s="3"/>
      <c r="O10" s="3" t="str">
        <f ca="1">IFERROR(__xludf.DUMMYFUNCTION("""COMPUTED_VALUE"""),"600")</f>
        <v>600</v>
      </c>
      <c r="P10" s="3" t="str">
        <f ca="1">IFERROR(__xludf.DUMMYFUNCTION("""COMPUTED_VALUE"""),"1080")</f>
        <v>1080</v>
      </c>
      <c r="Q10" s="3" t="str">
        <f ca="1">IFERROR(__xludf.DUMMYFUNCTION("""COMPUTED_VALUE"""),"600x1080")</f>
        <v>600x1080</v>
      </c>
      <c r="R10" s="3"/>
      <c r="S10" s="3" t="str">
        <f ca="1">IFERROR(__xludf.DUMMYFUNCTION("""COMPUTED_VALUE"""),"200")</f>
        <v>200</v>
      </c>
      <c r="T10" s="3"/>
      <c r="U10" s="3" t="str">
        <f ca="1">IFERROR(__xludf.DUMMYFUNCTION("""COMPUTED_VALUE"""),"banner standard")</f>
        <v>banner standard</v>
      </c>
      <c r="V10" s="3"/>
      <c r="W10" s="4" t="str">
        <f ca="1">IFERROR(__xludf.DUMMYFUNCTION("""COMPUTED_VALUE"""),"https://reklama.cncenter.cz/Online/mobilni-interscroller")</f>
        <v>https://reklama.cncenter.cz/Online/mobilni-interscroller</v>
      </c>
      <c r="X10" s="3"/>
      <c r="Y10" s="3"/>
      <c r="Z10" s="3" t="str">
        <f ca="1">IFERROR(__xludf.DUMMYFUNCTION("""COMPUTED_VALUE"""),"podklady@cncenter.cz")</f>
        <v>podklady@cncenter.cz</v>
      </c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 t="str">
        <f ca="1">IFERROR(__xludf.DUMMYFUNCTION("""COMPUTED_VALUE"""),"mobile")</f>
        <v>mobile</v>
      </c>
      <c r="AO10" s="3"/>
      <c r="AP10" s="3"/>
      <c r="AQ10" s="3"/>
      <c r="AR10" s="3"/>
      <c r="AS10" s="3"/>
      <c r="AT10" s="3"/>
      <c r="AU10" s="3" t="str">
        <f ca="1">IFERROR(__xludf.DUMMYFUNCTION("""COMPUTED_VALUE"""),"cílený mobilní interscroller")</f>
        <v>cílený mobilní interscroller</v>
      </c>
    </row>
    <row r="11" spans="1:67" x14ac:dyDescent="0.3">
      <c r="A11" s="3">
        <f ca="1"/>
        <v>2346826</v>
      </c>
      <c r="B11" s="3" t="str">
        <f ca="1"/>
        <v>CZECH NEWS CENTER a. s.</v>
      </c>
      <c r="C11" s="3" t="str">
        <f ca="1">IFERROR(__xludf.DUMMYFUNCTION("""COMPUTED_VALUE"""),"Abeceda zahrady")</f>
        <v>Abeceda zahrady</v>
      </c>
      <c r="D11" s="4" t="str">
        <f ca="1">IFERROR(__xludf.DUMMYFUNCTION("""COMPUTED_VALUE"""),"https://abecedazahrady.dama.cz")</f>
        <v>https://abecedazahrady.dama.cz</v>
      </c>
      <c r="E11" s="3" t="str">
        <f ca="1">IFERROR(__xludf.DUMMYFUNCTION("""COMPUTED_VALUE"""),"celý web")</f>
        <v>celý web</v>
      </c>
      <c r="F11" s="4" t="str">
        <f ca="1">IFERROR(__xludf.DUMMYFUNCTION("""COMPUTED_VALUE"""),"https://abecedazahrady.dama.cz")</f>
        <v>https://abecedazahrady.dama.cz</v>
      </c>
      <c r="G11" s="3" t="str">
        <f ca="1">IFERROR(__xludf.DUMMYFUNCTION("""COMPUTED_VALUE"""),"cílený mobilní slide-up high season")</f>
        <v>cílený mobilní slide-up high season</v>
      </c>
      <c r="H11" s="3">
        <f ca="1">IFERROR(__xludf.DUMMYFUNCTION("""COMPUTED_VALUE"""),7)</f>
        <v>7</v>
      </c>
      <c r="I11" s="5">
        <f ca="1">IFERROR(__xludf.DUMMYFUNCTION("""COMPUTED_VALUE"""),1000)</f>
        <v>1000</v>
      </c>
      <c r="J11" s="5">
        <f ca="1">IFERROR(__xludf.DUMMYFUNCTION("""COMPUTED_VALUE"""),1104)</f>
        <v>1104</v>
      </c>
      <c r="K11" s="3"/>
      <c r="L11" s="3" t="str">
        <f ca="1">IFERROR(__xludf.DUMMYFUNCTION("""COMPUTED_VALUE"""),"Cost per period")</f>
        <v>Cost per period</v>
      </c>
      <c r="M11" s="3"/>
      <c r="N11" s="3"/>
      <c r="O11" s="3" t="str">
        <f ca="1">IFERROR(__xludf.DUMMYFUNCTION("""COMPUTED_VALUE"""),"300")</f>
        <v>300</v>
      </c>
      <c r="P11" s="3" t="str">
        <f ca="1">IFERROR(__xludf.DUMMYFUNCTION("""COMPUTED_VALUE"""),"120")</f>
        <v>120</v>
      </c>
      <c r="Q11" s="3" t="str">
        <f ca="1">IFERROR(__xludf.DUMMYFUNCTION("""COMPUTED_VALUE"""),"300x120")</f>
        <v>300x120</v>
      </c>
      <c r="R11" s="3"/>
      <c r="S11" s="3" t="str">
        <f ca="1">IFERROR(__xludf.DUMMYFUNCTION("""COMPUTED_VALUE"""),"100")</f>
        <v>100</v>
      </c>
      <c r="T11" s="3"/>
      <c r="U11" s="3" t="str">
        <f ca="1">IFERROR(__xludf.DUMMYFUNCTION("""COMPUTED_VALUE"""),"banner standard")</f>
        <v>banner standard</v>
      </c>
      <c r="V11" s="3"/>
      <c r="W11" s="4" t="str">
        <f ca="1">IFERROR(__xludf.DUMMYFUNCTION("""COMPUTED_VALUE"""),"https://reklama.cncenter.cz/Online/mobilni-slide-up")</f>
        <v>https://reklama.cncenter.cz/Online/mobilni-slide-up</v>
      </c>
      <c r="X11" s="3"/>
      <c r="Y11" s="3"/>
      <c r="Z11" s="3" t="str">
        <f ca="1">IFERROR(__xludf.DUMMYFUNCTION("""COMPUTED_VALUE"""),"podklady@cncenter.cz")</f>
        <v>podklady@cncenter.cz</v>
      </c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 t="str">
        <f ca="1">IFERROR(__xludf.DUMMYFUNCTION("""COMPUTED_VALUE"""),"mobile")</f>
        <v>mobile</v>
      </c>
      <c r="AO11" s="3"/>
      <c r="AP11" s="3"/>
      <c r="AQ11" s="3"/>
      <c r="AR11" s="3"/>
      <c r="AS11" s="3"/>
      <c r="AT11" s="3"/>
      <c r="AU11" s="3" t="str">
        <f ca="1">IFERROR(__xludf.DUMMYFUNCTION("""COMPUTED_VALUE"""),"cílený mobilní slide-up")</f>
        <v>cílený mobilní slide-up</v>
      </c>
    </row>
    <row r="12" spans="1:67" x14ac:dyDescent="0.3">
      <c r="A12" s="3">
        <f ca="1"/>
        <v>2346826</v>
      </c>
      <c r="B12" s="3" t="str">
        <f ca="1"/>
        <v>CZECH NEWS CENTER a. s.</v>
      </c>
      <c r="C12" s="3" t="str">
        <f ca="1">IFERROR(__xludf.DUMMYFUNCTION("""COMPUTED_VALUE"""),"Abeceda zahrady")</f>
        <v>Abeceda zahrady</v>
      </c>
      <c r="D12" s="4" t="str">
        <f ca="1">IFERROR(__xludf.DUMMYFUNCTION("""COMPUTED_VALUE"""),"https://abecedazahrady.dama.cz")</f>
        <v>https://abecedazahrady.dama.cz</v>
      </c>
      <c r="E12" s="3" t="str">
        <f ca="1">IFERROR(__xludf.DUMMYFUNCTION("""COMPUTED_VALUE"""),"celý web")</f>
        <v>celý web</v>
      </c>
      <c r="F12" s="4" t="str">
        <f ca="1">IFERROR(__xludf.DUMMYFUNCTION("""COMPUTED_VALUE"""),"https://abecedazahrady.dama.cz")</f>
        <v>https://abecedazahrady.dama.cz</v>
      </c>
      <c r="G12" s="3" t="str">
        <f ca="1">IFERROR(__xludf.DUMMYFUNCTION("""COMPUTED_VALUE"""),"cílený mobilní viněta high season")</f>
        <v>cílený mobilní viněta high season</v>
      </c>
      <c r="H12" s="3">
        <f ca="1">IFERROR(__xludf.DUMMYFUNCTION("""COMPUTED_VALUE"""),7)</f>
        <v>7</v>
      </c>
      <c r="I12" s="5">
        <f ca="1">IFERROR(__xludf.DUMMYFUNCTION("""COMPUTED_VALUE"""),1000)</f>
        <v>1000</v>
      </c>
      <c r="J12" s="5">
        <f ca="1">IFERROR(__xludf.DUMMYFUNCTION("""COMPUTED_VALUE"""),1908)</f>
        <v>1908</v>
      </c>
      <c r="K12" s="3"/>
      <c r="L12" s="3" t="str">
        <f ca="1">IFERROR(__xludf.DUMMYFUNCTION("""COMPUTED_VALUE"""),"Cost per period")</f>
        <v>Cost per period</v>
      </c>
      <c r="M12" s="3"/>
      <c r="N12" s="3"/>
      <c r="O12" s="3" t="str">
        <f ca="1">IFERROR(__xludf.DUMMYFUNCTION("""COMPUTED_VALUE"""),"600")</f>
        <v>600</v>
      </c>
      <c r="P12" s="3" t="str">
        <f ca="1">IFERROR(__xludf.DUMMYFUNCTION("""COMPUTED_VALUE"""),"800")</f>
        <v>800</v>
      </c>
      <c r="Q12" s="3" t="str">
        <f ca="1">IFERROR(__xludf.DUMMYFUNCTION("""COMPUTED_VALUE"""),"300x250 nebo 600x800")</f>
        <v>300x250 nebo 600x800</v>
      </c>
      <c r="R12" s="3"/>
      <c r="S12" s="3" t="str">
        <f ca="1">IFERROR(__xludf.DUMMYFUNCTION("""COMPUTED_VALUE"""),"100")</f>
        <v>100</v>
      </c>
      <c r="T12" s="3"/>
      <c r="U12" s="3" t="str">
        <f ca="1">IFERROR(__xludf.DUMMYFUNCTION("""COMPUTED_VALUE"""),"banner standard")</f>
        <v>banner standard</v>
      </c>
      <c r="V12" s="3"/>
      <c r="W12" s="4" t="str">
        <f ca="1">IFERROR(__xludf.DUMMYFUNCTION("""COMPUTED_VALUE"""),"https://reklama.cncenter.cz/Online/mobilni-vineta")</f>
        <v>https://reklama.cncenter.cz/Online/mobilni-vineta</v>
      </c>
      <c r="X12" s="3"/>
      <c r="Y12" s="3"/>
      <c r="Z12" s="3" t="str">
        <f ca="1">IFERROR(__xludf.DUMMYFUNCTION("""COMPUTED_VALUE"""),"podklady@cncenter.cz")</f>
        <v>podklady@cncenter.cz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 t="str">
        <f ca="1">IFERROR(__xludf.DUMMYFUNCTION("""COMPUTED_VALUE"""),"mobile")</f>
        <v>mobile</v>
      </c>
      <c r="AO12" s="3"/>
      <c r="AP12" s="3"/>
      <c r="AQ12" s="3"/>
      <c r="AR12" s="3"/>
      <c r="AS12" s="3"/>
      <c r="AT12" s="3"/>
      <c r="AU12" s="3" t="str">
        <f ca="1">IFERROR(__xludf.DUMMYFUNCTION("""COMPUTED_VALUE"""),"cílený mobilní viněta")</f>
        <v>cílený mobilní viněta</v>
      </c>
    </row>
    <row r="13" spans="1:67" x14ac:dyDescent="0.3">
      <c r="A13" s="3">
        <f ca="1"/>
        <v>2346826</v>
      </c>
      <c r="B13" s="3" t="str">
        <f ca="1"/>
        <v>CZECH NEWS CENTER a. s.</v>
      </c>
      <c r="C13" s="3" t="str">
        <f ca="1">IFERROR(__xludf.DUMMYFUNCTION("""COMPUTED_VALUE"""),"Abeceda zahrady")</f>
        <v>Abeceda zahrady</v>
      </c>
      <c r="D13" s="4" t="str">
        <f ca="1">IFERROR(__xludf.DUMMYFUNCTION("""COMPUTED_VALUE"""),"https://abecedazahrady.dama.cz")</f>
        <v>https://abecedazahrady.dama.cz</v>
      </c>
      <c r="E13" s="3" t="str">
        <f ca="1">IFERROR(__xludf.DUMMYFUNCTION("""COMPUTED_VALUE"""),"celý web")</f>
        <v>celý web</v>
      </c>
      <c r="F13" s="4" t="str">
        <f ca="1">IFERROR(__xludf.DUMMYFUNCTION("""COMPUTED_VALUE"""),"https://abecedazahrady.dama.cz")</f>
        <v>https://abecedazahrady.dama.cz</v>
      </c>
      <c r="G13" s="3" t="str">
        <f ca="1">IFERROR(__xludf.DUMMYFUNCTION("""COMPUTED_VALUE"""),"cílený nativní rectangle cross-device high season")</f>
        <v>cílený nativní rectangle cross-device high season</v>
      </c>
      <c r="H13" s="3">
        <f ca="1">IFERROR(__xludf.DUMMYFUNCTION("""COMPUTED_VALUE"""),7)</f>
        <v>7</v>
      </c>
      <c r="I13" s="5">
        <f ca="1">IFERROR(__xludf.DUMMYFUNCTION("""COMPUTED_VALUE"""),1000)</f>
        <v>1000</v>
      </c>
      <c r="J13" s="5">
        <f ca="1">IFERROR(__xludf.DUMMYFUNCTION("""COMPUTED_VALUE"""),432)</f>
        <v>432</v>
      </c>
      <c r="K13" s="3"/>
      <c r="L13" s="3" t="str">
        <f ca="1">IFERROR(__xludf.DUMMYFUNCTION("""COMPUTED_VALUE"""),"Cost per period")</f>
        <v>Cost per period</v>
      </c>
      <c r="M13" s="3"/>
      <c r="N13" s="3"/>
      <c r="O13" s="3" t="str">
        <f ca="1">IFERROR(__xludf.DUMMYFUNCTION("""COMPUTED_VALUE"""),"640")</f>
        <v>640</v>
      </c>
      <c r="P13" s="3" t="str">
        <f ca="1">IFERROR(__xludf.DUMMYFUNCTION("""COMPUTED_VALUE"""),"335, 640")</f>
        <v>335, 640</v>
      </c>
      <c r="Q13" s="3" t="str">
        <f ca="1">IFERROR(__xludf.DUMMYFUNCTION("""COMPUTED_VALUE"""),"640x640 a 640x335 + text + logo")</f>
        <v>640x640 a 640x335 + text + logo</v>
      </c>
      <c r="R13" s="3"/>
      <c r="S13" s="3" t="str">
        <f ca="1">IFERROR(__xludf.DUMMYFUNCTION("""COMPUTED_VALUE"""),"45")</f>
        <v>45</v>
      </c>
      <c r="T13" s="3"/>
      <c r="U13" s="3" t="str">
        <f ca="1">IFERROR(__xludf.DUMMYFUNCTION("""COMPUTED_VALUE"""),"nativní reklama")</f>
        <v>nativní reklama</v>
      </c>
      <c r="V13" s="3"/>
      <c r="W13" s="4" t="str">
        <f ca="1">IFERROR(__xludf.DUMMYFUNCTION("""COMPUTED_VALUE"""),"https://reklama.cncenter.cz/Online/nativni-rectangle-cross-device")</f>
        <v>https://reklama.cncenter.cz/Online/nativni-rectangle-cross-device</v>
      </c>
      <c r="X13" s="3"/>
      <c r="Y13" s="3"/>
      <c r="Z13" s="3" t="str">
        <f ca="1">IFERROR(__xludf.DUMMYFUNCTION("""COMPUTED_VALUE"""),"podklady@cncenter.cz")</f>
        <v>podklady@cncenter.cz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 t="str">
        <f ca="1">IFERROR(__xludf.DUMMYFUNCTION("""COMPUTED_VALUE"""),"cross-device")</f>
        <v>cross-device</v>
      </c>
      <c r="AO13" s="3"/>
      <c r="AP13" s="3"/>
      <c r="AQ13" s="3"/>
      <c r="AR13" s="3"/>
      <c r="AS13" s="3"/>
      <c r="AT13" s="3"/>
      <c r="AU13" s="3" t="str">
        <f ca="1">IFERROR(__xludf.DUMMYFUNCTION("""COMPUTED_VALUE"""),"cílený nativní rectangle cross-device")</f>
        <v>cílený nativní rectangle cross-device</v>
      </c>
    </row>
    <row r="14" spans="1:67" x14ac:dyDescent="0.3">
      <c r="A14" s="3">
        <f ca="1"/>
        <v>2346826</v>
      </c>
      <c r="B14" s="3" t="str">
        <f ca="1"/>
        <v>CZECH NEWS CENTER a. s.</v>
      </c>
      <c r="C14" s="3" t="str">
        <f ca="1">IFERROR(__xludf.DUMMYFUNCTION("""COMPUTED_VALUE"""),"Abeceda zahrady")</f>
        <v>Abeceda zahrady</v>
      </c>
      <c r="D14" s="4" t="str">
        <f ca="1">IFERROR(__xludf.DUMMYFUNCTION("""COMPUTED_VALUE"""),"https://abecedazahrady.dama.cz")</f>
        <v>https://abecedazahrady.dama.cz</v>
      </c>
      <c r="E14" s="3" t="str">
        <f ca="1">IFERROR(__xludf.DUMMYFUNCTION("""COMPUTED_VALUE"""),"celý web")</f>
        <v>celý web</v>
      </c>
      <c r="F14" s="4" t="str">
        <f ca="1">IFERROR(__xludf.DUMMYFUNCTION("""COMPUTED_VALUE"""),"https://abecedazahrady.dama.cz")</f>
        <v>https://abecedazahrady.dama.cz</v>
      </c>
      <c r="G14" s="3" t="str">
        <f ca="1">IFERROR(__xludf.DUMMYFUNCTION("""COMPUTED_VALUE"""),"cílený outstream high season")</f>
        <v>cílený outstream high season</v>
      </c>
      <c r="H14" s="3">
        <f ca="1">IFERROR(__xludf.DUMMYFUNCTION("""COMPUTED_VALUE"""),7)</f>
        <v>7</v>
      </c>
      <c r="I14" s="5">
        <f ca="1">IFERROR(__xludf.DUMMYFUNCTION("""COMPUTED_VALUE"""),1000)</f>
        <v>1000</v>
      </c>
      <c r="J14" s="5">
        <f ca="1">IFERROR(__xludf.DUMMYFUNCTION("""COMPUTED_VALUE"""),540)</f>
        <v>540</v>
      </c>
      <c r="K14" s="3"/>
      <c r="L14" s="3" t="str">
        <f ca="1">IFERROR(__xludf.DUMMYFUNCTION("""COMPUTED_VALUE"""),"Cost per period")</f>
        <v>Cost per period</v>
      </c>
      <c r="M14" s="3"/>
      <c r="N14" s="3"/>
      <c r="O14" s="3" t="str">
        <f ca="1">IFERROR(__xludf.DUMMYFUNCTION("""COMPUTED_VALUE"""),"1280")</f>
        <v>1280</v>
      </c>
      <c r="P14" s="3" t="str">
        <f ca="1">IFERROR(__xludf.DUMMYFUNCTION("""COMPUTED_VALUE"""),"720")</f>
        <v>720</v>
      </c>
      <c r="Q14" s="3" t="str">
        <f ca="1">IFERROR(__xludf.DUMMYFUNCTION("""COMPUTED_VALUE"""),"16:9")</f>
        <v>16:9</v>
      </c>
      <c r="R14" s="3"/>
      <c r="S14" s="3" t="str">
        <f ca="1">IFERROR(__xludf.DUMMYFUNCTION("""COMPUTED_VALUE"""),"100")</f>
        <v>100</v>
      </c>
      <c r="T14" s="3"/>
      <c r="U14" s="3" t="str">
        <f ca="1">IFERROR(__xludf.DUMMYFUNCTION("""COMPUTED_VALUE"""),"videospot")</f>
        <v>videospot</v>
      </c>
      <c r="V14" s="3"/>
      <c r="W14" s="4" t="str">
        <f ca="1">IFERROR(__xludf.DUMMYFUNCTION("""COMPUTED_VALUE"""),"https://reklama.cncenter.cz/Online/Outstream")</f>
        <v>https://reklama.cncenter.cz/Online/Outstream</v>
      </c>
      <c r="X14" s="3"/>
      <c r="Y14" s="3"/>
      <c r="Z14" s="3" t="str">
        <f ca="1">IFERROR(__xludf.DUMMYFUNCTION("""COMPUTED_VALUE"""),"podklady@cncenter.cz")</f>
        <v>podklady@cncenter.cz</v>
      </c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 t="str">
        <f ca="1">IFERROR(__xludf.DUMMYFUNCTION("""COMPUTED_VALUE"""),"cross-device")</f>
        <v>cross-device</v>
      </c>
      <c r="AO14" s="3"/>
      <c r="AP14" s="3"/>
      <c r="AQ14" s="3"/>
      <c r="AR14" s="3"/>
      <c r="AS14" s="3"/>
      <c r="AT14" s="3"/>
      <c r="AU14" s="3" t="str">
        <f ca="1">IFERROR(__xludf.DUMMYFUNCTION("""COMPUTED_VALUE"""),"cílený outstream")</f>
        <v>cílený outstream</v>
      </c>
    </row>
    <row r="15" spans="1:67" x14ac:dyDescent="0.3">
      <c r="A15" s="3">
        <f ca="1"/>
        <v>2346826</v>
      </c>
      <c r="B15" s="3" t="str">
        <f ca="1"/>
        <v>CZECH NEWS CENTER a. s.</v>
      </c>
      <c r="C15" s="3" t="str">
        <f ca="1">IFERROR(__xludf.DUMMYFUNCTION("""COMPUTED_VALUE"""),"Abeceda zahrady")</f>
        <v>Abeceda zahrady</v>
      </c>
      <c r="D15" s="4" t="str">
        <f ca="1">IFERROR(__xludf.DUMMYFUNCTION("""COMPUTED_VALUE"""),"https://abecedazahrady.dama.cz")</f>
        <v>https://abecedazahrady.dama.cz</v>
      </c>
      <c r="E15" s="3" t="str">
        <f ca="1">IFERROR(__xludf.DUMMYFUNCTION("""COMPUTED_VALUE"""),"celý web")</f>
        <v>celý web</v>
      </c>
      <c r="F15" s="4" t="str">
        <f ca="1">IFERROR(__xludf.DUMMYFUNCTION("""COMPUTED_VALUE"""),"https://abecedazahrady.dama.cz")</f>
        <v>https://abecedazahrady.dama.cz</v>
      </c>
      <c r="G15" s="3" t="str">
        <f ca="1">IFERROR(__xludf.DUMMYFUNCTION("""COMPUTED_VALUE"""),"dokoupení proma o 2 týdny - 10 000 PV *** high season")</f>
        <v>dokoupení proma o 2 týdny - 10 000 PV *** high season</v>
      </c>
      <c r="H15" s="3">
        <f ca="1">IFERROR(__xludf.DUMMYFUNCTION("""COMPUTED_VALUE"""),1)</f>
        <v>1</v>
      </c>
      <c r="I15" s="5">
        <f ca="1">IFERROR(__xludf.DUMMYFUNCTION("""COMPUTED_VALUE"""),1)</f>
        <v>1</v>
      </c>
      <c r="J15" s="5">
        <f ca="1">IFERROR(__xludf.DUMMYFUNCTION("""COMPUTED_VALUE"""),60000)</f>
        <v>60000</v>
      </c>
      <c r="K15" s="3"/>
      <c r="L15" s="3" t="str">
        <f ca="1">IFERROR(__xludf.DUMMYFUNCTION("""COMPUTED_VALUE"""),"Cost per instance")</f>
        <v>Cost per instance</v>
      </c>
      <c r="M15" s="3"/>
      <c r="N15" s="3"/>
      <c r="O15" s="3"/>
      <c r="P15" s="3"/>
      <c r="Q15" s="3"/>
      <c r="R15" s="3"/>
      <c r="S15" s="3" t="str">
        <f ca="1">IFERROR(__xludf.DUMMYFUNCTION("""COMPUTED_VALUE"""),"100")</f>
        <v>100</v>
      </c>
      <c r="T15" s="3"/>
      <c r="U15" s="3" t="str">
        <f ca="1">IFERROR(__xludf.DUMMYFUNCTION("""COMPUTED_VALUE"""),"microsite")</f>
        <v>microsite</v>
      </c>
      <c r="V15" s="3"/>
      <c r="W15" s="3"/>
      <c r="X15" s="3"/>
      <c r="Y15" s="3"/>
      <c r="Z15" s="3" t="str">
        <f ca="1">IFERROR(__xludf.DUMMYFUNCTION("""COMPUTED_VALUE"""),"podklady@cncenter.cz")</f>
        <v>podklady@cncenter.cz</v>
      </c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 t="str">
        <f ca="1">IFERROR(__xludf.DUMMYFUNCTION("""COMPUTED_VALUE"""),"cross-device")</f>
        <v>cross-device</v>
      </c>
      <c r="AO15" s="3"/>
      <c r="AP15" s="3"/>
      <c r="AQ15" s="3"/>
      <c r="AR15" s="3"/>
      <c r="AS15" s="3"/>
      <c r="AT15" s="3"/>
      <c r="AU15" s="3" t="str">
        <f ca="1">IFERROR(__xludf.DUMMYFUNCTION("""COMPUTED_VALUE"""),"dokoupení proma o 2 týdny - 10 000 PV ***")</f>
        <v>dokoupení proma o 2 týdny - 10 000 PV ***</v>
      </c>
    </row>
    <row r="16" spans="1:67" x14ac:dyDescent="0.3">
      <c r="A16" s="3">
        <f ca="1"/>
        <v>2346826</v>
      </c>
      <c r="B16" s="3" t="str">
        <f ca="1"/>
        <v>CZECH NEWS CENTER a. s.</v>
      </c>
      <c r="C16" s="3" t="str">
        <f ca="1">IFERROR(__xludf.DUMMYFUNCTION("""COMPUTED_VALUE"""),"Abeceda zahrady")</f>
        <v>Abeceda zahrady</v>
      </c>
      <c r="D16" s="4" t="str">
        <f ca="1">IFERROR(__xludf.DUMMYFUNCTION("""COMPUTED_VALUE"""),"https://abecedazahrady.dama.cz")</f>
        <v>https://abecedazahrady.dama.cz</v>
      </c>
      <c r="E16" s="3" t="str">
        <f ca="1">IFERROR(__xludf.DUMMYFUNCTION("""COMPUTED_VALUE"""),"celý web")</f>
        <v>celý web</v>
      </c>
      <c r="F16" s="4" t="str">
        <f ca="1">IFERROR(__xludf.DUMMYFUNCTION("""COMPUTED_VALUE"""),"https://abecedazahrady.dama.cz")</f>
        <v>https://abecedazahrady.dama.cz</v>
      </c>
      <c r="G16" s="3" t="str">
        <f ca="1">IFERROR(__xludf.DUMMYFUNCTION("""COMPUTED_VALUE"""),"double skyscraper high season")</f>
        <v>double skyscraper high season</v>
      </c>
      <c r="H16" s="3">
        <f ca="1">IFERROR(__xludf.DUMMYFUNCTION("""COMPUTED_VALUE"""),7)</f>
        <v>7</v>
      </c>
      <c r="I16" s="5">
        <f ca="1">IFERROR(__xludf.DUMMYFUNCTION("""COMPUTED_VALUE"""),1000)</f>
        <v>1000</v>
      </c>
      <c r="J16" s="5">
        <f ca="1">IFERROR(__xludf.DUMMYFUNCTION("""COMPUTED_VALUE"""),350)</f>
        <v>350</v>
      </c>
      <c r="K16" s="3"/>
      <c r="L16" s="3" t="str">
        <f ca="1">IFERROR(__xludf.DUMMYFUNCTION("""COMPUTED_VALUE"""),"Cost per period")</f>
        <v>Cost per period</v>
      </c>
      <c r="M16" s="3"/>
      <c r="N16" s="3"/>
      <c r="O16" s="3" t="str">
        <f ca="1">IFERROR(__xludf.DUMMYFUNCTION("""COMPUTED_VALUE"""),"300")</f>
        <v>300</v>
      </c>
      <c r="P16" s="3" t="str">
        <f ca="1">IFERROR(__xludf.DUMMYFUNCTION("""COMPUTED_VALUE"""),"600")</f>
        <v>600</v>
      </c>
      <c r="Q16" s="3" t="str">
        <f ca="1">IFERROR(__xludf.DUMMYFUNCTION("""COMPUTED_VALUE"""),"300x600")</f>
        <v>300x600</v>
      </c>
      <c r="R16" s="3"/>
      <c r="S16" s="3" t="str">
        <f ca="1">IFERROR(__xludf.DUMMYFUNCTION("""COMPUTED_VALUE"""),"100 (200 - HTML5)")</f>
        <v>100 (200 - HTML5)</v>
      </c>
      <c r="T16" s="3"/>
      <c r="U16" s="3" t="str">
        <f ca="1">IFERROR(__xludf.DUMMYFUNCTION("""COMPUTED_VALUE"""),"banner standard")</f>
        <v>banner standard</v>
      </c>
      <c r="V16" s="3"/>
      <c r="W16" s="4" t="str">
        <f ca="1">IFERROR(__xludf.DUMMYFUNCTION("""COMPUTED_VALUE"""),"https://reklama.cncenter.cz/Online/double-skyscraper")</f>
        <v>https://reklama.cncenter.cz/Online/double-skyscraper</v>
      </c>
      <c r="X16" s="3"/>
      <c r="Y16" s="3"/>
      <c r="Z16" s="3" t="str">
        <f ca="1">IFERROR(__xludf.DUMMYFUNCTION("""COMPUTED_VALUE"""),"podklady@cncenter.cz")</f>
        <v>podklady@cncenter.cz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 t="str">
        <f ca="1">IFERROR(__xludf.DUMMYFUNCTION("""COMPUTED_VALUE"""),"desktop")</f>
        <v>desktop</v>
      </c>
      <c r="AO16" s="3"/>
      <c r="AP16" s="3"/>
      <c r="AQ16" s="3"/>
      <c r="AR16" s="3"/>
      <c r="AS16" s="3"/>
      <c r="AT16" s="3"/>
      <c r="AU16" s="3" t="str">
        <f ca="1">IFERROR(__xludf.DUMMYFUNCTION("""COMPUTED_VALUE"""),"double skyscraper")</f>
        <v>double skyscraper</v>
      </c>
    </row>
    <row r="17" spans="1:47" x14ac:dyDescent="0.3">
      <c r="A17" s="3">
        <f ca="1"/>
        <v>2346826</v>
      </c>
      <c r="B17" s="3" t="str">
        <f ca="1"/>
        <v>CZECH NEWS CENTER a. s.</v>
      </c>
      <c r="C17" s="3" t="str">
        <f ca="1">IFERROR(__xludf.DUMMYFUNCTION("""COMPUTED_VALUE"""),"Abeceda zahrady")</f>
        <v>Abeceda zahrady</v>
      </c>
      <c r="D17" s="4" t="str">
        <f ca="1">IFERROR(__xludf.DUMMYFUNCTION("""COMPUTED_VALUE"""),"https://abecedazahrady.dama.cz")</f>
        <v>https://abecedazahrady.dama.cz</v>
      </c>
      <c r="E17" s="3" t="str">
        <f ca="1">IFERROR(__xludf.DUMMYFUNCTION("""COMPUTED_VALUE"""),"celý web")</f>
        <v>celý web</v>
      </c>
      <c r="F17" s="4" t="str">
        <f ca="1">IFERROR(__xludf.DUMMYFUNCTION("""COMPUTED_VALUE"""),"https://abecedazahrady.dama.cz")</f>
        <v>https://abecedazahrady.dama.cz</v>
      </c>
      <c r="G17" s="3" t="str">
        <f ca="1">IFERROR(__xludf.DUMMYFUNCTION("""COMPUTED_VALUE"""),"mobilní interscroller high season")</f>
        <v>mobilní interscroller high season</v>
      </c>
      <c r="H17" s="3">
        <f ca="1">IFERROR(__xludf.DUMMYFUNCTION("""COMPUTED_VALUE"""),7)</f>
        <v>7</v>
      </c>
      <c r="I17" s="5">
        <f ca="1">IFERROR(__xludf.DUMMYFUNCTION("""COMPUTED_VALUE"""),1000)</f>
        <v>1000</v>
      </c>
      <c r="J17" s="5">
        <f ca="1">IFERROR(__xludf.DUMMYFUNCTION("""COMPUTED_VALUE"""),450)</f>
        <v>450</v>
      </c>
      <c r="K17" s="3"/>
      <c r="L17" s="3" t="str">
        <f ca="1">IFERROR(__xludf.DUMMYFUNCTION("""COMPUTED_VALUE"""),"Cost per period")</f>
        <v>Cost per period</v>
      </c>
      <c r="M17" s="3"/>
      <c r="N17" s="3"/>
      <c r="O17" s="3" t="str">
        <f ca="1">IFERROR(__xludf.DUMMYFUNCTION("""COMPUTED_VALUE"""),"600")</f>
        <v>600</v>
      </c>
      <c r="P17" s="3" t="str">
        <f ca="1">IFERROR(__xludf.DUMMYFUNCTION("""COMPUTED_VALUE"""),"1080")</f>
        <v>1080</v>
      </c>
      <c r="Q17" s="3" t="str">
        <f ca="1">IFERROR(__xludf.DUMMYFUNCTION("""COMPUTED_VALUE"""),"600x1080")</f>
        <v>600x1080</v>
      </c>
      <c r="R17" s="3"/>
      <c r="S17" s="3" t="str">
        <f ca="1">IFERROR(__xludf.DUMMYFUNCTION("""COMPUTED_VALUE"""),"200")</f>
        <v>200</v>
      </c>
      <c r="T17" s="3"/>
      <c r="U17" s="3" t="str">
        <f ca="1">IFERROR(__xludf.DUMMYFUNCTION("""COMPUTED_VALUE"""),"banner standard")</f>
        <v>banner standard</v>
      </c>
      <c r="V17" s="3"/>
      <c r="W17" s="4" t="str">
        <f ca="1">IFERROR(__xludf.DUMMYFUNCTION("""COMPUTED_VALUE"""),"https://reklama.cncenter.cz/Online/mobilni-interscroller")</f>
        <v>https://reklama.cncenter.cz/Online/mobilni-interscroller</v>
      </c>
      <c r="X17" s="3"/>
      <c r="Y17" s="3"/>
      <c r="Z17" s="3" t="str">
        <f ca="1">IFERROR(__xludf.DUMMYFUNCTION("""COMPUTED_VALUE"""),"podklady@cncenter.cz")</f>
        <v>podklady@cncenter.cz</v>
      </c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 t="str">
        <f ca="1">IFERROR(__xludf.DUMMYFUNCTION("""COMPUTED_VALUE"""),"mobile")</f>
        <v>mobile</v>
      </c>
      <c r="AO17" s="3"/>
      <c r="AP17" s="3"/>
      <c r="AQ17" s="3"/>
      <c r="AR17" s="3"/>
      <c r="AS17" s="3"/>
      <c r="AT17" s="3"/>
      <c r="AU17" s="3" t="str">
        <f ca="1">IFERROR(__xludf.DUMMYFUNCTION("""COMPUTED_VALUE"""),"mobilní interscroller")</f>
        <v>mobilní interscroller</v>
      </c>
    </row>
    <row r="18" spans="1:47" x14ac:dyDescent="0.3">
      <c r="A18" s="3">
        <f ca="1"/>
        <v>2346826</v>
      </c>
      <c r="B18" s="3" t="str">
        <f ca="1"/>
        <v>CZECH NEWS CENTER a. s.</v>
      </c>
      <c r="C18" s="3" t="str">
        <f ca="1">IFERROR(__xludf.DUMMYFUNCTION("""COMPUTED_VALUE"""),"Abeceda zahrady")</f>
        <v>Abeceda zahrady</v>
      </c>
      <c r="D18" s="4" t="str">
        <f ca="1">IFERROR(__xludf.DUMMYFUNCTION("""COMPUTED_VALUE"""),"https://abecedazahrady.dama.cz")</f>
        <v>https://abecedazahrady.dama.cz</v>
      </c>
      <c r="E18" s="3" t="str">
        <f ca="1">IFERROR(__xludf.DUMMYFUNCTION("""COMPUTED_VALUE"""),"celý web")</f>
        <v>celý web</v>
      </c>
      <c r="F18" s="4" t="str">
        <f ca="1">IFERROR(__xludf.DUMMYFUNCTION("""COMPUTED_VALUE"""),"https://abecedazahrady.dama.cz")</f>
        <v>https://abecedazahrady.dama.cz</v>
      </c>
      <c r="G18" s="3" t="str">
        <f ca="1">IFERROR(__xludf.DUMMYFUNCTION("""COMPUTED_VALUE"""),"mobilní slide-up high season")</f>
        <v>mobilní slide-up high season</v>
      </c>
      <c r="H18" s="3">
        <f ca="1">IFERROR(__xludf.DUMMYFUNCTION("""COMPUTED_VALUE"""),7)</f>
        <v>7</v>
      </c>
      <c r="I18" s="5">
        <f ca="1">IFERROR(__xludf.DUMMYFUNCTION("""COMPUTED_VALUE"""),1000)</f>
        <v>1000</v>
      </c>
      <c r="J18" s="5">
        <f ca="1">IFERROR(__xludf.DUMMYFUNCTION("""COMPUTED_VALUE"""),920)</f>
        <v>920</v>
      </c>
      <c r="K18" s="3"/>
      <c r="L18" s="3" t="str">
        <f ca="1">IFERROR(__xludf.DUMMYFUNCTION("""COMPUTED_VALUE"""),"Cost per period")</f>
        <v>Cost per period</v>
      </c>
      <c r="M18" s="3"/>
      <c r="N18" s="3"/>
      <c r="O18" s="3" t="str">
        <f ca="1">IFERROR(__xludf.DUMMYFUNCTION("""COMPUTED_VALUE"""),"300")</f>
        <v>300</v>
      </c>
      <c r="P18" s="3" t="str">
        <f ca="1">IFERROR(__xludf.DUMMYFUNCTION("""COMPUTED_VALUE"""),"120")</f>
        <v>120</v>
      </c>
      <c r="Q18" s="3" t="str">
        <f ca="1">IFERROR(__xludf.DUMMYFUNCTION("""COMPUTED_VALUE"""),"300x120")</f>
        <v>300x120</v>
      </c>
      <c r="R18" s="3"/>
      <c r="S18" s="3" t="str">
        <f ca="1">IFERROR(__xludf.DUMMYFUNCTION("""COMPUTED_VALUE"""),"100")</f>
        <v>100</v>
      </c>
      <c r="T18" s="3"/>
      <c r="U18" s="3" t="str">
        <f ca="1">IFERROR(__xludf.DUMMYFUNCTION("""COMPUTED_VALUE"""),"banner standard")</f>
        <v>banner standard</v>
      </c>
      <c r="V18" s="3"/>
      <c r="W18" s="4" t="str">
        <f ca="1">IFERROR(__xludf.DUMMYFUNCTION("""COMPUTED_VALUE"""),"https://reklama.cncenter.cz/Online/mobilni-slide-up")</f>
        <v>https://reklama.cncenter.cz/Online/mobilni-slide-up</v>
      </c>
      <c r="X18" s="3"/>
      <c r="Y18" s="3"/>
      <c r="Z18" s="3" t="str">
        <f ca="1">IFERROR(__xludf.DUMMYFUNCTION("""COMPUTED_VALUE"""),"podklady@cncenter.cz")</f>
        <v>podklady@cncenter.cz</v>
      </c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 t="str">
        <f ca="1">IFERROR(__xludf.DUMMYFUNCTION("""COMPUTED_VALUE"""),"mobile")</f>
        <v>mobile</v>
      </c>
      <c r="AO18" s="3"/>
      <c r="AP18" s="3"/>
      <c r="AQ18" s="3"/>
      <c r="AR18" s="3"/>
      <c r="AS18" s="3"/>
      <c r="AT18" s="3"/>
      <c r="AU18" s="3" t="str">
        <f ca="1">IFERROR(__xludf.DUMMYFUNCTION("""COMPUTED_VALUE"""),"mobilní slide-up")</f>
        <v>mobilní slide-up</v>
      </c>
    </row>
    <row r="19" spans="1:47" x14ac:dyDescent="0.3">
      <c r="A19" s="3">
        <f ca="1"/>
        <v>2346826</v>
      </c>
      <c r="B19" s="3" t="str">
        <f ca="1"/>
        <v>CZECH NEWS CENTER a. s.</v>
      </c>
      <c r="C19" s="3" t="str">
        <f ca="1">IFERROR(__xludf.DUMMYFUNCTION("""COMPUTED_VALUE"""),"Abeceda zahrady")</f>
        <v>Abeceda zahrady</v>
      </c>
      <c r="D19" s="4" t="str">
        <f ca="1">IFERROR(__xludf.DUMMYFUNCTION("""COMPUTED_VALUE"""),"https://abecedazahrady.dama.cz")</f>
        <v>https://abecedazahrady.dama.cz</v>
      </c>
      <c r="E19" s="3" t="str">
        <f ca="1">IFERROR(__xludf.DUMMYFUNCTION("""COMPUTED_VALUE"""),"celý web")</f>
        <v>celý web</v>
      </c>
      <c r="F19" s="4" t="str">
        <f ca="1">IFERROR(__xludf.DUMMYFUNCTION("""COMPUTED_VALUE"""),"https://abecedazahrady.dama.cz")</f>
        <v>https://abecedazahrady.dama.cz</v>
      </c>
      <c r="G19" s="3" t="str">
        <f ca="1">IFERROR(__xludf.DUMMYFUNCTION("""COMPUTED_VALUE"""),"mobilní viněta high season")</f>
        <v>mobilní viněta high season</v>
      </c>
      <c r="H19" s="3">
        <f ca="1">IFERROR(__xludf.DUMMYFUNCTION("""COMPUTED_VALUE"""),7)</f>
        <v>7</v>
      </c>
      <c r="I19" s="5">
        <f ca="1">IFERROR(__xludf.DUMMYFUNCTION("""COMPUTED_VALUE"""),1000)</f>
        <v>1000</v>
      </c>
      <c r="J19" s="5">
        <f ca="1">IFERROR(__xludf.DUMMYFUNCTION("""COMPUTED_VALUE"""),1590)</f>
        <v>1590</v>
      </c>
      <c r="K19" s="3"/>
      <c r="L19" s="3" t="str">
        <f ca="1">IFERROR(__xludf.DUMMYFUNCTION("""COMPUTED_VALUE"""),"Cost per period")</f>
        <v>Cost per period</v>
      </c>
      <c r="M19" s="3"/>
      <c r="N19" s="3"/>
      <c r="O19" s="3" t="str">
        <f ca="1">IFERROR(__xludf.DUMMYFUNCTION("""COMPUTED_VALUE"""),"600")</f>
        <v>600</v>
      </c>
      <c r="P19" s="3" t="str">
        <f ca="1">IFERROR(__xludf.DUMMYFUNCTION("""COMPUTED_VALUE"""),"800")</f>
        <v>800</v>
      </c>
      <c r="Q19" s="3" t="str">
        <f ca="1">IFERROR(__xludf.DUMMYFUNCTION("""COMPUTED_VALUE"""),"300x250 nebo 600x800")</f>
        <v>300x250 nebo 600x800</v>
      </c>
      <c r="R19" s="3"/>
      <c r="S19" s="3" t="str">
        <f ca="1">IFERROR(__xludf.DUMMYFUNCTION("""COMPUTED_VALUE"""),"100")</f>
        <v>100</v>
      </c>
      <c r="T19" s="3"/>
      <c r="U19" s="3" t="str">
        <f ca="1">IFERROR(__xludf.DUMMYFUNCTION("""COMPUTED_VALUE"""),"banner standard")</f>
        <v>banner standard</v>
      </c>
      <c r="V19" s="3"/>
      <c r="W19" s="4" t="str">
        <f ca="1">IFERROR(__xludf.DUMMYFUNCTION("""COMPUTED_VALUE"""),"https://reklama.cncenter.cz/Online/mobilni-vineta")</f>
        <v>https://reklama.cncenter.cz/Online/mobilni-vineta</v>
      </c>
      <c r="X19" s="3"/>
      <c r="Y19" s="3"/>
      <c r="Z19" s="3" t="str">
        <f ca="1">IFERROR(__xludf.DUMMYFUNCTION("""COMPUTED_VALUE"""),"podklady@cncenter.cz")</f>
        <v>podklady@cncenter.cz</v>
      </c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 t="str">
        <f ca="1">IFERROR(__xludf.DUMMYFUNCTION("""COMPUTED_VALUE"""),"mobile")</f>
        <v>mobile</v>
      </c>
      <c r="AO19" s="3"/>
      <c r="AP19" s="3"/>
      <c r="AQ19" s="3"/>
      <c r="AR19" s="3"/>
      <c r="AS19" s="3"/>
      <c r="AT19" s="3"/>
      <c r="AU19" s="3" t="str">
        <f ca="1">IFERROR(__xludf.DUMMYFUNCTION("""COMPUTED_VALUE"""),"mobilní viněta")</f>
        <v>mobilní viněta</v>
      </c>
    </row>
    <row r="20" spans="1:47" x14ac:dyDescent="0.3">
      <c r="A20" s="3">
        <f ca="1"/>
        <v>2346826</v>
      </c>
      <c r="B20" s="3" t="str">
        <f ca="1"/>
        <v>CZECH NEWS CENTER a. s.</v>
      </c>
      <c r="C20" s="3" t="str">
        <f ca="1">IFERROR(__xludf.DUMMYFUNCTION("""COMPUTED_VALUE"""),"Abeceda zahrady")</f>
        <v>Abeceda zahrady</v>
      </c>
      <c r="D20" s="4" t="str">
        <f ca="1">IFERROR(__xludf.DUMMYFUNCTION("""COMPUTED_VALUE"""),"https://abecedazahrady.dama.cz")</f>
        <v>https://abecedazahrady.dama.cz</v>
      </c>
      <c r="E20" s="3" t="str">
        <f ca="1">IFERROR(__xludf.DUMMYFUNCTION("""COMPUTED_VALUE"""),"celý web")</f>
        <v>celý web</v>
      </c>
      <c r="F20" s="4" t="str">
        <f ca="1">IFERROR(__xludf.DUMMYFUNCTION("""COMPUTED_VALUE"""),"https://abecedazahrady.dama.cz")</f>
        <v>https://abecedazahrady.dama.cz</v>
      </c>
      <c r="G20" s="3" t="str">
        <f ca="1">IFERROR(__xludf.DUMMYFUNCTION("""COMPUTED_VALUE"""),"Native Standard high season")</f>
        <v>Native Standard high season</v>
      </c>
      <c r="H20" s="3">
        <f ca="1">IFERROR(__xludf.DUMMYFUNCTION("""COMPUTED_VALUE"""),1)</f>
        <v>1</v>
      </c>
      <c r="I20" s="5">
        <f ca="1">IFERROR(__xludf.DUMMYFUNCTION("""COMPUTED_VALUE"""),1)</f>
        <v>1</v>
      </c>
      <c r="J20" s="5">
        <f ca="1">IFERROR(__xludf.DUMMYFUNCTION("""COMPUTED_VALUE"""),330000)</f>
        <v>330000</v>
      </c>
      <c r="K20" s="3"/>
      <c r="L20" s="3" t="str">
        <f ca="1">IFERROR(__xludf.DUMMYFUNCTION("""COMPUTED_VALUE"""),"Cost per instance")</f>
        <v>Cost per instance</v>
      </c>
      <c r="M20" s="3"/>
      <c r="N20" s="3"/>
      <c r="O20" s="3"/>
      <c r="P20" s="3"/>
      <c r="Q20" s="3"/>
      <c r="R20" s="3"/>
      <c r="S20" s="3" t="str">
        <f ca="1">IFERROR(__xludf.DUMMYFUNCTION("""COMPUTED_VALUE"""),"100")</f>
        <v>100</v>
      </c>
      <c r="T20" s="3"/>
      <c r="U20" s="3" t="str">
        <f ca="1">IFERROR(__xludf.DUMMYFUNCTION("""COMPUTED_VALUE"""),"microsite")</f>
        <v>microsite</v>
      </c>
      <c r="V20" s="3"/>
      <c r="W20" s="3"/>
      <c r="X20" s="3"/>
      <c r="Y20" s="3"/>
      <c r="Z20" s="3" t="str">
        <f ca="1">IFERROR(__xludf.DUMMYFUNCTION("""COMPUTED_VALUE"""),"podklady@cncenter.cz")</f>
        <v>podklady@cncenter.cz</v>
      </c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 t="str">
        <f ca="1">IFERROR(__xludf.DUMMYFUNCTION("""COMPUTED_VALUE"""),"cross-device")</f>
        <v>cross-device</v>
      </c>
      <c r="AO20" s="3"/>
      <c r="AP20" s="3"/>
      <c r="AQ20" s="3"/>
      <c r="AR20" s="3"/>
      <c r="AS20" s="3"/>
      <c r="AT20" s="3"/>
      <c r="AU20" s="3" t="str">
        <f ca="1">IFERROR(__xludf.DUMMYFUNCTION("""COMPUTED_VALUE"""),"Native Standard")</f>
        <v>Native Standard</v>
      </c>
    </row>
    <row r="21" spans="1:47" x14ac:dyDescent="0.3">
      <c r="A21" s="3">
        <f ca="1"/>
        <v>2346826</v>
      </c>
      <c r="B21" s="3" t="str">
        <f ca="1"/>
        <v>CZECH NEWS CENTER a. s.</v>
      </c>
      <c r="C21" s="3" t="str">
        <f ca="1">IFERROR(__xludf.DUMMYFUNCTION("""COMPUTED_VALUE"""),"Abeceda zahrady")</f>
        <v>Abeceda zahrady</v>
      </c>
      <c r="D21" s="4" t="str">
        <f ca="1">IFERROR(__xludf.DUMMYFUNCTION("""COMPUTED_VALUE"""),"https://abecedazahrady.dama.cz")</f>
        <v>https://abecedazahrady.dama.cz</v>
      </c>
      <c r="E21" s="3" t="str">
        <f ca="1">IFERROR(__xludf.DUMMYFUNCTION("""COMPUTED_VALUE"""),"celý web")</f>
        <v>celý web</v>
      </c>
      <c r="F21" s="4" t="str">
        <f ca="1">IFERROR(__xludf.DUMMYFUNCTION("""COMPUTED_VALUE"""),"https://abecedazahrady.dama.cz")</f>
        <v>https://abecedazahrady.dama.cz</v>
      </c>
      <c r="G21" s="3" t="str">
        <f ca="1">IFERROR(__xludf.DUMMYFUNCTION("""COMPUTED_VALUE"""),"nativní rectangle cross-device high season")</f>
        <v>nativní rectangle cross-device high season</v>
      </c>
      <c r="H21" s="3">
        <f ca="1">IFERROR(__xludf.DUMMYFUNCTION("""COMPUTED_VALUE"""),7)</f>
        <v>7</v>
      </c>
      <c r="I21" s="5">
        <f ca="1">IFERROR(__xludf.DUMMYFUNCTION("""COMPUTED_VALUE"""),1000)</f>
        <v>1000</v>
      </c>
      <c r="J21" s="5">
        <f ca="1">IFERROR(__xludf.DUMMYFUNCTION("""COMPUTED_VALUE"""),360)</f>
        <v>360</v>
      </c>
      <c r="K21" s="3"/>
      <c r="L21" s="3" t="str">
        <f ca="1">IFERROR(__xludf.DUMMYFUNCTION("""COMPUTED_VALUE"""),"Cost per period")</f>
        <v>Cost per period</v>
      </c>
      <c r="M21" s="3"/>
      <c r="N21" s="3"/>
      <c r="O21" s="3" t="str">
        <f ca="1">IFERROR(__xludf.DUMMYFUNCTION("""COMPUTED_VALUE"""),"640")</f>
        <v>640</v>
      </c>
      <c r="P21" s="3" t="str">
        <f ca="1">IFERROR(__xludf.DUMMYFUNCTION("""COMPUTED_VALUE"""),"335, 640")</f>
        <v>335, 640</v>
      </c>
      <c r="Q21" s="3" t="str">
        <f ca="1">IFERROR(__xludf.DUMMYFUNCTION("""COMPUTED_VALUE"""),"640x640 a 640x335 + text + logo")</f>
        <v>640x640 a 640x335 + text + logo</v>
      </c>
      <c r="R21" s="3"/>
      <c r="S21" s="3" t="str">
        <f ca="1">IFERROR(__xludf.DUMMYFUNCTION("""COMPUTED_VALUE"""),"45")</f>
        <v>45</v>
      </c>
      <c r="T21" s="3"/>
      <c r="U21" s="3" t="str">
        <f ca="1">IFERROR(__xludf.DUMMYFUNCTION("""COMPUTED_VALUE"""),"nativní reklama")</f>
        <v>nativní reklama</v>
      </c>
      <c r="V21" s="3"/>
      <c r="W21" s="4" t="str">
        <f ca="1">IFERROR(__xludf.DUMMYFUNCTION("""COMPUTED_VALUE"""),"https://reklama.cncenter.cz/Online/nativni-rectangle-cross-device")</f>
        <v>https://reklama.cncenter.cz/Online/nativni-rectangle-cross-device</v>
      </c>
      <c r="X21" s="3"/>
      <c r="Y21" s="3"/>
      <c r="Z21" s="3" t="str">
        <f ca="1">IFERROR(__xludf.DUMMYFUNCTION("""COMPUTED_VALUE"""),"podklady@cncenter.cz")</f>
        <v>podklady@cncenter.cz</v>
      </c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 t="str">
        <f ca="1">IFERROR(__xludf.DUMMYFUNCTION("""COMPUTED_VALUE"""),"cross-device")</f>
        <v>cross-device</v>
      </c>
      <c r="AO21" s="3"/>
      <c r="AP21" s="3"/>
      <c r="AQ21" s="3"/>
      <c r="AR21" s="3"/>
      <c r="AS21" s="3"/>
      <c r="AT21" s="3"/>
      <c r="AU21" s="3" t="str">
        <f ca="1">IFERROR(__xludf.DUMMYFUNCTION("""COMPUTED_VALUE"""),"nativní rectangle cross-device")</f>
        <v>nativní rectangle cross-device</v>
      </c>
    </row>
    <row r="22" spans="1:47" x14ac:dyDescent="0.3">
      <c r="A22" s="3">
        <f ca="1"/>
        <v>2346826</v>
      </c>
      <c r="B22" s="3" t="str">
        <f ca="1"/>
        <v>CZECH NEWS CENTER a. s.</v>
      </c>
      <c r="C22" s="3" t="str">
        <f ca="1">IFERROR(__xludf.DUMMYFUNCTION("""COMPUTED_VALUE"""),"Abeceda zahrady")</f>
        <v>Abeceda zahrady</v>
      </c>
      <c r="D22" s="4" t="str">
        <f ca="1">IFERROR(__xludf.DUMMYFUNCTION("""COMPUTED_VALUE"""),"https://abecedazahrady.dama.cz")</f>
        <v>https://abecedazahrady.dama.cz</v>
      </c>
      <c r="E22" s="3" t="str">
        <f ca="1">IFERROR(__xludf.DUMMYFUNCTION("""COMPUTED_VALUE"""),"celý web")</f>
        <v>celý web</v>
      </c>
      <c r="F22" s="4" t="str">
        <f ca="1">IFERROR(__xludf.DUMMYFUNCTION("""COMPUTED_VALUE"""),"https://abecedazahrady.dama.cz")</f>
        <v>https://abecedazahrady.dama.cz</v>
      </c>
      <c r="G22" s="3" t="str">
        <f ca="1">IFERROR(__xludf.DUMMYFUNCTION("""COMPUTED_VALUE"""),"outstream high season")</f>
        <v>outstream high season</v>
      </c>
      <c r="H22" s="3">
        <f ca="1">IFERROR(__xludf.DUMMYFUNCTION("""COMPUTED_VALUE"""),7)</f>
        <v>7</v>
      </c>
      <c r="I22" s="5">
        <f ca="1">IFERROR(__xludf.DUMMYFUNCTION("""COMPUTED_VALUE"""),1000)</f>
        <v>1000</v>
      </c>
      <c r="J22" s="5">
        <f ca="1">IFERROR(__xludf.DUMMYFUNCTION("""COMPUTED_VALUE"""),450)</f>
        <v>450</v>
      </c>
      <c r="K22" s="3"/>
      <c r="L22" s="3" t="str">
        <f ca="1">IFERROR(__xludf.DUMMYFUNCTION("""COMPUTED_VALUE"""),"Cost per period")</f>
        <v>Cost per period</v>
      </c>
      <c r="M22" s="3"/>
      <c r="N22" s="3"/>
      <c r="O22" s="3" t="str">
        <f ca="1">IFERROR(__xludf.DUMMYFUNCTION("""COMPUTED_VALUE"""),"1280")</f>
        <v>1280</v>
      </c>
      <c r="P22" s="3" t="str">
        <f ca="1">IFERROR(__xludf.DUMMYFUNCTION("""COMPUTED_VALUE"""),"720")</f>
        <v>720</v>
      </c>
      <c r="Q22" s="3" t="str">
        <f ca="1">IFERROR(__xludf.DUMMYFUNCTION("""COMPUTED_VALUE"""),"16:9")</f>
        <v>16:9</v>
      </c>
      <c r="R22" s="3"/>
      <c r="S22" s="3" t="str">
        <f ca="1">IFERROR(__xludf.DUMMYFUNCTION("""COMPUTED_VALUE"""),"100")</f>
        <v>100</v>
      </c>
      <c r="T22" s="3"/>
      <c r="U22" s="3" t="str">
        <f ca="1">IFERROR(__xludf.DUMMYFUNCTION("""COMPUTED_VALUE"""),"videospot")</f>
        <v>videospot</v>
      </c>
      <c r="V22" s="3"/>
      <c r="W22" s="4" t="str">
        <f ca="1">IFERROR(__xludf.DUMMYFUNCTION("""COMPUTED_VALUE"""),"https://reklama.cncenter.cz/Online/Outstream")</f>
        <v>https://reklama.cncenter.cz/Online/Outstream</v>
      </c>
      <c r="X22" s="3"/>
      <c r="Y22" s="3"/>
      <c r="Z22" s="3" t="str">
        <f ca="1">IFERROR(__xludf.DUMMYFUNCTION("""COMPUTED_VALUE"""),"podklady@cncenter.cz")</f>
        <v>podklady@cncenter.cz</v>
      </c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 t="str">
        <f ca="1">IFERROR(__xludf.DUMMYFUNCTION("""COMPUTED_VALUE"""),"cross-device")</f>
        <v>cross-device</v>
      </c>
      <c r="AO22" s="3"/>
      <c r="AP22" s="3"/>
      <c r="AQ22" s="3"/>
      <c r="AR22" s="3"/>
      <c r="AS22" s="3"/>
      <c r="AT22" s="3"/>
      <c r="AU22" s="3" t="str">
        <f ca="1">IFERROR(__xludf.DUMMYFUNCTION("""COMPUTED_VALUE"""),"outstream")</f>
        <v>outstream</v>
      </c>
    </row>
    <row r="23" spans="1:47" x14ac:dyDescent="0.3">
      <c r="A23" s="3">
        <f ca="1"/>
        <v>2346826</v>
      </c>
      <c r="B23" s="3" t="str">
        <f ca="1"/>
        <v>CZECH NEWS CENTER a. s.</v>
      </c>
      <c r="C23" s="3" t="str">
        <f ca="1">IFERROR(__xludf.DUMMYFUNCTION("""COMPUTED_VALUE"""),"Abeceda zahrady")</f>
        <v>Abeceda zahrady</v>
      </c>
      <c r="D23" s="4" t="str">
        <f ca="1">IFERROR(__xludf.DUMMYFUNCTION("""COMPUTED_VALUE"""),"https://abecedazahrady.dama.cz")</f>
        <v>https://abecedazahrady.dama.cz</v>
      </c>
      <c r="E23" s="3" t="str">
        <f ca="1">IFERROR(__xludf.DUMMYFUNCTION("""COMPUTED_VALUE"""),"celý web")</f>
        <v>celý web</v>
      </c>
      <c r="F23" s="4" t="str">
        <f ca="1">IFERROR(__xludf.DUMMYFUNCTION("""COMPUTED_VALUE"""),"https://abecedazahrady.dama.cz")</f>
        <v>https://abecedazahrady.dama.cz</v>
      </c>
      <c r="G23" s="3" t="str">
        <f ca="1">IFERROR(__xludf.DUMMYFUNCTION("""COMPUTED_VALUE"""),"PR článek high season")</f>
        <v>PR článek high season</v>
      </c>
      <c r="H23" s="3">
        <f ca="1">IFERROR(__xludf.DUMMYFUNCTION("""COMPUTED_VALUE"""),1)</f>
        <v>1</v>
      </c>
      <c r="I23" s="5">
        <f ca="1">IFERROR(__xludf.DUMMYFUNCTION("""COMPUTED_VALUE"""),1)</f>
        <v>1</v>
      </c>
      <c r="J23" s="5">
        <f ca="1">IFERROR(__xludf.DUMMYFUNCTION("""COMPUTED_VALUE"""),20000)</f>
        <v>20000</v>
      </c>
      <c r="K23" s="3"/>
      <c r="L23" s="3" t="str">
        <f ca="1">IFERROR(__xludf.DUMMYFUNCTION("""COMPUTED_VALUE"""),"Cost per instance")</f>
        <v>Cost per instance</v>
      </c>
      <c r="M23" s="3"/>
      <c r="N23" s="3"/>
      <c r="O23" s="3"/>
      <c r="P23" s="3"/>
      <c r="Q23" s="3"/>
      <c r="R23" s="3"/>
      <c r="S23" s="3" t="str">
        <f ca="1">IFERROR(__xludf.DUMMYFUNCTION("""COMPUTED_VALUE"""),"100")</f>
        <v>100</v>
      </c>
      <c r="T23" s="3"/>
      <c r="U23" s="3" t="str">
        <f ca="1">IFERROR(__xludf.DUMMYFUNCTION("""COMPUTED_VALUE"""),"pr článek")</f>
        <v>pr článek</v>
      </c>
      <c r="V23" s="3"/>
      <c r="W23" s="4" t="str">
        <f ca="1">IFERROR(__xludf.DUMMYFUNCTION("""COMPUTED_VALUE"""),"https://reklama.cncenter.cz/?ads=PR%2520%25C4%258Dl%25C3%25A1nky")</f>
        <v>https://reklama.cncenter.cz/?ads=PR%2520%25C4%258Dl%25C3%25A1nky</v>
      </c>
      <c r="X23" s="3"/>
      <c r="Y23" s="3"/>
      <c r="Z23" s="3" t="str">
        <f ca="1">IFERROR(__xludf.DUMMYFUNCTION("""COMPUTED_VALUE"""),"podklady@cncenter.cz")</f>
        <v>podklady@cncenter.cz</v>
      </c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 t="str">
        <f ca="1">IFERROR(__xludf.DUMMYFUNCTION("""COMPUTED_VALUE"""),"cross-device")</f>
        <v>cross-device</v>
      </c>
      <c r="AO23" s="3"/>
      <c r="AP23" s="3"/>
      <c r="AQ23" s="3"/>
      <c r="AR23" s="3"/>
      <c r="AS23" s="3"/>
      <c r="AT23" s="3"/>
      <c r="AU23" s="3" t="str">
        <f ca="1">IFERROR(__xludf.DUMMYFUNCTION("""COMPUTED_VALUE"""),"PR článek")</f>
        <v>PR článek</v>
      </c>
    </row>
    <row r="24" spans="1:47" x14ac:dyDescent="0.3">
      <c r="A24" s="3">
        <f ca="1"/>
        <v>2346826</v>
      </c>
      <c r="B24" s="3" t="str">
        <f ca="1"/>
        <v>CZECH NEWS CENTER a. s.</v>
      </c>
      <c r="C24" s="3" t="str">
        <f ca="1">IFERROR(__xludf.DUMMYFUNCTION("""COMPUTED_VALUE"""),"Abeceda zahrady")</f>
        <v>Abeceda zahrady</v>
      </c>
      <c r="D24" s="4" t="str">
        <f ca="1">IFERROR(__xludf.DUMMYFUNCTION("""COMPUTED_VALUE"""),"https://abecedazahrady.dama.cz")</f>
        <v>https://abecedazahrady.dama.cz</v>
      </c>
      <c r="E24" s="3" t="str">
        <f ca="1">IFERROR(__xludf.DUMMYFUNCTION("""COMPUTED_VALUE"""),"celý web")</f>
        <v>celý web</v>
      </c>
      <c r="F24" s="4" t="str">
        <f ca="1">IFERROR(__xludf.DUMMYFUNCTION("""COMPUTED_VALUE"""),"https://abecedazahrady.dama.cz")</f>
        <v>https://abecedazahrady.dama.cz</v>
      </c>
      <c r="G24" s="3" t="str">
        <f ca="1">IFERROR(__xludf.DUMMYFUNCTION("""COMPUTED_VALUE"""),"Prodloužení existující microsite, bez úprav high season")</f>
        <v>Prodloužení existující microsite, bez úprav high season</v>
      </c>
      <c r="H24" s="3">
        <f ca="1">IFERROR(__xludf.DUMMYFUNCTION("""COMPUTED_VALUE"""),1)</f>
        <v>1</v>
      </c>
      <c r="I24" s="5">
        <f ca="1">IFERROR(__xludf.DUMMYFUNCTION("""COMPUTED_VALUE"""),1)</f>
        <v>1</v>
      </c>
      <c r="J24" s="5">
        <f ca="1">IFERROR(__xludf.DUMMYFUNCTION("""COMPUTED_VALUE"""),15000)</f>
        <v>15000</v>
      </c>
      <c r="K24" s="3"/>
      <c r="L24" s="3" t="str">
        <f ca="1">IFERROR(__xludf.DUMMYFUNCTION("""COMPUTED_VALUE"""),"Cost per instance")</f>
        <v>Cost per instance</v>
      </c>
      <c r="M24" s="3"/>
      <c r="N24" s="3"/>
      <c r="O24" s="3"/>
      <c r="P24" s="3"/>
      <c r="Q24" s="3"/>
      <c r="R24" s="3"/>
      <c r="S24" s="3" t="str">
        <f ca="1">IFERROR(__xludf.DUMMYFUNCTION("""COMPUTED_VALUE"""),"100")</f>
        <v>100</v>
      </c>
      <c r="T24" s="3"/>
      <c r="U24" s="3" t="str">
        <f ca="1">IFERROR(__xludf.DUMMYFUNCTION("""COMPUTED_VALUE"""),"microsite")</f>
        <v>microsite</v>
      </c>
      <c r="V24" s="3"/>
      <c r="W24" s="3"/>
      <c r="X24" s="3"/>
      <c r="Y24" s="3"/>
      <c r="Z24" s="3" t="str">
        <f ca="1">IFERROR(__xludf.DUMMYFUNCTION("""COMPUTED_VALUE"""),"podklady@cncenter.cz")</f>
        <v>podklady@cncenter.cz</v>
      </c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 t="str">
        <f ca="1">IFERROR(__xludf.DUMMYFUNCTION("""COMPUTED_VALUE"""),"cross-device")</f>
        <v>cross-device</v>
      </c>
      <c r="AO24" s="3"/>
      <c r="AP24" s="3"/>
      <c r="AQ24" s="3"/>
      <c r="AR24" s="3"/>
      <c r="AS24" s="3"/>
      <c r="AT24" s="3"/>
      <c r="AU24" s="3" t="str">
        <f ca="1">IFERROR(__xludf.DUMMYFUNCTION("""COMPUTED_VALUE"""),"Prodloužení existující microsite, bez úprav")</f>
        <v>Prodloužení existující microsite, bez úprav</v>
      </c>
    </row>
    <row r="25" spans="1:47" x14ac:dyDescent="0.3">
      <c r="A25" s="3">
        <f ca="1"/>
        <v>2346826</v>
      </c>
      <c r="B25" s="3" t="str">
        <f ca="1"/>
        <v>CZECH NEWS CENTER a. s.</v>
      </c>
      <c r="C25" s="3" t="str">
        <f ca="1">IFERROR(__xludf.DUMMYFUNCTION("""COMPUTED_VALUE"""),"Abeceda zahrady")</f>
        <v>Abeceda zahrady</v>
      </c>
      <c r="D25" s="4" t="str">
        <f ca="1">IFERROR(__xludf.DUMMYFUNCTION("""COMPUTED_VALUE"""),"https://abecedazahrady.dama.cz")</f>
        <v>https://abecedazahrady.dama.cz</v>
      </c>
      <c r="E25" s="3" t="str">
        <f ca="1">IFERROR(__xludf.DUMMYFUNCTION("""COMPUTED_VALUE"""),"celý web")</f>
        <v>celý web</v>
      </c>
      <c r="F25" s="4" t="str">
        <f ca="1">IFERROR(__xludf.DUMMYFUNCTION("""COMPUTED_VALUE"""),"https://abecedazahrady.dama.cz")</f>
        <v>https://abecedazahrady.dama.cz</v>
      </c>
      <c r="G25" s="3" t="str">
        <f ca="1">IFERROR(__xludf.DUMMYFUNCTION("""COMPUTED_VALUE"""),"Prodloužení existující microsite, bez úprav high season")</f>
        <v>Prodloužení existující microsite, bez úprav high season</v>
      </c>
      <c r="H25" s="3">
        <f ca="1">IFERROR(__xludf.DUMMYFUNCTION("""COMPUTED_VALUE"""),1)</f>
        <v>1</v>
      </c>
      <c r="I25" s="5">
        <f ca="1">IFERROR(__xludf.DUMMYFUNCTION("""COMPUTED_VALUE"""),1)</f>
        <v>1</v>
      </c>
      <c r="J25" s="5">
        <f ca="1">IFERROR(__xludf.DUMMYFUNCTION("""COMPUTED_VALUE"""),15000)</f>
        <v>15000</v>
      </c>
      <c r="K25" s="3"/>
      <c r="L25" s="3" t="str">
        <f ca="1">IFERROR(__xludf.DUMMYFUNCTION("""COMPUTED_VALUE"""),"Cost per instance")</f>
        <v>Cost per instance</v>
      </c>
      <c r="M25" s="3"/>
      <c r="N25" s="3"/>
      <c r="O25" s="3"/>
      <c r="P25" s="3"/>
      <c r="Q25" s="3"/>
      <c r="R25" s="3"/>
      <c r="S25" s="3" t="str">
        <f ca="1">IFERROR(__xludf.DUMMYFUNCTION("""COMPUTED_VALUE"""),"100")</f>
        <v>100</v>
      </c>
      <c r="T25" s="3"/>
      <c r="U25" s="3" t="str">
        <f ca="1">IFERROR(__xludf.DUMMYFUNCTION("""COMPUTED_VALUE"""),"microsite")</f>
        <v>microsite</v>
      </c>
      <c r="V25" s="3"/>
      <c r="W25" s="3"/>
      <c r="X25" s="3"/>
      <c r="Y25" s="3"/>
      <c r="Z25" s="3" t="str">
        <f ca="1">IFERROR(__xludf.DUMMYFUNCTION("""COMPUTED_VALUE"""),"podklady@cncenter.cz")</f>
        <v>podklady@cncenter.cz</v>
      </c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 t="str">
        <f ca="1">IFERROR(__xludf.DUMMYFUNCTION("""COMPUTED_VALUE"""),"cross-device")</f>
        <v>cross-device</v>
      </c>
      <c r="AO25" s="3"/>
      <c r="AP25" s="3"/>
      <c r="AQ25" s="3"/>
      <c r="AR25" s="3"/>
      <c r="AS25" s="3"/>
      <c r="AT25" s="3"/>
      <c r="AU25" s="3" t="str">
        <f ca="1">IFERROR(__xludf.DUMMYFUNCTION("""COMPUTED_VALUE"""),"Prodloužení existující microsite, bez úprav")</f>
        <v>Prodloužení existující microsite, bez úprav</v>
      </c>
    </row>
    <row r="26" spans="1:47" x14ac:dyDescent="0.3">
      <c r="A26" s="3">
        <f ca="1"/>
        <v>2346826</v>
      </c>
      <c r="B26" s="3" t="str">
        <f ca="1"/>
        <v>CZECH NEWS CENTER a. s.</v>
      </c>
      <c r="C26" s="3" t="str">
        <f ca="1">IFERROR(__xludf.DUMMYFUNCTION("""COMPUTED_VALUE"""),"Abeceda zahrady")</f>
        <v>Abeceda zahrady</v>
      </c>
      <c r="D26" s="4" t="str">
        <f ca="1">IFERROR(__xludf.DUMMYFUNCTION("""COMPUTED_VALUE"""),"https://abecedazahrady.dama.cz")</f>
        <v>https://abecedazahrady.dama.cz</v>
      </c>
      <c r="E26" s="3" t="str">
        <f ca="1">IFERROR(__xludf.DUMMYFUNCTION("""COMPUTED_VALUE"""),"celý web")</f>
        <v>celý web</v>
      </c>
      <c r="F26" s="4" t="str">
        <f ca="1">IFERROR(__xludf.DUMMYFUNCTION("""COMPUTED_VALUE"""),"https://abecedazahrady.dama.cz")</f>
        <v>https://abecedazahrady.dama.cz</v>
      </c>
      <c r="G26" s="3" t="str">
        <f ca="1">IFERROR(__xludf.DUMMYFUNCTION("""COMPUTED_VALUE"""),"Prodloužení existující microsite, bez úprav high season")</f>
        <v>Prodloužení existující microsite, bez úprav high season</v>
      </c>
      <c r="H26" s="3">
        <f ca="1">IFERROR(__xludf.DUMMYFUNCTION("""COMPUTED_VALUE"""),1)</f>
        <v>1</v>
      </c>
      <c r="I26" s="5">
        <f ca="1">IFERROR(__xludf.DUMMYFUNCTION("""COMPUTED_VALUE"""),1)</f>
        <v>1</v>
      </c>
      <c r="J26" s="5">
        <f ca="1">IFERROR(__xludf.DUMMYFUNCTION("""COMPUTED_VALUE"""),15000)</f>
        <v>15000</v>
      </c>
      <c r="K26" s="3"/>
      <c r="L26" s="3" t="str">
        <f ca="1">IFERROR(__xludf.DUMMYFUNCTION("""COMPUTED_VALUE"""),"Cost per instance")</f>
        <v>Cost per instance</v>
      </c>
      <c r="M26" s="3"/>
      <c r="N26" s="3"/>
      <c r="O26" s="3"/>
      <c r="P26" s="3"/>
      <c r="Q26" s="3"/>
      <c r="R26" s="3"/>
      <c r="S26" s="3" t="str">
        <f ca="1">IFERROR(__xludf.DUMMYFUNCTION("""COMPUTED_VALUE"""),"100")</f>
        <v>100</v>
      </c>
      <c r="T26" s="3"/>
      <c r="U26" s="3" t="str">
        <f ca="1">IFERROR(__xludf.DUMMYFUNCTION("""COMPUTED_VALUE"""),"microsite")</f>
        <v>microsite</v>
      </c>
      <c r="V26" s="3"/>
      <c r="W26" s="3"/>
      <c r="X26" s="3"/>
      <c r="Y26" s="3"/>
      <c r="Z26" s="3" t="str">
        <f ca="1">IFERROR(__xludf.DUMMYFUNCTION("""COMPUTED_VALUE"""),"podklady@cncenter.cz")</f>
        <v>podklady@cncenter.cz</v>
      </c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 t="str">
        <f ca="1">IFERROR(__xludf.DUMMYFUNCTION("""COMPUTED_VALUE"""),"cross-device")</f>
        <v>cross-device</v>
      </c>
      <c r="AO26" s="3"/>
      <c r="AP26" s="3"/>
      <c r="AQ26" s="3"/>
      <c r="AR26" s="3"/>
      <c r="AS26" s="3"/>
      <c r="AT26" s="3"/>
      <c r="AU26" s="3" t="str">
        <f ca="1">IFERROR(__xludf.DUMMYFUNCTION("""COMPUTED_VALUE"""),"Prodloužení existující microsite, bez úprav")</f>
        <v>Prodloužení existující microsite, bez úprav</v>
      </c>
    </row>
    <row r="27" spans="1:47" x14ac:dyDescent="0.3">
      <c r="A27" s="3">
        <f ca="1"/>
        <v>2346826</v>
      </c>
      <c r="B27" s="3" t="str">
        <f ca="1"/>
        <v>CZECH NEWS CENTER a. s.</v>
      </c>
      <c r="C27" s="3" t="str">
        <f ca="1">IFERROR(__xludf.DUMMYFUNCTION("""COMPUTED_VALUE"""),"Abicko")</f>
        <v>Abicko</v>
      </c>
      <c r="D27" s="4" t="str">
        <f ca="1">IFERROR(__xludf.DUMMYFUNCTION("""COMPUTED_VALUE"""),"https://abicko.cz")</f>
        <v>https://abicko.cz</v>
      </c>
      <c r="E27" s="3" t="str">
        <f ca="1">IFERROR(__xludf.DUMMYFUNCTION("""COMPUTED_VALUE"""),"celý web")</f>
        <v>celý web</v>
      </c>
      <c r="F27" s="4" t="str">
        <f ca="1">IFERROR(__xludf.DUMMYFUNCTION("""COMPUTED_VALUE"""),"https://abicko.cz")</f>
        <v>https://abicko.cz</v>
      </c>
      <c r="G27" s="3" t="str">
        <f ca="1">IFERROR(__xludf.DUMMYFUNCTION("""COMPUTED_VALUE"""),"Advertorial high season")</f>
        <v>Advertorial high season</v>
      </c>
      <c r="H27" s="3">
        <f ca="1">IFERROR(__xludf.DUMMYFUNCTION("""COMPUTED_VALUE"""),1)</f>
        <v>1</v>
      </c>
      <c r="I27" s="5">
        <f ca="1">IFERROR(__xludf.DUMMYFUNCTION("""COMPUTED_VALUE"""),1)</f>
        <v>1</v>
      </c>
      <c r="J27" s="5">
        <f ca="1">IFERROR(__xludf.DUMMYFUNCTION("""COMPUTED_VALUE"""),90000)</f>
        <v>90000</v>
      </c>
      <c r="K27" s="3"/>
      <c r="L27" s="3" t="str">
        <f ca="1">IFERROR(__xludf.DUMMYFUNCTION("""COMPUTED_VALUE"""),"Cost per instance")</f>
        <v>Cost per instance</v>
      </c>
      <c r="M27" s="3"/>
      <c r="N27" s="3"/>
      <c r="O27" s="3"/>
      <c r="P27" s="3"/>
      <c r="Q27" s="3"/>
      <c r="R27" s="3"/>
      <c r="S27" s="3" t="str">
        <f ca="1">IFERROR(__xludf.DUMMYFUNCTION("""COMPUTED_VALUE"""),"100")</f>
        <v>100</v>
      </c>
      <c r="T27" s="3"/>
      <c r="U27" s="3" t="str">
        <f ca="1">IFERROR(__xludf.DUMMYFUNCTION("""COMPUTED_VALUE"""),"pr článek")</f>
        <v>pr článek</v>
      </c>
      <c r="V27" s="3"/>
      <c r="W27" s="3"/>
      <c r="X27" s="3"/>
      <c r="Y27" s="3"/>
      <c r="Z27" s="3" t="str">
        <f ca="1">IFERROR(__xludf.DUMMYFUNCTION("""COMPUTED_VALUE"""),"podklady@cncenter.cz")</f>
        <v>podklady@cncenter.cz</v>
      </c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 t="str">
        <f ca="1">IFERROR(__xludf.DUMMYFUNCTION("""COMPUTED_VALUE"""),"cross-device")</f>
        <v>cross-device</v>
      </c>
      <c r="AO27" s="3"/>
      <c r="AP27" s="3"/>
      <c r="AQ27" s="3"/>
      <c r="AR27" s="3"/>
      <c r="AS27" s="3"/>
      <c r="AT27" s="3"/>
      <c r="AU27" s="3" t="str">
        <f ca="1">IFERROR(__xludf.DUMMYFUNCTION("""COMPUTED_VALUE"""),"Advertorial")</f>
        <v>Advertorial</v>
      </c>
    </row>
    <row r="28" spans="1:47" x14ac:dyDescent="0.3">
      <c r="A28" s="3">
        <f ca="1"/>
        <v>2346826</v>
      </c>
      <c r="B28" s="3" t="str">
        <f ca="1"/>
        <v>CZECH NEWS CENTER a. s.</v>
      </c>
      <c r="C28" s="3" t="str">
        <f ca="1">IFERROR(__xludf.DUMMYFUNCTION("""COMPUTED_VALUE"""),"Abicko")</f>
        <v>Abicko</v>
      </c>
      <c r="D28" s="4" t="str">
        <f ca="1">IFERROR(__xludf.DUMMYFUNCTION("""COMPUTED_VALUE"""),"https://abicko.cz")</f>
        <v>https://abicko.cz</v>
      </c>
      <c r="E28" s="3" t="str">
        <f ca="1">IFERROR(__xludf.DUMMYFUNCTION("""COMPUTED_VALUE"""),"celý web")</f>
        <v>celý web</v>
      </c>
      <c r="F28" s="4" t="str">
        <f ca="1">IFERROR(__xludf.DUMMYFUNCTION("""COMPUTED_VALUE"""),"https://abicko.cz")</f>
        <v>https://abicko.cz</v>
      </c>
      <c r="G28" s="3" t="str">
        <f ca="1">IFERROR(__xludf.DUMMYFUNCTION("""COMPUTED_VALUE"""),"billboard bottom high season")</f>
        <v>billboard bottom high season</v>
      </c>
      <c r="H28" s="3">
        <f ca="1">IFERROR(__xludf.DUMMYFUNCTION("""COMPUTED_VALUE"""),7)</f>
        <v>7</v>
      </c>
      <c r="I28" s="5">
        <f ca="1">IFERROR(__xludf.DUMMYFUNCTION("""COMPUTED_VALUE"""),1000)</f>
        <v>1000</v>
      </c>
      <c r="J28" s="5">
        <f ca="1">IFERROR(__xludf.DUMMYFUNCTION("""COMPUTED_VALUE"""),440)</f>
        <v>440</v>
      </c>
      <c r="K28" s="3"/>
      <c r="L28" s="3" t="str">
        <f ca="1">IFERROR(__xludf.DUMMYFUNCTION("""COMPUTED_VALUE"""),"Cost per period")</f>
        <v>Cost per period</v>
      </c>
      <c r="M28" s="3"/>
      <c r="N28" s="3"/>
      <c r="O28" s="3" t="str">
        <f ca="1">IFERROR(__xludf.DUMMYFUNCTION("""COMPUTED_VALUE"""),"970")</f>
        <v>970</v>
      </c>
      <c r="P28" s="3" t="str">
        <f ca="1">IFERROR(__xludf.DUMMYFUNCTION("""COMPUTED_VALUE"""),"250")</f>
        <v>250</v>
      </c>
      <c r="Q28" s="3" t="str">
        <f ca="1">IFERROR(__xludf.DUMMYFUNCTION("""COMPUTED_VALUE"""),"970x250")</f>
        <v>970x250</v>
      </c>
      <c r="R28" s="3"/>
      <c r="S28" s="3" t="str">
        <f ca="1">IFERROR(__xludf.DUMMYFUNCTION("""COMPUTED_VALUE"""),"100 (200 - HTML5)")</f>
        <v>100 (200 - HTML5)</v>
      </c>
      <c r="T28" s="3"/>
      <c r="U28" s="3" t="str">
        <f ca="1">IFERROR(__xludf.DUMMYFUNCTION("""COMPUTED_VALUE"""),"banner standard")</f>
        <v>banner standard</v>
      </c>
      <c r="V28" s="3"/>
      <c r="W28" s="4" t="str">
        <f ca="1">IFERROR(__xludf.DUMMYFUNCTION("""COMPUTED_VALUE"""),"https://reklama.cncenter.cz/Online/billboard-bottom")</f>
        <v>https://reklama.cncenter.cz/Online/billboard-bottom</v>
      </c>
      <c r="X28" s="3"/>
      <c r="Y28" s="3"/>
      <c r="Z28" s="3" t="str">
        <f ca="1">IFERROR(__xludf.DUMMYFUNCTION("""COMPUTED_VALUE"""),"podklady@cncenter.cz")</f>
        <v>podklady@cncenter.cz</v>
      </c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 t="str">
        <f ca="1">IFERROR(__xludf.DUMMYFUNCTION("""COMPUTED_VALUE"""),"desktop")</f>
        <v>desktop</v>
      </c>
      <c r="AO28" s="3"/>
      <c r="AP28" s="3"/>
      <c r="AQ28" s="3"/>
      <c r="AR28" s="3"/>
      <c r="AS28" s="3"/>
      <c r="AT28" s="3"/>
      <c r="AU28" s="3" t="str">
        <f ca="1">IFERROR(__xludf.DUMMYFUNCTION("""COMPUTED_VALUE"""),"billboard bottom")</f>
        <v>billboard bottom</v>
      </c>
    </row>
    <row r="29" spans="1:47" x14ac:dyDescent="0.3">
      <c r="A29" s="3">
        <f ca="1"/>
        <v>2346826</v>
      </c>
      <c r="B29" s="3" t="str">
        <f ca="1"/>
        <v>CZECH NEWS CENTER a. s.</v>
      </c>
      <c r="C29" s="3" t="str">
        <f ca="1">IFERROR(__xludf.DUMMYFUNCTION("""COMPUTED_VALUE"""),"Abicko")</f>
        <v>Abicko</v>
      </c>
      <c r="D29" s="4" t="str">
        <f ca="1">IFERROR(__xludf.DUMMYFUNCTION("""COMPUTED_VALUE"""),"https://abicko.cz")</f>
        <v>https://abicko.cz</v>
      </c>
      <c r="E29" s="3" t="str">
        <f ca="1">IFERROR(__xludf.DUMMYFUNCTION("""COMPUTED_VALUE"""),"celý web")</f>
        <v>celý web</v>
      </c>
      <c r="F29" s="4" t="str">
        <f ca="1">IFERROR(__xludf.DUMMYFUNCTION("""COMPUTED_VALUE"""),"https://abicko.cz")</f>
        <v>https://abicko.cz</v>
      </c>
      <c r="G29" s="3" t="str">
        <f ca="1">IFERROR(__xludf.DUMMYFUNCTION("""COMPUTED_VALUE"""),"branding cross-device high season")</f>
        <v>branding cross-device high season</v>
      </c>
      <c r="H29" s="3">
        <f ca="1">IFERROR(__xludf.DUMMYFUNCTION("""COMPUTED_VALUE"""),7)</f>
        <v>7</v>
      </c>
      <c r="I29" s="5">
        <f ca="1">IFERROR(__xludf.DUMMYFUNCTION("""COMPUTED_VALUE"""),1000)</f>
        <v>1000</v>
      </c>
      <c r="J29" s="5">
        <f ca="1">IFERROR(__xludf.DUMMYFUNCTION("""COMPUTED_VALUE"""),540)</f>
        <v>540</v>
      </c>
      <c r="K29" s="3"/>
      <c r="L29" s="3" t="str">
        <f ca="1">IFERROR(__xludf.DUMMYFUNCTION("""COMPUTED_VALUE"""),"Cost per period")</f>
        <v>Cost per period</v>
      </c>
      <c r="M29" s="3"/>
      <c r="N29" s="3"/>
      <c r="O29" s="3" t="str">
        <f ca="1">IFERROR(__xludf.DUMMYFUNCTION("""COMPUTED_VALUE"""),"2000")</f>
        <v>2000</v>
      </c>
      <c r="P29" s="3" t="str">
        <f ca="1">IFERROR(__xludf.DUMMYFUNCTION("""COMPUTED_VALUE"""),"1400")</f>
        <v>1400</v>
      </c>
      <c r="Q29" s="3" t="str">
        <f ca="1">IFERROR(__xludf.DUMMYFUNCTION("""COMPUTED_VALUE"""),"2000x1400 + 600x1080")</f>
        <v>2000x1400 + 600x1080</v>
      </c>
      <c r="R29" s="3"/>
      <c r="S29" s="3" t="str">
        <f ca="1">IFERROR(__xludf.DUMMYFUNCTION("""COMPUTED_VALUE"""),"500 (600 - HTLM5)")</f>
        <v>500 (600 - HTLM5)</v>
      </c>
      <c r="T29" s="3"/>
      <c r="U29" s="3" t="str">
        <f ca="1">IFERROR(__xludf.DUMMYFUNCTION("""COMPUTED_VALUE"""),"banner standard")</f>
        <v>banner standard</v>
      </c>
      <c r="V29" s="3"/>
      <c r="W29" s="4" t="str">
        <f ca="1">IFERROR(__xludf.DUMMYFUNCTION("""COMPUTED_VALUE"""),"https://reklama.cncenter.cz/Online/branding-cross-device")</f>
        <v>https://reklama.cncenter.cz/Online/branding-cross-device</v>
      </c>
      <c r="X29" s="3"/>
      <c r="Y29" s="3"/>
      <c r="Z29" s="3" t="str">
        <f ca="1">IFERROR(__xludf.DUMMYFUNCTION("""COMPUTED_VALUE"""),"podklady@cncenter.cz")</f>
        <v>podklady@cncenter.cz</v>
      </c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 t="str">
        <f ca="1">IFERROR(__xludf.DUMMYFUNCTION("""COMPUTED_VALUE"""),"cross-device")</f>
        <v>cross-device</v>
      </c>
      <c r="AO29" s="3"/>
      <c r="AP29" s="3"/>
      <c r="AQ29" s="3"/>
      <c r="AR29" s="3"/>
      <c r="AS29" s="3"/>
      <c r="AT29" s="3"/>
      <c r="AU29" s="3" t="str">
        <f ca="1">IFERROR(__xludf.DUMMYFUNCTION("""COMPUTED_VALUE"""),"branding cross-device")</f>
        <v>branding cross-device</v>
      </c>
    </row>
    <row r="30" spans="1:47" x14ac:dyDescent="0.3">
      <c r="A30" s="3">
        <f ca="1"/>
        <v>2346826</v>
      </c>
      <c r="B30" s="3" t="str">
        <f ca="1"/>
        <v>CZECH NEWS CENTER a. s.</v>
      </c>
      <c r="C30" s="3" t="str">
        <f ca="1">IFERROR(__xludf.DUMMYFUNCTION("""COMPUTED_VALUE"""),"Abicko")</f>
        <v>Abicko</v>
      </c>
      <c r="D30" s="4" t="str">
        <f ca="1">IFERROR(__xludf.DUMMYFUNCTION("""COMPUTED_VALUE"""),"https://abicko.cz")</f>
        <v>https://abicko.cz</v>
      </c>
      <c r="E30" s="3" t="str">
        <f ca="1">IFERROR(__xludf.DUMMYFUNCTION("""COMPUTED_VALUE"""),"celý web")</f>
        <v>celý web</v>
      </c>
      <c r="F30" s="4" t="str">
        <f ca="1">IFERROR(__xludf.DUMMYFUNCTION("""COMPUTED_VALUE"""),"https://abicko.cz")</f>
        <v>https://abicko.cz</v>
      </c>
      <c r="G30" s="3" t="str">
        <f ca="1">IFERROR(__xludf.DUMMYFUNCTION("""COMPUTED_VALUE"""),"branding high season")</f>
        <v>branding high season</v>
      </c>
      <c r="H30" s="3">
        <f ca="1">IFERROR(__xludf.DUMMYFUNCTION("""COMPUTED_VALUE"""),7)</f>
        <v>7</v>
      </c>
      <c r="I30" s="5">
        <f ca="1">IFERROR(__xludf.DUMMYFUNCTION("""COMPUTED_VALUE"""),1000)</f>
        <v>1000</v>
      </c>
      <c r="J30" s="5">
        <f ca="1">IFERROR(__xludf.DUMMYFUNCTION("""COMPUTED_VALUE"""),890)</f>
        <v>890</v>
      </c>
      <c r="K30" s="3"/>
      <c r="L30" s="3" t="str">
        <f ca="1">IFERROR(__xludf.DUMMYFUNCTION("""COMPUTED_VALUE"""),"Cost per period")</f>
        <v>Cost per period</v>
      </c>
      <c r="M30" s="3"/>
      <c r="N30" s="3"/>
      <c r="O30" s="3" t="str">
        <f ca="1">IFERROR(__xludf.DUMMYFUNCTION("""COMPUTED_VALUE"""),"2000")</f>
        <v>2000</v>
      </c>
      <c r="P30" s="3" t="str">
        <f ca="1">IFERROR(__xludf.DUMMYFUNCTION("""COMPUTED_VALUE"""),"1400")</f>
        <v>1400</v>
      </c>
      <c r="Q30" s="3" t="str">
        <f ca="1">IFERROR(__xludf.DUMMYFUNCTION("""COMPUTED_VALUE"""),"2000x1400")</f>
        <v>2000x1400</v>
      </c>
      <c r="R30" s="3"/>
      <c r="S30" s="3" t="str">
        <f ca="1">IFERROR(__xludf.DUMMYFUNCTION("""COMPUTED_VALUE"""),"500 + 200 (600+200 HTML5)")</f>
        <v>500 + 200 (600+200 HTML5)</v>
      </c>
      <c r="T30" s="3"/>
      <c r="U30" s="3" t="str">
        <f ca="1">IFERROR(__xludf.DUMMYFUNCTION("""COMPUTED_VALUE"""),"banner standard")</f>
        <v>banner standard</v>
      </c>
      <c r="V30" s="3"/>
      <c r="W30" s="4" t="str">
        <f ca="1">IFERROR(__xludf.DUMMYFUNCTION("""COMPUTED_VALUE"""),"https://reklama.cncenter.cz/Online/branding")</f>
        <v>https://reklama.cncenter.cz/Online/branding</v>
      </c>
      <c r="X30" s="3"/>
      <c r="Y30" s="3"/>
      <c r="Z30" s="3" t="str">
        <f ca="1">IFERROR(__xludf.DUMMYFUNCTION("""COMPUTED_VALUE"""),"podklady@cncenter.cz")</f>
        <v>podklady@cncenter.cz</v>
      </c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 t="str">
        <f ca="1">IFERROR(__xludf.DUMMYFUNCTION("""COMPUTED_VALUE"""),"desktop")</f>
        <v>desktop</v>
      </c>
      <c r="AO30" s="3"/>
      <c r="AP30" s="3"/>
      <c r="AQ30" s="3"/>
      <c r="AR30" s="3"/>
      <c r="AS30" s="3"/>
      <c r="AT30" s="3"/>
      <c r="AU30" s="3" t="str">
        <f ca="1">IFERROR(__xludf.DUMMYFUNCTION("""COMPUTED_VALUE"""),"branding")</f>
        <v>branding</v>
      </c>
    </row>
    <row r="31" spans="1:47" x14ac:dyDescent="0.3">
      <c r="A31" s="3">
        <f ca="1"/>
        <v>2346826</v>
      </c>
      <c r="B31" s="3" t="str">
        <f ca="1"/>
        <v>CZECH NEWS CENTER a. s.</v>
      </c>
      <c r="C31" s="3" t="str">
        <f ca="1">IFERROR(__xludf.DUMMYFUNCTION("""COMPUTED_VALUE"""),"Abicko")</f>
        <v>Abicko</v>
      </c>
      <c r="D31" s="4" t="str">
        <f ca="1">IFERROR(__xludf.DUMMYFUNCTION("""COMPUTED_VALUE"""),"https://abicko.cz")</f>
        <v>https://abicko.cz</v>
      </c>
      <c r="E31" s="3" t="str">
        <f ca="1">IFERROR(__xludf.DUMMYFUNCTION("""COMPUTED_VALUE"""),"celý web")</f>
        <v>celý web</v>
      </c>
      <c r="F31" s="4" t="str">
        <f ca="1">IFERROR(__xludf.DUMMYFUNCTION("""COMPUTED_VALUE"""),"https://abicko.cz")</f>
        <v>https://abicko.cz</v>
      </c>
      <c r="G31" s="3" t="str">
        <f ca="1">IFERROR(__xludf.DUMMYFUNCTION("""COMPUTED_VALUE"""),"cílený billboard bottom high season")</f>
        <v>cílený billboard bottom high season</v>
      </c>
      <c r="H31" s="3">
        <f ca="1">IFERROR(__xludf.DUMMYFUNCTION("""COMPUTED_VALUE"""),7)</f>
        <v>7</v>
      </c>
      <c r="I31" s="5">
        <f ca="1">IFERROR(__xludf.DUMMYFUNCTION("""COMPUTED_VALUE"""),1000)</f>
        <v>1000</v>
      </c>
      <c r="J31" s="5">
        <f ca="1">IFERROR(__xludf.DUMMYFUNCTION("""COMPUTED_VALUE"""),528)</f>
        <v>528</v>
      </c>
      <c r="K31" s="3"/>
      <c r="L31" s="3" t="str">
        <f ca="1">IFERROR(__xludf.DUMMYFUNCTION("""COMPUTED_VALUE"""),"Cost per period")</f>
        <v>Cost per period</v>
      </c>
      <c r="M31" s="3"/>
      <c r="N31" s="3"/>
      <c r="O31" s="3" t="str">
        <f ca="1">IFERROR(__xludf.DUMMYFUNCTION("""COMPUTED_VALUE"""),"970")</f>
        <v>970</v>
      </c>
      <c r="P31" s="3" t="str">
        <f ca="1">IFERROR(__xludf.DUMMYFUNCTION("""COMPUTED_VALUE"""),"250")</f>
        <v>250</v>
      </c>
      <c r="Q31" s="3" t="str">
        <f ca="1">IFERROR(__xludf.DUMMYFUNCTION("""COMPUTED_VALUE"""),"970x250")</f>
        <v>970x250</v>
      </c>
      <c r="R31" s="3"/>
      <c r="S31" s="3" t="str">
        <f ca="1">IFERROR(__xludf.DUMMYFUNCTION("""COMPUTED_VALUE"""),"100 (200 - HTML5)")</f>
        <v>100 (200 - HTML5)</v>
      </c>
      <c r="T31" s="3"/>
      <c r="U31" s="3" t="str">
        <f ca="1">IFERROR(__xludf.DUMMYFUNCTION("""COMPUTED_VALUE"""),"banner standard")</f>
        <v>banner standard</v>
      </c>
      <c r="V31" s="3"/>
      <c r="W31" s="4" t="str">
        <f ca="1">IFERROR(__xludf.DUMMYFUNCTION("""COMPUTED_VALUE"""),"https://reklama.cncenter.cz/Online/billboard-bottom")</f>
        <v>https://reklama.cncenter.cz/Online/billboard-bottom</v>
      </c>
      <c r="X31" s="3"/>
      <c r="Y31" s="3"/>
      <c r="Z31" s="3" t="str">
        <f ca="1">IFERROR(__xludf.DUMMYFUNCTION("""COMPUTED_VALUE"""),"podklady@cncenter.cz")</f>
        <v>podklady@cncenter.cz</v>
      </c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 t="str">
        <f ca="1">IFERROR(__xludf.DUMMYFUNCTION("""COMPUTED_VALUE"""),"desktop")</f>
        <v>desktop</v>
      </c>
      <c r="AO31" s="3"/>
      <c r="AP31" s="3"/>
      <c r="AQ31" s="3"/>
      <c r="AR31" s="3"/>
      <c r="AS31" s="3"/>
      <c r="AT31" s="3"/>
      <c r="AU31" s="3" t="str">
        <f ca="1">IFERROR(__xludf.DUMMYFUNCTION("""COMPUTED_VALUE"""),"cílený billboard bottom")</f>
        <v>cílený billboard bottom</v>
      </c>
    </row>
    <row r="32" spans="1:47" x14ac:dyDescent="0.3">
      <c r="A32" s="3">
        <f ca="1"/>
        <v>2346826</v>
      </c>
      <c r="B32" s="3" t="str">
        <f ca="1"/>
        <v>CZECH NEWS CENTER a. s.</v>
      </c>
      <c r="C32" s="3" t="str">
        <f ca="1">IFERROR(__xludf.DUMMYFUNCTION("""COMPUTED_VALUE"""),"Abicko")</f>
        <v>Abicko</v>
      </c>
      <c r="D32" s="4" t="str">
        <f ca="1">IFERROR(__xludf.DUMMYFUNCTION("""COMPUTED_VALUE"""),"https://abicko.cz")</f>
        <v>https://abicko.cz</v>
      </c>
      <c r="E32" s="3" t="str">
        <f ca="1">IFERROR(__xludf.DUMMYFUNCTION("""COMPUTED_VALUE"""),"celý web")</f>
        <v>celý web</v>
      </c>
      <c r="F32" s="4" t="str">
        <f ca="1">IFERROR(__xludf.DUMMYFUNCTION("""COMPUTED_VALUE"""),"https://abicko.cz")</f>
        <v>https://abicko.cz</v>
      </c>
      <c r="G32" s="3" t="str">
        <f ca="1">IFERROR(__xludf.DUMMYFUNCTION("""COMPUTED_VALUE"""),"cílený branding cross-device high season")</f>
        <v>cílený branding cross-device high season</v>
      </c>
      <c r="H32" s="3">
        <f ca="1">IFERROR(__xludf.DUMMYFUNCTION("""COMPUTED_VALUE"""),7)</f>
        <v>7</v>
      </c>
      <c r="I32" s="5">
        <f ca="1">IFERROR(__xludf.DUMMYFUNCTION("""COMPUTED_VALUE"""),1000)</f>
        <v>1000</v>
      </c>
      <c r="J32" s="5">
        <f ca="1">IFERROR(__xludf.DUMMYFUNCTION("""COMPUTED_VALUE"""),648)</f>
        <v>648</v>
      </c>
      <c r="K32" s="3"/>
      <c r="L32" s="3" t="str">
        <f ca="1">IFERROR(__xludf.DUMMYFUNCTION("""COMPUTED_VALUE"""),"Cost per period")</f>
        <v>Cost per period</v>
      </c>
      <c r="M32" s="3"/>
      <c r="N32" s="3"/>
      <c r="O32" s="3" t="str">
        <f ca="1">IFERROR(__xludf.DUMMYFUNCTION("""COMPUTED_VALUE"""),"2000")</f>
        <v>2000</v>
      </c>
      <c r="P32" s="3" t="str">
        <f ca="1">IFERROR(__xludf.DUMMYFUNCTION("""COMPUTED_VALUE"""),"1400")</f>
        <v>1400</v>
      </c>
      <c r="Q32" s="3" t="str">
        <f ca="1">IFERROR(__xludf.DUMMYFUNCTION("""COMPUTED_VALUE"""),"2000x1400 + 600x1080")</f>
        <v>2000x1400 + 600x1080</v>
      </c>
      <c r="R32" s="3"/>
      <c r="S32" s="3" t="str">
        <f ca="1">IFERROR(__xludf.DUMMYFUNCTION("""COMPUTED_VALUE"""),"500 (600 - HTLM5)")</f>
        <v>500 (600 - HTLM5)</v>
      </c>
      <c r="T32" s="3"/>
      <c r="U32" s="3" t="str">
        <f ca="1">IFERROR(__xludf.DUMMYFUNCTION("""COMPUTED_VALUE"""),"banner standard")</f>
        <v>banner standard</v>
      </c>
      <c r="V32" s="3"/>
      <c r="W32" s="4" t="str">
        <f ca="1">IFERROR(__xludf.DUMMYFUNCTION("""COMPUTED_VALUE"""),"https://reklama.cncenter.cz/Online/branding-cross-device")</f>
        <v>https://reklama.cncenter.cz/Online/branding-cross-device</v>
      </c>
      <c r="X32" s="3"/>
      <c r="Y32" s="3"/>
      <c r="Z32" s="3" t="str">
        <f ca="1">IFERROR(__xludf.DUMMYFUNCTION("""COMPUTED_VALUE"""),"podklady@cncenter.cz")</f>
        <v>podklady@cncenter.cz</v>
      </c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 t="str">
        <f ca="1">IFERROR(__xludf.DUMMYFUNCTION("""COMPUTED_VALUE"""),"cross-device")</f>
        <v>cross-device</v>
      </c>
      <c r="AO32" s="3"/>
      <c r="AP32" s="3"/>
      <c r="AQ32" s="3"/>
      <c r="AR32" s="3"/>
      <c r="AS32" s="3"/>
      <c r="AT32" s="3"/>
      <c r="AU32" s="3" t="str">
        <f ca="1">IFERROR(__xludf.DUMMYFUNCTION("""COMPUTED_VALUE"""),"cílený branding cross-device")</f>
        <v>cílený branding cross-device</v>
      </c>
    </row>
    <row r="33" spans="1:47" x14ac:dyDescent="0.3">
      <c r="A33" s="3">
        <f ca="1"/>
        <v>2346826</v>
      </c>
      <c r="B33" s="3" t="str">
        <f ca="1"/>
        <v>CZECH NEWS CENTER a. s.</v>
      </c>
      <c r="C33" s="3" t="str">
        <f ca="1">IFERROR(__xludf.DUMMYFUNCTION("""COMPUTED_VALUE"""),"Abicko")</f>
        <v>Abicko</v>
      </c>
      <c r="D33" s="4" t="str">
        <f ca="1">IFERROR(__xludf.DUMMYFUNCTION("""COMPUTED_VALUE"""),"https://abicko.cz")</f>
        <v>https://abicko.cz</v>
      </c>
      <c r="E33" s="3" t="str">
        <f ca="1">IFERROR(__xludf.DUMMYFUNCTION("""COMPUTED_VALUE"""),"celý web")</f>
        <v>celý web</v>
      </c>
      <c r="F33" s="4" t="str">
        <f ca="1">IFERROR(__xludf.DUMMYFUNCTION("""COMPUTED_VALUE"""),"https://abicko.cz")</f>
        <v>https://abicko.cz</v>
      </c>
      <c r="G33" s="3" t="str">
        <f ca="1">IFERROR(__xludf.DUMMYFUNCTION("""COMPUTED_VALUE"""),"cílený branding high season")</f>
        <v>cílený branding high season</v>
      </c>
      <c r="H33" s="3">
        <f ca="1">IFERROR(__xludf.DUMMYFUNCTION("""COMPUTED_VALUE"""),7)</f>
        <v>7</v>
      </c>
      <c r="I33" s="5">
        <f ca="1">IFERROR(__xludf.DUMMYFUNCTION("""COMPUTED_VALUE"""),1000)</f>
        <v>1000</v>
      </c>
      <c r="J33" s="5">
        <f ca="1">IFERROR(__xludf.DUMMYFUNCTION("""COMPUTED_VALUE"""),1068)</f>
        <v>1068</v>
      </c>
      <c r="K33" s="3"/>
      <c r="L33" s="3" t="str">
        <f ca="1">IFERROR(__xludf.DUMMYFUNCTION("""COMPUTED_VALUE"""),"Cost per period")</f>
        <v>Cost per period</v>
      </c>
      <c r="M33" s="3"/>
      <c r="N33" s="3"/>
      <c r="O33" s="3" t="str">
        <f ca="1">IFERROR(__xludf.DUMMYFUNCTION("""COMPUTED_VALUE"""),"2000")</f>
        <v>2000</v>
      </c>
      <c r="P33" s="3" t="str">
        <f ca="1">IFERROR(__xludf.DUMMYFUNCTION("""COMPUTED_VALUE"""),"1400")</f>
        <v>1400</v>
      </c>
      <c r="Q33" s="3" t="str">
        <f ca="1">IFERROR(__xludf.DUMMYFUNCTION("""COMPUTED_VALUE"""),"2000x1400")</f>
        <v>2000x1400</v>
      </c>
      <c r="R33" s="3"/>
      <c r="S33" s="3" t="str">
        <f ca="1">IFERROR(__xludf.DUMMYFUNCTION("""COMPUTED_VALUE"""),"500 + 200 (600+200 HTML5)")</f>
        <v>500 + 200 (600+200 HTML5)</v>
      </c>
      <c r="T33" s="3"/>
      <c r="U33" s="3" t="str">
        <f ca="1">IFERROR(__xludf.DUMMYFUNCTION("""COMPUTED_VALUE"""),"banner standard")</f>
        <v>banner standard</v>
      </c>
      <c r="V33" s="3"/>
      <c r="W33" s="4" t="str">
        <f ca="1">IFERROR(__xludf.DUMMYFUNCTION("""COMPUTED_VALUE"""),"https://reklama.cncenter.cz/Online/branding")</f>
        <v>https://reklama.cncenter.cz/Online/branding</v>
      </c>
      <c r="X33" s="3"/>
      <c r="Y33" s="3"/>
      <c r="Z33" s="3" t="str">
        <f ca="1">IFERROR(__xludf.DUMMYFUNCTION("""COMPUTED_VALUE"""),"podklady@cncenter.cz")</f>
        <v>podklady@cncenter.cz</v>
      </c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 t="str">
        <f ca="1">IFERROR(__xludf.DUMMYFUNCTION("""COMPUTED_VALUE"""),"desktop")</f>
        <v>desktop</v>
      </c>
      <c r="AO33" s="3"/>
      <c r="AP33" s="3"/>
      <c r="AQ33" s="3"/>
      <c r="AR33" s="3"/>
      <c r="AS33" s="3"/>
      <c r="AT33" s="3"/>
      <c r="AU33" s="3" t="str">
        <f ca="1">IFERROR(__xludf.DUMMYFUNCTION("""COMPUTED_VALUE"""),"cílený branding")</f>
        <v>cílený branding</v>
      </c>
    </row>
    <row r="34" spans="1:47" x14ac:dyDescent="0.3">
      <c r="A34" s="3">
        <f ca="1"/>
        <v>2346826</v>
      </c>
      <c r="B34" s="3" t="str">
        <f ca="1"/>
        <v>CZECH NEWS CENTER a. s.</v>
      </c>
      <c r="C34" s="3" t="str">
        <f ca="1">IFERROR(__xludf.DUMMYFUNCTION("""COMPUTED_VALUE"""),"Abicko")</f>
        <v>Abicko</v>
      </c>
      <c r="D34" s="4" t="str">
        <f ca="1">IFERROR(__xludf.DUMMYFUNCTION("""COMPUTED_VALUE"""),"https://abicko.cz")</f>
        <v>https://abicko.cz</v>
      </c>
      <c r="E34" s="3" t="str">
        <f ca="1">IFERROR(__xludf.DUMMYFUNCTION("""COMPUTED_VALUE"""),"celý web")</f>
        <v>celý web</v>
      </c>
      <c r="F34" s="4" t="str">
        <f ca="1">IFERROR(__xludf.DUMMYFUNCTION("""COMPUTED_VALUE"""),"https://abicko.cz")</f>
        <v>https://abicko.cz</v>
      </c>
      <c r="G34" s="3" t="str">
        <f ca="1">IFERROR(__xludf.DUMMYFUNCTION("""COMPUTED_VALUE"""),"cílený double skyscraper high season")</f>
        <v>cílený double skyscraper high season</v>
      </c>
      <c r="H34" s="3">
        <f ca="1">IFERROR(__xludf.DUMMYFUNCTION("""COMPUTED_VALUE"""),7)</f>
        <v>7</v>
      </c>
      <c r="I34" s="5">
        <f ca="1">IFERROR(__xludf.DUMMYFUNCTION("""COMPUTED_VALUE"""),1000)</f>
        <v>1000</v>
      </c>
      <c r="J34" s="5">
        <f ca="1">IFERROR(__xludf.DUMMYFUNCTION("""COMPUTED_VALUE"""),420)</f>
        <v>420</v>
      </c>
      <c r="K34" s="3"/>
      <c r="L34" s="3" t="str">
        <f ca="1">IFERROR(__xludf.DUMMYFUNCTION("""COMPUTED_VALUE"""),"Cost per period")</f>
        <v>Cost per period</v>
      </c>
      <c r="M34" s="3"/>
      <c r="N34" s="3"/>
      <c r="O34" s="3" t="str">
        <f ca="1">IFERROR(__xludf.DUMMYFUNCTION("""COMPUTED_VALUE"""),"300")</f>
        <v>300</v>
      </c>
      <c r="P34" s="3" t="str">
        <f ca="1">IFERROR(__xludf.DUMMYFUNCTION("""COMPUTED_VALUE"""),"600")</f>
        <v>600</v>
      </c>
      <c r="Q34" s="3" t="str">
        <f ca="1">IFERROR(__xludf.DUMMYFUNCTION("""COMPUTED_VALUE"""),"300x600")</f>
        <v>300x600</v>
      </c>
      <c r="R34" s="3"/>
      <c r="S34" s="3" t="str">
        <f ca="1">IFERROR(__xludf.DUMMYFUNCTION("""COMPUTED_VALUE"""),"100 (200 - HTML5)")</f>
        <v>100 (200 - HTML5)</v>
      </c>
      <c r="T34" s="3"/>
      <c r="U34" s="3" t="str">
        <f ca="1">IFERROR(__xludf.DUMMYFUNCTION("""COMPUTED_VALUE"""),"banner standard")</f>
        <v>banner standard</v>
      </c>
      <c r="V34" s="3"/>
      <c r="W34" s="4" t="str">
        <f ca="1">IFERROR(__xludf.DUMMYFUNCTION("""COMPUTED_VALUE"""),"https://reklama.cncenter.cz/Online/double-skyscraper")</f>
        <v>https://reklama.cncenter.cz/Online/double-skyscraper</v>
      </c>
      <c r="X34" s="3"/>
      <c r="Y34" s="3"/>
      <c r="Z34" s="3" t="str">
        <f ca="1">IFERROR(__xludf.DUMMYFUNCTION("""COMPUTED_VALUE"""),"podklady@cncenter.cz")</f>
        <v>podklady@cncenter.cz</v>
      </c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 t="str">
        <f ca="1">IFERROR(__xludf.DUMMYFUNCTION("""COMPUTED_VALUE"""),"desktop")</f>
        <v>desktop</v>
      </c>
      <c r="AO34" s="3"/>
      <c r="AP34" s="3"/>
      <c r="AQ34" s="3"/>
      <c r="AR34" s="3"/>
      <c r="AS34" s="3"/>
      <c r="AT34" s="3"/>
      <c r="AU34" s="3" t="str">
        <f ca="1">IFERROR(__xludf.DUMMYFUNCTION("""COMPUTED_VALUE"""),"cílený double skyscraper")</f>
        <v>cílený double skyscraper</v>
      </c>
    </row>
    <row r="35" spans="1:47" x14ac:dyDescent="0.3">
      <c r="A35" s="3">
        <f ca="1"/>
        <v>2346826</v>
      </c>
      <c r="B35" s="3" t="str">
        <f ca="1"/>
        <v>CZECH NEWS CENTER a. s.</v>
      </c>
      <c r="C35" s="3" t="str">
        <f ca="1">IFERROR(__xludf.DUMMYFUNCTION("""COMPUTED_VALUE"""),"Abicko")</f>
        <v>Abicko</v>
      </c>
      <c r="D35" s="4" t="str">
        <f ca="1">IFERROR(__xludf.DUMMYFUNCTION("""COMPUTED_VALUE"""),"https://abicko.cz")</f>
        <v>https://abicko.cz</v>
      </c>
      <c r="E35" s="3" t="str">
        <f ca="1">IFERROR(__xludf.DUMMYFUNCTION("""COMPUTED_VALUE"""),"celý web")</f>
        <v>celý web</v>
      </c>
      <c r="F35" s="4" t="str">
        <f ca="1">IFERROR(__xludf.DUMMYFUNCTION("""COMPUTED_VALUE"""),"https://abicko.cz")</f>
        <v>https://abicko.cz</v>
      </c>
      <c r="G35" s="3" t="str">
        <f ca="1">IFERROR(__xludf.DUMMYFUNCTION("""COMPUTED_VALUE"""),"cílený mobilní interscroller high season")</f>
        <v>cílený mobilní interscroller high season</v>
      </c>
      <c r="H35" s="3">
        <f ca="1">IFERROR(__xludf.DUMMYFUNCTION("""COMPUTED_VALUE"""),7)</f>
        <v>7</v>
      </c>
      <c r="I35" s="5">
        <f ca="1">IFERROR(__xludf.DUMMYFUNCTION("""COMPUTED_VALUE"""),1000)</f>
        <v>1000</v>
      </c>
      <c r="J35" s="5">
        <f ca="1">IFERROR(__xludf.DUMMYFUNCTION("""COMPUTED_VALUE"""),540)</f>
        <v>540</v>
      </c>
      <c r="K35" s="3"/>
      <c r="L35" s="3" t="str">
        <f ca="1">IFERROR(__xludf.DUMMYFUNCTION("""COMPUTED_VALUE"""),"Cost per period")</f>
        <v>Cost per period</v>
      </c>
      <c r="M35" s="3"/>
      <c r="N35" s="3"/>
      <c r="O35" s="3" t="str">
        <f ca="1">IFERROR(__xludf.DUMMYFUNCTION("""COMPUTED_VALUE"""),"600")</f>
        <v>600</v>
      </c>
      <c r="P35" s="3" t="str">
        <f ca="1">IFERROR(__xludf.DUMMYFUNCTION("""COMPUTED_VALUE"""),"1080")</f>
        <v>1080</v>
      </c>
      <c r="Q35" s="3" t="str">
        <f ca="1">IFERROR(__xludf.DUMMYFUNCTION("""COMPUTED_VALUE"""),"600x1080")</f>
        <v>600x1080</v>
      </c>
      <c r="R35" s="3"/>
      <c r="S35" s="3" t="str">
        <f ca="1">IFERROR(__xludf.DUMMYFUNCTION("""COMPUTED_VALUE"""),"200")</f>
        <v>200</v>
      </c>
      <c r="T35" s="3"/>
      <c r="U35" s="3" t="str">
        <f ca="1">IFERROR(__xludf.DUMMYFUNCTION("""COMPUTED_VALUE"""),"banner standard")</f>
        <v>banner standard</v>
      </c>
      <c r="V35" s="3"/>
      <c r="W35" s="4" t="str">
        <f ca="1">IFERROR(__xludf.DUMMYFUNCTION("""COMPUTED_VALUE"""),"https://reklama.cncenter.cz/Online/mobilni-interscroller")</f>
        <v>https://reklama.cncenter.cz/Online/mobilni-interscroller</v>
      </c>
      <c r="X35" s="3"/>
      <c r="Y35" s="3"/>
      <c r="Z35" s="3" t="str">
        <f ca="1">IFERROR(__xludf.DUMMYFUNCTION("""COMPUTED_VALUE"""),"podklady@cncenter.cz")</f>
        <v>podklady@cncenter.cz</v>
      </c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 t="str">
        <f ca="1">IFERROR(__xludf.DUMMYFUNCTION("""COMPUTED_VALUE"""),"mobile")</f>
        <v>mobile</v>
      </c>
      <c r="AO35" s="3"/>
      <c r="AP35" s="3"/>
      <c r="AQ35" s="3"/>
      <c r="AR35" s="3"/>
      <c r="AS35" s="3"/>
      <c r="AT35" s="3"/>
      <c r="AU35" s="3" t="str">
        <f ca="1">IFERROR(__xludf.DUMMYFUNCTION("""COMPUTED_VALUE"""),"cílený mobilní interscroller")</f>
        <v>cílený mobilní interscroller</v>
      </c>
    </row>
    <row r="36" spans="1:47" x14ac:dyDescent="0.3">
      <c r="A36" s="3">
        <f ca="1"/>
        <v>2346826</v>
      </c>
      <c r="B36" s="3" t="str">
        <f ca="1"/>
        <v>CZECH NEWS CENTER a. s.</v>
      </c>
      <c r="C36" s="3" t="str">
        <f ca="1">IFERROR(__xludf.DUMMYFUNCTION("""COMPUTED_VALUE"""),"Abicko")</f>
        <v>Abicko</v>
      </c>
      <c r="D36" s="4" t="str">
        <f ca="1">IFERROR(__xludf.DUMMYFUNCTION("""COMPUTED_VALUE"""),"https://abicko.cz")</f>
        <v>https://abicko.cz</v>
      </c>
      <c r="E36" s="3" t="str">
        <f ca="1">IFERROR(__xludf.DUMMYFUNCTION("""COMPUTED_VALUE"""),"celý web")</f>
        <v>celý web</v>
      </c>
      <c r="F36" s="4" t="str">
        <f ca="1">IFERROR(__xludf.DUMMYFUNCTION("""COMPUTED_VALUE"""),"https://abicko.cz")</f>
        <v>https://abicko.cz</v>
      </c>
      <c r="G36" s="3" t="str">
        <f ca="1">IFERROR(__xludf.DUMMYFUNCTION("""COMPUTED_VALUE"""),"cílený mobilní slide-up high season")</f>
        <v>cílený mobilní slide-up high season</v>
      </c>
      <c r="H36" s="3">
        <f ca="1">IFERROR(__xludf.DUMMYFUNCTION("""COMPUTED_VALUE"""),7)</f>
        <v>7</v>
      </c>
      <c r="I36" s="5">
        <f ca="1">IFERROR(__xludf.DUMMYFUNCTION("""COMPUTED_VALUE"""),1000)</f>
        <v>1000</v>
      </c>
      <c r="J36" s="5">
        <f ca="1">IFERROR(__xludf.DUMMYFUNCTION("""COMPUTED_VALUE"""),1104)</f>
        <v>1104</v>
      </c>
      <c r="K36" s="3"/>
      <c r="L36" s="3" t="str">
        <f ca="1">IFERROR(__xludf.DUMMYFUNCTION("""COMPUTED_VALUE"""),"Cost per period")</f>
        <v>Cost per period</v>
      </c>
      <c r="M36" s="3"/>
      <c r="N36" s="3"/>
      <c r="O36" s="3" t="str">
        <f ca="1">IFERROR(__xludf.DUMMYFUNCTION("""COMPUTED_VALUE"""),"300")</f>
        <v>300</v>
      </c>
      <c r="P36" s="3" t="str">
        <f ca="1">IFERROR(__xludf.DUMMYFUNCTION("""COMPUTED_VALUE"""),"120")</f>
        <v>120</v>
      </c>
      <c r="Q36" s="3" t="str">
        <f ca="1">IFERROR(__xludf.DUMMYFUNCTION("""COMPUTED_VALUE"""),"300x120")</f>
        <v>300x120</v>
      </c>
      <c r="R36" s="3"/>
      <c r="S36" s="3" t="str">
        <f ca="1">IFERROR(__xludf.DUMMYFUNCTION("""COMPUTED_VALUE"""),"100")</f>
        <v>100</v>
      </c>
      <c r="T36" s="3"/>
      <c r="U36" s="3" t="str">
        <f ca="1">IFERROR(__xludf.DUMMYFUNCTION("""COMPUTED_VALUE"""),"banner standard")</f>
        <v>banner standard</v>
      </c>
      <c r="V36" s="3"/>
      <c r="W36" s="4" t="str">
        <f ca="1">IFERROR(__xludf.DUMMYFUNCTION("""COMPUTED_VALUE"""),"https://reklama.cncenter.cz/Online/mobilni-slide-up")</f>
        <v>https://reklama.cncenter.cz/Online/mobilni-slide-up</v>
      </c>
      <c r="X36" s="3"/>
      <c r="Y36" s="3"/>
      <c r="Z36" s="3" t="str">
        <f ca="1">IFERROR(__xludf.DUMMYFUNCTION("""COMPUTED_VALUE"""),"podklady@cncenter.cz")</f>
        <v>podklady@cncenter.cz</v>
      </c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 t="str">
        <f ca="1">IFERROR(__xludf.DUMMYFUNCTION("""COMPUTED_VALUE"""),"mobile")</f>
        <v>mobile</v>
      </c>
      <c r="AO36" s="3"/>
      <c r="AP36" s="3"/>
      <c r="AQ36" s="3"/>
      <c r="AR36" s="3"/>
      <c r="AS36" s="3"/>
      <c r="AT36" s="3"/>
      <c r="AU36" s="3" t="str">
        <f ca="1">IFERROR(__xludf.DUMMYFUNCTION("""COMPUTED_VALUE"""),"cílený mobilní slide-up")</f>
        <v>cílený mobilní slide-up</v>
      </c>
    </row>
    <row r="37" spans="1:47" x14ac:dyDescent="0.3">
      <c r="A37" s="3">
        <f ca="1"/>
        <v>2346826</v>
      </c>
      <c r="B37" s="3" t="str">
        <f ca="1"/>
        <v>CZECH NEWS CENTER a. s.</v>
      </c>
      <c r="C37" s="3" t="str">
        <f ca="1">IFERROR(__xludf.DUMMYFUNCTION("""COMPUTED_VALUE"""),"Abicko")</f>
        <v>Abicko</v>
      </c>
      <c r="D37" s="4" t="str">
        <f ca="1">IFERROR(__xludf.DUMMYFUNCTION("""COMPUTED_VALUE"""),"https://abicko.cz")</f>
        <v>https://abicko.cz</v>
      </c>
      <c r="E37" s="3" t="str">
        <f ca="1">IFERROR(__xludf.DUMMYFUNCTION("""COMPUTED_VALUE"""),"celý web")</f>
        <v>celý web</v>
      </c>
      <c r="F37" s="4" t="str">
        <f ca="1">IFERROR(__xludf.DUMMYFUNCTION("""COMPUTED_VALUE"""),"https://abicko.cz")</f>
        <v>https://abicko.cz</v>
      </c>
      <c r="G37" s="3" t="str">
        <f ca="1">IFERROR(__xludf.DUMMYFUNCTION("""COMPUTED_VALUE"""),"cílený mobilní viněta high season")</f>
        <v>cílený mobilní viněta high season</v>
      </c>
      <c r="H37" s="3">
        <f ca="1">IFERROR(__xludf.DUMMYFUNCTION("""COMPUTED_VALUE"""),7)</f>
        <v>7</v>
      </c>
      <c r="I37" s="5">
        <f ca="1">IFERROR(__xludf.DUMMYFUNCTION("""COMPUTED_VALUE"""),1000)</f>
        <v>1000</v>
      </c>
      <c r="J37" s="5">
        <f ca="1">IFERROR(__xludf.DUMMYFUNCTION("""COMPUTED_VALUE"""),1908)</f>
        <v>1908</v>
      </c>
      <c r="K37" s="3"/>
      <c r="L37" s="3" t="str">
        <f ca="1">IFERROR(__xludf.DUMMYFUNCTION("""COMPUTED_VALUE"""),"Cost per period")</f>
        <v>Cost per period</v>
      </c>
      <c r="M37" s="3"/>
      <c r="N37" s="3"/>
      <c r="O37" s="3" t="str">
        <f ca="1">IFERROR(__xludf.DUMMYFUNCTION("""COMPUTED_VALUE"""),"600")</f>
        <v>600</v>
      </c>
      <c r="P37" s="3" t="str">
        <f ca="1">IFERROR(__xludf.DUMMYFUNCTION("""COMPUTED_VALUE"""),"800")</f>
        <v>800</v>
      </c>
      <c r="Q37" s="3" t="str">
        <f ca="1">IFERROR(__xludf.DUMMYFUNCTION("""COMPUTED_VALUE"""),"300x250 nebo 600x800")</f>
        <v>300x250 nebo 600x800</v>
      </c>
      <c r="R37" s="3"/>
      <c r="S37" s="3" t="str">
        <f ca="1">IFERROR(__xludf.DUMMYFUNCTION("""COMPUTED_VALUE"""),"100")</f>
        <v>100</v>
      </c>
      <c r="T37" s="3"/>
      <c r="U37" s="3" t="str">
        <f ca="1">IFERROR(__xludf.DUMMYFUNCTION("""COMPUTED_VALUE"""),"banner standard")</f>
        <v>banner standard</v>
      </c>
      <c r="V37" s="3"/>
      <c r="W37" s="4" t="str">
        <f ca="1">IFERROR(__xludf.DUMMYFUNCTION("""COMPUTED_VALUE"""),"https://reklama.cncenter.cz/Online/mobilni-vineta")</f>
        <v>https://reklama.cncenter.cz/Online/mobilni-vineta</v>
      </c>
      <c r="X37" s="3"/>
      <c r="Y37" s="3"/>
      <c r="Z37" s="3" t="str">
        <f ca="1">IFERROR(__xludf.DUMMYFUNCTION("""COMPUTED_VALUE"""),"podklady@cncenter.cz")</f>
        <v>podklady@cncenter.cz</v>
      </c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 t="str">
        <f ca="1">IFERROR(__xludf.DUMMYFUNCTION("""COMPUTED_VALUE"""),"mobile")</f>
        <v>mobile</v>
      </c>
      <c r="AO37" s="3"/>
      <c r="AP37" s="3"/>
      <c r="AQ37" s="3"/>
      <c r="AR37" s="3"/>
      <c r="AS37" s="3"/>
      <c r="AT37" s="3"/>
      <c r="AU37" s="3" t="str">
        <f ca="1">IFERROR(__xludf.DUMMYFUNCTION("""COMPUTED_VALUE"""),"cílený mobilní viněta")</f>
        <v>cílený mobilní viněta</v>
      </c>
    </row>
    <row r="38" spans="1:47" x14ac:dyDescent="0.3">
      <c r="A38" s="3">
        <f ca="1"/>
        <v>2346826</v>
      </c>
      <c r="B38" s="3" t="str">
        <f ca="1"/>
        <v>CZECH NEWS CENTER a. s.</v>
      </c>
      <c r="C38" s="3" t="str">
        <f ca="1">IFERROR(__xludf.DUMMYFUNCTION("""COMPUTED_VALUE"""),"Abicko")</f>
        <v>Abicko</v>
      </c>
      <c r="D38" s="4" t="str">
        <f ca="1">IFERROR(__xludf.DUMMYFUNCTION("""COMPUTED_VALUE"""),"https://abicko.cz")</f>
        <v>https://abicko.cz</v>
      </c>
      <c r="E38" s="3" t="str">
        <f ca="1">IFERROR(__xludf.DUMMYFUNCTION("""COMPUTED_VALUE"""),"celý web")</f>
        <v>celý web</v>
      </c>
      <c r="F38" s="4" t="str">
        <f ca="1">IFERROR(__xludf.DUMMYFUNCTION("""COMPUTED_VALUE"""),"https://abicko.cz")</f>
        <v>https://abicko.cz</v>
      </c>
      <c r="G38" s="3" t="str">
        <f ca="1">IFERROR(__xludf.DUMMYFUNCTION("""COMPUTED_VALUE"""),"cílený nativní pr premium high season")</f>
        <v>cílený nativní pr premium high season</v>
      </c>
      <c r="H38" s="3">
        <f ca="1">IFERROR(__xludf.DUMMYFUNCTION("""COMPUTED_VALUE"""),7)</f>
        <v>7</v>
      </c>
      <c r="I38" s="5">
        <f ca="1">IFERROR(__xludf.DUMMYFUNCTION("""COMPUTED_VALUE"""),1000)</f>
        <v>1000</v>
      </c>
      <c r="J38" s="5">
        <f ca="1">IFERROR(__xludf.DUMMYFUNCTION("""COMPUTED_VALUE"""),216)</f>
        <v>216</v>
      </c>
      <c r="K38" s="3"/>
      <c r="L38" s="3" t="str">
        <f ca="1">IFERROR(__xludf.DUMMYFUNCTION("""COMPUTED_VALUE"""),"Cost per period")</f>
        <v>Cost per period</v>
      </c>
      <c r="M38" s="3"/>
      <c r="N38" s="3"/>
      <c r="O38" s="3" t="str">
        <f ca="1">IFERROR(__xludf.DUMMYFUNCTION("""COMPUTED_VALUE"""),"640")</f>
        <v>640</v>
      </c>
      <c r="P38" s="3" t="str">
        <f ca="1">IFERROR(__xludf.DUMMYFUNCTION("""COMPUTED_VALUE"""),"335, 640")</f>
        <v>335, 640</v>
      </c>
      <c r="Q38" s="3" t="str">
        <f ca="1">IFERROR(__xludf.DUMMYFUNCTION("""COMPUTED_VALUE"""),"640x640 a 640x335 + text + logo")</f>
        <v>640x640 a 640x335 + text + logo</v>
      </c>
      <c r="R38" s="3" t="str">
        <f ca="1">IFERROR(__xludf.DUMMYFUNCTION("""COMPUTED_VALUE"""),"detailní specifikace na URL odkaze")</f>
        <v>detailní specifikace na URL odkaze</v>
      </c>
      <c r="S38" s="3" t="str">
        <f ca="1">IFERROR(__xludf.DUMMYFUNCTION("""COMPUTED_VALUE"""),"100")</f>
        <v>100</v>
      </c>
      <c r="T38" s="3"/>
      <c r="U38" s="3" t="str">
        <f ca="1">IFERROR(__xludf.DUMMYFUNCTION("""COMPUTED_VALUE"""),"nativní reklama")</f>
        <v>nativní reklama</v>
      </c>
      <c r="V38" s="3"/>
      <c r="W38" s="4" t="str">
        <f ca="1">IFERROR(__xludf.DUMMYFUNCTION("""COMPUTED_VALUE"""),"https://reklama.cncenter.cz/Online/nativni-PR-premium")</f>
        <v>https://reklama.cncenter.cz/Online/nativni-PR-premium</v>
      </c>
      <c r="X38" s="3"/>
      <c r="Y38" s="3"/>
      <c r="Z38" s="3" t="str">
        <f ca="1">IFERROR(__xludf.DUMMYFUNCTION("""COMPUTED_VALUE"""),"podklady@cncenter.cz")</f>
        <v>podklady@cncenter.cz</v>
      </c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 t="str">
        <f ca="1">IFERROR(__xludf.DUMMYFUNCTION("""COMPUTED_VALUE"""),"cross-device")</f>
        <v>cross-device</v>
      </c>
      <c r="AO38" s="3"/>
      <c r="AP38" s="3"/>
      <c r="AQ38" s="3"/>
      <c r="AR38" s="3"/>
      <c r="AS38" s="3"/>
      <c r="AT38" s="3"/>
      <c r="AU38" s="3" t="str">
        <f ca="1">IFERROR(__xludf.DUMMYFUNCTION("""COMPUTED_VALUE"""),"cílený nativní pr premium")</f>
        <v>cílený nativní pr premium</v>
      </c>
    </row>
    <row r="39" spans="1:47" x14ac:dyDescent="0.3">
      <c r="A39" s="3">
        <f ca="1"/>
        <v>2346826</v>
      </c>
      <c r="B39" s="3" t="str">
        <f ca="1"/>
        <v>CZECH NEWS CENTER a. s.</v>
      </c>
      <c r="C39" s="3" t="str">
        <f ca="1">IFERROR(__xludf.DUMMYFUNCTION("""COMPUTED_VALUE"""),"Abicko")</f>
        <v>Abicko</v>
      </c>
      <c r="D39" s="4" t="str">
        <f ca="1">IFERROR(__xludf.DUMMYFUNCTION("""COMPUTED_VALUE"""),"https://abicko.cz")</f>
        <v>https://abicko.cz</v>
      </c>
      <c r="E39" s="3" t="str">
        <f ca="1">IFERROR(__xludf.DUMMYFUNCTION("""COMPUTED_VALUE"""),"celý web")</f>
        <v>celý web</v>
      </c>
      <c r="F39" s="4" t="str">
        <f ca="1">IFERROR(__xludf.DUMMYFUNCTION("""COMPUTED_VALUE"""),"https://abicko.cz")</f>
        <v>https://abicko.cz</v>
      </c>
      <c r="G39" s="3" t="str">
        <f ca="1">IFERROR(__xludf.DUMMYFUNCTION("""COMPUTED_VALUE"""),"cílený nativní rectangle cross-device high season")</f>
        <v>cílený nativní rectangle cross-device high season</v>
      </c>
      <c r="H39" s="3">
        <f ca="1">IFERROR(__xludf.DUMMYFUNCTION("""COMPUTED_VALUE"""),7)</f>
        <v>7</v>
      </c>
      <c r="I39" s="5">
        <f ca="1">IFERROR(__xludf.DUMMYFUNCTION("""COMPUTED_VALUE"""),1000)</f>
        <v>1000</v>
      </c>
      <c r="J39" s="5">
        <f ca="1">IFERROR(__xludf.DUMMYFUNCTION("""COMPUTED_VALUE"""),432)</f>
        <v>432</v>
      </c>
      <c r="K39" s="3"/>
      <c r="L39" s="3" t="str">
        <f ca="1">IFERROR(__xludf.DUMMYFUNCTION("""COMPUTED_VALUE"""),"Cost per period")</f>
        <v>Cost per period</v>
      </c>
      <c r="M39" s="3"/>
      <c r="N39" s="3"/>
      <c r="O39" s="3" t="str">
        <f ca="1">IFERROR(__xludf.DUMMYFUNCTION("""COMPUTED_VALUE"""),"640")</f>
        <v>640</v>
      </c>
      <c r="P39" s="3" t="str">
        <f ca="1">IFERROR(__xludf.DUMMYFUNCTION("""COMPUTED_VALUE"""),"335, 640")</f>
        <v>335, 640</v>
      </c>
      <c r="Q39" s="3" t="str">
        <f ca="1">IFERROR(__xludf.DUMMYFUNCTION("""COMPUTED_VALUE"""),"640x640 a 640x335 + text + logo")</f>
        <v>640x640 a 640x335 + text + logo</v>
      </c>
      <c r="R39" s="3"/>
      <c r="S39" s="3" t="str">
        <f ca="1">IFERROR(__xludf.DUMMYFUNCTION("""COMPUTED_VALUE"""),"45")</f>
        <v>45</v>
      </c>
      <c r="T39" s="3"/>
      <c r="U39" s="3" t="str">
        <f ca="1">IFERROR(__xludf.DUMMYFUNCTION("""COMPUTED_VALUE"""),"nativní reklama")</f>
        <v>nativní reklama</v>
      </c>
      <c r="V39" s="3"/>
      <c r="W39" s="4" t="str">
        <f ca="1">IFERROR(__xludf.DUMMYFUNCTION("""COMPUTED_VALUE"""),"https://reklama.cncenter.cz/Online/nativni-rectangle-cross-device")</f>
        <v>https://reklama.cncenter.cz/Online/nativni-rectangle-cross-device</v>
      </c>
      <c r="X39" s="3"/>
      <c r="Y39" s="3"/>
      <c r="Z39" s="3" t="str">
        <f ca="1">IFERROR(__xludf.DUMMYFUNCTION("""COMPUTED_VALUE"""),"podklady@cncenter.cz")</f>
        <v>podklady@cncenter.cz</v>
      </c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 t="str">
        <f ca="1">IFERROR(__xludf.DUMMYFUNCTION("""COMPUTED_VALUE"""),"cross-device")</f>
        <v>cross-device</v>
      </c>
      <c r="AO39" s="3"/>
      <c r="AP39" s="3"/>
      <c r="AQ39" s="3"/>
      <c r="AR39" s="3"/>
      <c r="AS39" s="3"/>
      <c r="AT39" s="3"/>
      <c r="AU39" s="3" t="str">
        <f ca="1">IFERROR(__xludf.DUMMYFUNCTION("""COMPUTED_VALUE"""),"cílený nativní rectangle cross-device")</f>
        <v>cílený nativní rectangle cross-device</v>
      </c>
    </row>
    <row r="40" spans="1:47" x14ac:dyDescent="0.3">
      <c r="A40" s="3">
        <f ca="1"/>
        <v>2346826</v>
      </c>
      <c r="B40" s="3" t="str">
        <f ca="1"/>
        <v>CZECH NEWS CENTER a. s.</v>
      </c>
      <c r="C40" s="3" t="str">
        <f ca="1">IFERROR(__xludf.DUMMYFUNCTION("""COMPUTED_VALUE"""),"Abicko")</f>
        <v>Abicko</v>
      </c>
      <c r="D40" s="4" t="str">
        <f ca="1">IFERROR(__xludf.DUMMYFUNCTION("""COMPUTED_VALUE"""),"https://abicko.cz")</f>
        <v>https://abicko.cz</v>
      </c>
      <c r="E40" s="3" t="str">
        <f ca="1">IFERROR(__xludf.DUMMYFUNCTION("""COMPUTED_VALUE"""),"celý web")</f>
        <v>celý web</v>
      </c>
      <c r="F40" s="4" t="str">
        <f ca="1">IFERROR(__xludf.DUMMYFUNCTION("""COMPUTED_VALUE"""),"https://abicko.cz")</f>
        <v>https://abicko.cz</v>
      </c>
      <c r="G40" s="3" t="str">
        <f ca="1">IFERROR(__xludf.DUMMYFUNCTION("""COMPUTED_VALUE"""),"cílený outstream high season")</f>
        <v>cílený outstream high season</v>
      </c>
      <c r="H40" s="3">
        <f ca="1">IFERROR(__xludf.DUMMYFUNCTION("""COMPUTED_VALUE"""),7)</f>
        <v>7</v>
      </c>
      <c r="I40" s="5">
        <f ca="1">IFERROR(__xludf.DUMMYFUNCTION("""COMPUTED_VALUE"""),1000)</f>
        <v>1000</v>
      </c>
      <c r="J40" s="5">
        <f ca="1">IFERROR(__xludf.DUMMYFUNCTION("""COMPUTED_VALUE"""),540)</f>
        <v>540</v>
      </c>
      <c r="K40" s="3"/>
      <c r="L40" s="3" t="str">
        <f ca="1">IFERROR(__xludf.DUMMYFUNCTION("""COMPUTED_VALUE"""),"Cost per period")</f>
        <v>Cost per period</v>
      </c>
      <c r="M40" s="3"/>
      <c r="N40" s="3"/>
      <c r="O40" s="3" t="str">
        <f ca="1">IFERROR(__xludf.DUMMYFUNCTION("""COMPUTED_VALUE"""),"1280")</f>
        <v>1280</v>
      </c>
      <c r="P40" s="3" t="str">
        <f ca="1">IFERROR(__xludf.DUMMYFUNCTION("""COMPUTED_VALUE"""),"720")</f>
        <v>720</v>
      </c>
      <c r="Q40" s="3" t="str">
        <f ca="1">IFERROR(__xludf.DUMMYFUNCTION("""COMPUTED_VALUE"""),"16:9")</f>
        <v>16:9</v>
      </c>
      <c r="R40" s="3"/>
      <c r="S40" s="3" t="str">
        <f ca="1">IFERROR(__xludf.DUMMYFUNCTION("""COMPUTED_VALUE"""),"100")</f>
        <v>100</v>
      </c>
      <c r="T40" s="3"/>
      <c r="U40" s="3" t="str">
        <f ca="1">IFERROR(__xludf.DUMMYFUNCTION("""COMPUTED_VALUE"""),"videospot")</f>
        <v>videospot</v>
      </c>
      <c r="V40" s="3"/>
      <c r="W40" s="4" t="str">
        <f ca="1">IFERROR(__xludf.DUMMYFUNCTION("""COMPUTED_VALUE"""),"https://reklama.cncenter.cz/Online/Outstream")</f>
        <v>https://reklama.cncenter.cz/Online/Outstream</v>
      </c>
      <c r="X40" s="3"/>
      <c r="Y40" s="3"/>
      <c r="Z40" s="3" t="str">
        <f ca="1">IFERROR(__xludf.DUMMYFUNCTION("""COMPUTED_VALUE"""),"podklady@cncenter.cz")</f>
        <v>podklady@cncenter.cz</v>
      </c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 t="str">
        <f ca="1">IFERROR(__xludf.DUMMYFUNCTION("""COMPUTED_VALUE"""),"cross-device")</f>
        <v>cross-device</v>
      </c>
      <c r="AO40" s="3"/>
      <c r="AP40" s="3"/>
      <c r="AQ40" s="3"/>
      <c r="AR40" s="3"/>
      <c r="AS40" s="3"/>
      <c r="AT40" s="3"/>
      <c r="AU40" s="3" t="str">
        <f ca="1">IFERROR(__xludf.DUMMYFUNCTION("""COMPUTED_VALUE"""),"cílený outstream")</f>
        <v>cílený outstream</v>
      </c>
    </row>
    <row r="41" spans="1:47" x14ac:dyDescent="0.3">
      <c r="A41" s="3">
        <f ca="1"/>
        <v>2346826</v>
      </c>
      <c r="B41" s="3" t="str">
        <f ca="1"/>
        <v>CZECH NEWS CENTER a. s.</v>
      </c>
      <c r="C41" s="3" t="str">
        <f ca="1">IFERROR(__xludf.DUMMYFUNCTION("""COMPUTED_VALUE"""),"Abicko")</f>
        <v>Abicko</v>
      </c>
      <c r="D41" s="4" t="str">
        <f ca="1">IFERROR(__xludf.DUMMYFUNCTION("""COMPUTED_VALUE"""),"https://abicko.cz")</f>
        <v>https://abicko.cz</v>
      </c>
      <c r="E41" s="3" t="str">
        <f ca="1">IFERROR(__xludf.DUMMYFUNCTION("""COMPUTED_VALUE"""),"celý web")</f>
        <v>celý web</v>
      </c>
      <c r="F41" s="4" t="str">
        <f ca="1">IFERROR(__xludf.DUMMYFUNCTION("""COMPUTED_VALUE"""),"https://abicko.cz")</f>
        <v>https://abicko.cz</v>
      </c>
      <c r="G41" s="3" t="str">
        <f ca="1">IFERROR(__xludf.DUMMYFUNCTION("""COMPUTED_VALUE"""),"cílený videospot - max. 30 sec. / bumper high season")</f>
        <v>cílený videospot - max. 30 sec. / bumper high season</v>
      </c>
      <c r="H41" s="3">
        <f ca="1">IFERROR(__xludf.DUMMYFUNCTION("""COMPUTED_VALUE"""),7)</f>
        <v>7</v>
      </c>
      <c r="I41" s="5">
        <f ca="1">IFERROR(__xludf.DUMMYFUNCTION("""COMPUTED_VALUE"""),1000)</f>
        <v>1000</v>
      </c>
      <c r="J41" s="5">
        <f ca="1">IFERROR(__xludf.DUMMYFUNCTION("""COMPUTED_VALUE"""),1608)</f>
        <v>1608</v>
      </c>
      <c r="K41" s="3"/>
      <c r="L41" s="3" t="str">
        <f ca="1">IFERROR(__xludf.DUMMYFUNCTION("""COMPUTED_VALUE"""),"Cost per period")</f>
        <v>Cost per period</v>
      </c>
      <c r="M41" s="3"/>
      <c r="N41" s="3"/>
      <c r="O41" s="3" t="str">
        <f ca="1">IFERROR(__xludf.DUMMYFUNCTION("""COMPUTED_VALUE"""),"1280")</f>
        <v>1280</v>
      </c>
      <c r="P41" s="3" t="str">
        <f ca="1">IFERROR(__xludf.DUMMYFUNCTION("""COMPUTED_VALUE"""),"720")</f>
        <v>720</v>
      </c>
      <c r="Q41" s="3" t="str">
        <f ca="1">IFERROR(__xludf.DUMMYFUNCTION("""COMPUTED_VALUE"""),"16:9 / umístění po domluvě dle možností")</f>
        <v>16:9 / umístění po domluvě dle možností</v>
      </c>
      <c r="R41" s="3" t="str">
        <f ca="1">IFERROR(__xludf.DUMMYFUNCTION("""COMPUTED_VALUE"""),"přeskočení po 7 sekundách")</f>
        <v>přeskočení po 7 sekundách</v>
      </c>
      <c r="S41" s="3" t="str">
        <f ca="1">IFERROR(__xludf.DUMMYFUNCTION("""COMPUTED_VALUE"""),"100")</f>
        <v>100</v>
      </c>
      <c r="T41" s="3"/>
      <c r="U41" s="3" t="str">
        <f ca="1">IFERROR(__xludf.DUMMYFUNCTION("""COMPUTED_VALUE"""),"videospot")</f>
        <v>videospot</v>
      </c>
      <c r="V41" s="3"/>
      <c r="W41" s="4" t="str">
        <f ca="1">IFERROR(__xludf.DUMMYFUNCTION("""COMPUTED_VALUE"""),"https://reklama.cncenter.cz/Online/Bumper")</f>
        <v>https://reklama.cncenter.cz/Online/Bumper</v>
      </c>
      <c r="X41" s="3"/>
      <c r="Y41" s="3"/>
      <c r="Z41" s="3" t="str">
        <f ca="1">IFERROR(__xludf.DUMMYFUNCTION("""COMPUTED_VALUE"""),"podklady@cncenter.cz")</f>
        <v>podklady@cncenter.cz</v>
      </c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 t="str">
        <f ca="1">IFERROR(__xludf.DUMMYFUNCTION("""COMPUTED_VALUE"""),"cross-device")</f>
        <v>cross-device</v>
      </c>
      <c r="AO41" s="3"/>
      <c r="AP41" s="3"/>
      <c r="AQ41" s="3"/>
      <c r="AR41" s="3"/>
      <c r="AS41" s="3"/>
      <c r="AT41" s="3"/>
      <c r="AU41" s="3" t="str">
        <f ca="1">IFERROR(__xludf.DUMMYFUNCTION("""COMPUTED_VALUE"""),"cílený videospot - max. 30 sec. / bumper")</f>
        <v>cílený videospot - max. 30 sec. / bumper</v>
      </c>
    </row>
    <row r="42" spans="1:47" x14ac:dyDescent="0.3">
      <c r="A42" s="3">
        <f ca="1"/>
        <v>2346826</v>
      </c>
      <c r="B42" s="3" t="str">
        <f ca="1"/>
        <v>CZECH NEWS CENTER a. s.</v>
      </c>
      <c r="C42" s="3" t="str">
        <f ca="1">IFERROR(__xludf.DUMMYFUNCTION("""COMPUTED_VALUE"""),"Abicko")</f>
        <v>Abicko</v>
      </c>
      <c r="D42" s="4" t="str">
        <f ca="1">IFERROR(__xludf.DUMMYFUNCTION("""COMPUTED_VALUE"""),"https://abicko.cz")</f>
        <v>https://abicko.cz</v>
      </c>
      <c r="E42" s="3" t="str">
        <f ca="1">IFERROR(__xludf.DUMMYFUNCTION("""COMPUTED_VALUE"""),"celý web")</f>
        <v>celý web</v>
      </c>
      <c r="F42" s="4" t="str">
        <f ca="1">IFERROR(__xludf.DUMMYFUNCTION("""COMPUTED_VALUE"""),"https://abicko.cz")</f>
        <v>https://abicko.cz</v>
      </c>
      <c r="G42" s="3" t="str">
        <f ca="1">IFERROR(__xludf.DUMMYFUNCTION("""COMPUTED_VALUE"""),"dokoupení proma o 2 týdny - 10 000 PV *** high season")</f>
        <v>dokoupení proma o 2 týdny - 10 000 PV *** high season</v>
      </c>
      <c r="H42" s="3">
        <f ca="1">IFERROR(__xludf.DUMMYFUNCTION("""COMPUTED_VALUE"""),1)</f>
        <v>1</v>
      </c>
      <c r="I42" s="5">
        <f ca="1">IFERROR(__xludf.DUMMYFUNCTION("""COMPUTED_VALUE"""),1)</f>
        <v>1</v>
      </c>
      <c r="J42" s="5">
        <f ca="1">IFERROR(__xludf.DUMMYFUNCTION("""COMPUTED_VALUE"""),60000)</f>
        <v>60000</v>
      </c>
      <c r="K42" s="3"/>
      <c r="L42" s="3" t="str">
        <f ca="1">IFERROR(__xludf.DUMMYFUNCTION("""COMPUTED_VALUE"""),"Cost per instance")</f>
        <v>Cost per instance</v>
      </c>
      <c r="M42" s="3"/>
      <c r="N42" s="3"/>
      <c r="O42" s="3"/>
      <c r="P42" s="3"/>
      <c r="Q42" s="3"/>
      <c r="R42" s="3"/>
      <c r="S42" s="3" t="str">
        <f ca="1">IFERROR(__xludf.DUMMYFUNCTION("""COMPUTED_VALUE"""),"100")</f>
        <v>100</v>
      </c>
      <c r="T42" s="3"/>
      <c r="U42" s="3" t="str">
        <f ca="1">IFERROR(__xludf.DUMMYFUNCTION("""COMPUTED_VALUE"""),"microsite")</f>
        <v>microsite</v>
      </c>
      <c r="V42" s="3"/>
      <c r="W42" s="3"/>
      <c r="X42" s="3"/>
      <c r="Y42" s="3"/>
      <c r="Z42" s="3" t="str">
        <f ca="1">IFERROR(__xludf.DUMMYFUNCTION("""COMPUTED_VALUE"""),"podklady@cncenter.cz")</f>
        <v>podklady@cncenter.cz</v>
      </c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 t="str">
        <f ca="1">IFERROR(__xludf.DUMMYFUNCTION("""COMPUTED_VALUE"""),"cross-device")</f>
        <v>cross-device</v>
      </c>
      <c r="AO42" s="3"/>
      <c r="AP42" s="3"/>
      <c r="AQ42" s="3"/>
      <c r="AR42" s="3"/>
      <c r="AS42" s="3"/>
      <c r="AT42" s="3"/>
      <c r="AU42" s="3" t="str">
        <f ca="1">IFERROR(__xludf.DUMMYFUNCTION("""COMPUTED_VALUE"""),"dokoupení proma o 2 týdny - 10 000 PV ***")</f>
        <v>dokoupení proma o 2 týdny - 10 000 PV ***</v>
      </c>
    </row>
    <row r="43" spans="1:47" x14ac:dyDescent="0.3">
      <c r="A43" s="3">
        <f ca="1"/>
        <v>2346826</v>
      </c>
      <c r="B43" s="3" t="str">
        <f ca="1"/>
        <v>CZECH NEWS CENTER a. s.</v>
      </c>
      <c r="C43" s="3" t="str">
        <f ca="1">IFERROR(__xludf.DUMMYFUNCTION("""COMPUTED_VALUE"""),"Abicko")</f>
        <v>Abicko</v>
      </c>
      <c r="D43" s="4" t="str">
        <f ca="1">IFERROR(__xludf.DUMMYFUNCTION("""COMPUTED_VALUE"""),"https://abicko.cz")</f>
        <v>https://abicko.cz</v>
      </c>
      <c r="E43" s="3" t="str">
        <f ca="1">IFERROR(__xludf.DUMMYFUNCTION("""COMPUTED_VALUE"""),"celý web")</f>
        <v>celý web</v>
      </c>
      <c r="F43" s="4" t="str">
        <f ca="1">IFERROR(__xludf.DUMMYFUNCTION("""COMPUTED_VALUE"""),"https://abicko.cz")</f>
        <v>https://abicko.cz</v>
      </c>
      <c r="G43" s="3" t="str">
        <f ca="1">IFERROR(__xludf.DUMMYFUNCTION("""COMPUTED_VALUE"""),"double skyscraper high season")</f>
        <v>double skyscraper high season</v>
      </c>
      <c r="H43" s="3">
        <f ca="1">IFERROR(__xludf.DUMMYFUNCTION("""COMPUTED_VALUE"""),7)</f>
        <v>7</v>
      </c>
      <c r="I43" s="5">
        <f ca="1">IFERROR(__xludf.DUMMYFUNCTION("""COMPUTED_VALUE"""),1000)</f>
        <v>1000</v>
      </c>
      <c r="J43" s="5">
        <f ca="1">IFERROR(__xludf.DUMMYFUNCTION("""COMPUTED_VALUE"""),350)</f>
        <v>350</v>
      </c>
      <c r="K43" s="3"/>
      <c r="L43" s="3" t="str">
        <f ca="1">IFERROR(__xludf.DUMMYFUNCTION("""COMPUTED_VALUE"""),"Cost per period")</f>
        <v>Cost per period</v>
      </c>
      <c r="M43" s="3"/>
      <c r="N43" s="3"/>
      <c r="O43" s="3" t="str">
        <f ca="1">IFERROR(__xludf.DUMMYFUNCTION("""COMPUTED_VALUE"""),"300")</f>
        <v>300</v>
      </c>
      <c r="P43" s="3" t="str">
        <f ca="1">IFERROR(__xludf.DUMMYFUNCTION("""COMPUTED_VALUE"""),"600")</f>
        <v>600</v>
      </c>
      <c r="Q43" s="3" t="str">
        <f ca="1">IFERROR(__xludf.DUMMYFUNCTION("""COMPUTED_VALUE"""),"300x600")</f>
        <v>300x600</v>
      </c>
      <c r="R43" s="3"/>
      <c r="S43" s="3" t="str">
        <f ca="1">IFERROR(__xludf.DUMMYFUNCTION("""COMPUTED_VALUE"""),"100 (200 - HTML5)")</f>
        <v>100 (200 - HTML5)</v>
      </c>
      <c r="T43" s="3"/>
      <c r="U43" s="3" t="str">
        <f ca="1">IFERROR(__xludf.DUMMYFUNCTION("""COMPUTED_VALUE"""),"banner standard")</f>
        <v>banner standard</v>
      </c>
      <c r="V43" s="3"/>
      <c r="W43" s="4" t="str">
        <f ca="1">IFERROR(__xludf.DUMMYFUNCTION("""COMPUTED_VALUE"""),"https://reklama.cncenter.cz/Online/double-skyscraper")</f>
        <v>https://reklama.cncenter.cz/Online/double-skyscraper</v>
      </c>
      <c r="X43" s="3"/>
      <c r="Y43" s="3"/>
      <c r="Z43" s="3" t="str">
        <f ca="1">IFERROR(__xludf.DUMMYFUNCTION("""COMPUTED_VALUE"""),"podklady@cncenter.cz")</f>
        <v>podklady@cncenter.cz</v>
      </c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 t="str">
        <f ca="1">IFERROR(__xludf.DUMMYFUNCTION("""COMPUTED_VALUE"""),"desktop")</f>
        <v>desktop</v>
      </c>
      <c r="AO43" s="3"/>
      <c r="AP43" s="3"/>
      <c r="AQ43" s="3"/>
      <c r="AR43" s="3"/>
      <c r="AS43" s="3"/>
      <c r="AT43" s="3"/>
      <c r="AU43" s="3" t="str">
        <f ca="1">IFERROR(__xludf.DUMMYFUNCTION("""COMPUTED_VALUE"""),"double skyscraper")</f>
        <v>double skyscraper</v>
      </c>
    </row>
    <row r="44" spans="1:47" x14ac:dyDescent="0.3">
      <c r="A44" s="3">
        <f ca="1"/>
        <v>2346826</v>
      </c>
      <c r="B44" s="3" t="str">
        <f ca="1"/>
        <v>CZECH NEWS CENTER a. s.</v>
      </c>
      <c r="C44" s="3" t="str">
        <f ca="1">IFERROR(__xludf.DUMMYFUNCTION("""COMPUTED_VALUE"""),"Abicko")</f>
        <v>Abicko</v>
      </c>
      <c r="D44" s="4" t="str">
        <f ca="1">IFERROR(__xludf.DUMMYFUNCTION("""COMPUTED_VALUE"""),"https://abicko.cz")</f>
        <v>https://abicko.cz</v>
      </c>
      <c r="E44" s="3" t="str">
        <f ca="1">IFERROR(__xludf.DUMMYFUNCTION("""COMPUTED_VALUE"""),"celý web")</f>
        <v>celý web</v>
      </c>
      <c r="F44" s="4" t="str">
        <f ca="1">IFERROR(__xludf.DUMMYFUNCTION("""COMPUTED_VALUE"""),"https://abicko.cz")</f>
        <v>https://abicko.cz</v>
      </c>
      <c r="G44" s="3" t="str">
        <f ca="1">IFERROR(__xludf.DUMMYFUNCTION("""COMPUTED_VALUE"""),"mobilní interscroller high season")</f>
        <v>mobilní interscroller high season</v>
      </c>
      <c r="H44" s="3">
        <f ca="1">IFERROR(__xludf.DUMMYFUNCTION("""COMPUTED_VALUE"""),7)</f>
        <v>7</v>
      </c>
      <c r="I44" s="5">
        <f ca="1">IFERROR(__xludf.DUMMYFUNCTION("""COMPUTED_VALUE"""),1000)</f>
        <v>1000</v>
      </c>
      <c r="J44" s="5">
        <f ca="1">IFERROR(__xludf.DUMMYFUNCTION("""COMPUTED_VALUE"""),450)</f>
        <v>450</v>
      </c>
      <c r="K44" s="3"/>
      <c r="L44" s="3" t="str">
        <f ca="1">IFERROR(__xludf.DUMMYFUNCTION("""COMPUTED_VALUE"""),"Cost per period")</f>
        <v>Cost per period</v>
      </c>
      <c r="M44" s="3"/>
      <c r="N44" s="3"/>
      <c r="O44" s="3" t="str">
        <f ca="1">IFERROR(__xludf.DUMMYFUNCTION("""COMPUTED_VALUE"""),"600")</f>
        <v>600</v>
      </c>
      <c r="P44" s="3" t="str">
        <f ca="1">IFERROR(__xludf.DUMMYFUNCTION("""COMPUTED_VALUE"""),"1080")</f>
        <v>1080</v>
      </c>
      <c r="Q44" s="3" t="str">
        <f ca="1">IFERROR(__xludf.DUMMYFUNCTION("""COMPUTED_VALUE"""),"600x1080")</f>
        <v>600x1080</v>
      </c>
      <c r="R44" s="3"/>
      <c r="S44" s="3" t="str">
        <f ca="1">IFERROR(__xludf.DUMMYFUNCTION("""COMPUTED_VALUE"""),"200")</f>
        <v>200</v>
      </c>
      <c r="T44" s="3"/>
      <c r="U44" s="3" t="str">
        <f ca="1">IFERROR(__xludf.DUMMYFUNCTION("""COMPUTED_VALUE"""),"banner standard")</f>
        <v>banner standard</v>
      </c>
      <c r="V44" s="3"/>
      <c r="W44" s="4" t="str">
        <f ca="1">IFERROR(__xludf.DUMMYFUNCTION("""COMPUTED_VALUE"""),"https://reklama.cncenter.cz/Online/mobilni-interscroller")</f>
        <v>https://reklama.cncenter.cz/Online/mobilni-interscroller</v>
      </c>
      <c r="X44" s="3"/>
      <c r="Y44" s="3"/>
      <c r="Z44" s="3" t="str">
        <f ca="1">IFERROR(__xludf.DUMMYFUNCTION("""COMPUTED_VALUE"""),"podklady@cncenter.cz")</f>
        <v>podklady@cncenter.cz</v>
      </c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 t="str">
        <f ca="1">IFERROR(__xludf.DUMMYFUNCTION("""COMPUTED_VALUE"""),"mobile")</f>
        <v>mobile</v>
      </c>
      <c r="AO44" s="3"/>
      <c r="AP44" s="3"/>
      <c r="AQ44" s="3"/>
      <c r="AR44" s="3"/>
      <c r="AS44" s="3"/>
      <c r="AT44" s="3"/>
      <c r="AU44" s="3" t="str">
        <f ca="1">IFERROR(__xludf.DUMMYFUNCTION("""COMPUTED_VALUE"""),"mobilní interscroller")</f>
        <v>mobilní interscroller</v>
      </c>
    </row>
    <row r="45" spans="1:47" x14ac:dyDescent="0.3">
      <c r="A45" s="3">
        <f ca="1"/>
        <v>2346826</v>
      </c>
      <c r="B45" s="3" t="str">
        <f ca="1"/>
        <v>CZECH NEWS CENTER a. s.</v>
      </c>
      <c r="C45" s="3" t="str">
        <f ca="1">IFERROR(__xludf.DUMMYFUNCTION("""COMPUTED_VALUE"""),"Abicko")</f>
        <v>Abicko</v>
      </c>
      <c r="D45" s="4" t="str">
        <f ca="1">IFERROR(__xludf.DUMMYFUNCTION("""COMPUTED_VALUE"""),"https://abicko.cz")</f>
        <v>https://abicko.cz</v>
      </c>
      <c r="E45" s="3" t="str">
        <f ca="1">IFERROR(__xludf.DUMMYFUNCTION("""COMPUTED_VALUE"""),"celý web")</f>
        <v>celý web</v>
      </c>
      <c r="F45" s="4" t="str">
        <f ca="1">IFERROR(__xludf.DUMMYFUNCTION("""COMPUTED_VALUE"""),"https://abicko.cz")</f>
        <v>https://abicko.cz</v>
      </c>
      <c r="G45" s="3" t="str">
        <f ca="1">IFERROR(__xludf.DUMMYFUNCTION("""COMPUTED_VALUE"""),"mobilní slide-up high season")</f>
        <v>mobilní slide-up high season</v>
      </c>
      <c r="H45" s="3">
        <f ca="1">IFERROR(__xludf.DUMMYFUNCTION("""COMPUTED_VALUE"""),7)</f>
        <v>7</v>
      </c>
      <c r="I45" s="5">
        <f ca="1">IFERROR(__xludf.DUMMYFUNCTION("""COMPUTED_VALUE"""),1000)</f>
        <v>1000</v>
      </c>
      <c r="J45" s="5">
        <f ca="1">IFERROR(__xludf.DUMMYFUNCTION("""COMPUTED_VALUE"""),920)</f>
        <v>920</v>
      </c>
      <c r="K45" s="3"/>
      <c r="L45" s="3" t="str">
        <f ca="1">IFERROR(__xludf.DUMMYFUNCTION("""COMPUTED_VALUE"""),"Cost per period")</f>
        <v>Cost per period</v>
      </c>
      <c r="M45" s="3"/>
      <c r="N45" s="3"/>
      <c r="O45" s="3" t="str">
        <f ca="1">IFERROR(__xludf.DUMMYFUNCTION("""COMPUTED_VALUE"""),"300")</f>
        <v>300</v>
      </c>
      <c r="P45" s="3" t="str">
        <f ca="1">IFERROR(__xludf.DUMMYFUNCTION("""COMPUTED_VALUE"""),"120")</f>
        <v>120</v>
      </c>
      <c r="Q45" s="3" t="str">
        <f ca="1">IFERROR(__xludf.DUMMYFUNCTION("""COMPUTED_VALUE"""),"300x120")</f>
        <v>300x120</v>
      </c>
      <c r="R45" s="3"/>
      <c r="S45" s="3" t="str">
        <f ca="1">IFERROR(__xludf.DUMMYFUNCTION("""COMPUTED_VALUE"""),"100")</f>
        <v>100</v>
      </c>
      <c r="T45" s="3"/>
      <c r="U45" s="3" t="str">
        <f ca="1">IFERROR(__xludf.DUMMYFUNCTION("""COMPUTED_VALUE"""),"banner standard")</f>
        <v>banner standard</v>
      </c>
      <c r="V45" s="3"/>
      <c r="W45" s="4" t="str">
        <f ca="1">IFERROR(__xludf.DUMMYFUNCTION("""COMPUTED_VALUE"""),"https://reklama.cncenter.cz/Online/mobilni-slide-up")</f>
        <v>https://reklama.cncenter.cz/Online/mobilni-slide-up</v>
      </c>
      <c r="X45" s="3"/>
      <c r="Y45" s="3"/>
      <c r="Z45" s="3" t="str">
        <f ca="1">IFERROR(__xludf.DUMMYFUNCTION("""COMPUTED_VALUE"""),"podklady@cncenter.cz")</f>
        <v>podklady@cncenter.cz</v>
      </c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 t="str">
        <f ca="1">IFERROR(__xludf.DUMMYFUNCTION("""COMPUTED_VALUE"""),"mobile")</f>
        <v>mobile</v>
      </c>
      <c r="AO45" s="3"/>
      <c r="AP45" s="3"/>
      <c r="AQ45" s="3"/>
      <c r="AR45" s="3"/>
      <c r="AS45" s="3"/>
      <c r="AT45" s="3"/>
      <c r="AU45" s="3" t="str">
        <f ca="1">IFERROR(__xludf.DUMMYFUNCTION("""COMPUTED_VALUE"""),"mobilní slide-up")</f>
        <v>mobilní slide-up</v>
      </c>
    </row>
    <row r="46" spans="1:47" x14ac:dyDescent="0.3">
      <c r="A46" s="3">
        <f ca="1"/>
        <v>2346826</v>
      </c>
      <c r="B46" s="3" t="str">
        <f ca="1"/>
        <v>CZECH NEWS CENTER a. s.</v>
      </c>
      <c r="C46" s="3" t="str">
        <f ca="1">IFERROR(__xludf.DUMMYFUNCTION("""COMPUTED_VALUE"""),"Abicko")</f>
        <v>Abicko</v>
      </c>
      <c r="D46" s="4" t="str">
        <f ca="1">IFERROR(__xludf.DUMMYFUNCTION("""COMPUTED_VALUE"""),"https://abicko.cz")</f>
        <v>https://abicko.cz</v>
      </c>
      <c r="E46" s="3" t="str">
        <f ca="1">IFERROR(__xludf.DUMMYFUNCTION("""COMPUTED_VALUE"""),"celý web")</f>
        <v>celý web</v>
      </c>
      <c r="F46" s="4" t="str">
        <f ca="1">IFERROR(__xludf.DUMMYFUNCTION("""COMPUTED_VALUE"""),"https://abicko.cz")</f>
        <v>https://abicko.cz</v>
      </c>
      <c r="G46" s="3" t="str">
        <f ca="1">IFERROR(__xludf.DUMMYFUNCTION("""COMPUTED_VALUE"""),"mobilní viněta high season")</f>
        <v>mobilní viněta high season</v>
      </c>
      <c r="H46" s="3">
        <f ca="1">IFERROR(__xludf.DUMMYFUNCTION("""COMPUTED_VALUE"""),7)</f>
        <v>7</v>
      </c>
      <c r="I46" s="5">
        <f ca="1">IFERROR(__xludf.DUMMYFUNCTION("""COMPUTED_VALUE"""),1000)</f>
        <v>1000</v>
      </c>
      <c r="J46" s="5">
        <f ca="1">IFERROR(__xludf.DUMMYFUNCTION("""COMPUTED_VALUE"""),1590)</f>
        <v>1590</v>
      </c>
      <c r="K46" s="3"/>
      <c r="L46" s="3" t="str">
        <f ca="1">IFERROR(__xludf.DUMMYFUNCTION("""COMPUTED_VALUE"""),"Cost per period")</f>
        <v>Cost per period</v>
      </c>
      <c r="M46" s="3"/>
      <c r="N46" s="3"/>
      <c r="O46" s="3" t="str">
        <f ca="1">IFERROR(__xludf.DUMMYFUNCTION("""COMPUTED_VALUE"""),"600")</f>
        <v>600</v>
      </c>
      <c r="P46" s="3" t="str">
        <f ca="1">IFERROR(__xludf.DUMMYFUNCTION("""COMPUTED_VALUE"""),"800")</f>
        <v>800</v>
      </c>
      <c r="Q46" s="3" t="str">
        <f ca="1">IFERROR(__xludf.DUMMYFUNCTION("""COMPUTED_VALUE"""),"300x250 nebo 600x800")</f>
        <v>300x250 nebo 600x800</v>
      </c>
      <c r="R46" s="3"/>
      <c r="S46" s="3" t="str">
        <f ca="1">IFERROR(__xludf.DUMMYFUNCTION("""COMPUTED_VALUE"""),"100")</f>
        <v>100</v>
      </c>
      <c r="T46" s="3"/>
      <c r="U46" s="3" t="str">
        <f ca="1">IFERROR(__xludf.DUMMYFUNCTION("""COMPUTED_VALUE"""),"banner standard")</f>
        <v>banner standard</v>
      </c>
      <c r="V46" s="3"/>
      <c r="W46" s="4" t="str">
        <f ca="1">IFERROR(__xludf.DUMMYFUNCTION("""COMPUTED_VALUE"""),"https://reklama.cncenter.cz/Online/mobilni-vineta")</f>
        <v>https://reklama.cncenter.cz/Online/mobilni-vineta</v>
      </c>
      <c r="X46" s="3"/>
      <c r="Y46" s="3"/>
      <c r="Z46" s="3" t="str">
        <f ca="1">IFERROR(__xludf.DUMMYFUNCTION("""COMPUTED_VALUE"""),"podklady@cncenter.cz")</f>
        <v>podklady@cncenter.cz</v>
      </c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 t="str">
        <f ca="1">IFERROR(__xludf.DUMMYFUNCTION("""COMPUTED_VALUE"""),"mobile")</f>
        <v>mobile</v>
      </c>
      <c r="AO46" s="3"/>
      <c r="AP46" s="3"/>
      <c r="AQ46" s="3"/>
      <c r="AR46" s="3"/>
      <c r="AS46" s="3"/>
      <c r="AT46" s="3"/>
      <c r="AU46" s="3" t="str">
        <f ca="1">IFERROR(__xludf.DUMMYFUNCTION("""COMPUTED_VALUE"""),"mobilní viněta")</f>
        <v>mobilní viněta</v>
      </c>
    </row>
    <row r="47" spans="1:47" x14ac:dyDescent="0.3">
      <c r="A47" s="3">
        <f ca="1"/>
        <v>2346826</v>
      </c>
      <c r="B47" s="3" t="str">
        <f ca="1"/>
        <v>CZECH NEWS CENTER a. s.</v>
      </c>
      <c r="C47" s="3" t="str">
        <f ca="1">IFERROR(__xludf.DUMMYFUNCTION("""COMPUTED_VALUE"""),"Abicko")</f>
        <v>Abicko</v>
      </c>
      <c r="D47" s="4" t="str">
        <f ca="1">IFERROR(__xludf.DUMMYFUNCTION("""COMPUTED_VALUE"""),"https://abicko.cz")</f>
        <v>https://abicko.cz</v>
      </c>
      <c r="E47" s="3" t="str">
        <f ca="1">IFERROR(__xludf.DUMMYFUNCTION("""COMPUTED_VALUE"""),"celý web")</f>
        <v>celý web</v>
      </c>
      <c r="F47" s="4" t="str">
        <f ca="1">IFERROR(__xludf.DUMMYFUNCTION("""COMPUTED_VALUE"""),"https://abicko.cz")</f>
        <v>https://abicko.cz</v>
      </c>
      <c r="G47" s="3" t="str">
        <f ca="1">IFERROR(__xludf.DUMMYFUNCTION("""COMPUTED_VALUE"""),"Native Standard high season")</f>
        <v>Native Standard high season</v>
      </c>
      <c r="H47" s="3">
        <f ca="1">IFERROR(__xludf.DUMMYFUNCTION("""COMPUTED_VALUE"""),1)</f>
        <v>1</v>
      </c>
      <c r="I47" s="5">
        <f ca="1">IFERROR(__xludf.DUMMYFUNCTION("""COMPUTED_VALUE"""),1)</f>
        <v>1</v>
      </c>
      <c r="J47" s="5">
        <f ca="1">IFERROR(__xludf.DUMMYFUNCTION("""COMPUTED_VALUE"""),330000)</f>
        <v>330000</v>
      </c>
      <c r="K47" s="3"/>
      <c r="L47" s="3" t="str">
        <f ca="1">IFERROR(__xludf.DUMMYFUNCTION("""COMPUTED_VALUE"""),"Cost per instance")</f>
        <v>Cost per instance</v>
      </c>
      <c r="M47" s="3"/>
      <c r="N47" s="3"/>
      <c r="O47" s="3"/>
      <c r="P47" s="3"/>
      <c r="Q47" s="3"/>
      <c r="R47" s="3"/>
      <c r="S47" s="3" t="str">
        <f ca="1">IFERROR(__xludf.DUMMYFUNCTION("""COMPUTED_VALUE"""),"100")</f>
        <v>100</v>
      </c>
      <c r="T47" s="3"/>
      <c r="U47" s="3" t="str">
        <f ca="1">IFERROR(__xludf.DUMMYFUNCTION("""COMPUTED_VALUE"""),"microsite")</f>
        <v>microsite</v>
      </c>
      <c r="V47" s="3"/>
      <c r="W47" s="3"/>
      <c r="X47" s="3"/>
      <c r="Y47" s="3"/>
      <c r="Z47" s="3" t="str">
        <f ca="1">IFERROR(__xludf.DUMMYFUNCTION("""COMPUTED_VALUE"""),"podklady@cncenter.cz")</f>
        <v>podklady@cncenter.cz</v>
      </c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 t="str">
        <f ca="1">IFERROR(__xludf.DUMMYFUNCTION("""COMPUTED_VALUE"""),"cross-device")</f>
        <v>cross-device</v>
      </c>
      <c r="AO47" s="3"/>
      <c r="AP47" s="3"/>
      <c r="AQ47" s="3"/>
      <c r="AR47" s="3"/>
      <c r="AS47" s="3"/>
      <c r="AT47" s="3"/>
      <c r="AU47" s="3" t="str">
        <f ca="1">IFERROR(__xludf.DUMMYFUNCTION("""COMPUTED_VALUE"""),"Native Standard")</f>
        <v>Native Standard</v>
      </c>
    </row>
    <row r="48" spans="1:47" x14ac:dyDescent="0.3">
      <c r="A48" s="3">
        <f ca="1"/>
        <v>2346826</v>
      </c>
      <c r="B48" s="3" t="str">
        <f ca="1"/>
        <v>CZECH NEWS CENTER a. s.</v>
      </c>
      <c r="C48" s="3" t="str">
        <f ca="1">IFERROR(__xludf.DUMMYFUNCTION("""COMPUTED_VALUE"""),"Abicko")</f>
        <v>Abicko</v>
      </c>
      <c r="D48" s="4" t="str">
        <f ca="1">IFERROR(__xludf.DUMMYFUNCTION("""COMPUTED_VALUE"""),"https://abicko.cz")</f>
        <v>https://abicko.cz</v>
      </c>
      <c r="E48" s="3" t="str">
        <f ca="1">IFERROR(__xludf.DUMMYFUNCTION("""COMPUTED_VALUE"""),"celý web")</f>
        <v>celý web</v>
      </c>
      <c r="F48" s="4" t="str">
        <f ca="1">IFERROR(__xludf.DUMMYFUNCTION("""COMPUTED_VALUE"""),"https://abicko.cz")</f>
        <v>https://abicko.cz</v>
      </c>
      <c r="G48" s="3" t="str">
        <f ca="1">IFERROR(__xludf.DUMMYFUNCTION("""COMPUTED_VALUE"""),"nativní pr premium high season")</f>
        <v>nativní pr premium high season</v>
      </c>
      <c r="H48" s="3">
        <f ca="1">IFERROR(__xludf.DUMMYFUNCTION("""COMPUTED_VALUE"""),7)</f>
        <v>7</v>
      </c>
      <c r="I48" s="5">
        <f ca="1">IFERROR(__xludf.DUMMYFUNCTION("""COMPUTED_VALUE"""),1000)</f>
        <v>1000</v>
      </c>
      <c r="J48" s="5">
        <f ca="1">IFERROR(__xludf.DUMMYFUNCTION("""COMPUTED_VALUE"""),180)</f>
        <v>180</v>
      </c>
      <c r="K48" s="3"/>
      <c r="L48" s="3" t="str">
        <f ca="1">IFERROR(__xludf.DUMMYFUNCTION("""COMPUTED_VALUE"""),"Cost per period")</f>
        <v>Cost per period</v>
      </c>
      <c r="M48" s="3"/>
      <c r="N48" s="3"/>
      <c r="O48" s="3" t="str">
        <f ca="1">IFERROR(__xludf.DUMMYFUNCTION("""COMPUTED_VALUE"""),"640")</f>
        <v>640</v>
      </c>
      <c r="P48" s="3" t="str">
        <f ca="1">IFERROR(__xludf.DUMMYFUNCTION("""COMPUTED_VALUE"""),"335, 640")</f>
        <v>335, 640</v>
      </c>
      <c r="Q48" s="3" t="str">
        <f ca="1">IFERROR(__xludf.DUMMYFUNCTION("""COMPUTED_VALUE"""),"640x640 a 640x335 + text + logo")</f>
        <v>640x640 a 640x335 + text + logo</v>
      </c>
      <c r="R48" s="3" t="str">
        <f ca="1">IFERROR(__xludf.DUMMYFUNCTION("""COMPUTED_VALUE"""),"detailní specifikace na URL odkaze")</f>
        <v>detailní specifikace na URL odkaze</v>
      </c>
      <c r="S48" s="3" t="str">
        <f ca="1">IFERROR(__xludf.DUMMYFUNCTION("""COMPUTED_VALUE"""),"100")</f>
        <v>100</v>
      </c>
      <c r="T48" s="3"/>
      <c r="U48" s="3" t="str">
        <f ca="1">IFERROR(__xludf.DUMMYFUNCTION("""COMPUTED_VALUE"""),"nativní reklama")</f>
        <v>nativní reklama</v>
      </c>
      <c r="V48" s="3"/>
      <c r="W48" s="4" t="str">
        <f ca="1">IFERROR(__xludf.DUMMYFUNCTION("""COMPUTED_VALUE"""),"https://reklama.cncenter.cz/Online/nativni-PR-premium")</f>
        <v>https://reklama.cncenter.cz/Online/nativni-PR-premium</v>
      </c>
      <c r="X48" s="3"/>
      <c r="Y48" s="3"/>
      <c r="Z48" s="3" t="str">
        <f ca="1">IFERROR(__xludf.DUMMYFUNCTION("""COMPUTED_VALUE"""),"podklady@cncenter.cz")</f>
        <v>podklady@cncenter.cz</v>
      </c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 t="str">
        <f ca="1">IFERROR(__xludf.DUMMYFUNCTION("""COMPUTED_VALUE"""),"cross-device")</f>
        <v>cross-device</v>
      </c>
      <c r="AO48" s="3"/>
      <c r="AP48" s="3"/>
      <c r="AQ48" s="3"/>
      <c r="AR48" s="3"/>
      <c r="AS48" s="3"/>
      <c r="AT48" s="3"/>
      <c r="AU48" s="3" t="str">
        <f ca="1">IFERROR(__xludf.DUMMYFUNCTION("""COMPUTED_VALUE"""),"nativní pr premium")</f>
        <v>nativní pr premium</v>
      </c>
    </row>
    <row r="49" spans="1:47" x14ac:dyDescent="0.3">
      <c r="A49" s="3">
        <f ca="1"/>
        <v>2346826</v>
      </c>
      <c r="B49" s="3" t="str">
        <f ca="1"/>
        <v>CZECH NEWS CENTER a. s.</v>
      </c>
      <c r="C49" s="3" t="str">
        <f ca="1">IFERROR(__xludf.DUMMYFUNCTION("""COMPUTED_VALUE"""),"Abicko")</f>
        <v>Abicko</v>
      </c>
      <c r="D49" s="4" t="str">
        <f ca="1">IFERROR(__xludf.DUMMYFUNCTION("""COMPUTED_VALUE"""),"https://abicko.cz")</f>
        <v>https://abicko.cz</v>
      </c>
      <c r="E49" s="3" t="str">
        <f ca="1">IFERROR(__xludf.DUMMYFUNCTION("""COMPUTED_VALUE"""),"celý web")</f>
        <v>celý web</v>
      </c>
      <c r="F49" s="4" t="str">
        <f ca="1">IFERROR(__xludf.DUMMYFUNCTION("""COMPUTED_VALUE"""),"https://abicko.cz")</f>
        <v>https://abicko.cz</v>
      </c>
      <c r="G49" s="3" t="str">
        <f ca="1">IFERROR(__xludf.DUMMYFUNCTION("""COMPUTED_VALUE"""),"nativní rectangle cross-device high season")</f>
        <v>nativní rectangle cross-device high season</v>
      </c>
      <c r="H49" s="3">
        <f ca="1">IFERROR(__xludf.DUMMYFUNCTION("""COMPUTED_VALUE"""),7)</f>
        <v>7</v>
      </c>
      <c r="I49" s="5">
        <f ca="1">IFERROR(__xludf.DUMMYFUNCTION("""COMPUTED_VALUE"""),1000)</f>
        <v>1000</v>
      </c>
      <c r="J49" s="5">
        <f ca="1">IFERROR(__xludf.DUMMYFUNCTION("""COMPUTED_VALUE"""),360)</f>
        <v>360</v>
      </c>
      <c r="K49" s="3"/>
      <c r="L49" s="3" t="str">
        <f ca="1">IFERROR(__xludf.DUMMYFUNCTION("""COMPUTED_VALUE"""),"Cost per period")</f>
        <v>Cost per period</v>
      </c>
      <c r="M49" s="3"/>
      <c r="N49" s="3"/>
      <c r="O49" s="3" t="str">
        <f ca="1">IFERROR(__xludf.DUMMYFUNCTION("""COMPUTED_VALUE"""),"640")</f>
        <v>640</v>
      </c>
      <c r="P49" s="3" t="str">
        <f ca="1">IFERROR(__xludf.DUMMYFUNCTION("""COMPUTED_VALUE"""),"335, 640")</f>
        <v>335, 640</v>
      </c>
      <c r="Q49" s="3" t="str">
        <f ca="1">IFERROR(__xludf.DUMMYFUNCTION("""COMPUTED_VALUE"""),"640x640 a 640x335 + text + logo")</f>
        <v>640x640 a 640x335 + text + logo</v>
      </c>
      <c r="R49" s="3"/>
      <c r="S49" s="3" t="str">
        <f ca="1">IFERROR(__xludf.DUMMYFUNCTION("""COMPUTED_VALUE"""),"45")</f>
        <v>45</v>
      </c>
      <c r="T49" s="3"/>
      <c r="U49" s="3" t="str">
        <f ca="1">IFERROR(__xludf.DUMMYFUNCTION("""COMPUTED_VALUE"""),"nativní reklama")</f>
        <v>nativní reklama</v>
      </c>
      <c r="V49" s="3"/>
      <c r="W49" s="4" t="str">
        <f ca="1">IFERROR(__xludf.DUMMYFUNCTION("""COMPUTED_VALUE"""),"https://reklama.cncenter.cz/Online/nativni-rectangle-cross-device")</f>
        <v>https://reklama.cncenter.cz/Online/nativni-rectangle-cross-device</v>
      </c>
      <c r="X49" s="3"/>
      <c r="Y49" s="3"/>
      <c r="Z49" s="3" t="str">
        <f ca="1">IFERROR(__xludf.DUMMYFUNCTION("""COMPUTED_VALUE"""),"podklady@cncenter.cz")</f>
        <v>podklady@cncenter.cz</v>
      </c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 t="str">
        <f ca="1">IFERROR(__xludf.DUMMYFUNCTION("""COMPUTED_VALUE"""),"cross-device")</f>
        <v>cross-device</v>
      </c>
      <c r="AO49" s="3"/>
      <c r="AP49" s="3"/>
      <c r="AQ49" s="3"/>
      <c r="AR49" s="3"/>
      <c r="AS49" s="3"/>
      <c r="AT49" s="3"/>
      <c r="AU49" s="3" t="str">
        <f ca="1">IFERROR(__xludf.DUMMYFUNCTION("""COMPUTED_VALUE"""),"nativní rectangle cross-device")</f>
        <v>nativní rectangle cross-device</v>
      </c>
    </row>
    <row r="50" spans="1:47" x14ac:dyDescent="0.3">
      <c r="A50" s="3">
        <f ca="1"/>
        <v>2346826</v>
      </c>
      <c r="B50" s="3" t="str">
        <f ca="1"/>
        <v>CZECH NEWS CENTER a. s.</v>
      </c>
      <c r="C50" s="3" t="str">
        <f ca="1">IFERROR(__xludf.DUMMYFUNCTION("""COMPUTED_VALUE"""),"Abicko")</f>
        <v>Abicko</v>
      </c>
      <c r="D50" s="4" t="str">
        <f ca="1">IFERROR(__xludf.DUMMYFUNCTION("""COMPUTED_VALUE"""),"https://abicko.cz")</f>
        <v>https://abicko.cz</v>
      </c>
      <c r="E50" s="3" t="str">
        <f ca="1">IFERROR(__xludf.DUMMYFUNCTION("""COMPUTED_VALUE"""),"celý web")</f>
        <v>celý web</v>
      </c>
      <c r="F50" s="4" t="str">
        <f ca="1">IFERROR(__xludf.DUMMYFUNCTION("""COMPUTED_VALUE"""),"https://abicko.cz")</f>
        <v>https://abicko.cz</v>
      </c>
      <c r="G50" s="3" t="str">
        <f ca="1">IFERROR(__xludf.DUMMYFUNCTION("""COMPUTED_VALUE"""),"outstream high season")</f>
        <v>outstream high season</v>
      </c>
      <c r="H50" s="3">
        <f ca="1">IFERROR(__xludf.DUMMYFUNCTION("""COMPUTED_VALUE"""),7)</f>
        <v>7</v>
      </c>
      <c r="I50" s="5">
        <f ca="1">IFERROR(__xludf.DUMMYFUNCTION("""COMPUTED_VALUE"""),1000)</f>
        <v>1000</v>
      </c>
      <c r="J50" s="5">
        <f ca="1">IFERROR(__xludf.DUMMYFUNCTION("""COMPUTED_VALUE"""),450)</f>
        <v>450</v>
      </c>
      <c r="K50" s="3"/>
      <c r="L50" s="3" t="str">
        <f ca="1">IFERROR(__xludf.DUMMYFUNCTION("""COMPUTED_VALUE"""),"Cost per period")</f>
        <v>Cost per period</v>
      </c>
      <c r="M50" s="3"/>
      <c r="N50" s="3"/>
      <c r="O50" s="3" t="str">
        <f ca="1">IFERROR(__xludf.DUMMYFUNCTION("""COMPUTED_VALUE"""),"1280")</f>
        <v>1280</v>
      </c>
      <c r="P50" s="3" t="str">
        <f ca="1">IFERROR(__xludf.DUMMYFUNCTION("""COMPUTED_VALUE"""),"720")</f>
        <v>720</v>
      </c>
      <c r="Q50" s="3" t="str">
        <f ca="1">IFERROR(__xludf.DUMMYFUNCTION("""COMPUTED_VALUE"""),"16:9")</f>
        <v>16:9</v>
      </c>
      <c r="R50" s="3"/>
      <c r="S50" s="3" t="str">
        <f ca="1">IFERROR(__xludf.DUMMYFUNCTION("""COMPUTED_VALUE"""),"100")</f>
        <v>100</v>
      </c>
      <c r="T50" s="3"/>
      <c r="U50" s="3" t="str">
        <f ca="1">IFERROR(__xludf.DUMMYFUNCTION("""COMPUTED_VALUE"""),"videospot")</f>
        <v>videospot</v>
      </c>
      <c r="V50" s="3"/>
      <c r="W50" s="4" t="str">
        <f ca="1">IFERROR(__xludf.DUMMYFUNCTION("""COMPUTED_VALUE"""),"https://reklama.cncenter.cz/Online/Outstream")</f>
        <v>https://reklama.cncenter.cz/Online/Outstream</v>
      </c>
      <c r="X50" s="3"/>
      <c r="Y50" s="3"/>
      <c r="Z50" s="3" t="str">
        <f ca="1">IFERROR(__xludf.DUMMYFUNCTION("""COMPUTED_VALUE"""),"podklady@cncenter.cz")</f>
        <v>podklady@cncenter.cz</v>
      </c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 t="str">
        <f ca="1">IFERROR(__xludf.DUMMYFUNCTION("""COMPUTED_VALUE"""),"cross-device")</f>
        <v>cross-device</v>
      </c>
      <c r="AO50" s="3"/>
      <c r="AP50" s="3"/>
      <c r="AQ50" s="3"/>
      <c r="AR50" s="3"/>
      <c r="AS50" s="3"/>
      <c r="AT50" s="3"/>
      <c r="AU50" s="3" t="str">
        <f ca="1">IFERROR(__xludf.DUMMYFUNCTION("""COMPUTED_VALUE"""),"outstream")</f>
        <v>outstream</v>
      </c>
    </row>
    <row r="51" spans="1:47" x14ac:dyDescent="0.3">
      <c r="A51" s="3">
        <f ca="1"/>
        <v>2346826</v>
      </c>
      <c r="B51" s="3" t="str">
        <f ca="1"/>
        <v>CZECH NEWS CENTER a. s.</v>
      </c>
      <c r="C51" s="3" t="str">
        <f ca="1">IFERROR(__xludf.DUMMYFUNCTION("""COMPUTED_VALUE"""),"Abicko")</f>
        <v>Abicko</v>
      </c>
      <c r="D51" s="4" t="str">
        <f ca="1">IFERROR(__xludf.DUMMYFUNCTION("""COMPUTED_VALUE"""),"https://abicko.cz")</f>
        <v>https://abicko.cz</v>
      </c>
      <c r="E51" s="3" t="str">
        <f ca="1">IFERROR(__xludf.DUMMYFUNCTION("""COMPUTED_VALUE"""),"celý web")</f>
        <v>celý web</v>
      </c>
      <c r="F51" s="4" t="str">
        <f ca="1">IFERROR(__xludf.DUMMYFUNCTION("""COMPUTED_VALUE"""),"https://abicko.cz")</f>
        <v>https://abicko.cz</v>
      </c>
      <c r="G51" s="3" t="str">
        <f ca="1">IFERROR(__xludf.DUMMYFUNCTION("""COMPUTED_VALUE"""),"PR článek high season")</f>
        <v>PR článek high season</v>
      </c>
      <c r="H51" s="3">
        <f ca="1">IFERROR(__xludf.DUMMYFUNCTION("""COMPUTED_VALUE"""),1)</f>
        <v>1</v>
      </c>
      <c r="I51" s="5">
        <f ca="1">IFERROR(__xludf.DUMMYFUNCTION("""COMPUTED_VALUE"""),1)</f>
        <v>1</v>
      </c>
      <c r="J51" s="5">
        <f ca="1">IFERROR(__xludf.DUMMYFUNCTION("""COMPUTED_VALUE"""),20000)</f>
        <v>20000</v>
      </c>
      <c r="K51" s="3"/>
      <c r="L51" s="3" t="str">
        <f ca="1">IFERROR(__xludf.DUMMYFUNCTION("""COMPUTED_VALUE"""),"Cost per instance")</f>
        <v>Cost per instance</v>
      </c>
      <c r="M51" s="3"/>
      <c r="N51" s="3"/>
      <c r="O51" s="3"/>
      <c r="P51" s="3"/>
      <c r="Q51" s="3"/>
      <c r="R51" s="3"/>
      <c r="S51" s="3" t="str">
        <f ca="1">IFERROR(__xludf.DUMMYFUNCTION("""COMPUTED_VALUE"""),"100")</f>
        <v>100</v>
      </c>
      <c r="T51" s="3"/>
      <c r="U51" s="3" t="str">
        <f ca="1">IFERROR(__xludf.DUMMYFUNCTION("""COMPUTED_VALUE"""),"pr článek")</f>
        <v>pr článek</v>
      </c>
      <c r="V51" s="3"/>
      <c r="W51" s="4" t="str">
        <f ca="1">IFERROR(__xludf.DUMMYFUNCTION("""COMPUTED_VALUE"""),"https://reklama.cncenter.cz/?ads=PR%2520%25C4%258Dl%25C3%25A1nky")</f>
        <v>https://reklama.cncenter.cz/?ads=PR%2520%25C4%258Dl%25C3%25A1nky</v>
      </c>
      <c r="X51" s="3"/>
      <c r="Y51" s="3"/>
      <c r="Z51" s="3" t="str">
        <f ca="1">IFERROR(__xludf.DUMMYFUNCTION("""COMPUTED_VALUE"""),"podklady@cncenter.cz")</f>
        <v>podklady@cncenter.cz</v>
      </c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 t="str">
        <f ca="1">IFERROR(__xludf.DUMMYFUNCTION("""COMPUTED_VALUE"""),"cross-device")</f>
        <v>cross-device</v>
      </c>
      <c r="AO51" s="3"/>
      <c r="AP51" s="3"/>
      <c r="AQ51" s="3"/>
      <c r="AR51" s="3"/>
      <c r="AS51" s="3"/>
      <c r="AT51" s="3"/>
      <c r="AU51" s="3" t="str">
        <f ca="1">IFERROR(__xludf.DUMMYFUNCTION("""COMPUTED_VALUE"""),"PR článek")</f>
        <v>PR článek</v>
      </c>
    </row>
    <row r="52" spans="1:47" x14ac:dyDescent="0.3">
      <c r="A52" s="3">
        <f ca="1"/>
        <v>2346826</v>
      </c>
      <c r="B52" s="3" t="str">
        <f ca="1"/>
        <v>CZECH NEWS CENTER a. s.</v>
      </c>
      <c r="C52" s="3" t="str">
        <f ca="1">IFERROR(__xludf.DUMMYFUNCTION("""COMPUTED_VALUE"""),"Abicko")</f>
        <v>Abicko</v>
      </c>
      <c r="D52" s="4" t="str">
        <f ca="1">IFERROR(__xludf.DUMMYFUNCTION("""COMPUTED_VALUE"""),"https://abicko.cz")</f>
        <v>https://abicko.cz</v>
      </c>
      <c r="E52" s="3" t="str">
        <f ca="1">IFERROR(__xludf.DUMMYFUNCTION("""COMPUTED_VALUE"""),"celý web")</f>
        <v>celý web</v>
      </c>
      <c r="F52" s="4" t="str">
        <f ca="1">IFERROR(__xludf.DUMMYFUNCTION("""COMPUTED_VALUE"""),"https://abicko.cz")</f>
        <v>https://abicko.cz</v>
      </c>
      <c r="G52" s="3" t="str">
        <f ca="1">IFERROR(__xludf.DUMMYFUNCTION("""COMPUTED_VALUE"""),"Prodloužení existující microsite, bez úprav high season")</f>
        <v>Prodloužení existující microsite, bez úprav high season</v>
      </c>
      <c r="H52" s="3">
        <f ca="1">IFERROR(__xludf.DUMMYFUNCTION("""COMPUTED_VALUE"""),1)</f>
        <v>1</v>
      </c>
      <c r="I52" s="5">
        <f ca="1">IFERROR(__xludf.DUMMYFUNCTION("""COMPUTED_VALUE"""),1)</f>
        <v>1</v>
      </c>
      <c r="J52" s="5">
        <f ca="1">IFERROR(__xludf.DUMMYFUNCTION("""COMPUTED_VALUE"""),15000)</f>
        <v>15000</v>
      </c>
      <c r="K52" s="3"/>
      <c r="L52" s="3" t="str">
        <f ca="1">IFERROR(__xludf.DUMMYFUNCTION("""COMPUTED_VALUE"""),"Cost per instance")</f>
        <v>Cost per instance</v>
      </c>
      <c r="M52" s="3"/>
      <c r="N52" s="3"/>
      <c r="O52" s="3"/>
      <c r="P52" s="3"/>
      <c r="Q52" s="3"/>
      <c r="R52" s="3"/>
      <c r="S52" s="3" t="str">
        <f ca="1">IFERROR(__xludf.DUMMYFUNCTION("""COMPUTED_VALUE"""),"100")</f>
        <v>100</v>
      </c>
      <c r="T52" s="3"/>
      <c r="U52" s="3" t="str">
        <f ca="1">IFERROR(__xludf.DUMMYFUNCTION("""COMPUTED_VALUE"""),"microsite")</f>
        <v>microsite</v>
      </c>
      <c r="V52" s="3"/>
      <c r="W52" s="3"/>
      <c r="X52" s="3"/>
      <c r="Y52" s="3"/>
      <c r="Z52" s="3" t="str">
        <f ca="1">IFERROR(__xludf.DUMMYFUNCTION("""COMPUTED_VALUE"""),"podklady@cncenter.cz")</f>
        <v>podklady@cncenter.cz</v>
      </c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 t="str">
        <f ca="1">IFERROR(__xludf.DUMMYFUNCTION("""COMPUTED_VALUE"""),"cross-device")</f>
        <v>cross-device</v>
      </c>
      <c r="AO52" s="3"/>
      <c r="AP52" s="3"/>
      <c r="AQ52" s="3"/>
      <c r="AR52" s="3"/>
      <c r="AS52" s="3"/>
      <c r="AT52" s="3"/>
      <c r="AU52" s="3" t="str">
        <f ca="1">IFERROR(__xludf.DUMMYFUNCTION("""COMPUTED_VALUE"""),"Prodloužení existující microsite, bez úprav")</f>
        <v>Prodloužení existující microsite, bez úprav</v>
      </c>
    </row>
    <row r="53" spans="1:47" x14ac:dyDescent="0.3">
      <c r="A53" s="3">
        <f ca="1"/>
        <v>2346826</v>
      </c>
      <c r="B53" s="3" t="str">
        <f ca="1"/>
        <v>CZECH NEWS CENTER a. s.</v>
      </c>
      <c r="C53" s="3" t="str">
        <f ca="1">IFERROR(__xludf.DUMMYFUNCTION("""COMPUTED_VALUE"""),"Abicko")</f>
        <v>Abicko</v>
      </c>
      <c r="D53" s="4" t="str">
        <f ca="1">IFERROR(__xludf.DUMMYFUNCTION("""COMPUTED_VALUE"""),"https://abicko.cz")</f>
        <v>https://abicko.cz</v>
      </c>
      <c r="E53" s="3" t="str">
        <f ca="1">IFERROR(__xludf.DUMMYFUNCTION("""COMPUTED_VALUE"""),"celý web")</f>
        <v>celý web</v>
      </c>
      <c r="F53" s="4" t="str">
        <f ca="1">IFERROR(__xludf.DUMMYFUNCTION("""COMPUTED_VALUE"""),"https://abicko.cz")</f>
        <v>https://abicko.cz</v>
      </c>
      <c r="G53" s="3" t="str">
        <f ca="1">IFERROR(__xludf.DUMMYFUNCTION("""COMPUTED_VALUE"""),"Prodloužení existující microsite, bez úprav high season")</f>
        <v>Prodloužení existující microsite, bez úprav high season</v>
      </c>
      <c r="H53" s="3">
        <f ca="1">IFERROR(__xludf.DUMMYFUNCTION("""COMPUTED_VALUE"""),1)</f>
        <v>1</v>
      </c>
      <c r="I53" s="5">
        <f ca="1">IFERROR(__xludf.DUMMYFUNCTION("""COMPUTED_VALUE"""),1)</f>
        <v>1</v>
      </c>
      <c r="J53" s="5">
        <f ca="1">IFERROR(__xludf.DUMMYFUNCTION("""COMPUTED_VALUE"""),15000)</f>
        <v>15000</v>
      </c>
      <c r="K53" s="3"/>
      <c r="L53" s="3" t="str">
        <f ca="1">IFERROR(__xludf.DUMMYFUNCTION("""COMPUTED_VALUE"""),"Cost per instance")</f>
        <v>Cost per instance</v>
      </c>
      <c r="M53" s="3"/>
      <c r="N53" s="3"/>
      <c r="O53" s="3"/>
      <c r="P53" s="3"/>
      <c r="Q53" s="3"/>
      <c r="R53" s="3"/>
      <c r="S53" s="3" t="str">
        <f ca="1">IFERROR(__xludf.DUMMYFUNCTION("""COMPUTED_VALUE"""),"100")</f>
        <v>100</v>
      </c>
      <c r="T53" s="3"/>
      <c r="U53" s="3" t="str">
        <f ca="1">IFERROR(__xludf.DUMMYFUNCTION("""COMPUTED_VALUE"""),"microsite")</f>
        <v>microsite</v>
      </c>
      <c r="V53" s="3"/>
      <c r="W53" s="3"/>
      <c r="X53" s="3"/>
      <c r="Y53" s="3"/>
      <c r="Z53" s="3" t="str">
        <f ca="1">IFERROR(__xludf.DUMMYFUNCTION("""COMPUTED_VALUE"""),"podklady@cncenter.cz")</f>
        <v>podklady@cncenter.cz</v>
      </c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 t="str">
        <f ca="1">IFERROR(__xludf.DUMMYFUNCTION("""COMPUTED_VALUE"""),"cross-device")</f>
        <v>cross-device</v>
      </c>
      <c r="AO53" s="3"/>
      <c r="AP53" s="3"/>
      <c r="AQ53" s="3"/>
      <c r="AR53" s="3"/>
      <c r="AS53" s="3"/>
      <c r="AT53" s="3"/>
      <c r="AU53" s="3" t="str">
        <f ca="1">IFERROR(__xludf.DUMMYFUNCTION("""COMPUTED_VALUE"""),"Prodloužení existující microsite, bez úprav")</f>
        <v>Prodloužení existující microsite, bez úprav</v>
      </c>
    </row>
    <row r="54" spans="1:47" x14ac:dyDescent="0.3">
      <c r="A54" s="3">
        <f ca="1"/>
        <v>2346826</v>
      </c>
      <c r="B54" s="3" t="str">
        <f ca="1"/>
        <v>CZECH NEWS CENTER a. s.</v>
      </c>
      <c r="C54" s="3" t="str">
        <f ca="1">IFERROR(__xludf.DUMMYFUNCTION("""COMPUTED_VALUE"""),"Abicko")</f>
        <v>Abicko</v>
      </c>
      <c r="D54" s="4" t="str">
        <f ca="1">IFERROR(__xludf.DUMMYFUNCTION("""COMPUTED_VALUE"""),"https://abicko.cz")</f>
        <v>https://abicko.cz</v>
      </c>
      <c r="E54" s="3" t="str">
        <f ca="1">IFERROR(__xludf.DUMMYFUNCTION("""COMPUTED_VALUE"""),"celý web")</f>
        <v>celý web</v>
      </c>
      <c r="F54" s="4" t="str">
        <f ca="1">IFERROR(__xludf.DUMMYFUNCTION("""COMPUTED_VALUE"""),"https://abicko.cz")</f>
        <v>https://abicko.cz</v>
      </c>
      <c r="G54" s="3" t="str">
        <f ca="1">IFERROR(__xludf.DUMMYFUNCTION("""COMPUTED_VALUE"""),"Prodloužení existující microsite, bez úprav high season")</f>
        <v>Prodloužení existující microsite, bez úprav high season</v>
      </c>
      <c r="H54" s="3">
        <f ca="1">IFERROR(__xludf.DUMMYFUNCTION("""COMPUTED_VALUE"""),1)</f>
        <v>1</v>
      </c>
      <c r="I54" s="5">
        <f ca="1">IFERROR(__xludf.DUMMYFUNCTION("""COMPUTED_VALUE"""),1)</f>
        <v>1</v>
      </c>
      <c r="J54" s="5">
        <f ca="1">IFERROR(__xludf.DUMMYFUNCTION("""COMPUTED_VALUE"""),15000)</f>
        <v>15000</v>
      </c>
      <c r="K54" s="3"/>
      <c r="L54" s="3" t="str">
        <f ca="1">IFERROR(__xludf.DUMMYFUNCTION("""COMPUTED_VALUE"""),"Cost per instance")</f>
        <v>Cost per instance</v>
      </c>
      <c r="M54" s="3"/>
      <c r="N54" s="3"/>
      <c r="O54" s="3"/>
      <c r="P54" s="3"/>
      <c r="Q54" s="3"/>
      <c r="R54" s="3"/>
      <c r="S54" s="3" t="str">
        <f ca="1">IFERROR(__xludf.DUMMYFUNCTION("""COMPUTED_VALUE"""),"100")</f>
        <v>100</v>
      </c>
      <c r="T54" s="3"/>
      <c r="U54" s="3" t="str">
        <f ca="1">IFERROR(__xludf.DUMMYFUNCTION("""COMPUTED_VALUE"""),"microsite")</f>
        <v>microsite</v>
      </c>
      <c r="V54" s="3"/>
      <c r="W54" s="3"/>
      <c r="X54" s="3"/>
      <c r="Y54" s="3"/>
      <c r="Z54" s="3" t="str">
        <f ca="1">IFERROR(__xludf.DUMMYFUNCTION("""COMPUTED_VALUE"""),"podklady@cncenter.cz")</f>
        <v>podklady@cncenter.cz</v>
      </c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 t="str">
        <f ca="1">IFERROR(__xludf.DUMMYFUNCTION("""COMPUTED_VALUE"""),"cross-device")</f>
        <v>cross-device</v>
      </c>
      <c r="AO54" s="3"/>
      <c r="AP54" s="3"/>
      <c r="AQ54" s="3"/>
      <c r="AR54" s="3"/>
      <c r="AS54" s="3"/>
      <c r="AT54" s="3"/>
      <c r="AU54" s="3" t="str">
        <f ca="1">IFERROR(__xludf.DUMMYFUNCTION("""COMPUTED_VALUE"""),"Prodloužení existující microsite, bez úprav")</f>
        <v>Prodloužení existující microsite, bez úprav</v>
      </c>
    </row>
    <row r="55" spans="1:47" x14ac:dyDescent="0.3">
      <c r="A55" s="3">
        <f ca="1"/>
        <v>2346826</v>
      </c>
      <c r="B55" s="3" t="str">
        <f ca="1"/>
        <v>CZECH NEWS CENTER a. s.</v>
      </c>
      <c r="C55" s="3" t="str">
        <f ca="1">IFERROR(__xludf.DUMMYFUNCTION("""COMPUTED_VALUE"""),"Abicko")</f>
        <v>Abicko</v>
      </c>
      <c r="D55" s="4" t="str">
        <f ca="1">IFERROR(__xludf.DUMMYFUNCTION("""COMPUTED_VALUE"""),"https://abicko.cz")</f>
        <v>https://abicko.cz</v>
      </c>
      <c r="E55" s="3" t="str">
        <f ca="1">IFERROR(__xludf.DUMMYFUNCTION("""COMPUTED_VALUE"""),"celý web")</f>
        <v>celý web</v>
      </c>
      <c r="F55" s="4" t="str">
        <f ca="1">IFERROR(__xludf.DUMMYFUNCTION("""COMPUTED_VALUE"""),"https://abicko.cz")</f>
        <v>https://abicko.cz</v>
      </c>
      <c r="G55" s="3" t="str">
        <f ca="1">IFERROR(__xludf.DUMMYFUNCTION("""COMPUTED_VALUE"""),"videospot - max. 30 sec. / bumper high season")</f>
        <v>videospot - max. 30 sec. / bumper high season</v>
      </c>
      <c r="H55" s="3">
        <f ca="1">IFERROR(__xludf.DUMMYFUNCTION("""COMPUTED_VALUE"""),7)</f>
        <v>7</v>
      </c>
      <c r="I55" s="5">
        <f ca="1">IFERROR(__xludf.DUMMYFUNCTION("""COMPUTED_VALUE"""),1000)</f>
        <v>1000</v>
      </c>
      <c r="J55" s="5">
        <f ca="1">IFERROR(__xludf.DUMMYFUNCTION("""COMPUTED_VALUE"""),1340)</f>
        <v>1340</v>
      </c>
      <c r="K55" s="3"/>
      <c r="L55" s="3" t="str">
        <f ca="1">IFERROR(__xludf.DUMMYFUNCTION("""COMPUTED_VALUE"""),"Cost per period")</f>
        <v>Cost per period</v>
      </c>
      <c r="M55" s="3"/>
      <c r="N55" s="3"/>
      <c r="O55" s="3" t="str">
        <f ca="1">IFERROR(__xludf.DUMMYFUNCTION("""COMPUTED_VALUE"""),"1280")</f>
        <v>1280</v>
      </c>
      <c r="P55" s="3" t="str">
        <f ca="1">IFERROR(__xludf.DUMMYFUNCTION("""COMPUTED_VALUE"""),"720")</f>
        <v>720</v>
      </c>
      <c r="Q55" s="3" t="str">
        <f ca="1">IFERROR(__xludf.DUMMYFUNCTION("""COMPUTED_VALUE"""),"16:9 / umístění po domluvě dle možností")</f>
        <v>16:9 / umístění po domluvě dle možností</v>
      </c>
      <c r="R55" s="3" t="str">
        <f ca="1">IFERROR(__xludf.DUMMYFUNCTION("""COMPUTED_VALUE"""),"přeskočení po 7 sekundách")</f>
        <v>přeskočení po 7 sekundách</v>
      </c>
      <c r="S55" s="3" t="str">
        <f ca="1">IFERROR(__xludf.DUMMYFUNCTION("""COMPUTED_VALUE"""),"100")</f>
        <v>100</v>
      </c>
      <c r="T55" s="3"/>
      <c r="U55" s="3" t="str">
        <f ca="1">IFERROR(__xludf.DUMMYFUNCTION("""COMPUTED_VALUE"""),"videospot")</f>
        <v>videospot</v>
      </c>
      <c r="V55" s="3"/>
      <c r="W55" s="4" t="str">
        <f ca="1">IFERROR(__xludf.DUMMYFUNCTION("""COMPUTED_VALUE"""),"https://reklama.cncenter.cz/Online/Bumper")</f>
        <v>https://reklama.cncenter.cz/Online/Bumper</v>
      </c>
      <c r="X55" s="3"/>
      <c r="Y55" s="3"/>
      <c r="Z55" s="3" t="str">
        <f ca="1">IFERROR(__xludf.DUMMYFUNCTION("""COMPUTED_VALUE"""),"podklady@cncenter.cz")</f>
        <v>podklady@cncenter.cz</v>
      </c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 t="str">
        <f ca="1">IFERROR(__xludf.DUMMYFUNCTION("""COMPUTED_VALUE"""),"cross-device")</f>
        <v>cross-device</v>
      </c>
      <c r="AO55" s="3"/>
      <c r="AP55" s="3"/>
      <c r="AQ55" s="3"/>
      <c r="AR55" s="3"/>
      <c r="AS55" s="3"/>
      <c r="AT55" s="3"/>
      <c r="AU55" s="3" t="str">
        <f ca="1">IFERROR(__xludf.DUMMYFUNCTION("""COMPUTED_VALUE"""),"videospot - max. 30 sec. / bumper")</f>
        <v>videospot - max. 30 sec. / bumper</v>
      </c>
    </row>
    <row r="56" spans="1:47" x14ac:dyDescent="0.3">
      <c r="A56" s="3">
        <f ca="1"/>
        <v>2346826</v>
      </c>
      <c r="B56" s="3" t="str">
        <f ca="1"/>
        <v>CZECH NEWS CENTER a. s.</v>
      </c>
      <c r="C56" s="3" t="str">
        <f ca="1">IFERROR(__xludf.DUMMYFUNCTION("""COMPUTED_VALUE"""),"Active Radio")</f>
        <v>Active Radio</v>
      </c>
      <c r="D56" s="3" t="str">
        <f ca="1">IFERROR(__xludf.DUMMYFUNCTION("""COMPUTED_VALUE"""),"https://evropa2.cz, https://frekvence1.cz")</f>
        <v>https://evropa2.cz, https://frekvence1.cz</v>
      </c>
      <c r="E56" s="3" t="str">
        <f ca="1">IFERROR(__xludf.DUMMYFUNCTION("""COMPUTED_VALUE"""),"celý web")</f>
        <v>celý web</v>
      </c>
      <c r="F56" s="3" t="str">
        <f ca="1">IFERROR(__xludf.DUMMYFUNCTION("""COMPUTED_VALUE"""),"https://evropa2.cz, https://frekvence1.cz")</f>
        <v>https://evropa2.cz, https://frekvence1.cz</v>
      </c>
      <c r="G56" s="3" t="str">
        <f ca="1">IFERROR(__xludf.DUMMYFUNCTION("""COMPUTED_VALUE"""),"audio ad (15-30"" audio + 640x640) - bez cílení high season")</f>
        <v>audio ad (15-30" audio + 640x640) - bez cílení high season</v>
      </c>
      <c r="H56" s="3">
        <f ca="1">IFERROR(__xludf.DUMMYFUNCTION("""COMPUTED_VALUE"""),7)</f>
        <v>7</v>
      </c>
      <c r="I56" s="5">
        <f ca="1">IFERROR(__xludf.DUMMYFUNCTION("""COMPUTED_VALUE"""),1000)</f>
        <v>1000</v>
      </c>
      <c r="J56" s="5">
        <f ca="1">IFERROR(__xludf.DUMMYFUNCTION("""COMPUTED_VALUE"""),250)</f>
        <v>250</v>
      </c>
      <c r="K56" s="3"/>
      <c r="L56" s="3" t="str">
        <f ca="1">IFERROR(__xludf.DUMMYFUNCTION("""COMPUTED_VALUE"""),"Cost per period")</f>
        <v>Cost per period</v>
      </c>
      <c r="M56" s="3"/>
      <c r="N56" s="3"/>
      <c r="O56" s="3"/>
      <c r="P56" s="3"/>
      <c r="Q56" s="3"/>
      <c r="R56" s="3"/>
      <c r="S56" s="3" t="str">
        <f ca="1">IFERROR(__xludf.DUMMYFUNCTION("""COMPUTED_VALUE"""),"100")</f>
        <v>100</v>
      </c>
      <c r="T56" s="3"/>
      <c r="U56" s="3" t="str">
        <f ca="1">IFERROR(__xludf.DUMMYFUNCTION("""COMPUTED_VALUE"""),"audio")</f>
        <v>audio</v>
      </c>
      <c r="V56" s="3"/>
      <c r="W56" s="4" t="str">
        <f ca="1">IFERROR(__xludf.DUMMYFUNCTION("""COMPUTED_VALUE"""),"https://www.activegroup.cz/reklama")</f>
        <v>https://www.activegroup.cz/reklama</v>
      </c>
      <c r="X56" s="3"/>
      <c r="Y56" s="3"/>
      <c r="Z56" s="3" t="str">
        <f ca="1">IFERROR(__xludf.DUMMYFUNCTION("""COMPUTED_VALUE"""),"monika.cerna@cncenter.cz")</f>
        <v>monika.cerna@cncenter.cz</v>
      </c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 t="str">
        <f ca="1">IFERROR(__xludf.DUMMYFUNCTION("""COMPUTED_VALUE"""),"cross-device")</f>
        <v>cross-device</v>
      </c>
      <c r="AO56" s="3"/>
      <c r="AP56" s="3"/>
      <c r="AQ56" s="3"/>
      <c r="AR56" s="3"/>
      <c r="AS56" s="3"/>
      <c r="AT56" s="3"/>
      <c r="AU56" s="3" t="str">
        <f ca="1">IFERROR(__xludf.DUMMYFUNCTION("""COMPUTED_VALUE"""),"audio ad (15-30"" audio + 640x640) - bez cílení")</f>
        <v>audio ad (15-30" audio + 640x640) - bez cílení</v>
      </c>
    </row>
    <row r="57" spans="1:47" x14ac:dyDescent="0.3">
      <c r="A57" s="3">
        <f ca="1"/>
        <v>2346826</v>
      </c>
      <c r="B57" s="3" t="str">
        <f ca="1"/>
        <v>CZECH NEWS CENTER a. s.</v>
      </c>
      <c r="C57" s="3" t="str">
        <f ca="1">IFERROR(__xludf.DUMMYFUNCTION("""COMPUTED_VALUE"""),"Active Radio")</f>
        <v>Active Radio</v>
      </c>
      <c r="D57" s="3" t="str">
        <f ca="1">IFERROR(__xludf.DUMMYFUNCTION("""COMPUTED_VALUE"""),"https://evropa2.cz, https://frekvence1.cz")</f>
        <v>https://evropa2.cz, https://frekvence1.cz</v>
      </c>
      <c r="E57" s="3" t="str">
        <f ca="1">IFERROR(__xludf.DUMMYFUNCTION("""COMPUTED_VALUE"""),"celý web")</f>
        <v>celý web</v>
      </c>
      <c r="F57" s="3" t="str">
        <f ca="1">IFERROR(__xludf.DUMMYFUNCTION("""COMPUTED_VALUE"""),"https://evropa2.cz, https://frekvence1.cz")</f>
        <v>https://evropa2.cz, https://frekvence1.cz</v>
      </c>
      <c r="G57" s="3" t="str">
        <f ca="1">IFERROR(__xludf.DUMMYFUNCTION("""COMPUTED_VALUE"""),"audio ad (15-30"" audio + 640x640) - pohlaví, lokace high season")</f>
        <v>audio ad (15-30" audio + 640x640) - pohlaví, lokace high season</v>
      </c>
      <c r="H57" s="3">
        <f ca="1">IFERROR(__xludf.DUMMYFUNCTION("""COMPUTED_VALUE"""),7)</f>
        <v>7</v>
      </c>
      <c r="I57" s="5">
        <f ca="1">IFERROR(__xludf.DUMMYFUNCTION("""COMPUTED_VALUE"""),1000)</f>
        <v>1000</v>
      </c>
      <c r="J57" s="5">
        <f ca="1">IFERROR(__xludf.DUMMYFUNCTION("""COMPUTED_VALUE"""),300)</f>
        <v>300</v>
      </c>
      <c r="K57" s="3"/>
      <c r="L57" s="3" t="str">
        <f ca="1">IFERROR(__xludf.DUMMYFUNCTION("""COMPUTED_VALUE"""),"Cost per period")</f>
        <v>Cost per period</v>
      </c>
      <c r="M57" s="3"/>
      <c r="N57" s="3"/>
      <c r="O57" s="3"/>
      <c r="P57" s="3"/>
      <c r="Q57" s="3"/>
      <c r="R57" s="3"/>
      <c r="S57" s="3" t="str">
        <f ca="1">IFERROR(__xludf.DUMMYFUNCTION("""COMPUTED_VALUE"""),"100")</f>
        <v>100</v>
      </c>
      <c r="T57" s="3"/>
      <c r="U57" s="3" t="str">
        <f ca="1">IFERROR(__xludf.DUMMYFUNCTION("""COMPUTED_VALUE"""),"audio")</f>
        <v>audio</v>
      </c>
      <c r="V57" s="3"/>
      <c r="W57" s="4" t="str">
        <f ca="1">IFERROR(__xludf.DUMMYFUNCTION("""COMPUTED_VALUE"""),"https://www.activegroup.cz/reklama")</f>
        <v>https://www.activegroup.cz/reklama</v>
      </c>
      <c r="X57" s="3"/>
      <c r="Y57" s="3"/>
      <c r="Z57" s="3" t="str">
        <f ca="1">IFERROR(__xludf.DUMMYFUNCTION("""COMPUTED_VALUE"""),"monika.cerna@cncenter.cz")</f>
        <v>monika.cerna@cncenter.cz</v>
      </c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 t="str">
        <f ca="1">IFERROR(__xludf.DUMMYFUNCTION("""COMPUTED_VALUE"""),"cross-device")</f>
        <v>cross-device</v>
      </c>
      <c r="AO57" s="3"/>
      <c r="AP57" s="3"/>
      <c r="AQ57" s="3"/>
      <c r="AR57" s="3"/>
      <c r="AS57" s="3"/>
      <c r="AT57" s="3"/>
      <c r="AU57" s="3" t="str">
        <f ca="1">IFERROR(__xludf.DUMMYFUNCTION("""COMPUTED_VALUE"""),"audio ad (15-30"" audio + 640x640) - pohlaví, lokace")</f>
        <v>audio ad (15-30" audio + 640x640) - pohlaví, lokace</v>
      </c>
    </row>
    <row r="58" spans="1:47" x14ac:dyDescent="0.3">
      <c r="A58" s="3">
        <f ca="1"/>
        <v>2346826</v>
      </c>
      <c r="B58" s="3" t="str">
        <f ca="1"/>
        <v>CZECH NEWS CENTER a. s.</v>
      </c>
      <c r="C58" s="3" t="str">
        <f ca="1">IFERROR(__xludf.DUMMYFUNCTION("""COMPUTED_VALUE"""),"Active Radio")</f>
        <v>Active Radio</v>
      </c>
      <c r="D58" s="3" t="str">
        <f ca="1">IFERROR(__xludf.DUMMYFUNCTION("""COMPUTED_VALUE"""),"https://evropa2.cz, https://frekvence1.cz")</f>
        <v>https://evropa2.cz, https://frekvence1.cz</v>
      </c>
      <c r="E58" s="3" t="str">
        <f ca="1">IFERROR(__xludf.DUMMYFUNCTION("""COMPUTED_VALUE"""),"celý web")</f>
        <v>celý web</v>
      </c>
      <c r="F58" s="3" t="str">
        <f ca="1">IFERROR(__xludf.DUMMYFUNCTION("""COMPUTED_VALUE"""),"https://evropa2.cz, https://frekvence1.cz")</f>
        <v>https://evropa2.cz, https://frekvence1.cz</v>
      </c>
      <c r="G58" s="3" t="str">
        <f ca="1">IFERROR(__xludf.DUMMYFUNCTION("""COMPUTED_VALUE"""),"audio spot (5-30"") - bez cílení high season")</f>
        <v>audio spot (5-30") - bez cílení high season</v>
      </c>
      <c r="H58" s="3">
        <f ca="1">IFERROR(__xludf.DUMMYFUNCTION("""COMPUTED_VALUE"""),7)</f>
        <v>7</v>
      </c>
      <c r="I58" s="5">
        <f ca="1">IFERROR(__xludf.DUMMYFUNCTION("""COMPUTED_VALUE"""),1000)</f>
        <v>1000</v>
      </c>
      <c r="J58" s="5">
        <f ca="1">IFERROR(__xludf.DUMMYFUNCTION("""COMPUTED_VALUE"""),185)</f>
        <v>185</v>
      </c>
      <c r="K58" s="3"/>
      <c r="L58" s="3" t="str">
        <f ca="1">IFERROR(__xludf.DUMMYFUNCTION("""COMPUTED_VALUE"""),"Cost per period")</f>
        <v>Cost per period</v>
      </c>
      <c r="M58" s="3"/>
      <c r="N58" s="3"/>
      <c r="O58" s="3"/>
      <c r="P58" s="3"/>
      <c r="Q58" s="3"/>
      <c r="R58" s="3"/>
      <c r="S58" s="3" t="str">
        <f ca="1">IFERROR(__xludf.DUMMYFUNCTION("""COMPUTED_VALUE"""),"100")</f>
        <v>100</v>
      </c>
      <c r="T58" s="3"/>
      <c r="U58" s="3" t="str">
        <f ca="1">IFERROR(__xludf.DUMMYFUNCTION("""COMPUTED_VALUE"""),"audio")</f>
        <v>audio</v>
      </c>
      <c r="V58" s="3"/>
      <c r="W58" s="4" t="str">
        <f ca="1">IFERROR(__xludf.DUMMYFUNCTION("""COMPUTED_VALUE"""),"https://www.activegroup.cz/reklama")</f>
        <v>https://www.activegroup.cz/reklama</v>
      </c>
      <c r="X58" s="3"/>
      <c r="Y58" s="3"/>
      <c r="Z58" s="3" t="str">
        <f ca="1">IFERROR(__xludf.DUMMYFUNCTION("""COMPUTED_VALUE"""),"monika.cerna@cncenter.cz")</f>
        <v>monika.cerna@cncenter.cz</v>
      </c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 t="str">
        <f ca="1">IFERROR(__xludf.DUMMYFUNCTION("""COMPUTED_VALUE"""),"cross-device")</f>
        <v>cross-device</v>
      </c>
      <c r="AO58" s="3"/>
      <c r="AP58" s="3"/>
      <c r="AQ58" s="3"/>
      <c r="AR58" s="3"/>
      <c r="AS58" s="3"/>
      <c r="AT58" s="3"/>
      <c r="AU58" s="3" t="str">
        <f ca="1">IFERROR(__xludf.DUMMYFUNCTION("""COMPUTED_VALUE"""),"audio spot (5-30"") - bez cílení")</f>
        <v>audio spot (5-30") - bez cílení</v>
      </c>
    </row>
    <row r="59" spans="1:47" x14ac:dyDescent="0.3">
      <c r="A59" s="3">
        <f ca="1"/>
        <v>2346826</v>
      </c>
      <c r="B59" s="3" t="str">
        <f ca="1"/>
        <v>CZECH NEWS CENTER a. s.</v>
      </c>
      <c r="C59" s="3" t="str">
        <f ca="1">IFERROR(__xludf.DUMMYFUNCTION("""COMPUTED_VALUE"""),"Active Radio")</f>
        <v>Active Radio</v>
      </c>
      <c r="D59" s="3" t="str">
        <f ca="1">IFERROR(__xludf.DUMMYFUNCTION("""COMPUTED_VALUE"""),"https://evropa2.cz, https://frekvence1.cz")</f>
        <v>https://evropa2.cz, https://frekvence1.cz</v>
      </c>
      <c r="E59" s="3" t="str">
        <f ca="1">IFERROR(__xludf.DUMMYFUNCTION("""COMPUTED_VALUE"""),"celý web")</f>
        <v>celý web</v>
      </c>
      <c r="F59" s="3" t="str">
        <f ca="1">IFERROR(__xludf.DUMMYFUNCTION("""COMPUTED_VALUE"""),"https://evropa2.cz, https://frekvence1.cz")</f>
        <v>https://evropa2.cz, https://frekvence1.cz</v>
      </c>
      <c r="G59" s="3" t="str">
        <f ca="1">IFERROR(__xludf.DUMMYFUNCTION("""COMPUTED_VALUE"""),"audio spot (5-30"") - pohlaví, lokace high season")</f>
        <v>audio spot (5-30") - pohlaví, lokace high season</v>
      </c>
      <c r="H59" s="3">
        <f ca="1">IFERROR(__xludf.DUMMYFUNCTION("""COMPUTED_VALUE"""),7)</f>
        <v>7</v>
      </c>
      <c r="I59" s="5">
        <f ca="1">IFERROR(__xludf.DUMMYFUNCTION("""COMPUTED_VALUE"""),1000)</f>
        <v>1000</v>
      </c>
      <c r="J59" s="5">
        <f ca="1">IFERROR(__xludf.DUMMYFUNCTION("""COMPUTED_VALUE"""),250)</f>
        <v>250</v>
      </c>
      <c r="K59" s="3"/>
      <c r="L59" s="3" t="str">
        <f ca="1">IFERROR(__xludf.DUMMYFUNCTION("""COMPUTED_VALUE"""),"Cost per period")</f>
        <v>Cost per period</v>
      </c>
      <c r="M59" s="3"/>
      <c r="N59" s="3"/>
      <c r="O59" s="3"/>
      <c r="P59" s="3"/>
      <c r="Q59" s="3"/>
      <c r="R59" s="3"/>
      <c r="S59" s="3" t="str">
        <f ca="1">IFERROR(__xludf.DUMMYFUNCTION("""COMPUTED_VALUE"""),"100")</f>
        <v>100</v>
      </c>
      <c r="T59" s="3"/>
      <c r="U59" s="3" t="str">
        <f ca="1">IFERROR(__xludf.DUMMYFUNCTION("""COMPUTED_VALUE"""),"audio")</f>
        <v>audio</v>
      </c>
      <c r="V59" s="3"/>
      <c r="W59" s="4" t="str">
        <f ca="1">IFERROR(__xludf.DUMMYFUNCTION("""COMPUTED_VALUE"""),"https://www.activegroup.cz/reklama")</f>
        <v>https://www.activegroup.cz/reklama</v>
      </c>
      <c r="X59" s="3"/>
      <c r="Y59" s="3"/>
      <c r="Z59" s="3" t="str">
        <f ca="1">IFERROR(__xludf.DUMMYFUNCTION("""COMPUTED_VALUE"""),"monika.cerna@cncenter.cz")</f>
        <v>monika.cerna@cncenter.cz</v>
      </c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 t="str">
        <f ca="1">IFERROR(__xludf.DUMMYFUNCTION("""COMPUTED_VALUE"""),"cross-device")</f>
        <v>cross-device</v>
      </c>
      <c r="AO59" s="3"/>
      <c r="AP59" s="3"/>
      <c r="AQ59" s="3"/>
      <c r="AR59" s="3"/>
      <c r="AS59" s="3"/>
      <c r="AT59" s="3"/>
      <c r="AU59" s="3" t="str">
        <f ca="1">IFERROR(__xludf.DUMMYFUNCTION("""COMPUTED_VALUE"""),"audio spot (5-30"") - pohlaví, lokace")</f>
        <v>audio spot (5-30") - pohlaví, lokace</v>
      </c>
    </row>
    <row r="60" spans="1:47" x14ac:dyDescent="0.3">
      <c r="A60" s="3">
        <f ca="1"/>
        <v>2346826</v>
      </c>
      <c r="B60" s="3" t="str">
        <f ca="1"/>
        <v>CZECH NEWS CENTER a. s.</v>
      </c>
      <c r="C60" s="3" t="str">
        <f ca="1">IFERROR(__xludf.DUMMYFUNCTION("""COMPUTED_VALUE"""),"Active Radio")</f>
        <v>Active Radio</v>
      </c>
      <c r="D60" s="3" t="str">
        <f ca="1">IFERROR(__xludf.DUMMYFUNCTION("""COMPUTED_VALUE"""),"https://evropa2.cz, https://frekvence1.cz")</f>
        <v>https://evropa2.cz, https://frekvence1.cz</v>
      </c>
      <c r="E60" s="3" t="str">
        <f ca="1">IFERROR(__xludf.DUMMYFUNCTION("""COMPUTED_VALUE"""),"celý web")</f>
        <v>celý web</v>
      </c>
      <c r="F60" s="3" t="str">
        <f ca="1">IFERROR(__xludf.DUMMYFUNCTION("""COMPUTED_VALUE"""),"https://evropa2.cz, https://frekvence1.cz")</f>
        <v>https://evropa2.cz, https://frekvence1.cz</v>
      </c>
      <c r="G60" s="3" t="str">
        <f ca="1">IFERROR(__xludf.DUMMYFUNCTION("""COMPUTED_VALUE"""),"premium audio Pack (5-30"") high season")</f>
        <v>premium audio Pack (5-30") high season</v>
      </c>
      <c r="H60" s="3">
        <f ca="1">IFERROR(__xludf.DUMMYFUNCTION("""COMPUTED_VALUE"""),7)</f>
        <v>7</v>
      </c>
      <c r="I60" s="5">
        <f ca="1">IFERROR(__xludf.DUMMYFUNCTION("""COMPUTED_VALUE"""),1000)</f>
        <v>1000</v>
      </c>
      <c r="J60" s="5">
        <f ca="1">IFERROR(__xludf.DUMMYFUNCTION("""COMPUTED_VALUE"""),300)</f>
        <v>300</v>
      </c>
      <c r="K60" s="3"/>
      <c r="L60" s="3" t="str">
        <f ca="1">IFERROR(__xludf.DUMMYFUNCTION("""COMPUTED_VALUE"""),"Cost per period")</f>
        <v>Cost per period</v>
      </c>
      <c r="M60" s="3"/>
      <c r="N60" s="3"/>
      <c r="O60" s="3"/>
      <c r="P60" s="3"/>
      <c r="Q60" s="3"/>
      <c r="R60" s="3"/>
      <c r="S60" s="3" t="str">
        <f ca="1">IFERROR(__xludf.DUMMYFUNCTION("""COMPUTED_VALUE"""),"100")</f>
        <v>100</v>
      </c>
      <c r="T60" s="3"/>
      <c r="U60" s="3" t="str">
        <f ca="1">IFERROR(__xludf.DUMMYFUNCTION("""COMPUTED_VALUE"""),"audio")</f>
        <v>audio</v>
      </c>
      <c r="V60" s="3"/>
      <c r="W60" s="4" t="str">
        <f ca="1">IFERROR(__xludf.DUMMYFUNCTION("""COMPUTED_VALUE"""),"https://www.activegroup.cz/reklama")</f>
        <v>https://www.activegroup.cz/reklama</v>
      </c>
      <c r="X60" s="3"/>
      <c r="Y60" s="3"/>
      <c r="Z60" s="3" t="str">
        <f ca="1">IFERROR(__xludf.DUMMYFUNCTION("""COMPUTED_VALUE"""),"monika.cerna@cncenter.cz")</f>
        <v>monika.cerna@cncenter.cz</v>
      </c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 t="str">
        <f ca="1">IFERROR(__xludf.DUMMYFUNCTION("""COMPUTED_VALUE"""),"cross-device")</f>
        <v>cross-device</v>
      </c>
      <c r="AO60" s="3"/>
      <c r="AP60" s="3"/>
      <c r="AQ60" s="3"/>
      <c r="AR60" s="3"/>
      <c r="AS60" s="3"/>
      <c r="AT60" s="3"/>
      <c r="AU60" s="3" t="str">
        <f ca="1">IFERROR(__xludf.DUMMYFUNCTION("""COMPUTED_VALUE"""),"premium audio Pack (5-30"")")</f>
        <v>premium audio Pack (5-30")</v>
      </c>
    </row>
    <row r="61" spans="1:47" x14ac:dyDescent="0.3">
      <c r="A61" s="3">
        <f ca="1"/>
        <v>2346826</v>
      </c>
      <c r="B61" s="3" t="str">
        <f ca="1"/>
        <v>CZECH NEWS CENTER a. s.</v>
      </c>
      <c r="C61" s="3" t="str">
        <f ca="1">IFERROR(__xludf.DUMMYFUNCTION("""COMPUTED_VALUE"""),"Active Radio")</f>
        <v>Active Radio</v>
      </c>
      <c r="D61" s="3" t="str">
        <f ca="1">IFERROR(__xludf.DUMMYFUNCTION("""COMPUTED_VALUE"""),"https://evropa2.cz, https://frekvence1.cz")</f>
        <v>https://evropa2.cz, https://frekvence1.cz</v>
      </c>
      <c r="E61" s="3" t="str">
        <f ca="1">IFERROR(__xludf.DUMMYFUNCTION("""COMPUTED_VALUE"""),"celý web")</f>
        <v>celý web</v>
      </c>
      <c r="F61" s="3" t="str">
        <f ca="1">IFERROR(__xludf.DUMMYFUNCTION("""COMPUTED_VALUE"""),"https://evropa2.cz, https://frekvence1.cz")</f>
        <v>https://evropa2.cz, https://frekvence1.cz</v>
      </c>
      <c r="G61" s="3" t="str">
        <f ca="1">IFERROR(__xludf.DUMMYFUNCTION("""COMPUTED_VALUE"""),"SoMe Soutěž Social network Evropa 2 high season")</f>
        <v>SoMe Soutěž Social network Evropa 2 high season</v>
      </c>
      <c r="H61" s="3">
        <f ca="1">IFERROR(__xludf.DUMMYFUNCTION("""COMPUTED_VALUE"""),1)</f>
        <v>1</v>
      </c>
      <c r="I61" s="5">
        <f ca="1">IFERROR(__xludf.DUMMYFUNCTION("""COMPUTED_VALUE"""),1)</f>
        <v>1</v>
      </c>
      <c r="J61" s="5">
        <f ca="1">IFERROR(__xludf.DUMMYFUNCTION("""COMPUTED_VALUE"""),225000)</f>
        <v>225000</v>
      </c>
      <c r="K61" s="3"/>
      <c r="L61" s="3" t="str">
        <f ca="1">IFERROR(__xludf.DUMMYFUNCTION("""COMPUTED_VALUE"""),"Cost per instance")</f>
        <v>Cost per instance</v>
      </c>
      <c r="M61" s="3"/>
      <c r="N61" s="3"/>
      <c r="O61" s="3"/>
      <c r="P61" s="3"/>
      <c r="Q61" s="3"/>
      <c r="R61" s="3"/>
      <c r="S61" s="3" t="str">
        <f ca="1">IFERROR(__xludf.DUMMYFUNCTION("""COMPUTED_VALUE"""),"100")</f>
        <v>100</v>
      </c>
      <c r="T61" s="3"/>
      <c r="U61" s="3" t="str">
        <f ca="1">IFERROR(__xludf.DUMMYFUNCTION("""COMPUTED_VALUE"""),"audio")</f>
        <v>audio</v>
      </c>
      <c r="V61" s="3"/>
      <c r="W61" s="4" t="str">
        <f ca="1">IFERROR(__xludf.DUMMYFUNCTION("""COMPUTED_VALUE"""),"https://www.activegroup.cz/reklama")</f>
        <v>https://www.activegroup.cz/reklama</v>
      </c>
      <c r="X61" s="3"/>
      <c r="Y61" s="3"/>
      <c r="Z61" s="3" t="str">
        <f ca="1">IFERROR(__xludf.DUMMYFUNCTION("""COMPUTED_VALUE"""),"monika.cerna@cncenter.cz")</f>
        <v>monika.cerna@cncenter.cz</v>
      </c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 t="str">
        <f ca="1">IFERROR(__xludf.DUMMYFUNCTION("""COMPUTED_VALUE"""),"cross-device")</f>
        <v>cross-device</v>
      </c>
      <c r="AO61" s="3"/>
      <c r="AP61" s="3"/>
      <c r="AQ61" s="3"/>
      <c r="AR61" s="3"/>
      <c r="AS61" s="3"/>
      <c r="AT61" s="3"/>
      <c r="AU61" s="3" t="str">
        <f ca="1">IFERROR(__xludf.DUMMYFUNCTION("""COMPUTED_VALUE"""),"SoMe Soutěž Social network Evropa 2")</f>
        <v>SoMe Soutěž Social network Evropa 2</v>
      </c>
    </row>
    <row r="62" spans="1:47" x14ac:dyDescent="0.3">
      <c r="A62" s="3">
        <f ca="1"/>
        <v>2346826</v>
      </c>
      <c r="B62" s="3" t="str">
        <f ca="1"/>
        <v>CZECH NEWS CENTER a. s.</v>
      </c>
      <c r="C62" s="3" t="str">
        <f ca="1">IFERROR(__xludf.DUMMYFUNCTION("""COMPUTED_VALUE"""),"Active Radio")</f>
        <v>Active Radio</v>
      </c>
      <c r="D62" s="3" t="str">
        <f ca="1">IFERROR(__xludf.DUMMYFUNCTION("""COMPUTED_VALUE"""),"https://evropa2.cz, https://frekvence1.cz")</f>
        <v>https://evropa2.cz, https://frekvence1.cz</v>
      </c>
      <c r="E62" s="3" t="str">
        <f ca="1">IFERROR(__xludf.DUMMYFUNCTION("""COMPUTED_VALUE"""),"celý web")</f>
        <v>celý web</v>
      </c>
      <c r="F62" s="3" t="str">
        <f ca="1">IFERROR(__xludf.DUMMYFUNCTION("""COMPUTED_VALUE"""),"https://evropa2.cz, https://frekvence1.cz")</f>
        <v>https://evropa2.cz, https://frekvence1.cz</v>
      </c>
      <c r="G62" s="3" t="str">
        <f ca="1">IFERROR(__xludf.DUMMYFUNCTION("""COMPUTED_VALUE"""),"SoMe Soutěž Social network Frekvence 1 high season")</f>
        <v>SoMe Soutěž Social network Frekvence 1 high season</v>
      </c>
      <c r="H62" s="3">
        <f ca="1">IFERROR(__xludf.DUMMYFUNCTION("""COMPUTED_VALUE"""),1)</f>
        <v>1</v>
      </c>
      <c r="I62" s="5">
        <f ca="1">IFERROR(__xludf.DUMMYFUNCTION("""COMPUTED_VALUE"""),1)</f>
        <v>1</v>
      </c>
      <c r="J62" s="5">
        <f ca="1">IFERROR(__xludf.DUMMYFUNCTION("""COMPUTED_VALUE"""),225000)</f>
        <v>225000</v>
      </c>
      <c r="K62" s="3"/>
      <c r="L62" s="3" t="str">
        <f ca="1">IFERROR(__xludf.DUMMYFUNCTION("""COMPUTED_VALUE"""),"Cost per instance")</f>
        <v>Cost per instance</v>
      </c>
      <c r="M62" s="3"/>
      <c r="N62" s="3"/>
      <c r="O62" s="3"/>
      <c r="P62" s="3"/>
      <c r="Q62" s="3"/>
      <c r="R62" s="3"/>
      <c r="S62" s="3" t="str">
        <f ca="1">IFERROR(__xludf.DUMMYFUNCTION("""COMPUTED_VALUE"""),"100")</f>
        <v>100</v>
      </c>
      <c r="T62" s="3"/>
      <c r="U62" s="3" t="str">
        <f ca="1">IFERROR(__xludf.DUMMYFUNCTION("""COMPUTED_VALUE"""),"audio")</f>
        <v>audio</v>
      </c>
      <c r="V62" s="3"/>
      <c r="W62" s="4" t="str">
        <f ca="1">IFERROR(__xludf.DUMMYFUNCTION("""COMPUTED_VALUE"""),"https://www.activegroup.cz/reklama")</f>
        <v>https://www.activegroup.cz/reklama</v>
      </c>
      <c r="X62" s="3"/>
      <c r="Y62" s="3"/>
      <c r="Z62" s="3" t="str">
        <f ca="1">IFERROR(__xludf.DUMMYFUNCTION("""COMPUTED_VALUE"""),"monika.cerna@cncenter.cz")</f>
        <v>monika.cerna@cncenter.cz</v>
      </c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 t="str">
        <f ca="1">IFERROR(__xludf.DUMMYFUNCTION("""COMPUTED_VALUE"""),"cross-device")</f>
        <v>cross-device</v>
      </c>
      <c r="AO62" s="3"/>
      <c r="AP62" s="3"/>
      <c r="AQ62" s="3"/>
      <c r="AR62" s="3"/>
      <c r="AS62" s="3"/>
      <c r="AT62" s="3"/>
      <c r="AU62" s="3" t="str">
        <f ca="1">IFERROR(__xludf.DUMMYFUNCTION("""COMPUTED_VALUE"""),"SoMe Soutěž Social network Frekvence 1")</f>
        <v>SoMe Soutěž Social network Frekvence 1</v>
      </c>
    </row>
    <row r="63" spans="1:47" x14ac:dyDescent="0.3">
      <c r="A63" s="3">
        <f ca="1"/>
        <v>2346826</v>
      </c>
      <c r="B63" s="3" t="str">
        <f ca="1"/>
        <v>CZECH NEWS CENTER a. s.</v>
      </c>
      <c r="C63" s="3" t="str">
        <f ca="1">IFERROR(__xludf.DUMMYFUNCTION("""COMPUTED_VALUE"""),"Ahaonline")</f>
        <v>Ahaonline</v>
      </c>
      <c r="D63" s="4" t="str">
        <f ca="1">IFERROR(__xludf.DUMMYFUNCTION("""COMPUTED_VALUE"""),"https://ahaonline.cz")</f>
        <v>https://ahaonline.cz</v>
      </c>
      <c r="E63" s="3" t="str">
        <f ca="1">IFERROR(__xludf.DUMMYFUNCTION("""COMPUTED_VALUE"""),"celý web")</f>
        <v>celý web</v>
      </c>
      <c r="F63" s="4" t="str">
        <f ca="1">IFERROR(__xludf.DUMMYFUNCTION("""COMPUTED_VALUE"""),"https://ahaonline.cz")</f>
        <v>https://ahaonline.cz</v>
      </c>
      <c r="G63" s="3" t="str">
        <f ca="1">IFERROR(__xludf.DUMMYFUNCTION("""COMPUTED_VALUE"""),"Advertorial high season")</f>
        <v>Advertorial high season</v>
      </c>
      <c r="H63" s="3">
        <f ca="1">IFERROR(__xludf.DUMMYFUNCTION("""COMPUTED_VALUE"""),1)</f>
        <v>1</v>
      </c>
      <c r="I63" s="5">
        <f ca="1">IFERROR(__xludf.DUMMYFUNCTION("""COMPUTED_VALUE"""),1)</f>
        <v>1</v>
      </c>
      <c r="J63" s="5">
        <f ca="1">IFERROR(__xludf.DUMMYFUNCTION("""COMPUTED_VALUE"""),90000)</f>
        <v>90000</v>
      </c>
      <c r="K63" s="3"/>
      <c r="L63" s="3" t="str">
        <f ca="1">IFERROR(__xludf.DUMMYFUNCTION("""COMPUTED_VALUE"""),"Cost per instance")</f>
        <v>Cost per instance</v>
      </c>
      <c r="M63" s="3"/>
      <c r="N63" s="3"/>
      <c r="O63" s="3"/>
      <c r="P63" s="3"/>
      <c r="Q63" s="3"/>
      <c r="R63" s="3"/>
      <c r="S63" s="3" t="str">
        <f ca="1">IFERROR(__xludf.DUMMYFUNCTION("""COMPUTED_VALUE"""),"100")</f>
        <v>100</v>
      </c>
      <c r="T63" s="3"/>
      <c r="U63" s="3" t="str">
        <f ca="1">IFERROR(__xludf.DUMMYFUNCTION("""COMPUTED_VALUE"""),"pr článek")</f>
        <v>pr článek</v>
      </c>
      <c r="V63" s="3"/>
      <c r="W63" s="3"/>
      <c r="X63" s="3"/>
      <c r="Y63" s="3"/>
      <c r="Z63" s="3" t="str">
        <f ca="1">IFERROR(__xludf.DUMMYFUNCTION("""COMPUTED_VALUE"""),"podklady@cncenter.cz")</f>
        <v>podklady@cncenter.cz</v>
      </c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 t="str">
        <f ca="1">IFERROR(__xludf.DUMMYFUNCTION("""COMPUTED_VALUE"""),"cross-device")</f>
        <v>cross-device</v>
      </c>
      <c r="AO63" s="3"/>
      <c r="AP63" s="3"/>
      <c r="AQ63" s="3"/>
      <c r="AR63" s="3"/>
      <c r="AS63" s="3"/>
      <c r="AT63" s="3"/>
      <c r="AU63" s="3" t="str">
        <f ca="1">IFERROR(__xludf.DUMMYFUNCTION("""COMPUTED_VALUE"""),"Advertorial")</f>
        <v>Advertorial</v>
      </c>
    </row>
    <row r="64" spans="1:47" x14ac:dyDescent="0.3">
      <c r="A64" s="3">
        <f ca="1"/>
        <v>2346826</v>
      </c>
      <c r="B64" s="3" t="str">
        <f ca="1"/>
        <v>CZECH NEWS CENTER a. s.</v>
      </c>
      <c r="C64" s="3" t="str">
        <f ca="1">IFERROR(__xludf.DUMMYFUNCTION("""COMPUTED_VALUE"""),"Ahaonline")</f>
        <v>Ahaonline</v>
      </c>
      <c r="D64" s="4" t="str">
        <f ca="1">IFERROR(__xludf.DUMMYFUNCTION("""COMPUTED_VALUE"""),"https://ahaonline.cz")</f>
        <v>https://ahaonline.cz</v>
      </c>
      <c r="E64" s="3" t="str">
        <f ca="1">IFERROR(__xludf.DUMMYFUNCTION("""COMPUTED_VALUE"""),"celý web")</f>
        <v>celý web</v>
      </c>
      <c r="F64" s="4" t="str">
        <f ca="1">IFERROR(__xludf.DUMMYFUNCTION("""COMPUTED_VALUE"""),"https://ahaonline.cz")</f>
        <v>https://ahaonline.cz</v>
      </c>
      <c r="G64" s="3" t="str">
        <f ca="1">IFERROR(__xludf.DUMMYFUNCTION("""COMPUTED_VALUE"""),"billboard bottom high season")</f>
        <v>billboard bottom high season</v>
      </c>
      <c r="H64" s="3">
        <f ca="1">IFERROR(__xludf.DUMMYFUNCTION("""COMPUTED_VALUE"""),7)</f>
        <v>7</v>
      </c>
      <c r="I64" s="5">
        <f ca="1">IFERROR(__xludf.DUMMYFUNCTION("""COMPUTED_VALUE"""),1000)</f>
        <v>1000</v>
      </c>
      <c r="J64" s="5">
        <f ca="1">IFERROR(__xludf.DUMMYFUNCTION("""COMPUTED_VALUE"""),440)</f>
        <v>440</v>
      </c>
      <c r="K64" s="3"/>
      <c r="L64" s="3" t="str">
        <f ca="1">IFERROR(__xludf.DUMMYFUNCTION("""COMPUTED_VALUE"""),"Cost per period")</f>
        <v>Cost per period</v>
      </c>
      <c r="M64" s="3"/>
      <c r="N64" s="3"/>
      <c r="O64" s="3" t="str">
        <f ca="1">IFERROR(__xludf.DUMMYFUNCTION("""COMPUTED_VALUE"""),"970")</f>
        <v>970</v>
      </c>
      <c r="P64" s="3" t="str">
        <f ca="1">IFERROR(__xludf.DUMMYFUNCTION("""COMPUTED_VALUE"""),"250")</f>
        <v>250</v>
      </c>
      <c r="Q64" s="3" t="str">
        <f ca="1">IFERROR(__xludf.DUMMYFUNCTION("""COMPUTED_VALUE"""),"970x250")</f>
        <v>970x250</v>
      </c>
      <c r="R64" s="3"/>
      <c r="S64" s="3" t="str">
        <f ca="1">IFERROR(__xludf.DUMMYFUNCTION("""COMPUTED_VALUE"""),"100 (200 - HTML5)")</f>
        <v>100 (200 - HTML5)</v>
      </c>
      <c r="T64" s="3"/>
      <c r="U64" s="3" t="str">
        <f ca="1">IFERROR(__xludf.DUMMYFUNCTION("""COMPUTED_VALUE"""),"banner standard")</f>
        <v>banner standard</v>
      </c>
      <c r="V64" s="3"/>
      <c r="W64" s="4" t="str">
        <f ca="1">IFERROR(__xludf.DUMMYFUNCTION("""COMPUTED_VALUE"""),"https://reklama.cncenter.cz/Online/billboard-bottom")</f>
        <v>https://reklama.cncenter.cz/Online/billboard-bottom</v>
      </c>
      <c r="X64" s="3"/>
      <c r="Y64" s="3"/>
      <c r="Z64" s="3" t="str">
        <f ca="1">IFERROR(__xludf.DUMMYFUNCTION("""COMPUTED_VALUE"""),"podklady@cncenter.cz")</f>
        <v>podklady@cncenter.cz</v>
      </c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 t="str">
        <f ca="1">IFERROR(__xludf.DUMMYFUNCTION("""COMPUTED_VALUE"""),"desktop")</f>
        <v>desktop</v>
      </c>
      <c r="AO64" s="3"/>
      <c r="AP64" s="3"/>
      <c r="AQ64" s="3"/>
      <c r="AR64" s="3"/>
      <c r="AS64" s="3"/>
      <c r="AT64" s="3"/>
      <c r="AU64" s="3" t="str">
        <f ca="1">IFERROR(__xludf.DUMMYFUNCTION("""COMPUTED_VALUE"""),"billboard bottom")</f>
        <v>billboard bottom</v>
      </c>
    </row>
    <row r="65" spans="1:47" x14ac:dyDescent="0.3">
      <c r="A65" s="3">
        <f ca="1"/>
        <v>2346826</v>
      </c>
      <c r="B65" s="3" t="str">
        <f ca="1"/>
        <v>CZECH NEWS CENTER a. s.</v>
      </c>
      <c r="C65" s="3" t="str">
        <f ca="1">IFERROR(__xludf.DUMMYFUNCTION("""COMPUTED_VALUE"""),"Ahaonline")</f>
        <v>Ahaonline</v>
      </c>
      <c r="D65" s="4" t="str">
        <f ca="1">IFERROR(__xludf.DUMMYFUNCTION("""COMPUTED_VALUE"""),"https://ahaonline.cz")</f>
        <v>https://ahaonline.cz</v>
      </c>
      <c r="E65" s="3" t="str">
        <f ca="1">IFERROR(__xludf.DUMMYFUNCTION("""COMPUTED_VALUE"""),"celý web")</f>
        <v>celý web</v>
      </c>
      <c r="F65" s="4" t="str">
        <f ca="1">IFERROR(__xludf.DUMMYFUNCTION("""COMPUTED_VALUE"""),"https://ahaonline.cz")</f>
        <v>https://ahaonline.cz</v>
      </c>
      <c r="G65" s="3" t="str">
        <f ca="1">IFERROR(__xludf.DUMMYFUNCTION("""COMPUTED_VALUE"""),"branding cross-device high season")</f>
        <v>branding cross-device high season</v>
      </c>
      <c r="H65" s="3">
        <f ca="1">IFERROR(__xludf.DUMMYFUNCTION("""COMPUTED_VALUE"""),7)</f>
        <v>7</v>
      </c>
      <c r="I65" s="5">
        <f ca="1">IFERROR(__xludf.DUMMYFUNCTION("""COMPUTED_VALUE"""),1000)</f>
        <v>1000</v>
      </c>
      <c r="J65" s="5">
        <f ca="1">IFERROR(__xludf.DUMMYFUNCTION("""COMPUTED_VALUE"""),540)</f>
        <v>540</v>
      </c>
      <c r="K65" s="3"/>
      <c r="L65" s="3" t="str">
        <f ca="1">IFERROR(__xludf.DUMMYFUNCTION("""COMPUTED_VALUE"""),"Cost per period")</f>
        <v>Cost per period</v>
      </c>
      <c r="M65" s="3"/>
      <c r="N65" s="3"/>
      <c r="O65" s="3" t="str">
        <f ca="1">IFERROR(__xludf.DUMMYFUNCTION("""COMPUTED_VALUE"""),"2000")</f>
        <v>2000</v>
      </c>
      <c r="P65" s="3" t="str">
        <f ca="1">IFERROR(__xludf.DUMMYFUNCTION("""COMPUTED_VALUE"""),"1400")</f>
        <v>1400</v>
      </c>
      <c r="Q65" s="3" t="str">
        <f ca="1">IFERROR(__xludf.DUMMYFUNCTION("""COMPUTED_VALUE"""),"2000x1400 + 600x1080")</f>
        <v>2000x1400 + 600x1080</v>
      </c>
      <c r="R65" s="3"/>
      <c r="S65" s="3" t="str">
        <f ca="1">IFERROR(__xludf.DUMMYFUNCTION("""COMPUTED_VALUE"""),"500 (600 - HTLM5)")</f>
        <v>500 (600 - HTLM5)</v>
      </c>
      <c r="T65" s="3"/>
      <c r="U65" s="3" t="str">
        <f ca="1">IFERROR(__xludf.DUMMYFUNCTION("""COMPUTED_VALUE"""),"banner standard")</f>
        <v>banner standard</v>
      </c>
      <c r="V65" s="3"/>
      <c r="W65" s="4" t="str">
        <f ca="1">IFERROR(__xludf.DUMMYFUNCTION("""COMPUTED_VALUE"""),"https://reklama.cncenter.cz/Online/branding-cross-device")</f>
        <v>https://reklama.cncenter.cz/Online/branding-cross-device</v>
      </c>
      <c r="X65" s="3"/>
      <c r="Y65" s="3"/>
      <c r="Z65" s="3" t="str">
        <f ca="1">IFERROR(__xludf.DUMMYFUNCTION("""COMPUTED_VALUE"""),"podklady@cncenter.cz")</f>
        <v>podklady@cncenter.cz</v>
      </c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 t="str">
        <f ca="1">IFERROR(__xludf.DUMMYFUNCTION("""COMPUTED_VALUE"""),"cross-device")</f>
        <v>cross-device</v>
      </c>
      <c r="AO65" s="3"/>
      <c r="AP65" s="3"/>
      <c r="AQ65" s="3"/>
      <c r="AR65" s="3"/>
      <c r="AS65" s="3"/>
      <c r="AT65" s="3"/>
      <c r="AU65" s="3" t="str">
        <f ca="1">IFERROR(__xludf.DUMMYFUNCTION("""COMPUTED_VALUE"""),"branding cross-device")</f>
        <v>branding cross-device</v>
      </c>
    </row>
    <row r="66" spans="1:47" x14ac:dyDescent="0.3">
      <c r="A66" s="3">
        <f ca="1"/>
        <v>2346826</v>
      </c>
      <c r="B66" s="3" t="str">
        <f ca="1"/>
        <v>CZECH NEWS CENTER a. s.</v>
      </c>
      <c r="C66" s="3" t="str">
        <f ca="1">IFERROR(__xludf.DUMMYFUNCTION("""COMPUTED_VALUE"""),"Ahaonline")</f>
        <v>Ahaonline</v>
      </c>
      <c r="D66" s="4" t="str">
        <f ca="1">IFERROR(__xludf.DUMMYFUNCTION("""COMPUTED_VALUE"""),"https://ahaonline.cz")</f>
        <v>https://ahaonline.cz</v>
      </c>
      <c r="E66" s="3" t="str">
        <f ca="1">IFERROR(__xludf.DUMMYFUNCTION("""COMPUTED_VALUE"""),"celý web")</f>
        <v>celý web</v>
      </c>
      <c r="F66" s="4" t="str">
        <f ca="1">IFERROR(__xludf.DUMMYFUNCTION("""COMPUTED_VALUE"""),"https://ahaonline.cz")</f>
        <v>https://ahaonline.cz</v>
      </c>
      <c r="G66" s="3" t="str">
        <f ca="1">IFERROR(__xludf.DUMMYFUNCTION("""COMPUTED_VALUE"""),"branding high season")</f>
        <v>branding high season</v>
      </c>
      <c r="H66" s="3">
        <f ca="1">IFERROR(__xludf.DUMMYFUNCTION("""COMPUTED_VALUE"""),7)</f>
        <v>7</v>
      </c>
      <c r="I66" s="5">
        <f ca="1">IFERROR(__xludf.DUMMYFUNCTION("""COMPUTED_VALUE"""),1000)</f>
        <v>1000</v>
      </c>
      <c r="J66" s="5">
        <f ca="1">IFERROR(__xludf.DUMMYFUNCTION("""COMPUTED_VALUE"""),890)</f>
        <v>890</v>
      </c>
      <c r="K66" s="3"/>
      <c r="L66" s="3" t="str">
        <f ca="1">IFERROR(__xludf.DUMMYFUNCTION("""COMPUTED_VALUE"""),"Cost per period")</f>
        <v>Cost per period</v>
      </c>
      <c r="M66" s="3"/>
      <c r="N66" s="3"/>
      <c r="O66" s="3" t="str">
        <f ca="1">IFERROR(__xludf.DUMMYFUNCTION("""COMPUTED_VALUE"""),"2000")</f>
        <v>2000</v>
      </c>
      <c r="P66" s="3" t="str">
        <f ca="1">IFERROR(__xludf.DUMMYFUNCTION("""COMPUTED_VALUE"""),"1400")</f>
        <v>1400</v>
      </c>
      <c r="Q66" s="3" t="str">
        <f ca="1">IFERROR(__xludf.DUMMYFUNCTION("""COMPUTED_VALUE"""),"2000x1400")</f>
        <v>2000x1400</v>
      </c>
      <c r="R66" s="3"/>
      <c r="S66" s="3" t="str">
        <f ca="1">IFERROR(__xludf.DUMMYFUNCTION("""COMPUTED_VALUE"""),"500 + 200 (600+200 HTML5)")</f>
        <v>500 + 200 (600+200 HTML5)</v>
      </c>
      <c r="T66" s="3"/>
      <c r="U66" s="3" t="str">
        <f ca="1">IFERROR(__xludf.DUMMYFUNCTION("""COMPUTED_VALUE"""),"banner standard")</f>
        <v>banner standard</v>
      </c>
      <c r="V66" s="3"/>
      <c r="W66" s="4" t="str">
        <f ca="1">IFERROR(__xludf.DUMMYFUNCTION("""COMPUTED_VALUE"""),"https://reklama.cncenter.cz/Online/branding")</f>
        <v>https://reklama.cncenter.cz/Online/branding</v>
      </c>
      <c r="X66" s="3"/>
      <c r="Y66" s="3"/>
      <c r="Z66" s="3" t="str">
        <f ca="1">IFERROR(__xludf.DUMMYFUNCTION("""COMPUTED_VALUE"""),"podklady@cncenter.cz")</f>
        <v>podklady@cncenter.cz</v>
      </c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 t="str">
        <f ca="1">IFERROR(__xludf.DUMMYFUNCTION("""COMPUTED_VALUE"""),"desktop")</f>
        <v>desktop</v>
      </c>
      <c r="AO66" s="3"/>
      <c r="AP66" s="3"/>
      <c r="AQ66" s="3"/>
      <c r="AR66" s="3"/>
      <c r="AS66" s="3"/>
      <c r="AT66" s="3"/>
      <c r="AU66" s="3" t="str">
        <f ca="1">IFERROR(__xludf.DUMMYFUNCTION("""COMPUTED_VALUE"""),"branding")</f>
        <v>branding</v>
      </c>
    </row>
    <row r="67" spans="1:47" x14ac:dyDescent="0.3">
      <c r="A67" s="3">
        <f ca="1"/>
        <v>2346826</v>
      </c>
      <c r="B67" s="3" t="str">
        <f ca="1"/>
        <v>CZECH NEWS CENTER a. s.</v>
      </c>
      <c r="C67" s="3" t="str">
        <f ca="1">IFERROR(__xludf.DUMMYFUNCTION("""COMPUTED_VALUE"""),"Ahaonline")</f>
        <v>Ahaonline</v>
      </c>
      <c r="D67" s="4" t="str">
        <f ca="1">IFERROR(__xludf.DUMMYFUNCTION("""COMPUTED_VALUE"""),"https://ahaonline.cz")</f>
        <v>https://ahaonline.cz</v>
      </c>
      <c r="E67" s="3" t="str">
        <f ca="1">IFERROR(__xludf.DUMMYFUNCTION("""COMPUTED_VALUE"""),"celý web")</f>
        <v>celý web</v>
      </c>
      <c r="F67" s="4" t="str">
        <f ca="1">IFERROR(__xludf.DUMMYFUNCTION("""COMPUTED_VALUE"""),"https://ahaonline.cz")</f>
        <v>https://ahaonline.cz</v>
      </c>
      <c r="G67" s="3" t="str">
        <f ca="1">IFERROR(__xludf.DUMMYFUNCTION("""COMPUTED_VALUE"""),"cílený billboard bottom high season")</f>
        <v>cílený billboard bottom high season</v>
      </c>
      <c r="H67" s="3">
        <f ca="1">IFERROR(__xludf.DUMMYFUNCTION("""COMPUTED_VALUE"""),7)</f>
        <v>7</v>
      </c>
      <c r="I67" s="5">
        <f ca="1">IFERROR(__xludf.DUMMYFUNCTION("""COMPUTED_VALUE"""),1000)</f>
        <v>1000</v>
      </c>
      <c r="J67" s="5">
        <f ca="1">IFERROR(__xludf.DUMMYFUNCTION("""COMPUTED_VALUE"""),528)</f>
        <v>528</v>
      </c>
      <c r="K67" s="3"/>
      <c r="L67" s="3" t="str">
        <f ca="1">IFERROR(__xludf.DUMMYFUNCTION("""COMPUTED_VALUE"""),"Cost per period")</f>
        <v>Cost per period</v>
      </c>
      <c r="M67" s="3"/>
      <c r="N67" s="3"/>
      <c r="O67" s="3" t="str">
        <f ca="1">IFERROR(__xludf.DUMMYFUNCTION("""COMPUTED_VALUE"""),"970")</f>
        <v>970</v>
      </c>
      <c r="P67" s="3" t="str">
        <f ca="1">IFERROR(__xludf.DUMMYFUNCTION("""COMPUTED_VALUE"""),"250")</f>
        <v>250</v>
      </c>
      <c r="Q67" s="3" t="str">
        <f ca="1">IFERROR(__xludf.DUMMYFUNCTION("""COMPUTED_VALUE"""),"970x250")</f>
        <v>970x250</v>
      </c>
      <c r="R67" s="3"/>
      <c r="S67" s="3" t="str">
        <f ca="1">IFERROR(__xludf.DUMMYFUNCTION("""COMPUTED_VALUE"""),"100 (200 - HTML5)")</f>
        <v>100 (200 - HTML5)</v>
      </c>
      <c r="T67" s="3"/>
      <c r="U67" s="3" t="str">
        <f ca="1">IFERROR(__xludf.DUMMYFUNCTION("""COMPUTED_VALUE"""),"banner standard")</f>
        <v>banner standard</v>
      </c>
      <c r="V67" s="3"/>
      <c r="W67" s="4" t="str">
        <f ca="1">IFERROR(__xludf.DUMMYFUNCTION("""COMPUTED_VALUE"""),"https://reklama.cncenter.cz/Online/billboard-bottom")</f>
        <v>https://reklama.cncenter.cz/Online/billboard-bottom</v>
      </c>
      <c r="X67" s="3"/>
      <c r="Y67" s="3"/>
      <c r="Z67" s="3" t="str">
        <f ca="1">IFERROR(__xludf.DUMMYFUNCTION("""COMPUTED_VALUE"""),"podklady@cncenter.cz")</f>
        <v>podklady@cncenter.cz</v>
      </c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 t="str">
        <f ca="1">IFERROR(__xludf.DUMMYFUNCTION("""COMPUTED_VALUE"""),"desktop")</f>
        <v>desktop</v>
      </c>
      <c r="AO67" s="3"/>
      <c r="AP67" s="3"/>
      <c r="AQ67" s="3"/>
      <c r="AR67" s="3"/>
      <c r="AS67" s="3"/>
      <c r="AT67" s="3"/>
      <c r="AU67" s="3" t="str">
        <f ca="1">IFERROR(__xludf.DUMMYFUNCTION("""COMPUTED_VALUE"""),"cílený billboard bottom")</f>
        <v>cílený billboard bottom</v>
      </c>
    </row>
    <row r="68" spans="1:47" x14ac:dyDescent="0.3">
      <c r="A68" s="3">
        <f ca="1"/>
        <v>2346826</v>
      </c>
      <c r="B68" s="3" t="str">
        <f ca="1"/>
        <v>CZECH NEWS CENTER a. s.</v>
      </c>
      <c r="C68" s="3" t="str">
        <f ca="1">IFERROR(__xludf.DUMMYFUNCTION("""COMPUTED_VALUE"""),"Ahaonline")</f>
        <v>Ahaonline</v>
      </c>
      <c r="D68" s="4" t="str">
        <f ca="1">IFERROR(__xludf.DUMMYFUNCTION("""COMPUTED_VALUE"""),"https://ahaonline.cz")</f>
        <v>https://ahaonline.cz</v>
      </c>
      <c r="E68" s="3" t="str">
        <f ca="1">IFERROR(__xludf.DUMMYFUNCTION("""COMPUTED_VALUE"""),"celý web")</f>
        <v>celý web</v>
      </c>
      <c r="F68" s="4" t="str">
        <f ca="1">IFERROR(__xludf.DUMMYFUNCTION("""COMPUTED_VALUE"""),"https://ahaonline.cz")</f>
        <v>https://ahaonline.cz</v>
      </c>
      <c r="G68" s="3" t="str">
        <f ca="1">IFERROR(__xludf.DUMMYFUNCTION("""COMPUTED_VALUE"""),"cílený branding cross-device high season")</f>
        <v>cílený branding cross-device high season</v>
      </c>
      <c r="H68" s="3">
        <f ca="1">IFERROR(__xludf.DUMMYFUNCTION("""COMPUTED_VALUE"""),7)</f>
        <v>7</v>
      </c>
      <c r="I68" s="5">
        <f ca="1">IFERROR(__xludf.DUMMYFUNCTION("""COMPUTED_VALUE"""),1000)</f>
        <v>1000</v>
      </c>
      <c r="J68" s="5">
        <f ca="1">IFERROR(__xludf.DUMMYFUNCTION("""COMPUTED_VALUE"""),648)</f>
        <v>648</v>
      </c>
      <c r="K68" s="3"/>
      <c r="L68" s="3" t="str">
        <f ca="1">IFERROR(__xludf.DUMMYFUNCTION("""COMPUTED_VALUE"""),"Cost per period")</f>
        <v>Cost per period</v>
      </c>
      <c r="M68" s="3"/>
      <c r="N68" s="3"/>
      <c r="O68" s="3" t="str">
        <f ca="1">IFERROR(__xludf.DUMMYFUNCTION("""COMPUTED_VALUE"""),"2000")</f>
        <v>2000</v>
      </c>
      <c r="P68" s="3" t="str">
        <f ca="1">IFERROR(__xludf.DUMMYFUNCTION("""COMPUTED_VALUE"""),"1400")</f>
        <v>1400</v>
      </c>
      <c r="Q68" s="3" t="str">
        <f ca="1">IFERROR(__xludf.DUMMYFUNCTION("""COMPUTED_VALUE"""),"2000x1400 + 600x1080")</f>
        <v>2000x1400 + 600x1080</v>
      </c>
      <c r="R68" s="3"/>
      <c r="S68" s="3" t="str">
        <f ca="1">IFERROR(__xludf.DUMMYFUNCTION("""COMPUTED_VALUE"""),"500 (600 - HTLM5)")</f>
        <v>500 (600 - HTLM5)</v>
      </c>
      <c r="T68" s="3"/>
      <c r="U68" s="3" t="str">
        <f ca="1">IFERROR(__xludf.DUMMYFUNCTION("""COMPUTED_VALUE"""),"banner standard")</f>
        <v>banner standard</v>
      </c>
      <c r="V68" s="3"/>
      <c r="W68" s="4" t="str">
        <f ca="1">IFERROR(__xludf.DUMMYFUNCTION("""COMPUTED_VALUE"""),"https://reklama.cncenter.cz/Online/branding-cross-device")</f>
        <v>https://reklama.cncenter.cz/Online/branding-cross-device</v>
      </c>
      <c r="X68" s="3"/>
      <c r="Y68" s="3"/>
      <c r="Z68" s="3" t="str">
        <f ca="1">IFERROR(__xludf.DUMMYFUNCTION("""COMPUTED_VALUE"""),"podklady@cncenter.cz")</f>
        <v>podklady@cncenter.cz</v>
      </c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 t="str">
        <f ca="1">IFERROR(__xludf.DUMMYFUNCTION("""COMPUTED_VALUE"""),"cross-device")</f>
        <v>cross-device</v>
      </c>
      <c r="AO68" s="3"/>
      <c r="AP68" s="3"/>
      <c r="AQ68" s="3"/>
      <c r="AR68" s="3"/>
      <c r="AS68" s="3"/>
      <c r="AT68" s="3"/>
      <c r="AU68" s="3" t="str">
        <f ca="1">IFERROR(__xludf.DUMMYFUNCTION("""COMPUTED_VALUE"""),"cílený branding cross-device")</f>
        <v>cílený branding cross-device</v>
      </c>
    </row>
    <row r="69" spans="1:47" x14ac:dyDescent="0.3">
      <c r="A69" s="3">
        <f ca="1"/>
        <v>2346826</v>
      </c>
      <c r="B69" s="3" t="str">
        <f ca="1"/>
        <v>CZECH NEWS CENTER a. s.</v>
      </c>
      <c r="C69" s="3" t="str">
        <f ca="1">IFERROR(__xludf.DUMMYFUNCTION("""COMPUTED_VALUE"""),"Ahaonline")</f>
        <v>Ahaonline</v>
      </c>
      <c r="D69" s="4" t="str">
        <f ca="1">IFERROR(__xludf.DUMMYFUNCTION("""COMPUTED_VALUE"""),"https://ahaonline.cz")</f>
        <v>https://ahaonline.cz</v>
      </c>
      <c r="E69" s="3" t="str">
        <f ca="1">IFERROR(__xludf.DUMMYFUNCTION("""COMPUTED_VALUE"""),"celý web")</f>
        <v>celý web</v>
      </c>
      <c r="F69" s="4" t="str">
        <f ca="1">IFERROR(__xludf.DUMMYFUNCTION("""COMPUTED_VALUE"""),"https://ahaonline.cz")</f>
        <v>https://ahaonline.cz</v>
      </c>
      <c r="G69" s="3" t="str">
        <f ca="1">IFERROR(__xludf.DUMMYFUNCTION("""COMPUTED_VALUE"""),"cílený branding high season")</f>
        <v>cílený branding high season</v>
      </c>
      <c r="H69" s="3">
        <f ca="1">IFERROR(__xludf.DUMMYFUNCTION("""COMPUTED_VALUE"""),7)</f>
        <v>7</v>
      </c>
      <c r="I69" s="5">
        <f ca="1">IFERROR(__xludf.DUMMYFUNCTION("""COMPUTED_VALUE"""),1000)</f>
        <v>1000</v>
      </c>
      <c r="J69" s="5">
        <f ca="1">IFERROR(__xludf.DUMMYFUNCTION("""COMPUTED_VALUE"""),1068)</f>
        <v>1068</v>
      </c>
      <c r="K69" s="3"/>
      <c r="L69" s="3" t="str">
        <f ca="1">IFERROR(__xludf.DUMMYFUNCTION("""COMPUTED_VALUE"""),"Cost per period")</f>
        <v>Cost per period</v>
      </c>
      <c r="M69" s="3"/>
      <c r="N69" s="3"/>
      <c r="O69" s="3" t="str">
        <f ca="1">IFERROR(__xludf.DUMMYFUNCTION("""COMPUTED_VALUE"""),"2000")</f>
        <v>2000</v>
      </c>
      <c r="P69" s="3" t="str">
        <f ca="1">IFERROR(__xludf.DUMMYFUNCTION("""COMPUTED_VALUE"""),"1400")</f>
        <v>1400</v>
      </c>
      <c r="Q69" s="3" t="str">
        <f ca="1">IFERROR(__xludf.DUMMYFUNCTION("""COMPUTED_VALUE"""),"2000x1400")</f>
        <v>2000x1400</v>
      </c>
      <c r="R69" s="3"/>
      <c r="S69" s="3" t="str">
        <f ca="1">IFERROR(__xludf.DUMMYFUNCTION("""COMPUTED_VALUE"""),"500 + 200 (600+200 HTML5)")</f>
        <v>500 + 200 (600+200 HTML5)</v>
      </c>
      <c r="T69" s="3"/>
      <c r="U69" s="3" t="str">
        <f ca="1">IFERROR(__xludf.DUMMYFUNCTION("""COMPUTED_VALUE"""),"banner standard")</f>
        <v>banner standard</v>
      </c>
      <c r="V69" s="3"/>
      <c r="W69" s="4" t="str">
        <f ca="1">IFERROR(__xludf.DUMMYFUNCTION("""COMPUTED_VALUE"""),"https://reklama.cncenter.cz/Online/branding")</f>
        <v>https://reklama.cncenter.cz/Online/branding</v>
      </c>
      <c r="X69" s="3"/>
      <c r="Y69" s="3"/>
      <c r="Z69" s="3" t="str">
        <f ca="1">IFERROR(__xludf.DUMMYFUNCTION("""COMPUTED_VALUE"""),"podklady@cncenter.cz")</f>
        <v>podklady@cncenter.cz</v>
      </c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 t="str">
        <f ca="1">IFERROR(__xludf.DUMMYFUNCTION("""COMPUTED_VALUE"""),"desktop")</f>
        <v>desktop</v>
      </c>
      <c r="AO69" s="3"/>
      <c r="AP69" s="3"/>
      <c r="AQ69" s="3"/>
      <c r="AR69" s="3"/>
      <c r="AS69" s="3"/>
      <c r="AT69" s="3"/>
      <c r="AU69" s="3" t="str">
        <f ca="1">IFERROR(__xludf.DUMMYFUNCTION("""COMPUTED_VALUE"""),"cílený branding")</f>
        <v>cílený branding</v>
      </c>
    </row>
    <row r="70" spans="1:47" x14ac:dyDescent="0.3">
      <c r="A70" s="3">
        <f ca="1"/>
        <v>2346826</v>
      </c>
      <c r="B70" s="3" t="str">
        <f ca="1"/>
        <v>CZECH NEWS CENTER a. s.</v>
      </c>
      <c r="C70" s="3" t="str">
        <f ca="1">IFERROR(__xludf.DUMMYFUNCTION("""COMPUTED_VALUE"""),"Ahaonline")</f>
        <v>Ahaonline</v>
      </c>
      <c r="D70" s="4" t="str">
        <f ca="1">IFERROR(__xludf.DUMMYFUNCTION("""COMPUTED_VALUE"""),"https://ahaonline.cz")</f>
        <v>https://ahaonline.cz</v>
      </c>
      <c r="E70" s="3" t="str">
        <f ca="1">IFERROR(__xludf.DUMMYFUNCTION("""COMPUTED_VALUE"""),"celý web")</f>
        <v>celý web</v>
      </c>
      <c r="F70" s="4" t="str">
        <f ca="1">IFERROR(__xludf.DUMMYFUNCTION("""COMPUTED_VALUE"""),"https://ahaonline.cz")</f>
        <v>https://ahaonline.cz</v>
      </c>
      <c r="G70" s="3" t="str">
        <f ca="1">IFERROR(__xludf.DUMMYFUNCTION("""COMPUTED_VALUE"""),"cílený double skyscraper high season")</f>
        <v>cílený double skyscraper high season</v>
      </c>
      <c r="H70" s="3">
        <f ca="1">IFERROR(__xludf.DUMMYFUNCTION("""COMPUTED_VALUE"""),7)</f>
        <v>7</v>
      </c>
      <c r="I70" s="5">
        <f ca="1">IFERROR(__xludf.DUMMYFUNCTION("""COMPUTED_VALUE"""),1000)</f>
        <v>1000</v>
      </c>
      <c r="J70" s="5">
        <f ca="1">IFERROR(__xludf.DUMMYFUNCTION("""COMPUTED_VALUE"""),420)</f>
        <v>420</v>
      </c>
      <c r="K70" s="3"/>
      <c r="L70" s="3" t="str">
        <f ca="1">IFERROR(__xludf.DUMMYFUNCTION("""COMPUTED_VALUE"""),"Cost per period")</f>
        <v>Cost per period</v>
      </c>
      <c r="M70" s="3"/>
      <c r="N70" s="3"/>
      <c r="O70" s="3" t="str">
        <f ca="1">IFERROR(__xludf.DUMMYFUNCTION("""COMPUTED_VALUE"""),"300")</f>
        <v>300</v>
      </c>
      <c r="P70" s="3" t="str">
        <f ca="1">IFERROR(__xludf.DUMMYFUNCTION("""COMPUTED_VALUE"""),"600")</f>
        <v>600</v>
      </c>
      <c r="Q70" s="3" t="str">
        <f ca="1">IFERROR(__xludf.DUMMYFUNCTION("""COMPUTED_VALUE"""),"300x600")</f>
        <v>300x600</v>
      </c>
      <c r="R70" s="3"/>
      <c r="S70" s="3" t="str">
        <f ca="1">IFERROR(__xludf.DUMMYFUNCTION("""COMPUTED_VALUE"""),"100 (200 - HTML5)")</f>
        <v>100 (200 - HTML5)</v>
      </c>
      <c r="T70" s="3"/>
      <c r="U70" s="3" t="str">
        <f ca="1">IFERROR(__xludf.DUMMYFUNCTION("""COMPUTED_VALUE"""),"banner standard")</f>
        <v>banner standard</v>
      </c>
      <c r="V70" s="3"/>
      <c r="W70" s="4" t="str">
        <f ca="1">IFERROR(__xludf.DUMMYFUNCTION("""COMPUTED_VALUE"""),"https://reklama.cncenter.cz/Online/double-skyscraper")</f>
        <v>https://reklama.cncenter.cz/Online/double-skyscraper</v>
      </c>
      <c r="X70" s="3"/>
      <c r="Y70" s="3"/>
      <c r="Z70" s="3" t="str">
        <f ca="1">IFERROR(__xludf.DUMMYFUNCTION("""COMPUTED_VALUE"""),"podklady@cncenter.cz")</f>
        <v>podklady@cncenter.cz</v>
      </c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 t="str">
        <f ca="1">IFERROR(__xludf.DUMMYFUNCTION("""COMPUTED_VALUE"""),"desktop")</f>
        <v>desktop</v>
      </c>
      <c r="AO70" s="3"/>
      <c r="AP70" s="3"/>
      <c r="AQ70" s="3"/>
      <c r="AR70" s="3"/>
      <c r="AS70" s="3"/>
      <c r="AT70" s="3"/>
      <c r="AU70" s="3" t="str">
        <f ca="1">IFERROR(__xludf.DUMMYFUNCTION("""COMPUTED_VALUE"""),"cílený double skyscraper")</f>
        <v>cílený double skyscraper</v>
      </c>
    </row>
    <row r="71" spans="1:47" x14ac:dyDescent="0.3">
      <c r="A71" s="3">
        <f ca="1"/>
        <v>2346826</v>
      </c>
      <c r="B71" s="3" t="str">
        <f ca="1"/>
        <v>CZECH NEWS CENTER a. s.</v>
      </c>
      <c r="C71" s="3" t="str">
        <f ca="1">IFERROR(__xludf.DUMMYFUNCTION("""COMPUTED_VALUE"""),"Ahaonline")</f>
        <v>Ahaonline</v>
      </c>
      <c r="D71" s="4" t="str">
        <f ca="1">IFERROR(__xludf.DUMMYFUNCTION("""COMPUTED_VALUE"""),"https://ahaonline.cz")</f>
        <v>https://ahaonline.cz</v>
      </c>
      <c r="E71" s="3" t="str">
        <f ca="1">IFERROR(__xludf.DUMMYFUNCTION("""COMPUTED_VALUE"""),"celý web")</f>
        <v>celý web</v>
      </c>
      <c r="F71" s="4" t="str">
        <f ca="1">IFERROR(__xludf.DUMMYFUNCTION("""COMPUTED_VALUE"""),"https://ahaonline.cz")</f>
        <v>https://ahaonline.cz</v>
      </c>
      <c r="G71" s="3" t="str">
        <f ca="1">IFERROR(__xludf.DUMMYFUNCTION("""COMPUTED_VALUE"""),"cílený mobilní interscroller high season")</f>
        <v>cílený mobilní interscroller high season</v>
      </c>
      <c r="H71" s="3">
        <f ca="1">IFERROR(__xludf.DUMMYFUNCTION("""COMPUTED_VALUE"""),7)</f>
        <v>7</v>
      </c>
      <c r="I71" s="5">
        <f ca="1">IFERROR(__xludf.DUMMYFUNCTION("""COMPUTED_VALUE"""),1000)</f>
        <v>1000</v>
      </c>
      <c r="J71" s="5">
        <f ca="1">IFERROR(__xludf.DUMMYFUNCTION("""COMPUTED_VALUE"""),540)</f>
        <v>540</v>
      </c>
      <c r="K71" s="3"/>
      <c r="L71" s="3" t="str">
        <f ca="1">IFERROR(__xludf.DUMMYFUNCTION("""COMPUTED_VALUE"""),"Cost per period")</f>
        <v>Cost per period</v>
      </c>
      <c r="M71" s="3"/>
      <c r="N71" s="3"/>
      <c r="O71" s="3" t="str">
        <f ca="1">IFERROR(__xludf.DUMMYFUNCTION("""COMPUTED_VALUE"""),"600")</f>
        <v>600</v>
      </c>
      <c r="P71" s="3" t="str">
        <f ca="1">IFERROR(__xludf.DUMMYFUNCTION("""COMPUTED_VALUE"""),"1080")</f>
        <v>1080</v>
      </c>
      <c r="Q71" s="3" t="str">
        <f ca="1">IFERROR(__xludf.DUMMYFUNCTION("""COMPUTED_VALUE"""),"600x1080")</f>
        <v>600x1080</v>
      </c>
      <c r="R71" s="3"/>
      <c r="S71" s="3" t="str">
        <f ca="1">IFERROR(__xludf.DUMMYFUNCTION("""COMPUTED_VALUE"""),"200")</f>
        <v>200</v>
      </c>
      <c r="T71" s="3"/>
      <c r="U71" s="3" t="str">
        <f ca="1">IFERROR(__xludf.DUMMYFUNCTION("""COMPUTED_VALUE"""),"banner standard")</f>
        <v>banner standard</v>
      </c>
      <c r="V71" s="3"/>
      <c r="W71" s="4" t="str">
        <f ca="1">IFERROR(__xludf.DUMMYFUNCTION("""COMPUTED_VALUE"""),"https://reklama.cncenter.cz/Online/mobilni-interscroller")</f>
        <v>https://reklama.cncenter.cz/Online/mobilni-interscroller</v>
      </c>
      <c r="X71" s="3"/>
      <c r="Y71" s="3"/>
      <c r="Z71" s="3" t="str">
        <f ca="1">IFERROR(__xludf.DUMMYFUNCTION("""COMPUTED_VALUE"""),"podklady@cncenter.cz")</f>
        <v>podklady@cncenter.cz</v>
      </c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 t="str">
        <f ca="1">IFERROR(__xludf.DUMMYFUNCTION("""COMPUTED_VALUE"""),"mobile")</f>
        <v>mobile</v>
      </c>
      <c r="AO71" s="3"/>
      <c r="AP71" s="3"/>
      <c r="AQ71" s="3"/>
      <c r="AR71" s="3"/>
      <c r="AS71" s="3"/>
      <c r="AT71" s="3"/>
      <c r="AU71" s="3" t="str">
        <f ca="1">IFERROR(__xludf.DUMMYFUNCTION("""COMPUTED_VALUE"""),"cílený mobilní interscroller")</f>
        <v>cílený mobilní interscroller</v>
      </c>
    </row>
    <row r="72" spans="1:47" x14ac:dyDescent="0.3">
      <c r="A72" s="3">
        <f ca="1"/>
        <v>2346826</v>
      </c>
      <c r="B72" s="3" t="str">
        <f ca="1"/>
        <v>CZECH NEWS CENTER a. s.</v>
      </c>
      <c r="C72" s="3" t="str">
        <f ca="1">IFERROR(__xludf.DUMMYFUNCTION("""COMPUTED_VALUE"""),"Ahaonline")</f>
        <v>Ahaonline</v>
      </c>
      <c r="D72" s="4" t="str">
        <f ca="1">IFERROR(__xludf.DUMMYFUNCTION("""COMPUTED_VALUE"""),"https://ahaonline.cz")</f>
        <v>https://ahaonline.cz</v>
      </c>
      <c r="E72" s="3" t="str">
        <f ca="1">IFERROR(__xludf.DUMMYFUNCTION("""COMPUTED_VALUE"""),"celý web")</f>
        <v>celý web</v>
      </c>
      <c r="F72" s="4" t="str">
        <f ca="1">IFERROR(__xludf.DUMMYFUNCTION("""COMPUTED_VALUE"""),"https://ahaonline.cz")</f>
        <v>https://ahaonline.cz</v>
      </c>
      <c r="G72" s="3" t="str">
        <f ca="1">IFERROR(__xludf.DUMMYFUNCTION("""COMPUTED_VALUE"""),"cílený mobilní slide-up high season")</f>
        <v>cílený mobilní slide-up high season</v>
      </c>
      <c r="H72" s="3">
        <f ca="1">IFERROR(__xludf.DUMMYFUNCTION("""COMPUTED_VALUE"""),7)</f>
        <v>7</v>
      </c>
      <c r="I72" s="5">
        <f ca="1">IFERROR(__xludf.DUMMYFUNCTION("""COMPUTED_VALUE"""),1000)</f>
        <v>1000</v>
      </c>
      <c r="J72" s="5">
        <f ca="1">IFERROR(__xludf.DUMMYFUNCTION("""COMPUTED_VALUE"""),1104)</f>
        <v>1104</v>
      </c>
      <c r="K72" s="3"/>
      <c r="L72" s="3" t="str">
        <f ca="1">IFERROR(__xludf.DUMMYFUNCTION("""COMPUTED_VALUE"""),"Cost per period")</f>
        <v>Cost per period</v>
      </c>
      <c r="M72" s="3"/>
      <c r="N72" s="3"/>
      <c r="O72" s="3" t="str">
        <f ca="1">IFERROR(__xludf.DUMMYFUNCTION("""COMPUTED_VALUE"""),"300")</f>
        <v>300</v>
      </c>
      <c r="P72" s="3" t="str">
        <f ca="1">IFERROR(__xludf.DUMMYFUNCTION("""COMPUTED_VALUE"""),"120")</f>
        <v>120</v>
      </c>
      <c r="Q72" s="3" t="str">
        <f ca="1">IFERROR(__xludf.DUMMYFUNCTION("""COMPUTED_VALUE"""),"300x120")</f>
        <v>300x120</v>
      </c>
      <c r="R72" s="3"/>
      <c r="S72" s="3" t="str">
        <f ca="1">IFERROR(__xludf.DUMMYFUNCTION("""COMPUTED_VALUE"""),"100")</f>
        <v>100</v>
      </c>
      <c r="T72" s="3"/>
      <c r="U72" s="3" t="str">
        <f ca="1">IFERROR(__xludf.DUMMYFUNCTION("""COMPUTED_VALUE"""),"banner standard")</f>
        <v>banner standard</v>
      </c>
      <c r="V72" s="3"/>
      <c r="W72" s="4" t="str">
        <f ca="1">IFERROR(__xludf.DUMMYFUNCTION("""COMPUTED_VALUE"""),"https://reklama.cncenter.cz/Online/mobilni-slide-up")</f>
        <v>https://reklama.cncenter.cz/Online/mobilni-slide-up</v>
      </c>
      <c r="X72" s="3"/>
      <c r="Y72" s="3"/>
      <c r="Z72" s="3" t="str">
        <f ca="1">IFERROR(__xludf.DUMMYFUNCTION("""COMPUTED_VALUE"""),"podklady@cncenter.cz")</f>
        <v>podklady@cncenter.cz</v>
      </c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 t="str">
        <f ca="1">IFERROR(__xludf.DUMMYFUNCTION("""COMPUTED_VALUE"""),"mobile")</f>
        <v>mobile</v>
      </c>
      <c r="AO72" s="3"/>
      <c r="AP72" s="3"/>
      <c r="AQ72" s="3"/>
      <c r="AR72" s="3"/>
      <c r="AS72" s="3"/>
      <c r="AT72" s="3"/>
      <c r="AU72" s="3" t="str">
        <f ca="1">IFERROR(__xludf.DUMMYFUNCTION("""COMPUTED_VALUE"""),"cílený mobilní slide-up")</f>
        <v>cílený mobilní slide-up</v>
      </c>
    </row>
    <row r="73" spans="1:47" x14ac:dyDescent="0.3">
      <c r="A73" s="3">
        <f ca="1"/>
        <v>2346826</v>
      </c>
      <c r="B73" s="3" t="str">
        <f ca="1"/>
        <v>CZECH NEWS CENTER a. s.</v>
      </c>
      <c r="C73" s="3" t="str">
        <f ca="1">IFERROR(__xludf.DUMMYFUNCTION("""COMPUTED_VALUE"""),"Ahaonline")</f>
        <v>Ahaonline</v>
      </c>
      <c r="D73" s="4" t="str">
        <f ca="1">IFERROR(__xludf.DUMMYFUNCTION("""COMPUTED_VALUE"""),"https://ahaonline.cz")</f>
        <v>https://ahaonline.cz</v>
      </c>
      <c r="E73" s="3" t="str">
        <f ca="1">IFERROR(__xludf.DUMMYFUNCTION("""COMPUTED_VALUE"""),"celý web")</f>
        <v>celý web</v>
      </c>
      <c r="F73" s="4" t="str">
        <f ca="1">IFERROR(__xludf.DUMMYFUNCTION("""COMPUTED_VALUE"""),"https://ahaonline.cz")</f>
        <v>https://ahaonline.cz</v>
      </c>
      <c r="G73" s="3" t="str">
        <f ca="1">IFERROR(__xludf.DUMMYFUNCTION("""COMPUTED_VALUE"""),"cílený mobilní viněta high season")</f>
        <v>cílený mobilní viněta high season</v>
      </c>
      <c r="H73" s="3">
        <f ca="1">IFERROR(__xludf.DUMMYFUNCTION("""COMPUTED_VALUE"""),7)</f>
        <v>7</v>
      </c>
      <c r="I73" s="5">
        <f ca="1">IFERROR(__xludf.DUMMYFUNCTION("""COMPUTED_VALUE"""),1000)</f>
        <v>1000</v>
      </c>
      <c r="J73" s="5">
        <f ca="1">IFERROR(__xludf.DUMMYFUNCTION("""COMPUTED_VALUE"""),1908)</f>
        <v>1908</v>
      </c>
      <c r="K73" s="3"/>
      <c r="L73" s="3" t="str">
        <f ca="1">IFERROR(__xludf.DUMMYFUNCTION("""COMPUTED_VALUE"""),"Cost per period")</f>
        <v>Cost per period</v>
      </c>
      <c r="M73" s="3"/>
      <c r="N73" s="3"/>
      <c r="O73" s="3" t="str">
        <f ca="1">IFERROR(__xludf.DUMMYFUNCTION("""COMPUTED_VALUE"""),"600")</f>
        <v>600</v>
      </c>
      <c r="P73" s="3" t="str">
        <f ca="1">IFERROR(__xludf.DUMMYFUNCTION("""COMPUTED_VALUE"""),"800")</f>
        <v>800</v>
      </c>
      <c r="Q73" s="3" t="str">
        <f ca="1">IFERROR(__xludf.DUMMYFUNCTION("""COMPUTED_VALUE"""),"300x250 nebo 600x800")</f>
        <v>300x250 nebo 600x800</v>
      </c>
      <c r="R73" s="3"/>
      <c r="S73" s="3" t="str">
        <f ca="1">IFERROR(__xludf.DUMMYFUNCTION("""COMPUTED_VALUE"""),"100")</f>
        <v>100</v>
      </c>
      <c r="T73" s="3"/>
      <c r="U73" s="3" t="str">
        <f ca="1">IFERROR(__xludf.DUMMYFUNCTION("""COMPUTED_VALUE"""),"banner standard")</f>
        <v>banner standard</v>
      </c>
      <c r="V73" s="3"/>
      <c r="W73" s="4" t="str">
        <f ca="1">IFERROR(__xludf.DUMMYFUNCTION("""COMPUTED_VALUE"""),"https://reklama.cncenter.cz/Online/mobilni-vineta")</f>
        <v>https://reklama.cncenter.cz/Online/mobilni-vineta</v>
      </c>
      <c r="X73" s="3"/>
      <c r="Y73" s="3"/>
      <c r="Z73" s="3" t="str">
        <f ca="1">IFERROR(__xludf.DUMMYFUNCTION("""COMPUTED_VALUE"""),"podklady@cncenter.cz")</f>
        <v>podklady@cncenter.cz</v>
      </c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 t="str">
        <f ca="1">IFERROR(__xludf.DUMMYFUNCTION("""COMPUTED_VALUE"""),"mobile")</f>
        <v>mobile</v>
      </c>
      <c r="AO73" s="3"/>
      <c r="AP73" s="3"/>
      <c r="AQ73" s="3"/>
      <c r="AR73" s="3"/>
      <c r="AS73" s="3"/>
      <c r="AT73" s="3"/>
      <c r="AU73" s="3" t="str">
        <f ca="1">IFERROR(__xludf.DUMMYFUNCTION("""COMPUTED_VALUE"""),"cílený mobilní viněta")</f>
        <v>cílený mobilní viněta</v>
      </c>
    </row>
    <row r="74" spans="1:47" x14ac:dyDescent="0.3">
      <c r="A74" s="3">
        <f ca="1"/>
        <v>2346826</v>
      </c>
      <c r="B74" s="3" t="str">
        <f ca="1"/>
        <v>CZECH NEWS CENTER a. s.</v>
      </c>
      <c r="C74" s="3" t="str">
        <f ca="1">IFERROR(__xludf.DUMMYFUNCTION("""COMPUTED_VALUE"""),"Ahaonline")</f>
        <v>Ahaonline</v>
      </c>
      <c r="D74" s="4" t="str">
        <f ca="1">IFERROR(__xludf.DUMMYFUNCTION("""COMPUTED_VALUE"""),"https://ahaonline.cz")</f>
        <v>https://ahaonline.cz</v>
      </c>
      <c r="E74" s="3" t="str">
        <f ca="1">IFERROR(__xludf.DUMMYFUNCTION("""COMPUTED_VALUE"""),"celý web")</f>
        <v>celý web</v>
      </c>
      <c r="F74" s="4" t="str">
        <f ca="1">IFERROR(__xludf.DUMMYFUNCTION("""COMPUTED_VALUE"""),"https://ahaonline.cz")</f>
        <v>https://ahaonline.cz</v>
      </c>
      <c r="G74" s="3" t="str">
        <f ca="1">IFERROR(__xludf.DUMMYFUNCTION("""COMPUTED_VALUE"""),"cílený nativní pr premium high season")</f>
        <v>cílený nativní pr premium high season</v>
      </c>
      <c r="H74" s="3">
        <f ca="1">IFERROR(__xludf.DUMMYFUNCTION("""COMPUTED_VALUE"""),7)</f>
        <v>7</v>
      </c>
      <c r="I74" s="5">
        <f ca="1">IFERROR(__xludf.DUMMYFUNCTION("""COMPUTED_VALUE"""),1000)</f>
        <v>1000</v>
      </c>
      <c r="J74" s="5">
        <f ca="1">IFERROR(__xludf.DUMMYFUNCTION("""COMPUTED_VALUE"""),216)</f>
        <v>216</v>
      </c>
      <c r="K74" s="3"/>
      <c r="L74" s="3" t="str">
        <f ca="1">IFERROR(__xludf.DUMMYFUNCTION("""COMPUTED_VALUE"""),"Cost per period")</f>
        <v>Cost per period</v>
      </c>
      <c r="M74" s="3"/>
      <c r="N74" s="3"/>
      <c r="O74" s="3" t="str">
        <f ca="1">IFERROR(__xludf.DUMMYFUNCTION("""COMPUTED_VALUE"""),"640")</f>
        <v>640</v>
      </c>
      <c r="P74" s="3" t="str">
        <f ca="1">IFERROR(__xludf.DUMMYFUNCTION("""COMPUTED_VALUE"""),"335, 640")</f>
        <v>335, 640</v>
      </c>
      <c r="Q74" s="3" t="str">
        <f ca="1">IFERROR(__xludf.DUMMYFUNCTION("""COMPUTED_VALUE"""),"640x640 a 640x335 + text + logo")</f>
        <v>640x640 a 640x335 + text + logo</v>
      </c>
      <c r="R74" s="3" t="str">
        <f ca="1">IFERROR(__xludf.DUMMYFUNCTION("""COMPUTED_VALUE"""),"detailní specifikace na URL odkaze")</f>
        <v>detailní specifikace na URL odkaze</v>
      </c>
      <c r="S74" s="3" t="str">
        <f ca="1">IFERROR(__xludf.DUMMYFUNCTION("""COMPUTED_VALUE"""),"100")</f>
        <v>100</v>
      </c>
      <c r="T74" s="3"/>
      <c r="U74" s="3" t="str">
        <f ca="1">IFERROR(__xludf.DUMMYFUNCTION("""COMPUTED_VALUE"""),"nativní reklama")</f>
        <v>nativní reklama</v>
      </c>
      <c r="V74" s="3"/>
      <c r="W74" s="4" t="str">
        <f ca="1">IFERROR(__xludf.DUMMYFUNCTION("""COMPUTED_VALUE"""),"https://reklama.cncenter.cz/Online/nativni-PR-premium")</f>
        <v>https://reklama.cncenter.cz/Online/nativni-PR-premium</v>
      </c>
      <c r="X74" s="3"/>
      <c r="Y74" s="3"/>
      <c r="Z74" s="3" t="str">
        <f ca="1">IFERROR(__xludf.DUMMYFUNCTION("""COMPUTED_VALUE"""),"podklady@cncenter.cz")</f>
        <v>podklady@cncenter.cz</v>
      </c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 t="str">
        <f ca="1">IFERROR(__xludf.DUMMYFUNCTION("""COMPUTED_VALUE"""),"cross-device")</f>
        <v>cross-device</v>
      </c>
      <c r="AO74" s="3"/>
      <c r="AP74" s="3"/>
      <c r="AQ74" s="3"/>
      <c r="AR74" s="3"/>
      <c r="AS74" s="3"/>
      <c r="AT74" s="3"/>
      <c r="AU74" s="3" t="str">
        <f ca="1">IFERROR(__xludf.DUMMYFUNCTION("""COMPUTED_VALUE"""),"cílený nativní pr premium")</f>
        <v>cílený nativní pr premium</v>
      </c>
    </row>
    <row r="75" spans="1:47" x14ac:dyDescent="0.3">
      <c r="A75" s="3">
        <f ca="1"/>
        <v>2346826</v>
      </c>
      <c r="B75" s="3" t="str">
        <f ca="1"/>
        <v>CZECH NEWS CENTER a. s.</v>
      </c>
      <c r="C75" s="3" t="str">
        <f ca="1">IFERROR(__xludf.DUMMYFUNCTION("""COMPUTED_VALUE"""),"Ahaonline")</f>
        <v>Ahaonline</v>
      </c>
      <c r="D75" s="4" t="str">
        <f ca="1">IFERROR(__xludf.DUMMYFUNCTION("""COMPUTED_VALUE"""),"https://ahaonline.cz")</f>
        <v>https://ahaonline.cz</v>
      </c>
      <c r="E75" s="3" t="str">
        <f ca="1">IFERROR(__xludf.DUMMYFUNCTION("""COMPUTED_VALUE"""),"celý web")</f>
        <v>celý web</v>
      </c>
      <c r="F75" s="4" t="str">
        <f ca="1">IFERROR(__xludf.DUMMYFUNCTION("""COMPUTED_VALUE"""),"https://ahaonline.cz")</f>
        <v>https://ahaonline.cz</v>
      </c>
      <c r="G75" s="3" t="str">
        <f ca="1">IFERROR(__xludf.DUMMYFUNCTION("""COMPUTED_VALUE"""),"cílený nativní rectangle cross-device high season")</f>
        <v>cílený nativní rectangle cross-device high season</v>
      </c>
      <c r="H75" s="3">
        <f ca="1">IFERROR(__xludf.DUMMYFUNCTION("""COMPUTED_VALUE"""),7)</f>
        <v>7</v>
      </c>
      <c r="I75" s="5">
        <f ca="1">IFERROR(__xludf.DUMMYFUNCTION("""COMPUTED_VALUE"""),1000)</f>
        <v>1000</v>
      </c>
      <c r="J75" s="5">
        <f ca="1">IFERROR(__xludf.DUMMYFUNCTION("""COMPUTED_VALUE"""),432)</f>
        <v>432</v>
      </c>
      <c r="K75" s="3"/>
      <c r="L75" s="3" t="str">
        <f ca="1">IFERROR(__xludf.DUMMYFUNCTION("""COMPUTED_VALUE"""),"Cost per period")</f>
        <v>Cost per period</v>
      </c>
      <c r="M75" s="3"/>
      <c r="N75" s="3"/>
      <c r="O75" s="3" t="str">
        <f ca="1">IFERROR(__xludf.DUMMYFUNCTION("""COMPUTED_VALUE"""),"640")</f>
        <v>640</v>
      </c>
      <c r="P75" s="3" t="str">
        <f ca="1">IFERROR(__xludf.DUMMYFUNCTION("""COMPUTED_VALUE"""),"335, 640")</f>
        <v>335, 640</v>
      </c>
      <c r="Q75" s="3" t="str">
        <f ca="1">IFERROR(__xludf.DUMMYFUNCTION("""COMPUTED_VALUE"""),"640x640 a 640x335 + text + logo")</f>
        <v>640x640 a 640x335 + text + logo</v>
      </c>
      <c r="R75" s="3"/>
      <c r="S75" s="3" t="str">
        <f ca="1">IFERROR(__xludf.DUMMYFUNCTION("""COMPUTED_VALUE"""),"45")</f>
        <v>45</v>
      </c>
      <c r="T75" s="3"/>
      <c r="U75" s="3" t="str">
        <f ca="1">IFERROR(__xludf.DUMMYFUNCTION("""COMPUTED_VALUE"""),"nativní reklama")</f>
        <v>nativní reklama</v>
      </c>
      <c r="V75" s="3"/>
      <c r="W75" s="4" t="str">
        <f ca="1">IFERROR(__xludf.DUMMYFUNCTION("""COMPUTED_VALUE"""),"https://reklama.cncenter.cz/Online/nativni-rectangle-cross-device")</f>
        <v>https://reklama.cncenter.cz/Online/nativni-rectangle-cross-device</v>
      </c>
      <c r="X75" s="3"/>
      <c r="Y75" s="3"/>
      <c r="Z75" s="3" t="str">
        <f ca="1">IFERROR(__xludf.DUMMYFUNCTION("""COMPUTED_VALUE"""),"podklady@cncenter.cz")</f>
        <v>podklady@cncenter.cz</v>
      </c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 t="str">
        <f ca="1">IFERROR(__xludf.DUMMYFUNCTION("""COMPUTED_VALUE"""),"cross-device")</f>
        <v>cross-device</v>
      </c>
      <c r="AO75" s="3"/>
      <c r="AP75" s="3"/>
      <c r="AQ75" s="3"/>
      <c r="AR75" s="3"/>
      <c r="AS75" s="3"/>
      <c r="AT75" s="3"/>
      <c r="AU75" s="3" t="str">
        <f ca="1">IFERROR(__xludf.DUMMYFUNCTION("""COMPUTED_VALUE"""),"cílený nativní rectangle cross-device")</f>
        <v>cílený nativní rectangle cross-device</v>
      </c>
    </row>
    <row r="76" spans="1:47" x14ac:dyDescent="0.3">
      <c r="A76" s="3">
        <f ca="1"/>
        <v>2346826</v>
      </c>
      <c r="B76" s="3" t="str">
        <f ca="1"/>
        <v>CZECH NEWS CENTER a. s.</v>
      </c>
      <c r="C76" s="3" t="str">
        <f ca="1">IFERROR(__xludf.DUMMYFUNCTION("""COMPUTED_VALUE"""),"Ahaonline")</f>
        <v>Ahaonline</v>
      </c>
      <c r="D76" s="4" t="str">
        <f ca="1">IFERROR(__xludf.DUMMYFUNCTION("""COMPUTED_VALUE"""),"https://ahaonline.cz")</f>
        <v>https://ahaonline.cz</v>
      </c>
      <c r="E76" s="3" t="str">
        <f ca="1">IFERROR(__xludf.DUMMYFUNCTION("""COMPUTED_VALUE"""),"celý web")</f>
        <v>celý web</v>
      </c>
      <c r="F76" s="4" t="str">
        <f ca="1">IFERROR(__xludf.DUMMYFUNCTION("""COMPUTED_VALUE"""),"https://ahaonline.cz")</f>
        <v>https://ahaonline.cz</v>
      </c>
      <c r="G76" s="3" t="str">
        <f ca="1">IFERROR(__xludf.DUMMYFUNCTION("""COMPUTED_VALUE"""),"cílený outstream high season")</f>
        <v>cílený outstream high season</v>
      </c>
      <c r="H76" s="3">
        <f ca="1">IFERROR(__xludf.DUMMYFUNCTION("""COMPUTED_VALUE"""),7)</f>
        <v>7</v>
      </c>
      <c r="I76" s="5">
        <f ca="1">IFERROR(__xludf.DUMMYFUNCTION("""COMPUTED_VALUE"""),1000)</f>
        <v>1000</v>
      </c>
      <c r="J76" s="5">
        <f ca="1">IFERROR(__xludf.DUMMYFUNCTION("""COMPUTED_VALUE"""),540)</f>
        <v>540</v>
      </c>
      <c r="K76" s="3"/>
      <c r="L76" s="3" t="str">
        <f ca="1">IFERROR(__xludf.DUMMYFUNCTION("""COMPUTED_VALUE"""),"Cost per period")</f>
        <v>Cost per period</v>
      </c>
      <c r="M76" s="3"/>
      <c r="N76" s="3"/>
      <c r="O76" s="3" t="str">
        <f ca="1">IFERROR(__xludf.DUMMYFUNCTION("""COMPUTED_VALUE"""),"1280")</f>
        <v>1280</v>
      </c>
      <c r="P76" s="3" t="str">
        <f ca="1">IFERROR(__xludf.DUMMYFUNCTION("""COMPUTED_VALUE"""),"720")</f>
        <v>720</v>
      </c>
      <c r="Q76" s="3" t="str">
        <f ca="1">IFERROR(__xludf.DUMMYFUNCTION("""COMPUTED_VALUE"""),"16:9")</f>
        <v>16:9</v>
      </c>
      <c r="R76" s="3"/>
      <c r="S76" s="3" t="str">
        <f ca="1">IFERROR(__xludf.DUMMYFUNCTION("""COMPUTED_VALUE"""),"100")</f>
        <v>100</v>
      </c>
      <c r="T76" s="3"/>
      <c r="U76" s="3" t="str">
        <f ca="1">IFERROR(__xludf.DUMMYFUNCTION("""COMPUTED_VALUE"""),"videospot")</f>
        <v>videospot</v>
      </c>
      <c r="V76" s="3"/>
      <c r="W76" s="4" t="str">
        <f ca="1">IFERROR(__xludf.DUMMYFUNCTION("""COMPUTED_VALUE"""),"https://reklama.cncenter.cz/Online/Outstream")</f>
        <v>https://reklama.cncenter.cz/Online/Outstream</v>
      </c>
      <c r="X76" s="3"/>
      <c r="Y76" s="3"/>
      <c r="Z76" s="3" t="str">
        <f ca="1">IFERROR(__xludf.DUMMYFUNCTION("""COMPUTED_VALUE"""),"podklady@cncenter.cz")</f>
        <v>podklady@cncenter.cz</v>
      </c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 t="str">
        <f ca="1">IFERROR(__xludf.DUMMYFUNCTION("""COMPUTED_VALUE"""),"cross-device")</f>
        <v>cross-device</v>
      </c>
      <c r="AO76" s="3"/>
      <c r="AP76" s="3"/>
      <c r="AQ76" s="3"/>
      <c r="AR76" s="3"/>
      <c r="AS76" s="3"/>
      <c r="AT76" s="3"/>
      <c r="AU76" s="3" t="str">
        <f ca="1">IFERROR(__xludf.DUMMYFUNCTION("""COMPUTED_VALUE"""),"cílený outstream")</f>
        <v>cílený outstream</v>
      </c>
    </row>
    <row r="77" spans="1:47" x14ac:dyDescent="0.3">
      <c r="A77" s="3">
        <f ca="1"/>
        <v>2346826</v>
      </c>
      <c r="B77" s="3" t="str">
        <f ca="1"/>
        <v>CZECH NEWS CENTER a. s.</v>
      </c>
      <c r="C77" s="3" t="str">
        <f ca="1">IFERROR(__xludf.DUMMYFUNCTION("""COMPUTED_VALUE"""),"Ahaonline")</f>
        <v>Ahaonline</v>
      </c>
      <c r="D77" s="4" t="str">
        <f ca="1">IFERROR(__xludf.DUMMYFUNCTION("""COMPUTED_VALUE"""),"https://ahaonline.cz")</f>
        <v>https://ahaonline.cz</v>
      </c>
      <c r="E77" s="3" t="str">
        <f ca="1">IFERROR(__xludf.DUMMYFUNCTION("""COMPUTED_VALUE"""),"celý web")</f>
        <v>celý web</v>
      </c>
      <c r="F77" s="4" t="str">
        <f ca="1">IFERROR(__xludf.DUMMYFUNCTION("""COMPUTED_VALUE"""),"https://ahaonline.cz")</f>
        <v>https://ahaonline.cz</v>
      </c>
      <c r="G77" s="3" t="str">
        <f ca="1">IFERROR(__xludf.DUMMYFUNCTION("""COMPUTED_VALUE"""),"cílený videospot - max. 30 sec. / bumper high season")</f>
        <v>cílený videospot - max. 30 sec. / bumper high season</v>
      </c>
      <c r="H77" s="3">
        <f ca="1">IFERROR(__xludf.DUMMYFUNCTION("""COMPUTED_VALUE"""),7)</f>
        <v>7</v>
      </c>
      <c r="I77" s="5">
        <f ca="1">IFERROR(__xludf.DUMMYFUNCTION("""COMPUTED_VALUE"""),1000)</f>
        <v>1000</v>
      </c>
      <c r="J77" s="5">
        <f ca="1">IFERROR(__xludf.DUMMYFUNCTION("""COMPUTED_VALUE"""),1608)</f>
        <v>1608</v>
      </c>
      <c r="K77" s="3"/>
      <c r="L77" s="3" t="str">
        <f ca="1">IFERROR(__xludf.DUMMYFUNCTION("""COMPUTED_VALUE"""),"Cost per period")</f>
        <v>Cost per period</v>
      </c>
      <c r="M77" s="3"/>
      <c r="N77" s="3"/>
      <c r="O77" s="3" t="str">
        <f ca="1">IFERROR(__xludf.DUMMYFUNCTION("""COMPUTED_VALUE"""),"1280")</f>
        <v>1280</v>
      </c>
      <c r="P77" s="3" t="str">
        <f ca="1">IFERROR(__xludf.DUMMYFUNCTION("""COMPUTED_VALUE"""),"720")</f>
        <v>720</v>
      </c>
      <c r="Q77" s="3" t="str">
        <f ca="1">IFERROR(__xludf.DUMMYFUNCTION("""COMPUTED_VALUE"""),"16:9 / umístění po domluvě dle možností")</f>
        <v>16:9 / umístění po domluvě dle možností</v>
      </c>
      <c r="R77" s="3" t="str">
        <f ca="1">IFERROR(__xludf.DUMMYFUNCTION("""COMPUTED_VALUE"""),"přeskočení po 7 sekundách")</f>
        <v>přeskočení po 7 sekundách</v>
      </c>
      <c r="S77" s="3" t="str">
        <f ca="1">IFERROR(__xludf.DUMMYFUNCTION("""COMPUTED_VALUE"""),"100")</f>
        <v>100</v>
      </c>
      <c r="T77" s="3"/>
      <c r="U77" s="3" t="str">
        <f ca="1">IFERROR(__xludf.DUMMYFUNCTION("""COMPUTED_VALUE"""),"videospot")</f>
        <v>videospot</v>
      </c>
      <c r="V77" s="3"/>
      <c r="W77" s="4" t="str">
        <f ca="1">IFERROR(__xludf.DUMMYFUNCTION("""COMPUTED_VALUE"""),"https://reklama.cncenter.cz/Online/Bumper")</f>
        <v>https://reklama.cncenter.cz/Online/Bumper</v>
      </c>
      <c r="X77" s="3"/>
      <c r="Y77" s="3"/>
      <c r="Z77" s="3" t="str">
        <f ca="1">IFERROR(__xludf.DUMMYFUNCTION("""COMPUTED_VALUE"""),"podklady@cncenter.cz")</f>
        <v>podklady@cncenter.cz</v>
      </c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 t="str">
        <f ca="1">IFERROR(__xludf.DUMMYFUNCTION("""COMPUTED_VALUE"""),"cross-device")</f>
        <v>cross-device</v>
      </c>
      <c r="AO77" s="3"/>
      <c r="AP77" s="3"/>
      <c r="AQ77" s="3"/>
      <c r="AR77" s="3"/>
      <c r="AS77" s="3"/>
      <c r="AT77" s="3"/>
      <c r="AU77" s="3" t="str">
        <f ca="1">IFERROR(__xludf.DUMMYFUNCTION("""COMPUTED_VALUE"""),"cílený videospot - max. 30 sec. / bumper")</f>
        <v>cílený videospot - max. 30 sec. / bumper</v>
      </c>
    </row>
    <row r="78" spans="1:47" x14ac:dyDescent="0.3">
      <c r="A78" s="3">
        <f ca="1"/>
        <v>2346826</v>
      </c>
      <c r="B78" s="3" t="str">
        <f ca="1"/>
        <v>CZECH NEWS CENTER a. s.</v>
      </c>
      <c r="C78" s="3" t="str">
        <f ca="1">IFERROR(__xludf.DUMMYFUNCTION("""COMPUTED_VALUE"""),"Ahaonline")</f>
        <v>Ahaonline</v>
      </c>
      <c r="D78" s="4" t="str">
        <f ca="1">IFERROR(__xludf.DUMMYFUNCTION("""COMPUTED_VALUE"""),"https://ahaonline.cz")</f>
        <v>https://ahaonline.cz</v>
      </c>
      <c r="E78" s="3" t="str">
        <f ca="1">IFERROR(__xludf.DUMMYFUNCTION("""COMPUTED_VALUE"""),"celý web")</f>
        <v>celý web</v>
      </c>
      <c r="F78" s="4" t="str">
        <f ca="1">IFERROR(__xludf.DUMMYFUNCTION("""COMPUTED_VALUE"""),"https://ahaonline.cz")</f>
        <v>https://ahaonline.cz</v>
      </c>
      <c r="G78" s="3" t="str">
        <f ca="1">IFERROR(__xludf.DUMMYFUNCTION("""COMPUTED_VALUE"""),"dokoupení proma o 2 týdny - 10 000 PV *** high season")</f>
        <v>dokoupení proma o 2 týdny - 10 000 PV *** high season</v>
      </c>
      <c r="H78" s="3">
        <f ca="1">IFERROR(__xludf.DUMMYFUNCTION("""COMPUTED_VALUE"""),1)</f>
        <v>1</v>
      </c>
      <c r="I78" s="5">
        <f ca="1">IFERROR(__xludf.DUMMYFUNCTION("""COMPUTED_VALUE"""),1)</f>
        <v>1</v>
      </c>
      <c r="J78" s="5">
        <f ca="1">IFERROR(__xludf.DUMMYFUNCTION("""COMPUTED_VALUE"""),60000)</f>
        <v>60000</v>
      </c>
      <c r="K78" s="3"/>
      <c r="L78" s="3" t="str">
        <f ca="1">IFERROR(__xludf.DUMMYFUNCTION("""COMPUTED_VALUE"""),"Cost per instance")</f>
        <v>Cost per instance</v>
      </c>
      <c r="M78" s="3"/>
      <c r="N78" s="3"/>
      <c r="O78" s="3"/>
      <c r="P78" s="3"/>
      <c r="Q78" s="3"/>
      <c r="R78" s="3"/>
      <c r="S78" s="3" t="str">
        <f ca="1">IFERROR(__xludf.DUMMYFUNCTION("""COMPUTED_VALUE"""),"100")</f>
        <v>100</v>
      </c>
      <c r="T78" s="3"/>
      <c r="U78" s="3" t="str">
        <f ca="1">IFERROR(__xludf.DUMMYFUNCTION("""COMPUTED_VALUE"""),"microsite")</f>
        <v>microsite</v>
      </c>
      <c r="V78" s="3"/>
      <c r="W78" s="3"/>
      <c r="X78" s="3"/>
      <c r="Y78" s="3"/>
      <c r="Z78" s="3" t="str">
        <f ca="1">IFERROR(__xludf.DUMMYFUNCTION("""COMPUTED_VALUE"""),"podklady@cncenter.cz")</f>
        <v>podklady@cncenter.cz</v>
      </c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 t="str">
        <f ca="1">IFERROR(__xludf.DUMMYFUNCTION("""COMPUTED_VALUE"""),"cross-device")</f>
        <v>cross-device</v>
      </c>
      <c r="AO78" s="3"/>
      <c r="AP78" s="3"/>
      <c r="AQ78" s="3"/>
      <c r="AR78" s="3"/>
      <c r="AS78" s="3"/>
      <c r="AT78" s="3"/>
      <c r="AU78" s="3" t="str">
        <f ca="1">IFERROR(__xludf.DUMMYFUNCTION("""COMPUTED_VALUE"""),"dokoupení proma o 2 týdny - 10 000 PV ***")</f>
        <v>dokoupení proma o 2 týdny - 10 000 PV ***</v>
      </c>
    </row>
    <row r="79" spans="1:47" x14ac:dyDescent="0.3">
      <c r="A79" s="3">
        <f ca="1"/>
        <v>2346826</v>
      </c>
      <c r="B79" s="3" t="str">
        <f ca="1"/>
        <v>CZECH NEWS CENTER a. s.</v>
      </c>
      <c r="C79" s="3" t="str">
        <f ca="1">IFERROR(__xludf.DUMMYFUNCTION("""COMPUTED_VALUE"""),"Ahaonline")</f>
        <v>Ahaonline</v>
      </c>
      <c r="D79" s="4" t="str">
        <f ca="1">IFERROR(__xludf.DUMMYFUNCTION("""COMPUTED_VALUE"""),"https://ahaonline.cz")</f>
        <v>https://ahaonline.cz</v>
      </c>
      <c r="E79" s="3" t="str">
        <f ca="1">IFERROR(__xludf.DUMMYFUNCTION("""COMPUTED_VALUE"""),"celý web")</f>
        <v>celý web</v>
      </c>
      <c r="F79" s="4" t="str">
        <f ca="1">IFERROR(__xludf.DUMMYFUNCTION("""COMPUTED_VALUE"""),"https://ahaonline.cz")</f>
        <v>https://ahaonline.cz</v>
      </c>
      <c r="G79" s="3" t="str">
        <f ca="1">IFERROR(__xludf.DUMMYFUNCTION("""COMPUTED_VALUE"""),"double skyscraper high season")</f>
        <v>double skyscraper high season</v>
      </c>
      <c r="H79" s="3">
        <f ca="1">IFERROR(__xludf.DUMMYFUNCTION("""COMPUTED_VALUE"""),7)</f>
        <v>7</v>
      </c>
      <c r="I79" s="5">
        <f ca="1">IFERROR(__xludf.DUMMYFUNCTION("""COMPUTED_VALUE"""),1000)</f>
        <v>1000</v>
      </c>
      <c r="J79" s="5">
        <f ca="1">IFERROR(__xludf.DUMMYFUNCTION("""COMPUTED_VALUE"""),350)</f>
        <v>350</v>
      </c>
      <c r="K79" s="3"/>
      <c r="L79" s="3" t="str">
        <f ca="1">IFERROR(__xludf.DUMMYFUNCTION("""COMPUTED_VALUE"""),"Cost per period")</f>
        <v>Cost per period</v>
      </c>
      <c r="M79" s="3"/>
      <c r="N79" s="3"/>
      <c r="O79" s="3" t="str">
        <f ca="1">IFERROR(__xludf.DUMMYFUNCTION("""COMPUTED_VALUE"""),"300")</f>
        <v>300</v>
      </c>
      <c r="P79" s="3" t="str">
        <f ca="1">IFERROR(__xludf.DUMMYFUNCTION("""COMPUTED_VALUE"""),"600")</f>
        <v>600</v>
      </c>
      <c r="Q79" s="3" t="str">
        <f ca="1">IFERROR(__xludf.DUMMYFUNCTION("""COMPUTED_VALUE"""),"300x600")</f>
        <v>300x600</v>
      </c>
      <c r="R79" s="3"/>
      <c r="S79" s="3" t="str">
        <f ca="1">IFERROR(__xludf.DUMMYFUNCTION("""COMPUTED_VALUE"""),"100 (200 - HTML5)")</f>
        <v>100 (200 - HTML5)</v>
      </c>
      <c r="T79" s="3"/>
      <c r="U79" s="3" t="str">
        <f ca="1">IFERROR(__xludf.DUMMYFUNCTION("""COMPUTED_VALUE"""),"banner standard")</f>
        <v>banner standard</v>
      </c>
      <c r="V79" s="3"/>
      <c r="W79" s="4" t="str">
        <f ca="1">IFERROR(__xludf.DUMMYFUNCTION("""COMPUTED_VALUE"""),"https://reklama.cncenter.cz/Online/double-skyscraper")</f>
        <v>https://reklama.cncenter.cz/Online/double-skyscraper</v>
      </c>
      <c r="X79" s="3"/>
      <c r="Y79" s="3"/>
      <c r="Z79" s="3" t="str">
        <f ca="1">IFERROR(__xludf.DUMMYFUNCTION("""COMPUTED_VALUE"""),"podklady@cncenter.cz")</f>
        <v>podklady@cncenter.cz</v>
      </c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 t="str">
        <f ca="1">IFERROR(__xludf.DUMMYFUNCTION("""COMPUTED_VALUE"""),"desktop")</f>
        <v>desktop</v>
      </c>
      <c r="AO79" s="3"/>
      <c r="AP79" s="3"/>
      <c r="AQ79" s="3"/>
      <c r="AR79" s="3"/>
      <c r="AS79" s="3"/>
      <c r="AT79" s="3"/>
      <c r="AU79" s="3" t="str">
        <f ca="1">IFERROR(__xludf.DUMMYFUNCTION("""COMPUTED_VALUE"""),"double skyscraper")</f>
        <v>double skyscraper</v>
      </c>
    </row>
    <row r="80" spans="1:47" x14ac:dyDescent="0.3">
      <c r="A80" s="3">
        <f ca="1"/>
        <v>2346826</v>
      </c>
      <c r="B80" s="3" t="str">
        <f ca="1"/>
        <v>CZECH NEWS CENTER a. s.</v>
      </c>
      <c r="C80" s="3" t="str">
        <f ca="1">IFERROR(__xludf.DUMMYFUNCTION("""COMPUTED_VALUE"""),"Ahaonline")</f>
        <v>Ahaonline</v>
      </c>
      <c r="D80" s="4" t="str">
        <f ca="1">IFERROR(__xludf.DUMMYFUNCTION("""COMPUTED_VALUE"""),"https://ahaonline.cz")</f>
        <v>https://ahaonline.cz</v>
      </c>
      <c r="E80" s="3" t="str">
        <f ca="1">IFERROR(__xludf.DUMMYFUNCTION("""COMPUTED_VALUE"""),"celý web")</f>
        <v>celý web</v>
      </c>
      <c r="F80" s="4" t="str">
        <f ca="1">IFERROR(__xludf.DUMMYFUNCTION("""COMPUTED_VALUE"""),"https://ahaonline.cz")</f>
        <v>https://ahaonline.cz</v>
      </c>
      <c r="G80" s="3" t="str">
        <f ca="1">IFERROR(__xludf.DUMMYFUNCTION("""COMPUTED_VALUE"""),"mobilní interscroller high season")</f>
        <v>mobilní interscroller high season</v>
      </c>
      <c r="H80" s="3">
        <f ca="1">IFERROR(__xludf.DUMMYFUNCTION("""COMPUTED_VALUE"""),7)</f>
        <v>7</v>
      </c>
      <c r="I80" s="5">
        <f ca="1">IFERROR(__xludf.DUMMYFUNCTION("""COMPUTED_VALUE"""),1000)</f>
        <v>1000</v>
      </c>
      <c r="J80" s="5">
        <f ca="1">IFERROR(__xludf.DUMMYFUNCTION("""COMPUTED_VALUE"""),450)</f>
        <v>450</v>
      </c>
      <c r="K80" s="3"/>
      <c r="L80" s="3" t="str">
        <f ca="1">IFERROR(__xludf.DUMMYFUNCTION("""COMPUTED_VALUE"""),"Cost per period")</f>
        <v>Cost per period</v>
      </c>
      <c r="M80" s="3"/>
      <c r="N80" s="3"/>
      <c r="O80" s="3" t="str">
        <f ca="1">IFERROR(__xludf.DUMMYFUNCTION("""COMPUTED_VALUE"""),"600")</f>
        <v>600</v>
      </c>
      <c r="P80" s="3" t="str">
        <f ca="1">IFERROR(__xludf.DUMMYFUNCTION("""COMPUTED_VALUE"""),"1080")</f>
        <v>1080</v>
      </c>
      <c r="Q80" s="3" t="str">
        <f ca="1">IFERROR(__xludf.DUMMYFUNCTION("""COMPUTED_VALUE"""),"600x1080")</f>
        <v>600x1080</v>
      </c>
      <c r="R80" s="3"/>
      <c r="S80" s="3" t="str">
        <f ca="1">IFERROR(__xludf.DUMMYFUNCTION("""COMPUTED_VALUE"""),"200")</f>
        <v>200</v>
      </c>
      <c r="T80" s="3"/>
      <c r="U80" s="3" t="str">
        <f ca="1">IFERROR(__xludf.DUMMYFUNCTION("""COMPUTED_VALUE"""),"banner standard")</f>
        <v>banner standard</v>
      </c>
      <c r="V80" s="3"/>
      <c r="W80" s="4" t="str">
        <f ca="1">IFERROR(__xludf.DUMMYFUNCTION("""COMPUTED_VALUE"""),"https://reklama.cncenter.cz/Online/mobilni-interscroller")</f>
        <v>https://reklama.cncenter.cz/Online/mobilni-interscroller</v>
      </c>
      <c r="X80" s="3"/>
      <c r="Y80" s="3"/>
      <c r="Z80" s="3" t="str">
        <f ca="1">IFERROR(__xludf.DUMMYFUNCTION("""COMPUTED_VALUE"""),"podklady@cncenter.cz")</f>
        <v>podklady@cncenter.cz</v>
      </c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 t="str">
        <f ca="1">IFERROR(__xludf.DUMMYFUNCTION("""COMPUTED_VALUE"""),"mobile")</f>
        <v>mobile</v>
      </c>
      <c r="AO80" s="3"/>
      <c r="AP80" s="3"/>
      <c r="AQ80" s="3"/>
      <c r="AR80" s="3"/>
      <c r="AS80" s="3"/>
      <c r="AT80" s="3"/>
      <c r="AU80" s="3" t="str">
        <f ca="1">IFERROR(__xludf.DUMMYFUNCTION("""COMPUTED_VALUE"""),"mobilní interscroller")</f>
        <v>mobilní interscroller</v>
      </c>
    </row>
    <row r="81" spans="1:47" x14ac:dyDescent="0.3">
      <c r="A81" s="3">
        <f ca="1"/>
        <v>2346826</v>
      </c>
      <c r="B81" s="3" t="str">
        <f ca="1"/>
        <v>CZECH NEWS CENTER a. s.</v>
      </c>
      <c r="C81" s="3" t="str">
        <f ca="1">IFERROR(__xludf.DUMMYFUNCTION("""COMPUTED_VALUE"""),"Ahaonline")</f>
        <v>Ahaonline</v>
      </c>
      <c r="D81" s="4" t="str">
        <f ca="1">IFERROR(__xludf.DUMMYFUNCTION("""COMPUTED_VALUE"""),"https://ahaonline.cz")</f>
        <v>https://ahaonline.cz</v>
      </c>
      <c r="E81" s="3" t="str">
        <f ca="1">IFERROR(__xludf.DUMMYFUNCTION("""COMPUTED_VALUE"""),"celý web")</f>
        <v>celý web</v>
      </c>
      <c r="F81" s="4" t="str">
        <f ca="1">IFERROR(__xludf.DUMMYFUNCTION("""COMPUTED_VALUE"""),"https://ahaonline.cz")</f>
        <v>https://ahaonline.cz</v>
      </c>
      <c r="G81" s="3" t="str">
        <f ca="1">IFERROR(__xludf.DUMMYFUNCTION("""COMPUTED_VALUE"""),"mobilní slide-up high season")</f>
        <v>mobilní slide-up high season</v>
      </c>
      <c r="H81" s="3">
        <f ca="1">IFERROR(__xludf.DUMMYFUNCTION("""COMPUTED_VALUE"""),7)</f>
        <v>7</v>
      </c>
      <c r="I81" s="5">
        <f ca="1">IFERROR(__xludf.DUMMYFUNCTION("""COMPUTED_VALUE"""),1000)</f>
        <v>1000</v>
      </c>
      <c r="J81" s="5">
        <f ca="1">IFERROR(__xludf.DUMMYFUNCTION("""COMPUTED_VALUE"""),920)</f>
        <v>920</v>
      </c>
      <c r="K81" s="3"/>
      <c r="L81" s="3" t="str">
        <f ca="1">IFERROR(__xludf.DUMMYFUNCTION("""COMPUTED_VALUE"""),"Cost per period")</f>
        <v>Cost per period</v>
      </c>
      <c r="M81" s="3"/>
      <c r="N81" s="3"/>
      <c r="O81" s="3" t="str">
        <f ca="1">IFERROR(__xludf.DUMMYFUNCTION("""COMPUTED_VALUE"""),"300")</f>
        <v>300</v>
      </c>
      <c r="P81" s="3" t="str">
        <f ca="1">IFERROR(__xludf.DUMMYFUNCTION("""COMPUTED_VALUE"""),"120")</f>
        <v>120</v>
      </c>
      <c r="Q81" s="3" t="str">
        <f ca="1">IFERROR(__xludf.DUMMYFUNCTION("""COMPUTED_VALUE"""),"300x120")</f>
        <v>300x120</v>
      </c>
      <c r="R81" s="3"/>
      <c r="S81" s="3" t="str">
        <f ca="1">IFERROR(__xludf.DUMMYFUNCTION("""COMPUTED_VALUE"""),"100")</f>
        <v>100</v>
      </c>
      <c r="T81" s="3"/>
      <c r="U81" s="3" t="str">
        <f ca="1">IFERROR(__xludf.DUMMYFUNCTION("""COMPUTED_VALUE"""),"banner standard")</f>
        <v>banner standard</v>
      </c>
      <c r="V81" s="3"/>
      <c r="W81" s="4" t="str">
        <f ca="1">IFERROR(__xludf.DUMMYFUNCTION("""COMPUTED_VALUE"""),"https://reklama.cncenter.cz/Online/mobilni-slide-up")</f>
        <v>https://reklama.cncenter.cz/Online/mobilni-slide-up</v>
      </c>
      <c r="X81" s="3"/>
      <c r="Y81" s="3"/>
      <c r="Z81" s="3" t="str">
        <f ca="1">IFERROR(__xludf.DUMMYFUNCTION("""COMPUTED_VALUE"""),"podklady@cncenter.cz")</f>
        <v>podklady@cncenter.cz</v>
      </c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 t="str">
        <f ca="1">IFERROR(__xludf.DUMMYFUNCTION("""COMPUTED_VALUE"""),"mobile")</f>
        <v>mobile</v>
      </c>
      <c r="AO81" s="3"/>
      <c r="AP81" s="3"/>
      <c r="AQ81" s="3"/>
      <c r="AR81" s="3"/>
      <c r="AS81" s="3"/>
      <c r="AT81" s="3"/>
      <c r="AU81" s="3" t="str">
        <f ca="1">IFERROR(__xludf.DUMMYFUNCTION("""COMPUTED_VALUE"""),"mobilní slide-up")</f>
        <v>mobilní slide-up</v>
      </c>
    </row>
    <row r="82" spans="1:47" x14ac:dyDescent="0.3">
      <c r="A82" s="3">
        <f ca="1"/>
        <v>2346826</v>
      </c>
      <c r="B82" s="3" t="str">
        <f ca="1"/>
        <v>CZECH NEWS CENTER a. s.</v>
      </c>
      <c r="C82" s="3" t="str">
        <f ca="1">IFERROR(__xludf.DUMMYFUNCTION("""COMPUTED_VALUE"""),"Ahaonline")</f>
        <v>Ahaonline</v>
      </c>
      <c r="D82" s="4" t="str">
        <f ca="1">IFERROR(__xludf.DUMMYFUNCTION("""COMPUTED_VALUE"""),"https://ahaonline.cz")</f>
        <v>https://ahaonline.cz</v>
      </c>
      <c r="E82" s="3" t="str">
        <f ca="1">IFERROR(__xludf.DUMMYFUNCTION("""COMPUTED_VALUE"""),"celý web")</f>
        <v>celý web</v>
      </c>
      <c r="F82" s="4" t="str">
        <f ca="1">IFERROR(__xludf.DUMMYFUNCTION("""COMPUTED_VALUE"""),"https://ahaonline.cz")</f>
        <v>https://ahaonline.cz</v>
      </c>
      <c r="G82" s="3" t="str">
        <f ca="1">IFERROR(__xludf.DUMMYFUNCTION("""COMPUTED_VALUE"""),"mobilní viněta high season")</f>
        <v>mobilní viněta high season</v>
      </c>
      <c r="H82" s="3">
        <f ca="1">IFERROR(__xludf.DUMMYFUNCTION("""COMPUTED_VALUE"""),7)</f>
        <v>7</v>
      </c>
      <c r="I82" s="5">
        <f ca="1">IFERROR(__xludf.DUMMYFUNCTION("""COMPUTED_VALUE"""),1000)</f>
        <v>1000</v>
      </c>
      <c r="J82" s="5">
        <f ca="1">IFERROR(__xludf.DUMMYFUNCTION("""COMPUTED_VALUE"""),1590)</f>
        <v>1590</v>
      </c>
      <c r="K82" s="3"/>
      <c r="L82" s="3" t="str">
        <f ca="1">IFERROR(__xludf.DUMMYFUNCTION("""COMPUTED_VALUE"""),"Cost per period")</f>
        <v>Cost per period</v>
      </c>
      <c r="M82" s="3"/>
      <c r="N82" s="3"/>
      <c r="O82" s="3" t="str">
        <f ca="1">IFERROR(__xludf.DUMMYFUNCTION("""COMPUTED_VALUE"""),"600")</f>
        <v>600</v>
      </c>
      <c r="P82" s="3" t="str">
        <f ca="1">IFERROR(__xludf.DUMMYFUNCTION("""COMPUTED_VALUE"""),"800")</f>
        <v>800</v>
      </c>
      <c r="Q82" s="3" t="str">
        <f ca="1">IFERROR(__xludf.DUMMYFUNCTION("""COMPUTED_VALUE"""),"300x250 nebo 600x800")</f>
        <v>300x250 nebo 600x800</v>
      </c>
      <c r="R82" s="3"/>
      <c r="S82" s="3" t="str">
        <f ca="1">IFERROR(__xludf.DUMMYFUNCTION("""COMPUTED_VALUE"""),"100")</f>
        <v>100</v>
      </c>
      <c r="T82" s="3"/>
      <c r="U82" s="3" t="str">
        <f ca="1">IFERROR(__xludf.DUMMYFUNCTION("""COMPUTED_VALUE"""),"banner standard")</f>
        <v>banner standard</v>
      </c>
      <c r="V82" s="3"/>
      <c r="W82" s="4" t="str">
        <f ca="1">IFERROR(__xludf.DUMMYFUNCTION("""COMPUTED_VALUE"""),"https://reklama.cncenter.cz/Online/mobilni-vineta")</f>
        <v>https://reklama.cncenter.cz/Online/mobilni-vineta</v>
      </c>
      <c r="X82" s="3"/>
      <c r="Y82" s="3"/>
      <c r="Z82" s="3" t="str">
        <f ca="1">IFERROR(__xludf.DUMMYFUNCTION("""COMPUTED_VALUE"""),"podklady@cncenter.cz")</f>
        <v>podklady@cncenter.cz</v>
      </c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 t="str">
        <f ca="1">IFERROR(__xludf.DUMMYFUNCTION("""COMPUTED_VALUE"""),"mobile")</f>
        <v>mobile</v>
      </c>
      <c r="AO82" s="3"/>
      <c r="AP82" s="3"/>
      <c r="AQ82" s="3"/>
      <c r="AR82" s="3"/>
      <c r="AS82" s="3"/>
      <c r="AT82" s="3"/>
      <c r="AU82" s="3" t="str">
        <f ca="1">IFERROR(__xludf.DUMMYFUNCTION("""COMPUTED_VALUE"""),"mobilní viněta")</f>
        <v>mobilní viněta</v>
      </c>
    </row>
    <row r="83" spans="1:47" x14ac:dyDescent="0.3">
      <c r="A83" s="3">
        <f ca="1"/>
        <v>2346826</v>
      </c>
      <c r="B83" s="3" t="str">
        <f ca="1"/>
        <v>CZECH NEWS CENTER a. s.</v>
      </c>
      <c r="C83" s="3" t="str">
        <f ca="1">IFERROR(__xludf.DUMMYFUNCTION("""COMPUTED_VALUE"""),"Ahaonline")</f>
        <v>Ahaonline</v>
      </c>
      <c r="D83" s="4" t="str">
        <f ca="1">IFERROR(__xludf.DUMMYFUNCTION("""COMPUTED_VALUE"""),"https://ahaonline.cz")</f>
        <v>https://ahaonline.cz</v>
      </c>
      <c r="E83" s="3" t="str">
        <f ca="1">IFERROR(__xludf.DUMMYFUNCTION("""COMPUTED_VALUE"""),"celý web")</f>
        <v>celý web</v>
      </c>
      <c r="F83" s="4" t="str">
        <f ca="1">IFERROR(__xludf.DUMMYFUNCTION("""COMPUTED_VALUE"""),"https://ahaonline.cz")</f>
        <v>https://ahaonline.cz</v>
      </c>
      <c r="G83" s="3" t="str">
        <f ca="1">IFERROR(__xludf.DUMMYFUNCTION("""COMPUTED_VALUE"""),"Native Standard high season")</f>
        <v>Native Standard high season</v>
      </c>
      <c r="H83" s="3">
        <f ca="1">IFERROR(__xludf.DUMMYFUNCTION("""COMPUTED_VALUE"""),1)</f>
        <v>1</v>
      </c>
      <c r="I83" s="5">
        <f ca="1">IFERROR(__xludf.DUMMYFUNCTION("""COMPUTED_VALUE"""),1)</f>
        <v>1</v>
      </c>
      <c r="J83" s="5">
        <f ca="1">IFERROR(__xludf.DUMMYFUNCTION("""COMPUTED_VALUE"""),330000)</f>
        <v>330000</v>
      </c>
      <c r="K83" s="3"/>
      <c r="L83" s="3" t="str">
        <f ca="1">IFERROR(__xludf.DUMMYFUNCTION("""COMPUTED_VALUE"""),"Cost per instance")</f>
        <v>Cost per instance</v>
      </c>
      <c r="M83" s="3"/>
      <c r="N83" s="3"/>
      <c r="O83" s="3"/>
      <c r="P83" s="3"/>
      <c r="Q83" s="3"/>
      <c r="R83" s="3"/>
      <c r="S83" s="3" t="str">
        <f ca="1">IFERROR(__xludf.DUMMYFUNCTION("""COMPUTED_VALUE"""),"100")</f>
        <v>100</v>
      </c>
      <c r="T83" s="3"/>
      <c r="U83" s="3" t="str">
        <f ca="1">IFERROR(__xludf.DUMMYFUNCTION("""COMPUTED_VALUE"""),"microsite")</f>
        <v>microsite</v>
      </c>
      <c r="V83" s="3"/>
      <c r="W83" s="3"/>
      <c r="X83" s="3"/>
      <c r="Y83" s="3"/>
      <c r="Z83" s="3" t="str">
        <f ca="1">IFERROR(__xludf.DUMMYFUNCTION("""COMPUTED_VALUE"""),"podklady@cncenter.cz")</f>
        <v>podklady@cncenter.cz</v>
      </c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 t="str">
        <f ca="1">IFERROR(__xludf.DUMMYFUNCTION("""COMPUTED_VALUE"""),"cross-device")</f>
        <v>cross-device</v>
      </c>
      <c r="AO83" s="3"/>
      <c r="AP83" s="3"/>
      <c r="AQ83" s="3"/>
      <c r="AR83" s="3"/>
      <c r="AS83" s="3"/>
      <c r="AT83" s="3"/>
      <c r="AU83" s="3" t="str">
        <f ca="1">IFERROR(__xludf.DUMMYFUNCTION("""COMPUTED_VALUE"""),"Native Standard")</f>
        <v>Native Standard</v>
      </c>
    </row>
    <row r="84" spans="1:47" x14ac:dyDescent="0.3">
      <c r="A84" s="3">
        <f ca="1"/>
        <v>2346826</v>
      </c>
      <c r="B84" s="3" t="str">
        <f ca="1"/>
        <v>CZECH NEWS CENTER a. s.</v>
      </c>
      <c r="C84" s="3" t="str">
        <f ca="1">IFERROR(__xludf.DUMMYFUNCTION("""COMPUTED_VALUE"""),"Ahaonline")</f>
        <v>Ahaonline</v>
      </c>
      <c r="D84" s="4" t="str">
        <f ca="1">IFERROR(__xludf.DUMMYFUNCTION("""COMPUTED_VALUE"""),"https://ahaonline.cz")</f>
        <v>https://ahaonline.cz</v>
      </c>
      <c r="E84" s="3" t="str">
        <f ca="1">IFERROR(__xludf.DUMMYFUNCTION("""COMPUTED_VALUE"""),"celý web")</f>
        <v>celý web</v>
      </c>
      <c r="F84" s="4" t="str">
        <f ca="1">IFERROR(__xludf.DUMMYFUNCTION("""COMPUTED_VALUE"""),"https://ahaonline.cz")</f>
        <v>https://ahaonline.cz</v>
      </c>
      <c r="G84" s="3" t="str">
        <f ca="1">IFERROR(__xludf.DUMMYFUNCTION("""COMPUTED_VALUE"""),"nativní pr premium high season")</f>
        <v>nativní pr premium high season</v>
      </c>
      <c r="H84" s="3">
        <f ca="1">IFERROR(__xludf.DUMMYFUNCTION("""COMPUTED_VALUE"""),7)</f>
        <v>7</v>
      </c>
      <c r="I84" s="5">
        <f ca="1">IFERROR(__xludf.DUMMYFUNCTION("""COMPUTED_VALUE"""),1000)</f>
        <v>1000</v>
      </c>
      <c r="J84" s="5">
        <f ca="1">IFERROR(__xludf.DUMMYFUNCTION("""COMPUTED_VALUE"""),180)</f>
        <v>180</v>
      </c>
      <c r="K84" s="3"/>
      <c r="L84" s="3" t="str">
        <f ca="1">IFERROR(__xludf.DUMMYFUNCTION("""COMPUTED_VALUE"""),"Cost per period")</f>
        <v>Cost per period</v>
      </c>
      <c r="M84" s="3"/>
      <c r="N84" s="3"/>
      <c r="O84" s="3" t="str">
        <f ca="1">IFERROR(__xludf.DUMMYFUNCTION("""COMPUTED_VALUE"""),"640")</f>
        <v>640</v>
      </c>
      <c r="P84" s="3" t="str">
        <f ca="1">IFERROR(__xludf.DUMMYFUNCTION("""COMPUTED_VALUE"""),"335, 640")</f>
        <v>335, 640</v>
      </c>
      <c r="Q84" s="3" t="str">
        <f ca="1">IFERROR(__xludf.DUMMYFUNCTION("""COMPUTED_VALUE"""),"640x640 a 640x335 + text + logo")</f>
        <v>640x640 a 640x335 + text + logo</v>
      </c>
      <c r="R84" s="3" t="str">
        <f ca="1">IFERROR(__xludf.DUMMYFUNCTION("""COMPUTED_VALUE"""),"detailní specifikace na URL odkaze")</f>
        <v>detailní specifikace na URL odkaze</v>
      </c>
      <c r="S84" s="3" t="str">
        <f ca="1">IFERROR(__xludf.DUMMYFUNCTION("""COMPUTED_VALUE"""),"100")</f>
        <v>100</v>
      </c>
      <c r="T84" s="3"/>
      <c r="U84" s="3" t="str">
        <f ca="1">IFERROR(__xludf.DUMMYFUNCTION("""COMPUTED_VALUE"""),"nativní reklama")</f>
        <v>nativní reklama</v>
      </c>
      <c r="V84" s="3"/>
      <c r="W84" s="4" t="str">
        <f ca="1">IFERROR(__xludf.DUMMYFUNCTION("""COMPUTED_VALUE"""),"https://reklama.cncenter.cz/Online/nativni-PR-premium")</f>
        <v>https://reklama.cncenter.cz/Online/nativni-PR-premium</v>
      </c>
      <c r="X84" s="3"/>
      <c r="Y84" s="3"/>
      <c r="Z84" s="3" t="str">
        <f ca="1">IFERROR(__xludf.DUMMYFUNCTION("""COMPUTED_VALUE"""),"podklady@cncenter.cz")</f>
        <v>podklady@cncenter.cz</v>
      </c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 t="str">
        <f ca="1">IFERROR(__xludf.DUMMYFUNCTION("""COMPUTED_VALUE"""),"cross-device")</f>
        <v>cross-device</v>
      </c>
      <c r="AO84" s="3"/>
      <c r="AP84" s="3"/>
      <c r="AQ84" s="3"/>
      <c r="AR84" s="3"/>
      <c r="AS84" s="3"/>
      <c r="AT84" s="3"/>
      <c r="AU84" s="3" t="str">
        <f ca="1">IFERROR(__xludf.DUMMYFUNCTION("""COMPUTED_VALUE"""),"nativní pr premium")</f>
        <v>nativní pr premium</v>
      </c>
    </row>
    <row r="85" spans="1:47" x14ac:dyDescent="0.3">
      <c r="A85" s="3">
        <f ca="1"/>
        <v>2346826</v>
      </c>
      <c r="B85" s="3" t="str">
        <f ca="1"/>
        <v>CZECH NEWS CENTER a. s.</v>
      </c>
      <c r="C85" s="3" t="str">
        <f ca="1">IFERROR(__xludf.DUMMYFUNCTION("""COMPUTED_VALUE"""),"Ahaonline")</f>
        <v>Ahaonline</v>
      </c>
      <c r="D85" s="4" t="str">
        <f ca="1">IFERROR(__xludf.DUMMYFUNCTION("""COMPUTED_VALUE"""),"https://ahaonline.cz")</f>
        <v>https://ahaonline.cz</v>
      </c>
      <c r="E85" s="3" t="str">
        <f ca="1">IFERROR(__xludf.DUMMYFUNCTION("""COMPUTED_VALUE"""),"celý web")</f>
        <v>celý web</v>
      </c>
      <c r="F85" s="4" t="str">
        <f ca="1">IFERROR(__xludf.DUMMYFUNCTION("""COMPUTED_VALUE"""),"https://ahaonline.cz")</f>
        <v>https://ahaonline.cz</v>
      </c>
      <c r="G85" s="3" t="str">
        <f ca="1">IFERROR(__xludf.DUMMYFUNCTION("""COMPUTED_VALUE"""),"nativní rectangle cross-device high season")</f>
        <v>nativní rectangle cross-device high season</v>
      </c>
      <c r="H85" s="3">
        <f ca="1">IFERROR(__xludf.DUMMYFUNCTION("""COMPUTED_VALUE"""),7)</f>
        <v>7</v>
      </c>
      <c r="I85" s="5">
        <f ca="1">IFERROR(__xludf.DUMMYFUNCTION("""COMPUTED_VALUE"""),1000)</f>
        <v>1000</v>
      </c>
      <c r="J85" s="5">
        <f ca="1">IFERROR(__xludf.DUMMYFUNCTION("""COMPUTED_VALUE"""),360)</f>
        <v>360</v>
      </c>
      <c r="K85" s="3"/>
      <c r="L85" s="3" t="str">
        <f ca="1">IFERROR(__xludf.DUMMYFUNCTION("""COMPUTED_VALUE"""),"Cost per period")</f>
        <v>Cost per period</v>
      </c>
      <c r="M85" s="3"/>
      <c r="N85" s="3"/>
      <c r="O85" s="3" t="str">
        <f ca="1">IFERROR(__xludf.DUMMYFUNCTION("""COMPUTED_VALUE"""),"640")</f>
        <v>640</v>
      </c>
      <c r="P85" s="3" t="str">
        <f ca="1">IFERROR(__xludf.DUMMYFUNCTION("""COMPUTED_VALUE"""),"335, 640")</f>
        <v>335, 640</v>
      </c>
      <c r="Q85" s="3" t="str">
        <f ca="1">IFERROR(__xludf.DUMMYFUNCTION("""COMPUTED_VALUE"""),"640x640 a 640x335 + text + logo")</f>
        <v>640x640 a 640x335 + text + logo</v>
      </c>
      <c r="R85" s="3"/>
      <c r="S85" s="3" t="str">
        <f ca="1">IFERROR(__xludf.DUMMYFUNCTION("""COMPUTED_VALUE"""),"45")</f>
        <v>45</v>
      </c>
      <c r="T85" s="3"/>
      <c r="U85" s="3" t="str">
        <f ca="1">IFERROR(__xludf.DUMMYFUNCTION("""COMPUTED_VALUE"""),"nativní reklama")</f>
        <v>nativní reklama</v>
      </c>
      <c r="V85" s="3"/>
      <c r="W85" s="4" t="str">
        <f ca="1">IFERROR(__xludf.DUMMYFUNCTION("""COMPUTED_VALUE"""),"https://reklama.cncenter.cz/Online/nativni-rectangle-cross-device")</f>
        <v>https://reklama.cncenter.cz/Online/nativni-rectangle-cross-device</v>
      </c>
      <c r="X85" s="3"/>
      <c r="Y85" s="3"/>
      <c r="Z85" s="3" t="str">
        <f ca="1">IFERROR(__xludf.DUMMYFUNCTION("""COMPUTED_VALUE"""),"podklady@cncenter.cz")</f>
        <v>podklady@cncenter.cz</v>
      </c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 t="str">
        <f ca="1">IFERROR(__xludf.DUMMYFUNCTION("""COMPUTED_VALUE"""),"cross-device")</f>
        <v>cross-device</v>
      </c>
      <c r="AO85" s="3"/>
      <c r="AP85" s="3"/>
      <c r="AQ85" s="3"/>
      <c r="AR85" s="3"/>
      <c r="AS85" s="3"/>
      <c r="AT85" s="3"/>
      <c r="AU85" s="3" t="str">
        <f ca="1">IFERROR(__xludf.DUMMYFUNCTION("""COMPUTED_VALUE"""),"nativní rectangle cross-device")</f>
        <v>nativní rectangle cross-device</v>
      </c>
    </row>
    <row r="86" spans="1:47" x14ac:dyDescent="0.3">
      <c r="A86" s="3">
        <f ca="1"/>
        <v>2346826</v>
      </c>
      <c r="B86" s="3" t="str">
        <f ca="1"/>
        <v>CZECH NEWS CENTER a. s.</v>
      </c>
      <c r="C86" s="3" t="str">
        <f ca="1">IFERROR(__xludf.DUMMYFUNCTION("""COMPUTED_VALUE"""),"Ahaonline")</f>
        <v>Ahaonline</v>
      </c>
      <c r="D86" s="4" t="str">
        <f ca="1">IFERROR(__xludf.DUMMYFUNCTION("""COMPUTED_VALUE"""),"https://ahaonline.cz")</f>
        <v>https://ahaonline.cz</v>
      </c>
      <c r="E86" s="3" t="str">
        <f ca="1">IFERROR(__xludf.DUMMYFUNCTION("""COMPUTED_VALUE"""),"celý web")</f>
        <v>celý web</v>
      </c>
      <c r="F86" s="4" t="str">
        <f ca="1">IFERROR(__xludf.DUMMYFUNCTION("""COMPUTED_VALUE"""),"https://ahaonline.cz")</f>
        <v>https://ahaonline.cz</v>
      </c>
      <c r="G86" s="3" t="str">
        <f ca="1">IFERROR(__xludf.DUMMYFUNCTION("""COMPUTED_VALUE"""),"outstream high season")</f>
        <v>outstream high season</v>
      </c>
      <c r="H86" s="3">
        <f ca="1">IFERROR(__xludf.DUMMYFUNCTION("""COMPUTED_VALUE"""),7)</f>
        <v>7</v>
      </c>
      <c r="I86" s="5">
        <f ca="1">IFERROR(__xludf.DUMMYFUNCTION("""COMPUTED_VALUE"""),1000)</f>
        <v>1000</v>
      </c>
      <c r="J86" s="5">
        <f ca="1">IFERROR(__xludf.DUMMYFUNCTION("""COMPUTED_VALUE"""),450)</f>
        <v>450</v>
      </c>
      <c r="K86" s="3"/>
      <c r="L86" s="3" t="str">
        <f ca="1">IFERROR(__xludf.DUMMYFUNCTION("""COMPUTED_VALUE"""),"Cost per period")</f>
        <v>Cost per period</v>
      </c>
      <c r="M86" s="3"/>
      <c r="N86" s="3"/>
      <c r="O86" s="3" t="str">
        <f ca="1">IFERROR(__xludf.DUMMYFUNCTION("""COMPUTED_VALUE"""),"1280")</f>
        <v>1280</v>
      </c>
      <c r="P86" s="3" t="str">
        <f ca="1">IFERROR(__xludf.DUMMYFUNCTION("""COMPUTED_VALUE"""),"720")</f>
        <v>720</v>
      </c>
      <c r="Q86" s="3" t="str">
        <f ca="1">IFERROR(__xludf.DUMMYFUNCTION("""COMPUTED_VALUE"""),"16:9")</f>
        <v>16:9</v>
      </c>
      <c r="R86" s="3"/>
      <c r="S86" s="3" t="str">
        <f ca="1">IFERROR(__xludf.DUMMYFUNCTION("""COMPUTED_VALUE"""),"100")</f>
        <v>100</v>
      </c>
      <c r="T86" s="3"/>
      <c r="U86" s="3" t="str">
        <f ca="1">IFERROR(__xludf.DUMMYFUNCTION("""COMPUTED_VALUE"""),"videospot")</f>
        <v>videospot</v>
      </c>
      <c r="V86" s="3"/>
      <c r="W86" s="4" t="str">
        <f ca="1">IFERROR(__xludf.DUMMYFUNCTION("""COMPUTED_VALUE"""),"https://reklama.cncenter.cz/Online/Outstream")</f>
        <v>https://reklama.cncenter.cz/Online/Outstream</v>
      </c>
      <c r="X86" s="3"/>
      <c r="Y86" s="3"/>
      <c r="Z86" s="3" t="str">
        <f ca="1">IFERROR(__xludf.DUMMYFUNCTION("""COMPUTED_VALUE"""),"podklady@cncenter.cz")</f>
        <v>podklady@cncenter.cz</v>
      </c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 t="str">
        <f ca="1">IFERROR(__xludf.DUMMYFUNCTION("""COMPUTED_VALUE"""),"cross-device")</f>
        <v>cross-device</v>
      </c>
      <c r="AO86" s="3"/>
      <c r="AP86" s="3"/>
      <c r="AQ86" s="3"/>
      <c r="AR86" s="3"/>
      <c r="AS86" s="3"/>
      <c r="AT86" s="3"/>
      <c r="AU86" s="3" t="str">
        <f ca="1">IFERROR(__xludf.DUMMYFUNCTION("""COMPUTED_VALUE"""),"outstream")</f>
        <v>outstream</v>
      </c>
    </row>
    <row r="87" spans="1:47" x14ac:dyDescent="0.3">
      <c r="A87" s="3">
        <f ca="1"/>
        <v>2346826</v>
      </c>
      <c r="B87" s="3" t="str">
        <f ca="1"/>
        <v>CZECH NEWS CENTER a. s.</v>
      </c>
      <c r="C87" s="3" t="str">
        <f ca="1">IFERROR(__xludf.DUMMYFUNCTION("""COMPUTED_VALUE"""),"Ahaonline")</f>
        <v>Ahaonline</v>
      </c>
      <c r="D87" s="4" t="str">
        <f ca="1">IFERROR(__xludf.DUMMYFUNCTION("""COMPUTED_VALUE"""),"https://ahaonline.cz")</f>
        <v>https://ahaonline.cz</v>
      </c>
      <c r="E87" s="3" t="str">
        <f ca="1">IFERROR(__xludf.DUMMYFUNCTION("""COMPUTED_VALUE"""),"celý web")</f>
        <v>celý web</v>
      </c>
      <c r="F87" s="4" t="str">
        <f ca="1">IFERROR(__xludf.DUMMYFUNCTION("""COMPUTED_VALUE"""),"https://ahaonline.cz")</f>
        <v>https://ahaonline.cz</v>
      </c>
      <c r="G87" s="3" t="str">
        <f ca="1">IFERROR(__xludf.DUMMYFUNCTION("""COMPUTED_VALUE"""),"PR článek high season")</f>
        <v>PR článek high season</v>
      </c>
      <c r="H87" s="3">
        <f ca="1">IFERROR(__xludf.DUMMYFUNCTION("""COMPUTED_VALUE"""),1)</f>
        <v>1</v>
      </c>
      <c r="I87" s="5">
        <f ca="1">IFERROR(__xludf.DUMMYFUNCTION("""COMPUTED_VALUE"""),1)</f>
        <v>1</v>
      </c>
      <c r="J87" s="5">
        <f ca="1">IFERROR(__xludf.DUMMYFUNCTION("""COMPUTED_VALUE"""),30000)</f>
        <v>30000</v>
      </c>
      <c r="K87" s="3"/>
      <c r="L87" s="3" t="str">
        <f ca="1">IFERROR(__xludf.DUMMYFUNCTION("""COMPUTED_VALUE"""),"Cost per instance")</f>
        <v>Cost per instance</v>
      </c>
      <c r="M87" s="3"/>
      <c r="N87" s="3"/>
      <c r="O87" s="3"/>
      <c r="P87" s="3"/>
      <c r="Q87" s="3"/>
      <c r="R87" s="3"/>
      <c r="S87" s="3" t="str">
        <f ca="1">IFERROR(__xludf.DUMMYFUNCTION("""COMPUTED_VALUE"""),"100")</f>
        <v>100</v>
      </c>
      <c r="T87" s="3"/>
      <c r="U87" s="3" t="str">
        <f ca="1">IFERROR(__xludf.DUMMYFUNCTION("""COMPUTED_VALUE"""),"pr článek")</f>
        <v>pr článek</v>
      </c>
      <c r="V87" s="3"/>
      <c r="W87" s="4" t="str">
        <f ca="1">IFERROR(__xludf.DUMMYFUNCTION("""COMPUTED_VALUE"""),"https://reklama.cncenter.cz/?ads=PR%2520%25C4%258Dl%25C3%25A1nky")</f>
        <v>https://reklama.cncenter.cz/?ads=PR%2520%25C4%258Dl%25C3%25A1nky</v>
      </c>
      <c r="X87" s="3"/>
      <c r="Y87" s="3"/>
      <c r="Z87" s="3" t="str">
        <f ca="1">IFERROR(__xludf.DUMMYFUNCTION("""COMPUTED_VALUE"""),"podklady@cncenter.cz")</f>
        <v>podklady@cncenter.cz</v>
      </c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 t="str">
        <f ca="1">IFERROR(__xludf.DUMMYFUNCTION("""COMPUTED_VALUE"""),"cross-device")</f>
        <v>cross-device</v>
      </c>
      <c r="AO87" s="3"/>
      <c r="AP87" s="3"/>
      <c r="AQ87" s="3"/>
      <c r="AR87" s="3"/>
      <c r="AS87" s="3"/>
      <c r="AT87" s="3"/>
      <c r="AU87" s="3" t="str">
        <f ca="1">IFERROR(__xludf.DUMMYFUNCTION("""COMPUTED_VALUE"""),"PR článek")</f>
        <v>PR článek</v>
      </c>
    </row>
    <row r="88" spans="1:47" x14ac:dyDescent="0.3">
      <c r="A88" s="3">
        <f ca="1"/>
        <v>2346826</v>
      </c>
      <c r="B88" s="3" t="str">
        <f ca="1"/>
        <v>CZECH NEWS CENTER a. s.</v>
      </c>
      <c r="C88" s="3" t="str">
        <f ca="1">IFERROR(__xludf.DUMMYFUNCTION("""COMPUTED_VALUE"""),"Ahaonline")</f>
        <v>Ahaonline</v>
      </c>
      <c r="D88" s="4" t="str">
        <f ca="1">IFERROR(__xludf.DUMMYFUNCTION("""COMPUTED_VALUE"""),"https://ahaonline.cz")</f>
        <v>https://ahaonline.cz</v>
      </c>
      <c r="E88" s="3" t="str">
        <f ca="1">IFERROR(__xludf.DUMMYFUNCTION("""COMPUTED_VALUE"""),"celý web")</f>
        <v>celý web</v>
      </c>
      <c r="F88" s="4" t="str">
        <f ca="1">IFERROR(__xludf.DUMMYFUNCTION("""COMPUTED_VALUE"""),"https://ahaonline.cz")</f>
        <v>https://ahaonline.cz</v>
      </c>
      <c r="G88" s="3" t="str">
        <f ca="1">IFERROR(__xludf.DUMMYFUNCTION("""COMPUTED_VALUE"""),"Prodloužení existující microsite, bez úprav high season")</f>
        <v>Prodloužení existující microsite, bez úprav high season</v>
      </c>
      <c r="H88" s="3">
        <f ca="1">IFERROR(__xludf.DUMMYFUNCTION("""COMPUTED_VALUE"""),1)</f>
        <v>1</v>
      </c>
      <c r="I88" s="5">
        <f ca="1">IFERROR(__xludf.DUMMYFUNCTION("""COMPUTED_VALUE"""),1)</f>
        <v>1</v>
      </c>
      <c r="J88" s="5">
        <f ca="1">IFERROR(__xludf.DUMMYFUNCTION("""COMPUTED_VALUE"""),15000)</f>
        <v>15000</v>
      </c>
      <c r="K88" s="3"/>
      <c r="L88" s="3" t="str">
        <f ca="1">IFERROR(__xludf.DUMMYFUNCTION("""COMPUTED_VALUE"""),"Cost per instance")</f>
        <v>Cost per instance</v>
      </c>
      <c r="M88" s="3"/>
      <c r="N88" s="3"/>
      <c r="O88" s="3"/>
      <c r="P88" s="3"/>
      <c r="Q88" s="3"/>
      <c r="R88" s="3"/>
      <c r="S88" s="3" t="str">
        <f ca="1">IFERROR(__xludf.DUMMYFUNCTION("""COMPUTED_VALUE"""),"100")</f>
        <v>100</v>
      </c>
      <c r="T88" s="3"/>
      <c r="U88" s="3" t="str">
        <f ca="1">IFERROR(__xludf.DUMMYFUNCTION("""COMPUTED_VALUE"""),"microsite")</f>
        <v>microsite</v>
      </c>
      <c r="V88" s="3"/>
      <c r="W88" s="3"/>
      <c r="X88" s="3"/>
      <c r="Y88" s="3"/>
      <c r="Z88" s="3" t="str">
        <f ca="1">IFERROR(__xludf.DUMMYFUNCTION("""COMPUTED_VALUE"""),"podklady@cncenter.cz")</f>
        <v>podklady@cncenter.cz</v>
      </c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 t="str">
        <f ca="1">IFERROR(__xludf.DUMMYFUNCTION("""COMPUTED_VALUE"""),"cross-device")</f>
        <v>cross-device</v>
      </c>
      <c r="AO88" s="3"/>
      <c r="AP88" s="3"/>
      <c r="AQ88" s="3"/>
      <c r="AR88" s="3"/>
      <c r="AS88" s="3"/>
      <c r="AT88" s="3"/>
      <c r="AU88" s="3" t="str">
        <f ca="1">IFERROR(__xludf.DUMMYFUNCTION("""COMPUTED_VALUE"""),"Prodloužení existující microsite, bez úprav")</f>
        <v>Prodloužení existující microsite, bez úprav</v>
      </c>
    </row>
    <row r="89" spans="1:47" x14ac:dyDescent="0.3">
      <c r="A89" s="3">
        <f ca="1"/>
        <v>2346826</v>
      </c>
      <c r="B89" s="3" t="str">
        <f ca="1"/>
        <v>CZECH NEWS CENTER a. s.</v>
      </c>
      <c r="C89" s="3" t="str">
        <f ca="1">IFERROR(__xludf.DUMMYFUNCTION("""COMPUTED_VALUE"""),"Ahaonline")</f>
        <v>Ahaonline</v>
      </c>
      <c r="D89" s="4" t="str">
        <f ca="1">IFERROR(__xludf.DUMMYFUNCTION("""COMPUTED_VALUE"""),"https://ahaonline.cz")</f>
        <v>https://ahaonline.cz</v>
      </c>
      <c r="E89" s="3" t="str">
        <f ca="1">IFERROR(__xludf.DUMMYFUNCTION("""COMPUTED_VALUE"""),"celý web")</f>
        <v>celý web</v>
      </c>
      <c r="F89" s="4" t="str">
        <f ca="1">IFERROR(__xludf.DUMMYFUNCTION("""COMPUTED_VALUE"""),"https://ahaonline.cz")</f>
        <v>https://ahaonline.cz</v>
      </c>
      <c r="G89" s="3" t="str">
        <f ca="1">IFERROR(__xludf.DUMMYFUNCTION("""COMPUTED_VALUE"""),"Prodloužení existující microsite, bez úprav high season")</f>
        <v>Prodloužení existující microsite, bez úprav high season</v>
      </c>
      <c r="H89" s="3">
        <f ca="1">IFERROR(__xludf.DUMMYFUNCTION("""COMPUTED_VALUE"""),1)</f>
        <v>1</v>
      </c>
      <c r="I89" s="5">
        <f ca="1">IFERROR(__xludf.DUMMYFUNCTION("""COMPUTED_VALUE"""),1)</f>
        <v>1</v>
      </c>
      <c r="J89" s="5">
        <f ca="1">IFERROR(__xludf.DUMMYFUNCTION("""COMPUTED_VALUE"""),15000)</f>
        <v>15000</v>
      </c>
      <c r="K89" s="3"/>
      <c r="L89" s="3" t="str">
        <f ca="1">IFERROR(__xludf.DUMMYFUNCTION("""COMPUTED_VALUE"""),"Cost per instance")</f>
        <v>Cost per instance</v>
      </c>
      <c r="M89" s="3"/>
      <c r="N89" s="3"/>
      <c r="O89" s="3"/>
      <c r="P89" s="3"/>
      <c r="Q89" s="3"/>
      <c r="R89" s="3"/>
      <c r="S89" s="3" t="str">
        <f ca="1">IFERROR(__xludf.DUMMYFUNCTION("""COMPUTED_VALUE"""),"100")</f>
        <v>100</v>
      </c>
      <c r="T89" s="3"/>
      <c r="U89" s="3" t="str">
        <f ca="1">IFERROR(__xludf.DUMMYFUNCTION("""COMPUTED_VALUE"""),"microsite")</f>
        <v>microsite</v>
      </c>
      <c r="V89" s="3"/>
      <c r="W89" s="3"/>
      <c r="X89" s="3"/>
      <c r="Y89" s="3"/>
      <c r="Z89" s="3" t="str">
        <f ca="1">IFERROR(__xludf.DUMMYFUNCTION("""COMPUTED_VALUE"""),"podklady@cncenter.cz")</f>
        <v>podklady@cncenter.cz</v>
      </c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 t="str">
        <f ca="1">IFERROR(__xludf.DUMMYFUNCTION("""COMPUTED_VALUE"""),"cross-device")</f>
        <v>cross-device</v>
      </c>
      <c r="AO89" s="3"/>
      <c r="AP89" s="3"/>
      <c r="AQ89" s="3"/>
      <c r="AR89" s="3"/>
      <c r="AS89" s="3"/>
      <c r="AT89" s="3"/>
      <c r="AU89" s="3" t="str">
        <f ca="1">IFERROR(__xludf.DUMMYFUNCTION("""COMPUTED_VALUE"""),"Prodloužení existující microsite, bez úprav")</f>
        <v>Prodloužení existující microsite, bez úprav</v>
      </c>
    </row>
    <row r="90" spans="1:47" x14ac:dyDescent="0.3">
      <c r="A90" s="3">
        <f ca="1"/>
        <v>2346826</v>
      </c>
      <c r="B90" s="3" t="str">
        <f ca="1"/>
        <v>CZECH NEWS CENTER a. s.</v>
      </c>
      <c r="C90" s="3" t="str">
        <f ca="1">IFERROR(__xludf.DUMMYFUNCTION("""COMPUTED_VALUE"""),"Ahaonline")</f>
        <v>Ahaonline</v>
      </c>
      <c r="D90" s="4" t="str">
        <f ca="1">IFERROR(__xludf.DUMMYFUNCTION("""COMPUTED_VALUE"""),"https://ahaonline.cz")</f>
        <v>https://ahaonline.cz</v>
      </c>
      <c r="E90" s="3" t="str">
        <f ca="1">IFERROR(__xludf.DUMMYFUNCTION("""COMPUTED_VALUE"""),"celý web")</f>
        <v>celý web</v>
      </c>
      <c r="F90" s="4" t="str">
        <f ca="1">IFERROR(__xludf.DUMMYFUNCTION("""COMPUTED_VALUE"""),"https://ahaonline.cz")</f>
        <v>https://ahaonline.cz</v>
      </c>
      <c r="G90" s="3" t="str">
        <f ca="1">IFERROR(__xludf.DUMMYFUNCTION("""COMPUTED_VALUE"""),"Prodloužení existující microsite, bez úprav high season")</f>
        <v>Prodloužení existující microsite, bez úprav high season</v>
      </c>
      <c r="H90" s="3">
        <f ca="1">IFERROR(__xludf.DUMMYFUNCTION("""COMPUTED_VALUE"""),1)</f>
        <v>1</v>
      </c>
      <c r="I90" s="5">
        <f ca="1">IFERROR(__xludf.DUMMYFUNCTION("""COMPUTED_VALUE"""),1)</f>
        <v>1</v>
      </c>
      <c r="J90" s="5">
        <f ca="1">IFERROR(__xludf.DUMMYFUNCTION("""COMPUTED_VALUE"""),15000)</f>
        <v>15000</v>
      </c>
      <c r="K90" s="3"/>
      <c r="L90" s="3" t="str">
        <f ca="1">IFERROR(__xludf.DUMMYFUNCTION("""COMPUTED_VALUE"""),"Cost per instance")</f>
        <v>Cost per instance</v>
      </c>
      <c r="M90" s="3"/>
      <c r="N90" s="3"/>
      <c r="O90" s="3"/>
      <c r="P90" s="3"/>
      <c r="Q90" s="3"/>
      <c r="R90" s="3"/>
      <c r="S90" s="3" t="str">
        <f ca="1">IFERROR(__xludf.DUMMYFUNCTION("""COMPUTED_VALUE"""),"100")</f>
        <v>100</v>
      </c>
      <c r="T90" s="3"/>
      <c r="U90" s="3" t="str">
        <f ca="1">IFERROR(__xludf.DUMMYFUNCTION("""COMPUTED_VALUE"""),"microsite")</f>
        <v>microsite</v>
      </c>
      <c r="V90" s="3"/>
      <c r="W90" s="3"/>
      <c r="X90" s="3"/>
      <c r="Y90" s="3"/>
      <c r="Z90" s="3" t="str">
        <f ca="1">IFERROR(__xludf.DUMMYFUNCTION("""COMPUTED_VALUE"""),"podklady@cncenter.cz")</f>
        <v>podklady@cncenter.cz</v>
      </c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 t="str">
        <f ca="1">IFERROR(__xludf.DUMMYFUNCTION("""COMPUTED_VALUE"""),"cross-device")</f>
        <v>cross-device</v>
      </c>
      <c r="AO90" s="3"/>
      <c r="AP90" s="3"/>
      <c r="AQ90" s="3"/>
      <c r="AR90" s="3"/>
      <c r="AS90" s="3"/>
      <c r="AT90" s="3"/>
      <c r="AU90" s="3" t="str">
        <f ca="1">IFERROR(__xludf.DUMMYFUNCTION("""COMPUTED_VALUE"""),"Prodloužení existující microsite, bez úprav")</f>
        <v>Prodloužení existující microsite, bez úprav</v>
      </c>
    </row>
    <row r="91" spans="1:47" x14ac:dyDescent="0.3">
      <c r="A91" s="3">
        <f ca="1"/>
        <v>2346826</v>
      </c>
      <c r="B91" s="3" t="str">
        <f ca="1"/>
        <v>CZECH NEWS CENTER a. s.</v>
      </c>
      <c r="C91" s="3" t="str">
        <f ca="1">IFERROR(__xludf.DUMMYFUNCTION("""COMPUTED_VALUE"""),"Ahaonline")</f>
        <v>Ahaonline</v>
      </c>
      <c r="D91" s="4" t="str">
        <f ca="1">IFERROR(__xludf.DUMMYFUNCTION("""COMPUTED_VALUE"""),"https://ahaonline.cz")</f>
        <v>https://ahaonline.cz</v>
      </c>
      <c r="E91" s="3" t="str">
        <f ca="1">IFERROR(__xludf.DUMMYFUNCTION("""COMPUTED_VALUE"""),"celý web")</f>
        <v>celý web</v>
      </c>
      <c r="F91" s="4" t="str">
        <f ca="1">IFERROR(__xludf.DUMMYFUNCTION("""COMPUTED_VALUE"""),"https://ahaonline.cz")</f>
        <v>https://ahaonline.cz</v>
      </c>
      <c r="G91" s="3" t="str">
        <f ca="1">IFERROR(__xludf.DUMMYFUNCTION("""COMPUTED_VALUE"""),"videospot - max. 30 sec. / bumper high season")</f>
        <v>videospot - max. 30 sec. / bumper high season</v>
      </c>
      <c r="H91" s="3">
        <f ca="1">IFERROR(__xludf.DUMMYFUNCTION("""COMPUTED_VALUE"""),7)</f>
        <v>7</v>
      </c>
      <c r="I91" s="5">
        <f ca="1">IFERROR(__xludf.DUMMYFUNCTION("""COMPUTED_VALUE"""),1000)</f>
        <v>1000</v>
      </c>
      <c r="J91" s="5">
        <f ca="1">IFERROR(__xludf.DUMMYFUNCTION("""COMPUTED_VALUE"""),1340)</f>
        <v>1340</v>
      </c>
      <c r="K91" s="3"/>
      <c r="L91" s="3" t="str">
        <f ca="1">IFERROR(__xludf.DUMMYFUNCTION("""COMPUTED_VALUE"""),"Cost per period")</f>
        <v>Cost per period</v>
      </c>
      <c r="M91" s="3"/>
      <c r="N91" s="3"/>
      <c r="O91" s="3" t="str">
        <f ca="1">IFERROR(__xludf.DUMMYFUNCTION("""COMPUTED_VALUE"""),"1280")</f>
        <v>1280</v>
      </c>
      <c r="P91" s="3" t="str">
        <f ca="1">IFERROR(__xludf.DUMMYFUNCTION("""COMPUTED_VALUE"""),"720")</f>
        <v>720</v>
      </c>
      <c r="Q91" s="3" t="str">
        <f ca="1">IFERROR(__xludf.DUMMYFUNCTION("""COMPUTED_VALUE"""),"16:9 / umístění po domluvě dle možností")</f>
        <v>16:9 / umístění po domluvě dle možností</v>
      </c>
      <c r="R91" s="3" t="str">
        <f ca="1">IFERROR(__xludf.DUMMYFUNCTION("""COMPUTED_VALUE"""),"přeskočení po 7 sekundách")</f>
        <v>přeskočení po 7 sekundách</v>
      </c>
      <c r="S91" s="3" t="str">
        <f ca="1">IFERROR(__xludf.DUMMYFUNCTION("""COMPUTED_VALUE"""),"100")</f>
        <v>100</v>
      </c>
      <c r="T91" s="3"/>
      <c r="U91" s="3" t="str">
        <f ca="1">IFERROR(__xludf.DUMMYFUNCTION("""COMPUTED_VALUE"""),"videospot")</f>
        <v>videospot</v>
      </c>
      <c r="V91" s="3"/>
      <c r="W91" s="4" t="str">
        <f ca="1">IFERROR(__xludf.DUMMYFUNCTION("""COMPUTED_VALUE"""),"https://reklama.cncenter.cz/Online/Bumper")</f>
        <v>https://reklama.cncenter.cz/Online/Bumper</v>
      </c>
      <c r="X91" s="3"/>
      <c r="Y91" s="3"/>
      <c r="Z91" s="3" t="str">
        <f ca="1">IFERROR(__xludf.DUMMYFUNCTION("""COMPUTED_VALUE"""),"podklady@cncenter.cz")</f>
        <v>podklady@cncenter.cz</v>
      </c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 t="str">
        <f ca="1">IFERROR(__xludf.DUMMYFUNCTION("""COMPUTED_VALUE"""),"cross-device")</f>
        <v>cross-device</v>
      </c>
      <c r="AO91" s="3"/>
      <c r="AP91" s="3"/>
      <c r="AQ91" s="3"/>
      <c r="AR91" s="3"/>
      <c r="AS91" s="3"/>
      <c r="AT91" s="3"/>
      <c r="AU91" s="3" t="str">
        <f ca="1">IFERROR(__xludf.DUMMYFUNCTION("""COMPUTED_VALUE"""),"videospot - max. 30 sec. / bumper")</f>
        <v>videospot - max. 30 sec. / bumper</v>
      </c>
    </row>
    <row r="92" spans="1:47" x14ac:dyDescent="0.3">
      <c r="A92" s="3">
        <f ca="1"/>
        <v>2346826</v>
      </c>
      <c r="B92" s="3" t="str">
        <f ca="1"/>
        <v>CZECH NEWS CENTER a. s.</v>
      </c>
      <c r="C92" s="3" t="str">
        <f ca="1">IFERROR(__xludf.DUMMYFUNCTION("""COMPUTED_VALUE"""),"Auto")</f>
        <v>Auto</v>
      </c>
      <c r="D92" s="4" t="str">
        <f ca="1">IFERROR(__xludf.DUMMYFUNCTION("""COMPUTED_VALUE"""),"https://auto.cz")</f>
        <v>https://auto.cz</v>
      </c>
      <c r="E92" s="3" t="str">
        <f ca="1">IFERROR(__xludf.DUMMYFUNCTION("""COMPUTED_VALUE"""),"celý web")</f>
        <v>celý web</v>
      </c>
      <c r="F92" s="4" t="str">
        <f ca="1">IFERROR(__xludf.DUMMYFUNCTION("""COMPUTED_VALUE"""),"https://auto.cz")</f>
        <v>https://auto.cz</v>
      </c>
      <c r="G92" s="3" t="str">
        <f ca="1">IFERROR(__xludf.DUMMYFUNCTION("""COMPUTED_VALUE"""),"Advertorial high season")</f>
        <v>Advertorial high season</v>
      </c>
      <c r="H92" s="3">
        <f ca="1">IFERROR(__xludf.DUMMYFUNCTION("""COMPUTED_VALUE"""),1)</f>
        <v>1</v>
      </c>
      <c r="I92" s="5">
        <f ca="1">IFERROR(__xludf.DUMMYFUNCTION("""COMPUTED_VALUE"""),1)</f>
        <v>1</v>
      </c>
      <c r="J92" s="5">
        <f ca="1">IFERROR(__xludf.DUMMYFUNCTION("""COMPUTED_VALUE"""),90000)</f>
        <v>90000</v>
      </c>
      <c r="K92" s="3"/>
      <c r="L92" s="3" t="str">
        <f ca="1">IFERROR(__xludf.DUMMYFUNCTION("""COMPUTED_VALUE"""),"Cost per instance")</f>
        <v>Cost per instance</v>
      </c>
      <c r="M92" s="3"/>
      <c r="N92" s="3"/>
      <c r="O92" s="3"/>
      <c r="P92" s="3"/>
      <c r="Q92" s="3"/>
      <c r="R92" s="3"/>
      <c r="S92" s="3" t="str">
        <f ca="1">IFERROR(__xludf.DUMMYFUNCTION("""COMPUTED_VALUE"""),"100")</f>
        <v>100</v>
      </c>
      <c r="T92" s="3"/>
      <c r="U92" s="3" t="str">
        <f ca="1">IFERROR(__xludf.DUMMYFUNCTION("""COMPUTED_VALUE"""),"pr článek")</f>
        <v>pr článek</v>
      </c>
      <c r="V92" s="3"/>
      <c r="W92" s="3"/>
      <c r="X92" s="3"/>
      <c r="Y92" s="3"/>
      <c r="Z92" s="3" t="str">
        <f ca="1">IFERROR(__xludf.DUMMYFUNCTION("""COMPUTED_VALUE"""),"podklady@cncenter.cz")</f>
        <v>podklady@cncenter.cz</v>
      </c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 t="str">
        <f ca="1">IFERROR(__xludf.DUMMYFUNCTION("""COMPUTED_VALUE"""),"cross-device")</f>
        <v>cross-device</v>
      </c>
      <c r="AO92" s="3"/>
      <c r="AP92" s="3"/>
      <c r="AQ92" s="3"/>
      <c r="AR92" s="3"/>
      <c r="AS92" s="3"/>
      <c r="AT92" s="3"/>
      <c r="AU92" s="3" t="str">
        <f ca="1">IFERROR(__xludf.DUMMYFUNCTION("""COMPUTED_VALUE"""),"Advertorial")</f>
        <v>Advertorial</v>
      </c>
    </row>
    <row r="93" spans="1:47" x14ac:dyDescent="0.3">
      <c r="A93" s="3">
        <f ca="1"/>
        <v>2346826</v>
      </c>
      <c r="B93" s="3" t="str">
        <f ca="1"/>
        <v>CZECH NEWS CENTER a. s.</v>
      </c>
      <c r="C93" s="3" t="str">
        <f ca="1">IFERROR(__xludf.DUMMYFUNCTION("""COMPUTED_VALUE"""),"Auto")</f>
        <v>Auto</v>
      </c>
      <c r="D93" s="4" t="str">
        <f ca="1">IFERROR(__xludf.DUMMYFUNCTION("""COMPUTED_VALUE"""),"https://auto.cz")</f>
        <v>https://auto.cz</v>
      </c>
      <c r="E93" s="3" t="str">
        <f ca="1">IFERROR(__xludf.DUMMYFUNCTION("""COMPUTED_VALUE"""),"celý web")</f>
        <v>celý web</v>
      </c>
      <c r="F93" s="4" t="str">
        <f ca="1">IFERROR(__xludf.DUMMYFUNCTION("""COMPUTED_VALUE"""),"https://auto.cz")</f>
        <v>https://auto.cz</v>
      </c>
      <c r="G93" s="3" t="str">
        <f ca="1">IFERROR(__xludf.DUMMYFUNCTION("""COMPUTED_VALUE"""),"billboard bottom high season")</f>
        <v>billboard bottom high season</v>
      </c>
      <c r="H93" s="3">
        <f ca="1">IFERROR(__xludf.DUMMYFUNCTION("""COMPUTED_VALUE"""),7)</f>
        <v>7</v>
      </c>
      <c r="I93" s="5">
        <f ca="1">IFERROR(__xludf.DUMMYFUNCTION("""COMPUTED_VALUE"""),1000)</f>
        <v>1000</v>
      </c>
      <c r="J93" s="5">
        <f ca="1">IFERROR(__xludf.DUMMYFUNCTION("""COMPUTED_VALUE"""),440)</f>
        <v>440</v>
      </c>
      <c r="K93" s="3"/>
      <c r="L93" s="3" t="str">
        <f ca="1">IFERROR(__xludf.DUMMYFUNCTION("""COMPUTED_VALUE"""),"Cost per period")</f>
        <v>Cost per period</v>
      </c>
      <c r="M93" s="3"/>
      <c r="N93" s="3"/>
      <c r="O93" s="3" t="str">
        <f ca="1">IFERROR(__xludf.DUMMYFUNCTION("""COMPUTED_VALUE"""),"970")</f>
        <v>970</v>
      </c>
      <c r="P93" s="3" t="str">
        <f ca="1">IFERROR(__xludf.DUMMYFUNCTION("""COMPUTED_VALUE"""),"250")</f>
        <v>250</v>
      </c>
      <c r="Q93" s="3" t="str">
        <f ca="1">IFERROR(__xludf.DUMMYFUNCTION("""COMPUTED_VALUE"""),"970x250")</f>
        <v>970x250</v>
      </c>
      <c r="R93" s="3"/>
      <c r="S93" s="3" t="str">
        <f ca="1">IFERROR(__xludf.DUMMYFUNCTION("""COMPUTED_VALUE"""),"100 (200 - HTML5)")</f>
        <v>100 (200 - HTML5)</v>
      </c>
      <c r="T93" s="3"/>
      <c r="U93" s="3" t="str">
        <f ca="1">IFERROR(__xludf.DUMMYFUNCTION("""COMPUTED_VALUE"""),"banner standard")</f>
        <v>banner standard</v>
      </c>
      <c r="V93" s="3"/>
      <c r="W93" s="4" t="str">
        <f ca="1">IFERROR(__xludf.DUMMYFUNCTION("""COMPUTED_VALUE"""),"https://reklama.cncenter.cz/Online/billboard-bottom")</f>
        <v>https://reklama.cncenter.cz/Online/billboard-bottom</v>
      </c>
      <c r="X93" s="3"/>
      <c r="Y93" s="3"/>
      <c r="Z93" s="3" t="str">
        <f ca="1">IFERROR(__xludf.DUMMYFUNCTION("""COMPUTED_VALUE"""),"podklady@cncenter.cz")</f>
        <v>podklady@cncenter.cz</v>
      </c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 t="str">
        <f ca="1">IFERROR(__xludf.DUMMYFUNCTION("""COMPUTED_VALUE"""),"desktop")</f>
        <v>desktop</v>
      </c>
      <c r="AO93" s="3"/>
      <c r="AP93" s="3"/>
      <c r="AQ93" s="3"/>
      <c r="AR93" s="3"/>
      <c r="AS93" s="3"/>
      <c r="AT93" s="3"/>
      <c r="AU93" s="3" t="str">
        <f ca="1">IFERROR(__xludf.DUMMYFUNCTION("""COMPUTED_VALUE"""),"billboard bottom")</f>
        <v>billboard bottom</v>
      </c>
    </row>
    <row r="94" spans="1:47" x14ac:dyDescent="0.3">
      <c r="A94" s="3">
        <f ca="1"/>
        <v>2346826</v>
      </c>
      <c r="B94" s="3" t="str">
        <f ca="1"/>
        <v>CZECH NEWS CENTER a. s.</v>
      </c>
      <c r="C94" s="3" t="str">
        <f ca="1">IFERROR(__xludf.DUMMYFUNCTION("""COMPUTED_VALUE"""),"Auto")</f>
        <v>Auto</v>
      </c>
      <c r="D94" s="4" t="str">
        <f ca="1">IFERROR(__xludf.DUMMYFUNCTION("""COMPUTED_VALUE"""),"https://auto.cz")</f>
        <v>https://auto.cz</v>
      </c>
      <c r="E94" s="3" t="str">
        <f ca="1">IFERROR(__xludf.DUMMYFUNCTION("""COMPUTED_VALUE"""),"celý web")</f>
        <v>celý web</v>
      </c>
      <c r="F94" s="4" t="str">
        <f ca="1">IFERROR(__xludf.DUMMYFUNCTION("""COMPUTED_VALUE"""),"https://auto.cz")</f>
        <v>https://auto.cz</v>
      </c>
      <c r="G94" s="3" t="str">
        <f ca="1">IFERROR(__xludf.DUMMYFUNCTION("""COMPUTED_VALUE"""),"branding cross-device high season")</f>
        <v>branding cross-device high season</v>
      </c>
      <c r="H94" s="3">
        <f ca="1">IFERROR(__xludf.DUMMYFUNCTION("""COMPUTED_VALUE"""),7)</f>
        <v>7</v>
      </c>
      <c r="I94" s="5">
        <f ca="1">IFERROR(__xludf.DUMMYFUNCTION("""COMPUTED_VALUE"""),1000)</f>
        <v>1000</v>
      </c>
      <c r="J94" s="5">
        <f ca="1">IFERROR(__xludf.DUMMYFUNCTION("""COMPUTED_VALUE"""),540)</f>
        <v>540</v>
      </c>
      <c r="K94" s="3"/>
      <c r="L94" s="3" t="str">
        <f ca="1">IFERROR(__xludf.DUMMYFUNCTION("""COMPUTED_VALUE"""),"Cost per period")</f>
        <v>Cost per period</v>
      </c>
      <c r="M94" s="3"/>
      <c r="N94" s="3"/>
      <c r="O94" s="3" t="str">
        <f ca="1">IFERROR(__xludf.DUMMYFUNCTION("""COMPUTED_VALUE"""),"2000")</f>
        <v>2000</v>
      </c>
      <c r="P94" s="3" t="str">
        <f ca="1">IFERROR(__xludf.DUMMYFUNCTION("""COMPUTED_VALUE"""),"1400")</f>
        <v>1400</v>
      </c>
      <c r="Q94" s="3" t="str">
        <f ca="1">IFERROR(__xludf.DUMMYFUNCTION("""COMPUTED_VALUE"""),"2000x1400 + 600x1080")</f>
        <v>2000x1400 + 600x1080</v>
      </c>
      <c r="R94" s="3"/>
      <c r="S94" s="3" t="str">
        <f ca="1">IFERROR(__xludf.DUMMYFUNCTION("""COMPUTED_VALUE"""),"500 (600 - HTLM5)")</f>
        <v>500 (600 - HTLM5)</v>
      </c>
      <c r="T94" s="3"/>
      <c r="U94" s="3" t="str">
        <f ca="1">IFERROR(__xludf.DUMMYFUNCTION("""COMPUTED_VALUE"""),"banner standard")</f>
        <v>banner standard</v>
      </c>
      <c r="V94" s="3"/>
      <c r="W94" s="4" t="str">
        <f ca="1">IFERROR(__xludf.DUMMYFUNCTION("""COMPUTED_VALUE"""),"https://reklama.cncenter.cz/Online/branding-cross-device")</f>
        <v>https://reklama.cncenter.cz/Online/branding-cross-device</v>
      </c>
      <c r="X94" s="3"/>
      <c r="Y94" s="3"/>
      <c r="Z94" s="3" t="str">
        <f ca="1">IFERROR(__xludf.DUMMYFUNCTION("""COMPUTED_VALUE"""),"podklady@cncenter.cz")</f>
        <v>podklady@cncenter.cz</v>
      </c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 t="str">
        <f ca="1">IFERROR(__xludf.DUMMYFUNCTION("""COMPUTED_VALUE"""),"cross-device")</f>
        <v>cross-device</v>
      </c>
      <c r="AO94" s="3"/>
      <c r="AP94" s="3"/>
      <c r="AQ94" s="3"/>
      <c r="AR94" s="3"/>
      <c r="AS94" s="3"/>
      <c r="AT94" s="3"/>
      <c r="AU94" s="3" t="str">
        <f ca="1">IFERROR(__xludf.DUMMYFUNCTION("""COMPUTED_VALUE"""),"branding cross-device")</f>
        <v>branding cross-device</v>
      </c>
    </row>
    <row r="95" spans="1:47" x14ac:dyDescent="0.3">
      <c r="A95" s="3">
        <f ca="1"/>
        <v>2346826</v>
      </c>
      <c r="B95" s="3" t="str">
        <f ca="1"/>
        <v>CZECH NEWS CENTER a. s.</v>
      </c>
      <c r="C95" s="3" t="str">
        <f ca="1">IFERROR(__xludf.DUMMYFUNCTION("""COMPUTED_VALUE"""),"Auto")</f>
        <v>Auto</v>
      </c>
      <c r="D95" s="4" t="str">
        <f ca="1">IFERROR(__xludf.DUMMYFUNCTION("""COMPUTED_VALUE"""),"https://auto.cz")</f>
        <v>https://auto.cz</v>
      </c>
      <c r="E95" s="3" t="str">
        <f ca="1">IFERROR(__xludf.DUMMYFUNCTION("""COMPUTED_VALUE"""),"celý web")</f>
        <v>celý web</v>
      </c>
      <c r="F95" s="4" t="str">
        <f ca="1">IFERROR(__xludf.DUMMYFUNCTION("""COMPUTED_VALUE"""),"https://auto.cz")</f>
        <v>https://auto.cz</v>
      </c>
      <c r="G95" s="3" t="str">
        <f ca="1">IFERROR(__xludf.DUMMYFUNCTION("""COMPUTED_VALUE"""),"branding high season")</f>
        <v>branding high season</v>
      </c>
      <c r="H95" s="3">
        <f ca="1">IFERROR(__xludf.DUMMYFUNCTION("""COMPUTED_VALUE"""),7)</f>
        <v>7</v>
      </c>
      <c r="I95" s="5">
        <f ca="1">IFERROR(__xludf.DUMMYFUNCTION("""COMPUTED_VALUE"""),1000)</f>
        <v>1000</v>
      </c>
      <c r="J95" s="5">
        <f ca="1">IFERROR(__xludf.DUMMYFUNCTION("""COMPUTED_VALUE"""),890)</f>
        <v>890</v>
      </c>
      <c r="K95" s="3"/>
      <c r="L95" s="3" t="str">
        <f ca="1">IFERROR(__xludf.DUMMYFUNCTION("""COMPUTED_VALUE"""),"Cost per period")</f>
        <v>Cost per period</v>
      </c>
      <c r="M95" s="3"/>
      <c r="N95" s="3"/>
      <c r="O95" s="3" t="str">
        <f ca="1">IFERROR(__xludf.DUMMYFUNCTION("""COMPUTED_VALUE"""),"2000")</f>
        <v>2000</v>
      </c>
      <c r="P95" s="3" t="str">
        <f ca="1">IFERROR(__xludf.DUMMYFUNCTION("""COMPUTED_VALUE"""),"1400")</f>
        <v>1400</v>
      </c>
      <c r="Q95" s="3" t="str">
        <f ca="1">IFERROR(__xludf.DUMMYFUNCTION("""COMPUTED_VALUE"""),"2000x1400")</f>
        <v>2000x1400</v>
      </c>
      <c r="R95" s="3"/>
      <c r="S95" s="3" t="str">
        <f ca="1">IFERROR(__xludf.DUMMYFUNCTION("""COMPUTED_VALUE"""),"500 + 200 (600+200 HTML5)")</f>
        <v>500 + 200 (600+200 HTML5)</v>
      </c>
      <c r="T95" s="3"/>
      <c r="U95" s="3" t="str">
        <f ca="1">IFERROR(__xludf.DUMMYFUNCTION("""COMPUTED_VALUE"""),"banner standard")</f>
        <v>banner standard</v>
      </c>
      <c r="V95" s="3"/>
      <c r="W95" s="4" t="str">
        <f ca="1">IFERROR(__xludf.DUMMYFUNCTION("""COMPUTED_VALUE"""),"https://reklama.cncenter.cz/Online/branding")</f>
        <v>https://reklama.cncenter.cz/Online/branding</v>
      </c>
      <c r="X95" s="3"/>
      <c r="Y95" s="3"/>
      <c r="Z95" s="3" t="str">
        <f ca="1">IFERROR(__xludf.DUMMYFUNCTION("""COMPUTED_VALUE"""),"podklady@cncenter.cz")</f>
        <v>podklady@cncenter.cz</v>
      </c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 t="str">
        <f ca="1">IFERROR(__xludf.DUMMYFUNCTION("""COMPUTED_VALUE"""),"desktop")</f>
        <v>desktop</v>
      </c>
      <c r="AO95" s="3"/>
      <c r="AP95" s="3"/>
      <c r="AQ95" s="3"/>
      <c r="AR95" s="3"/>
      <c r="AS95" s="3"/>
      <c r="AT95" s="3"/>
      <c r="AU95" s="3" t="str">
        <f ca="1">IFERROR(__xludf.DUMMYFUNCTION("""COMPUTED_VALUE"""),"branding")</f>
        <v>branding</v>
      </c>
    </row>
    <row r="96" spans="1:47" x14ac:dyDescent="0.3">
      <c r="A96" s="3">
        <f ca="1"/>
        <v>2346826</v>
      </c>
      <c r="B96" s="3" t="str">
        <f ca="1"/>
        <v>CZECH NEWS CENTER a. s.</v>
      </c>
      <c r="C96" s="3" t="str">
        <f ca="1">IFERROR(__xludf.DUMMYFUNCTION("""COMPUTED_VALUE"""),"Auto")</f>
        <v>Auto</v>
      </c>
      <c r="D96" s="4" t="str">
        <f ca="1">IFERROR(__xludf.DUMMYFUNCTION("""COMPUTED_VALUE"""),"https://auto.cz")</f>
        <v>https://auto.cz</v>
      </c>
      <c r="E96" s="3" t="str">
        <f ca="1">IFERROR(__xludf.DUMMYFUNCTION("""COMPUTED_VALUE"""),"celý web")</f>
        <v>celý web</v>
      </c>
      <c r="F96" s="4" t="str">
        <f ca="1">IFERROR(__xludf.DUMMYFUNCTION("""COMPUTED_VALUE"""),"https://auto.cz")</f>
        <v>https://auto.cz</v>
      </c>
      <c r="G96" s="3" t="str">
        <f ca="1">IFERROR(__xludf.DUMMYFUNCTION("""COMPUTED_VALUE"""),"cílený billboard bottom high season")</f>
        <v>cílený billboard bottom high season</v>
      </c>
      <c r="H96" s="3">
        <f ca="1">IFERROR(__xludf.DUMMYFUNCTION("""COMPUTED_VALUE"""),7)</f>
        <v>7</v>
      </c>
      <c r="I96" s="5">
        <f ca="1">IFERROR(__xludf.DUMMYFUNCTION("""COMPUTED_VALUE"""),1000)</f>
        <v>1000</v>
      </c>
      <c r="J96" s="5">
        <f ca="1">IFERROR(__xludf.DUMMYFUNCTION("""COMPUTED_VALUE"""),528)</f>
        <v>528</v>
      </c>
      <c r="K96" s="3"/>
      <c r="L96" s="3" t="str">
        <f ca="1">IFERROR(__xludf.DUMMYFUNCTION("""COMPUTED_VALUE"""),"Cost per period")</f>
        <v>Cost per period</v>
      </c>
      <c r="M96" s="3"/>
      <c r="N96" s="3"/>
      <c r="O96" s="3" t="str">
        <f ca="1">IFERROR(__xludf.DUMMYFUNCTION("""COMPUTED_VALUE"""),"970")</f>
        <v>970</v>
      </c>
      <c r="P96" s="3" t="str">
        <f ca="1">IFERROR(__xludf.DUMMYFUNCTION("""COMPUTED_VALUE"""),"250")</f>
        <v>250</v>
      </c>
      <c r="Q96" s="3" t="str">
        <f ca="1">IFERROR(__xludf.DUMMYFUNCTION("""COMPUTED_VALUE"""),"970x250")</f>
        <v>970x250</v>
      </c>
      <c r="R96" s="3"/>
      <c r="S96" s="3" t="str">
        <f ca="1">IFERROR(__xludf.DUMMYFUNCTION("""COMPUTED_VALUE"""),"100 (200 - HTML5)")</f>
        <v>100 (200 - HTML5)</v>
      </c>
      <c r="T96" s="3"/>
      <c r="U96" s="3" t="str">
        <f ca="1">IFERROR(__xludf.DUMMYFUNCTION("""COMPUTED_VALUE"""),"banner standard")</f>
        <v>banner standard</v>
      </c>
      <c r="V96" s="3"/>
      <c r="W96" s="4" t="str">
        <f ca="1">IFERROR(__xludf.DUMMYFUNCTION("""COMPUTED_VALUE"""),"https://reklama.cncenter.cz/Online/billboard-bottom")</f>
        <v>https://reklama.cncenter.cz/Online/billboard-bottom</v>
      </c>
      <c r="X96" s="3"/>
      <c r="Y96" s="3"/>
      <c r="Z96" s="3" t="str">
        <f ca="1">IFERROR(__xludf.DUMMYFUNCTION("""COMPUTED_VALUE"""),"podklady@cncenter.cz")</f>
        <v>podklady@cncenter.cz</v>
      </c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 t="str">
        <f ca="1">IFERROR(__xludf.DUMMYFUNCTION("""COMPUTED_VALUE"""),"desktop")</f>
        <v>desktop</v>
      </c>
      <c r="AO96" s="3"/>
      <c r="AP96" s="3"/>
      <c r="AQ96" s="3"/>
      <c r="AR96" s="3"/>
      <c r="AS96" s="3"/>
      <c r="AT96" s="3"/>
      <c r="AU96" s="3" t="str">
        <f ca="1">IFERROR(__xludf.DUMMYFUNCTION("""COMPUTED_VALUE"""),"cílený billboard bottom")</f>
        <v>cílený billboard bottom</v>
      </c>
    </row>
    <row r="97" spans="1:47" x14ac:dyDescent="0.3">
      <c r="A97" s="3">
        <f ca="1"/>
        <v>2346826</v>
      </c>
      <c r="B97" s="3" t="str">
        <f ca="1"/>
        <v>CZECH NEWS CENTER a. s.</v>
      </c>
      <c r="C97" s="3" t="str">
        <f ca="1">IFERROR(__xludf.DUMMYFUNCTION("""COMPUTED_VALUE"""),"Auto")</f>
        <v>Auto</v>
      </c>
      <c r="D97" s="4" t="str">
        <f ca="1">IFERROR(__xludf.DUMMYFUNCTION("""COMPUTED_VALUE"""),"https://auto.cz")</f>
        <v>https://auto.cz</v>
      </c>
      <c r="E97" s="3" t="str">
        <f ca="1">IFERROR(__xludf.DUMMYFUNCTION("""COMPUTED_VALUE"""),"celý web")</f>
        <v>celý web</v>
      </c>
      <c r="F97" s="4" t="str">
        <f ca="1">IFERROR(__xludf.DUMMYFUNCTION("""COMPUTED_VALUE"""),"https://auto.cz")</f>
        <v>https://auto.cz</v>
      </c>
      <c r="G97" s="3" t="str">
        <f ca="1">IFERROR(__xludf.DUMMYFUNCTION("""COMPUTED_VALUE"""),"cílený branding cross-device high season")</f>
        <v>cílený branding cross-device high season</v>
      </c>
      <c r="H97" s="3">
        <f ca="1">IFERROR(__xludf.DUMMYFUNCTION("""COMPUTED_VALUE"""),7)</f>
        <v>7</v>
      </c>
      <c r="I97" s="5">
        <f ca="1">IFERROR(__xludf.DUMMYFUNCTION("""COMPUTED_VALUE"""),1000)</f>
        <v>1000</v>
      </c>
      <c r="J97" s="5">
        <f ca="1">IFERROR(__xludf.DUMMYFUNCTION("""COMPUTED_VALUE"""),648)</f>
        <v>648</v>
      </c>
      <c r="K97" s="3"/>
      <c r="L97" s="3" t="str">
        <f ca="1">IFERROR(__xludf.DUMMYFUNCTION("""COMPUTED_VALUE"""),"Cost per period")</f>
        <v>Cost per period</v>
      </c>
      <c r="M97" s="3"/>
      <c r="N97" s="3"/>
      <c r="O97" s="3" t="str">
        <f ca="1">IFERROR(__xludf.DUMMYFUNCTION("""COMPUTED_VALUE"""),"2000")</f>
        <v>2000</v>
      </c>
      <c r="P97" s="3" t="str">
        <f ca="1">IFERROR(__xludf.DUMMYFUNCTION("""COMPUTED_VALUE"""),"1400")</f>
        <v>1400</v>
      </c>
      <c r="Q97" s="3" t="str">
        <f ca="1">IFERROR(__xludf.DUMMYFUNCTION("""COMPUTED_VALUE"""),"2000x1400 + 600x1080")</f>
        <v>2000x1400 + 600x1080</v>
      </c>
      <c r="R97" s="3"/>
      <c r="S97" s="3" t="str">
        <f ca="1">IFERROR(__xludf.DUMMYFUNCTION("""COMPUTED_VALUE"""),"500 (600 - HTLM5)")</f>
        <v>500 (600 - HTLM5)</v>
      </c>
      <c r="T97" s="3"/>
      <c r="U97" s="3" t="str">
        <f ca="1">IFERROR(__xludf.DUMMYFUNCTION("""COMPUTED_VALUE"""),"banner standard")</f>
        <v>banner standard</v>
      </c>
      <c r="V97" s="3"/>
      <c r="W97" s="4" t="str">
        <f ca="1">IFERROR(__xludf.DUMMYFUNCTION("""COMPUTED_VALUE"""),"https://reklama.cncenter.cz/Online/branding-cross-device")</f>
        <v>https://reklama.cncenter.cz/Online/branding-cross-device</v>
      </c>
      <c r="X97" s="3"/>
      <c r="Y97" s="3"/>
      <c r="Z97" s="3" t="str">
        <f ca="1">IFERROR(__xludf.DUMMYFUNCTION("""COMPUTED_VALUE"""),"podklady@cncenter.cz")</f>
        <v>podklady@cncenter.cz</v>
      </c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 t="str">
        <f ca="1">IFERROR(__xludf.DUMMYFUNCTION("""COMPUTED_VALUE"""),"cross-device")</f>
        <v>cross-device</v>
      </c>
      <c r="AO97" s="3"/>
      <c r="AP97" s="3"/>
      <c r="AQ97" s="3"/>
      <c r="AR97" s="3"/>
      <c r="AS97" s="3"/>
      <c r="AT97" s="3"/>
      <c r="AU97" s="3" t="str">
        <f ca="1">IFERROR(__xludf.DUMMYFUNCTION("""COMPUTED_VALUE"""),"cílený branding cross-device")</f>
        <v>cílený branding cross-device</v>
      </c>
    </row>
    <row r="98" spans="1:47" x14ac:dyDescent="0.3">
      <c r="A98" s="3">
        <f ca="1"/>
        <v>2346826</v>
      </c>
      <c r="B98" s="3" t="str">
        <f ca="1"/>
        <v>CZECH NEWS CENTER a. s.</v>
      </c>
      <c r="C98" s="3" t="str">
        <f ca="1">IFERROR(__xludf.DUMMYFUNCTION("""COMPUTED_VALUE"""),"Auto")</f>
        <v>Auto</v>
      </c>
      <c r="D98" s="4" t="str">
        <f ca="1">IFERROR(__xludf.DUMMYFUNCTION("""COMPUTED_VALUE"""),"https://auto.cz")</f>
        <v>https://auto.cz</v>
      </c>
      <c r="E98" s="3" t="str">
        <f ca="1">IFERROR(__xludf.DUMMYFUNCTION("""COMPUTED_VALUE"""),"celý web")</f>
        <v>celý web</v>
      </c>
      <c r="F98" s="4" t="str">
        <f ca="1">IFERROR(__xludf.DUMMYFUNCTION("""COMPUTED_VALUE"""),"https://auto.cz")</f>
        <v>https://auto.cz</v>
      </c>
      <c r="G98" s="3" t="str">
        <f ca="1">IFERROR(__xludf.DUMMYFUNCTION("""COMPUTED_VALUE"""),"cílený branding high season")</f>
        <v>cílený branding high season</v>
      </c>
      <c r="H98" s="3">
        <f ca="1">IFERROR(__xludf.DUMMYFUNCTION("""COMPUTED_VALUE"""),7)</f>
        <v>7</v>
      </c>
      <c r="I98" s="5">
        <f ca="1">IFERROR(__xludf.DUMMYFUNCTION("""COMPUTED_VALUE"""),1000)</f>
        <v>1000</v>
      </c>
      <c r="J98" s="5">
        <f ca="1">IFERROR(__xludf.DUMMYFUNCTION("""COMPUTED_VALUE"""),1068)</f>
        <v>1068</v>
      </c>
      <c r="K98" s="3"/>
      <c r="L98" s="3" t="str">
        <f ca="1">IFERROR(__xludf.DUMMYFUNCTION("""COMPUTED_VALUE"""),"Cost per period")</f>
        <v>Cost per period</v>
      </c>
      <c r="M98" s="3"/>
      <c r="N98" s="3"/>
      <c r="O98" s="3" t="str">
        <f ca="1">IFERROR(__xludf.DUMMYFUNCTION("""COMPUTED_VALUE"""),"2000")</f>
        <v>2000</v>
      </c>
      <c r="P98" s="3" t="str">
        <f ca="1">IFERROR(__xludf.DUMMYFUNCTION("""COMPUTED_VALUE"""),"1400")</f>
        <v>1400</v>
      </c>
      <c r="Q98" s="3" t="str">
        <f ca="1">IFERROR(__xludf.DUMMYFUNCTION("""COMPUTED_VALUE"""),"2000x1400")</f>
        <v>2000x1400</v>
      </c>
      <c r="R98" s="3"/>
      <c r="S98" s="3" t="str">
        <f ca="1">IFERROR(__xludf.DUMMYFUNCTION("""COMPUTED_VALUE"""),"500 + 200 (600+200 HTML5)")</f>
        <v>500 + 200 (600+200 HTML5)</v>
      </c>
      <c r="T98" s="3"/>
      <c r="U98" s="3" t="str">
        <f ca="1">IFERROR(__xludf.DUMMYFUNCTION("""COMPUTED_VALUE"""),"banner standard")</f>
        <v>banner standard</v>
      </c>
      <c r="V98" s="3"/>
      <c r="W98" s="4" t="str">
        <f ca="1">IFERROR(__xludf.DUMMYFUNCTION("""COMPUTED_VALUE"""),"https://reklama.cncenter.cz/Online/branding")</f>
        <v>https://reklama.cncenter.cz/Online/branding</v>
      </c>
      <c r="X98" s="3"/>
      <c r="Y98" s="3"/>
      <c r="Z98" s="3" t="str">
        <f ca="1">IFERROR(__xludf.DUMMYFUNCTION("""COMPUTED_VALUE"""),"podklady@cncenter.cz")</f>
        <v>podklady@cncenter.cz</v>
      </c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 t="str">
        <f ca="1">IFERROR(__xludf.DUMMYFUNCTION("""COMPUTED_VALUE"""),"desktop")</f>
        <v>desktop</v>
      </c>
      <c r="AO98" s="3"/>
      <c r="AP98" s="3"/>
      <c r="AQ98" s="3"/>
      <c r="AR98" s="3"/>
      <c r="AS98" s="3"/>
      <c r="AT98" s="3"/>
      <c r="AU98" s="3" t="str">
        <f ca="1">IFERROR(__xludf.DUMMYFUNCTION("""COMPUTED_VALUE"""),"cílený branding")</f>
        <v>cílený branding</v>
      </c>
    </row>
    <row r="99" spans="1:47" x14ac:dyDescent="0.3">
      <c r="A99" s="3">
        <f ca="1"/>
        <v>2346826</v>
      </c>
      <c r="B99" s="3" t="str">
        <f ca="1"/>
        <v>CZECH NEWS CENTER a. s.</v>
      </c>
      <c r="C99" s="3" t="str">
        <f ca="1">IFERROR(__xludf.DUMMYFUNCTION("""COMPUTED_VALUE"""),"Auto")</f>
        <v>Auto</v>
      </c>
      <c r="D99" s="4" t="str">
        <f ca="1">IFERROR(__xludf.DUMMYFUNCTION("""COMPUTED_VALUE"""),"https://auto.cz")</f>
        <v>https://auto.cz</v>
      </c>
      <c r="E99" s="3" t="str">
        <f ca="1">IFERROR(__xludf.DUMMYFUNCTION("""COMPUTED_VALUE"""),"celý web")</f>
        <v>celý web</v>
      </c>
      <c r="F99" s="4" t="str">
        <f ca="1">IFERROR(__xludf.DUMMYFUNCTION("""COMPUTED_VALUE"""),"https://auto.cz")</f>
        <v>https://auto.cz</v>
      </c>
      <c r="G99" s="3" t="str">
        <f ca="1">IFERROR(__xludf.DUMMYFUNCTION("""COMPUTED_VALUE"""),"cílený double skyscraper high season")</f>
        <v>cílený double skyscraper high season</v>
      </c>
      <c r="H99" s="3">
        <f ca="1">IFERROR(__xludf.DUMMYFUNCTION("""COMPUTED_VALUE"""),7)</f>
        <v>7</v>
      </c>
      <c r="I99" s="5">
        <f ca="1">IFERROR(__xludf.DUMMYFUNCTION("""COMPUTED_VALUE"""),1000)</f>
        <v>1000</v>
      </c>
      <c r="J99" s="5">
        <f ca="1">IFERROR(__xludf.DUMMYFUNCTION("""COMPUTED_VALUE"""),420)</f>
        <v>420</v>
      </c>
      <c r="K99" s="3"/>
      <c r="L99" s="3" t="str">
        <f ca="1">IFERROR(__xludf.DUMMYFUNCTION("""COMPUTED_VALUE"""),"Cost per period")</f>
        <v>Cost per period</v>
      </c>
      <c r="M99" s="3"/>
      <c r="N99" s="3"/>
      <c r="O99" s="3" t="str">
        <f ca="1">IFERROR(__xludf.DUMMYFUNCTION("""COMPUTED_VALUE"""),"300")</f>
        <v>300</v>
      </c>
      <c r="P99" s="3" t="str">
        <f ca="1">IFERROR(__xludf.DUMMYFUNCTION("""COMPUTED_VALUE"""),"600")</f>
        <v>600</v>
      </c>
      <c r="Q99" s="3" t="str">
        <f ca="1">IFERROR(__xludf.DUMMYFUNCTION("""COMPUTED_VALUE"""),"300x600")</f>
        <v>300x600</v>
      </c>
      <c r="R99" s="3"/>
      <c r="S99" s="3" t="str">
        <f ca="1">IFERROR(__xludf.DUMMYFUNCTION("""COMPUTED_VALUE"""),"100 (200 - HTML5)")</f>
        <v>100 (200 - HTML5)</v>
      </c>
      <c r="T99" s="3"/>
      <c r="U99" s="3" t="str">
        <f ca="1">IFERROR(__xludf.DUMMYFUNCTION("""COMPUTED_VALUE"""),"banner standard")</f>
        <v>banner standard</v>
      </c>
      <c r="V99" s="3"/>
      <c r="W99" s="4" t="str">
        <f ca="1">IFERROR(__xludf.DUMMYFUNCTION("""COMPUTED_VALUE"""),"https://reklama.cncenter.cz/Online/double-skyscraper")</f>
        <v>https://reklama.cncenter.cz/Online/double-skyscraper</v>
      </c>
      <c r="X99" s="3"/>
      <c r="Y99" s="3"/>
      <c r="Z99" s="3" t="str">
        <f ca="1">IFERROR(__xludf.DUMMYFUNCTION("""COMPUTED_VALUE"""),"podklady@cncenter.cz")</f>
        <v>podklady@cncenter.cz</v>
      </c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 t="str">
        <f ca="1">IFERROR(__xludf.DUMMYFUNCTION("""COMPUTED_VALUE"""),"desktop")</f>
        <v>desktop</v>
      </c>
      <c r="AO99" s="3"/>
      <c r="AP99" s="3"/>
      <c r="AQ99" s="3"/>
      <c r="AR99" s="3"/>
      <c r="AS99" s="3"/>
      <c r="AT99" s="3"/>
      <c r="AU99" s="3" t="str">
        <f ca="1">IFERROR(__xludf.DUMMYFUNCTION("""COMPUTED_VALUE"""),"cílený double skyscraper")</f>
        <v>cílený double skyscraper</v>
      </c>
    </row>
    <row r="100" spans="1:47" x14ac:dyDescent="0.3">
      <c r="A100" s="3">
        <f ca="1"/>
        <v>2346826</v>
      </c>
      <c r="B100" s="3" t="str">
        <f ca="1"/>
        <v>CZECH NEWS CENTER a. s.</v>
      </c>
      <c r="C100" s="3" t="str">
        <f ca="1">IFERROR(__xludf.DUMMYFUNCTION("""COMPUTED_VALUE"""),"Auto")</f>
        <v>Auto</v>
      </c>
      <c r="D100" s="4" t="str">
        <f ca="1">IFERROR(__xludf.DUMMYFUNCTION("""COMPUTED_VALUE"""),"https://auto.cz")</f>
        <v>https://auto.cz</v>
      </c>
      <c r="E100" s="3" t="str">
        <f ca="1">IFERROR(__xludf.DUMMYFUNCTION("""COMPUTED_VALUE"""),"celý web")</f>
        <v>celý web</v>
      </c>
      <c r="F100" s="4" t="str">
        <f ca="1">IFERROR(__xludf.DUMMYFUNCTION("""COMPUTED_VALUE"""),"https://auto.cz")</f>
        <v>https://auto.cz</v>
      </c>
      <c r="G100" s="3" t="str">
        <f ca="1">IFERROR(__xludf.DUMMYFUNCTION("""COMPUTED_VALUE"""),"cílený mini videospot - max. 30 sec. high season")</f>
        <v>cílený mini videospot - max. 30 sec. high season</v>
      </c>
      <c r="H100" s="3">
        <f ca="1">IFERROR(__xludf.DUMMYFUNCTION("""COMPUTED_VALUE"""),7)</f>
        <v>7</v>
      </c>
      <c r="I100" s="5">
        <f ca="1">IFERROR(__xludf.DUMMYFUNCTION("""COMPUTED_VALUE"""),1000)</f>
        <v>1000</v>
      </c>
      <c r="J100" s="5">
        <f ca="1">IFERROR(__xludf.DUMMYFUNCTION("""COMPUTED_VALUE"""),312)</f>
        <v>312</v>
      </c>
      <c r="K100" s="3"/>
      <c r="L100" s="3" t="str">
        <f ca="1">IFERROR(__xludf.DUMMYFUNCTION("""COMPUTED_VALUE"""),"Cost per period")</f>
        <v>Cost per period</v>
      </c>
      <c r="M100" s="3"/>
      <c r="N100" s="3"/>
      <c r="O100" s="3"/>
      <c r="P100" s="3"/>
      <c r="Q100" s="3" t="str">
        <f ca="1">IFERROR(__xludf.DUMMYFUNCTION("""COMPUTED_VALUE"""),"16:9 / umístění po domluvě dle možností")</f>
        <v>16:9 / umístění po domluvě dle možností</v>
      </c>
      <c r="R100" s="3" t="str">
        <f ca="1">IFERROR(__xludf.DUMMYFUNCTION("""COMPUTED_VALUE"""),"přeskočení po 7 sekundách")</f>
        <v>přeskočení po 7 sekundách</v>
      </c>
      <c r="S100" s="3" t="str">
        <f ca="1">IFERROR(__xludf.DUMMYFUNCTION("""COMPUTED_VALUE"""),"100")</f>
        <v>100</v>
      </c>
      <c r="T100" s="3"/>
      <c r="U100" s="3" t="str">
        <f ca="1">IFERROR(__xludf.DUMMYFUNCTION("""COMPUTED_VALUE"""),"videospot")</f>
        <v>videospot</v>
      </c>
      <c r="V100" s="3"/>
      <c r="W100" s="4" t="str">
        <f ca="1">IFERROR(__xludf.DUMMYFUNCTION("""COMPUTED_VALUE"""),"https://reklama.cncenter.cz/Online/Videospot")</f>
        <v>https://reklama.cncenter.cz/Online/Videospot</v>
      </c>
      <c r="X100" s="3"/>
      <c r="Y100" s="3"/>
      <c r="Z100" s="3" t="str">
        <f ca="1">IFERROR(__xludf.DUMMYFUNCTION("""COMPUTED_VALUE"""),"podklady@cncenter.cz")</f>
        <v>podklady@cncenter.cz</v>
      </c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 t="str">
        <f ca="1">IFERROR(__xludf.DUMMYFUNCTION("""COMPUTED_VALUE"""),"desktop")</f>
        <v>desktop</v>
      </c>
      <c r="AO100" s="3"/>
      <c r="AP100" s="3"/>
      <c r="AQ100" s="3"/>
      <c r="AR100" s="3"/>
      <c r="AS100" s="3"/>
      <c r="AT100" s="3"/>
      <c r="AU100" s="3" t="str">
        <f ca="1">IFERROR(__xludf.DUMMYFUNCTION("""COMPUTED_VALUE"""),"cílený mini videospot - max. 30 sec.")</f>
        <v>cílený mini videospot - max. 30 sec.</v>
      </c>
    </row>
    <row r="101" spans="1:47" x14ac:dyDescent="0.3">
      <c r="A101" s="3">
        <f ca="1"/>
        <v>2346826</v>
      </c>
      <c r="B101" s="3" t="str">
        <f ca="1"/>
        <v>CZECH NEWS CENTER a. s.</v>
      </c>
      <c r="C101" s="3" t="str">
        <f ca="1">IFERROR(__xludf.DUMMYFUNCTION("""COMPUTED_VALUE"""),"Auto")</f>
        <v>Auto</v>
      </c>
      <c r="D101" s="4" t="str">
        <f ca="1">IFERROR(__xludf.DUMMYFUNCTION("""COMPUTED_VALUE"""),"https://auto.cz")</f>
        <v>https://auto.cz</v>
      </c>
      <c r="E101" s="3" t="str">
        <f ca="1">IFERROR(__xludf.DUMMYFUNCTION("""COMPUTED_VALUE"""),"celý web")</f>
        <v>celý web</v>
      </c>
      <c r="F101" s="4" t="str">
        <f ca="1">IFERROR(__xludf.DUMMYFUNCTION("""COMPUTED_VALUE"""),"https://auto.cz")</f>
        <v>https://auto.cz</v>
      </c>
      <c r="G101" s="3" t="str">
        <f ca="1">IFERROR(__xludf.DUMMYFUNCTION("""COMPUTED_VALUE"""),"cílený mobilní interscroller high season")</f>
        <v>cílený mobilní interscroller high season</v>
      </c>
      <c r="H101" s="3">
        <f ca="1">IFERROR(__xludf.DUMMYFUNCTION("""COMPUTED_VALUE"""),7)</f>
        <v>7</v>
      </c>
      <c r="I101" s="5">
        <f ca="1">IFERROR(__xludf.DUMMYFUNCTION("""COMPUTED_VALUE"""),1000)</f>
        <v>1000</v>
      </c>
      <c r="J101" s="5">
        <f ca="1">IFERROR(__xludf.DUMMYFUNCTION("""COMPUTED_VALUE"""),540)</f>
        <v>540</v>
      </c>
      <c r="K101" s="3"/>
      <c r="L101" s="3" t="str">
        <f ca="1">IFERROR(__xludf.DUMMYFUNCTION("""COMPUTED_VALUE"""),"Cost per period")</f>
        <v>Cost per period</v>
      </c>
      <c r="M101" s="3"/>
      <c r="N101" s="3"/>
      <c r="O101" s="3" t="str">
        <f ca="1">IFERROR(__xludf.DUMMYFUNCTION("""COMPUTED_VALUE"""),"600")</f>
        <v>600</v>
      </c>
      <c r="P101" s="3" t="str">
        <f ca="1">IFERROR(__xludf.DUMMYFUNCTION("""COMPUTED_VALUE"""),"1080")</f>
        <v>1080</v>
      </c>
      <c r="Q101" s="3" t="str">
        <f ca="1">IFERROR(__xludf.DUMMYFUNCTION("""COMPUTED_VALUE"""),"600x1080")</f>
        <v>600x1080</v>
      </c>
      <c r="R101" s="3"/>
      <c r="S101" s="3" t="str">
        <f ca="1">IFERROR(__xludf.DUMMYFUNCTION("""COMPUTED_VALUE"""),"200")</f>
        <v>200</v>
      </c>
      <c r="T101" s="3"/>
      <c r="U101" s="3" t="str">
        <f ca="1">IFERROR(__xludf.DUMMYFUNCTION("""COMPUTED_VALUE"""),"banner standard")</f>
        <v>banner standard</v>
      </c>
      <c r="V101" s="3"/>
      <c r="W101" s="4" t="str">
        <f ca="1">IFERROR(__xludf.DUMMYFUNCTION("""COMPUTED_VALUE"""),"https://reklama.cncenter.cz/Online/mobilni-interscroller")</f>
        <v>https://reklama.cncenter.cz/Online/mobilni-interscroller</v>
      </c>
      <c r="X101" s="3"/>
      <c r="Y101" s="3"/>
      <c r="Z101" s="3" t="str">
        <f ca="1">IFERROR(__xludf.DUMMYFUNCTION("""COMPUTED_VALUE"""),"podklady@cncenter.cz")</f>
        <v>podklady@cncenter.cz</v>
      </c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 t="str">
        <f ca="1">IFERROR(__xludf.DUMMYFUNCTION("""COMPUTED_VALUE"""),"mobile")</f>
        <v>mobile</v>
      </c>
      <c r="AO101" s="3"/>
      <c r="AP101" s="3"/>
      <c r="AQ101" s="3"/>
      <c r="AR101" s="3"/>
      <c r="AS101" s="3"/>
      <c r="AT101" s="3"/>
      <c r="AU101" s="3" t="str">
        <f ca="1">IFERROR(__xludf.DUMMYFUNCTION("""COMPUTED_VALUE"""),"cílený mobilní interscroller")</f>
        <v>cílený mobilní interscroller</v>
      </c>
    </row>
    <row r="102" spans="1:47" x14ac:dyDescent="0.3">
      <c r="A102" s="3">
        <f ca="1"/>
        <v>2346826</v>
      </c>
      <c r="B102" s="3" t="str">
        <f ca="1"/>
        <v>CZECH NEWS CENTER a. s.</v>
      </c>
      <c r="C102" s="3" t="str">
        <f ca="1">IFERROR(__xludf.DUMMYFUNCTION("""COMPUTED_VALUE"""),"Auto")</f>
        <v>Auto</v>
      </c>
      <c r="D102" s="4" t="str">
        <f ca="1">IFERROR(__xludf.DUMMYFUNCTION("""COMPUTED_VALUE"""),"https://auto.cz")</f>
        <v>https://auto.cz</v>
      </c>
      <c r="E102" s="3" t="str">
        <f ca="1">IFERROR(__xludf.DUMMYFUNCTION("""COMPUTED_VALUE"""),"celý web")</f>
        <v>celý web</v>
      </c>
      <c r="F102" s="4" t="str">
        <f ca="1">IFERROR(__xludf.DUMMYFUNCTION("""COMPUTED_VALUE"""),"https://auto.cz")</f>
        <v>https://auto.cz</v>
      </c>
      <c r="G102" s="3" t="str">
        <f ca="1">IFERROR(__xludf.DUMMYFUNCTION("""COMPUTED_VALUE"""),"cílený mobilní slide-up high season")</f>
        <v>cílený mobilní slide-up high season</v>
      </c>
      <c r="H102" s="3">
        <f ca="1">IFERROR(__xludf.DUMMYFUNCTION("""COMPUTED_VALUE"""),7)</f>
        <v>7</v>
      </c>
      <c r="I102" s="5">
        <f ca="1">IFERROR(__xludf.DUMMYFUNCTION("""COMPUTED_VALUE"""),1000)</f>
        <v>1000</v>
      </c>
      <c r="J102" s="5">
        <f ca="1">IFERROR(__xludf.DUMMYFUNCTION("""COMPUTED_VALUE"""),1104)</f>
        <v>1104</v>
      </c>
      <c r="K102" s="3"/>
      <c r="L102" s="3" t="str">
        <f ca="1">IFERROR(__xludf.DUMMYFUNCTION("""COMPUTED_VALUE"""),"Cost per period")</f>
        <v>Cost per period</v>
      </c>
      <c r="M102" s="3"/>
      <c r="N102" s="3"/>
      <c r="O102" s="3" t="str">
        <f ca="1">IFERROR(__xludf.DUMMYFUNCTION("""COMPUTED_VALUE"""),"300")</f>
        <v>300</v>
      </c>
      <c r="P102" s="3" t="str">
        <f ca="1">IFERROR(__xludf.DUMMYFUNCTION("""COMPUTED_VALUE"""),"120")</f>
        <v>120</v>
      </c>
      <c r="Q102" s="3" t="str">
        <f ca="1">IFERROR(__xludf.DUMMYFUNCTION("""COMPUTED_VALUE"""),"300x120")</f>
        <v>300x120</v>
      </c>
      <c r="R102" s="3"/>
      <c r="S102" s="3" t="str">
        <f ca="1">IFERROR(__xludf.DUMMYFUNCTION("""COMPUTED_VALUE"""),"100")</f>
        <v>100</v>
      </c>
      <c r="T102" s="3"/>
      <c r="U102" s="3" t="str">
        <f ca="1">IFERROR(__xludf.DUMMYFUNCTION("""COMPUTED_VALUE"""),"banner standard")</f>
        <v>banner standard</v>
      </c>
      <c r="V102" s="3"/>
      <c r="W102" s="4" t="str">
        <f ca="1">IFERROR(__xludf.DUMMYFUNCTION("""COMPUTED_VALUE"""),"https://reklama.cncenter.cz/Online/mobilni-slide-up")</f>
        <v>https://reklama.cncenter.cz/Online/mobilni-slide-up</v>
      </c>
      <c r="X102" s="3"/>
      <c r="Y102" s="3"/>
      <c r="Z102" s="3" t="str">
        <f ca="1">IFERROR(__xludf.DUMMYFUNCTION("""COMPUTED_VALUE"""),"podklady@cncenter.cz")</f>
        <v>podklady@cncenter.cz</v>
      </c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 t="str">
        <f ca="1">IFERROR(__xludf.DUMMYFUNCTION("""COMPUTED_VALUE"""),"mobile")</f>
        <v>mobile</v>
      </c>
      <c r="AO102" s="3"/>
      <c r="AP102" s="3"/>
      <c r="AQ102" s="3"/>
      <c r="AR102" s="3"/>
      <c r="AS102" s="3"/>
      <c r="AT102" s="3"/>
      <c r="AU102" s="3" t="str">
        <f ca="1">IFERROR(__xludf.DUMMYFUNCTION("""COMPUTED_VALUE"""),"cílený mobilní slide-up")</f>
        <v>cílený mobilní slide-up</v>
      </c>
    </row>
    <row r="103" spans="1:47" x14ac:dyDescent="0.3">
      <c r="A103" s="3">
        <f ca="1"/>
        <v>2346826</v>
      </c>
      <c r="B103" s="3" t="str">
        <f ca="1"/>
        <v>CZECH NEWS CENTER a. s.</v>
      </c>
      <c r="C103" s="3" t="str">
        <f ca="1">IFERROR(__xludf.DUMMYFUNCTION("""COMPUTED_VALUE"""),"Auto")</f>
        <v>Auto</v>
      </c>
      <c r="D103" s="4" t="str">
        <f ca="1">IFERROR(__xludf.DUMMYFUNCTION("""COMPUTED_VALUE"""),"https://auto.cz")</f>
        <v>https://auto.cz</v>
      </c>
      <c r="E103" s="3" t="str">
        <f ca="1">IFERROR(__xludf.DUMMYFUNCTION("""COMPUTED_VALUE"""),"celý web")</f>
        <v>celý web</v>
      </c>
      <c r="F103" s="4" t="str">
        <f ca="1">IFERROR(__xludf.DUMMYFUNCTION("""COMPUTED_VALUE"""),"https://auto.cz")</f>
        <v>https://auto.cz</v>
      </c>
      <c r="G103" s="3" t="str">
        <f ca="1">IFERROR(__xludf.DUMMYFUNCTION("""COMPUTED_VALUE"""),"cílený mobilní viněta high season")</f>
        <v>cílený mobilní viněta high season</v>
      </c>
      <c r="H103" s="3">
        <f ca="1">IFERROR(__xludf.DUMMYFUNCTION("""COMPUTED_VALUE"""),7)</f>
        <v>7</v>
      </c>
      <c r="I103" s="5">
        <f ca="1">IFERROR(__xludf.DUMMYFUNCTION("""COMPUTED_VALUE"""),1000)</f>
        <v>1000</v>
      </c>
      <c r="J103" s="5">
        <f ca="1">IFERROR(__xludf.DUMMYFUNCTION("""COMPUTED_VALUE"""),1908)</f>
        <v>1908</v>
      </c>
      <c r="K103" s="3"/>
      <c r="L103" s="3" t="str">
        <f ca="1">IFERROR(__xludf.DUMMYFUNCTION("""COMPUTED_VALUE"""),"Cost per period")</f>
        <v>Cost per period</v>
      </c>
      <c r="M103" s="3"/>
      <c r="N103" s="3"/>
      <c r="O103" s="3" t="str">
        <f ca="1">IFERROR(__xludf.DUMMYFUNCTION("""COMPUTED_VALUE"""),"600")</f>
        <v>600</v>
      </c>
      <c r="P103" s="3" t="str">
        <f ca="1">IFERROR(__xludf.DUMMYFUNCTION("""COMPUTED_VALUE"""),"800")</f>
        <v>800</v>
      </c>
      <c r="Q103" s="3" t="str">
        <f ca="1">IFERROR(__xludf.DUMMYFUNCTION("""COMPUTED_VALUE"""),"300x250 nebo 600x800")</f>
        <v>300x250 nebo 600x800</v>
      </c>
      <c r="R103" s="3"/>
      <c r="S103" s="3" t="str">
        <f ca="1">IFERROR(__xludf.DUMMYFUNCTION("""COMPUTED_VALUE"""),"100")</f>
        <v>100</v>
      </c>
      <c r="T103" s="3"/>
      <c r="U103" s="3" t="str">
        <f ca="1">IFERROR(__xludf.DUMMYFUNCTION("""COMPUTED_VALUE"""),"banner standard")</f>
        <v>banner standard</v>
      </c>
      <c r="V103" s="3"/>
      <c r="W103" s="4" t="str">
        <f ca="1">IFERROR(__xludf.DUMMYFUNCTION("""COMPUTED_VALUE"""),"https://reklama.cncenter.cz/Online/mobilni-vineta")</f>
        <v>https://reklama.cncenter.cz/Online/mobilni-vineta</v>
      </c>
      <c r="X103" s="3"/>
      <c r="Y103" s="3"/>
      <c r="Z103" s="3" t="str">
        <f ca="1">IFERROR(__xludf.DUMMYFUNCTION("""COMPUTED_VALUE"""),"podklady@cncenter.cz")</f>
        <v>podklady@cncenter.cz</v>
      </c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 t="str">
        <f ca="1">IFERROR(__xludf.DUMMYFUNCTION("""COMPUTED_VALUE"""),"mobile")</f>
        <v>mobile</v>
      </c>
      <c r="AO103" s="3"/>
      <c r="AP103" s="3"/>
      <c r="AQ103" s="3"/>
      <c r="AR103" s="3"/>
      <c r="AS103" s="3"/>
      <c r="AT103" s="3"/>
      <c r="AU103" s="3" t="str">
        <f ca="1">IFERROR(__xludf.DUMMYFUNCTION("""COMPUTED_VALUE"""),"cílený mobilní viněta")</f>
        <v>cílený mobilní viněta</v>
      </c>
    </row>
    <row r="104" spans="1:47" x14ac:dyDescent="0.3">
      <c r="A104" s="3">
        <f ca="1"/>
        <v>2346826</v>
      </c>
      <c r="B104" s="3" t="str">
        <f ca="1"/>
        <v>CZECH NEWS CENTER a. s.</v>
      </c>
      <c r="C104" s="3" t="str">
        <f ca="1">IFERROR(__xludf.DUMMYFUNCTION("""COMPUTED_VALUE"""),"Auto")</f>
        <v>Auto</v>
      </c>
      <c r="D104" s="4" t="str">
        <f ca="1">IFERROR(__xludf.DUMMYFUNCTION("""COMPUTED_VALUE"""),"https://auto.cz")</f>
        <v>https://auto.cz</v>
      </c>
      <c r="E104" s="3" t="str">
        <f ca="1">IFERROR(__xludf.DUMMYFUNCTION("""COMPUTED_VALUE"""),"celý web")</f>
        <v>celý web</v>
      </c>
      <c r="F104" s="4" t="str">
        <f ca="1">IFERROR(__xludf.DUMMYFUNCTION("""COMPUTED_VALUE"""),"https://auto.cz")</f>
        <v>https://auto.cz</v>
      </c>
      <c r="G104" s="3" t="str">
        <f ca="1">IFERROR(__xludf.DUMMYFUNCTION("""COMPUTED_VALUE"""),"cílený nativní pr premium high season")</f>
        <v>cílený nativní pr premium high season</v>
      </c>
      <c r="H104" s="3">
        <f ca="1">IFERROR(__xludf.DUMMYFUNCTION("""COMPUTED_VALUE"""),7)</f>
        <v>7</v>
      </c>
      <c r="I104" s="5">
        <f ca="1">IFERROR(__xludf.DUMMYFUNCTION("""COMPUTED_VALUE"""),1000)</f>
        <v>1000</v>
      </c>
      <c r="J104" s="5">
        <f ca="1">IFERROR(__xludf.DUMMYFUNCTION("""COMPUTED_VALUE"""),216)</f>
        <v>216</v>
      </c>
      <c r="K104" s="3"/>
      <c r="L104" s="3" t="str">
        <f ca="1">IFERROR(__xludf.DUMMYFUNCTION("""COMPUTED_VALUE"""),"Cost per period")</f>
        <v>Cost per period</v>
      </c>
      <c r="M104" s="3"/>
      <c r="N104" s="3"/>
      <c r="O104" s="3" t="str">
        <f ca="1">IFERROR(__xludf.DUMMYFUNCTION("""COMPUTED_VALUE"""),"640")</f>
        <v>640</v>
      </c>
      <c r="P104" s="3" t="str">
        <f ca="1">IFERROR(__xludf.DUMMYFUNCTION("""COMPUTED_VALUE"""),"335, 640")</f>
        <v>335, 640</v>
      </c>
      <c r="Q104" s="3" t="str">
        <f ca="1">IFERROR(__xludf.DUMMYFUNCTION("""COMPUTED_VALUE"""),"640x640 a 640x335 + text + logo")</f>
        <v>640x640 a 640x335 + text + logo</v>
      </c>
      <c r="R104" s="3" t="str">
        <f ca="1">IFERROR(__xludf.DUMMYFUNCTION("""COMPUTED_VALUE"""),"detailní specifikace na URL odkaze")</f>
        <v>detailní specifikace na URL odkaze</v>
      </c>
      <c r="S104" s="3" t="str">
        <f ca="1">IFERROR(__xludf.DUMMYFUNCTION("""COMPUTED_VALUE"""),"100")</f>
        <v>100</v>
      </c>
      <c r="T104" s="3"/>
      <c r="U104" s="3" t="str">
        <f ca="1">IFERROR(__xludf.DUMMYFUNCTION("""COMPUTED_VALUE"""),"nativní reklama")</f>
        <v>nativní reklama</v>
      </c>
      <c r="V104" s="3"/>
      <c r="W104" s="4" t="str">
        <f ca="1">IFERROR(__xludf.DUMMYFUNCTION("""COMPUTED_VALUE"""),"https://reklama.cncenter.cz/Online/nativni-PR-premium")</f>
        <v>https://reklama.cncenter.cz/Online/nativni-PR-premium</v>
      </c>
      <c r="X104" s="3"/>
      <c r="Y104" s="3"/>
      <c r="Z104" s="3" t="str">
        <f ca="1">IFERROR(__xludf.DUMMYFUNCTION("""COMPUTED_VALUE"""),"podklady@cncenter.cz")</f>
        <v>podklady@cncenter.cz</v>
      </c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 t="str">
        <f ca="1">IFERROR(__xludf.DUMMYFUNCTION("""COMPUTED_VALUE"""),"cross-device")</f>
        <v>cross-device</v>
      </c>
      <c r="AO104" s="3"/>
      <c r="AP104" s="3"/>
      <c r="AQ104" s="3"/>
      <c r="AR104" s="3"/>
      <c r="AS104" s="3"/>
      <c r="AT104" s="3"/>
      <c r="AU104" s="3" t="str">
        <f ca="1">IFERROR(__xludf.DUMMYFUNCTION("""COMPUTED_VALUE"""),"cílený nativní pr premium")</f>
        <v>cílený nativní pr premium</v>
      </c>
    </row>
    <row r="105" spans="1:47" x14ac:dyDescent="0.3">
      <c r="A105" s="3">
        <f ca="1"/>
        <v>2346826</v>
      </c>
      <c r="B105" s="3" t="str">
        <f ca="1"/>
        <v>CZECH NEWS CENTER a. s.</v>
      </c>
      <c r="C105" s="3" t="str">
        <f ca="1">IFERROR(__xludf.DUMMYFUNCTION("""COMPUTED_VALUE"""),"Auto")</f>
        <v>Auto</v>
      </c>
      <c r="D105" s="4" t="str">
        <f ca="1">IFERROR(__xludf.DUMMYFUNCTION("""COMPUTED_VALUE"""),"https://auto.cz")</f>
        <v>https://auto.cz</v>
      </c>
      <c r="E105" s="3" t="str">
        <f ca="1">IFERROR(__xludf.DUMMYFUNCTION("""COMPUTED_VALUE"""),"celý web")</f>
        <v>celý web</v>
      </c>
      <c r="F105" s="4" t="str">
        <f ca="1">IFERROR(__xludf.DUMMYFUNCTION("""COMPUTED_VALUE"""),"https://auto.cz")</f>
        <v>https://auto.cz</v>
      </c>
      <c r="G105" s="3" t="str">
        <f ca="1">IFERROR(__xludf.DUMMYFUNCTION("""COMPUTED_VALUE"""),"cílený nativní rectangle cross-device high season")</f>
        <v>cílený nativní rectangle cross-device high season</v>
      </c>
      <c r="H105" s="3">
        <f ca="1">IFERROR(__xludf.DUMMYFUNCTION("""COMPUTED_VALUE"""),7)</f>
        <v>7</v>
      </c>
      <c r="I105" s="5">
        <f ca="1">IFERROR(__xludf.DUMMYFUNCTION("""COMPUTED_VALUE"""),1000)</f>
        <v>1000</v>
      </c>
      <c r="J105" s="5">
        <f ca="1">IFERROR(__xludf.DUMMYFUNCTION("""COMPUTED_VALUE"""),432)</f>
        <v>432</v>
      </c>
      <c r="K105" s="3"/>
      <c r="L105" s="3" t="str">
        <f ca="1">IFERROR(__xludf.DUMMYFUNCTION("""COMPUTED_VALUE"""),"Cost per period")</f>
        <v>Cost per period</v>
      </c>
      <c r="M105" s="3"/>
      <c r="N105" s="3"/>
      <c r="O105" s="3" t="str">
        <f ca="1">IFERROR(__xludf.DUMMYFUNCTION("""COMPUTED_VALUE"""),"640")</f>
        <v>640</v>
      </c>
      <c r="P105" s="3" t="str">
        <f ca="1">IFERROR(__xludf.DUMMYFUNCTION("""COMPUTED_VALUE"""),"335, 640")</f>
        <v>335, 640</v>
      </c>
      <c r="Q105" s="3" t="str">
        <f ca="1">IFERROR(__xludf.DUMMYFUNCTION("""COMPUTED_VALUE"""),"640x640 a 640x335 + text + logo")</f>
        <v>640x640 a 640x335 + text + logo</v>
      </c>
      <c r="R105" s="3"/>
      <c r="S105" s="3" t="str">
        <f ca="1">IFERROR(__xludf.DUMMYFUNCTION("""COMPUTED_VALUE"""),"45")</f>
        <v>45</v>
      </c>
      <c r="T105" s="3"/>
      <c r="U105" s="3" t="str">
        <f ca="1">IFERROR(__xludf.DUMMYFUNCTION("""COMPUTED_VALUE"""),"nativní reklama")</f>
        <v>nativní reklama</v>
      </c>
      <c r="V105" s="3"/>
      <c r="W105" s="4" t="str">
        <f ca="1">IFERROR(__xludf.DUMMYFUNCTION("""COMPUTED_VALUE"""),"https://reklama.cncenter.cz/Online/nativni-rectangle-cross-device")</f>
        <v>https://reklama.cncenter.cz/Online/nativni-rectangle-cross-device</v>
      </c>
      <c r="X105" s="3"/>
      <c r="Y105" s="3"/>
      <c r="Z105" s="3" t="str">
        <f ca="1">IFERROR(__xludf.DUMMYFUNCTION("""COMPUTED_VALUE"""),"podklady@cncenter.cz")</f>
        <v>podklady@cncenter.cz</v>
      </c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 t="str">
        <f ca="1">IFERROR(__xludf.DUMMYFUNCTION("""COMPUTED_VALUE"""),"cross-device")</f>
        <v>cross-device</v>
      </c>
      <c r="AO105" s="3"/>
      <c r="AP105" s="3"/>
      <c r="AQ105" s="3"/>
      <c r="AR105" s="3"/>
      <c r="AS105" s="3"/>
      <c r="AT105" s="3"/>
      <c r="AU105" s="3" t="str">
        <f ca="1">IFERROR(__xludf.DUMMYFUNCTION("""COMPUTED_VALUE"""),"cílený nativní rectangle cross-device")</f>
        <v>cílený nativní rectangle cross-device</v>
      </c>
    </row>
    <row r="106" spans="1:47" x14ac:dyDescent="0.3">
      <c r="A106" s="3">
        <f ca="1"/>
        <v>2346826</v>
      </c>
      <c r="B106" s="3" t="str">
        <f ca="1"/>
        <v>CZECH NEWS CENTER a. s.</v>
      </c>
      <c r="C106" s="3" t="str">
        <f ca="1">IFERROR(__xludf.DUMMYFUNCTION("""COMPUTED_VALUE"""),"Auto")</f>
        <v>Auto</v>
      </c>
      <c r="D106" s="4" t="str">
        <f ca="1">IFERROR(__xludf.DUMMYFUNCTION("""COMPUTED_VALUE"""),"https://auto.cz")</f>
        <v>https://auto.cz</v>
      </c>
      <c r="E106" s="3" t="str">
        <f ca="1">IFERROR(__xludf.DUMMYFUNCTION("""COMPUTED_VALUE"""),"celý web")</f>
        <v>celý web</v>
      </c>
      <c r="F106" s="4" t="str">
        <f ca="1">IFERROR(__xludf.DUMMYFUNCTION("""COMPUTED_VALUE"""),"https://auto.cz")</f>
        <v>https://auto.cz</v>
      </c>
      <c r="G106" s="3" t="str">
        <f ca="1">IFERROR(__xludf.DUMMYFUNCTION("""COMPUTED_VALUE"""),"cílený outstream high season")</f>
        <v>cílený outstream high season</v>
      </c>
      <c r="H106" s="3">
        <f ca="1">IFERROR(__xludf.DUMMYFUNCTION("""COMPUTED_VALUE"""),7)</f>
        <v>7</v>
      </c>
      <c r="I106" s="5">
        <f ca="1">IFERROR(__xludf.DUMMYFUNCTION("""COMPUTED_VALUE"""),1000)</f>
        <v>1000</v>
      </c>
      <c r="J106" s="5">
        <f ca="1">IFERROR(__xludf.DUMMYFUNCTION("""COMPUTED_VALUE"""),540)</f>
        <v>540</v>
      </c>
      <c r="K106" s="3"/>
      <c r="L106" s="3" t="str">
        <f ca="1">IFERROR(__xludf.DUMMYFUNCTION("""COMPUTED_VALUE"""),"Cost per period")</f>
        <v>Cost per period</v>
      </c>
      <c r="M106" s="3"/>
      <c r="N106" s="3"/>
      <c r="O106" s="3" t="str">
        <f ca="1">IFERROR(__xludf.DUMMYFUNCTION("""COMPUTED_VALUE"""),"1280")</f>
        <v>1280</v>
      </c>
      <c r="P106" s="3" t="str">
        <f ca="1">IFERROR(__xludf.DUMMYFUNCTION("""COMPUTED_VALUE"""),"720")</f>
        <v>720</v>
      </c>
      <c r="Q106" s="3" t="str">
        <f ca="1">IFERROR(__xludf.DUMMYFUNCTION("""COMPUTED_VALUE"""),"16:9")</f>
        <v>16:9</v>
      </c>
      <c r="R106" s="3"/>
      <c r="S106" s="3" t="str">
        <f ca="1">IFERROR(__xludf.DUMMYFUNCTION("""COMPUTED_VALUE"""),"100")</f>
        <v>100</v>
      </c>
      <c r="T106" s="3"/>
      <c r="U106" s="3" t="str">
        <f ca="1">IFERROR(__xludf.DUMMYFUNCTION("""COMPUTED_VALUE"""),"videospot")</f>
        <v>videospot</v>
      </c>
      <c r="V106" s="3"/>
      <c r="W106" s="4" t="str">
        <f ca="1">IFERROR(__xludf.DUMMYFUNCTION("""COMPUTED_VALUE"""),"https://reklama.cncenter.cz/Online/Outstream")</f>
        <v>https://reklama.cncenter.cz/Online/Outstream</v>
      </c>
      <c r="X106" s="3"/>
      <c r="Y106" s="3"/>
      <c r="Z106" s="3" t="str">
        <f ca="1">IFERROR(__xludf.DUMMYFUNCTION("""COMPUTED_VALUE"""),"podklady@cncenter.cz")</f>
        <v>podklady@cncenter.cz</v>
      </c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 t="str">
        <f ca="1">IFERROR(__xludf.DUMMYFUNCTION("""COMPUTED_VALUE"""),"cross-device")</f>
        <v>cross-device</v>
      </c>
      <c r="AO106" s="3"/>
      <c r="AP106" s="3"/>
      <c r="AQ106" s="3"/>
      <c r="AR106" s="3"/>
      <c r="AS106" s="3"/>
      <c r="AT106" s="3"/>
      <c r="AU106" s="3" t="str">
        <f ca="1">IFERROR(__xludf.DUMMYFUNCTION("""COMPUTED_VALUE"""),"cílený outstream")</f>
        <v>cílený outstream</v>
      </c>
    </row>
    <row r="107" spans="1:47" x14ac:dyDescent="0.3">
      <c r="A107" s="3">
        <f ca="1"/>
        <v>2346826</v>
      </c>
      <c r="B107" s="3" t="str">
        <f ca="1"/>
        <v>CZECH NEWS CENTER a. s.</v>
      </c>
      <c r="C107" s="3" t="str">
        <f ca="1">IFERROR(__xludf.DUMMYFUNCTION("""COMPUTED_VALUE"""),"Auto")</f>
        <v>Auto</v>
      </c>
      <c r="D107" s="4" t="str">
        <f ca="1">IFERROR(__xludf.DUMMYFUNCTION("""COMPUTED_VALUE"""),"https://auto.cz")</f>
        <v>https://auto.cz</v>
      </c>
      <c r="E107" s="3" t="str">
        <f ca="1">IFERROR(__xludf.DUMMYFUNCTION("""COMPUTED_VALUE"""),"celý web")</f>
        <v>celý web</v>
      </c>
      <c r="F107" s="4" t="str">
        <f ca="1">IFERROR(__xludf.DUMMYFUNCTION("""COMPUTED_VALUE"""),"https://auto.cz")</f>
        <v>https://auto.cz</v>
      </c>
      <c r="G107" s="3" t="str">
        <f ca="1">IFERROR(__xludf.DUMMYFUNCTION("""COMPUTED_VALUE"""),"cílený videospot - max. 30 sec. / bumper high season")</f>
        <v>cílený videospot - max. 30 sec. / bumper high season</v>
      </c>
      <c r="H107" s="3">
        <f ca="1">IFERROR(__xludf.DUMMYFUNCTION("""COMPUTED_VALUE"""),7)</f>
        <v>7</v>
      </c>
      <c r="I107" s="5">
        <f ca="1">IFERROR(__xludf.DUMMYFUNCTION("""COMPUTED_VALUE"""),1000)</f>
        <v>1000</v>
      </c>
      <c r="J107" s="5">
        <f ca="1">IFERROR(__xludf.DUMMYFUNCTION("""COMPUTED_VALUE"""),1608)</f>
        <v>1608</v>
      </c>
      <c r="K107" s="3"/>
      <c r="L107" s="3" t="str">
        <f ca="1">IFERROR(__xludf.DUMMYFUNCTION("""COMPUTED_VALUE"""),"Cost per period")</f>
        <v>Cost per period</v>
      </c>
      <c r="M107" s="3"/>
      <c r="N107" s="3"/>
      <c r="O107" s="3" t="str">
        <f ca="1">IFERROR(__xludf.DUMMYFUNCTION("""COMPUTED_VALUE"""),"1280")</f>
        <v>1280</v>
      </c>
      <c r="P107" s="3" t="str">
        <f ca="1">IFERROR(__xludf.DUMMYFUNCTION("""COMPUTED_VALUE"""),"720")</f>
        <v>720</v>
      </c>
      <c r="Q107" s="3" t="str">
        <f ca="1">IFERROR(__xludf.DUMMYFUNCTION("""COMPUTED_VALUE"""),"16:9 / umístění po domluvě dle možností")</f>
        <v>16:9 / umístění po domluvě dle možností</v>
      </c>
      <c r="R107" s="3" t="str">
        <f ca="1">IFERROR(__xludf.DUMMYFUNCTION("""COMPUTED_VALUE"""),"přeskočení po 7 sekundách")</f>
        <v>přeskočení po 7 sekundách</v>
      </c>
      <c r="S107" s="3" t="str">
        <f ca="1">IFERROR(__xludf.DUMMYFUNCTION("""COMPUTED_VALUE"""),"100")</f>
        <v>100</v>
      </c>
      <c r="T107" s="3"/>
      <c r="U107" s="3" t="str">
        <f ca="1">IFERROR(__xludf.DUMMYFUNCTION("""COMPUTED_VALUE"""),"videospot")</f>
        <v>videospot</v>
      </c>
      <c r="V107" s="3"/>
      <c r="W107" s="4" t="str">
        <f ca="1">IFERROR(__xludf.DUMMYFUNCTION("""COMPUTED_VALUE"""),"https://reklama.cncenter.cz/Online/Bumper")</f>
        <v>https://reklama.cncenter.cz/Online/Bumper</v>
      </c>
      <c r="X107" s="3"/>
      <c r="Y107" s="3"/>
      <c r="Z107" s="3" t="str">
        <f ca="1">IFERROR(__xludf.DUMMYFUNCTION("""COMPUTED_VALUE"""),"podklady@cncenter.cz")</f>
        <v>podklady@cncenter.cz</v>
      </c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 t="str">
        <f ca="1">IFERROR(__xludf.DUMMYFUNCTION("""COMPUTED_VALUE"""),"cross-device")</f>
        <v>cross-device</v>
      </c>
      <c r="AO107" s="3"/>
      <c r="AP107" s="3"/>
      <c r="AQ107" s="3"/>
      <c r="AR107" s="3"/>
      <c r="AS107" s="3"/>
      <c r="AT107" s="3"/>
      <c r="AU107" s="3" t="str">
        <f ca="1">IFERROR(__xludf.DUMMYFUNCTION("""COMPUTED_VALUE"""),"cílený videospot - max. 30 sec. / bumper")</f>
        <v>cílený videospot - max. 30 sec. / bumper</v>
      </c>
    </row>
    <row r="108" spans="1:47" x14ac:dyDescent="0.3">
      <c r="A108" s="3">
        <f ca="1"/>
        <v>2346826</v>
      </c>
      <c r="B108" s="3" t="str">
        <f ca="1"/>
        <v>CZECH NEWS CENTER a. s.</v>
      </c>
      <c r="C108" s="3" t="str">
        <f ca="1">IFERROR(__xludf.DUMMYFUNCTION("""COMPUTED_VALUE"""),"Auto")</f>
        <v>Auto</v>
      </c>
      <c r="D108" s="4" t="str">
        <f ca="1">IFERROR(__xludf.DUMMYFUNCTION("""COMPUTED_VALUE"""),"https://auto.cz")</f>
        <v>https://auto.cz</v>
      </c>
      <c r="E108" s="3" t="str">
        <f ca="1">IFERROR(__xludf.DUMMYFUNCTION("""COMPUTED_VALUE"""),"celý web")</f>
        <v>celý web</v>
      </c>
      <c r="F108" s="4" t="str">
        <f ca="1">IFERROR(__xludf.DUMMYFUNCTION("""COMPUTED_VALUE"""),"https://auto.cz")</f>
        <v>https://auto.cz</v>
      </c>
      <c r="G108" s="3" t="str">
        <f ca="1">IFERROR(__xludf.DUMMYFUNCTION("""COMPUTED_VALUE"""),"dokoupení proma o 2 týdny - 10 000 PV *** high season")</f>
        <v>dokoupení proma o 2 týdny - 10 000 PV *** high season</v>
      </c>
      <c r="H108" s="3">
        <f ca="1">IFERROR(__xludf.DUMMYFUNCTION("""COMPUTED_VALUE"""),1)</f>
        <v>1</v>
      </c>
      <c r="I108" s="5">
        <f ca="1">IFERROR(__xludf.DUMMYFUNCTION("""COMPUTED_VALUE"""),1)</f>
        <v>1</v>
      </c>
      <c r="J108" s="5">
        <f ca="1">IFERROR(__xludf.DUMMYFUNCTION("""COMPUTED_VALUE"""),60000)</f>
        <v>60000</v>
      </c>
      <c r="K108" s="3"/>
      <c r="L108" s="3" t="str">
        <f ca="1">IFERROR(__xludf.DUMMYFUNCTION("""COMPUTED_VALUE"""),"Cost per instance")</f>
        <v>Cost per instance</v>
      </c>
      <c r="M108" s="3"/>
      <c r="N108" s="3"/>
      <c r="O108" s="3"/>
      <c r="P108" s="3"/>
      <c r="Q108" s="3"/>
      <c r="R108" s="3"/>
      <c r="S108" s="3" t="str">
        <f ca="1">IFERROR(__xludf.DUMMYFUNCTION("""COMPUTED_VALUE"""),"100")</f>
        <v>100</v>
      </c>
      <c r="T108" s="3"/>
      <c r="U108" s="3" t="str">
        <f ca="1">IFERROR(__xludf.DUMMYFUNCTION("""COMPUTED_VALUE"""),"microsite")</f>
        <v>microsite</v>
      </c>
      <c r="V108" s="3"/>
      <c r="W108" s="3"/>
      <c r="X108" s="3"/>
      <c r="Y108" s="3"/>
      <c r="Z108" s="3" t="str">
        <f ca="1">IFERROR(__xludf.DUMMYFUNCTION("""COMPUTED_VALUE"""),"podklady@cncenter.cz")</f>
        <v>podklady@cncenter.cz</v>
      </c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 t="str">
        <f ca="1">IFERROR(__xludf.DUMMYFUNCTION("""COMPUTED_VALUE"""),"cross-device")</f>
        <v>cross-device</v>
      </c>
      <c r="AO108" s="3"/>
      <c r="AP108" s="3"/>
      <c r="AQ108" s="3"/>
      <c r="AR108" s="3"/>
      <c r="AS108" s="3"/>
      <c r="AT108" s="3"/>
      <c r="AU108" s="3" t="str">
        <f ca="1">IFERROR(__xludf.DUMMYFUNCTION("""COMPUTED_VALUE"""),"dokoupení proma o 2 týdny - 10 000 PV ***")</f>
        <v>dokoupení proma o 2 týdny - 10 000 PV ***</v>
      </c>
    </row>
    <row r="109" spans="1:47" x14ac:dyDescent="0.3">
      <c r="A109" s="3">
        <f ca="1"/>
        <v>2346826</v>
      </c>
      <c r="B109" s="3" t="str">
        <f ca="1"/>
        <v>CZECH NEWS CENTER a. s.</v>
      </c>
      <c r="C109" s="3" t="str">
        <f ca="1">IFERROR(__xludf.DUMMYFUNCTION("""COMPUTED_VALUE"""),"Auto")</f>
        <v>Auto</v>
      </c>
      <c r="D109" s="4" t="str">
        <f ca="1">IFERROR(__xludf.DUMMYFUNCTION("""COMPUTED_VALUE"""),"https://auto.cz")</f>
        <v>https://auto.cz</v>
      </c>
      <c r="E109" s="3" t="str">
        <f ca="1">IFERROR(__xludf.DUMMYFUNCTION("""COMPUTED_VALUE"""),"celý web")</f>
        <v>celý web</v>
      </c>
      <c r="F109" s="4" t="str">
        <f ca="1">IFERROR(__xludf.DUMMYFUNCTION("""COMPUTED_VALUE"""),"https://auto.cz")</f>
        <v>https://auto.cz</v>
      </c>
      <c r="G109" s="3" t="str">
        <f ca="1">IFERROR(__xludf.DUMMYFUNCTION("""COMPUTED_VALUE"""),"double skyscraper high season")</f>
        <v>double skyscraper high season</v>
      </c>
      <c r="H109" s="3">
        <f ca="1">IFERROR(__xludf.DUMMYFUNCTION("""COMPUTED_VALUE"""),7)</f>
        <v>7</v>
      </c>
      <c r="I109" s="5">
        <f ca="1">IFERROR(__xludf.DUMMYFUNCTION("""COMPUTED_VALUE"""),1000)</f>
        <v>1000</v>
      </c>
      <c r="J109" s="5">
        <f ca="1">IFERROR(__xludf.DUMMYFUNCTION("""COMPUTED_VALUE"""),350)</f>
        <v>350</v>
      </c>
      <c r="K109" s="3"/>
      <c r="L109" s="3" t="str">
        <f ca="1">IFERROR(__xludf.DUMMYFUNCTION("""COMPUTED_VALUE"""),"Cost per period")</f>
        <v>Cost per period</v>
      </c>
      <c r="M109" s="3"/>
      <c r="N109" s="3"/>
      <c r="O109" s="3" t="str">
        <f ca="1">IFERROR(__xludf.DUMMYFUNCTION("""COMPUTED_VALUE"""),"300")</f>
        <v>300</v>
      </c>
      <c r="P109" s="3" t="str">
        <f ca="1">IFERROR(__xludf.DUMMYFUNCTION("""COMPUTED_VALUE"""),"600")</f>
        <v>600</v>
      </c>
      <c r="Q109" s="3" t="str">
        <f ca="1">IFERROR(__xludf.DUMMYFUNCTION("""COMPUTED_VALUE"""),"300x600")</f>
        <v>300x600</v>
      </c>
      <c r="R109" s="3"/>
      <c r="S109" s="3" t="str">
        <f ca="1">IFERROR(__xludf.DUMMYFUNCTION("""COMPUTED_VALUE"""),"100 (200 - HTML5)")</f>
        <v>100 (200 - HTML5)</v>
      </c>
      <c r="T109" s="3"/>
      <c r="U109" s="3" t="str">
        <f ca="1">IFERROR(__xludf.DUMMYFUNCTION("""COMPUTED_VALUE"""),"banner standard")</f>
        <v>banner standard</v>
      </c>
      <c r="V109" s="3"/>
      <c r="W109" s="4" t="str">
        <f ca="1">IFERROR(__xludf.DUMMYFUNCTION("""COMPUTED_VALUE"""),"https://reklama.cncenter.cz/Online/double-skyscraper")</f>
        <v>https://reklama.cncenter.cz/Online/double-skyscraper</v>
      </c>
      <c r="X109" s="3"/>
      <c r="Y109" s="3"/>
      <c r="Z109" s="3" t="str">
        <f ca="1">IFERROR(__xludf.DUMMYFUNCTION("""COMPUTED_VALUE"""),"podklady@cncenter.cz")</f>
        <v>podklady@cncenter.cz</v>
      </c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 t="str">
        <f ca="1">IFERROR(__xludf.DUMMYFUNCTION("""COMPUTED_VALUE"""),"desktop")</f>
        <v>desktop</v>
      </c>
      <c r="AO109" s="3"/>
      <c r="AP109" s="3"/>
      <c r="AQ109" s="3"/>
      <c r="AR109" s="3"/>
      <c r="AS109" s="3"/>
      <c r="AT109" s="3"/>
      <c r="AU109" s="3" t="str">
        <f ca="1">IFERROR(__xludf.DUMMYFUNCTION("""COMPUTED_VALUE"""),"double skyscraper")</f>
        <v>double skyscraper</v>
      </c>
    </row>
    <row r="110" spans="1:47" x14ac:dyDescent="0.3">
      <c r="A110" s="3">
        <f ca="1"/>
        <v>2346826</v>
      </c>
      <c r="B110" s="3" t="str">
        <f ca="1"/>
        <v>CZECH NEWS CENTER a. s.</v>
      </c>
      <c r="C110" s="3" t="str">
        <f ca="1">IFERROR(__xludf.DUMMYFUNCTION("""COMPUTED_VALUE"""),"Auto")</f>
        <v>Auto</v>
      </c>
      <c r="D110" s="4" t="str">
        <f ca="1">IFERROR(__xludf.DUMMYFUNCTION("""COMPUTED_VALUE"""),"https://auto.cz")</f>
        <v>https://auto.cz</v>
      </c>
      <c r="E110" s="3" t="str">
        <f ca="1">IFERROR(__xludf.DUMMYFUNCTION("""COMPUTED_VALUE"""),"celý web")</f>
        <v>celý web</v>
      </c>
      <c r="F110" s="4" t="str">
        <f ca="1">IFERROR(__xludf.DUMMYFUNCTION("""COMPUTED_VALUE"""),"https://auto.cz")</f>
        <v>https://auto.cz</v>
      </c>
      <c r="G110" s="3" t="str">
        <f ca="1">IFERROR(__xludf.DUMMYFUNCTION("""COMPUTED_VALUE"""),"mini videospot - max. 30 sec. high season")</f>
        <v>mini videospot - max. 30 sec. high season</v>
      </c>
      <c r="H110" s="3">
        <f ca="1">IFERROR(__xludf.DUMMYFUNCTION("""COMPUTED_VALUE"""),7)</f>
        <v>7</v>
      </c>
      <c r="I110" s="5">
        <f ca="1">IFERROR(__xludf.DUMMYFUNCTION("""COMPUTED_VALUE"""),1000)</f>
        <v>1000</v>
      </c>
      <c r="J110" s="5">
        <f ca="1">IFERROR(__xludf.DUMMYFUNCTION("""COMPUTED_VALUE"""),260)</f>
        <v>260</v>
      </c>
      <c r="K110" s="3"/>
      <c r="L110" s="3" t="str">
        <f ca="1">IFERROR(__xludf.DUMMYFUNCTION("""COMPUTED_VALUE"""),"Cost per period")</f>
        <v>Cost per period</v>
      </c>
      <c r="M110" s="3"/>
      <c r="N110" s="3"/>
      <c r="O110" s="3"/>
      <c r="P110" s="3"/>
      <c r="Q110" s="3" t="str">
        <f ca="1">IFERROR(__xludf.DUMMYFUNCTION("""COMPUTED_VALUE"""),"16:9 / umístění po domluvě dle možností")</f>
        <v>16:9 / umístění po domluvě dle možností</v>
      </c>
      <c r="R110" s="3" t="str">
        <f ca="1">IFERROR(__xludf.DUMMYFUNCTION("""COMPUTED_VALUE"""),"přeskočení po 7 sekundách")</f>
        <v>přeskočení po 7 sekundách</v>
      </c>
      <c r="S110" s="3" t="str">
        <f ca="1">IFERROR(__xludf.DUMMYFUNCTION("""COMPUTED_VALUE"""),"100")</f>
        <v>100</v>
      </c>
      <c r="T110" s="3"/>
      <c r="U110" s="3" t="str">
        <f ca="1">IFERROR(__xludf.DUMMYFUNCTION("""COMPUTED_VALUE"""),"videospot")</f>
        <v>videospot</v>
      </c>
      <c r="V110" s="3"/>
      <c r="W110" s="4" t="str">
        <f ca="1">IFERROR(__xludf.DUMMYFUNCTION("""COMPUTED_VALUE"""),"https://reklama.cncenter.cz/Online/Videospot")</f>
        <v>https://reklama.cncenter.cz/Online/Videospot</v>
      </c>
      <c r="X110" s="3"/>
      <c r="Y110" s="3"/>
      <c r="Z110" s="3" t="str">
        <f ca="1">IFERROR(__xludf.DUMMYFUNCTION("""COMPUTED_VALUE"""),"podklady@cncenter.cz")</f>
        <v>podklady@cncenter.cz</v>
      </c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 t="str">
        <f ca="1">IFERROR(__xludf.DUMMYFUNCTION("""COMPUTED_VALUE"""),"desktop")</f>
        <v>desktop</v>
      </c>
      <c r="AO110" s="3"/>
      <c r="AP110" s="3"/>
      <c r="AQ110" s="3"/>
      <c r="AR110" s="3"/>
      <c r="AS110" s="3"/>
      <c r="AT110" s="3"/>
      <c r="AU110" s="3" t="str">
        <f ca="1">IFERROR(__xludf.DUMMYFUNCTION("""COMPUTED_VALUE"""),"mini videospot - max. 30 sec.")</f>
        <v>mini videospot - max. 30 sec.</v>
      </c>
    </row>
    <row r="111" spans="1:47" x14ac:dyDescent="0.3">
      <c r="A111" s="3">
        <f ca="1"/>
        <v>2346826</v>
      </c>
      <c r="B111" s="3" t="str">
        <f ca="1"/>
        <v>CZECH NEWS CENTER a. s.</v>
      </c>
      <c r="C111" s="3" t="str">
        <f ca="1">IFERROR(__xludf.DUMMYFUNCTION("""COMPUTED_VALUE"""),"Auto")</f>
        <v>Auto</v>
      </c>
      <c r="D111" s="4" t="str">
        <f ca="1">IFERROR(__xludf.DUMMYFUNCTION("""COMPUTED_VALUE"""),"https://auto.cz")</f>
        <v>https://auto.cz</v>
      </c>
      <c r="E111" s="3" t="str">
        <f ca="1">IFERROR(__xludf.DUMMYFUNCTION("""COMPUTED_VALUE"""),"celý web")</f>
        <v>celý web</v>
      </c>
      <c r="F111" s="4" t="str">
        <f ca="1">IFERROR(__xludf.DUMMYFUNCTION("""COMPUTED_VALUE"""),"https://auto.cz")</f>
        <v>https://auto.cz</v>
      </c>
      <c r="G111" s="3" t="str">
        <f ca="1">IFERROR(__xludf.DUMMYFUNCTION("""COMPUTED_VALUE"""),"mobilní interscroller high season")</f>
        <v>mobilní interscroller high season</v>
      </c>
      <c r="H111" s="3">
        <f ca="1">IFERROR(__xludf.DUMMYFUNCTION("""COMPUTED_VALUE"""),7)</f>
        <v>7</v>
      </c>
      <c r="I111" s="5">
        <f ca="1">IFERROR(__xludf.DUMMYFUNCTION("""COMPUTED_VALUE"""),1000)</f>
        <v>1000</v>
      </c>
      <c r="J111" s="5">
        <f ca="1">IFERROR(__xludf.DUMMYFUNCTION("""COMPUTED_VALUE"""),450)</f>
        <v>450</v>
      </c>
      <c r="K111" s="3"/>
      <c r="L111" s="3" t="str">
        <f ca="1">IFERROR(__xludf.DUMMYFUNCTION("""COMPUTED_VALUE"""),"Cost per period")</f>
        <v>Cost per period</v>
      </c>
      <c r="M111" s="3"/>
      <c r="N111" s="3"/>
      <c r="O111" s="3" t="str">
        <f ca="1">IFERROR(__xludf.DUMMYFUNCTION("""COMPUTED_VALUE"""),"600")</f>
        <v>600</v>
      </c>
      <c r="P111" s="3" t="str">
        <f ca="1">IFERROR(__xludf.DUMMYFUNCTION("""COMPUTED_VALUE"""),"1080")</f>
        <v>1080</v>
      </c>
      <c r="Q111" s="3" t="str">
        <f ca="1">IFERROR(__xludf.DUMMYFUNCTION("""COMPUTED_VALUE"""),"600x1080")</f>
        <v>600x1080</v>
      </c>
      <c r="R111" s="3"/>
      <c r="S111" s="3" t="str">
        <f ca="1">IFERROR(__xludf.DUMMYFUNCTION("""COMPUTED_VALUE"""),"200")</f>
        <v>200</v>
      </c>
      <c r="T111" s="3"/>
      <c r="U111" s="3" t="str">
        <f ca="1">IFERROR(__xludf.DUMMYFUNCTION("""COMPUTED_VALUE"""),"banner standard")</f>
        <v>banner standard</v>
      </c>
      <c r="V111" s="3"/>
      <c r="W111" s="4" t="str">
        <f ca="1">IFERROR(__xludf.DUMMYFUNCTION("""COMPUTED_VALUE"""),"https://reklama.cncenter.cz/Online/mobilni-interscroller")</f>
        <v>https://reklama.cncenter.cz/Online/mobilni-interscroller</v>
      </c>
      <c r="X111" s="3"/>
      <c r="Y111" s="3"/>
      <c r="Z111" s="3" t="str">
        <f ca="1">IFERROR(__xludf.DUMMYFUNCTION("""COMPUTED_VALUE"""),"podklady@cncenter.cz")</f>
        <v>podklady@cncenter.cz</v>
      </c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 t="str">
        <f ca="1">IFERROR(__xludf.DUMMYFUNCTION("""COMPUTED_VALUE"""),"mobile")</f>
        <v>mobile</v>
      </c>
      <c r="AO111" s="3"/>
      <c r="AP111" s="3"/>
      <c r="AQ111" s="3"/>
      <c r="AR111" s="3"/>
      <c r="AS111" s="3"/>
      <c r="AT111" s="3"/>
      <c r="AU111" s="3" t="str">
        <f ca="1">IFERROR(__xludf.DUMMYFUNCTION("""COMPUTED_VALUE"""),"mobilní interscroller")</f>
        <v>mobilní interscroller</v>
      </c>
    </row>
    <row r="112" spans="1:47" x14ac:dyDescent="0.3">
      <c r="A112" s="3">
        <f ca="1"/>
        <v>2346826</v>
      </c>
      <c r="B112" s="3" t="str">
        <f ca="1"/>
        <v>CZECH NEWS CENTER a. s.</v>
      </c>
      <c r="C112" s="3" t="str">
        <f ca="1">IFERROR(__xludf.DUMMYFUNCTION("""COMPUTED_VALUE"""),"Auto")</f>
        <v>Auto</v>
      </c>
      <c r="D112" s="4" t="str">
        <f ca="1">IFERROR(__xludf.DUMMYFUNCTION("""COMPUTED_VALUE"""),"https://auto.cz")</f>
        <v>https://auto.cz</v>
      </c>
      <c r="E112" s="3" t="str">
        <f ca="1">IFERROR(__xludf.DUMMYFUNCTION("""COMPUTED_VALUE"""),"celý web")</f>
        <v>celý web</v>
      </c>
      <c r="F112" s="4" t="str">
        <f ca="1">IFERROR(__xludf.DUMMYFUNCTION("""COMPUTED_VALUE"""),"https://auto.cz")</f>
        <v>https://auto.cz</v>
      </c>
      <c r="G112" s="3" t="str">
        <f ca="1">IFERROR(__xludf.DUMMYFUNCTION("""COMPUTED_VALUE"""),"mobilní slide-up high season")</f>
        <v>mobilní slide-up high season</v>
      </c>
      <c r="H112" s="3">
        <f ca="1">IFERROR(__xludf.DUMMYFUNCTION("""COMPUTED_VALUE"""),7)</f>
        <v>7</v>
      </c>
      <c r="I112" s="5">
        <f ca="1">IFERROR(__xludf.DUMMYFUNCTION("""COMPUTED_VALUE"""),1000)</f>
        <v>1000</v>
      </c>
      <c r="J112" s="5">
        <f ca="1">IFERROR(__xludf.DUMMYFUNCTION("""COMPUTED_VALUE"""),920)</f>
        <v>920</v>
      </c>
      <c r="K112" s="3"/>
      <c r="L112" s="3" t="str">
        <f ca="1">IFERROR(__xludf.DUMMYFUNCTION("""COMPUTED_VALUE"""),"Cost per period")</f>
        <v>Cost per period</v>
      </c>
      <c r="M112" s="3"/>
      <c r="N112" s="3"/>
      <c r="O112" s="3" t="str">
        <f ca="1">IFERROR(__xludf.DUMMYFUNCTION("""COMPUTED_VALUE"""),"300")</f>
        <v>300</v>
      </c>
      <c r="P112" s="3" t="str">
        <f ca="1">IFERROR(__xludf.DUMMYFUNCTION("""COMPUTED_VALUE"""),"120")</f>
        <v>120</v>
      </c>
      <c r="Q112" s="3" t="str">
        <f ca="1">IFERROR(__xludf.DUMMYFUNCTION("""COMPUTED_VALUE"""),"300x120")</f>
        <v>300x120</v>
      </c>
      <c r="R112" s="3"/>
      <c r="S112" s="3" t="str">
        <f ca="1">IFERROR(__xludf.DUMMYFUNCTION("""COMPUTED_VALUE"""),"100")</f>
        <v>100</v>
      </c>
      <c r="T112" s="3"/>
      <c r="U112" s="3" t="str">
        <f ca="1">IFERROR(__xludf.DUMMYFUNCTION("""COMPUTED_VALUE"""),"banner standard")</f>
        <v>banner standard</v>
      </c>
      <c r="V112" s="3"/>
      <c r="W112" s="4" t="str">
        <f ca="1">IFERROR(__xludf.DUMMYFUNCTION("""COMPUTED_VALUE"""),"https://reklama.cncenter.cz/Online/mobilni-slide-up")</f>
        <v>https://reklama.cncenter.cz/Online/mobilni-slide-up</v>
      </c>
      <c r="X112" s="3"/>
      <c r="Y112" s="3"/>
      <c r="Z112" s="3" t="str">
        <f ca="1">IFERROR(__xludf.DUMMYFUNCTION("""COMPUTED_VALUE"""),"podklady@cncenter.cz")</f>
        <v>podklady@cncenter.cz</v>
      </c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 t="str">
        <f ca="1">IFERROR(__xludf.DUMMYFUNCTION("""COMPUTED_VALUE"""),"mobile")</f>
        <v>mobile</v>
      </c>
      <c r="AO112" s="3"/>
      <c r="AP112" s="3"/>
      <c r="AQ112" s="3"/>
      <c r="AR112" s="3"/>
      <c r="AS112" s="3"/>
      <c r="AT112" s="3"/>
      <c r="AU112" s="3" t="str">
        <f ca="1">IFERROR(__xludf.DUMMYFUNCTION("""COMPUTED_VALUE"""),"mobilní slide-up")</f>
        <v>mobilní slide-up</v>
      </c>
    </row>
    <row r="113" spans="1:47" x14ac:dyDescent="0.3">
      <c r="A113" s="3">
        <f ca="1"/>
        <v>2346826</v>
      </c>
      <c r="B113" s="3" t="str">
        <f ca="1"/>
        <v>CZECH NEWS CENTER a. s.</v>
      </c>
      <c r="C113" s="3" t="str">
        <f ca="1">IFERROR(__xludf.DUMMYFUNCTION("""COMPUTED_VALUE"""),"Auto")</f>
        <v>Auto</v>
      </c>
      <c r="D113" s="4" t="str">
        <f ca="1">IFERROR(__xludf.DUMMYFUNCTION("""COMPUTED_VALUE"""),"https://auto.cz")</f>
        <v>https://auto.cz</v>
      </c>
      <c r="E113" s="3" t="str">
        <f ca="1">IFERROR(__xludf.DUMMYFUNCTION("""COMPUTED_VALUE"""),"celý web")</f>
        <v>celý web</v>
      </c>
      <c r="F113" s="4" t="str">
        <f ca="1">IFERROR(__xludf.DUMMYFUNCTION("""COMPUTED_VALUE"""),"https://auto.cz")</f>
        <v>https://auto.cz</v>
      </c>
      <c r="G113" s="3" t="str">
        <f ca="1">IFERROR(__xludf.DUMMYFUNCTION("""COMPUTED_VALUE"""),"mobilní viněta high season")</f>
        <v>mobilní viněta high season</v>
      </c>
      <c r="H113" s="3">
        <f ca="1">IFERROR(__xludf.DUMMYFUNCTION("""COMPUTED_VALUE"""),7)</f>
        <v>7</v>
      </c>
      <c r="I113" s="5">
        <f ca="1">IFERROR(__xludf.DUMMYFUNCTION("""COMPUTED_VALUE"""),1000)</f>
        <v>1000</v>
      </c>
      <c r="J113" s="5">
        <f ca="1">IFERROR(__xludf.DUMMYFUNCTION("""COMPUTED_VALUE"""),1590)</f>
        <v>1590</v>
      </c>
      <c r="K113" s="3"/>
      <c r="L113" s="3" t="str">
        <f ca="1">IFERROR(__xludf.DUMMYFUNCTION("""COMPUTED_VALUE"""),"Cost per period")</f>
        <v>Cost per period</v>
      </c>
      <c r="M113" s="3"/>
      <c r="N113" s="3"/>
      <c r="O113" s="3" t="str">
        <f ca="1">IFERROR(__xludf.DUMMYFUNCTION("""COMPUTED_VALUE"""),"600")</f>
        <v>600</v>
      </c>
      <c r="P113" s="3" t="str">
        <f ca="1">IFERROR(__xludf.DUMMYFUNCTION("""COMPUTED_VALUE"""),"800")</f>
        <v>800</v>
      </c>
      <c r="Q113" s="3" t="str">
        <f ca="1">IFERROR(__xludf.DUMMYFUNCTION("""COMPUTED_VALUE"""),"300x250 nebo 600x800")</f>
        <v>300x250 nebo 600x800</v>
      </c>
      <c r="R113" s="3"/>
      <c r="S113" s="3" t="str">
        <f ca="1">IFERROR(__xludf.DUMMYFUNCTION("""COMPUTED_VALUE"""),"100")</f>
        <v>100</v>
      </c>
      <c r="T113" s="3"/>
      <c r="U113" s="3" t="str">
        <f ca="1">IFERROR(__xludf.DUMMYFUNCTION("""COMPUTED_VALUE"""),"banner standard")</f>
        <v>banner standard</v>
      </c>
      <c r="V113" s="3"/>
      <c r="W113" s="4" t="str">
        <f ca="1">IFERROR(__xludf.DUMMYFUNCTION("""COMPUTED_VALUE"""),"https://reklama.cncenter.cz/Online/mobilni-vineta")</f>
        <v>https://reklama.cncenter.cz/Online/mobilni-vineta</v>
      </c>
      <c r="X113" s="3"/>
      <c r="Y113" s="3"/>
      <c r="Z113" s="3" t="str">
        <f ca="1">IFERROR(__xludf.DUMMYFUNCTION("""COMPUTED_VALUE"""),"podklady@cncenter.cz")</f>
        <v>podklady@cncenter.cz</v>
      </c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 t="str">
        <f ca="1">IFERROR(__xludf.DUMMYFUNCTION("""COMPUTED_VALUE"""),"mobile")</f>
        <v>mobile</v>
      </c>
      <c r="AO113" s="3"/>
      <c r="AP113" s="3"/>
      <c r="AQ113" s="3"/>
      <c r="AR113" s="3"/>
      <c r="AS113" s="3"/>
      <c r="AT113" s="3"/>
      <c r="AU113" s="3" t="str">
        <f ca="1">IFERROR(__xludf.DUMMYFUNCTION("""COMPUTED_VALUE"""),"mobilní viněta")</f>
        <v>mobilní viněta</v>
      </c>
    </row>
    <row r="114" spans="1:47" x14ac:dyDescent="0.3">
      <c r="A114" s="3">
        <f ca="1"/>
        <v>2346826</v>
      </c>
      <c r="B114" s="3" t="str">
        <f ca="1"/>
        <v>CZECH NEWS CENTER a. s.</v>
      </c>
      <c r="C114" s="3" t="str">
        <f ca="1">IFERROR(__xludf.DUMMYFUNCTION("""COMPUTED_VALUE"""),"Auto")</f>
        <v>Auto</v>
      </c>
      <c r="D114" s="4" t="str">
        <f ca="1">IFERROR(__xludf.DUMMYFUNCTION("""COMPUTED_VALUE"""),"https://auto.cz")</f>
        <v>https://auto.cz</v>
      </c>
      <c r="E114" s="3" t="str">
        <f ca="1">IFERROR(__xludf.DUMMYFUNCTION("""COMPUTED_VALUE"""),"celý web")</f>
        <v>celý web</v>
      </c>
      <c r="F114" s="4" t="str">
        <f ca="1">IFERROR(__xludf.DUMMYFUNCTION("""COMPUTED_VALUE"""),"https://auto.cz")</f>
        <v>https://auto.cz</v>
      </c>
      <c r="G114" s="3" t="str">
        <f ca="1">IFERROR(__xludf.DUMMYFUNCTION("""COMPUTED_VALUE"""),"Native Standard high season")</f>
        <v>Native Standard high season</v>
      </c>
      <c r="H114" s="3">
        <f ca="1">IFERROR(__xludf.DUMMYFUNCTION("""COMPUTED_VALUE"""),1)</f>
        <v>1</v>
      </c>
      <c r="I114" s="5">
        <f ca="1">IFERROR(__xludf.DUMMYFUNCTION("""COMPUTED_VALUE"""),1)</f>
        <v>1</v>
      </c>
      <c r="J114" s="5">
        <f ca="1">IFERROR(__xludf.DUMMYFUNCTION("""COMPUTED_VALUE"""),330000)</f>
        <v>330000</v>
      </c>
      <c r="K114" s="3"/>
      <c r="L114" s="3" t="str">
        <f ca="1">IFERROR(__xludf.DUMMYFUNCTION("""COMPUTED_VALUE"""),"Cost per instance")</f>
        <v>Cost per instance</v>
      </c>
      <c r="M114" s="3"/>
      <c r="N114" s="3"/>
      <c r="O114" s="3"/>
      <c r="P114" s="3"/>
      <c r="Q114" s="3"/>
      <c r="R114" s="3"/>
      <c r="S114" s="3" t="str">
        <f ca="1">IFERROR(__xludf.DUMMYFUNCTION("""COMPUTED_VALUE"""),"100")</f>
        <v>100</v>
      </c>
      <c r="T114" s="3"/>
      <c r="U114" s="3" t="str">
        <f ca="1">IFERROR(__xludf.DUMMYFUNCTION("""COMPUTED_VALUE"""),"microsite")</f>
        <v>microsite</v>
      </c>
      <c r="V114" s="3"/>
      <c r="W114" s="3"/>
      <c r="X114" s="3"/>
      <c r="Y114" s="3"/>
      <c r="Z114" s="3" t="str">
        <f ca="1">IFERROR(__xludf.DUMMYFUNCTION("""COMPUTED_VALUE"""),"podklady@cncenter.cz")</f>
        <v>podklady@cncenter.cz</v>
      </c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 t="str">
        <f ca="1">IFERROR(__xludf.DUMMYFUNCTION("""COMPUTED_VALUE"""),"cross-device")</f>
        <v>cross-device</v>
      </c>
      <c r="AO114" s="3"/>
      <c r="AP114" s="3"/>
      <c r="AQ114" s="3"/>
      <c r="AR114" s="3"/>
      <c r="AS114" s="3"/>
      <c r="AT114" s="3"/>
      <c r="AU114" s="3" t="str">
        <f ca="1">IFERROR(__xludf.DUMMYFUNCTION("""COMPUTED_VALUE"""),"Native Standard")</f>
        <v>Native Standard</v>
      </c>
    </row>
    <row r="115" spans="1:47" x14ac:dyDescent="0.3">
      <c r="A115" s="3">
        <f ca="1"/>
        <v>2346826</v>
      </c>
      <c r="B115" s="3" t="str">
        <f ca="1"/>
        <v>CZECH NEWS CENTER a. s.</v>
      </c>
      <c r="C115" s="3" t="str">
        <f ca="1">IFERROR(__xludf.DUMMYFUNCTION("""COMPUTED_VALUE"""),"Auto")</f>
        <v>Auto</v>
      </c>
      <c r="D115" s="4" t="str">
        <f ca="1">IFERROR(__xludf.DUMMYFUNCTION("""COMPUTED_VALUE"""),"https://auto.cz")</f>
        <v>https://auto.cz</v>
      </c>
      <c r="E115" s="3" t="str">
        <f ca="1">IFERROR(__xludf.DUMMYFUNCTION("""COMPUTED_VALUE"""),"celý web")</f>
        <v>celý web</v>
      </c>
      <c r="F115" s="4" t="str">
        <f ca="1">IFERROR(__xludf.DUMMYFUNCTION("""COMPUTED_VALUE"""),"https://auto.cz")</f>
        <v>https://auto.cz</v>
      </c>
      <c r="G115" s="3" t="str">
        <f ca="1">IFERROR(__xludf.DUMMYFUNCTION("""COMPUTED_VALUE"""),"nativní pr premium high season")</f>
        <v>nativní pr premium high season</v>
      </c>
      <c r="H115" s="3">
        <f ca="1">IFERROR(__xludf.DUMMYFUNCTION("""COMPUTED_VALUE"""),7)</f>
        <v>7</v>
      </c>
      <c r="I115" s="5">
        <f ca="1">IFERROR(__xludf.DUMMYFUNCTION("""COMPUTED_VALUE"""),1000)</f>
        <v>1000</v>
      </c>
      <c r="J115" s="5">
        <f ca="1">IFERROR(__xludf.DUMMYFUNCTION("""COMPUTED_VALUE"""),180)</f>
        <v>180</v>
      </c>
      <c r="K115" s="3"/>
      <c r="L115" s="3" t="str">
        <f ca="1">IFERROR(__xludf.DUMMYFUNCTION("""COMPUTED_VALUE"""),"Cost per period")</f>
        <v>Cost per period</v>
      </c>
      <c r="M115" s="3"/>
      <c r="N115" s="3"/>
      <c r="O115" s="3" t="str">
        <f ca="1">IFERROR(__xludf.DUMMYFUNCTION("""COMPUTED_VALUE"""),"640")</f>
        <v>640</v>
      </c>
      <c r="P115" s="3" t="str">
        <f ca="1">IFERROR(__xludf.DUMMYFUNCTION("""COMPUTED_VALUE"""),"335, 640")</f>
        <v>335, 640</v>
      </c>
      <c r="Q115" s="3" t="str">
        <f ca="1">IFERROR(__xludf.DUMMYFUNCTION("""COMPUTED_VALUE"""),"640x640 a 640x335 + text + logo")</f>
        <v>640x640 a 640x335 + text + logo</v>
      </c>
      <c r="R115" s="3" t="str">
        <f ca="1">IFERROR(__xludf.DUMMYFUNCTION("""COMPUTED_VALUE"""),"detailní specifikace na URL odkaze")</f>
        <v>detailní specifikace na URL odkaze</v>
      </c>
      <c r="S115" s="3" t="str">
        <f ca="1">IFERROR(__xludf.DUMMYFUNCTION("""COMPUTED_VALUE"""),"100")</f>
        <v>100</v>
      </c>
      <c r="T115" s="3"/>
      <c r="U115" s="3" t="str">
        <f ca="1">IFERROR(__xludf.DUMMYFUNCTION("""COMPUTED_VALUE"""),"nativní reklama")</f>
        <v>nativní reklama</v>
      </c>
      <c r="V115" s="3"/>
      <c r="W115" s="4" t="str">
        <f ca="1">IFERROR(__xludf.DUMMYFUNCTION("""COMPUTED_VALUE"""),"https://reklama.cncenter.cz/Online/nativni-PR-premium")</f>
        <v>https://reklama.cncenter.cz/Online/nativni-PR-premium</v>
      </c>
      <c r="X115" s="3"/>
      <c r="Y115" s="3"/>
      <c r="Z115" s="3" t="str">
        <f ca="1">IFERROR(__xludf.DUMMYFUNCTION("""COMPUTED_VALUE"""),"podklady@cncenter.cz")</f>
        <v>podklady@cncenter.cz</v>
      </c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 t="str">
        <f ca="1">IFERROR(__xludf.DUMMYFUNCTION("""COMPUTED_VALUE"""),"cross-device")</f>
        <v>cross-device</v>
      </c>
      <c r="AO115" s="3"/>
      <c r="AP115" s="3"/>
      <c r="AQ115" s="3"/>
      <c r="AR115" s="3"/>
      <c r="AS115" s="3"/>
      <c r="AT115" s="3"/>
      <c r="AU115" s="3" t="str">
        <f ca="1">IFERROR(__xludf.DUMMYFUNCTION("""COMPUTED_VALUE"""),"nativní pr premium")</f>
        <v>nativní pr premium</v>
      </c>
    </row>
    <row r="116" spans="1:47" x14ac:dyDescent="0.3">
      <c r="A116" s="3">
        <f ca="1"/>
        <v>2346826</v>
      </c>
      <c r="B116" s="3" t="str">
        <f ca="1"/>
        <v>CZECH NEWS CENTER a. s.</v>
      </c>
      <c r="C116" s="3" t="str">
        <f ca="1">IFERROR(__xludf.DUMMYFUNCTION("""COMPUTED_VALUE"""),"Auto")</f>
        <v>Auto</v>
      </c>
      <c r="D116" s="4" t="str">
        <f ca="1">IFERROR(__xludf.DUMMYFUNCTION("""COMPUTED_VALUE"""),"https://auto.cz")</f>
        <v>https://auto.cz</v>
      </c>
      <c r="E116" s="3" t="str">
        <f ca="1">IFERROR(__xludf.DUMMYFUNCTION("""COMPUTED_VALUE"""),"celý web")</f>
        <v>celý web</v>
      </c>
      <c r="F116" s="4" t="str">
        <f ca="1">IFERROR(__xludf.DUMMYFUNCTION("""COMPUTED_VALUE"""),"https://auto.cz")</f>
        <v>https://auto.cz</v>
      </c>
      <c r="G116" s="3" t="str">
        <f ca="1">IFERROR(__xludf.DUMMYFUNCTION("""COMPUTED_VALUE"""),"nativní rectangle cross-device high season")</f>
        <v>nativní rectangle cross-device high season</v>
      </c>
      <c r="H116" s="3">
        <f ca="1">IFERROR(__xludf.DUMMYFUNCTION("""COMPUTED_VALUE"""),7)</f>
        <v>7</v>
      </c>
      <c r="I116" s="5">
        <f ca="1">IFERROR(__xludf.DUMMYFUNCTION("""COMPUTED_VALUE"""),1000)</f>
        <v>1000</v>
      </c>
      <c r="J116" s="5">
        <f ca="1">IFERROR(__xludf.DUMMYFUNCTION("""COMPUTED_VALUE"""),360)</f>
        <v>360</v>
      </c>
      <c r="K116" s="3"/>
      <c r="L116" s="3" t="str">
        <f ca="1">IFERROR(__xludf.DUMMYFUNCTION("""COMPUTED_VALUE"""),"Cost per period")</f>
        <v>Cost per period</v>
      </c>
      <c r="M116" s="3"/>
      <c r="N116" s="3"/>
      <c r="O116" s="3" t="str">
        <f ca="1">IFERROR(__xludf.DUMMYFUNCTION("""COMPUTED_VALUE"""),"640")</f>
        <v>640</v>
      </c>
      <c r="P116" s="3" t="str">
        <f ca="1">IFERROR(__xludf.DUMMYFUNCTION("""COMPUTED_VALUE"""),"335, 640")</f>
        <v>335, 640</v>
      </c>
      <c r="Q116" s="3" t="str">
        <f ca="1">IFERROR(__xludf.DUMMYFUNCTION("""COMPUTED_VALUE"""),"640x640 a 640x335 + text + logo")</f>
        <v>640x640 a 640x335 + text + logo</v>
      </c>
      <c r="R116" s="3"/>
      <c r="S116" s="3" t="str">
        <f ca="1">IFERROR(__xludf.DUMMYFUNCTION("""COMPUTED_VALUE"""),"45")</f>
        <v>45</v>
      </c>
      <c r="T116" s="3"/>
      <c r="U116" s="3" t="str">
        <f ca="1">IFERROR(__xludf.DUMMYFUNCTION("""COMPUTED_VALUE"""),"nativní reklama")</f>
        <v>nativní reklama</v>
      </c>
      <c r="V116" s="3"/>
      <c r="W116" s="4" t="str">
        <f ca="1">IFERROR(__xludf.DUMMYFUNCTION("""COMPUTED_VALUE"""),"https://reklama.cncenter.cz/Online/nativni-rectangle-cross-device")</f>
        <v>https://reklama.cncenter.cz/Online/nativni-rectangle-cross-device</v>
      </c>
      <c r="X116" s="3"/>
      <c r="Y116" s="3"/>
      <c r="Z116" s="3" t="str">
        <f ca="1">IFERROR(__xludf.DUMMYFUNCTION("""COMPUTED_VALUE"""),"podklady@cncenter.cz")</f>
        <v>podklady@cncenter.cz</v>
      </c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 t="str">
        <f ca="1">IFERROR(__xludf.DUMMYFUNCTION("""COMPUTED_VALUE"""),"cross-device")</f>
        <v>cross-device</v>
      </c>
      <c r="AO116" s="3"/>
      <c r="AP116" s="3"/>
      <c r="AQ116" s="3"/>
      <c r="AR116" s="3"/>
      <c r="AS116" s="3"/>
      <c r="AT116" s="3"/>
      <c r="AU116" s="3" t="str">
        <f ca="1">IFERROR(__xludf.DUMMYFUNCTION("""COMPUTED_VALUE"""),"nativní rectangle cross-device")</f>
        <v>nativní rectangle cross-device</v>
      </c>
    </row>
    <row r="117" spans="1:47" x14ac:dyDescent="0.3">
      <c r="A117" s="3">
        <f ca="1"/>
        <v>2346826</v>
      </c>
      <c r="B117" s="3" t="str">
        <f ca="1"/>
        <v>CZECH NEWS CENTER a. s.</v>
      </c>
      <c r="C117" s="3" t="str">
        <f ca="1">IFERROR(__xludf.DUMMYFUNCTION("""COMPUTED_VALUE"""),"Auto")</f>
        <v>Auto</v>
      </c>
      <c r="D117" s="4" t="str">
        <f ca="1">IFERROR(__xludf.DUMMYFUNCTION("""COMPUTED_VALUE"""),"https://auto.cz")</f>
        <v>https://auto.cz</v>
      </c>
      <c r="E117" s="3" t="str">
        <f ca="1">IFERROR(__xludf.DUMMYFUNCTION("""COMPUTED_VALUE"""),"celý web")</f>
        <v>celý web</v>
      </c>
      <c r="F117" s="4" t="str">
        <f ca="1">IFERROR(__xludf.DUMMYFUNCTION("""COMPUTED_VALUE"""),"https://auto.cz")</f>
        <v>https://auto.cz</v>
      </c>
      <c r="G117" s="3" t="str">
        <f ca="1">IFERROR(__xludf.DUMMYFUNCTION("""COMPUTED_VALUE"""),"outstream high season")</f>
        <v>outstream high season</v>
      </c>
      <c r="H117" s="3">
        <f ca="1">IFERROR(__xludf.DUMMYFUNCTION("""COMPUTED_VALUE"""),7)</f>
        <v>7</v>
      </c>
      <c r="I117" s="5">
        <f ca="1">IFERROR(__xludf.DUMMYFUNCTION("""COMPUTED_VALUE"""),1000)</f>
        <v>1000</v>
      </c>
      <c r="J117" s="5">
        <f ca="1">IFERROR(__xludf.DUMMYFUNCTION("""COMPUTED_VALUE"""),450)</f>
        <v>450</v>
      </c>
      <c r="K117" s="3"/>
      <c r="L117" s="3" t="str">
        <f ca="1">IFERROR(__xludf.DUMMYFUNCTION("""COMPUTED_VALUE"""),"Cost per period")</f>
        <v>Cost per period</v>
      </c>
      <c r="M117" s="3"/>
      <c r="N117" s="3"/>
      <c r="O117" s="3" t="str">
        <f ca="1">IFERROR(__xludf.DUMMYFUNCTION("""COMPUTED_VALUE"""),"1280")</f>
        <v>1280</v>
      </c>
      <c r="P117" s="3" t="str">
        <f ca="1">IFERROR(__xludf.DUMMYFUNCTION("""COMPUTED_VALUE"""),"720")</f>
        <v>720</v>
      </c>
      <c r="Q117" s="3" t="str">
        <f ca="1">IFERROR(__xludf.DUMMYFUNCTION("""COMPUTED_VALUE"""),"16:9")</f>
        <v>16:9</v>
      </c>
      <c r="R117" s="3"/>
      <c r="S117" s="3" t="str">
        <f ca="1">IFERROR(__xludf.DUMMYFUNCTION("""COMPUTED_VALUE"""),"100")</f>
        <v>100</v>
      </c>
      <c r="T117" s="3"/>
      <c r="U117" s="3" t="str">
        <f ca="1">IFERROR(__xludf.DUMMYFUNCTION("""COMPUTED_VALUE"""),"videospot")</f>
        <v>videospot</v>
      </c>
      <c r="V117" s="3"/>
      <c r="W117" s="4" t="str">
        <f ca="1">IFERROR(__xludf.DUMMYFUNCTION("""COMPUTED_VALUE"""),"https://reklama.cncenter.cz/Online/Outstream")</f>
        <v>https://reklama.cncenter.cz/Online/Outstream</v>
      </c>
      <c r="X117" s="3"/>
      <c r="Y117" s="3"/>
      <c r="Z117" s="3" t="str">
        <f ca="1">IFERROR(__xludf.DUMMYFUNCTION("""COMPUTED_VALUE"""),"podklady@cncenter.cz")</f>
        <v>podklady@cncenter.cz</v>
      </c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 t="str">
        <f ca="1">IFERROR(__xludf.DUMMYFUNCTION("""COMPUTED_VALUE"""),"cross-device")</f>
        <v>cross-device</v>
      </c>
      <c r="AO117" s="3"/>
      <c r="AP117" s="3"/>
      <c r="AQ117" s="3"/>
      <c r="AR117" s="3"/>
      <c r="AS117" s="3"/>
      <c r="AT117" s="3"/>
      <c r="AU117" s="3" t="str">
        <f ca="1">IFERROR(__xludf.DUMMYFUNCTION("""COMPUTED_VALUE"""),"outstream")</f>
        <v>outstream</v>
      </c>
    </row>
    <row r="118" spans="1:47" x14ac:dyDescent="0.3">
      <c r="A118" s="3">
        <f ca="1"/>
        <v>2346826</v>
      </c>
      <c r="B118" s="3" t="str">
        <f ca="1"/>
        <v>CZECH NEWS CENTER a. s.</v>
      </c>
      <c r="C118" s="3" t="str">
        <f ca="1">IFERROR(__xludf.DUMMYFUNCTION("""COMPUTED_VALUE"""),"Auto")</f>
        <v>Auto</v>
      </c>
      <c r="D118" s="4" t="str">
        <f ca="1">IFERROR(__xludf.DUMMYFUNCTION("""COMPUTED_VALUE"""),"https://auto.cz")</f>
        <v>https://auto.cz</v>
      </c>
      <c r="E118" s="3" t="str">
        <f ca="1">IFERROR(__xludf.DUMMYFUNCTION("""COMPUTED_VALUE"""),"celý web")</f>
        <v>celý web</v>
      </c>
      <c r="F118" s="4" t="str">
        <f ca="1">IFERROR(__xludf.DUMMYFUNCTION("""COMPUTED_VALUE"""),"https://auto.cz")</f>
        <v>https://auto.cz</v>
      </c>
      <c r="G118" s="3" t="str">
        <f ca="1">IFERROR(__xludf.DUMMYFUNCTION("""COMPUTED_VALUE"""),"PR článek high season")</f>
        <v>PR článek high season</v>
      </c>
      <c r="H118" s="3">
        <f ca="1">IFERROR(__xludf.DUMMYFUNCTION("""COMPUTED_VALUE"""),1)</f>
        <v>1</v>
      </c>
      <c r="I118" s="5">
        <f ca="1">IFERROR(__xludf.DUMMYFUNCTION("""COMPUTED_VALUE"""),1)</f>
        <v>1</v>
      </c>
      <c r="J118" s="5">
        <f ca="1">IFERROR(__xludf.DUMMYFUNCTION("""COMPUTED_VALUE"""),50000)</f>
        <v>50000</v>
      </c>
      <c r="K118" s="3"/>
      <c r="L118" s="3" t="str">
        <f ca="1">IFERROR(__xludf.DUMMYFUNCTION("""COMPUTED_VALUE"""),"Cost per instance")</f>
        <v>Cost per instance</v>
      </c>
      <c r="M118" s="3"/>
      <c r="N118" s="3"/>
      <c r="O118" s="3"/>
      <c r="P118" s="3"/>
      <c r="Q118" s="3"/>
      <c r="R118" s="3"/>
      <c r="S118" s="3" t="str">
        <f ca="1">IFERROR(__xludf.DUMMYFUNCTION("""COMPUTED_VALUE"""),"100")</f>
        <v>100</v>
      </c>
      <c r="T118" s="3"/>
      <c r="U118" s="3" t="str">
        <f ca="1">IFERROR(__xludf.DUMMYFUNCTION("""COMPUTED_VALUE"""),"pr článek")</f>
        <v>pr článek</v>
      </c>
      <c r="V118" s="3"/>
      <c r="W118" s="4" t="str">
        <f ca="1">IFERROR(__xludf.DUMMYFUNCTION("""COMPUTED_VALUE"""),"https://reklama.cncenter.cz/?ads=PR%2520%25C4%258Dl%25C3%25A1nky")</f>
        <v>https://reklama.cncenter.cz/?ads=PR%2520%25C4%258Dl%25C3%25A1nky</v>
      </c>
      <c r="X118" s="3"/>
      <c r="Y118" s="3"/>
      <c r="Z118" s="3" t="str">
        <f ca="1">IFERROR(__xludf.DUMMYFUNCTION("""COMPUTED_VALUE"""),"podklady@cncenter.cz")</f>
        <v>podklady@cncenter.cz</v>
      </c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 t="str">
        <f ca="1">IFERROR(__xludf.DUMMYFUNCTION("""COMPUTED_VALUE"""),"cross-device")</f>
        <v>cross-device</v>
      </c>
      <c r="AO118" s="3"/>
      <c r="AP118" s="3"/>
      <c r="AQ118" s="3"/>
      <c r="AR118" s="3"/>
      <c r="AS118" s="3"/>
      <c r="AT118" s="3"/>
      <c r="AU118" s="3" t="str">
        <f ca="1">IFERROR(__xludf.DUMMYFUNCTION("""COMPUTED_VALUE"""),"PR článek")</f>
        <v>PR článek</v>
      </c>
    </row>
    <row r="119" spans="1:47" x14ac:dyDescent="0.3">
      <c r="A119" s="3">
        <f ca="1"/>
        <v>2346826</v>
      </c>
      <c r="B119" s="3" t="str">
        <f ca="1"/>
        <v>CZECH NEWS CENTER a. s.</v>
      </c>
      <c r="C119" s="3" t="str">
        <f ca="1">IFERROR(__xludf.DUMMYFUNCTION("""COMPUTED_VALUE"""),"Auto")</f>
        <v>Auto</v>
      </c>
      <c r="D119" s="4" t="str">
        <f ca="1">IFERROR(__xludf.DUMMYFUNCTION("""COMPUTED_VALUE"""),"https://auto.cz")</f>
        <v>https://auto.cz</v>
      </c>
      <c r="E119" s="3" t="str">
        <f ca="1">IFERROR(__xludf.DUMMYFUNCTION("""COMPUTED_VALUE"""),"celý web")</f>
        <v>celý web</v>
      </c>
      <c r="F119" s="4" t="str">
        <f ca="1">IFERROR(__xludf.DUMMYFUNCTION("""COMPUTED_VALUE"""),"https://auto.cz")</f>
        <v>https://auto.cz</v>
      </c>
      <c r="G119" s="3" t="str">
        <f ca="1">IFERROR(__xludf.DUMMYFUNCTION("""COMPUTED_VALUE"""),"Prodloužení existující microsite, bez úprav high season")</f>
        <v>Prodloužení existující microsite, bez úprav high season</v>
      </c>
      <c r="H119" s="3">
        <f ca="1">IFERROR(__xludf.DUMMYFUNCTION("""COMPUTED_VALUE"""),1)</f>
        <v>1</v>
      </c>
      <c r="I119" s="5">
        <f ca="1">IFERROR(__xludf.DUMMYFUNCTION("""COMPUTED_VALUE"""),1)</f>
        <v>1</v>
      </c>
      <c r="J119" s="5">
        <f ca="1">IFERROR(__xludf.DUMMYFUNCTION("""COMPUTED_VALUE"""),15000)</f>
        <v>15000</v>
      </c>
      <c r="K119" s="3"/>
      <c r="L119" s="3" t="str">
        <f ca="1">IFERROR(__xludf.DUMMYFUNCTION("""COMPUTED_VALUE"""),"Cost per instance")</f>
        <v>Cost per instance</v>
      </c>
      <c r="M119" s="3"/>
      <c r="N119" s="3"/>
      <c r="O119" s="3"/>
      <c r="P119" s="3"/>
      <c r="Q119" s="3"/>
      <c r="R119" s="3"/>
      <c r="S119" s="3" t="str">
        <f ca="1">IFERROR(__xludf.DUMMYFUNCTION("""COMPUTED_VALUE"""),"100")</f>
        <v>100</v>
      </c>
      <c r="T119" s="3"/>
      <c r="U119" s="3" t="str">
        <f ca="1">IFERROR(__xludf.DUMMYFUNCTION("""COMPUTED_VALUE"""),"microsite")</f>
        <v>microsite</v>
      </c>
      <c r="V119" s="3"/>
      <c r="W119" s="3"/>
      <c r="X119" s="3"/>
      <c r="Y119" s="3"/>
      <c r="Z119" s="3" t="str">
        <f ca="1">IFERROR(__xludf.DUMMYFUNCTION("""COMPUTED_VALUE"""),"podklady@cncenter.cz")</f>
        <v>podklady@cncenter.cz</v>
      </c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 t="str">
        <f ca="1">IFERROR(__xludf.DUMMYFUNCTION("""COMPUTED_VALUE"""),"cross-device")</f>
        <v>cross-device</v>
      </c>
      <c r="AO119" s="3"/>
      <c r="AP119" s="3"/>
      <c r="AQ119" s="3"/>
      <c r="AR119" s="3"/>
      <c r="AS119" s="3"/>
      <c r="AT119" s="3"/>
      <c r="AU119" s="3" t="str">
        <f ca="1">IFERROR(__xludf.DUMMYFUNCTION("""COMPUTED_VALUE"""),"Prodloužení existující microsite, bez úprav")</f>
        <v>Prodloužení existující microsite, bez úprav</v>
      </c>
    </row>
    <row r="120" spans="1:47" x14ac:dyDescent="0.3">
      <c r="A120" s="3">
        <f ca="1"/>
        <v>2346826</v>
      </c>
      <c r="B120" s="3" t="str">
        <f ca="1"/>
        <v>CZECH NEWS CENTER a. s.</v>
      </c>
      <c r="C120" s="3" t="str">
        <f ca="1">IFERROR(__xludf.DUMMYFUNCTION("""COMPUTED_VALUE"""),"Auto")</f>
        <v>Auto</v>
      </c>
      <c r="D120" s="4" t="str">
        <f ca="1">IFERROR(__xludf.DUMMYFUNCTION("""COMPUTED_VALUE"""),"https://auto.cz")</f>
        <v>https://auto.cz</v>
      </c>
      <c r="E120" s="3" t="str">
        <f ca="1">IFERROR(__xludf.DUMMYFUNCTION("""COMPUTED_VALUE"""),"celý web")</f>
        <v>celý web</v>
      </c>
      <c r="F120" s="4" t="str">
        <f ca="1">IFERROR(__xludf.DUMMYFUNCTION("""COMPUTED_VALUE"""),"https://auto.cz")</f>
        <v>https://auto.cz</v>
      </c>
      <c r="G120" s="3" t="str">
        <f ca="1">IFERROR(__xludf.DUMMYFUNCTION("""COMPUTED_VALUE"""),"Prodloužení existující microsite, bez úprav high season")</f>
        <v>Prodloužení existující microsite, bez úprav high season</v>
      </c>
      <c r="H120" s="3">
        <f ca="1">IFERROR(__xludf.DUMMYFUNCTION("""COMPUTED_VALUE"""),1)</f>
        <v>1</v>
      </c>
      <c r="I120" s="5">
        <f ca="1">IFERROR(__xludf.DUMMYFUNCTION("""COMPUTED_VALUE"""),1)</f>
        <v>1</v>
      </c>
      <c r="J120" s="5">
        <f ca="1">IFERROR(__xludf.DUMMYFUNCTION("""COMPUTED_VALUE"""),15000)</f>
        <v>15000</v>
      </c>
      <c r="K120" s="3"/>
      <c r="L120" s="3" t="str">
        <f ca="1">IFERROR(__xludf.DUMMYFUNCTION("""COMPUTED_VALUE"""),"Cost per instance")</f>
        <v>Cost per instance</v>
      </c>
      <c r="M120" s="3"/>
      <c r="N120" s="3"/>
      <c r="O120" s="3"/>
      <c r="P120" s="3"/>
      <c r="Q120" s="3"/>
      <c r="R120" s="3"/>
      <c r="S120" s="3" t="str">
        <f ca="1">IFERROR(__xludf.DUMMYFUNCTION("""COMPUTED_VALUE"""),"100")</f>
        <v>100</v>
      </c>
      <c r="T120" s="3"/>
      <c r="U120" s="3" t="str">
        <f ca="1">IFERROR(__xludf.DUMMYFUNCTION("""COMPUTED_VALUE"""),"microsite")</f>
        <v>microsite</v>
      </c>
      <c r="V120" s="3"/>
      <c r="W120" s="3"/>
      <c r="X120" s="3"/>
      <c r="Y120" s="3"/>
      <c r="Z120" s="3" t="str">
        <f ca="1">IFERROR(__xludf.DUMMYFUNCTION("""COMPUTED_VALUE"""),"podklady@cncenter.cz")</f>
        <v>podklady@cncenter.cz</v>
      </c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 t="str">
        <f ca="1">IFERROR(__xludf.DUMMYFUNCTION("""COMPUTED_VALUE"""),"cross-device")</f>
        <v>cross-device</v>
      </c>
      <c r="AO120" s="3"/>
      <c r="AP120" s="3"/>
      <c r="AQ120" s="3"/>
      <c r="AR120" s="3"/>
      <c r="AS120" s="3"/>
      <c r="AT120" s="3"/>
      <c r="AU120" s="3" t="str">
        <f ca="1">IFERROR(__xludf.DUMMYFUNCTION("""COMPUTED_VALUE"""),"Prodloužení existující microsite, bez úprav")</f>
        <v>Prodloužení existující microsite, bez úprav</v>
      </c>
    </row>
    <row r="121" spans="1:47" x14ac:dyDescent="0.3">
      <c r="A121" s="3">
        <f ca="1"/>
        <v>2346826</v>
      </c>
      <c r="B121" s="3" t="str">
        <f ca="1"/>
        <v>CZECH NEWS CENTER a. s.</v>
      </c>
      <c r="C121" s="3" t="str">
        <f ca="1">IFERROR(__xludf.DUMMYFUNCTION("""COMPUTED_VALUE"""),"Auto")</f>
        <v>Auto</v>
      </c>
      <c r="D121" s="4" t="str">
        <f ca="1">IFERROR(__xludf.DUMMYFUNCTION("""COMPUTED_VALUE"""),"https://auto.cz")</f>
        <v>https://auto.cz</v>
      </c>
      <c r="E121" s="3" t="str">
        <f ca="1">IFERROR(__xludf.DUMMYFUNCTION("""COMPUTED_VALUE"""),"celý web")</f>
        <v>celý web</v>
      </c>
      <c r="F121" s="4" t="str">
        <f ca="1">IFERROR(__xludf.DUMMYFUNCTION("""COMPUTED_VALUE"""),"https://auto.cz")</f>
        <v>https://auto.cz</v>
      </c>
      <c r="G121" s="3" t="str">
        <f ca="1">IFERROR(__xludf.DUMMYFUNCTION("""COMPUTED_VALUE"""),"Prodloužení existující microsite, bez úprav high season")</f>
        <v>Prodloužení existující microsite, bez úprav high season</v>
      </c>
      <c r="H121" s="3">
        <f ca="1">IFERROR(__xludf.DUMMYFUNCTION("""COMPUTED_VALUE"""),1)</f>
        <v>1</v>
      </c>
      <c r="I121" s="5">
        <f ca="1">IFERROR(__xludf.DUMMYFUNCTION("""COMPUTED_VALUE"""),1)</f>
        <v>1</v>
      </c>
      <c r="J121" s="5">
        <f ca="1">IFERROR(__xludf.DUMMYFUNCTION("""COMPUTED_VALUE"""),15000)</f>
        <v>15000</v>
      </c>
      <c r="K121" s="3"/>
      <c r="L121" s="3" t="str">
        <f ca="1">IFERROR(__xludf.DUMMYFUNCTION("""COMPUTED_VALUE"""),"Cost per instance")</f>
        <v>Cost per instance</v>
      </c>
      <c r="M121" s="3"/>
      <c r="N121" s="3"/>
      <c r="O121" s="3"/>
      <c r="P121" s="3"/>
      <c r="Q121" s="3"/>
      <c r="R121" s="3"/>
      <c r="S121" s="3" t="str">
        <f ca="1">IFERROR(__xludf.DUMMYFUNCTION("""COMPUTED_VALUE"""),"100")</f>
        <v>100</v>
      </c>
      <c r="T121" s="3"/>
      <c r="U121" s="3" t="str">
        <f ca="1">IFERROR(__xludf.DUMMYFUNCTION("""COMPUTED_VALUE"""),"microsite")</f>
        <v>microsite</v>
      </c>
      <c r="V121" s="3"/>
      <c r="W121" s="3"/>
      <c r="X121" s="3"/>
      <c r="Y121" s="3"/>
      <c r="Z121" s="3" t="str">
        <f ca="1">IFERROR(__xludf.DUMMYFUNCTION("""COMPUTED_VALUE"""),"podklady@cncenter.cz")</f>
        <v>podklady@cncenter.cz</v>
      </c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 t="str">
        <f ca="1">IFERROR(__xludf.DUMMYFUNCTION("""COMPUTED_VALUE"""),"cross-device")</f>
        <v>cross-device</v>
      </c>
      <c r="AO121" s="3"/>
      <c r="AP121" s="3"/>
      <c r="AQ121" s="3"/>
      <c r="AR121" s="3"/>
      <c r="AS121" s="3"/>
      <c r="AT121" s="3"/>
      <c r="AU121" s="3" t="str">
        <f ca="1">IFERROR(__xludf.DUMMYFUNCTION("""COMPUTED_VALUE"""),"Prodloužení existující microsite, bez úprav")</f>
        <v>Prodloužení existující microsite, bez úprav</v>
      </c>
    </row>
    <row r="122" spans="1:47" x14ac:dyDescent="0.3">
      <c r="A122" s="3">
        <f ca="1"/>
        <v>2346826</v>
      </c>
      <c r="B122" s="3" t="str">
        <f ca="1"/>
        <v>CZECH NEWS CENTER a. s.</v>
      </c>
      <c r="C122" s="3" t="str">
        <f ca="1">IFERROR(__xludf.DUMMYFUNCTION("""COMPUTED_VALUE"""),"Auto")</f>
        <v>Auto</v>
      </c>
      <c r="D122" s="4" t="str">
        <f ca="1">IFERROR(__xludf.DUMMYFUNCTION("""COMPUTED_VALUE"""),"https://auto.cz")</f>
        <v>https://auto.cz</v>
      </c>
      <c r="E122" s="3" t="str">
        <f ca="1">IFERROR(__xludf.DUMMYFUNCTION("""COMPUTED_VALUE"""),"celý web")</f>
        <v>celý web</v>
      </c>
      <c r="F122" s="4" t="str">
        <f ca="1">IFERROR(__xludf.DUMMYFUNCTION("""COMPUTED_VALUE"""),"https://auto.cz")</f>
        <v>https://auto.cz</v>
      </c>
      <c r="G122" s="3" t="str">
        <f ca="1">IFERROR(__xludf.DUMMYFUNCTION("""COMPUTED_VALUE"""),"videospot - max. 30 sec. / bumper high season")</f>
        <v>videospot - max. 30 sec. / bumper high season</v>
      </c>
      <c r="H122" s="3">
        <f ca="1">IFERROR(__xludf.DUMMYFUNCTION("""COMPUTED_VALUE"""),7)</f>
        <v>7</v>
      </c>
      <c r="I122" s="5">
        <f ca="1">IFERROR(__xludf.DUMMYFUNCTION("""COMPUTED_VALUE"""),1000)</f>
        <v>1000</v>
      </c>
      <c r="J122" s="5">
        <f ca="1">IFERROR(__xludf.DUMMYFUNCTION("""COMPUTED_VALUE"""),1340)</f>
        <v>1340</v>
      </c>
      <c r="K122" s="3"/>
      <c r="L122" s="3" t="str">
        <f ca="1">IFERROR(__xludf.DUMMYFUNCTION("""COMPUTED_VALUE"""),"Cost per period")</f>
        <v>Cost per period</v>
      </c>
      <c r="M122" s="3"/>
      <c r="N122" s="3"/>
      <c r="O122" s="3" t="str">
        <f ca="1">IFERROR(__xludf.DUMMYFUNCTION("""COMPUTED_VALUE"""),"1280")</f>
        <v>1280</v>
      </c>
      <c r="P122" s="3" t="str">
        <f ca="1">IFERROR(__xludf.DUMMYFUNCTION("""COMPUTED_VALUE"""),"720")</f>
        <v>720</v>
      </c>
      <c r="Q122" s="3" t="str">
        <f ca="1">IFERROR(__xludf.DUMMYFUNCTION("""COMPUTED_VALUE"""),"16:9 / umístění po domluvě dle možností")</f>
        <v>16:9 / umístění po domluvě dle možností</v>
      </c>
      <c r="R122" s="3" t="str">
        <f ca="1">IFERROR(__xludf.DUMMYFUNCTION("""COMPUTED_VALUE"""),"přeskočení po 7 sekundách")</f>
        <v>přeskočení po 7 sekundách</v>
      </c>
      <c r="S122" s="3" t="str">
        <f ca="1">IFERROR(__xludf.DUMMYFUNCTION("""COMPUTED_VALUE"""),"100")</f>
        <v>100</v>
      </c>
      <c r="T122" s="3"/>
      <c r="U122" s="3" t="str">
        <f ca="1">IFERROR(__xludf.DUMMYFUNCTION("""COMPUTED_VALUE"""),"videospot")</f>
        <v>videospot</v>
      </c>
      <c r="V122" s="3"/>
      <c r="W122" s="4" t="str">
        <f ca="1">IFERROR(__xludf.DUMMYFUNCTION("""COMPUTED_VALUE"""),"https://reklama.cncenter.cz/Online/Bumper")</f>
        <v>https://reklama.cncenter.cz/Online/Bumper</v>
      </c>
      <c r="X122" s="3"/>
      <c r="Y122" s="3"/>
      <c r="Z122" s="3" t="str">
        <f ca="1">IFERROR(__xludf.DUMMYFUNCTION("""COMPUTED_VALUE"""),"podklady@cncenter.cz")</f>
        <v>podklady@cncenter.cz</v>
      </c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 t="str">
        <f ca="1">IFERROR(__xludf.DUMMYFUNCTION("""COMPUTED_VALUE"""),"cross-device")</f>
        <v>cross-device</v>
      </c>
      <c r="AO122" s="3"/>
      <c r="AP122" s="3"/>
      <c r="AQ122" s="3"/>
      <c r="AR122" s="3"/>
      <c r="AS122" s="3"/>
      <c r="AT122" s="3"/>
      <c r="AU122" s="3" t="str">
        <f ca="1">IFERROR(__xludf.DUMMYFUNCTION("""COMPUTED_VALUE"""),"videospot - max. 30 sec. / bumper")</f>
        <v>videospot - max. 30 sec. / bumper</v>
      </c>
    </row>
    <row r="123" spans="1:47" x14ac:dyDescent="0.3">
      <c r="A123" s="3">
        <f ca="1"/>
        <v>2346826</v>
      </c>
      <c r="B123" s="3" t="str">
        <f ca="1"/>
        <v>CZECH NEWS CENTER a. s.</v>
      </c>
      <c r="C123" s="3" t="str">
        <f ca="1">IFERROR(__xludf.DUMMYFUNCTION("""COMPUTED_VALUE"""),"AutoRevue")</f>
        <v>AutoRevue</v>
      </c>
      <c r="D123" s="4" t="str">
        <f ca="1">IFERROR(__xludf.DUMMYFUNCTION("""COMPUTED_VALUE"""),"https://autorevue.cz")</f>
        <v>https://autorevue.cz</v>
      </c>
      <c r="E123" s="3" t="str">
        <f ca="1">IFERROR(__xludf.DUMMYFUNCTION("""COMPUTED_VALUE"""),"celý web")</f>
        <v>celý web</v>
      </c>
      <c r="F123" s="4" t="str">
        <f ca="1">IFERROR(__xludf.DUMMYFUNCTION("""COMPUTED_VALUE"""),"https://autorevue.cz")</f>
        <v>https://autorevue.cz</v>
      </c>
      <c r="G123" s="3" t="str">
        <f ca="1">IFERROR(__xludf.DUMMYFUNCTION("""COMPUTED_VALUE"""),"Advertorial high season")</f>
        <v>Advertorial high season</v>
      </c>
      <c r="H123" s="3">
        <f ca="1">IFERROR(__xludf.DUMMYFUNCTION("""COMPUTED_VALUE"""),1)</f>
        <v>1</v>
      </c>
      <c r="I123" s="5">
        <f ca="1">IFERROR(__xludf.DUMMYFUNCTION("""COMPUTED_VALUE"""),1)</f>
        <v>1</v>
      </c>
      <c r="J123" s="5">
        <f ca="1">IFERROR(__xludf.DUMMYFUNCTION("""COMPUTED_VALUE"""),90000)</f>
        <v>90000</v>
      </c>
      <c r="K123" s="3"/>
      <c r="L123" s="3" t="str">
        <f ca="1">IFERROR(__xludf.DUMMYFUNCTION("""COMPUTED_VALUE"""),"Cost per instance")</f>
        <v>Cost per instance</v>
      </c>
      <c r="M123" s="3"/>
      <c r="N123" s="3"/>
      <c r="O123" s="3"/>
      <c r="P123" s="3"/>
      <c r="Q123" s="3"/>
      <c r="R123" s="3"/>
      <c r="S123" s="3" t="str">
        <f ca="1">IFERROR(__xludf.DUMMYFUNCTION("""COMPUTED_VALUE"""),"100")</f>
        <v>100</v>
      </c>
      <c r="T123" s="3"/>
      <c r="U123" s="3" t="str">
        <f ca="1">IFERROR(__xludf.DUMMYFUNCTION("""COMPUTED_VALUE"""),"pr článek")</f>
        <v>pr článek</v>
      </c>
      <c r="V123" s="3"/>
      <c r="W123" s="3"/>
      <c r="X123" s="3"/>
      <c r="Y123" s="3"/>
      <c r="Z123" s="3" t="str">
        <f ca="1">IFERROR(__xludf.DUMMYFUNCTION("""COMPUTED_VALUE"""),"podklady@cncenter.cz")</f>
        <v>podklady@cncenter.cz</v>
      </c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 t="str">
        <f ca="1">IFERROR(__xludf.DUMMYFUNCTION("""COMPUTED_VALUE"""),"cross-device")</f>
        <v>cross-device</v>
      </c>
      <c r="AO123" s="3"/>
      <c r="AP123" s="3"/>
      <c r="AQ123" s="3"/>
      <c r="AR123" s="3"/>
      <c r="AS123" s="3"/>
      <c r="AT123" s="3"/>
      <c r="AU123" s="3" t="str">
        <f ca="1">IFERROR(__xludf.DUMMYFUNCTION("""COMPUTED_VALUE"""),"Advertorial")</f>
        <v>Advertorial</v>
      </c>
    </row>
    <row r="124" spans="1:47" x14ac:dyDescent="0.3">
      <c r="A124" s="3">
        <f ca="1"/>
        <v>2346826</v>
      </c>
      <c r="B124" s="3" t="str">
        <f ca="1"/>
        <v>CZECH NEWS CENTER a. s.</v>
      </c>
      <c r="C124" s="3" t="str">
        <f ca="1">IFERROR(__xludf.DUMMYFUNCTION("""COMPUTED_VALUE"""),"Autorevue")</f>
        <v>Autorevue</v>
      </c>
      <c r="D124" s="4" t="str">
        <f ca="1">IFERROR(__xludf.DUMMYFUNCTION("""COMPUTED_VALUE"""),"https://autorevue.cz")</f>
        <v>https://autorevue.cz</v>
      </c>
      <c r="E124" s="3" t="str">
        <f ca="1">IFERROR(__xludf.DUMMYFUNCTION("""COMPUTED_VALUE"""),"celý web")</f>
        <v>celý web</v>
      </c>
      <c r="F124" s="4" t="str">
        <f ca="1">IFERROR(__xludf.DUMMYFUNCTION("""COMPUTED_VALUE"""),"https://autorevue.cz")</f>
        <v>https://autorevue.cz</v>
      </c>
      <c r="G124" s="3" t="str">
        <f ca="1">IFERROR(__xludf.DUMMYFUNCTION("""COMPUTED_VALUE"""),"billboard bottom high season")</f>
        <v>billboard bottom high season</v>
      </c>
      <c r="H124" s="3">
        <f ca="1">IFERROR(__xludf.DUMMYFUNCTION("""COMPUTED_VALUE"""),7)</f>
        <v>7</v>
      </c>
      <c r="I124" s="5">
        <f ca="1">IFERROR(__xludf.DUMMYFUNCTION("""COMPUTED_VALUE"""),1000)</f>
        <v>1000</v>
      </c>
      <c r="J124" s="5">
        <f ca="1">IFERROR(__xludf.DUMMYFUNCTION("""COMPUTED_VALUE"""),440)</f>
        <v>440</v>
      </c>
      <c r="K124" s="3"/>
      <c r="L124" s="3" t="str">
        <f ca="1">IFERROR(__xludf.DUMMYFUNCTION("""COMPUTED_VALUE"""),"Cost per period")</f>
        <v>Cost per period</v>
      </c>
      <c r="M124" s="3"/>
      <c r="N124" s="3"/>
      <c r="O124" s="3" t="str">
        <f ca="1">IFERROR(__xludf.DUMMYFUNCTION("""COMPUTED_VALUE"""),"970")</f>
        <v>970</v>
      </c>
      <c r="P124" s="3" t="str">
        <f ca="1">IFERROR(__xludf.DUMMYFUNCTION("""COMPUTED_VALUE"""),"250")</f>
        <v>250</v>
      </c>
      <c r="Q124" s="3" t="str">
        <f ca="1">IFERROR(__xludf.DUMMYFUNCTION("""COMPUTED_VALUE"""),"970x250")</f>
        <v>970x250</v>
      </c>
      <c r="R124" s="3"/>
      <c r="S124" s="3" t="str">
        <f ca="1">IFERROR(__xludf.DUMMYFUNCTION("""COMPUTED_VALUE"""),"100 (200 - HTML5)")</f>
        <v>100 (200 - HTML5)</v>
      </c>
      <c r="T124" s="3"/>
      <c r="U124" s="3" t="str">
        <f ca="1">IFERROR(__xludf.DUMMYFUNCTION("""COMPUTED_VALUE"""),"banner standard")</f>
        <v>banner standard</v>
      </c>
      <c r="V124" s="3"/>
      <c r="W124" s="4" t="str">
        <f ca="1">IFERROR(__xludf.DUMMYFUNCTION("""COMPUTED_VALUE"""),"https://reklama.cncenter.cz/Online/billboard-bottom")</f>
        <v>https://reklama.cncenter.cz/Online/billboard-bottom</v>
      </c>
      <c r="X124" s="3"/>
      <c r="Y124" s="3"/>
      <c r="Z124" s="3" t="str">
        <f ca="1">IFERROR(__xludf.DUMMYFUNCTION("""COMPUTED_VALUE"""),"podklady@cncenter.cz")</f>
        <v>podklady@cncenter.cz</v>
      </c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 t="str">
        <f ca="1">IFERROR(__xludf.DUMMYFUNCTION("""COMPUTED_VALUE"""),"desktop")</f>
        <v>desktop</v>
      </c>
      <c r="AO124" s="3"/>
      <c r="AP124" s="3"/>
      <c r="AQ124" s="3"/>
      <c r="AR124" s="3"/>
      <c r="AS124" s="3"/>
      <c r="AT124" s="3"/>
      <c r="AU124" s="3" t="str">
        <f ca="1">IFERROR(__xludf.DUMMYFUNCTION("""COMPUTED_VALUE"""),"billboard bottom")</f>
        <v>billboard bottom</v>
      </c>
    </row>
    <row r="125" spans="1:47" x14ac:dyDescent="0.3">
      <c r="A125" s="3">
        <f ca="1"/>
        <v>2346826</v>
      </c>
      <c r="B125" s="3" t="str">
        <f ca="1"/>
        <v>CZECH NEWS CENTER a. s.</v>
      </c>
      <c r="C125" s="3" t="str">
        <f ca="1">IFERROR(__xludf.DUMMYFUNCTION("""COMPUTED_VALUE"""),"Autorevue")</f>
        <v>Autorevue</v>
      </c>
      <c r="D125" s="4" t="str">
        <f ca="1">IFERROR(__xludf.DUMMYFUNCTION("""COMPUTED_VALUE"""),"https://autorevue.cz")</f>
        <v>https://autorevue.cz</v>
      </c>
      <c r="E125" s="3" t="str">
        <f ca="1">IFERROR(__xludf.DUMMYFUNCTION("""COMPUTED_VALUE"""),"celý web")</f>
        <v>celý web</v>
      </c>
      <c r="F125" s="4" t="str">
        <f ca="1">IFERROR(__xludf.DUMMYFUNCTION("""COMPUTED_VALUE"""),"https://autorevue.cz")</f>
        <v>https://autorevue.cz</v>
      </c>
      <c r="G125" s="3" t="str">
        <f ca="1">IFERROR(__xludf.DUMMYFUNCTION("""COMPUTED_VALUE"""),"branding cross-device high season")</f>
        <v>branding cross-device high season</v>
      </c>
      <c r="H125" s="3">
        <f ca="1">IFERROR(__xludf.DUMMYFUNCTION("""COMPUTED_VALUE"""),7)</f>
        <v>7</v>
      </c>
      <c r="I125" s="5">
        <f ca="1">IFERROR(__xludf.DUMMYFUNCTION("""COMPUTED_VALUE"""),1000)</f>
        <v>1000</v>
      </c>
      <c r="J125" s="5">
        <f ca="1">IFERROR(__xludf.DUMMYFUNCTION("""COMPUTED_VALUE"""),540)</f>
        <v>540</v>
      </c>
      <c r="K125" s="3"/>
      <c r="L125" s="3" t="str">
        <f ca="1">IFERROR(__xludf.DUMMYFUNCTION("""COMPUTED_VALUE"""),"Cost per period")</f>
        <v>Cost per period</v>
      </c>
      <c r="M125" s="3"/>
      <c r="N125" s="3"/>
      <c r="O125" s="3" t="str">
        <f ca="1">IFERROR(__xludf.DUMMYFUNCTION("""COMPUTED_VALUE"""),"2000")</f>
        <v>2000</v>
      </c>
      <c r="P125" s="3" t="str">
        <f ca="1">IFERROR(__xludf.DUMMYFUNCTION("""COMPUTED_VALUE"""),"1400")</f>
        <v>1400</v>
      </c>
      <c r="Q125" s="3" t="str">
        <f ca="1">IFERROR(__xludf.DUMMYFUNCTION("""COMPUTED_VALUE"""),"2000x1400 + 600x1080")</f>
        <v>2000x1400 + 600x1080</v>
      </c>
      <c r="R125" s="3"/>
      <c r="S125" s="3" t="str">
        <f ca="1">IFERROR(__xludf.DUMMYFUNCTION("""COMPUTED_VALUE"""),"500 (600 - HTLM5)")</f>
        <v>500 (600 - HTLM5)</v>
      </c>
      <c r="T125" s="3"/>
      <c r="U125" s="3" t="str">
        <f ca="1">IFERROR(__xludf.DUMMYFUNCTION("""COMPUTED_VALUE"""),"banner standard")</f>
        <v>banner standard</v>
      </c>
      <c r="V125" s="3"/>
      <c r="W125" s="4" t="str">
        <f ca="1">IFERROR(__xludf.DUMMYFUNCTION("""COMPUTED_VALUE"""),"https://reklama.cncenter.cz/Online/branding-cross-device")</f>
        <v>https://reklama.cncenter.cz/Online/branding-cross-device</v>
      </c>
      <c r="X125" s="3"/>
      <c r="Y125" s="3"/>
      <c r="Z125" s="3" t="str">
        <f ca="1">IFERROR(__xludf.DUMMYFUNCTION("""COMPUTED_VALUE"""),"podklady@cncenter.cz")</f>
        <v>podklady@cncenter.cz</v>
      </c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 t="str">
        <f ca="1">IFERROR(__xludf.DUMMYFUNCTION("""COMPUTED_VALUE"""),"cross-device")</f>
        <v>cross-device</v>
      </c>
      <c r="AO125" s="3"/>
      <c r="AP125" s="3"/>
      <c r="AQ125" s="3"/>
      <c r="AR125" s="3"/>
      <c r="AS125" s="3"/>
      <c r="AT125" s="3"/>
      <c r="AU125" s="3" t="str">
        <f ca="1">IFERROR(__xludf.DUMMYFUNCTION("""COMPUTED_VALUE"""),"branding cross-device")</f>
        <v>branding cross-device</v>
      </c>
    </row>
    <row r="126" spans="1:47" x14ac:dyDescent="0.3">
      <c r="A126" s="3">
        <f ca="1"/>
        <v>2346826</v>
      </c>
      <c r="B126" s="3" t="str">
        <f ca="1"/>
        <v>CZECH NEWS CENTER a. s.</v>
      </c>
      <c r="C126" s="3" t="str">
        <f ca="1">IFERROR(__xludf.DUMMYFUNCTION("""COMPUTED_VALUE"""),"Autorevue")</f>
        <v>Autorevue</v>
      </c>
      <c r="D126" s="4" t="str">
        <f ca="1">IFERROR(__xludf.DUMMYFUNCTION("""COMPUTED_VALUE"""),"https://autorevue.cz")</f>
        <v>https://autorevue.cz</v>
      </c>
      <c r="E126" s="3" t="str">
        <f ca="1">IFERROR(__xludf.DUMMYFUNCTION("""COMPUTED_VALUE"""),"celý web")</f>
        <v>celý web</v>
      </c>
      <c r="F126" s="4" t="str">
        <f ca="1">IFERROR(__xludf.DUMMYFUNCTION("""COMPUTED_VALUE"""),"https://autorevue.cz")</f>
        <v>https://autorevue.cz</v>
      </c>
      <c r="G126" s="3" t="str">
        <f ca="1">IFERROR(__xludf.DUMMYFUNCTION("""COMPUTED_VALUE"""),"branding high season")</f>
        <v>branding high season</v>
      </c>
      <c r="H126" s="3">
        <f ca="1">IFERROR(__xludf.DUMMYFUNCTION("""COMPUTED_VALUE"""),7)</f>
        <v>7</v>
      </c>
      <c r="I126" s="5">
        <f ca="1">IFERROR(__xludf.DUMMYFUNCTION("""COMPUTED_VALUE"""),1000)</f>
        <v>1000</v>
      </c>
      <c r="J126" s="5">
        <f ca="1">IFERROR(__xludf.DUMMYFUNCTION("""COMPUTED_VALUE"""),890)</f>
        <v>890</v>
      </c>
      <c r="K126" s="3"/>
      <c r="L126" s="3" t="str">
        <f ca="1">IFERROR(__xludf.DUMMYFUNCTION("""COMPUTED_VALUE"""),"Cost per period")</f>
        <v>Cost per period</v>
      </c>
      <c r="M126" s="3"/>
      <c r="N126" s="3"/>
      <c r="O126" s="3" t="str">
        <f ca="1">IFERROR(__xludf.DUMMYFUNCTION("""COMPUTED_VALUE"""),"2000")</f>
        <v>2000</v>
      </c>
      <c r="P126" s="3" t="str">
        <f ca="1">IFERROR(__xludf.DUMMYFUNCTION("""COMPUTED_VALUE"""),"1400")</f>
        <v>1400</v>
      </c>
      <c r="Q126" s="3" t="str">
        <f ca="1">IFERROR(__xludf.DUMMYFUNCTION("""COMPUTED_VALUE"""),"2000x1400")</f>
        <v>2000x1400</v>
      </c>
      <c r="R126" s="3"/>
      <c r="S126" s="3" t="str">
        <f ca="1">IFERROR(__xludf.DUMMYFUNCTION("""COMPUTED_VALUE"""),"500 + 200 (600+200 HTML5)")</f>
        <v>500 + 200 (600+200 HTML5)</v>
      </c>
      <c r="T126" s="3"/>
      <c r="U126" s="3" t="str">
        <f ca="1">IFERROR(__xludf.DUMMYFUNCTION("""COMPUTED_VALUE"""),"banner standard")</f>
        <v>banner standard</v>
      </c>
      <c r="V126" s="3"/>
      <c r="W126" s="4" t="str">
        <f ca="1">IFERROR(__xludf.DUMMYFUNCTION("""COMPUTED_VALUE"""),"https://reklama.cncenter.cz/Online/branding")</f>
        <v>https://reklama.cncenter.cz/Online/branding</v>
      </c>
      <c r="X126" s="3"/>
      <c r="Y126" s="3"/>
      <c r="Z126" s="3" t="str">
        <f ca="1">IFERROR(__xludf.DUMMYFUNCTION("""COMPUTED_VALUE"""),"podklady@cncenter.cz")</f>
        <v>podklady@cncenter.cz</v>
      </c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 t="str">
        <f ca="1">IFERROR(__xludf.DUMMYFUNCTION("""COMPUTED_VALUE"""),"desktop")</f>
        <v>desktop</v>
      </c>
      <c r="AO126" s="3"/>
      <c r="AP126" s="3"/>
      <c r="AQ126" s="3"/>
      <c r="AR126" s="3"/>
      <c r="AS126" s="3"/>
      <c r="AT126" s="3"/>
      <c r="AU126" s="3" t="str">
        <f ca="1">IFERROR(__xludf.DUMMYFUNCTION("""COMPUTED_VALUE"""),"branding")</f>
        <v>branding</v>
      </c>
    </row>
    <row r="127" spans="1:47" x14ac:dyDescent="0.3">
      <c r="A127" s="3">
        <f ca="1"/>
        <v>2346826</v>
      </c>
      <c r="B127" s="3" t="str">
        <f ca="1"/>
        <v>CZECH NEWS CENTER a. s.</v>
      </c>
      <c r="C127" s="3" t="str">
        <f ca="1">IFERROR(__xludf.DUMMYFUNCTION("""COMPUTED_VALUE"""),"Autorevue")</f>
        <v>Autorevue</v>
      </c>
      <c r="D127" s="4" t="str">
        <f ca="1">IFERROR(__xludf.DUMMYFUNCTION("""COMPUTED_VALUE"""),"https://autorevue.cz")</f>
        <v>https://autorevue.cz</v>
      </c>
      <c r="E127" s="3" t="str">
        <f ca="1">IFERROR(__xludf.DUMMYFUNCTION("""COMPUTED_VALUE"""),"celý web")</f>
        <v>celý web</v>
      </c>
      <c r="F127" s="4" t="str">
        <f ca="1">IFERROR(__xludf.DUMMYFUNCTION("""COMPUTED_VALUE"""),"https://autorevue.cz")</f>
        <v>https://autorevue.cz</v>
      </c>
      <c r="G127" s="3" t="str">
        <f ca="1">IFERROR(__xludf.DUMMYFUNCTION("""COMPUTED_VALUE"""),"cílený billboard bottom high season")</f>
        <v>cílený billboard bottom high season</v>
      </c>
      <c r="H127" s="3">
        <f ca="1">IFERROR(__xludf.DUMMYFUNCTION("""COMPUTED_VALUE"""),7)</f>
        <v>7</v>
      </c>
      <c r="I127" s="5">
        <f ca="1">IFERROR(__xludf.DUMMYFUNCTION("""COMPUTED_VALUE"""),1000)</f>
        <v>1000</v>
      </c>
      <c r="J127" s="5">
        <f ca="1">IFERROR(__xludf.DUMMYFUNCTION("""COMPUTED_VALUE"""),528)</f>
        <v>528</v>
      </c>
      <c r="K127" s="3"/>
      <c r="L127" s="3" t="str">
        <f ca="1">IFERROR(__xludf.DUMMYFUNCTION("""COMPUTED_VALUE"""),"Cost per period")</f>
        <v>Cost per period</v>
      </c>
      <c r="M127" s="3"/>
      <c r="N127" s="3"/>
      <c r="O127" s="3" t="str">
        <f ca="1">IFERROR(__xludf.DUMMYFUNCTION("""COMPUTED_VALUE"""),"970")</f>
        <v>970</v>
      </c>
      <c r="P127" s="3" t="str">
        <f ca="1">IFERROR(__xludf.DUMMYFUNCTION("""COMPUTED_VALUE"""),"250")</f>
        <v>250</v>
      </c>
      <c r="Q127" s="3" t="str">
        <f ca="1">IFERROR(__xludf.DUMMYFUNCTION("""COMPUTED_VALUE"""),"970x250")</f>
        <v>970x250</v>
      </c>
      <c r="R127" s="3"/>
      <c r="S127" s="3" t="str">
        <f ca="1">IFERROR(__xludf.DUMMYFUNCTION("""COMPUTED_VALUE"""),"100 (200 - HTML5)")</f>
        <v>100 (200 - HTML5)</v>
      </c>
      <c r="T127" s="3"/>
      <c r="U127" s="3" t="str">
        <f ca="1">IFERROR(__xludf.DUMMYFUNCTION("""COMPUTED_VALUE"""),"banner standard")</f>
        <v>banner standard</v>
      </c>
      <c r="V127" s="3"/>
      <c r="W127" s="4" t="str">
        <f ca="1">IFERROR(__xludf.DUMMYFUNCTION("""COMPUTED_VALUE"""),"https://reklama.cncenter.cz/Online/billboard-bottom")</f>
        <v>https://reklama.cncenter.cz/Online/billboard-bottom</v>
      </c>
      <c r="X127" s="3"/>
      <c r="Y127" s="3"/>
      <c r="Z127" s="3" t="str">
        <f ca="1">IFERROR(__xludf.DUMMYFUNCTION("""COMPUTED_VALUE"""),"podklady@cncenter.cz")</f>
        <v>podklady@cncenter.cz</v>
      </c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 t="str">
        <f ca="1">IFERROR(__xludf.DUMMYFUNCTION("""COMPUTED_VALUE"""),"desktop")</f>
        <v>desktop</v>
      </c>
      <c r="AO127" s="3"/>
      <c r="AP127" s="3"/>
      <c r="AQ127" s="3"/>
      <c r="AR127" s="3"/>
      <c r="AS127" s="3"/>
      <c r="AT127" s="3"/>
      <c r="AU127" s="3" t="str">
        <f ca="1">IFERROR(__xludf.DUMMYFUNCTION("""COMPUTED_VALUE"""),"cílený billboard bottom")</f>
        <v>cílený billboard bottom</v>
      </c>
    </row>
    <row r="128" spans="1:47" x14ac:dyDescent="0.3">
      <c r="A128" s="3">
        <f ca="1"/>
        <v>2346826</v>
      </c>
      <c r="B128" s="3" t="str">
        <f ca="1"/>
        <v>CZECH NEWS CENTER a. s.</v>
      </c>
      <c r="C128" s="3" t="str">
        <f ca="1">IFERROR(__xludf.DUMMYFUNCTION("""COMPUTED_VALUE"""),"Autorevue")</f>
        <v>Autorevue</v>
      </c>
      <c r="D128" s="4" t="str">
        <f ca="1">IFERROR(__xludf.DUMMYFUNCTION("""COMPUTED_VALUE"""),"https://autorevue.cz")</f>
        <v>https://autorevue.cz</v>
      </c>
      <c r="E128" s="3" t="str">
        <f ca="1">IFERROR(__xludf.DUMMYFUNCTION("""COMPUTED_VALUE"""),"celý web")</f>
        <v>celý web</v>
      </c>
      <c r="F128" s="4" t="str">
        <f ca="1">IFERROR(__xludf.DUMMYFUNCTION("""COMPUTED_VALUE"""),"https://autorevue.cz")</f>
        <v>https://autorevue.cz</v>
      </c>
      <c r="G128" s="3" t="str">
        <f ca="1">IFERROR(__xludf.DUMMYFUNCTION("""COMPUTED_VALUE"""),"cílený branding cross-device high season")</f>
        <v>cílený branding cross-device high season</v>
      </c>
      <c r="H128" s="3">
        <f ca="1">IFERROR(__xludf.DUMMYFUNCTION("""COMPUTED_VALUE"""),7)</f>
        <v>7</v>
      </c>
      <c r="I128" s="5">
        <f ca="1">IFERROR(__xludf.DUMMYFUNCTION("""COMPUTED_VALUE"""),1000)</f>
        <v>1000</v>
      </c>
      <c r="J128" s="5">
        <f ca="1">IFERROR(__xludf.DUMMYFUNCTION("""COMPUTED_VALUE"""),648)</f>
        <v>648</v>
      </c>
      <c r="K128" s="3"/>
      <c r="L128" s="3" t="str">
        <f ca="1">IFERROR(__xludf.DUMMYFUNCTION("""COMPUTED_VALUE"""),"Cost per period")</f>
        <v>Cost per period</v>
      </c>
      <c r="M128" s="3"/>
      <c r="N128" s="3"/>
      <c r="O128" s="3" t="str">
        <f ca="1">IFERROR(__xludf.DUMMYFUNCTION("""COMPUTED_VALUE"""),"2000")</f>
        <v>2000</v>
      </c>
      <c r="P128" s="3" t="str">
        <f ca="1">IFERROR(__xludf.DUMMYFUNCTION("""COMPUTED_VALUE"""),"1400")</f>
        <v>1400</v>
      </c>
      <c r="Q128" s="3" t="str">
        <f ca="1">IFERROR(__xludf.DUMMYFUNCTION("""COMPUTED_VALUE"""),"2000x1400 + 600x1080")</f>
        <v>2000x1400 + 600x1080</v>
      </c>
      <c r="R128" s="3"/>
      <c r="S128" s="3" t="str">
        <f ca="1">IFERROR(__xludf.DUMMYFUNCTION("""COMPUTED_VALUE"""),"500 (600 - HTLM5)")</f>
        <v>500 (600 - HTLM5)</v>
      </c>
      <c r="T128" s="3"/>
      <c r="U128" s="3" t="str">
        <f ca="1">IFERROR(__xludf.DUMMYFUNCTION("""COMPUTED_VALUE"""),"banner standard")</f>
        <v>banner standard</v>
      </c>
      <c r="V128" s="3"/>
      <c r="W128" s="4" t="str">
        <f ca="1">IFERROR(__xludf.DUMMYFUNCTION("""COMPUTED_VALUE"""),"https://reklama.cncenter.cz/Online/branding-cross-device")</f>
        <v>https://reklama.cncenter.cz/Online/branding-cross-device</v>
      </c>
      <c r="X128" s="3"/>
      <c r="Y128" s="3"/>
      <c r="Z128" s="3" t="str">
        <f ca="1">IFERROR(__xludf.DUMMYFUNCTION("""COMPUTED_VALUE"""),"podklady@cncenter.cz")</f>
        <v>podklady@cncenter.cz</v>
      </c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 t="str">
        <f ca="1">IFERROR(__xludf.DUMMYFUNCTION("""COMPUTED_VALUE"""),"cross-device")</f>
        <v>cross-device</v>
      </c>
      <c r="AO128" s="3"/>
      <c r="AP128" s="3"/>
      <c r="AQ128" s="3"/>
      <c r="AR128" s="3"/>
      <c r="AS128" s="3"/>
      <c r="AT128" s="3"/>
      <c r="AU128" s="3" t="str">
        <f ca="1">IFERROR(__xludf.DUMMYFUNCTION("""COMPUTED_VALUE"""),"cílený branding cross-device")</f>
        <v>cílený branding cross-device</v>
      </c>
    </row>
    <row r="129" spans="1:47" x14ac:dyDescent="0.3">
      <c r="A129" s="3">
        <f ca="1"/>
        <v>2346826</v>
      </c>
      <c r="B129" s="3" t="str">
        <f ca="1"/>
        <v>CZECH NEWS CENTER a. s.</v>
      </c>
      <c r="C129" s="3" t="str">
        <f ca="1">IFERROR(__xludf.DUMMYFUNCTION("""COMPUTED_VALUE"""),"Autorevue")</f>
        <v>Autorevue</v>
      </c>
      <c r="D129" s="4" t="str">
        <f ca="1">IFERROR(__xludf.DUMMYFUNCTION("""COMPUTED_VALUE"""),"https://autorevue.cz")</f>
        <v>https://autorevue.cz</v>
      </c>
      <c r="E129" s="3" t="str">
        <f ca="1">IFERROR(__xludf.DUMMYFUNCTION("""COMPUTED_VALUE"""),"celý web")</f>
        <v>celý web</v>
      </c>
      <c r="F129" s="4" t="str">
        <f ca="1">IFERROR(__xludf.DUMMYFUNCTION("""COMPUTED_VALUE"""),"https://autorevue.cz")</f>
        <v>https://autorevue.cz</v>
      </c>
      <c r="G129" s="3" t="str">
        <f ca="1">IFERROR(__xludf.DUMMYFUNCTION("""COMPUTED_VALUE"""),"cílený branding high season")</f>
        <v>cílený branding high season</v>
      </c>
      <c r="H129" s="3">
        <f ca="1">IFERROR(__xludf.DUMMYFUNCTION("""COMPUTED_VALUE"""),7)</f>
        <v>7</v>
      </c>
      <c r="I129" s="5">
        <f ca="1">IFERROR(__xludf.DUMMYFUNCTION("""COMPUTED_VALUE"""),1000)</f>
        <v>1000</v>
      </c>
      <c r="J129" s="5">
        <f ca="1">IFERROR(__xludf.DUMMYFUNCTION("""COMPUTED_VALUE"""),1068)</f>
        <v>1068</v>
      </c>
      <c r="K129" s="3"/>
      <c r="L129" s="3" t="str">
        <f ca="1">IFERROR(__xludf.DUMMYFUNCTION("""COMPUTED_VALUE"""),"Cost per period")</f>
        <v>Cost per period</v>
      </c>
      <c r="M129" s="3"/>
      <c r="N129" s="3"/>
      <c r="O129" s="3" t="str">
        <f ca="1">IFERROR(__xludf.DUMMYFUNCTION("""COMPUTED_VALUE"""),"2000")</f>
        <v>2000</v>
      </c>
      <c r="P129" s="3" t="str">
        <f ca="1">IFERROR(__xludf.DUMMYFUNCTION("""COMPUTED_VALUE"""),"1400")</f>
        <v>1400</v>
      </c>
      <c r="Q129" s="3" t="str">
        <f ca="1">IFERROR(__xludf.DUMMYFUNCTION("""COMPUTED_VALUE"""),"2000x1400")</f>
        <v>2000x1400</v>
      </c>
      <c r="R129" s="3"/>
      <c r="S129" s="3" t="str">
        <f ca="1">IFERROR(__xludf.DUMMYFUNCTION("""COMPUTED_VALUE"""),"500 + 200 (600+200 HTML5)")</f>
        <v>500 + 200 (600+200 HTML5)</v>
      </c>
      <c r="T129" s="3"/>
      <c r="U129" s="3" t="str">
        <f ca="1">IFERROR(__xludf.DUMMYFUNCTION("""COMPUTED_VALUE"""),"banner standard")</f>
        <v>banner standard</v>
      </c>
      <c r="V129" s="3"/>
      <c r="W129" s="4" t="str">
        <f ca="1">IFERROR(__xludf.DUMMYFUNCTION("""COMPUTED_VALUE"""),"https://reklama.cncenter.cz/Online/branding")</f>
        <v>https://reklama.cncenter.cz/Online/branding</v>
      </c>
      <c r="X129" s="3"/>
      <c r="Y129" s="3"/>
      <c r="Z129" s="3" t="str">
        <f ca="1">IFERROR(__xludf.DUMMYFUNCTION("""COMPUTED_VALUE"""),"podklady@cncenter.cz")</f>
        <v>podklady@cncenter.cz</v>
      </c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 t="str">
        <f ca="1">IFERROR(__xludf.DUMMYFUNCTION("""COMPUTED_VALUE"""),"desktop")</f>
        <v>desktop</v>
      </c>
      <c r="AO129" s="3"/>
      <c r="AP129" s="3"/>
      <c r="AQ129" s="3"/>
      <c r="AR129" s="3"/>
      <c r="AS129" s="3"/>
      <c r="AT129" s="3"/>
      <c r="AU129" s="3" t="str">
        <f ca="1">IFERROR(__xludf.DUMMYFUNCTION("""COMPUTED_VALUE"""),"cílený branding")</f>
        <v>cílený branding</v>
      </c>
    </row>
    <row r="130" spans="1:47" x14ac:dyDescent="0.3">
      <c r="A130" s="3">
        <f ca="1"/>
        <v>2346826</v>
      </c>
      <c r="B130" s="3" t="str">
        <f ca="1"/>
        <v>CZECH NEWS CENTER a. s.</v>
      </c>
      <c r="C130" s="3" t="str">
        <f ca="1">IFERROR(__xludf.DUMMYFUNCTION("""COMPUTED_VALUE"""),"Autorevue")</f>
        <v>Autorevue</v>
      </c>
      <c r="D130" s="4" t="str">
        <f ca="1">IFERROR(__xludf.DUMMYFUNCTION("""COMPUTED_VALUE"""),"https://autorevue.cz")</f>
        <v>https://autorevue.cz</v>
      </c>
      <c r="E130" s="3" t="str">
        <f ca="1">IFERROR(__xludf.DUMMYFUNCTION("""COMPUTED_VALUE"""),"celý web")</f>
        <v>celý web</v>
      </c>
      <c r="F130" s="4" t="str">
        <f ca="1">IFERROR(__xludf.DUMMYFUNCTION("""COMPUTED_VALUE"""),"https://autorevue.cz")</f>
        <v>https://autorevue.cz</v>
      </c>
      <c r="G130" s="3" t="str">
        <f ca="1">IFERROR(__xludf.DUMMYFUNCTION("""COMPUTED_VALUE"""),"cílený double skyscraper high season")</f>
        <v>cílený double skyscraper high season</v>
      </c>
      <c r="H130" s="3">
        <f ca="1">IFERROR(__xludf.DUMMYFUNCTION("""COMPUTED_VALUE"""),7)</f>
        <v>7</v>
      </c>
      <c r="I130" s="5">
        <f ca="1">IFERROR(__xludf.DUMMYFUNCTION("""COMPUTED_VALUE"""),1000)</f>
        <v>1000</v>
      </c>
      <c r="J130" s="5">
        <f ca="1">IFERROR(__xludf.DUMMYFUNCTION("""COMPUTED_VALUE"""),420)</f>
        <v>420</v>
      </c>
      <c r="K130" s="3"/>
      <c r="L130" s="3" t="str">
        <f ca="1">IFERROR(__xludf.DUMMYFUNCTION("""COMPUTED_VALUE"""),"Cost per period")</f>
        <v>Cost per period</v>
      </c>
      <c r="M130" s="3"/>
      <c r="N130" s="3"/>
      <c r="O130" s="3" t="str">
        <f ca="1">IFERROR(__xludf.DUMMYFUNCTION("""COMPUTED_VALUE"""),"300")</f>
        <v>300</v>
      </c>
      <c r="P130" s="3" t="str">
        <f ca="1">IFERROR(__xludf.DUMMYFUNCTION("""COMPUTED_VALUE"""),"600")</f>
        <v>600</v>
      </c>
      <c r="Q130" s="3" t="str">
        <f ca="1">IFERROR(__xludf.DUMMYFUNCTION("""COMPUTED_VALUE"""),"300x600")</f>
        <v>300x600</v>
      </c>
      <c r="R130" s="3"/>
      <c r="S130" s="3" t="str">
        <f ca="1">IFERROR(__xludf.DUMMYFUNCTION("""COMPUTED_VALUE"""),"100 (200 - HTML5)")</f>
        <v>100 (200 - HTML5)</v>
      </c>
      <c r="T130" s="3"/>
      <c r="U130" s="3" t="str">
        <f ca="1">IFERROR(__xludf.DUMMYFUNCTION("""COMPUTED_VALUE"""),"banner standard")</f>
        <v>banner standard</v>
      </c>
      <c r="V130" s="3"/>
      <c r="W130" s="4" t="str">
        <f ca="1">IFERROR(__xludf.DUMMYFUNCTION("""COMPUTED_VALUE"""),"https://reklama.cncenter.cz/Online/double-skyscraper")</f>
        <v>https://reklama.cncenter.cz/Online/double-skyscraper</v>
      </c>
      <c r="X130" s="3"/>
      <c r="Y130" s="3"/>
      <c r="Z130" s="3" t="str">
        <f ca="1">IFERROR(__xludf.DUMMYFUNCTION("""COMPUTED_VALUE"""),"podklady@cncenter.cz")</f>
        <v>podklady@cncenter.cz</v>
      </c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 t="str">
        <f ca="1">IFERROR(__xludf.DUMMYFUNCTION("""COMPUTED_VALUE"""),"desktop")</f>
        <v>desktop</v>
      </c>
      <c r="AO130" s="3"/>
      <c r="AP130" s="3"/>
      <c r="AQ130" s="3"/>
      <c r="AR130" s="3"/>
      <c r="AS130" s="3"/>
      <c r="AT130" s="3"/>
      <c r="AU130" s="3" t="str">
        <f ca="1">IFERROR(__xludf.DUMMYFUNCTION("""COMPUTED_VALUE"""),"cílený double skyscraper")</f>
        <v>cílený double skyscraper</v>
      </c>
    </row>
    <row r="131" spans="1:47" x14ac:dyDescent="0.3">
      <c r="A131" s="3">
        <f ca="1"/>
        <v>2346826</v>
      </c>
      <c r="B131" s="3" t="str">
        <f ca="1"/>
        <v>CZECH NEWS CENTER a. s.</v>
      </c>
      <c r="C131" s="3" t="str">
        <f ca="1">IFERROR(__xludf.DUMMYFUNCTION("""COMPUTED_VALUE"""),"Autorevue")</f>
        <v>Autorevue</v>
      </c>
      <c r="D131" s="4" t="str">
        <f ca="1">IFERROR(__xludf.DUMMYFUNCTION("""COMPUTED_VALUE"""),"https://autorevue.cz")</f>
        <v>https://autorevue.cz</v>
      </c>
      <c r="E131" s="3" t="str">
        <f ca="1">IFERROR(__xludf.DUMMYFUNCTION("""COMPUTED_VALUE"""),"celý web")</f>
        <v>celý web</v>
      </c>
      <c r="F131" s="4" t="str">
        <f ca="1">IFERROR(__xludf.DUMMYFUNCTION("""COMPUTED_VALUE"""),"https://autorevue.cz")</f>
        <v>https://autorevue.cz</v>
      </c>
      <c r="G131" s="3" t="str">
        <f ca="1">IFERROR(__xludf.DUMMYFUNCTION("""COMPUTED_VALUE"""),"cílený mobilní interscroller high season")</f>
        <v>cílený mobilní interscroller high season</v>
      </c>
      <c r="H131" s="3">
        <f ca="1">IFERROR(__xludf.DUMMYFUNCTION("""COMPUTED_VALUE"""),7)</f>
        <v>7</v>
      </c>
      <c r="I131" s="5">
        <f ca="1">IFERROR(__xludf.DUMMYFUNCTION("""COMPUTED_VALUE"""),1000)</f>
        <v>1000</v>
      </c>
      <c r="J131" s="5">
        <f ca="1">IFERROR(__xludf.DUMMYFUNCTION("""COMPUTED_VALUE"""),540)</f>
        <v>540</v>
      </c>
      <c r="K131" s="3"/>
      <c r="L131" s="3" t="str">
        <f ca="1">IFERROR(__xludf.DUMMYFUNCTION("""COMPUTED_VALUE"""),"Cost per period")</f>
        <v>Cost per period</v>
      </c>
      <c r="M131" s="3"/>
      <c r="N131" s="3"/>
      <c r="O131" s="3" t="str">
        <f ca="1">IFERROR(__xludf.DUMMYFUNCTION("""COMPUTED_VALUE"""),"600")</f>
        <v>600</v>
      </c>
      <c r="P131" s="3" t="str">
        <f ca="1">IFERROR(__xludf.DUMMYFUNCTION("""COMPUTED_VALUE"""),"1080")</f>
        <v>1080</v>
      </c>
      <c r="Q131" s="3" t="str">
        <f ca="1">IFERROR(__xludf.DUMMYFUNCTION("""COMPUTED_VALUE"""),"600x1080")</f>
        <v>600x1080</v>
      </c>
      <c r="R131" s="3"/>
      <c r="S131" s="3" t="str">
        <f ca="1">IFERROR(__xludf.DUMMYFUNCTION("""COMPUTED_VALUE"""),"200")</f>
        <v>200</v>
      </c>
      <c r="T131" s="3"/>
      <c r="U131" s="3" t="str">
        <f ca="1">IFERROR(__xludf.DUMMYFUNCTION("""COMPUTED_VALUE"""),"banner standard")</f>
        <v>banner standard</v>
      </c>
      <c r="V131" s="3"/>
      <c r="W131" s="4" t="str">
        <f ca="1">IFERROR(__xludf.DUMMYFUNCTION("""COMPUTED_VALUE"""),"https://reklama.cncenter.cz/Online/mobilni-interscroller")</f>
        <v>https://reklama.cncenter.cz/Online/mobilni-interscroller</v>
      </c>
      <c r="X131" s="3"/>
      <c r="Y131" s="3"/>
      <c r="Z131" s="3" t="str">
        <f ca="1">IFERROR(__xludf.DUMMYFUNCTION("""COMPUTED_VALUE"""),"podklady@cncenter.cz")</f>
        <v>podklady@cncenter.cz</v>
      </c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 t="str">
        <f ca="1">IFERROR(__xludf.DUMMYFUNCTION("""COMPUTED_VALUE"""),"mobile")</f>
        <v>mobile</v>
      </c>
      <c r="AO131" s="3"/>
      <c r="AP131" s="3"/>
      <c r="AQ131" s="3"/>
      <c r="AR131" s="3"/>
      <c r="AS131" s="3"/>
      <c r="AT131" s="3"/>
      <c r="AU131" s="3" t="str">
        <f ca="1">IFERROR(__xludf.DUMMYFUNCTION("""COMPUTED_VALUE"""),"cílený mobilní interscroller")</f>
        <v>cílený mobilní interscroller</v>
      </c>
    </row>
    <row r="132" spans="1:47" x14ac:dyDescent="0.3">
      <c r="A132" s="3">
        <f ca="1"/>
        <v>2346826</v>
      </c>
      <c r="B132" s="3" t="str">
        <f ca="1"/>
        <v>CZECH NEWS CENTER a. s.</v>
      </c>
      <c r="C132" s="3" t="str">
        <f ca="1">IFERROR(__xludf.DUMMYFUNCTION("""COMPUTED_VALUE"""),"Autorevue")</f>
        <v>Autorevue</v>
      </c>
      <c r="D132" s="4" t="str">
        <f ca="1">IFERROR(__xludf.DUMMYFUNCTION("""COMPUTED_VALUE"""),"https://autorevue.cz")</f>
        <v>https://autorevue.cz</v>
      </c>
      <c r="E132" s="3" t="str">
        <f ca="1">IFERROR(__xludf.DUMMYFUNCTION("""COMPUTED_VALUE"""),"celý web")</f>
        <v>celý web</v>
      </c>
      <c r="F132" s="4" t="str">
        <f ca="1">IFERROR(__xludf.DUMMYFUNCTION("""COMPUTED_VALUE"""),"https://autorevue.cz")</f>
        <v>https://autorevue.cz</v>
      </c>
      <c r="G132" s="3" t="str">
        <f ca="1">IFERROR(__xludf.DUMMYFUNCTION("""COMPUTED_VALUE"""),"cílený mobilní slide-up high season")</f>
        <v>cílený mobilní slide-up high season</v>
      </c>
      <c r="H132" s="3">
        <f ca="1">IFERROR(__xludf.DUMMYFUNCTION("""COMPUTED_VALUE"""),7)</f>
        <v>7</v>
      </c>
      <c r="I132" s="5">
        <f ca="1">IFERROR(__xludf.DUMMYFUNCTION("""COMPUTED_VALUE"""),1000)</f>
        <v>1000</v>
      </c>
      <c r="J132" s="5">
        <f ca="1">IFERROR(__xludf.DUMMYFUNCTION("""COMPUTED_VALUE"""),1104)</f>
        <v>1104</v>
      </c>
      <c r="K132" s="3"/>
      <c r="L132" s="3" t="str">
        <f ca="1">IFERROR(__xludf.DUMMYFUNCTION("""COMPUTED_VALUE"""),"Cost per period")</f>
        <v>Cost per period</v>
      </c>
      <c r="M132" s="3"/>
      <c r="N132" s="3"/>
      <c r="O132" s="3" t="str">
        <f ca="1">IFERROR(__xludf.DUMMYFUNCTION("""COMPUTED_VALUE"""),"300")</f>
        <v>300</v>
      </c>
      <c r="P132" s="3" t="str">
        <f ca="1">IFERROR(__xludf.DUMMYFUNCTION("""COMPUTED_VALUE"""),"120")</f>
        <v>120</v>
      </c>
      <c r="Q132" s="3" t="str">
        <f ca="1">IFERROR(__xludf.DUMMYFUNCTION("""COMPUTED_VALUE"""),"300x120")</f>
        <v>300x120</v>
      </c>
      <c r="R132" s="3"/>
      <c r="S132" s="3" t="str">
        <f ca="1">IFERROR(__xludf.DUMMYFUNCTION("""COMPUTED_VALUE"""),"100")</f>
        <v>100</v>
      </c>
      <c r="T132" s="3"/>
      <c r="U132" s="3" t="str">
        <f ca="1">IFERROR(__xludf.DUMMYFUNCTION("""COMPUTED_VALUE"""),"banner standard")</f>
        <v>banner standard</v>
      </c>
      <c r="V132" s="3"/>
      <c r="W132" s="4" t="str">
        <f ca="1">IFERROR(__xludf.DUMMYFUNCTION("""COMPUTED_VALUE"""),"https://reklama.cncenter.cz/Online/mobilni-slide-up")</f>
        <v>https://reklama.cncenter.cz/Online/mobilni-slide-up</v>
      </c>
      <c r="X132" s="3"/>
      <c r="Y132" s="3"/>
      <c r="Z132" s="3" t="str">
        <f ca="1">IFERROR(__xludf.DUMMYFUNCTION("""COMPUTED_VALUE"""),"podklady@cncenter.cz")</f>
        <v>podklady@cncenter.cz</v>
      </c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 t="str">
        <f ca="1">IFERROR(__xludf.DUMMYFUNCTION("""COMPUTED_VALUE"""),"mobile")</f>
        <v>mobile</v>
      </c>
      <c r="AO132" s="3"/>
      <c r="AP132" s="3"/>
      <c r="AQ132" s="3"/>
      <c r="AR132" s="3"/>
      <c r="AS132" s="3"/>
      <c r="AT132" s="3"/>
      <c r="AU132" s="3" t="str">
        <f ca="1">IFERROR(__xludf.DUMMYFUNCTION("""COMPUTED_VALUE"""),"cílený mobilní slide-up")</f>
        <v>cílený mobilní slide-up</v>
      </c>
    </row>
    <row r="133" spans="1:47" x14ac:dyDescent="0.3">
      <c r="A133" s="3">
        <f ca="1"/>
        <v>2346826</v>
      </c>
      <c r="B133" s="3" t="str">
        <f ca="1"/>
        <v>CZECH NEWS CENTER a. s.</v>
      </c>
      <c r="C133" s="3" t="str">
        <f ca="1">IFERROR(__xludf.DUMMYFUNCTION("""COMPUTED_VALUE"""),"Autorevue")</f>
        <v>Autorevue</v>
      </c>
      <c r="D133" s="4" t="str">
        <f ca="1">IFERROR(__xludf.DUMMYFUNCTION("""COMPUTED_VALUE"""),"https://autorevue.cz")</f>
        <v>https://autorevue.cz</v>
      </c>
      <c r="E133" s="3" t="str">
        <f ca="1">IFERROR(__xludf.DUMMYFUNCTION("""COMPUTED_VALUE"""),"celý web")</f>
        <v>celý web</v>
      </c>
      <c r="F133" s="4" t="str">
        <f ca="1">IFERROR(__xludf.DUMMYFUNCTION("""COMPUTED_VALUE"""),"https://autorevue.cz")</f>
        <v>https://autorevue.cz</v>
      </c>
      <c r="G133" s="3" t="str">
        <f ca="1">IFERROR(__xludf.DUMMYFUNCTION("""COMPUTED_VALUE"""),"cílený mobilní viněta high season")</f>
        <v>cílený mobilní viněta high season</v>
      </c>
      <c r="H133" s="3">
        <f ca="1">IFERROR(__xludf.DUMMYFUNCTION("""COMPUTED_VALUE"""),7)</f>
        <v>7</v>
      </c>
      <c r="I133" s="5">
        <f ca="1">IFERROR(__xludf.DUMMYFUNCTION("""COMPUTED_VALUE"""),1000)</f>
        <v>1000</v>
      </c>
      <c r="J133" s="5">
        <f ca="1">IFERROR(__xludf.DUMMYFUNCTION("""COMPUTED_VALUE"""),1908)</f>
        <v>1908</v>
      </c>
      <c r="K133" s="3"/>
      <c r="L133" s="3" t="str">
        <f ca="1">IFERROR(__xludf.DUMMYFUNCTION("""COMPUTED_VALUE"""),"Cost per period")</f>
        <v>Cost per period</v>
      </c>
      <c r="M133" s="3"/>
      <c r="N133" s="3"/>
      <c r="O133" s="3" t="str">
        <f ca="1">IFERROR(__xludf.DUMMYFUNCTION("""COMPUTED_VALUE"""),"600")</f>
        <v>600</v>
      </c>
      <c r="P133" s="3" t="str">
        <f ca="1">IFERROR(__xludf.DUMMYFUNCTION("""COMPUTED_VALUE"""),"800")</f>
        <v>800</v>
      </c>
      <c r="Q133" s="3" t="str">
        <f ca="1">IFERROR(__xludf.DUMMYFUNCTION("""COMPUTED_VALUE"""),"300x250 nebo 600x800")</f>
        <v>300x250 nebo 600x800</v>
      </c>
      <c r="R133" s="3"/>
      <c r="S133" s="3" t="str">
        <f ca="1">IFERROR(__xludf.DUMMYFUNCTION("""COMPUTED_VALUE"""),"100")</f>
        <v>100</v>
      </c>
      <c r="T133" s="3"/>
      <c r="U133" s="3" t="str">
        <f ca="1">IFERROR(__xludf.DUMMYFUNCTION("""COMPUTED_VALUE"""),"banner standard")</f>
        <v>banner standard</v>
      </c>
      <c r="V133" s="3"/>
      <c r="W133" s="4" t="str">
        <f ca="1">IFERROR(__xludf.DUMMYFUNCTION("""COMPUTED_VALUE"""),"https://reklama.cncenter.cz/Online/mobilni-vineta")</f>
        <v>https://reklama.cncenter.cz/Online/mobilni-vineta</v>
      </c>
      <c r="X133" s="3"/>
      <c r="Y133" s="3"/>
      <c r="Z133" s="3" t="str">
        <f ca="1">IFERROR(__xludf.DUMMYFUNCTION("""COMPUTED_VALUE"""),"podklady@cncenter.cz")</f>
        <v>podklady@cncenter.cz</v>
      </c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 t="str">
        <f ca="1">IFERROR(__xludf.DUMMYFUNCTION("""COMPUTED_VALUE"""),"mobile")</f>
        <v>mobile</v>
      </c>
      <c r="AO133" s="3"/>
      <c r="AP133" s="3"/>
      <c r="AQ133" s="3"/>
      <c r="AR133" s="3"/>
      <c r="AS133" s="3"/>
      <c r="AT133" s="3"/>
      <c r="AU133" s="3" t="str">
        <f ca="1">IFERROR(__xludf.DUMMYFUNCTION("""COMPUTED_VALUE"""),"cílený mobilní viněta")</f>
        <v>cílený mobilní viněta</v>
      </c>
    </row>
    <row r="134" spans="1:47" x14ac:dyDescent="0.3">
      <c r="A134" s="3">
        <f ca="1"/>
        <v>2346826</v>
      </c>
      <c r="B134" s="3" t="str">
        <f ca="1"/>
        <v>CZECH NEWS CENTER a. s.</v>
      </c>
      <c r="C134" s="3" t="str">
        <f ca="1">IFERROR(__xludf.DUMMYFUNCTION("""COMPUTED_VALUE"""),"Autorevue")</f>
        <v>Autorevue</v>
      </c>
      <c r="D134" s="4" t="str">
        <f ca="1">IFERROR(__xludf.DUMMYFUNCTION("""COMPUTED_VALUE"""),"https://autorevue.cz")</f>
        <v>https://autorevue.cz</v>
      </c>
      <c r="E134" s="3" t="str">
        <f ca="1">IFERROR(__xludf.DUMMYFUNCTION("""COMPUTED_VALUE"""),"celý web")</f>
        <v>celý web</v>
      </c>
      <c r="F134" s="4" t="str">
        <f ca="1">IFERROR(__xludf.DUMMYFUNCTION("""COMPUTED_VALUE"""),"https://autorevue.cz")</f>
        <v>https://autorevue.cz</v>
      </c>
      <c r="G134" s="3" t="str">
        <f ca="1">IFERROR(__xludf.DUMMYFUNCTION("""COMPUTED_VALUE"""),"cílený nativní pr premium high season")</f>
        <v>cílený nativní pr premium high season</v>
      </c>
      <c r="H134" s="3">
        <f ca="1">IFERROR(__xludf.DUMMYFUNCTION("""COMPUTED_VALUE"""),7)</f>
        <v>7</v>
      </c>
      <c r="I134" s="5">
        <f ca="1">IFERROR(__xludf.DUMMYFUNCTION("""COMPUTED_VALUE"""),1000)</f>
        <v>1000</v>
      </c>
      <c r="J134" s="5">
        <f ca="1">IFERROR(__xludf.DUMMYFUNCTION("""COMPUTED_VALUE"""),216)</f>
        <v>216</v>
      </c>
      <c r="K134" s="3"/>
      <c r="L134" s="3" t="str">
        <f ca="1">IFERROR(__xludf.DUMMYFUNCTION("""COMPUTED_VALUE"""),"Cost per period")</f>
        <v>Cost per period</v>
      </c>
      <c r="M134" s="3"/>
      <c r="N134" s="3"/>
      <c r="O134" s="3" t="str">
        <f ca="1">IFERROR(__xludf.DUMMYFUNCTION("""COMPUTED_VALUE"""),"640")</f>
        <v>640</v>
      </c>
      <c r="P134" s="3" t="str">
        <f ca="1">IFERROR(__xludf.DUMMYFUNCTION("""COMPUTED_VALUE"""),"335, 640")</f>
        <v>335, 640</v>
      </c>
      <c r="Q134" s="3" t="str">
        <f ca="1">IFERROR(__xludf.DUMMYFUNCTION("""COMPUTED_VALUE"""),"640x640 a 640x335 + text + logo")</f>
        <v>640x640 a 640x335 + text + logo</v>
      </c>
      <c r="R134" s="3" t="str">
        <f ca="1">IFERROR(__xludf.DUMMYFUNCTION("""COMPUTED_VALUE"""),"detailní specifikace na URL odkaze")</f>
        <v>detailní specifikace na URL odkaze</v>
      </c>
      <c r="S134" s="3" t="str">
        <f ca="1">IFERROR(__xludf.DUMMYFUNCTION("""COMPUTED_VALUE"""),"100")</f>
        <v>100</v>
      </c>
      <c r="T134" s="3"/>
      <c r="U134" s="3" t="str">
        <f ca="1">IFERROR(__xludf.DUMMYFUNCTION("""COMPUTED_VALUE"""),"nativní reklama")</f>
        <v>nativní reklama</v>
      </c>
      <c r="V134" s="3"/>
      <c r="W134" s="4" t="str">
        <f ca="1">IFERROR(__xludf.DUMMYFUNCTION("""COMPUTED_VALUE"""),"https://reklama.cncenter.cz/Online/nativni-PR-premium")</f>
        <v>https://reklama.cncenter.cz/Online/nativni-PR-premium</v>
      </c>
      <c r="X134" s="3"/>
      <c r="Y134" s="3"/>
      <c r="Z134" s="3" t="str">
        <f ca="1">IFERROR(__xludf.DUMMYFUNCTION("""COMPUTED_VALUE"""),"podklady@cncenter.cz")</f>
        <v>podklady@cncenter.cz</v>
      </c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 t="str">
        <f ca="1">IFERROR(__xludf.DUMMYFUNCTION("""COMPUTED_VALUE"""),"cross-device")</f>
        <v>cross-device</v>
      </c>
      <c r="AO134" s="3"/>
      <c r="AP134" s="3"/>
      <c r="AQ134" s="3"/>
      <c r="AR134" s="3"/>
      <c r="AS134" s="3"/>
      <c r="AT134" s="3"/>
      <c r="AU134" s="3" t="str">
        <f ca="1">IFERROR(__xludf.DUMMYFUNCTION("""COMPUTED_VALUE"""),"cílený nativní pr premium")</f>
        <v>cílený nativní pr premium</v>
      </c>
    </row>
    <row r="135" spans="1:47" x14ac:dyDescent="0.3">
      <c r="A135" s="3">
        <f ca="1"/>
        <v>2346826</v>
      </c>
      <c r="B135" s="3" t="str">
        <f ca="1"/>
        <v>CZECH NEWS CENTER a. s.</v>
      </c>
      <c r="C135" s="3" t="str">
        <f ca="1">IFERROR(__xludf.DUMMYFUNCTION("""COMPUTED_VALUE"""),"Autorevue")</f>
        <v>Autorevue</v>
      </c>
      <c r="D135" s="4" t="str">
        <f ca="1">IFERROR(__xludf.DUMMYFUNCTION("""COMPUTED_VALUE"""),"https://autorevue.cz")</f>
        <v>https://autorevue.cz</v>
      </c>
      <c r="E135" s="3" t="str">
        <f ca="1">IFERROR(__xludf.DUMMYFUNCTION("""COMPUTED_VALUE"""),"celý web")</f>
        <v>celý web</v>
      </c>
      <c r="F135" s="4" t="str">
        <f ca="1">IFERROR(__xludf.DUMMYFUNCTION("""COMPUTED_VALUE"""),"https://autorevue.cz")</f>
        <v>https://autorevue.cz</v>
      </c>
      <c r="G135" s="3" t="str">
        <f ca="1">IFERROR(__xludf.DUMMYFUNCTION("""COMPUTED_VALUE"""),"cílený nativní rectangle cross-device high season")</f>
        <v>cílený nativní rectangle cross-device high season</v>
      </c>
      <c r="H135" s="3">
        <f ca="1">IFERROR(__xludf.DUMMYFUNCTION("""COMPUTED_VALUE"""),7)</f>
        <v>7</v>
      </c>
      <c r="I135" s="5">
        <f ca="1">IFERROR(__xludf.DUMMYFUNCTION("""COMPUTED_VALUE"""),1000)</f>
        <v>1000</v>
      </c>
      <c r="J135" s="5">
        <f ca="1">IFERROR(__xludf.DUMMYFUNCTION("""COMPUTED_VALUE"""),432)</f>
        <v>432</v>
      </c>
      <c r="K135" s="3"/>
      <c r="L135" s="3" t="str">
        <f ca="1">IFERROR(__xludf.DUMMYFUNCTION("""COMPUTED_VALUE"""),"Cost per period")</f>
        <v>Cost per period</v>
      </c>
      <c r="M135" s="3"/>
      <c r="N135" s="3"/>
      <c r="O135" s="3" t="str">
        <f ca="1">IFERROR(__xludf.DUMMYFUNCTION("""COMPUTED_VALUE"""),"640")</f>
        <v>640</v>
      </c>
      <c r="P135" s="3" t="str">
        <f ca="1">IFERROR(__xludf.DUMMYFUNCTION("""COMPUTED_VALUE"""),"335, 640")</f>
        <v>335, 640</v>
      </c>
      <c r="Q135" s="3" t="str">
        <f ca="1">IFERROR(__xludf.DUMMYFUNCTION("""COMPUTED_VALUE"""),"640x640 a 640x335 + text + logo")</f>
        <v>640x640 a 640x335 + text + logo</v>
      </c>
      <c r="R135" s="3"/>
      <c r="S135" s="3" t="str">
        <f ca="1">IFERROR(__xludf.DUMMYFUNCTION("""COMPUTED_VALUE"""),"45")</f>
        <v>45</v>
      </c>
      <c r="T135" s="3"/>
      <c r="U135" s="3" t="str">
        <f ca="1">IFERROR(__xludf.DUMMYFUNCTION("""COMPUTED_VALUE"""),"nativní reklama")</f>
        <v>nativní reklama</v>
      </c>
      <c r="V135" s="3"/>
      <c r="W135" s="4" t="str">
        <f ca="1">IFERROR(__xludf.DUMMYFUNCTION("""COMPUTED_VALUE"""),"https://reklama.cncenter.cz/Online/nativni-rectangle-cross-device")</f>
        <v>https://reklama.cncenter.cz/Online/nativni-rectangle-cross-device</v>
      </c>
      <c r="X135" s="3"/>
      <c r="Y135" s="3"/>
      <c r="Z135" s="3" t="str">
        <f ca="1">IFERROR(__xludf.DUMMYFUNCTION("""COMPUTED_VALUE"""),"podklady@cncenter.cz")</f>
        <v>podklady@cncenter.cz</v>
      </c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 t="str">
        <f ca="1">IFERROR(__xludf.DUMMYFUNCTION("""COMPUTED_VALUE"""),"cross-device")</f>
        <v>cross-device</v>
      </c>
      <c r="AO135" s="3"/>
      <c r="AP135" s="3"/>
      <c r="AQ135" s="3"/>
      <c r="AR135" s="3"/>
      <c r="AS135" s="3"/>
      <c r="AT135" s="3"/>
      <c r="AU135" s="3" t="str">
        <f ca="1">IFERROR(__xludf.DUMMYFUNCTION("""COMPUTED_VALUE"""),"cílený nativní rectangle cross-device")</f>
        <v>cílený nativní rectangle cross-device</v>
      </c>
    </row>
    <row r="136" spans="1:47" x14ac:dyDescent="0.3">
      <c r="A136" s="3">
        <f ca="1"/>
        <v>2346826</v>
      </c>
      <c r="B136" s="3" t="str">
        <f ca="1"/>
        <v>CZECH NEWS CENTER a. s.</v>
      </c>
      <c r="C136" s="3" t="str">
        <f ca="1">IFERROR(__xludf.DUMMYFUNCTION("""COMPUTED_VALUE"""),"Autorevue")</f>
        <v>Autorevue</v>
      </c>
      <c r="D136" s="4" t="str">
        <f ca="1">IFERROR(__xludf.DUMMYFUNCTION("""COMPUTED_VALUE"""),"https://autorevue.cz")</f>
        <v>https://autorevue.cz</v>
      </c>
      <c r="E136" s="3" t="str">
        <f ca="1">IFERROR(__xludf.DUMMYFUNCTION("""COMPUTED_VALUE"""),"celý web")</f>
        <v>celý web</v>
      </c>
      <c r="F136" s="4" t="str">
        <f ca="1">IFERROR(__xludf.DUMMYFUNCTION("""COMPUTED_VALUE"""),"https://autorevue.cz")</f>
        <v>https://autorevue.cz</v>
      </c>
      <c r="G136" s="3" t="str">
        <f ca="1">IFERROR(__xludf.DUMMYFUNCTION("""COMPUTED_VALUE"""),"cílený outstream high season")</f>
        <v>cílený outstream high season</v>
      </c>
      <c r="H136" s="3">
        <f ca="1">IFERROR(__xludf.DUMMYFUNCTION("""COMPUTED_VALUE"""),7)</f>
        <v>7</v>
      </c>
      <c r="I136" s="5">
        <f ca="1">IFERROR(__xludf.DUMMYFUNCTION("""COMPUTED_VALUE"""),1000)</f>
        <v>1000</v>
      </c>
      <c r="J136" s="5">
        <f ca="1">IFERROR(__xludf.DUMMYFUNCTION("""COMPUTED_VALUE"""),540)</f>
        <v>540</v>
      </c>
      <c r="K136" s="3"/>
      <c r="L136" s="3" t="str">
        <f ca="1">IFERROR(__xludf.DUMMYFUNCTION("""COMPUTED_VALUE"""),"Cost per period")</f>
        <v>Cost per period</v>
      </c>
      <c r="M136" s="3"/>
      <c r="N136" s="3"/>
      <c r="O136" s="3" t="str">
        <f ca="1">IFERROR(__xludf.DUMMYFUNCTION("""COMPUTED_VALUE"""),"1280")</f>
        <v>1280</v>
      </c>
      <c r="P136" s="3" t="str">
        <f ca="1">IFERROR(__xludf.DUMMYFUNCTION("""COMPUTED_VALUE"""),"720")</f>
        <v>720</v>
      </c>
      <c r="Q136" s="3" t="str">
        <f ca="1">IFERROR(__xludf.DUMMYFUNCTION("""COMPUTED_VALUE"""),"16:9")</f>
        <v>16:9</v>
      </c>
      <c r="R136" s="3"/>
      <c r="S136" s="3" t="str">
        <f ca="1">IFERROR(__xludf.DUMMYFUNCTION("""COMPUTED_VALUE"""),"100")</f>
        <v>100</v>
      </c>
      <c r="T136" s="3"/>
      <c r="U136" s="3" t="str">
        <f ca="1">IFERROR(__xludf.DUMMYFUNCTION("""COMPUTED_VALUE"""),"videospot")</f>
        <v>videospot</v>
      </c>
      <c r="V136" s="3"/>
      <c r="W136" s="4" t="str">
        <f ca="1">IFERROR(__xludf.DUMMYFUNCTION("""COMPUTED_VALUE"""),"https://reklama.cncenter.cz/Online/Outstream")</f>
        <v>https://reklama.cncenter.cz/Online/Outstream</v>
      </c>
      <c r="X136" s="3"/>
      <c r="Y136" s="3"/>
      <c r="Z136" s="3" t="str">
        <f ca="1">IFERROR(__xludf.DUMMYFUNCTION("""COMPUTED_VALUE"""),"podklady@cncenter.cz")</f>
        <v>podklady@cncenter.cz</v>
      </c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 t="str">
        <f ca="1">IFERROR(__xludf.DUMMYFUNCTION("""COMPUTED_VALUE"""),"cross-device")</f>
        <v>cross-device</v>
      </c>
      <c r="AO136" s="3"/>
      <c r="AP136" s="3"/>
      <c r="AQ136" s="3"/>
      <c r="AR136" s="3"/>
      <c r="AS136" s="3"/>
      <c r="AT136" s="3"/>
      <c r="AU136" s="3" t="str">
        <f ca="1">IFERROR(__xludf.DUMMYFUNCTION("""COMPUTED_VALUE"""),"cílený outstream")</f>
        <v>cílený outstream</v>
      </c>
    </row>
    <row r="137" spans="1:47" x14ac:dyDescent="0.3">
      <c r="A137" s="3">
        <f ca="1"/>
        <v>2346826</v>
      </c>
      <c r="B137" s="3" t="str">
        <f ca="1"/>
        <v>CZECH NEWS CENTER a. s.</v>
      </c>
      <c r="C137" s="3" t="str">
        <f ca="1">IFERROR(__xludf.DUMMYFUNCTION("""COMPUTED_VALUE"""),"Autorevue")</f>
        <v>Autorevue</v>
      </c>
      <c r="D137" s="4" t="str">
        <f ca="1">IFERROR(__xludf.DUMMYFUNCTION("""COMPUTED_VALUE"""),"https://autorevue.cz")</f>
        <v>https://autorevue.cz</v>
      </c>
      <c r="E137" s="3" t="str">
        <f ca="1">IFERROR(__xludf.DUMMYFUNCTION("""COMPUTED_VALUE"""),"celý web")</f>
        <v>celý web</v>
      </c>
      <c r="F137" s="4" t="str">
        <f ca="1">IFERROR(__xludf.DUMMYFUNCTION("""COMPUTED_VALUE"""),"https://autorevue.cz")</f>
        <v>https://autorevue.cz</v>
      </c>
      <c r="G137" s="3" t="str">
        <f ca="1">IFERROR(__xludf.DUMMYFUNCTION("""COMPUTED_VALUE"""),"cílený videospot - max. 30 sec. / bumper high season")</f>
        <v>cílený videospot - max. 30 sec. / bumper high season</v>
      </c>
      <c r="H137" s="3">
        <f ca="1">IFERROR(__xludf.DUMMYFUNCTION("""COMPUTED_VALUE"""),7)</f>
        <v>7</v>
      </c>
      <c r="I137" s="5">
        <f ca="1">IFERROR(__xludf.DUMMYFUNCTION("""COMPUTED_VALUE"""),1000)</f>
        <v>1000</v>
      </c>
      <c r="J137" s="5">
        <f ca="1">IFERROR(__xludf.DUMMYFUNCTION("""COMPUTED_VALUE"""),1608)</f>
        <v>1608</v>
      </c>
      <c r="K137" s="3"/>
      <c r="L137" s="3" t="str">
        <f ca="1">IFERROR(__xludf.DUMMYFUNCTION("""COMPUTED_VALUE"""),"Cost per period")</f>
        <v>Cost per period</v>
      </c>
      <c r="M137" s="3"/>
      <c r="N137" s="3"/>
      <c r="O137" s="3" t="str">
        <f ca="1">IFERROR(__xludf.DUMMYFUNCTION("""COMPUTED_VALUE"""),"1280")</f>
        <v>1280</v>
      </c>
      <c r="P137" s="3" t="str">
        <f ca="1">IFERROR(__xludf.DUMMYFUNCTION("""COMPUTED_VALUE"""),"720")</f>
        <v>720</v>
      </c>
      <c r="Q137" s="3" t="str">
        <f ca="1">IFERROR(__xludf.DUMMYFUNCTION("""COMPUTED_VALUE"""),"16:9 / umístění po domluvě dle možností")</f>
        <v>16:9 / umístění po domluvě dle možností</v>
      </c>
      <c r="R137" s="3" t="str">
        <f ca="1">IFERROR(__xludf.DUMMYFUNCTION("""COMPUTED_VALUE"""),"přeskočení po 7 sekundách")</f>
        <v>přeskočení po 7 sekundách</v>
      </c>
      <c r="S137" s="3" t="str">
        <f ca="1">IFERROR(__xludf.DUMMYFUNCTION("""COMPUTED_VALUE"""),"100")</f>
        <v>100</v>
      </c>
      <c r="T137" s="3"/>
      <c r="U137" s="3" t="str">
        <f ca="1">IFERROR(__xludf.DUMMYFUNCTION("""COMPUTED_VALUE"""),"videospot")</f>
        <v>videospot</v>
      </c>
      <c r="V137" s="3"/>
      <c r="W137" s="4" t="str">
        <f ca="1">IFERROR(__xludf.DUMMYFUNCTION("""COMPUTED_VALUE"""),"https://reklama.cncenter.cz/Online/Bumper")</f>
        <v>https://reklama.cncenter.cz/Online/Bumper</v>
      </c>
      <c r="X137" s="3"/>
      <c r="Y137" s="3"/>
      <c r="Z137" s="3" t="str">
        <f ca="1">IFERROR(__xludf.DUMMYFUNCTION("""COMPUTED_VALUE"""),"podklady@cncenter.cz")</f>
        <v>podklady@cncenter.cz</v>
      </c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 t="str">
        <f ca="1">IFERROR(__xludf.DUMMYFUNCTION("""COMPUTED_VALUE"""),"cross-device")</f>
        <v>cross-device</v>
      </c>
      <c r="AO137" s="3"/>
      <c r="AP137" s="3"/>
      <c r="AQ137" s="3"/>
      <c r="AR137" s="3"/>
      <c r="AS137" s="3"/>
      <c r="AT137" s="3"/>
      <c r="AU137" s="3" t="str">
        <f ca="1">IFERROR(__xludf.DUMMYFUNCTION("""COMPUTED_VALUE"""),"cílený videospot - max. 30 sec. / bumper")</f>
        <v>cílený videospot - max. 30 sec. / bumper</v>
      </c>
    </row>
    <row r="138" spans="1:47" x14ac:dyDescent="0.3">
      <c r="A138" s="3">
        <f ca="1"/>
        <v>2346826</v>
      </c>
      <c r="B138" s="3" t="str">
        <f ca="1"/>
        <v>CZECH NEWS CENTER a. s.</v>
      </c>
      <c r="C138" s="3" t="str">
        <f ca="1">IFERROR(__xludf.DUMMYFUNCTION("""COMPUTED_VALUE"""),"AutoRevue")</f>
        <v>AutoRevue</v>
      </c>
      <c r="D138" s="4" t="str">
        <f ca="1">IFERROR(__xludf.DUMMYFUNCTION("""COMPUTED_VALUE"""),"https://autorevue.cz")</f>
        <v>https://autorevue.cz</v>
      </c>
      <c r="E138" s="3" t="str">
        <f ca="1">IFERROR(__xludf.DUMMYFUNCTION("""COMPUTED_VALUE"""),"celý web")</f>
        <v>celý web</v>
      </c>
      <c r="F138" s="4" t="str">
        <f ca="1">IFERROR(__xludf.DUMMYFUNCTION("""COMPUTED_VALUE"""),"https://autorevue.cz")</f>
        <v>https://autorevue.cz</v>
      </c>
      <c r="G138" s="3" t="str">
        <f ca="1">IFERROR(__xludf.DUMMYFUNCTION("""COMPUTED_VALUE"""),"dokoupení proma o 2 týdny - 10 000 PV *** high season")</f>
        <v>dokoupení proma o 2 týdny - 10 000 PV *** high season</v>
      </c>
      <c r="H138" s="3">
        <f ca="1">IFERROR(__xludf.DUMMYFUNCTION("""COMPUTED_VALUE"""),1)</f>
        <v>1</v>
      </c>
      <c r="I138" s="5">
        <f ca="1">IFERROR(__xludf.DUMMYFUNCTION("""COMPUTED_VALUE"""),1)</f>
        <v>1</v>
      </c>
      <c r="J138" s="5">
        <f ca="1">IFERROR(__xludf.DUMMYFUNCTION("""COMPUTED_VALUE"""),60000)</f>
        <v>60000</v>
      </c>
      <c r="K138" s="3"/>
      <c r="L138" s="3" t="str">
        <f ca="1">IFERROR(__xludf.DUMMYFUNCTION("""COMPUTED_VALUE"""),"Cost per instance")</f>
        <v>Cost per instance</v>
      </c>
      <c r="M138" s="3"/>
      <c r="N138" s="3"/>
      <c r="O138" s="3"/>
      <c r="P138" s="3"/>
      <c r="Q138" s="3"/>
      <c r="R138" s="3"/>
      <c r="S138" s="3" t="str">
        <f ca="1">IFERROR(__xludf.DUMMYFUNCTION("""COMPUTED_VALUE"""),"100")</f>
        <v>100</v>
      </c>
      <c r="T138" s="3"/>
      <c r="U138" s="3" t="str">
        <f ca="1">IFERROR(__xludf.DUMMYFUNCTION("""COMPUTED_VALUE"""),"microsite")</f>
        <v>microsite</v>
      </c>
      <c r="V138" s="3"/>
      <c r="W138" s="3"/>
      <c r="X138" s="3"/>
      <c r="Y138" s="3"/>
      <c r="Z138" s="3" t="str">
        <f ca="1">IFERROR(__xludf.DUMMYFUNCTION("""COMPUTED_VALUE"""),"podklady@cncenter.cz")</f>
        <v>podklady@cncenter.cz</v>
      </c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 t="str">
        <f ca="1">IFERROR(__xludf.DUMMYFUNCTION("""COMPUTED_VALUE"""),"cross-device")</f>
        <v>cross-device</v>
      </c>
      <c r="AO138" s="3"/>
      <c r="AP138" s="3"/>
      <c r="AQ138" s="3"/>
      <c r="AR138" s="3"/>
      <c r="AS138" s="3"/>
      <c r="AT138" s="3"/>
      <c r="AU138" s="3" t="str">
        <f ca="1">IFERROR(__xludf.DUMMYFUNCTION("""COMPUTED_VALUE"""),"dokoupení proma o 2 týdny - 10 000 PV ***")</f>
        <v>dokoupení proma o 2 týdny - 10 000 PV ***</v>
      </c>
    </row>
    <row r="139" spans="1:47" x14ac:dyDescent="0.3">
      <c r="A139" s="3">
        <f ca="1"/>
        <v>2346826</v>
      </c>
      <c r="B139" s="3" t="str">
        <f ca="1"/>
        <v>CZECH NEWS CENTER a. s.</v>
      </c>
      <c r="C139" s="3" t="str">
        <f ca="1">IFERROR(__xludf.DUMMYFUNCTION("""COMPUTED_VALUE"""),"Autorevue")</f>
        <v>Autorevue</v>
      </c>
      <c r="D139" s="4" t="str">
        <f ca="1">IFERROR(__xludf.DUMMYFUNCTION("""COMPUTED_VALUE"""),"https://autorevue.cz")</f>
        <v>https://autorevue.cz</v>
      </c>
      <c r="E139" s="3" t="str">
        <f ca="1">IFERROR(__xludf.DUMMYFUNCTION("""COMPUTED_VALUE"""),"celý web")</f>
        <v>celý web</v>
      </c>
      <c r="F139" s="4" t="str">
        <f ca="1">IFERROR(__xludf.DUMMYFUNCTION("""COMPUTED_VALUE"""),"https://autorevue.cz")</f>
        <v>https://autorevue.cz</v>
      </c>
      <c r="G139" s="3" t="str">
        <f ca="1">IFERROR(__xludf.DUMMYFUNCTION("""COMPUTED_VALUE"""),"double skyscraper high season")</f>
        <v>double skyscraper high season</v>
      </c>
      <c r="H139" s="3">
        <f ca="1">IFERROR(__xludf.DUMMYFUNCTION("""COMPUTED_VALUE"""),7)</f>
        <v>7</v>
      </c>
      <c r="I139" s="5">
        <f ca="1">IFERROR(__xludf.DUMMYFUNCTION("""COMPUTED_VALUE"""),1000)</f>
        <v>1000</v>
      </c>
      <c r="J139" s="5">
        <f ca="1">IFERROR(__xludf.DUMMYFUNCTION("""COMPUTED_VALUE"""),350)</f>
        <v>350</v>
      </c>
      <c r="K139" s="3"/>
      <c r="L139" s="3" t="str">
        <f ca="1">IFERROR(__xludf.DUMMYFUNCTION("""COMPUTED_VALUE"""),"Cost per period")</f>
        <v>Cost per period</v>
      </c>
      <c r="M139" s="3"/>
      <c r="N139" s="3"/>
      <c r="O139" s="3" t="str">
        <f ca="1">IFERROR(__xludf.DUMMYFUNCTION("""COMPUTED_VALUE"""),"300")</f>
        <v>300</v>
      </c>
      <c r="P139" s="3" t="str">
        <f ca="1">IFERROR(__xludf.DUMMYFUNCTION("""COMPUTED_VALUE"""),"600")</f>
        <v>600</v>
      </c>
      <c r="Q139" s="3" t="str">
        <f ca="1">IFERROR(__xludf.DUMMYFUNCTION("""COMPUTED_VALUE"""),"300x600")</f>
        <v>300x600</v>
      </c>
      <c r="R139" s="3"/>
      <c r="S139" s="3" t="str">
        <f ca="1">IFERROR(__xludf.DUMMYFUNCTION("""COMPUTED_VALUE"""),"100 (200 - HTML5)")</f>
        <v>100 (200 - HTML5)</v>
      </c>
      <c r="T139" s="3"/>
      <c r="U139" s="3" t="str">
        <f ca="1">IFERROR(__xludf.DUMMYFUNCTION("""COMPUTED_VALUE"""),"banner standard")</f>
        <v>banner standard</v>
      </c>
      <c r="V139" s="3"/>
      <c r="W139" s="4" t="str">
        <f ca="1">IFERROR(__xludf.DUMMYFUNCTION("""COMPUTED_VALUE"""),"https://reklama.cncenter.cz/Online/double-skyscraper")</f>
        <v>https://reklama.cncenter.cz/Online/double-skyscraper</v>
      </c>
      <c r="X139" s="3"/>
      <c r="Y139" s="3"/>
      <c r="Z139" s="3" t="str">
        <f ca="1">IFERROR(__xludf.DUMMYFUNCTION("""COMPUTED_VALUE"""),"podklady@cncenter.cz")</f>
        <v>podklady@cncenter.cz</v>
      </c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 t="str">
        <f ca="1">IFERROR(__xludf.DUMMYFUNCTION("""COMPUTED_VALUE"""),"desktop")</f>
        <v>desktop</v>
      </c>
      <c r="AO139" s="3"/>
      <c r="AP139" s="3"/>
      <c r="AQ139" s="3"/>
      <c r="AR139" s="3"/>
      <c r="AS139" s="3"/>
      <c r="AT139" s="3"/>
      <c r="AU139" s="3" t="str">
        <f ca="1">IFERROR(__xludf.DUMMYFUNCTION("""COMPUTED_VALUE"""),"double skyscraper")</f>
        <v>double skyscraper</v>
      </c>
    </row>
    <row r="140" spans="1:47" x14ac:dyDescent="0.3">
      <c r="A140" s="3">
        <f ca="1"/>
        <v>2346826</v>
      </c>
      <c r="B140" s="3" t="str">
        <f ca="1"/>
        <v>CZECH NEWS CENTER a. s.</v>
      </c>
      <c r="C140" s="3" t="str">
        <f ca="1">IFERROR(__xludf.DUMMYFUNCTION("""COMPUTED_VALUE"""),"Autorevue")</f>
        <v>Autorevue</v>
      </c>
      <c r="D140" s="4" t="str">
        <f ca="1">IFERROR(__xludf.DUMMYFUNCTION("""COMPUTED_VALUE"""),"https://autorevue.cz")</f>
        <v>https://autorevue.cz</v>
      </c>
      <c r="E140" s="3" t="str">
        <f ca="1">IFERROR(__xludf.DUMMYFUNCTION("""COMPUTED_VALUE"""),"celý web")</f>
        <v>celý web</v>
      </c>
      <c r="F140" s="4" t="str">
        <f ca="1">IFERROR(__xludf.DUMMYFUNCTION("""COMPUTED_VALUE"""),"https://autorevue.cz")</f>
        <v>https://autorevue.cz</v>
      </c>
      <c r="G140" s="3" t="str">
        <f ca="1">IFERROR(__xludf.DUMMYFUNCTION("""COMPUTED_VALUE"""),"mobilní interscroller high season")</f>
        <v>mobilní interscroller high season</v>
      </c>
      <c r="H140" s="3">
        <f ca="1">IFERROR(__xludf.DUMMYFUNCTION("""COMPUTED_VALUE"""),7)</f>
        <v>7</v>
      </c>
      <c r="I140" s="5">
        <f ca="1">IFERROR(__xludf.DUMMYFUNCTION("""COMPUTED_VALUE"""),1000)</f>
        <v>1000</v>
      </c>
      <c r="J140" s="5">
        <f ca="1">IFERROR(__xludf.DUMMYFUNCTION("""COMPUTED_VALUE"""),450)</f>
        <v>450</v>
      </c>
      <c r="K140" s="3"/>
      <c r="L140" s="3" t="str">
        <f ca="1">IFERROR(__xludf.DUMMYFUNCTION("""COMPUTED_VALUE"""),"Cost per period")</f>
        <v>Cost per period</v>
      </c>
      <c r="M140" s="3"/>
      <c r="N140" s="3"/>
      <c r="O140" s="3" t="str">
        <f ca="1">IFERROR(__xludf.DUMMYFUNCTION("""COMPUTED_VALUE"""),"600")</f>
        <v>600</v>
      </c>
      <c r="P140" s="3" t="str">
        <f ca="1">IFERROR(__xludf.DUMMYFUNCTION("""COMPUTED_VALUE"""),"1080")</f>
        <v>1080</v>
      </c>
      <c r="Q140" s="3" t="str">
        <f ca="1">IFERROR(__xludf.DUMMYFUNCTION("""COMPUTED_VALUE"""),"600x1080")</f>
        <v>600x1080</v>
      </c>
      <c r="R140" s="3"/>
      <c r="S140" s="3" t="str">
        <f ca="1">IFERROR(__xludf.DUMMYFUNCTION("""COMPUTED_VALUE"""),"200")</f>
        <v>200</v>
      </c>
      <c r="T140" s="3"/>
      <c r="U140" s="3" t="str">
        <f ca="1">IFERROR(__xludf.DUMMYFUNCTION("""COMPUTED_VALUE"""),"banner standard")</f>
        <v>banner standard</v>
      </c>
      <c r="V140" s="3"/>
      <c r="W140" s="4" t="str">
        <f ca="1">IFERROR(__xludf.DUMMYFUNCTION("""COMPUTED_VALUE"""),"https://reklama.cncenter.cz/Online/mobilni-interscroller")</f>
        <v>https://reklama.cncenter.cz/Online/mobilni-interscroller</v>
      </c>
      <c r="X140" s="3"/>
      <c r="Y140" s="3"/>
      <c r="Z140" s="3" t="str">
        <f ca="1">IFERROR(__xludf.DUMMYFUNCTION("""COMPUTED_VALUE"""),"podklady@cncenter.cz")</f>
        <v>podklady@cncenter.cz</v>
      </c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 t="str">
        <f ca="1">IFERROR(__xludf.DUMMYFUNCTION("""COMPUTED_VALUE"""),"mobile")</f>
        <v>mobile</v>
      </c>
      <c r="AO140" s="3"/>
      <c r="AP140" s="3"/>
      <c r="AQ140" s="3"/>
      <c r="AR140" s="3"/>
      <c r="AS140" s="3"/>
      <c r="AT140" s="3"/>
      <c r="AU140" s="3" t="str">
        <f ca="1">IFERROR(__xludf.DUMMYFUNCTION("""COMPUTED_VALUE"""),"mobilní interscroller")</f>
        <v>mobilní interscroller</v>
      </c>
    </row>
    <row r="141" spans="1:47" x14ac:dyDescent="0.3">
      <c r="A141" s="3">
        <f ca="1"/>
        <v>2346826</v>
      </c>
      <c r="B141" s="3" t="str">
        <f ca="1"/>
        <v>CZECH NEWS CENTER a. s.</v>
      </c>
      <c r="C141" s="3" t="str">
        <f ca="1">IFERROR(__xludf.DUMMYFUNCTION("""COMPUTED_VALUE"""),"Autorevue")</f>
        <v>Autorevue</v>
      </c>
      <c r="D141" s="4" t="str">
        <f ca="1">IFERROR(__xludf.DUMMYFUNCTION("""COMPUTED_VALUE"""),"https://autorevue.cz")</f>
        <v>https://autorevue.cz</v>
      </c>
      <c r="E141" s="3" t="str">
        <f ca="1">IFERROR(__xludf.DUMMYFUNCTION("""COMPUTED_VALUE"""),"celý web")</f>
        <v>celý web</v>
      </c>
      <c r="F141" s="4" t="str">
        <f ca="1">IFERROR(__xludf.DUMMYFUNCTION("""COMPUTED_VALUE"""),"https://autorevue.cz")</f>
        <v>https://autorevue.cz</v>
      </c>
      <c r="G141" s="3" t="str">
        <f ca="1">IFERROR(__xludf.DUMMYFUNCTION("""COMPUTED_VALUE"""),"mobilní slide-up high season")</f>
        <v>mobilní slide-up high season</v>
      </c>
      <c r="H141" s="3">
        <f ca="1">IFERROR(__xludf.DUMMYFUNCTION("""COMPUTED_VALUE"""),7)</f>
        <v>7</v>
      </c>
      <c r="I141" s="5">
        <f ca="1">IFERROR(__xludf.DUMMYFUNCTION("""COMPUTED_VALUE"""),1000)</f>
        <v>1000</v>
      </c>
      <c r="J141" s="5">
        <f ca="1">IFERROR(__xludf.DUMMYFUNCTION("""COMPUTED_VALUE"""),920)</f>
        <v>920</v>
      </c>
      <c r="K141" s="3"/>
      <c r="L141" s="3" t="str">
        <f ca="1">IFERROR(__xludf.DUMMYFUNCTION("""COMPUTED_VALUE"""),"Cost per period")</f>
        <v>Cost per period</v>
      </c>
      <c r="M141" s="3"/>
      <c r="N141" s="3"/>
      <c r="O141" s="3" t="str">
        <f ca="1">IFERROR(__xludf.DUMMYFUNCTION("""COMPUTED_VALUE"""),"300")</f>
        <v>300</v>
      </c>
      <c r="P141" s="3" t="str">
        <f ca="1">IFERROR(__xludf.DUMMYFUNCTION("""COMPUTED_VALUE"""),"120")</f>
        <v>120</v>
      </c>
      <c r="Q141" s="3" t="str">
        <f ca="1">IFERROR(__xludf.DUMMYFUNCTION("""COMPUTED_VALUE"""),"300x120")</f>
        <v>300x120</v>
      </c>
      <c r="R141" s="3"/>
      <c r="S141" s="3" t="str">
        <f ca="1">IFERROR(__xludf.DUMMYFUNCTION("""COMPUTED_VALUE"""),"100")</f>
        <v>100</v>
      </c>
      <c r="T141" s="3"/>
      <c r="U141" s="3" t="str">
        <f ca="1">IFERROR(__xludf.DUMMYFUNCTION("""COMPUTED_VALUE"""),"banner standard")</f>
        <v>banner standard</v>
      </c>
      <c r="V141" s="3"/>
      <c r="W141" s="4" t="str">
        <f ca="1">IFERROR(__xludf.DUMMYFUNCTION("""COMPUTED_VALUE"""),"https://reklama.cncenter.cz/Online/mobilni-slide-up")</f>
        <v>https://reklama.cncenter.cz/Online/mobilni-slide-up</v>
      </c>
      <c r="X141" s="3"/>
      <c r="Y141" s="3"/>
      <c r="Z141" s="3" t="str">
        <f ca="1">IFERROR(__xludf.DUMMYFUNCTION("""COMPUTED_VALUE"""),"podklady@cncenter.cz")</f>
        <v>podklady@cncenter.cz</v>
      </c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 t="str">
        <f ca="1">IFERROR(__xludf.DUMMYFUNCTION("""COMPUTED_VALUE"""),"mobile")</f>
        <v>mobile</v>
      </c>
      <c r="AO141" s="3"/>
      <c r="AP141" s="3"/>
      <c r="AQ141" s="3"/>
      <c r="AR141" s="3"/>
      <c r="AS141" s="3"/>
      <c r="AT141" s="3"/>
      <c r="AU141" s="3" t="str">
        <f ca="1">IFERROR(__xludf.DUMMYFUNCTION("""COMPUTED_VALUE"""),"mobilní slide-up")</f>
        <v>mobilní slide-up</v>
      </c>
    </row>
    <row r="142" spans="1:47" x14ac:dyDescent="0.3">
      <c r="A142" s="3">
        <f ca="1"/>
        <v>2346826</v>
      </c>
      <c r="B142" s="3" t="str">
        <f ca="1"/>
        <v>CZECH NEWS CENTER a. s.</v>
      </c>
      <c r="C142" s="3" t="str">
        <f ca="1">IFERROR(__xludf.DUMMYFUNCTION("""COMPUTED_VALUE"""),"Autorevue")</f>
        <v>Autorevue</v>
      </c>
      <c r="D142" s="4" t="str">
        <f ca="1">IFERROR(__xludf.DUMMYFUNCTION("""COMPUTED_VALUE"""),"https://autorevue.cz")</f>
        <v>https://autorevue.cz</v>
      </c>
      <c r="E142" s="3" t="str">
        <f ca="1">IFERROR(__xludf.DUMMYFUNCTION("""COMPUTED_VALUE"""),"celý web")</f>
        <v>celý web</v>
      </c>
      <c r="F142" s="4" t="str">
        <f ca="1">IFERROR(__xludf.DUMMYFUNCTION("""COMPUTED_VALUE"""),"https://autorevue.cz")</f>
        <v>https://autorevue.cz</v>
      </c>
      <c r="G142" s="3" t="str">
        <f ca="1">IFERROR(__xludf.DUMMYFUNCTION("""COMPUTED_VALUE"""),"mobilní viněta high season")</f>
        <v>mobilní viněta high season</v>
      </c>
      <c r="H142" s="3">
        <f ca="1">IFERROR(__xludf.DUMMYFUNCTION("""COMPUTED_VALUE"""),7)</f>
        <v>7</v>
      </c>
      <c r="I142" s="5">
        <f ca="1">IFERROR(__xludf.DUMMYFUNCTION("""COMPUTED_VALUE"""),1000)</f>
        <v>1000</v>
      </c>
      <c r="J142" s="5">
        <f ca="1">IFERROR(__xludf.DUMMYFUNCTION("""COMPUTED_VALUE"""),1590)</f>
        <v>1590</v>
      </c>
      <c r="K142" s="3"/>
      <c r="L142" s="3" t="str">
        <f ca="1">IFERROR(__xludf.DUMMYFUNCTION("""COMPUTED_VALUE"""),"Cost per period")</f>
        <v>Cost per period</v>
      </c>
      <c r="M142" s="3"/>
      <c r="N142" s="3"/>
      <c r="O142" s="3" t="str">
        <f ca="1">IFERROR(__xludf.DUMMYFUNCTION("""COMPUTED_VALUE"""),"600")</f>
        <v>600</v>
      </c>
      <c r="P142" s="3" t="str">
        <f ca="1">IFERROR(__xludf.DUMMYFUNCTION("""COMPUTED_VALUE"""),"800")</f>
        <v>800</v>
      </c>
      <c r="Q142" s="3" t="str">
        <f ca="1">IFERROR(__xludf.DUMMYFUNCTION("""COMPUTED_VALUE"""),"300x250 nebo 600x800")</f>
        <v>300x250 nebo 600x800</v>
      </c>
      <c r="R142" s="3"/>
      <c r="S142" s="3" t="str">
        <f ca="1">IFERROR(__xludf.DUMMYFUNCTION("""COMPUTED_VALUE"""),"100")</f>
        <v>100</v>
      </c>
      <c r="T142" s="3"/>
      <c r="U142" s="3" t="str">
        <f ca="1">IFERROR(__xludf.DUMMYFUNCTION("""COMPUTED_VALUE"""),"banner standard")</f>
        <v>banner standard</v>
      </c>
      <c r="V142" s="3"/>
      <c r="W142" s="4" t="str">
        <f ca="1">IFERROR(__xludf.DUMMYFUNCTION("""COMPUTED_VALUE"""),"https://reklama.cncenter.cz/Online/mobilni-vineta")</f>
        <v>https://reklama.cncenter.cz/Online/mobilni-vineta</v>
      </c>
      <c r="X142" s="3"/>
      <c r="Y142" s="3"/>
      <c r="Z142" s="3" t="str">
        <f ca="1">IFERROR(__xludf.DUMMYFUNCTION("""COMPUTED_VALUE"""),"podklady@cncenter.cz")</f>
        <v>podklady@cncenter.cz</v>
      </c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 t="str">
        <f ca="1">IFERROR(__xludf.DUMMYFUNCTION("""COMPUTED_VALUE"""),"mobile")</f>
        <v>mobile</v>
      </c>
      <c r="AO142" s="3"/>
      <c r="AP142" s="3"/>
      <c r="AQ142" s="3"/>
      <c r="AR142" s="3"/>
      <c r="AS142" s="3"/>
      <c r="AT142" s="3"/>
      <c r="AU142" s="3" t="str">
        <f ca="1">IFERROR(__xludf.DUMMYFUNCTION("""COMPUTED_VALUE"""),"mobilní viněta")</f>
        <v>mobilní viněta</v>
      </c>
    </row>
    <row r="143" spans="1:47" x14ac:dyDescent="0.3">
      <c r="A143" s="3">
        <f ca="1"/>
        <v>2346826</v>
      </c>
      <c r="B143" s="3" t="str">
        <f ca="1"/>
        <v>CZECH NEWS CENTER a. s.</v>
      </c>
      <c r="C143" s="3" t="str">
        <f ca="1">IFERROR(__xludf.DUMMYFUNCTION("""COMPUTED_VALUE"""),"AutoRevue")</f>
        <v>AutoRevue</v>
      </c>
      <c r="D143" s="4" t="str">
        <f ca="1">IFERROR(__xludf.DUMMYFUNCTION("""COMPUTED_VALUE"""),"https://autorevue.cz")</f>
        <v>https://autorevue.cz</v>
      </c>
      <c r="E143" s="3" t="str">
        <f ca="1">IFERROR(__xludf.DUMMYFUNCTION("""COMPUTED_VALUE"""),"celý web")</f>
        <v>celý web</v>
      </c>
      <c r="F143" s="4" t="str">
        <f ca="1">IFERROR(__xludf.DUMMYFUNCTION("""COMPUTED_VALUE"""),"https://autorevue.cz")</f>
        <v>https://autorevue.cz</v>
      </c>
      <c r="G143" s="3" t="str">
        <f ca="1">IFERROR(__xludf.DUMMYFUNCTION("""COMPUTED_VALUE"""),"Native Standard high season")</f>
        <v>Native Standard high season</v>
      </c>
      <c r="H143" s="3">
        <f ca="1">IFERROR(__xludf.DUMMYFUNCTION("""COMPUTED_VALUE"""),1)</f>
        <v>1</v>
      </c>
      <c r="I143" s="5">
        <f ca="1">IFERROR(__xludf.DUMMYFUNCTION("""COMPUTED_VALUE"""),1)</f>
        <v>1</v>
      </c>
      <c r="J143" s="5">
        <f ca="1">IFERROR(__xludf.DUMMYFUNCTION("""COMPUTED_VALUE"""),330000)</f>
        <v>330000</v>
      </c>
      <c r="K143" s="3"/>
      <c r="L143" s="3" t="str">
        <f ca="1">IFERROR(__xludf.DUMMYFUNCTION("""COMPUTED_VALUE"""),"Cost per instance")</f>
        <v>Cost per instance</v>
      </c>
      <c r="M143" s="3"/>
      <c r="N143" s="3"/>
      <c r="O143" s="3"/>
      <c r="P143" s="3"/>
      <c r="Q143" s="3"/>
      <c r="R143" s="3"/>
      <c r="S143" s="3" t="str">
        <f ca="1">IFERROR(__xludf.DUMMYFUNCTION("""COMPUTED_VALUE"""),"100")</f>
        <v>100</v>
      </c>
      <c r="T143" s="3"/>
      <c r="U143" s="3" t="str">
        <f ca="1">IFERROR(__xludf.DUMMYFUNCTION("""COMPUTED_VALUE"""),"microsite")</f>
        <v>microsite</v>
      </c>
      <c r="V143" s="3"/>
      <c r="W143" s="3"/>
      <c r="X143" s="3"/>
      <c r="Y143" s="3"/>
      <c r="Z143" s="3" t="str">
        <f ca="1">IFERROR(__xludf.DUMMYFUNCTION("""COMPUTED_VALUE"""),"podklady@cncenter.cz")</f>
        <v>podklady@cncenter.cz</v>
      </c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 t="str">
        <f ca="1">IFERROR(__xludf.DUMMYFUNCTION("""COMPUTED_VALUE"""),"cross-device")</f>
        <v>cross-device</v>
      </c>
      <c r="AO143" s="3"/>
      <c r="AP143" s="3"/>
      <c r="AQ143" s="3"/>
      <c r="AR143" s="3"/>
      <c r="AS143" s="3"/>
      <c r="AT143" s="3"/>
      <c r="AU143" s="3" t="str">
        <f ca="1">IFERROR(__xludf.DUMMYFUNCTION("""COMPUTED_VALUE"""),"Native Standard")</f>
        <v>Native Standard</v>
      </c>
    </row>
    <row r="144" spans="1:47" x14ac:dyDescent="0.3">
      <c r="A144" s="3">
        <f ca="1"/>
        <v>2346826</v>
      </c>
      <c r="B144" s="3" t="str">
        <f ca="1"/>
        <v>CZECH NEWS CENTER a. s.</v>
      </c>
      <c r="C144" s="3" t="str">
        <f ca="1">IFERROR(__xludf.DUMMYFUNCTION("""COMPUTED_VALUE"""),"Autorevue")</f>
        <v>Autorevue</v>
      </c>
      <c r="D144" s="4" t="str">
        <f ca="1">IFERROR(__xludf.DUMMYFUNCTION("""COMPUTED_VALUE"""),"https://autorevue.cz")</f>
        <v>https://autorevue.cz</v>
      </c>
      <c r="E144" s="3" t="str">
        <f ca="1">IFERROR(__xludf.DUMMYFUNCTION("""COMPUTED_VALUE"""),"celý web")</f>
        <v>celý web</v>
      </c>
      <c r="F144" s="4" t="str">
        <f ca="1">IFERROR(__xludf.DUMMYFUNCTION("""COMPUTED_VALUE"""),"https://autorevue.cz")</f>
        <v>https://autorevue.cz</v>
      </c>
      <c r="G144" s="3" t="str">
        <f ca="1">IFERROR(__xludf.DUMMYFUNCTION("""COMPUTED_VALUE"""),"nativní pr premium high season")</f>
        <v>nativní pr premium high season</v>
      </c>
      <c r="H144" s="3">
        <f ca="1">IFERROR(__xludf.DUMMYFUNCTION("""COMPUTED_VALUE"""),7)</f>
        <v>7</v>
      </c>
      <c r="I144" s="5">
        <f ca="1">IFERROR(__xludf.DUMMYFUNCTION("""COMPUTED_VALUE"""),1000)</f>
        <v>1000</v>
      </c>
      <c r="J144" s="5">
        <f ca="1">IFERROR(__xludf.DUMMYFUNCTION("""COMPUTED_VALUE"""),180)</f>
        <v>180</v>
      </c>
      <c r="K144" s="3"/>
      <c r="L144" s="3" t="str">
        <f ca="1">IFERROR(__xludf.DUMMYFUNCTION("""COMPUTED_VALUE"""),"Cost per period")</f>
        <v>Cost per period</v>
      </c>
      <c r="M144" s="3"/>
      <c r="N144" s="3"/>
      <c r="O144" s="3" t="str">
        <f ca="1">IFERROR(__xludf.DUMMYFUNCTION("""COMPUTED_VALUE"""),"640")</f>
        <v>640</v>
      </c>
      <c r="P144" s="3" t="str">
        <f ca="1">IFERROR(__xludf.DUMMYFUNCTION("""COMPUTED_VALUE"""),"335, 640")</f>
        <v>335, 640</v>
      </c>
      <c r="Q144" s="3" t="str">
        <f ca="1">IFERROR(__xludf.DUMMYFUNCTION("""COMPUTED_VALUE"""),"640x640 a 640x335 + text + logo")</f>
        <v>640x640 a 640x335 + text + logo</v>
      </c>
      <c r="R144" s="3" t="str">
        <f ca="1">IFERROR(__xludf.DUMMYFUNCTION("""COMPUTED_VALUE"""),"detailní specifikace na URL odkaze")</f>
        <v>detailní specifikace na URL odkaze</v>
      </c>
      <c r="S144" s="3" t="str">
        <f ca="1">IFERROR(__xludf.DUMMYFUNCTION("""COMPUTED_VALUE"""),"100")</f>
        <v>100</v>
      </c>
      <c r="T144" s="3"/>
      <c r="U144" s="3" t="str">
        <f ca="1">IFERROR(__xludf.DUMMYFUNCTION("""COMPUTED_VALUE"""),"nativní reklama")</f>
        <v>nativní reklama</v>
      </c>
      <c r="V144" s="3"/>
      <c r="W144" s="4" t="str">
        <f ca="1">IFERROR(__xludf.DUMMYFUNCTION("""COMPUTED_VALUE"""),"https://reklama.cncenter.cz/Online/nativni-PR-premium")</f>
        <v>https://reklama.cncenter.cz/Online/nativni-PR-premium</v>
      </c>
      <c r="X144" s="3"/>
      <c r="Y144" s="3"/>
      <c r="Z144" s="3" t="str">
        <f ca="1">IFERROR(__xludf.DUMMYFUNCTION("""COMPUTED_VALUE"""),"podklady@cncenter.cz")</f>
        <v>podklady@cncenter.cz</v>
      </c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 t="str">
        <f ca="1">IFERROR(__xludf.DUMMYFUNCTION("""COMPUTED_VALUE"""),"cross-device")</f>
        <v>cross-device</v>
      </c>
      <c r="AO144" s="3"/>
      <c r="AP144" s="3"/>
      <c r="AQ144" s="3"/>
      <c r="AR144" s="3"/>
      <c r="AS144" s="3"/>
      <c r="AT144" s="3"/>
      <c r="AU144" s="3" t="str">
        <f ca="1">IFERROR(__xludf.DUMMYFUNCTION("""COMPUTED_VALUE"""),"nativní pr premium")</f>
        <v>nativní pr premium</v>
      </c>
    </row>
    <row r="145" spans="1:47" x14ac:dyDescent="0.3">
      <c r="A145" s="3">
        <f ca="1"/>
        <v>2346826</v>
      </c>
      <c r="B145" s="3" t="str">
        <f ca="1"/>
        <v>CZECH NEWS CENTER a. s.</v>
      </c>
      <c r="C145" s="3" t="str">
        <f ca="1">IFERROR(__xludf.DUMMYFUNCTION("""COMPUTED_VALUE"""),"Autorevue")</f>
        <v>Autorevue</v>
      </c>
      <c r="D145" s="4" t="str">
        <f ca="1">IFERROR(__xludf.DUMMYFUNCTION("""COMPUTED_VALUE"""),"https://autorevue.cz")</f>
        <v>https://autorevue.cz</v>
      </c>
      <c r="E145" s="3" t="str">
        <f ca="1">IFERROR(__xludf.DUMMYFUNCTION("""COMPUTED_VALUE"""),"celý web")</f>
        <v>celý web</v>
      </c>
      <c r="F145" s="4" t="str">
        <f ca="1">IFERROR(__xludf.DUMMYFUNCTION("""COMPUTED_VALUE"""),"https://autorevue.cz")</f>
        <v>https://autorevue.cz</v>
      </c>
      <c r="G145" s="3" t="str">
        <f ca="1">IFERROR(__xludf.DUMMYFUNCTION("""COMPUTED_VALUE"""),"nativní rectangle cross-device high season")</f>
        <v>nativní rectangle cross-device high season</v>
      </c>
      <c r="H145" s="3">
        <f ca="1">IFERROR(__xludf.DUMMYFUNCTION("""COMPUTED_VALUE"""),7)</f>
        <v>7</v>
      </c>
      <c r="I145" s="5">
        <f ca="1">IFERROR(__xludf.DUMMYFUNCTION("""COMPUTED_VALUE"""),1000)</f>
        <v>1000</v>
      </c>
      <c r="J145" s="5">
        <f ca="1">IFERROR(__xludf.DUMMYFUNCTION("""COMPUTED_VALUE"""),360)</f>
        <v>360</v>
      </c>
      <c r="K145" s="3"/>
      <c r="L145" s="3" t="str">
        <f ca="1">IFERROR(__xludf.DUMMYFUNCTION("""COMPUTED_VALUE"""),"Cost per period")</f>
        <v>Cost per period</v>
      </c>
      <c r="M145" s="3"/>
      <c r="N145" s="3"/>
      <c r="O145" s="3" t="str">
        <f ca="1">IFERROR(__xludf.DUMMYFUNCTION("""COMPUTED_VALUE"""),"640")</f>
        <v>640</v>
      </c>
      <c r="P145" s="3" t="str">
        <f ca="1">IFERROR(__xludf.DUMMYFUNCTION("""COMPUTED_VALUE"""),"335, 640")</f>
        <v>335, 640</v>
      </c>
      <c r="Q145" s="3" t="str">
        <f ca="1">IFERROR(__xludf.DUMMYFUNCTION("""COMPUTED_VALUE"""),"640x640 a 640x335 + text + logo")</f>
        <v>640x640 a 640x335 + text + logo</v>
      </c>
      <c r="R145" s="3"/>
      <c r="S145" s="3" t="str">
        <f ca="1">IFERROR(__xludf.DUMMYFUNCTION("""COMPUTED_VALUE"""),"45")</f>
        <v>45</v>
      </c>
      <c r="T145" s="3"/>
      <c r="U145" s="3" t="str">
        <f ca="1">IFERROR(__xludf.DUMMYFUNCTION("""COMPUTED_VALUE"""),"nativní reklama")</f>
        <v>nativní reklama</v>
      </c>
      <c r="V145" s="3"/>
      <c r="W145" s="4" t="str">
        <f ca="1">IFERROR(__xludf.DUMMYFUNCTION("""COMPUTED_VALUE"""),"https://reklama.cncenter.cz/Online/nativni-rectangle-cross-device")</f>
        <v>https://reklama.cncenter.cz/Online/nativni-rectangle-cross-device</v>
      </c>
      <c r="X145" s="3"/>
      <c r="Y145" s="3"/>
      <c r="Z145" s="3" t="str">
        <f ca="1">IFERROR(__xludf.DUMMYFUNCTION("""COMPUTED_VALUE"""),"podklady@cncenter.cz")</f>
        <v>podklady@cncenter.cz</v>
      </c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 t="str">
        <f ca="1">IFERROR(__xludf.DUMMYFUNCTION("""COMPUTED_VALUE"""),"cross-device")</f>
        <v>cross-device</v>
      </c>
      <c r="AO145" s="3"/>
      <c r="AP145" s="3"/>
      <c r="AQ145" s="3"/>
      <c r="AR145" s="3"/>
      <c r="AS145" s="3"/>
      <c r="AT145" s="3"/>
      <c r="AU145" s="3" t="str">
        <f ca="1">IFERROR(__xludf.DUMMYFUNCTION("""COMPUTED_VALUE"""),"nativní rectangle cross-device")</f>
        <v>nativní rectangle cross-device</v>
      </c>
    </row>
    <row r="146" spans="1:47" x14ac:dyDescent="0.3">
      <c r="A146" s="3">
        <f ca="1"/>
        <v>2346826</v>
      </c>
      <c r="B146" s="3" t="str">
        <f ca="1"/>
        <v>CZECH NEWS CENTER a. s.</v>
      </c>
      <c r="C146" s="3" t="str">
        <f ca="1">IFERROR(__xludf.DUMMYFUNCTION("""COMPUTED_VALUE"""),"Autorevue")</f>
        <v>Autorevue</v>
      </c>
      <c r="D146" s="4" t="str">
        <f ca="1">IFERROR(__xludf.DUMMYFUNCTION("""COMPUTED_VALUE"""),"https://autorevue.cz")</f>
        <v>https://autorevue.cz</v>
      </c>
      <c r="E146" s="3" t="str">
        <f ca="1">IFERROR(__xludf.DUMMYFUNCTION("""COMPUTED_VALUE"""),"celý web")</f>
        <v>celý web</v>
      </c>
      <c r="F146" s="4" t="str">
        <f ca="1">IFERROR(__xludf.DUMMYFUNCTION("""COMPUTED_VALUE"""),"https://autorevue.cz")</f>
        <v>https://autorevue.cz</v>
      </c>
      <c r="G146" s="3" t="str">
        <f ca="1">IFERROR(__xludf.DUMMYFUNCTION("""COMPUTED_VALUE"""),"outstream high season")</f>
        <v>outstream high season</v>
      </c>
      <c r="H146" s="3">
        <f ca="1">IFERROR(__xludf.DUMMYFUNCTION("""COMPUTED_VALUE"""),7)</f>
        <v>7</v>
      </c>
      <c r="I146" s="5">
        <f ca="1">IFERROR(__xludf.DUMMYFUNCTION("""COMPUTED_VALUE"""),1000)</f>
        <v>1000</v>
      </c>
      <c r="J146" s="5">
        <f ca="1">IFERROR(__xludf.DUMMYFUNCTION("""COMPUTED_VALUE"""),450)</f>
        <v>450</v>
      </c>
      <c r="K146" s="3"/>
      <c r="L146" s="3" t="str">
        <f ca="1">IFERROR(__xludf.DUMMYFUNCTION("""COMPUTED_VALUE"""),"Cost per period")</f>
        <v>Cost per period</v>
      </c>
      <c r="M146" s="3"/>
      <c r="N146" s="3"/>
      <c r="O146" s="3" t="str">
        <f ca="1">IFERROR(__xludf.DUMMYFUNCTION("""COMPUTED_VALUE"""),"1280")</f>
        <v>1280</v>
      </c>
      <c r="P146" s="3" t="str">
        <f ca="1">IFERROR(__xludf.DUMMYFUNCTION("""COMPUTED_VALUE"""),"720")</f>
        <v>720</v>
      </c>
      <c r="Q146" s="3" t="str">
        <f ca="1">IFERROR(__xludf.DUMMYFUNCTION("""COMPUTED_VALUE"""),"16:9")</f>
        <v>16:9</v>
      </c>
      <c r="R146" s="3"/>
      <c r="S146" s="3" t="str">
        <f ca="1">IFERROR(__xludf.DUMMYFUNCTION("""COMPUTED_VALUE"""),"100")</f>
        <v>100</v>
      </c>
      <c r="T146" s="3"/>
      <c r="U146" s="3" t="str">
        <f ca="1">IFERROR(__xludf.DUMMYFUNCTION("""COMPUTED_VALUE"""),"videospot")</f>
        <v>videospot</v>
      </c>
      <c r="V146" s="3"/>
      <c r="W146" s="4" t="str">
        <f ca="1">IFERROR(__xludf.DUMMYFUNCTION("""COMPUTED_VALUE"""),"https://reklama.cncenter.cz/Online/Outstream")</f>
        <v>https://reklama.cncenter.cz/Online/Outstream</v>
      </c>
      <c r="X146" s="3"/>
      <c r="Y146" s="3"/>
      <c r="Z146" s="3" t="str">
        <f ca="1">IFERROR(__xludf.DUMMYFUNCTION("""COMPUTED_VALUE"""),"podklady@cncenter.cz")</f>
        <v>podklady@cncenter.cz</v>
      </c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 t="str">
        <f ca="1">IFERROR(__xludf.DUMMYFUNCTION("""COMPUTED_VALUE"""),"cross-device")</f>
        <v>cross-device</v>
      </c>
      <c r="AO146" s="3"/>
      <c r="AP146" s="3"/>
      <c r="AQ146" s="3"/>
      <c r="AR146" s="3"/>
      <c r="AS146" s="3"/>
      <c r="AT146" s="3"/>
      <c r="AU146" s="3" t="str">
        <f ca="1">IFERROR(__xludf.DUMMYFUNCTION("""COMPUTED_VALUE"""),"outstream")</f>
        <v>outstream</v>
      </c>
    </row>
    <row r="147" spans="1:47" x14ac:dyDescent="0.3">
      <c r="A147" s="3">
        <f ca="1"/>
        <v>2346826</v>
      </c>
      <c r="B147" s="3" t="str">
        <f ca="1"/>
        <v>CZECH NEWS CENTER a. s.</v>
      </c>
      <c r="C147" s="3" t="str">
        <f ca="1">IFERROR(__xludf.DUMMYFUNCTION("""COMPUTED_VALUE"""),"AutoRevue")</f>
        <v>AutoRevue</v>
      </c>
      <c r="D147" s="4" t="str">
        <f ca="1">IFERROR(__xludf.DUMMYFUNCTION("""COMPUTED_VALUE"""),"https://autorevue.cz")</f>
        <v>https://autorevue.cz</v>
      </c>
      <c r="E147" s="3" t="str">
        <f ca="1">IFERROR(__xludf.DUMMYFUNCTION("""COMPUTED_VALUE"""),"celý web")</f>
        <v>celý web</v>
      </c>
      <c r="F147" s="4" t="str">
        <f ca="1">IFERROR(__xludf.DUMMYFUNCTION("""COMPUTED_VALUE"""),"https://autorevue.cz")</f>
        <v>https://autorevue.cz</v>
      </c>
      <c r="G147" s="3" t="str">
        <f ca="1">IFERROR(__xludf.DUMMYFUNCTION("""COMPUTED_VALUE"""),"PR článek high season")</f>
        <v>PR článek high season</v>
      </c>
      <c r="H147" s="3">
        <f ca="1">IFERROR(__xludf.DUMMYFUNCTION("""COMPUTED_VALUE"""),1)</f>
        <v>1</v>
      </c>
      <c r="I147" s="5">
        <f ca="1">IFERROR(__xludf.DUMMYFUNCTION("""COMPUTED_VALUE"""),1)</f>
        <v>1</v>
      </c>
      <c r="J147" s="5">
        <f ca="1">IFERROR(__xludf.DUMMYFUNCTION("""COMPUTED_VALUE"""),20000)</f>
        <v>20000</v>
      </c>
      <c r="K147" s="3"/>
      <c r="L147" s="3" t="str">
        <f ca="1">IFERROR(__xludf.DUMMYFUNCTION("""COMPUTED_VALUE"""),"Cost per instance")</f>
        <v>Cost per instance</v>
      </c>
      <c r="M147" s="3"/>
      <c r="N147" s="3"/>
      <c r="O147" s="3"/>
      <c r="P147" s="3"/>
      <c r="Q147" s="3"/>
      <c r="R147" s="3"/>
      <c r="S147" s="3" t="str">
        <f ca="1">IFERROR(__xludf.DUMMYFUNCTION("""COMPUTED_VALUE"""),"100")</f>
        <v>100</v>
      </c>
      <c r="T147" s="3"/>
      <c r="U147" s="3" t="str">
        <f ca="1">IFERROR(__xludf.DUMMYFUNCTION("""COMPUTED_VALUE"""),"pr článek")</f>
        <v>pr článek</v>
      </c>
      <c r="V147" s="3"/>
      <c r="W147" s="4" t="str">
        <f ca="1">IFERROR(__xludf.DUMMYFUNCTION("""COMPUTED_VALUE"""),"https://reklama.cncenter.cz/?ads=PR%2520%25C4%258Dl%25C3%25A1nky")</f>
        <v>https://reklama.cncenter.cz/?ads=PR%2520%25C4%258Dl%25C3%25A1nky</v>
      </c>
      <c r="X147" s="3"/>
      <c r="Y147" s="3"/>
      <c r="Z147" s="3" t="str">
        <f ca="1">IFERROR(__xludf.DUMMYFUNCTION("""COMPUTED_VALUE"""),"podklady@cncenter.cz")</f>
        <v>podklady@cncenter.cz</v>
      </c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 t="str">
        <f ca="1">IFERROR(__xludf.DUMMYFUNCTION("""COMPUTED_VALUE"""),"cross-device")</f>
        <v>cross-device</v>
      </c>
      <c r="AO147" s="3"/>
      <c r="AP147" s="3"/>
      <c r="AQ147" s="3"/>
      <c r="AR147" s="3"/>
      <c r="AS147" s="3"/>
      <c r="AT147" s="3"/>
      <c r="AU147" s="3" t="str">
        <f ca="1">IFERROR(__xludf.DUMMYFUNCTION("""COMPUTED_VALUE"""),"PR článek")</f>
        <v>PR článek</v>
      </c>
    </row>
    <row r="148" spans="1:47" x14ac:dyDescent="0.3">
      <c r="A148" s="3">
        <f ca="1"/>
        <v>2346826</v>
      </c>
      <c r="B148" s="3" t="str">
        <f ca="1"/>
        <v>CZECH NEWS CENTER a. s.</v>
      </c>
      <c r="C148" s="3" t="str">
        <f ca="1">IFERROR(__xludf.DUMMYFUNCTION("""COMPUTED_VALUE"""),"AutoRevue")</f>
        <v>AutoRevue</v>
      </c>
      <c r="D148" s="4" t="str">
        <f ca="1">IFERROR(__xludf.DUMMYFUNCTION("""COMPUTED_VALUE"""),"https://autorevue.cz")</f>
        <v>https://autorevue.cz</v>
      </c>
      <c r="E148" s="3" t="str">
        <f ca="1">IFERROR(__xludf.DUMMYFUNCTION("""COMPUTED_VALUE"""),"celý web")</f>
        <v>celý web</v>
      </c>
      <c r="F148" s="4" t="str">
        <f ca="1">IFERROR(__xludf.DUMMYFUNCTION("""COMPUTED_VALUE"""),"https://autorevue.cz")</f>
        <v>https://autorevue.cz</v>
      </c>
      <c r="G148" s="3" t="str">
        <f ca="1">IFERROR(__xludf.DUMMYFUNCTION("""COMPUTED_VALUE"""),"Prodloužení existující microsite, bez úprav high season")</f>
        <v>Prodloužení existující microsite, bez úprav high season</v>
      </c>
      <c r="H148" s="3">
        <f ca="1">IFERROR(__xludf.DUMMYFUNCTION("""COMPUTED_VALUE"""),1)</f>
        <v>1</v>
      </c>
      <c r="I148" s="5">
        <f ca="1">IFERROR(__xludf.DUMMYFUNCTION("""COMPUTED_VALUE"""),1)</f>
        <v>1</v>
      </c>
      <c r="J148" s="5">
        <f ca="1">IFERROR(__xludf.DUMMYFUNCTION("""COMPUTED_VALUE"""),15000)</f>
        <v>15000</v>
      </c>
      <c r="K148" s="3"/>
      <c r="L148" s="3" t="str">
        <f ca="1">IFERROR(__xludf.DUMMYFUNCTION("""COMPUTED_VALUE"""),"Cost per instance")</f>
        <v>Cost per instance</v>
      </c>
      <c r="M148" s="3"/>
      <c r="N148" s="3"/>
      <c r="O148" s="3"/>
      <c r="P148" s="3"/>
      <c r="Q148" s="3"/>
      <c r="R148" s="3"/>
      <c r="S148" s="3" t="str">
        <f ca="1">IFERROR(__xludf.DUMMYFUNCTION("""COMPUTED_VALUE"""),"100")</f>
        <v>100</v>
      </c>
      <c r="T148" s="3"/>
      <c r="U148" s="3" t="str">
        <f ca="1">IFERROR(__xludf.DUMMYFUNCTION("""COMPUTED_VALUE"""),"microsite")</f>
        <v>microsite</v>
      </c>
      <c r="V148" s="3"/>
      <c r="W148" s="3"/>
      <c r="X148" s="3"/>
      <c r="Y148" s="3"/>
      <c r="Z148" s="3" t="str">
        <f ca="1">IFERROR(__xludf.DUMMYFUNCTION("""COMPUTED_VALUE"""),"podklady@cncenter.cz")</f>
        <v>podklady@cncenter.cz</v>
      </c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 t="str">
        <f ca="1">IFERROR(__xludf.DUMMYFUNCTION("""COMPUTED_VALUE"""),"cross-device")</f>
        <v>cross-device</v>
      </c>
      <c r="AO148" s="3"/>
      <c r="AP148" s="3"/>
      <c r="AQ148" s="3"/>
      <c r="AR148" s="3"/>
      <c r="AS148" s="3"/>
      <c r="AT148" s="3"/>
      <c r="AU148" s="3" t="str">
        <f ca="1">IFERROR(__xludf.DUMMYFUNCTION("""COMPUTED_VALUE"""),"Prodloužení existující microsite, bez úprav")</f>
        <v>Prodloužení existující microsite, bez úprav</v>
      </c>
    </row>
    <row r="149" spans="1:47" x14ac:dyDescent="0.3">
      <c r="A149" s="3">
        <f ca="1"/>
        <v>2346826</v>
      </c>
      <c r="B149" s="3" t="str">
        <f ca="1"/>
        <v>CZECH NEWS CENTER a. s.</v>
      </c>
      <c r="C149" s="3" t="str">
        <f ca="1">IFERROR(__xludf.DUMMYFUNCTION("""COMPUTED_VALUE"""),"AutoRevue")</f>
        <v>AutoRevue</v>
      </c>
      <c r="D149" s="4" t="str">
        <f ca="1">IFERROR(__xludf.DUMMYFUNCTION("""COMPUTED_VALUE"""),"https://autorevue.cz")</f>
        <v>https://autorevue.cz</v>
      </c>
      <c r="E149" s="3" t="str">
        <f ca="1">IFERROR(__xludf.DUMMYFUNCTION("""COMPUTED_VALUE"""),"celý web")</f>
        <v>celý web</v>
      </c>
      <c r="F149" s="4" t="str">
        <f ca="1">IFERROR(__xludf.DUMMYFUNCTION("""COMPUTED_VALUE"""),"https://autorevue.cz")</f>
        <v>https://autorevue.cz</v>
      </c>
      <c r="G149" s="3" t="str">
        <f ca="1">IFERROR(__xludf.DUMMYFUNCTION("""COMPUTED_VALUE"""),"Prodloužení existující microsite, bez úprav high season")</f>
        <v>Prodloužení existující microsite, bez úprav high season</v>
      </c>
      <c r="H149" s="3">
        <f ca="1">IFERROR(__xludf.DUMMYFUNCTION("""COMPUTED_VALUE"""),1)</f>
        <v>1</v>
      </c>
      <c r="I149" s="5">
        <f ca="1">IFERROR(__xludf.DUMMYFUNCTION("""COMPUTED_VALUE"""),1)</f>
        <v>1</v>
      </c>
      <c r="J149" s="5">
        <f ca="1">IFERROR(__xludf.DUMMYFUNCTION("""COMPUTED_VALUE"""),15000)</f>
        <v>15000</v>
      </c>
      <c r="K149" s="3"/>
      <c r="L149" s="3" t="str">
        <f ca="1">IFERROR(__xludf.DUMMYFUNCTION("""COMPUTED_VALUE"""),"Cost per instance")</f>
        <v>Cost per instance</v>
      </c>
      <c r="M149" s="3"/>
      <c r="N149" s="3"/>
      <c r="O149" s="3"/>
      <c r="P149" s="3"/>
      <c r="Q149" s="3"/>
      <c r="R149" s="3"/>
      <c r="S149" s="3" t="str">
        <f ca="1">IFERROR(__xludf.DUMMYFUNCTION("""COMPUTED_VALUE"""),"100")</f>
        <v>100</v>
      </c>
      <c r="T149" s="3"/>
      <c r="U149" s="3" t="str">
        <f ca="1">IFERROR(__xludf.DUMMYFUNCTION("""COMPUTED_VALUE"""),"microsite")</f>
        <v>microsite</v>
      </c>
      <c r="V149" s="3"/>
      <c r="W149" s="3"/>
      <c r="X149" s="3"/>
      <c r="Y149" s="3"/>
      <c r="Z149" s="3" t="str">
        <f ca="1">IFERROR(__xludf.DUMMYFUNCTION("""COMPUTED_VALUE"""),"podklady@cncenter.cz")</f>
        <v>podklady@cncenter.cz</v>
      </c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 t="str">
        <f ca="1">IFERROR(__xludf.DUMMYFUNCTION("""COMPUTED_VALUE"""),"cross-device")</f>
        <v>cross-device</v>
      </c>
      <c r="AO149" s="3"/>
      <c r="AP149" s="3"/>
      <c r="AQ149" s="3"/>
      <c r="AR149" s="3"/>
      <c r="AS149" s="3"/>
      <c r="AT149" s="3"/>
      <c r="AU149" s="3" t="str">
        <f ca="1">IFERROR(__xludf.DUMMYFUNCTION("""COMPUTED_VALUE"""),"Prodloužení existující microsite, bez úprav")</f>
        <v>Prodloužení existující microsite, bez úprav</v>
      </c>
    </row>
    <row r="150" spans="1:47" x14ac:dyDescent="0.3">
      <c r="A150" s="3">
        <f ca="1"/>
        <v>2346826</v>
      </c>
      <c r="B150" s="3" t="str">
        <f ca="1"/>
        <v>CZECH NEWS CENTER a. s.</v>
      </c>
      <c r="C150" s="3" t="str">
        <f ca="1">IFERROR(__xludf.DUMMYFUNCTION("""COMPUTED_VALUE"""),"AutoRevue")</f>
        <v>AutoRevue</v>
      </c>
      <c r="D150" s="4" t="str">
        <f ca="1">IFERROR(__xludf.DUMMYFUNCTION("""COMPUTED_VALUE"""),"https://autorevue.cz")</f>
        <v>https://autorevue.cz</v>
      </c>
      <c r="E150" s="3" t="str">
        <f ca="1">IFERROR(__xludf.DUMMYFUNCTION("""COMPUTED_VALUE"""),"celý web")</f>
        <v>celý web</v>
      </c>
      <c r="F150" s="4" t="str">
        <f ca="1">IFERROR(__xludf.DUMMYFUNCTION("""COMPUTED_VALUE"""),"https://autorevue.cz")</f>
        <v>https://autorevue.cz</v>
      </c>
      <c r="G150" s="3" t="str">
        <f ca="1">IFERROR(__xludf.DUMMYFUNCTION("""COMPUTED_VALUE"""),"Prodloužení existující microsite, bez úprav high season")</f>
        <v>Prodloužení existující microsite, bez úprav high season</v>
      </c>
      <c r="H150" s="3">
        <f ca="1">IFERROR(__xludf.DUMMYFUNCTION("""COMPUTED_VALUE"""),1)</f>
        <v>1</v>
      </c>
      <c r="I150" s="5">
        <f ca="1">IFERROR(__xludf.DUMMYFUNCTION("""COMPUTED_VALUE"""),1)</f>
        <v>1</v>
      </c>
      <c r="J150" s="5">
        <f ca="1">IFERROR(__xludf.DUMMYFUNCTION("""COMPUTED_VALUE"""),15000)</f>
        <v>15000</v>
      </c>
      <c r="K150" s="3"/>
      <c r="L150" s="3" t="str">
        <f ca="1">IFERROR(__xludf.DUMMYFUNCTION("""COMPUTED_VALUE"""),"Cost per instance")</f>
        <v>Cost per instance</v>
      </c>
      <c r="M150" s="3"/>
      <c r="N150" s="3"/>
      <c r="O150" s="3"/>
      <c r="P150" s="3"/>
      <c r="Q150" s="3"/>
      <c r="R150" s="3"/>
      <c r="S150" s="3" t="str">
        <f ca="1">IFERROR(__xludf.DUMMYFUNCTION("""COMPUTED_VALUE"""),"100")</f>
        <v>100</v>
      </c>
      <c r="T150" s="3"/>
      <c r="U150" s="3" t="str">
        <f ca="1">IFERROR(__xludf.DUMMYFUNCTION("""COMPUTED_VALUE"""),"microsite")</f>
        <v>microsite</v>
      </c>
      <c r="V150" s="3"/>
      <c r="W150" s="3"/>
      <c r="X150" s="3"/>
      <c r="Y150" s="3"/>
      <c r="Z150" s="3" t="str">
        <f ca="1">IFERROR(__xludf.DUMMYFUNCTION("""COMPUTED_VALUE"""),"podklady@cncenter.cz")</f>
        <v>podklady@cncenter.cz</v>
      </c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 t="str">
        <f ca="1">IFERROR(__xludf.DUMMYFUNCTION("""COMPUTED_VALUE"""),"cross-device")</f>
        <v>cross-device</v>
      </c>
      <c r="AO150" s="3"/>
      <c r="AP150" s="3"/>
      <c r="AQ150" s="3"/>
      <c r="AR150" s="3"/>
      <c r="AS150" s="3"/>
      <c r="AT150" s="3"/>
      <c r="AU150" s="3" t="str">
        <f ca="1">IFERROR(__xludf.DUMMYFUNCTION("""COMPUTED_VALUE"""),"Prodloužení existující microsite, bez úprav")</f>
        <v>Prodloužení existující microsite, bez úprav</v>
      </c>
    </row>
    <row r="151" spans="1:47" x14ac:dyDescent="0.3">
      <c r="A151" s="3">
        <f ca="1"/>
        <v>2346826</v>
      </c>
      <c r="B151" s="3" t="str">
        <f ca="1"/>
        <v>CZECH NEWS CENTER a. s.</v>
      </c>
      <c r="C151" s="3" t="str">
        <f ca="1">IFERROR(__xludf.DUMMYFUNCTION("""COMPUTED_VALUE"""),"Autorevue")</f>
        <v>Autorevue</v>
      </c>
      <c r="D151" s="4" t="str">
        <f ca="1">IFERROR(__xludf.DUMMYFUNCTION("""COMPUTED_VALUE"""),"https://autorevue.cz")</f>
        <v>https://autorevue.cz</v>
      </c>
      <c r="E151" s="3" t="str">
        <f ca="1">IFERROR(__xludf.DUMMYFUNCTION("""COMPUTED_VALUE"""),"celý web")</f>
        <v>celý web</v>
      </c>
      <c r="F151" s="4" t="str">
        <f ca="1">IFERROR(__xludf.DUMMYFUNCTION("""COMPUTED_VALUE"""),"https://autorevue.cz")</f>
        <v>https://autorevue.cz</v>
      </c>
      <c r="G151" s="3" t="str">
        <f ca="1">IFERROR(__xludf.DUMMYFUNCTION("""COMPUTED_VALUE"""),"videospot - max. 30 sec. / bumper high season")</f>
        <v>videospot - max. 30 sec. / bumper high season</v>
      </c>
      <c r="H151" s="3">
        <f ca="1">IFERROR(__xludf.DUMMYFUNCTION("""COMPUTED_VALUE"""),7)</f>
        <v>7</v>
      </c>
      <c r="I151" s="5">
        <f ca="1">IFERROR(__xludf.DUMMYFUNCTION("""COMPUTED_VALUE"""),1000)</f>
        <v>1000</v>
      </c>
      <c r="J151" s="5">
        <f ca="1">IFERROR(__xludf.DUMMYFUNCTION("""COMPUTED_VALUE"""),1340)</f>
        <v>1340</v>
      </c>
      <c r="K151" s="3"/>
      <c r="L151" s="3" t="str">
        <f ca="1">IFERROR(__xludf.DUMMYFUNCTION("""COMPUTED_VALUE"""),"Cost per period")</f>
        <v>Cost per period</v>
      </c>
      <c r="M151" s="3"/>
      <c r="N151" s="3"/>
      <c r="O151" s="3" t="str">
        <f ca="1">IFERROR(__xludf.DUMMYFUNCTION("""COMPUTED_VALUE"""),"1280")</f>
        <v>1280</v>
      </c>
      <c r="P151" s="3" t="str">
        <f ca="1">IFERROR(__xludf.DUMMYFUNCTION("""COMPUTED_VALUE"""),"720")</f>
        <v>720</v>
      </c>
      <c r="Q151" s="3" t="str">
        <f ca="1">IFERROR(__xludf.DUMMYFUNCTION("""COMPUTED_VALUE"""),"16:9 / umístění po domluvě dle možností")</f>
        <v>16:9 / umístění po domluvě dle možností</v>
      </c>
      <c r="R151" s="3" t="str">
        <f ca="1">IFERROR(__xludf.DUMMYFUNCTION("""COMPUTED_VALUE"""),"přeskočení po 7 sekundách")</f>
        <v>přeskočení po 7 sekundách</v>
      </c>
      <c r="S151" s="3" t="str">
        <f ca="1">IFERROR(__xludf.DUMMYFUNCTION("""COMPUTED_VALUE"""),"100")</f>
        <v>100</v>
      </c>
      <c r="T151" s="3"/>
      <c r="U151" s="3" t="str">
        <f ca="1">IFERROR(__xludf.DUMMYFUNCTION("""COMPUTED_VALUE"""),"videospot")</f>
        <v>videospot</v>
      </c>
      <c r="V151" s="3"/>
      <c r="W151" s="4" t="str">
        <f ca="1">IFERROR(__xludf.DUMMYFUNCTION("""COMPUTED_VALUE"""),"https://reklama.cncenter.cz/Online/Bumper")</f>
        <v>https://reklama.cncenter.cz/Online/Bumper</v>
      </c>
      <c r="X151" s="3"/>
      <c r="Y151" s="3"/>
      <c r="Z151" s="3" t="str">
        <f ca="1">IFERROR(__xludf.DUMMYFUNCTION("""COMPUTED_VALUE"""),"podklady@cncenter.cz")</f>
        <v>podklady@cncenter.cz</v>
      </c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 t="str">
        <f ca="1">IFERROR(__xludf.DUMMYFUNCTION("""COMPUTED_VALUE"""),"cross-device")</f>
        <v>cross-device</v>
      </c>
      <c r="AO151" s="3"/>
      <c r="AP151" s="3"/>
      <c r="AQ151" s="3"/>
      <c r="AR151" s="3"/>
      <c r="AS151" s="3"/>
      <c r="AT151" s="3"/>
      <c r="AU151" s="3" t="str">
        <f ca="1">IFERROR(__xludf.DUMMYFUNCTION("""COMPUTED_VALUE"""),"videospot - max. 30 sec. / bumper")</f>
        <v>videospot - max. 30 sec. / bumper</v>
      </c>
    </row>
    <row r="152" spans="1:47" x14ac:dyDescent="0.3">
      <c r="A152" s="3">
        <f ca="1"/>
        <v>2346826</v>
      </c>
      <c r="B152" s="3" t="str">
        <f ca="1"/>
        <v>CZECH NEWS CENTER a. s.</v>
      </c>
      <c r="C152" s="3" t="str">
        <f ca="1">IFERROR(__xludf.DUMMYFUNCTION("""COMPUTED_VALUE"""),"Avmania")</f>
        <v>Avmania</v>
      </c>
      <c r="D152" s="4" t="str">
        <f ca="1">IFERROR(__xludf.DUMMYFUNCTION("""COMPUTED_VALUE"""),"https://avmania.zive.cz")</f>
        <v>https://avmania.zive.cz</v>
      </c>
      <c r="E152" s="3" t="str">
        <f ca="1">IFERROR(__xludf.DUMMYFUNCTION("""COMPUTED_VALUE"""),"celý web")</f>
        <v>celý web</v>
      </c>
      <c r="F152" s="4" t="str">
        <f ca="1">IFERROR(__xludf.DUMMYFUNCTION("""COMPUTED_VALUE"""),"https://avmania.zive.cz")</f>
        <v>https://avmania.zive.cz</v>
      </c>
      <c r="G152" s="3" t="str">
        <f ca="1">IFERROR(__xludf.DUMMYFUNCTION("""COMPUTED_VALUE"""),"Advertorial high season")</f>
        <v>Advertorial high season</v>
      </c>
      <c r="H152" s="3">
        <f ca="1">IFERROR(__xludf.DUMMYFUNCTION("""COMPUTED_VALUE"""),1)</f>
        <v>1</v>
      </c>
      <c r="I152" s="5">
        <f ca="1">IFERROR(__xludf.DUMMYFUNCTION("""COMPUTED_VALUE"""),1)</f>
        <v>1</v>
      </c>
      <c r="J152" s="5">
        <f ca="1">IFERROR(__xludf.DUMMYFUNCTION("""COMPUTED_VALUE"""),90000)</f>
        <v>90000</v>
      </c>
      <c r="K152" s="3"/>
      <c r="L152" s="3" t="str">
        <f ca="1">IFERROR(__xludf.DUMMYFUNCTION("""COMPUTED_VALUE"""),"Cost per instance")</f>
        <v>Cost per instance</v>
      </c>
      <c r="M152" s="3"/>
      <c r="N152" s="3"/>
      <c r="O152" s="3"/>
      <c r="P152" s="3"/>
      <c r="Q152" s="3"/>
      <c r="R152" s="3"/>
      <c r="S152" s="3" t="str">
        <f ca="1">IFERROR(__xludf.DUMMYFUNCTION("""COMPUTED_VALUE"""),"100")</f>
        <v>100</v>
      </c>
      <c r="T152" s="3"/>
      <c r="U152" s="3" t="str">
        <f ca="1">IFERROR(__xludf.DUMMYFUNCTION("""COMPUTED_VALUE"""),"pr článek")</f>
        <v>pr článek</v>
      </c>
      <c r="V152" s="3"/>
      <c r="W152" s="3"/>
      <c r="X152" s="3"/>
      <c r="Y152" s="3"/>
      <c r="Z152" s="3" t="str">
        <f ca="1">IFERROR(__xludf.DUMMYFUNCTION("""COMPUTED_VALUE"""),"podklady@cncenter.cz")</f>
        <v>podklady@cncenter.cz</v>
      </c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 t="str">
        <f ca="1">IFERROR(__xludf.DUMMYFUNCTION("""COMPUTED_VALUE"""),"cross-device")</f>
        <v>cross-device</v>
      </c>
      <c r="AO152" s="3"/>
      <c r="AP152" s="3"/>
      <c r="AQ152" s="3"/>
      <c r="AR152" s="3"/>
      <c r="AS152" s="3"/>
      <c r="AT152" s="3"/>
      <c r="AU152" s="3" t="str">
        <f ca="1">IFERROR(__xludf.DUMMYFUNCTION("""COMPUTED_VALUE"""),"Advertorial")</f>
        <v>Advertorial</v>
      </c>
    </row>
    <row r="153" spans="1:47" x14ac:dyDescent="0.3">
      <c r="A153" s="3">
        <f ca="1"/>
        <v>2346826</v>
      </c>
      <c r="B153" s="3" t="str">
        <f ca="1"/>
        <v>CZECH NEWS CENTER a. s.</v>
      </c>
      <c r="C153" s="3" t="str">
        <f ca="1">IFERROR(__xludf.DUMMYFUNCTION("""COMPUTED_VALUE"""),"Avmania")</f>
        <v>Avmania</v>
      </c>
      <c r="D153" s="4" t="str">
        <f ca="1">IFERROR(__xludf.DUMMYFUNCTION("""COMPUTED_VALUE"""),"https://avmania.zive.cz")</f>
        <v>https://avmania.zive.cz</v>
      </c>
      <c r="E153" s="3" t="str">
        <f ca="1">IFERROR(__xludf.DUMMYFUNCTION("""COMPUTED_VALUE"""),"celý web")</f>
        <v>celý web</v>
      </c>
      <c r="F153" s="4" t="str">
        <f ca="1">IFERROR(__xludf.DUMMYFUNCTION("""COMPUTED_VALUE"""),"https://avmania.zive.cz")</f>
        <v>https://avmania.zive.cz</v>
      </c>
      <c r="G153" s="3" t="str">
        <f ca="1">IFERROR(__xludf.DUMMYFUNCTION("""COMPUTED_VALUE"""),"billboard bottom high season")</f>
        <v>billboard bottom high season</v>
      </c>
      <c r="H153" s="3">
        <f ca="1">IFERROR(__xludf.DUMMYFUNCTION("""COMPUTED_VALUE"""),7)</f>
        <v>7</v>
      </c>
      <c r="I153" s="5">
        <f ca="1">IFERROR(__xludf.DUMMYFUNCTION("""COMPUTED_VALUE"""),1000)</f>
        <v>1000</v>
      </c>
      <c r="J153" s="5">
        <f ca="1">IFERROR(__xludf.DUMMYFUNCTION("""COMPUTED_VALUE"""),440)</f>
        <v>440</v>
      </c>
      <c r="K153" s="3"/>
      <c r="L153" s="3" t="str">
        <f ca="1">IFERROR(__xludf.DUMMYFUNCTION("""COMPUTED_VALUE"""),"Cost per period")</f>
        <v>Cost per period</v>
      </c>
      <c r="M153" s="3"/>
      <c r="N153" s="3"/>
      <c r="O153" s="3" t="str">
        <f ca="1">IFERROR(__xludf.DUMMYFUNCTION("""COMPUTED_VALUE"""),"970")</f>
        <v>970</v>
      </c>
      <c r="P153" s="3" t="str">
        <f ca="1">IFERROR(__xludf.DUMMYFUNCTION("""COMPUTED_VALUE"""),"250")</f>
        <v>250</v>
      </c>
      <c r="Q153" s="3" t="str">
        <f ca="1">IFERROR(__xludf.DUMMYFUNCTION("""COMPUTED_VALUE"""),"970x250")</f>
        <v>970x250</v>
      </c>
      <c r="R153" s="3"/>
      <c r="S153" s="3" t="str">
        <f ca="1">IFERROR(__xludf.DUMMYFUNCTION("""COMPUTED_VALUE"""),"100 (200 - HTML5)")</f>
        <v>100 (200 - HTML5)</v>
      </c>
      <c r="T153" s="3"/>
      <c r="U153" s="3" t="str">
        <f ca="1">IFERROR(__xludf.DUMMYFUNCTION("""COMPUTED_VALUE"""),"banner standard")</f>
        <v>banner standard</v>
      </c>
      <c r="V153" s="3"/>
      <c r="W153" s="4" t="str">
        <f ca="1">IFERROR(__xludf.DUMMYFUNCTION("""COMPUTED_VALUE"""),"https://reklama.cncenter.cz/Online/billboard-bottom")</f>
        <v>https://reklama.cncenter.cz/Online/billboard-bottom</v>
      </c>
      <c r="X153" s="3"/>
      <c r="Y153" s="3"/>
      <c r="Z153" s="3" t="str">
        <f ca="1">IFERROR(__xludf.DUMMYFUNCTION("""COMPUTED_VALUE"""),"podklady@cncenter.cz")</f>
        <v>podklady@cncenter.cz</v>
      </c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 t="str">
        <f ca="1">IFERROR(__xludf.DUMMYFUNCTION("""COMPUTED_VALUE"""),"desktop")</f>
        <v>desktop</v>
      </c>
      <c r="AO153" s="3"/>
      <c r="AP153" s="3"/>
      <c r="AQ153" s="3"/>
      <c r="AR153" s="3"/>
      <c r="AS153" s="3"/>
      <c r="AT153" s="3"/>
      <c r="AU153" s="3" t="str">
        <f ca="1">IFERROR(__xludf.DUMMYFUNCTION("""COMPUTED_VALUE"""),"billboard bottom")</f>
        <v>billboard bottom</v>
      </c>
    </row>
    <row r="154" spans="1:47" x14ac:dyDescent="0.3">
      <c r="A154" s="3">
        <f ca="1"/>
        <v>2346826</v>
      </c>
      <c r="B154" s="3" t="str">
        <f ca="1"/>
        <v>CZECH NEWS CENTER a. s.</v>
      </c>
      <c r="C154" s="3" t="str">
        <f ca="1">IFERROR(__xludf.DUMMYFUNCTION("""COMPUTED_VALUE"""),"Avmania")</f>
        <v>Avmania</v>
      </c>
      <c r="D154" s="4" t="str">
        <f ca="1">IFERROR(__xludf.DUMMYFUNCTION("""COMPUTED_VALUE"""),"https://avmania.zive.cz")</f>
        <v>https://avmania.zive.cz</v>
      </c>
      <c r="E154" s="3" t="str">
        <f ca="1">IFERROR(__xludf.DUMMYFUNCTION("""COMPUTED_VALUE"""),"celý web")</f>
        <v>celý web</v>
      </c>
      <c r="F154" s="4" t="str">
        <f ca="1">IFERROR(__xludf.DUMMYFUNCTION("""COMPUTED_VALUE"""),"https://avmania.zive.cz")</f>
        <v>https://avmania.zive.cz</v>
      </c>
      <c r="G154" s="3" t="str">
        <f ca="1">IFERROR(__xludf.DUMMYFUNCTION("""COMPUTED_VALUE"""),"branding cross-device high season")</f>
        <v>branding cross-device high season</v>
      </c>
      <c r="H154" s="3">
        <f ca="1">IFERROR(__xludf.DUMMYFUNCTION("""COMPUTED_VALUE"""),7)</f>
        <v>7</v>
      </c>
      <c r="I154" s="5">
        <f ca="1">IFERROR(__xludf.DUMMYFUNCTION("""COMPUTED_VALUE"""),1000)</f>
        <v>1000</v>
      </c>
      <c r="J154" s="5">
        <f ca="1">IFERROR(__xludf.DUMMYFUNCTION("""COMPUTED_VALUE"""),540)</f>
        <v>540</v>
      </c>
      <c r="K154" s="3"/>
      <c r="L154" s="3" t="str">
        <f ca="1">IFERROR(__xludf.DUMMYFUNCTION("""COMPUTED_VALUE"""),"Cost per period")</f>
        <v>Cost per period</v>
      </c>
      <c r="M154" s="3"/>
      <c r="N154" s="3"/>
      <c r="O154" s="3" t="str">
        <f ca="1">IFERROR(__xludf.DUMMYFUNCTION("""COMPUTED_VALUE"""),"2000")</f>
        <v>2000</v>
      </c>
      <c r="P154" s="3" t="str">
        <f ca="1">IFERROR(__xludf.DUMMYFUNCTION("""COMPUTED_VALUE"""),"1400")</f>
        <v>1400</v>
      </c>
      <c r="Q154" s="3" t="str">
        <f ca="1">IFERROR(__xludf.DUMMYFUNCTION("""COMPUTED_VALUE"""),"2000x1400 + 600x1080")</f>
        <v>2000x1400 + 600x1080</v>
      </c>
      <c r="R154" s="3"/>
      <c r="S154" s="3" t="str">
        <f ca="1">IFERROR(__xludf.DUMMYFUNCTION("""COMPUTED_VALUE"""),"500 (600 - HTLM5)")</f>
        <v>500 (600 - HTLM5)</v>
      </c>
      <c r="T154" s="3"/>
      <c r="U154" s="3" t="str">
        <f ca="1">IFERROR(__xludf.DUMMYFUNCTION("""COMPUTED_VALUE"""),"banner standard")</f>
        <v>banner standard</v>
      </c>
      <c r="V154" s="3"/>
      <c r="W154" s="4" t="str">
        <f ca="1">IFERROR(__xludf.DUMMYFUNCTION("""COMPUTED_VALUE"""),"https://reklama.cncenter.cz/Online/branding-cross-device")</f>
        <v>https://reklama.cncenter.cz/Online/branding-cross-device</v>
      </c>
      <c r="X154" s="3"/>
      <c r="Y154" s="3"/>
      <c r="Z154" s="3" t="str">
        <f ca="1">IFERROR(__xludf.DUMMYFUNCTION("""COMPUTED_VALUE"""),"podklady@cncenter.cz")</f>
        <v>podklady@cncenter.cz</v>
      </c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 t="str">
        <f ca="1">IFERROR(__xludf.DUMMYFUNCTION("""COMPUTED_VALUE"""),"cross-device")</f>
        <v>cross-device</v>
      </c>
      <c r="AO154" s="3"/>
      <c r="AP154" s="3"/>
      <c r="AQ154" s="3"/>
      <c r="AR154" s="3"/>
      <c r="AS154" s="3"/>
      <c r="AT154" s="3"/>
      <c r="AU154" s="3" t="str">
        <f ca="1">IFERROR(__xludf.DUMMYFUNCTION("""COMPUTED_VALUE"""),"branding cross-device")</f>
        <v>branding cross-device</v>
      </c>
    </row>
    <row r="155" spans="1:47" x14ac:dyDescent="0.3">
      <c r="A155" s="3">
        <f ca="1"/>
        <v>2346826</v>
      </c>
      <c r="B155" s="3" t="str">
        <f ca="1"/>
        <v>CZECH NEWS CENTER a. s.</v>
      </c>
      <c r="C155" s="3" t="str">
        <f ca="1">IFERROR(__xludf.DUMMYFUNCTION("""COMPUTED_VALUE"""),"Avmania")</f>
        <v>Avmania</v>
      </c>
      <c r="D155" s="4" t="str">
        <f ca="1">IFERROR(__xludf.DUMMYFUNCTION("""COMPUTED_VALUE"""),"https://avmania.zive.cz")</f>
        <v>https://avmania.zive.cz</v>
      </c>
      <c r="E155" s="3" t="str">
        <f ca="1">IFERROR(__xludf.DUMMYFUNCTION("""COMPUTED_VALUE"""),"celý web")</f>
        <v>celý web</v>
      </c>
      <c r="F155" s="4" t="str">
        <f ca="1">IFERROR(__xludf.DUMMYFUNCTION("""COMPUTED_VALUE"""),"https://avmania.zive.cz")</f>
        <v>https://avmania.zive.cz</v>
      </c>
      <c r="G155" s="3" t="str">
        <f ca="1">IFERROR(__xludf.DUMMYFUNCTION("""COMPUTED_VALUE"""),"branding high season")</f>
        <v>branding high season</v>
      </c>
      <c r="H155" s="3">
        <f ca="1">IFERROR(__xludf.DUMMYFUNCTION("""COMPUTED_VALUE"""),7)</f>
        <v>7</v>
      </c>
      <c r="I155" s="5">
        <f ca="1">IFERROR(__xludf.DUMMYFUNCTION("""COMPUTED_VALUE"""),1000)</f>
        <v>1000</v>
      </c>
      <c r="J155" s="5">
        <f ca="1">IFERROR(__xludf.DUMMYFUNCTION("""COMPUTED_VALUE"""),890)</f>
        <v>890</v>
      </c>
      <c r="K155" s="3"/>
      <c r="L155" s="3" t="str">
        <f ca="1">IFERROR(__xludf.DUMMYFUNCTION("""COMPUTED_VALUE"""),"Cost per period")</f>
        <v>Cost per period</v>
      </c>
      <c r="M155" s="3"/>
      <c r="N155" s="3"/>
      <c r="O155" s="3" t="str">
        <f ca="1">IFERROR(__xludf.DUMMYFUNCTION("""COMPUTED_VALUE"""),"2000")</f>
        <v>2000</v>
      </c>
      <c r="P155" s="3" t="str">
        <f ca="1">IFERROR(__xludf.DUMMYFUNCTION("""COMPUTED_VALUE"""),"1400")</f>
        <v>1400</v>
      </c>
      <c r="Q155" s="3" t="str">
        <f ca="1">IFERROR(__xludf.DUMMYFUNCTION("""COMPUTED_VALUE"""),"2000x1400")</f>
        <v>2000x1400</v>
      </c>
      <c r="R155" s="3"/>
      <c r="S155" s="3" t="str">
        <f ca="1">IFERROR(__xludf.DUMMYFUNCTION("""COMPUTED_VALUE"""),"500 + 200 (600+200 HTML5)")</f>
        <v>500 + 200 (600+200 HTML5)</v>
      </c>
      <c r="T155" s="3"/>
      <c r="U155" s="3" t="str">
        <f ca="1">IFERROR(__xludf.DUMMYFUNCTION("""COMPUTED_VALUE"""),"banner standard")</f>
        <v>banner standard</v>
      </c>
      <c r="V155" s="3"/>
      <c r="W155" s="4" t="str">
        <f ca="1">IFERROR(__xludf.DUMMYFUNCTION("""COMPUTED_VALUE"""),"https://reklama.cncenter.cz/Online/branding")</f>
        <v>https://reklama.cncenter.cz/Online/branding</v>
      </c>
      <c r="X155" s="3"/>
      <c r="Y155" s="3"/>
      <c r="Z155" s="3" t="str">
        <f ca="1">IFERROR(__xludf.DUMMYFUNCTION("""COMPUTED_VALUE"""),"podklady@cncenter.cz")</f>
        <v>podklady@cncenter.cz</v>
      </c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 t="str">
        <f ca="1">IFERROR(__xludf.DUMMYFUNCTION("""COMPUTED_VALUE"""),"desktop")</f>
        <v>desktop</v>
      </c>
      <c r="AO155" s="3"/>
      <c r="AP155" s="3"/>
      <c r="AQ155" s="3"/>
      <c r="AR155" s="3"/>
      <c r="AS155" s="3"/>
      <c r="AT155" s="3"/>
      <c r="AU155" s="3" t="str">
        <f ca="1">IFERROR(__xludf.DUMMYFUNCTION("""COMPUTED_VALUE"""),"branding")</f>
        <v>branding</v>
      </c>
    </row>
    <row r="156" spans="1:47" x14ac:dyDescent="0.3">
      <c r="A156" s="3">
        <f ca="1"/>
        <v>2346826</v>
      </c>
      <c r="B156" s="3" t="str">
        <f ca="1"/>
        <v>CZECH NEWS CENTER a. s.</v>
      </c>
      <c r="C156" s="3" t="str">
        <f ca="1">IFERROR(__xludf.DUMMYFUNCTION("""COMPUTED_VALUE"""),"Avmania")</f>
        <v>Avmania</v>
      </c>
      <c r="D156" s="4" t="str">
        <f ca="1">IFERROR(__xludf.DUMMYFUNCTION("""COMPUTED_VALUE"""),"https://avmania.zive.cz")</f>
        <v>https://avmania.zive.cz</v>
      </c>
      <c r="E156" s="3" t="str">
        <f ca="1">IFERROR(__xludf.DUMMYFUNCTION("""COMPUTED_VALUE"""),"celý web")</f>
        <v>celý web</v>
      </c>
      <c r="F156" s="4" t="str">
        <f ca="1">IFERROR(__xludf.DUMMYFUNCTION("""COMPUTED_VALUE"""),"https://avmania.zive.cz")</f>
        <v>https://avmania.zive.cz</v>
      </c>
      <c r="G156" s="3" t="str">
        <f ca="1">IFERROR(__xludf.DUMMYFUNCTION("""COMPUTED_VALUE"""),"cílený billboard bottom high season")</f>
        <v>cílený billboard bottom high season</v>
      </c>
      <c r="H156" s="3">
        <f ca="1">IFERROR(__xludf.DUMMYFUNCTION("""COMPUTED_VALUE"""),7)</f>
        <v>7</v>
      </c>
      <c r="I156" s="5">
        <f ca="1">IFERROR(__xludf.DUMMYFUNCTION("""COMPUTED_VALUE"""),1000)</f>
        <v>1000</v>
      </c>
      <c r="J156" s="5">
        <f ca="1">IFERROR(__xludf.DUMMYFUNCTION("""COMPUTED_VALUE"""),528)</f>
        <v>528</v>
      </c>
      <c r="K156" s="3"/>
      <c r="L156" s="3" t="str">
        <f ca="1">IFERROR(__xludf.DUMMYFUNCTION("""COMPUTED_VALUE"""),"Cost per period")</f>
        <v>Cost per period</v>
      </c>
      <c r="M156" s="3"/>
      <c r="N156" s="3"/>
      <c r="O156" s="3" t="str">
        <f ca="1">IFERROR(__xludf.DUMMYFUNCTION("""COMPUTED_VALUE"""),"970")</f>
        <v>970</v>
      </c>
      <c r="P156" s="3" t="str">
        <f ca="1">IFERROR(__xludf.DUMMYFUNCTION("""COMPUTED_VALUE"""),"250")</f>
        <v>250</v>
      </c>
      <c r="Q156" s="3" t="str">
        <f ca="1">IFERROR(__xludf.DUMMYFUNCTION("""COMPUTED_VALUE"""),"970x250")</f>
        <v>970x250</v>
      </c>
      <c r="R156" s="3"/>
      <c r="S156" s="3" t="str">
        <f ca="1">IFERROR(__xludf.DUMMYFUNCTION("""COMPUTED_VALUE"""),"100 (200 - HTML5)")</f>
        <v>100 (200 - HTML5)</v>
      </c>
      <c r="T156" s="3"/>
      <c r="U156" s="3" t="str">
        <f ca="1">IFERROR(__xludf.DUMMYFUNCTION("""COMPUTED_VALUE"""),"banner standard")</f>
        <v>banner standard</v>
      </c>
      <c r="V156" s="3"/>
      <c r="W156" s="4" t="str">
        <f ca="1">IFERROR(__xludf.DUMMYFUNCTION("""COMPUTED_VALUE"""),"https://reklama.cncenter.cz/Online/billboard-bottom")</f>
        <v>https://reklama.cncenter.cz/Online/billboard-bottom</v>
      </c>
      <c r="X156" s="3"/>
      <c r="Y156" s="3"/>
      <c r="Z156" s="3" t="str">
        <f ca="1">IFERROR(__xludf.DUMMYFUNCTION("""COMPUTED_VALUE"""),"podklady@cncenter.cz")</f>
        <v>podklady@cncenter.cz</v>
      </c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 t="str">
        <f ca="1">IFERROR(__xludf.DUMMYFUNCTION("""COMPUTED_VALUE"""),"desktop")</f>
        <v>desktop</v>
      </c>
      <c r="AO156" s="3"/>
      <c r="AP156" s="3"/>
      <c r="AQ156" s="3"/>
      <c r="AR156" s="3"/>
      <c r="AS156" s="3"/>
      <c r="AT156" s="3"/>
      <c r="AU156" s="3" t="str">
        <f ca="1">IFERROR(__xludf.DUMMYFUNCTION("""COMPUTED_VALUE"""),"cílený billboard bottom")</f>
        <v>cílený billboard bottom</v>
      </c>
    </row>
    <row r="157" spans="1:47" x14ac:dyDescent="0.3">
      <c r="A157" s="3">
        <f ca="1"/>
        <v>2346826</v>
      </c>
      <c r="B157" s="3" t="str">
        <f ca="1"/>
        <v>CZECH NEWS CENTER a. s.</v>
      </c>
      <c r="C157" s="3" t="str">
        <f ca="1">IFERROR(__xludf.DUMMYFUNCTION("""COMPUTED_VALUE"""),"Avmania")</f>
        <v>Avmania</v>
      </c>
      <c r="D157" s="4" t="str">
        <f ca="1">IFERROR(__xludf.DUMMYFUNCTION("""COMPUTED_VALUE"""),"https://avmania.zive.cz")</f>
        <v>https://avmania.zive.cz</v>
      </c>
      <c r="E157" s="3" t="str">
        <f ca="1">IFERROR(__xludf.DUMMYFUNCTION("""COMPUTED_VALUE"""),"celý web")</f>
        <v>celý web</v>
      </c>
      <c r="F157" s="4" t="str">
        <f ca="1">IFERROR(__xludf.DUMMYFUNCTION("""COMPUTED_VALUE"""),"https://avmania.zive.cz")</f>
        <v>https://avmania.zive.cz</v>
      </c>
      <c r="G157" s="3" t="str">
        <f ca="1">IFERROR(__xludf.DUMMYFUNCTION("""COMPUTED_VALUE"""),"cílený branding cross-device high season")</f>
        <v>cílený branding cross-device high season</v>
      </c>
      <c r="H157" s="3">
        <f ca="1">IFERROR(__xludf.DUMMYFUNCTION("""COMPUTED_VALUE"""),7)</f>
        <v>7</v>
      </c>
      <c r="I157" s="5">
        <f ca="1">IFERROR(__xludf.DUMMYFUNCTION("""COMPUTED_VALUE"""),1000)</f>
        <v>1000</v>
      </c>
      <c r="J157" s="5">
        <f ca="1">IFERROR(__xludf.DUMMYFUNCTION("""COMPUTED_VALUE"""),648)</f>
        <v>648</v>
      </c>
      <c r="K157" s="3"/>
      <c r="L157" s="3" t="str">
        <f ca="1">IFERROR(__xludf.DUMMYFUNCTION("""COMPUTED_VALUE"""),"Cost per period")</f>
        <v>Cost per period</v>
      </c>
      <c r="M157" s="3"/>
      <c r="N157" s="3"/>
      <c r="O157" s="3" t="str">
        <f ca="1">IFERROR(__xludf.DUMMYFUNCTION("""COMPUTED_VALUE"""),"2000")</f>
        <v>2000</v>
      </c>
      <c r="P157" s="3" t="str">
        <f ca="1">IFERROR(__xludf.DUMMYFUNCTION("""COMPUTED_VALUE"""),"1400")</f>
        <v>1400</v>
      </c>
      <c r="Q157" s="3" t="str">
        <f ca="1">IFERROR(__xludf.DUMMYFUNCTION("""COMPUTED_VALUE"""),"2000x1400 + 600x1080")</f>
        <v>2000x1400 + 600x1080</v>
      </c>
      <c r="R157" s="3"/>
      <c r="S157" s="3" t="str">
        <f ca="1">IFERROR(__xludf.DUMMYFUNCTION("""COMPUTED_VALUE"""),"500 (600 - HTLM5)")</f>
        <v>500 (600 - HTLM5)</v>
      </c>
      <c r="T157" s="3"/>
      <c r="U157" s="3" t="str">
        <f ca="1">IFERROR(__xludf.DUMMYFUNCTION("""COMPUTED_VALUE"""),"banner standard")</f>
        <v>banner standard</v>
      </c>
      <c r="V157" s="3"/>
      <c r="W157" s="4" t="str">
        <f ca="1">IFERROR(__xludf.DUMMYFUNCTION("""COMPUTED_VALUE"""),"https://reklama.cncenter.cz/Online/branding-cross-device")</f>
        <v>https://reklama.cncenter.cz/Online/branding-cross-device</v>
      </c>
      <c r="X157" s="3"/>
      <c r="Y157" s="3"/>
      <c r="Z157" s="3" t="str">
        <f ca="1">IFERROR(__xludf.DUMMYFUNCTION("""COMPUTED_VALUE"""),"podklady@cncenter.cz")</f>
        <v>podklady@cncenter.cz</v>
      </c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 t="str">
        <f ca="1">IFERROR(__xludf.DUMMYFUNCTION("""COMPUTED_VALUE"""),"cross-device")</f>
        <v>cross-device</v>
      </c>
      <c r="AO157" s="3"/>
      <c r="AP157" s="3"/>
      <c r="AQ157" s="3"/>
      <c r="AR157" s="3"/>
      <c r="AS157" s="3"/>
      <c r="AT157" s="3"/>
      <c r="AU157" s="3" t="str">
        <f ca="1">IFERROR(__xludf.DUMMYFUNCTION("""COMPUTED_VALUE"""),"cílený branding cross-device")</f>
        <v>cílený branding cross-device</v>
      </c>
    </row>
    <row r="158" spans="1:47" x14ac:dyDescent="0.3">
      <c r="A158" s="3">
        <f ca="1"/>
        <v>2346826</v>
      </c>
      <c r="B158" s="3" t="str">
        <f ca="1"/>
        <v>CZECH NEWS CENTER a. s.</v>
      </c>
      <c r="C158" s="3" t="str">
        <f ca="1">IFERROR(__xludf.DUMMYFUNCTION("""COMPUTED_VALUE"""),"Avmania")</f>
        <v>Avmania</v>
      </c>
      <c r="D158" s="4" t="str">
        <f ca="1">IFERROR(__xludf.DUMMYFUNCTION("""COMPUTED_VALUE"""),"https://avmania.zive.cz")</f>
        <v>https://avmania.zive.cz</v>
      </c>
      <c r="E158" s="3" t="str">
        <f ca="1">IFERROR(__xludf.DUMMYFUNCTION("""COMPUTED_VALUE"""),"celý web")</f>
        <v>celý web</v>
      </c>
      <c r="F158" s="4" t="str">
        <f ca="1">IFERROR(__xludf.DUMMYFUNCTION("""COMPUTED_VALUE"""),"https://avmania.zive.cz")</f>
        <v>https://avmania.zive.cz</v>
      </c>
      <c r="G158" s="3" t="str">
        <f ca="1">IFERROR(__xludf.DUMMYFUNCTION("""COMPUTED_VALUE"""),"cílený branding high season")</f>
        <v>cílený branding high season</v>
      </c>
      <c r="H158" s="3">
        <f ca="1">IFERROR(__xludf.DUMMYFUNCTION("""COMPUTED_VALUE"""),7)</f>
        <v>7</v>
      </c>
      <c r="I158" s="5">
        <f ca="1">IFERROR(__xludf.DUMMYFUNCTION("""COMPUTED_VALUE"""),1000)</f>
        <v>1000</v>
      </c>
      <c r="J158" s="5">
        <f ca="1">IFERROR(__xludf.DUMMYFUNCTION("""COMPUTED_VALUE"""),1068)</f>
        <v>1068</v>
      </c>
      <c r="K158" s="3"/>
      <c r="L158" s="3" t="str">
        <f ca="1">IFERROR(__xludf.DUMMYFUNCTION("""COMPUTED_VALUE"""),"Cost per period")</f>
        <v>Cost per period</v>
      </c>
      <c r="M158" s="3"/>
      <c r="N158" s="3"/>
      <c r="O158" s="3" t="str">
        <f ca="1">IFERROR(__xludf.DUMMYFUNCTION("""COMPUTED_VALUE"""),"2000")</f>
        <v>2000</v>
      </c>
      <c r="P158" s="3" t="str">
        <f ca="1">IFERROR(__xludf.DUMMYFUNCTION("""COMPUTED_VALUE"""),"1400")</f>
        <v>1400</v>
      </c>
      <c r="Q158" s="3" t="str">
        <f ca="1">IFERROR(__xludf.DUMMYFUNCTION("""COMPUTED_VALUE"""),"2000x1400")</f>
        <v>2000x1400</v>
      </c>
      <c r="R158" s="3"/>
      <c r="S158" s="3" t="str">
        <f ca="1">IFERROR(__xludf.DUMMYFUNCTION("""COMPUTED_VALUE"""),"500 + 200 (600+200 HTML5)")</f>
        <v>500 + 200 (600+200 HTML5)</v>
      </c>
      <c r="T158" s="3"/>
      <c r="U158" s="3" t="str">
        <f ca="1">IFERROR(__xludf.DUMMYFUNCTION("""COMPUTED_VALUE"""),"banner standard")</f>
        <v>banner standard</v>
      </c>
      <c r="V158" s="3"/>
      <c r="W158" s="4" t="str">
        <f ca="1">IFERROR(__xludf.DUMMYFUNCTION("""COMPUTED_VALUE"""),"https://reklama.cncenter.cz/Online/branding")</f>
        <v>https://reklama.cncenter.cz/Online/branding</v>
      </c>
      <c r="X158" s="3"/>
      <c r="Y158" s="3"/>
      <c r="Z158" s="3" t="str">
        <f ca="1">IFERROR(__xludf.DUMMYFUNCTION("""COMPUTED_VALUE"""),"podklady@cncenter.cz")</f>
        <v>podklady@cncenter.cz</v>
      </c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 t="str">
        <f ca="1">IFERROR(__xludf.DUMMYFUNCTION("""COMPUTED_VALUE"""),"desktop")</f>
        <v>desktop</v>
      </c>
      <c r="AO158" s="3"/>
      <c r="AP158" s="3"/>
      <c r="AQ158" s="3"/>
      <c r="AR158" s="3"/>
      <c r="AS158" s="3"/>
      <c r="AT158" s="3"/>
      <c r="AU158" s="3" t="str">
        <f ca="1">IFERROR(__xludf.DUMMYFUNCTION("""COMPUTED_VALUE"""),"cílený branding")</f>
        <v>cílený branding</v>
      </c>
    </row>
    <row r="159" spans="1:47" x14ac:dyDescent="0.3">
      <c r="A159" s="3">
        <f ca="1"/>
        <v>2346826</v>
      </c>
      <c r="B159" s="3" t="str">
        <f ca="1"/>
        <v>CZECH NEWS CENTER a. s.</v>
      </c>
      <c r="C159" s="3" t="str">
        <f ca="1">IFERROR(__xludf.DUMMYFUNCTION("""COMPUTED_VALUE"""),"Avmania")</f>
        <v>Avmania</v>
      </c>
      <c r="D159" s="4" t="str">
        <f ca="1">IFERROR(__xludf.DUMMYFUNCTION("""COMPUTED_VALUE"""),"https://avmania.zive.cz")</f>
        <v>https://avmania.zive.cz</v>
      </c>
      <c r="E159" s="3" t="str">
        <f ca="1">IFERROR(__xludf.DUMMYFUNCTION("""COMPUTED_VALUE"""),"celý web")</f>
        <v>celý web</v>
      </c>
      <c r="F159" s="4" t="str">
        <f ca="1">IFERROR(__xludf.DUMMYFUNCTION("""COMPUTED_VALUE"""),"https://avmania.zive.cz")</f>
        <v>https://avmania.zive.cz</v>
      </c>
      <c r="G159" s="3" t="str">
        <f ca="1">IFERROR(__xludf.DUMMYFUNCTION("""COMPUTED_VALUE"""),"cílený double skyscraper high season")</f>
        <v>cílený double skyscraper high season</v>
      </c>
      <c r="H159" s="3">
        <f ca="1">IFERROR(__xludf.DUMMYFUNCTION("""COMPUTED_VALUE"""),7)</f>
        <v>7</v>
      </c>
      <c r="I159" s="5">
        <f ca="1">IFERROR(__xludf.DUMMYFUNCTION("""COMPUTED_VALUE"""),1000)</f>
        <v>1000</v>
      </c>
      <c r="J159" s="5">
        <f ca="1">IFERROR(__xludf.DUMMYFUNCTION("""COMPUTED_VALUE"""),420)</f>
        <v>420</v>
      </c>
      <c r="K159" s="3"/>
      <c r="L159" s="3" t="str">
        <f ca="1">IFERROR(__xludf.DUMMYFUNCTION("""COMPUTED_VALUE"""),"Cost per period")</f>
        <v>Cost per period</v>
      </c>
      <c r="M159" s="3"/>
      <c r="N159" s="3"/>
      <c r="O159" s="3" t="str">
        <f ca="1">IFERROR(__xludf.DUMMYFUNCTION("""COMPUTED_VALUE"""),"300")</f>
        <v>300</v>
      </c>
      <c r="P159" s="3" t="str">
        <f ca="1">IFERROR(__xludf.DUMMYFUNCTION("""COMPUTED_VALUE"""),"600")</f>
        <v>600</v>
      </c>
      <c r="Q159" s="3" t="str">
        <f ca="1">IFERROR(__xludf.DUMMYFUNCTION("""COMPUTED_VALUE"""),"300x600")</f>
        <v>300x600</v>
      </c>
      <c r="R159" s="3"/>
      <c r="S159" s="3" t="str">
        <f ca="1">IFERROR(__xludf.DUMMYFUNCTION("""COMPUTED_VALUE"""),"100 (200 - HTML5)")</f>
        <v>100 (200 - HTML5)</v>
      </c>
      <c r="T159" s="3"/>
      <c r="U159" s="3" t="str">
        <f ca="1">IFERROR(__xludf.DUMMYFUNCTION("""COMPUTED_VALUE"""),"banner standard")</f>
        <v>banner standard</v>
      </c>
      <c r="V159" s="3"/>
      <c r="W159" s="4" t="str">
        <f ca="1">IFERROR(__xludf.DUMMYFUNCTION("""COMPUTED_VALUE"""),"https://reklama.cncenter.cz/Online/double-skyscraper")</f>
        <v>https://reklama.cncenter.cz/Online/double-skyscraper</v>
      </c>
      <c r="X159" s="3"/>
      <c r="Y159" s="3"/>
      <c r="Z159" s="3" t="str">
        <f ca="1">IFERROR(__xludf.DUMMYFUNCTION("""COMPUTED_VALUE"""),"podklady@cncenter.cz")</f>
        <v>podklady@cncenter.cz</v>
      </c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 t="str">
        <f ca="1">IFERROR(__xludf.DUMMYFUNCTION("""COMPUTED_VALUE"""),"desktop")</f>
        <v>desktop</v>
      </c>
      <c r="AO159" s="3"/>
      <c r="AP159" s="3"/>
      <c r="AQ159" s="3"/>
      <c r="AR159" s="3"/>
      <c r="AS159" s="3"/>
      <c r="AT159" s="3"/>
      <c r="AU159" s="3" t="str">
        <f ca="1">IFERROR(__xludf.DUMMYFUNCTION("""COMPUTED_VALUE"""),"cílený double skyscraper")</f>
        <v>cílený double skyscraper</v>
      </c>
    </row>
    <row r="160" spans="1:47" x14ac:dyDescent="0.3">
      <c r="A160" s="3">
        <f ca="1"/>
        <v>2346826</v>
      </c>
      <c r="B160" s="3" t="str">
        <f ca="1"/>
        <v>CZECH NEWS CENTER a. s.</v>
      </c>
      <c r="C160" s="3" t="str">
        <f ca="1">IFERROR(__xludf.DUMMYFUNCTION("""COMPUTED_VALUE"""),"Avmania")</f>
        <v>Avmania</v>
      </c>
      <c r="D160" s="4" t="str">
        <f ca="1">IFERROR(__xludf.DUMMYFUNCTION("""COMPUTED_VALUE"""),"https://avmania.zive.cz")</f>
        <v>https://avmania.zive.cz</v>
      </c>
      <c r="E160" s="3" t="str">
        <f ca="1">IFERROR(__xludf.DUMMYFUNCTION("""COMPUTED_VALUE"""),"celý web")</f>
        <v>celý web</v>
      </c>
      <c r="F160" s="4" t="str">
        <f ca="1">IFERROR(__xludf.DUMMYFUNCTION("""COMPUTED_VALUE"""),"https://avmania.zive.cz")</f>
        <v>https://avmania.zive.cz</v>
      </c>
      <c r="G160" s="3" t="str">
        <f ca="1">IFERROR(__xludf.DUMMYFUNCTION("""COMPUTED_VALUE"""),"cílený mobilní interscroller high season")</f>
        <v>cílený mobilní interscroller high season</v>
      </c>
      <c r="H160" s="3">
        <f ca="1">IFERROR(__xludf.DUMMYFUNCTION("""COMPUTED_VALUE"""),7)</f>
        <v>7</v>
      </c>
      <c r="I160" s="5">
        <f ca="1">IFERROR(__xludf.DUMMYFUNCTION("""COMPUTED_VALUE"""),1000)</f>
        <v>1000</v>
      </c>
      <c r="J160" s="5">
        <f ca="1">IFERROR(__xludf.DUMMYFUNCTION("""COMPUTED_VALUE"""),540)</f>
        <v>540</v>
      </c>
      <c r="K160" s="3"/>
      <c r="L160" s="3" t="str">
        <f ca="1">IFERROR(__xludf.DUMMYFUNCTION("""COMPUTED_VALUE"""),"Cost per period")</f>
        <v>Cost per period</v>
      </c>
      <c r="M160" s="3"/>
      <c r="N160" s="3"/>
      <c r="O160" s="3" t="str">
        <f ca="1">IFERROR(__xludf.DUMMYFUNCTION("""COMPUTED_VALUE"""),"600")</f>
        <v>600</v>
      </c>
      <c r="P160" s="3" t="str">
        <f ca="1">IFERROR(__xludf.DUMMYFUNCTION("""COMPUTED_VALUE"""),"1080")</f>
        <v>1080</v>
      </c>
      <c r="Q160" s="3" t="str">
        <f ca="1">IFERROR(__xludf.DUMMYFUNCTION("""COMPUTED_VALUE"""),"600x1080")</f>
        <v>600x1080</v>
      </c>
      <c r="R160" s="3"/>
      <c r="S160" s="3" t="str">
        <f ca="1">IFERROR(__xludf.DUMMYFUNCTION("""COMPUTED_VALUE"""),"200")</f>
        <v>200</v>
      </c>
      <c r="T160" s="3"/>
      <c r="U160" s="3" t="str">
        <f ca="1">IFERROR(__xludf.DUMMYFUNCTION("""COMPUTED_VALUE"""),"banner standard")</f>
        <v>banner standard</v>
      </c>
      <c r="V160" s="3"/>
      <c r="W160" s="4" t="str">
        <f ca="1">IFERROR(__xludf.DUMMYFUNCTION("""COMPUTED_VALUE"""),"https://reklama.cncenter.cz/Online/mobilni-interscroller")</f>
        <v>https://reklama.cncenter.cz/Online/mobilni-interscroller</v>
      </c>
      <c r="X160" s="3"/>
      <c r="Y160" s="3"/>
      <c r="Z160" s="3" t="str">
        <f ca="1">IFERROR(__xludf.DUMMYFUNCTION("""COMPUTED_VALUE"""),"podklady@cncenter.cz")</f>
        <v>podklady@cncenter.cz</v>
      </c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 t="str">
        <f ca="1">IFERROR(__xludf.DUMMYFUNCTION("""COMPUTED_VALUE"""),"mobile")</f>
        <v>mobile</v>
      </c>
      <c r="AO160" s="3"/>
      <c r="AP160" s="3"/>
      <c r="AQ160" s="3"/>
      <c r="AR160" s="3"/>
      <c r="AS160" s="3"/>
      <c r="AT160" s="3"/>
      <c r="AU160" s="3" t="str">
        <f ca="1">IFERROR(__xludf.DUMMYFUNCTION("""COMPUTED_VALUE"""),"cílený mobilní interscroller")</f>
        <v>cílený mobilní interscroller</v>
      </c>
    </row>
    <row r="161" spans="1:47" x14ac:dyDescent="0.3">
      <c r="A161" s="3">
        <f ca="1"/>
        <v>2346826</v>
      </c>
      <c r="B161" s="3" t="str">
        <f ca="1"/>
        <v>CZECH NEWS CENTER a. s.</v>
      </c>
      <c r="C161" s="3" t="str">
        <f ca="1">IFERROR(__xludf.DUMMYFUNCTION("""COMPUTED_VALUE"""),"Avmania")</f>
        <v>Avmania</v>
      </c>
      <c r="D161" s="4" t="str">
        <f ca="1">IFERROR(__xludf.DUMMYFUNCTION("""COMPUTED_VALUE"""),"https://avmania.zive.cz")</f>
        <v>https://avmania.zive.cz</v>
      </c>
      <c r="E161" s="3" t="str">
        <f ca="1">IFERROR(__xludf.DUMMYFUNCTION("""COMPUTED_VALUE"""),"celý web")</f>
        <v>celý web</v>
      </c>
      <c r="F161" s="4" t="str">
        <f ca="1">IFERROR(__xludf.DUMMYFUNCTION("""COMPUTED_VALUE"""),"https://avmania.zive.cz")</f>
        <v>https://avmania.zive.cz</v>
      </c>
      <c r="G161" s="3" t="str">
        <f ca="1">IFERROR(__xludf.DUMMYFUNCTION("""COMPUTED_VALUE"""),"cílený mobilní slide-up high season")</f>
        <v>cílený mobilní slide-up high season</v>
      </c>
      <c r="H161" s="3">
        <f ca="1">IFERROR(__xludf.DUMMYFUNCTION("""COMPUTED_VALUE"""),7)</f>
        <v>7</v>
      </c>
      <c r="I161" s="5">
        <f ca="1">IFERROR(__xludf.DUMMYFUNCTION("""COMPUTED_VALUE"""),1000)</f>
        <v>1000</v>
      </c>
      <c r="J161" s="5">
        <f ca="1">IFERROR(__xludf.DUMMYFUNCTION("""COMPUTED_VALUE"""),1104)</f>
        <v>1104</v>
      </c>
      <c r="K161" s="3"/>
      <c r="L161" s="3" t="str">
        <f ca="1">IFERROR(__xludf.DUMMYFUNCTION("""COMPUTED_VALUE"""),"Cost per period")</f>
        <v>Cost per period</v>
      </c>
      <c r="M161" s="3"/>
      <c r="N161" s="3"/>
      <c r="O161" s="3" t="str">
        <f ca="1">IFERROR(__xludf.DUMMYFUNCTION("""COMPUTED_VALUE"""),"300")</f>
        <v>300</v>
      </c>
      <c r="P161" s="3" t="str">
        <f ca="1">IFERROR(__xludf.DUMMYFUNCTION("""COMPUTED_VALUE"""),"120")</f>
        <v>120</v>
      </c>
      <c r="Q161" s="3" t="str">
        <f ca="1">IFERROR(__xludf.DUMMYFUNCTION("""COMPUTED_VALUE"""),"300x120")</f>
        <v>300x120</v>
      </c>
      <c r="R161" s="3"/>
      <c r="S161" s="3" t="str">
        <f ca="1">IFERROR(__xludf.DUMMYFUNCTION("""COMPUTED_VALUE"""),"100")</f>
        <v>100</v>
      </c>
      <c r="T161" s="3"/>
      <c r="U161" s="3" t="str">
        <f ca="1">IFERROR(__xludf.DUMMYFUNCTION("""COMPUTED_VALUE"""),"banner standard")</f>
        <v>banner standard</v>
      </c>
      <c r="V161" s="3"/>
      <c r="W161" s="4" t="str">
        <f ca="1">IFERROR(__xludf.DUMMYFUNCTION("""COMPUTED_VALUE"""),"https://reklama.cncenter.cz/Online/mobilni-slide-up")</f>
        <v>https://reklama.cncenter.cz/Online/mobilni-slide-up</v>
      </c>
      <c r="X161" s="3"/>
      <c r="Y161" s="3"/>
      <c r="Z161" s="3" t="str">
        <f ca="1">IFERROR(__xludf.DUMMYFUNCTION("""COMPUTED_VALUE"""),"podklady@cncenter.cz")</f>
        <v>podklady@cncenter.cz</v>
      </c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 t="str">
        <f ca="1">IFERROR(__xludf.DUMMYFUNCTION("""COMPUTED_VALUE"""),"mobile")</f>
        <v>mobile</v>
      </c>
      <c r="AO161" s="3"/>
      <c r="AP161" s="3"/>
      <c r="AQ161" s="3"/>
      <c r="AR161" s="3"/>
      <c r="AS161" s="3"/>
      <c r="AT161" s="3"/>
      <c r="AU161" s="3" t="str">
        <f ca="1">IFERROR(__xludf.DUMMYFUNCTION("""COMPUTED_VALUE"""),"cílený mobilní slide-up")</f>
        <v>cílený mobilní slide-up</v>
      </c>
    </row>
    <row r="162" spans="1:47" x14ac:dyDescent="0.3">
      <c r="A162" s="3">
        <f ca="1"/>
        <v>2346826</v>
      </c>
      <c r="B162" s="3" t="str">
        <f ca="1"/>
        <v>CZECH NEWS CENTER a. s.</v>
      </c>
      <c r="C162" s="3" t="str">
        <f ca="1">IFERROR(__xludf.DUMMYFUNCTION("""COMPUTED_VALUE"""),"Avmania")</f>
        <v>Avmania</v>
      </c>
      <c r="D162" s="4" t="str">
        <f ca="1">IFERROR(__xludf.DUMMYFUNCTION("""COMPUTED_VALUE"""),"https://avmania.zive.cz")</f>
        <v>https://avmania.zive.cz</v>
      </c>
      <c r="E162" s="3" t="str">
        <f ca="1">IFERROR(__xludf.DUMMYFUNCTION("""COMPUTED_VALUE"""),"celý web")</f>
        <v>celý web</v>
      </c>
      <c r="F162" s="4" t="str">
        <f ca="1">IFERROR(__xludf.DUMMYFUNCTION("""COMPUTED_VALUE"""),"https://avmania.zive.cz")</f>
        <v>https://avmania.zive.cz</v>
      </c>
      <c r="G162" s="3" t="str">
        <f ca="1">IFERROR(__xludf.DUMMYFUNCTION("""COMPUTED_VALUE"""),"cílený mobilní viněta high season")</f>
        <v>cílený mobilní viněta high season</v>
      </c>
      <c r="H162" s="3">
        <f ca="1">IFERROR(__xludf.DUMMYFUNCTION("""COMPUTED_VALUE"""),7)</f>
        <v>7</v>
      </c>
      <c r="I162" s="5">
        <f ca="1">IFERROR(__xludf.DUMMYFUNCTION("""COMPUTED_VALUE"""),1000)</f>
        <v>1000</v>
      </c>
      <c r="J162" s="5">
        <f ca="1">IFERROR(__xludf.DUMMYFUNCTION("""COMPUTED_VALUE"""),1908)</f>
        <v>1908</v>
      </c>
      <c r="K162" s="3"/>
      <c r="L162" s="3" t="str">
        <f ca="1">IFERROR(__xludf.DUMMYFUNCTION("""COMPUTED_VALUE"""),"Cost per period")</f>
        <v>Cost per period</v>
      </c>
      <c r="M162" s="3"/>
      <c r="N162" s="3"/>
      <c r="O162" s="3" t="str">
        <f ca="1">IFERROR(__xludf.DUMMYFUNCTION("""COMPUTED_VALUE"""),"600")</f>
        <v>600</v>
      </c>
      <c r="P162" s="3" t="str">
        <f ca="1">IFERROR(__xludf.DUMMYFUNCTION("""COMPUTED_VALUE"""),"800")</f>
        <v>800</v>
      </c>
      <c r="Q162" s="3" t="str">
        <f ca="1">IFERROR(__xludf.DUMMYFUNCTION("""COMPUTED_VALUE"""),"300x250 nebo 600x800")</f>
        <v>300x250 nebo 600x800</v>
      </c>
      <c r="R162" s="3"/>
      <c r="S162" s="3" t="str">
        <f ca="1">IFERROR(__xludf.DUMMYFUNCTION("""COMPUTED_VALUE"""),"100")</f>
        <v>100</v>
      </c>
      <c r="T162" s="3"/>
      <c r="U162" s="3" t="str">
        <f ca="1">IFERROR(__xludf.DUMMYFUNCTION("""COMPUTED_VALUE"""),"banner standard")</f>
        <v>banner standard</v>
      </c>
      <c r="V162" s="3"/>
      <c r="W162" s="4" t="str">
        <f ca="1">IFERROR(__xludf.DUMMYFUNCTION("""COMPUTED_VALUE"""),"https://reklama.cncenter.cz/Online/mobilni-vineta")</f>
        <v>https://reklama.cncenter.cz/Online/mobilni-vineta</v>
      </c>
      <c r="X162" s="3"/>
      <c r="Y162" s="3"/>
      <c r="Z162" s="3" t="str">
        <f ca="1">IFERROR(__xludf.DUMMYFUNCTION("""COMPUTED_VALUE"""),"podklady@cncenter.cz")</f>
        <v>podklady@cncenter.cz</v>
      </c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 t="str">
        <f ca="1">IFERROR(__xludf.DUMMYFUNCTION("""COMPUTED_VALUE"""),"mobile")</f>
        <v>mobile</v>
      </c>
      <c r="AO162" s="3"/>
      <c r="AP162" s="3"/>
      <c r="AQ162" s="3"/>
      <c r="AR162" s="3"/>
      <c r="AS162" s="3"/>
      <c r="AT162" s="3"/>
      <c r="AU162" s="3" t="str">
        <f ca="1">IFERROR(__xludf.DUMMYFUNCTION("""COMPUTED_VALUE"""),"cílený mobilní viněta")</f>
        <v>cílený mobilní viněta</v>
      </c>
    </row>
    <row r="163" spans="1:47" x14ac:dyDescent="0.3">
      <c r="A163" s="3">
        <f ca="1"/>
        <v>2346826</v>
      </c>
      <c r="B163" s="3" t="str">
        <f ca="1"/>
        <v>CZECH NEWS CENTER a. s.</v>
      </c>
      <c r="C163" s="3" t="str">
        <f ca="1">IFERROR(__xludf.DUMMYFUNCTION("""COMPUTED_VALUE"""),"Avmania")</f>
        <v>Avmania</v>
      </c>
      <c r="D163" s="4" t="str">
        <f ca="1">IFERROR(__xludf.DUMMYFUNCTION("""COMPUTED_VALUE"""),"https://avmania.zive.cz")</f>
        <v>https://avmania.zive.cz</v>
      </c>
      <c r="E163" s="3" t="str">
        <f ca="1">IFERROR(__xludf.DUMMYFUNCTION("""COMPUTED_VALUE"""),"celý web")</f>
        <v>celý web</v>
      </c>
      <c r="F163" s="4" t="str">
        <f ca="1">IFERROR(__xludf.DUMMYFUNCTION("""COMPUTED_VALUE"""),"https://avmania.zive.cz")</f>
        <v>https://avmania.zive.cz</v>
      </c>
      <c r="G163" s="3" t="str">
        <f ca="1">IFERROR(__xludf.DUMMYFUNCTION("""COMPUTED_VALUE"""),"cílený nativní rectangle cross-device high season")</f>
        <v>cílený nativní rectangle cross-device high season</v>
      </c>
      <c r="H163" s="3">
        <f ca="1">IFERROR(__xludf.DUMMYFUNCTION("""COMPUTED_VALUE"""),7)</f>
        <v>7</v>
      </c>
      <c r="I163" s="5">
        <f ca="1">IFERROR(__xludf.DUMMYFUNCTION("""COMPUTED_VALUE"""),1000)</f>
        <v>1000</v>
      </c>
      <c r="J163" s="5">
        <f ca="1">IFERROR(__xludf.DUMMYFUNCTION("""COMPUTED_VALUE"""),432)</f>
        <v>432</v>
      </c>
      <c r="K163" s="3"/>
      <c r="L163" s="3" t="str">
        <f ca="1">IFERROR(__xludf.DUMMYFUNCTION("""COMPUTED_VALUE"""),"Cost per period")</f>
        <v>Cost per period</v>
      </c>
      <c r="M163" s="3"/>
      <c r="N163" s="3"/>
      <c r="O163" s="3" t="str">
        <f ca="1">IFERROR(__xludf.DUMMYFUNCTION("""COMPUTED_VALUE"""),"640")</f>
        <v>640</v>
      </c>
      <c r="P163" s="3" t="str">
        <f ca="1">IFERROR(__xludf.DUMMYFUNCTION("""COMPUTED_VALUE"""),"335, 640")</f>
        <v>335, 640</v>
      </c>
      <c r="Q163" s="3" t="str">
        <f ca="1">IFERROR(__xludf.DUMMYFUNCTION("""COMPUTED_VALUE"""),"640x640 a 640x335 + text + logo")</f>
        <v>640x640 a 640x335 + text + logo</v>
      </c>
      <c r="R163" s="3"/>
      <c r="S163" s="3" t="str">
        <f ca="1">IFERROR(__xludf.DUMMYFUNCTION("""COMPUTED_VALUE"""),"45")</f>
        <v>45</v>
      </c>
      <c r="T163" s="3"/>
      <c r="U163" s="3" t="str">
        <f ca="1">IFERROR(__xludf.DUMMYFUNCTION("""COMPUTED_VALUE"""),"nativní reklama")</f>
        <v>nativní reklama</v>
      </c>
      <c r="V163" s="3"/>
      <c r="W163" s="4" t="str">
        <f ca="1">IFERROR(__xludf.DUMMYFUNCTION("""COMPUTED_VALUE"""),"https://reklama.cncenter.cz/Online/nativni-rectangle-cross-device")</f>
        <v>https://reklama.cncenter.cz/Online/nativni-rectangle-cross-device</v>
      </c>
      <c r="X163" s="3"/>
      <c r="Y163" s="3"/>
      <c r="Z163" s="3" t="str">
        <f ca="1">IFERROR(__xludf.DUMMYFUNCTION("""COMPUTED_VALUE"""),"podklady@cncenter.cz")</f>
        <v>podklady@cncenter.cz</v>
      </c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 t="str">
        <f ca="1">IFERROR(__xludf.DUMMYFUNCTION("""COMPUTED_VALUE"""),"cross-device")</f>
        <v>cross-device</v>
      </c>
      <c r="AO163" s="3"/>
      <c r="AP163" s="3"/>
      <c r="AQ163" s="3"/>
      <c r="AR163" s="3"/>
      <c r="AS163" s="3"/>
      <c r="AT163" s="3"/>
      <c r="AU163" s="3" t="str">
        <f ca="1">IFERROR(__xludf.DUMMYFUNCTION("""COMPUTED_VALUE"""),"cílený nativní rectangle cross-device")</f>
        <v>cílený nativní rectangle cross-device</v>
      </c>
    </row>
    <row r="164" spans="1:47" x14ac:dyDescent="0.3">
      <c r="A164" s="3">
        <f ca="1"/>
        <v>2346826</v>
      </c>
      <c r="B164" s="3" t="str">
        <f ca="1"/>
        <v>CZECH NEWS CENTER a. s.</v>
      </c>
      <c r="C164" s="3" t="str">
        <f ca="1">IFERROR(__xludf.DUMMYFUNCTION("""COMPUTED_VALUE"""),"Avmania")</f>
        <v>Avmania</v>
      </c>
      <c r="D164" s="4" t="str">
        <f ca="1">IFERROR(__xludf.DUMMYFUNCTION("""COMPUTED_VALUE"""),"https://avmania.zive.cz")</f>
        <v>https://avmania.zive.cz</v>
      </c>
      <c r="E164" s="3" t="str">
        <f ca="1">IFERROR(__xludf.DUMMYFUNCTION("""COMPUTED_VALUE"""),"celý web")</f>
        <v>celý web</v>
      </c>
      <c r="F164" s="4" t="str">
        <f ca="1">IFERROR(__xludf.DUMMYFUNCTION("""COMPUTED_VALUE"""),"https://avmania.zive.cz")</f>
        <v>https://avmania.zive.cz</v>
      </c>
      <c r="G164" s="3" t="str">
        <f ca="1">IFERROR(__xludf.DUMMYFUNCTION("""COMPUTED_VALUE"""),"cílený outstream high season")</f>
        <v>cílený outstream high season</v>
      </c>
      <c r="H164" s="3">
        <f ca="1">IFERROR(__xludf.DUMMYFUNCTION("""COMPUTED_VALUE"""),7)</f>
        <v>7</v>
      </c>
      <c r="I164" s="5">
        <f ca="1">IFERROR(__xludf.DUMMYFUNCTION("""COMPUTED_VALUE"""),1000)</f>
        <v>1000</v>
      </c>
      <c r="J164" s="5">
        <f ca="1">IFERROR(__xludf.DUMMYFUNCTION("""COMPUTED_VALUE"""),540)</f>
        <v>540</v>
      </c>
      <c r="K164" s="3"/>
      <c r="L164" s="3" t="str">
        <f ca="1">IFERROR(__xludf.DUMMYFUNCTION("""COMPUTED_VALUE"""),"Cost per period")</f>
        <v>Cost per period</v>
      </c>
      <c r="M164" s="3"/>
      <c r="N164" s="3"/>
      <c r="O164" s="3" t="str">
        <f ca="1">IFERROR(__xludf.DUMMYFUNCTION("""COMPUTED_VALUE"""),"1280")</f>
        <v>1280</v>
      </c>
      <c r="P164" s="3" t="str">
        <f ca="1">IFERROR(__xludf.DUMMYFUNCTION("""COMPUTED_VALUE"""),"720")</f>
        <v>720</v>
      </c>
      <c r="Q164" s="3" t="str">
        <f ca="1">IFERROR(__xludf.DUMMYFUNCTION("""COMPUTED_VALUE"""),"16:9")</f>
        <v>16:9</v>
      </c>
      <c r="R164" s="3"/>
      <c r="S164" s="3" t="str">
        <f ca="1">IFERROR(__xludf.DUMMYFUNCTION("""COMPUTED_VALUE"""),"100")</f>
        <v>100</v>
      </c>
      <c r="T164" s="3"/>
      <c r="U164" s="3" t="str">
        <f ca="1">IFERROR(__xludf.DUMMYFUNCTION("""COMPUTED_VALUE"""),"videospot")</f>
        <v>videospot</v>
      </c>
      <c r="V164" s="3"/>
      <c r="W164" s="4" t="str">
        <f ca="1">IFERROR(__xludf.DUMMYFUNCTION("""COMPUTED_VALUE"""),"https://reklama.cncenter.cz/Online/Outstream")</f>
        <v>https://reklama.cncenter.cz/Online/Outstream</v>
      </c>
      <c r="X164" s="3"/>
      <c r="Y164" s="3"/>
      <c r="Z164" s="3" t="str">
        <f ca="1">IFERROR(__xludf.DUMMYFUNCTION("""COMPUTED_VALUE"""),"podklady@cncenter.cz")</f>
        <v>podklady@cncenter.cz</v>
      </c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 t="str">
        <f ca="1">IFERROR(__xludf.DUMMYFUNCTION("""COMPUTED_VALUE"""),"cross-device")</f>
        <v>cross-device</v>
      </c>
      <c r="AO164" s="3"/>
      <c r="AP164" s="3"/>
      <c r="AQ164" s="3"/>
      <c r="AR164" s="3"/>
      <c r="AS164" s="3"/>
      <c r="AT164" s="3"/>
      <c r="AU164" s="3" t="str">
        <f ca="1">IFERROR(__xludf.DUMMYFUNCTION("""COMPUTED_VALUE"""),"cílený outstream")</f>
        <v>cílený outstream</v>
      </c>
    </row>
    <row r="165" spans="1:47" x14ac:dyDescent="0.3">
      <c r="A165" s="3">
        <f ca="1"/>
        <v>2346826</v>
      </c>
      <c r="B165" s="3" t="str">
        <f ca="1"/>
        <v>CZECH NEWS CENTER a. s.</v>
      </c>
      <c r="C165" s="3" t="str">
        <f ca="1">IFERROR(__xludf.DUMMYFUNCTION("""COMPUTED_VALUE"""),"Avmania")</f>
        <v>Avmania</v>
      </c>
      <c r="D165" s="4" t="str">
        <f ca="1">IFERROR(__xludf.DUMMYFUNCTION("""COMPUTED_VALUE"""),"https://avmania.zive.cz")</f>
        <v>https://avmania.zive.cz</v>
      </c>
      <c r="E165" s="3" t="str">
        <f ca="1">IFERROR(__xludf.DUMMYFUNCTION("""COMPUTED_VALUE"""),"celý web")</f>
        <v>celý web</v>
      </c>
      <c r="F165" s="4" t="str">
        <f ca="1">IFERROR(__xludf.DUMMYFUNCTION("""COMPUTED_VALUE"""),"https://avmania.zive.cz")</f>
        <v>https://avmania.zive.cz</v>
      </c>
      <c r="G165" s="3" t="str">
        <f ca="1">IFERROR(__xludf.DUMMYFUNCTION("""COMPUTED_VALUE"""),"dokoupení proma o 2 týdny - 10 000 PV *** high season")</f>
        <v>dokoupení proma o 2 týdny - 10 000 PV *** high season</v>
      </c>
      <c r="H165" s="3">
        <f ca="1">IFERROR(__xludf.DUMMYFUNCTION("""COMPUTED_VALUE"""),1)</f>
        <v>1</v>
      </c>
      <c r="I165" s="5">
        <f ca="1">IFERROR(__xludf.DUMMYFUNCTION("""COMPUTED_VALUE"""),1)</f>
        <v>1</v>
      </c>
      <c r="J165" s="5">
        <f ca="1">IFERROR(__xludf.DUMMYFUNCTION("""COMPUTED_VALUE"""),60000)</f>
        <v>60000</v>
      </c>
      <c r="K165" s="3"/>
      <c r="L165" s="3" t="str">
        <f ca="1">IFERROR(__xludf.DUMMYFUNCTION("""COMPUTED_VALUE"""),"Cost per instance")</f>
        <v>Cost per instance</v>
      </c>
      <c r="M165" s="3"/>
      <c r="N165" s="3"/>
      <c r="O165" s="3"/>
      <c r="P165" s="3"/>
      <c r="Q165" s="3"/>
      <c r="R165" s="3"/>
      <c r="S165" s="3" t="str">
        <f ca="1">IFERROR(__xludf.DUMMYFUNCTION("""COMPUTED_VALUE"""),"100")</f>
        <v>100</v>
      </c>
      <c r="T165" s="3"/>
      <c r="U165" s="3" t="str">
        <f ca="1">IFERROR(__xludf.DUMMYFUNCTION("""COMPUTED_VALUE"""),"microsite")</f>
        <v>microsite</v>
      </c>
      <c r="V165" s="3"/>
      <c r="W165" s="3"/>
      <c r="X165" s="3"/>
      <c r="Y165" s="3"/>
      <c r="Z165" s="3" t="str">
        <f ca="1">IFERROR(__xludf.DUMMYFUNCTION("""COMPUTED_VALUE"""),"podklady@cncenter.cz")</f>
        <v>podklady@cncenter.cz</v>
      </c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 t="str">
        <f ca="1">IFERROR(__xludf.DUMMYFUNCTION("""COMPUTED_VALUE"""),"cross-device")</f>
        <v>cross-device</v>
      </c>
      <c r="AO165" s="3"/>
      <c r="AP165" s="3"/>
      <c r="AQ165" s="3"/>
      <c r="AR165" s="3"/>
      <c r="AS165" s="3"/>
      <c r="AT165" s="3"/>
      <c r="AU165" s="3" t="str">
        <f ca="1">IFERROR(__xludf.DUMMYFUNCTION("""COMPUTED_VALUE"""),"dokoupení proma o 2 týdny - 10 000 PV ***")</f>
        <v>dokoupení proma o 2 týdny - 10 000 PV ***</v>
      </c>
    </row>
    <row r="166" spans="1:47" x14ac:dyDescent="0.3">
      <c r="A166" s="3">
        <f ca="1"/>
        <v>2346826</v>
      </c>
      <c r="B166" s="3" t="str">
        <f ca="1"/>
        <v>CZECH NEWS CENTER a. s.</v>
      </c>
      <c r="C166" s="3" t="str">
        <f ca="1">IFERROR(__xludf.DUMMYFUNCTION("""COMPUTED_VALUE"""),"Avmania")</f>
        <v>Avmania</v>
      </c>
      <c r="D166" s="4" t="str">
        <f ca="1">IFERROR(__xludf.DUMMYFUNCTION("""COMPUTED_VALUE"""),"https://avmania.zive.cz")</f>
        <v>https://avmania.zive.cz</v>
      </c>
      <c r="E166" s="3" t="str">
        <f ca="1">IFERROR(__xludf.DUMMYFUNCTION("""COMPUTED_VALUE"""),"celý web")</f>
        <v>celý web</v>
      </c>
      <c r="F166" s="4" t="str">
        <f ca="1">IFERROR(__xludf.DUMMYFUNCTION("""COMPUTED_VALUE"""),"https://avmania.zive.cz")</f>
        <v>https://avmania.zive.cz</v>
      </c>
      <c r="G166" s="3" t="str">
        <f ca="1">IFERROR(__xludf.DUMMYFUNCTION("""COMPUTED_VALUE"""),"double skyscraper high season")</f>
        <v>double skyscraper high season</v>
      </c>
      <c r="H166" s="3">
        <f ca="1">IFERROR(__xludf.DUMMYFUNCTION("""COMPUTED_VALUE"""),7)</f>
        <v>7</v>
      </c>
      <c r="I166" s="5">
        <f ca="1">IFERROR(__xludf.DUMMYFUNCTION("""COMPUTED_VALUE"""),1000)</f>
        <v>1000</v>
      </c>
      <c r="J166" s="5">
        <f ca="1">IFERROR(__xludf.DUMMYFUNCTION("""COMPUTED_VALUE"""),350)</f>
        <v>350</v>
      </c>
      <c r="K166" s="3"/>
      <c r="L166" s="3" t="str">
        <f ca="1">IFERROR(__xludf.DUMMYFUNCTION("""COMPUTED_VALUE"""),"Cost per period")</f>
        <v>Cost per period</v>
      </c>
      <c r="M166" s="3"/>
      <c r="N166" s="3"/>
      <c r="O166" s="3" t="str">
        <f ca="1">IFERROR(__xludf.DUMMYFUNCTION("""COMPUTED_VALUE"""),"300")</f>
        <v>300</v>
      </c>
      <c r="P166" s="3" t="str">
        <f ca="1">IFERROR(__xludf.DUMMYFUNCTION("""COMPUTED_VALUE"""),"600")</f>
        <v>600</v>
      </c>
      <c r="Q166" s="3" t="str">
        <f ca="1">IFERROR(__xludf.DUMMYFUNCTION("""COMPUTED_VALUE"""),"300x600")</f>
        <v>300x600</v>
      </c>
      <c r="R166" s="3"/>
      <c r="S166" s="3" t="str">
        <f ca="1">IFERROR(__xludf.DUMMYFUNCTION("""COMPUTED_VALUE"""),"100 (200 - HTML5)")</f>
        <v>100 (200 - HTML5)</v>
      </c>
      <c r="T166" s="3"/>
      <c r="U166" s="3" t="str">
        <f ca="1">IFERROR(__xludf.DUMMYFUNCTION("""COMPUTED_VALUE"""),"banner standard")</f>
        <v>banner standard</v>
      </c>
      <c r="V166" s="3"/>
      <c r="W166" s="4" t="str">
        <f ca="1">IFERROR(__xludf.DUMMYFUNCTION("""COMPUTED_VALUE"""),"https://reklama.cncenter.cz/Online/double-skyscraper")</f>
        <v>https://reklama.cncenter.cz/Online/double-skyscraper</v>
      </c>
      <c r="X166" s="3"/>
      <c r="Y166" s="3"/>
      <c r="Z166" s="3" t="str">
        <f ca="1">IFERROR(__xludf.DUMMYFUNCTION("""COMPUTED_VALUE"""),"podklady@cncenter.cz")</f>
        <v>podklady@cncenter.cz</v>
      </c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 t="str">
        <f ca="1">IFERROR(__xludf.DUMMYFUNCTION("""COMPUTED_VALUE"""),"desktop")</f>
        <v>desktop</v>
      </c>
      <c r="AO166" s="3"/>
      <c r="AP166" s="3"/>
      <c r="AQ166" s="3"/>
      <c r="AR166" s="3"/>
      <c r="AS166" s="3"/>
      <c r="AT166" s="3"/>
      <c r="AU166" s="3" t="str">
        <f ca="1">IFERROR(__xludf.DUMMYFUNCTION("""COMPUTED_VALUE"""),"double skyscraper")</f>
        <v>double skyscraper</v>
      </c>
    </row>
    <row r="167" spans="1:47" x14ac:dyDescent="0.3">
      <c r="A167" s="3">
        <f ca="1"/>
        <v>2346826</v>
      </c>
      <c r="B167" s="3" t="str">
        <f ca="1"/>
        <v>CZECH NEWS CENTER a. s.</v>
      </c>
      <c r="C167" s="3" t="str">
        <f ca="1">IFERROR(__xludf.DUMMYFUNCTION("""COMPUTED_VALUE"""),"Avmania")</f>
        <v>Avmania</v>
      </c>
      <c r="D167" s="4" t="str">
        <f ca="1">IFERROR(__xludf.DUMMYFUNCTION("""COMPUTED_VALUE"""),"https://avmania.zive.cz")</f>
        <v>https://avmania.zive.cz</v>
      </c>
      <c r="E167" s="3" t="str">
        <f ca="1">IFERROR(__xludf.DUMMYFUNCTION("""COMPUTED_VALUE"""),"celý web")</f>
        <v>celý web</v>
      </c>
      <c r="F167" s="4" t="str">
        <f ca="1">IFERROR(__xludf.DUMMYFUNCTION("""COMPUTED_VALUE"""),"https://avmania.zive.cz")</f>
        <v>https://avmania.zive.cz</v>
      </c>
      <c r="G167" s="3" t="str">
        <f ca="1">IFERROR(__xludf.DUMMYFUNCTION("""COMPUTED_VALUE"""),"mobilní interscroller high season")</f>
        <v>mobilní interscroller high season</v>
      </c>
      <c r="H167" s="3">
        <f ca="1">IFERROR(__xludf.DUMMYFUNCTION("""COMPUTED_VALUE"""),7)</f>
        <v>7</v>
      </c>
      <c r="I167" s="5">
        <f ca="1">IFERROR(__xludf.DUMMYFUNCTION("""COMPUTED_VALUE"""),1000)</f>
        <v>1000</v>
      </c>
      <c r="J167" s="5">
        <f ca="1">IFERROR(__xludf.DUMMYFUNCTION("""COMPUTED_VALUE"""),450)</f>
        <v>450</v>
      </c>
      <c r="K167" s="3"/>
      <c r="L167" s="3" t="str">
        <f ca="1">IFERROR(__xludf.DUMMYFUNCTION("""COMPUTED_VALUE"""),"Cost per period")</f>
        <v>Cost per period</v>
      </c>
      <c r="M167" s="3"/>
      <c r="N167" s="3"/>
      <c r="O167" s="3" t="str">
        <f ca="1">IFERROR(__xludf.DUMMYFUNCTION("""COMPUTED_VALUE"""),"600")</f>
        <v>600</v>
      </c>
      <c r="P167" s="3" t="str">
        <f ca="1">IFERROR(__xludf.DUMMYFUNCTION("""COMPUTED_VALUE"""),"1080")</f>
        <v>1080</v>
      </c>
      <c r="Q167" s="3" t="str">
        <f ca="1">IFERROR(__xludf.DUMMYFUNCTION("""COMPUTED_VALUE"""),"600x1080")</f>
        <v>600x1080</v>
      </c>
      <c r="R167" s="3"/>
      <c r="S167" s="3" t="str">
        <f ca="1">IFERROR(__xludf.DUMMYFUNCTION("""COMPUTED_VALUE"""),"200")</f>
        <v>200</v>
      </c>
      <c r="T167" s="3"/>
      <c r="U167" s="3" t="str">
        <f ca="1">IFERROR(__xludf.DUMMYFUNCTION("""COMPUTED_VALUE"""),"banner standard")</f>
        <v>banner standard</v>
      </c>
      <c r="V167" s="3"/>
      <c r="W167" s="4" t="str">
        <f ca="1">IFERROR(__xludf.DUMMYFUNCTION("""COMPUTED_VALUE"""),"https://reklama.cncenter.cz/Online/mobilni-interscroller")</f>
        <v>https://reklama.cncenter.cz/Online/mobilni-interscroller</v>
      </c>
      <c r="X167" s="3"/>
      <c r="Y167" s="3"/>
      <c r="Z167" s="3" t="str">
        <f ca="1">IFERROR(__xludf.DUMMYFUNCTION("""COMPUTED_VALUE"""),"podklady@cncenter.cz")</f>
        <v>podklady@cncenter.cz</v>
      </c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 t="str">
        <f ca="1">IFERROR(__xludf.DUMMYFUNCTION("""COMPUTED_VALUE"""),"mobile")</f>
        <v>mobile</v>
      </c>
      <c r="AO167" s="3"/>
      <c r="AP167" s="3"/>
      <c r="AQ167" s="3"/>
      <c r="AR167" s="3"/>
      <c r="AS167" s="3"/>
      <c r="AT167" s="3"/>
      <c r="AU167" s="3" t="str">
        <f ca="1">IFERROR(__xludf.DUMMYFUNCTION("""COMPUTED_VALUE"""),"mobilní interscroller")</f>
        <v>mobilní interscroller</v>
      </c>
    </row>
    <row r="168" spans="1:47" x14ac:dyDescent="0.3">
      <c r="A168" s="3">
        <f ca="1"/>
        <v>2346826</v>
      </c>
      <c r="B168" s="3" t="str">
        <f ca="1"/>
        <v>CZECH NEWS CENTER a. s.</v>
      </c>
      <c r="C168" s="3" t="str">
        <f ca="1">IFERROR(__xludf.DUMMYFUNCTION("""COMPUTED_VALUE"""),"Avmania")</f>
        <v>Avmania</v>
      </c>
      <c r="D168" s="4" t="str">
        <f ca="1">IFERROR(__xludf.DUMMYFUNCTION("""COMPUTED_VALUE"""),"https://avmania.zive.cz")</f>
        <v>https://avmania.zive.cz</v>
      </c>
      <c r="E168" s="3" t="str">
        <f ca="1">IFERROR(__xludf.DUMMYFUNCTION("""COMPUTED_VALUE"""),"celý web")</f>
        <v>celý web</v>
      </c>
      <c r="F168" s="4" t="str">
        <f ca="1">IFERROR(__xludf.DUMMYFUNCTION("""COMPUTED_VALUE"""),"https://avmania.zive.cz")</f>
        <v>https://avmania.zive.cz</v>
      </c>
      <c r="G168" s="3" t="str">
        <f ca="1">IFERROR(__xludf.DUMMYFUNCTION("""COMPUTED_VALUE"""),"mobilní slide-up high season")</f>
        <v>mobilní slide-up high season</v>
      </c>
      <c r="H168" s="3">
        <f ca="1">IFERROR(__xludf.DUMMYFUNCTION("""COMPUTED_VALUE"""),7)</f>
        <v>7</v>
      </c>
      <c r="I168" s="5">
        <f ca="1">IFERROR(__xludf.DUMMYFUNCTION("""COMPUTED_VALUE"""),1000)</f>
        <v>1000</v>
      </c>
      <c r="J168" s="5">
        <f ca="1">IFERROR(__xludf.DUMMYFUNCTION("""COMPUTED_VALUE"""),920)</f>
        <v>920</v>
      </c>
      <c r="K168" s="3"/>
      <c r="L168" s="3" t="str">
        <f ca="1">IFERROR(__xludf.DUMMYFUNCTION("""COMPUTED_VALUE"""),"Cost per period")</f>
        <v>Cost per period</v>
      </c>
      <c r="M168" s="3"/>
      <c r="N168" s="3"/>
      <c r="O168" s="3" t="str">
        <f ca="1">IFERROR(__xludf.DUMMYFUNCTION("""COMPUTED_VALUE"""),"300")</f>
        <v>300</v>
      </c>
      <c r="P168" s="3" t="str">
        <f ca="1">IFERROR(__xludf.DUMMYFUNCTION("""COMPUTED_VALUE"""),"120")</f>
        <v>120</v>
      </c>
      <c r="Q168" s="3" t="str">
        <f ca="1">IFERROR(__xludf.DUMMYFUNCTION("""COMPUTED_VALUE"""),"300x120")</f>
        <v>300x120</v>
      </c>
      <c r="R168" s="3"/>
      <c r="S168" s="3" t="str">
        <f ca="1">IFERROR(__xludf.DUMMYFUNCTION("""COMPUTED_VALUE"""),"100")</f>
        <v>100</v>
      </c>
      <c r="T168" s="3"/>
      <c r="U168" s="3" t="str">
        <f ca="1">IFERROR(__xludf.DUMMYFUNCTION("""COMPUTED_VALUE"""),"banner standard")</f>
        <v>banner standard</v>
      </c>
      <c r="V168" s="3"/>
      <c r="W168" s="4" t="str">
        <f ca="1">IFERROR(__xludf.DUMMYFUNCTION("""COMPUTED_VALUE"""),"https://reklama.cncenter.cz/Online/mobilni-slide-up")</f>
        <v>https://reklama.cncenter.cz/Online/mobilni-slide-up</v>
      </c>
      <c r="X168" s="3"/>
      <c r="Y168" s="3"/>
      <c r="Z168" s="3" t="str">
        <f ca="1">IFERROR(__xludf.DUMMYFUNCTION("""COMPUTED_VALUE"""),"podklady@cncenter.cz")</f>
        <v>podklady@cncenter.cz</v>
      </c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 t="str">
        <f ca="1">IFERROR(__xludf.DUMMYFUNCTION("""COMPUTED_VALUE"""),"mobile")</f>
        <v>mobile</v>
      </c>
      <c r="AO168" s="3"/>
      <c r="AP168" s="3"/>
      <c r="AQ168" s="3"/>
      <c r="AR168" s="3"/>
      <c r="AS168" s="3"/>
      <c r="AT168" s="3"/>
      <c r="AU168" s="3" t="str">
        <f ca="1">IFERROR(__xludf.DUMMYFUNCTION("""COMPUTED_VALUE"""),"mobilní slide-up")</f>
        <v>mobilní slide-up</v>
      </c>
    </row>
    <row r="169" spans="1:47" x14ac:dyDescent="0.3">
      <c r="A169" s="3">
        <f ca="1"/>
        <v>2346826</v>
      </c>
      <c r="B169" s="3" t="str">
        <f ca="1"/>
        <v>CZECH NEWS CENTER a. s.</v>
      </c>
      <c r="C169" s="3" t="str">
        <f ca="1">IFERROR(__xludf.DUMMYFUNCTION("""COMPUTED_VALUE"""),"Avmania")</f>
        <v>Avmania</v>
      </c>
      <c r="D169" s="4" t="str">
        <f ca="1">IFERROR(__xludf.DUMMYFUNCTION("""COMPUTED_VALUE"""),"https://avmania.zive.cz")</f>
        <v>https://avmania.zive.cz</v>
      </c>
      <c r="E169" s="3" t="str">
        <f ca="1">IFERROR(__xludf.DUMMYFUNCTION("""COMPUTED_VALUE"""),"celý web")</f>
        <v>celý web</v>
      </c>
      <c r="F169" s="4" t="str">
        <f ca="1">IFERROR(__xludf.DUMMYFUNCTION("""COMPUTED_VALUE"""),"https://avmania.zive.cz")</f>
        <v>https://avmania.zive.cz</v>
      </c>
      <c r="G169" s="3" t="str">
        <f ca="1">IFERROR(__xludf.DUMMYFUNCTION("""COMPUTED_VALUE"""),"mobilní viněta high season")</f>
        <v>mobilní viněta high season</v>
      </c>
      <c r="H169" s="3">
        <f ca="1">IFERROR(__xludf.DUMMYFUNCTION("""COMPUTED_VALUE"""),7)</f>
        <v>7</v>
      </c>
      <c r="I169" s="5">
        <f ca="1">IFERROR(__xludf.DUMMYFUNCTION("""COMPUTED_VALUE"""),1000)</f>
        <v>1000</v>
      </c>
      <c r="J169" s="5">
        <f ca="1">IFERROR(__xludf.DUMMYFUNCTION("""COMPUTED_VALUE"""),1590)</f>
        <v>1590</v>
      </c>
      <c r="K169" s="3"/>
      <c r="L169" s="3" t="str">
        <f ca="1">IFERROR(__xludf.DUMMYFUNCTION("""COMPUTED_VALUE"""),"Cost per period")</f>
        <v>Cost per period</v>
      </c>
      <c r="M169" s="3"/>
      <c r="N169" s="3"/>
      <c r="O169" s="3" t="str">
        <f ca="1">IFERROR(__xludf.DUMMYFUNCTION("""COMPUTED_VALUE"""),"600")</f>
        <v>600</v>
      </c>
      <c r="P169" s="3" t="str">
        <f ca="1">IFERROR(__xludf.DUMMYFUNCTION("""COMPUTED_VALUE"""),"800")</f>
        <v>800</v>
      </c>
      <c r="Q169" s="3" t="str">
        <f ca="1">IFERROR(__xludf.DUMMYFUNCTION("""COMPUTED_VALUE"""),"300x250 nebo 600x800")</f>
        <v>300x250 nebo 600x800</v>
      </c>
      <c r="R169" s="3"/>
      <c r="S169" s="3" t="str">
        <f ca="1">IFERROR(__xludf.DUMMYFUNCTION("""COMPUTED_VALUE"""),"100")</f>
        <v>100</v>
      </c>
      <c r="T169" s="3"/>
      <c r="U169" s="3" t="str">
        <f ca="1">IFERROR(__xludf.DUMMYFUNCTION("""COMPUTED_VALUE"""),"banner standard")</f>
        <v>banner standard</v>
      </c>
      <c r="V169" s="3"/>
      <c r="W169" s="4" t="str">
        <f ca="1">IFERROR(__xludf.DUMMYFUNCTION("""COMPUTED_VALUE"""),"https://reklama.cncenter.cz/Online/mobilni-vineta")</f>
        <v>https://reklama.cncenter.cz/Online/mobilni-vineta</v>
      </c>
      <c r="X169" s="3"/>
      <c r="Y169" s="3"/>
      <c r="Z169" s="3" t="str">
        <f ca="1">IFERROR(__xludf.DUMMYFUNCTION("""COMPUTED_VALUE"""),"podklady@cncenter.cz")</f>
        <v>podklady@cncenter.cz</v>
      </c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 t="str">
        <f ca="1">IFERROR(__xludf.DUMMYFUNCTION("""COMPUTED_VALUE"""),"mobile")</f>
        <v>mobile</v>
      </c>
      <c r="AO169" s="3"/>
      <c r="AP169" s="3"/>
      <c r="AQ169" s="3"/>
      <c r="AR169" s="3"/>
      <c r="AS169" s="3"/>
      <c r="AT169" s="3"/>
      <c r="AU169" s="3" t="str">
        <f ca="1">IFERROR(__xludf.DUMMYFUNCTION("""COMPUTED_VALUE"""),"mobilní viněta")</f>
        <v>mobilní viněta</v>
      </c>
    </row>
    <row r="170" spans="1:47" x14ac:dyDescent="0.3">
      <c r="A170" s="3">
        <f ca="1"/>
        <v>2346826</v>
      </c>
      <c r="B170" s="3" t="str">
        <f ca="1"/>
        <v>CZECH NEWS CENTER a. s.</v>
      </c>
      <c r="C170" s="3" t="str">
        <f ca="1">IFERROR(__xludf.DUMMYFUNCTION("""COMPUTED_VALUE"""),"Avmania")</f>
        <v>Avmania</v>
      </c>
      <c r="D170" s="4" t="str">
        <f ca="1">IFERROR(__xludf.DUMMYFUNCTION("""COMPUTED_VALUE"""),"https://avmania.zive.cz")</f>
        <v>https://avmania.zive.cz</v>
      </c>
      <c r="E170" s="3" t="str">
        <f ca="1">IFERROR(__xludf.DUMMYFUNCTION("""COMPUTED_VALUE"""),"celý web")</f>
        <v>celý web</v>
      </c>
      <c r="F170" s="4" t="str">
        <f ca="1">IFERROR(__xludf.DUMMYFUNCTION("""COMPUTED_VALUE"""),"https://avmania.zive.cz")</f>
        <v>https://avmania.zive.cz</v>
      </c>
      <c r="G170" s="3" t="str">
        <f ca="1">IFERROR(__xludf.DUMMYFUNCTION("""COMPUTED_VALUE"""),"Native Standard high season")</f>
        <v>Native Standard high season</v>
      </c>
      <c r="H170" s="3">
        <f ca="1">IFERROR(__xludf.DUMMYFUNCTION("""COMPUTED_VALUE"""),1)</f>
        <v>1</v>
      </c>
      <c r="I170" s="5">
        <f ca="1">IFERROR(__xludf.DUMMYFUNCTION("""COMPUTED_VALUE"""),1)</f>
        <v>1</v>
      </c>
      <c r="J170" s="5">
        <f ca="1">IFERROR(__xludf.DUMMYFUNCTION("""COMPUTED_VALUE"""),330000)</f>
        <v>330000</v>
      </c>
      <c r="K170" s="3"/>
      <c r="L170" s="3" t="str">
        <f ca="1">IFERROR(__xludf.DUMMYFUNCTION("""COMPUTED_VALUE"""),"Cost per instance")</f>
        <v>Cost per instance</v>
      </c>
      <c r="M170" s="3"/>
      <c r="N170" s="3"/>
      <c r="O170" s="3"/>
      <c r="P170" s="3"/>
      <c r="Q170" s="3"/>
      <c r="R170" s="3"/>
      <c r="S170" s="3" t="str">
        <f ca="1">IFERROR(__xludf.DUMMYFUNCTION("""COMPUTED_VALUE"""),"100")</f>
        <v>100</v>
      </c>
      <c r="T170" s="3"/>
      <c r="U170" s="3" t="str">
        <f ca="1">IFERROR(__xludf.DUMMYFUNCTION("""COMPUTED_VALUE"""),"microsite")</f>
        <v>microsite</v>
      </c>
      <c r="V170" s="3"/>
      <c r="W170" s="3"/>
      <c r="X170" s="3"/>
      <c r="Y170" s="3"/>
      <c r="Z170" s="3" t="str">
        <f ca="1">IFERROR(__xludf.DUMMYFUNCTION("""COMPUTED_VALUE"""),"podklady@cncenter.cz")</f>
        <v>podklady@cncenter.cz</v>
      </c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 t="str">
        <f ca="1">IFERROR(__xludf.DUMMYFUNCTION("""COMPUTED_VALUE"""),"cross-device")</f>
        <v>cross-device</v>
      </c>
      <c r="AO170" s="3"/>
      <c r="AP170" s="3"/>
      <c r="AQ170" s="3"/>
      <c r="AR170" s="3"/>
      <c r="AS170" s="3"/>
      <c r="AT170" s="3"/>
      <c r="AU170" s="3" t="str">
        <f ca="1">IFERROR(__xludf.DUMMYFUNCTION("""COMPUTED_VALUE"""),"Native Standard")</f>
        <v>Native Standard</v>
      </c>
    </row>
    <row r="171" spans="1:47" x14ac:dyDescent="0.3">
      <c r="A171" s="3">
        <f ca="1"/>
        <v>2346826</v>
      </c>
      <c r="B171" s="3" t="str">
        <f ca="1"/>
        <v>CZECH NEWS CENTER a. s.</v>
      </c>
      <c r="C171" s="3" t="str">
        <f ca="1">IFERROR(__xludf.DUMMYFUNCTION("""COMPUTED_VALUE"""),"Avmania")</f>
        <v>Avmania</v>
      </c>
      <c r="D171" s="4" t="str">
        <f ca="1">IFERROR(__xludf.DUMMYFUNCTION("""COMPUTED_VALUE"""),"https://avmania.zive.cz")</f>
        <v>https://avmania.zive.cz</v>
      </c>
      <c r="E171" s="3" t="str">
        <f ca="1">IFERROR(__xludf.DUMMYFUNCTION("""COMPUTED_VALUE"""),"celý web")</f>
        <v>celý web</v>
      </c>
      <c r="F171" s="4" t="str">
        <f ca="1">IFERROR(__xludf.DUMMYFUNCTION("""COMPUTED_VALUE"""),"https://avmania.zive.cz")</f>
        <v>https://avmania.zive.cz</v>
      </c>
      <c r="G171" s="3" t="str">
        <f ca="1">IFERROR(__xludf.DUMMYFUNCTION("""COMPUTED_VALUE"""),"nativní rectangle cross-device high season")</f>
        <v>nativní rectangle cross-device high season</v>
      </c>
      <c r="H171" s="3">
        <f ca="1">IFERROR(__xludf.DUMMYFUNCTION("""COMPUTED_VALUE"""),7)</f>
        <v>7</v>
      </c>
      <c r="I171" s="5">
        <f ca="1">IFERROR(__xludf.DUMMYFUNCTION("""COMPUTED_VALUE"""),1000)</f>
        <v>1000</v>
      </c>
      <c r="J171" s="5">
        <f ca="1">IFERROR(__xludf.DUMMYFUNCTION("""COMPUTED_VALUE"""),360)</f>
        <v>360</v>
      </c>
      <c r="K171" s="3"/>
      <c r="L171" s="3" t="str">
        <f ca="1">IFERROR(__xludf.DUMMYFUNCTION("""COMPUTED_VALUE"""),"Cost per period")</f>
        <v>Cost per period</v>
      </c>
      <c r="M171" s="3"/>
      <c r="N171" s="3"/>
      <c r="O171" s="3" t="str">
        <f ca="1">IFERROR(__xludf.DUMMYFUNCTION("""COMPUTED_VALUE"""),"640")</f>
        <v>640</v>
      </c>
      <c r="P171" s="3" t="str">
        <f ca="1">IFERROR(__xludf.DUMMYFUNCTION("""COMPUTED_VALUE"""),"335, 640")</f>
        <v>335, 640</v>
      </c>
      <c r="Q171" s="3" t="str">
        <f ca="1">IFERROR(__xludf.DUMMYFUNCTION("""COMPUTED_VALUE"""),"640x640 a 640x335 + text + logo")</f>
        <v>640x640 a 640x335 + text + logo</v>
      </c>
      <c r="R171" s="3"/>
      <c r="S171" s="3" t="str">
        <f ca="1">IFERROR(__xludf.DUMMYFUNCTION("""COMPUTED_VALUE"""),"45")</f>
        <v>45</v>
      </c>
      <c r="T171" s="3"/>
      <c r="U171" s="3" t="str">
        <f ca="1">IFERROR(__xludf.DUMMYFUNCTION("""COMPUTED_VALUE"""),"nativní reklama")</f>
        <v>nativní reklama</v>
      </c>
      <c r="V171" s="3"/>
      <c r="W171" s="4" t="str">
        <f ca="1">IFERROR(__xludf.DUMMYFUNCTION("""COMPUTED_VALUE"""),"https://reklama.cncenter.cz/Online/nativni-rectangle-cross-device")</f>
        <v>https://reklama.cncenter.cz/Online/nativni-rectangle-cross-device</v>
      </c>
      <c r="X171" s="3"/>
      <c r="Y171" s="3"/>
      <c r="Z171" s="3" t="str">
        <f ca="1">IFERROR(__xludf.DUMMYFUNCTION("""COMPUTED_VALUE"""),"podklady@cncenter.cz")</f>
        <v>podklady@cncenter.cz</v>
      </c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 t="str">
        <f ca="1">IFERROR(__xludf.DUMMYFUNCTION("""COMPUTED_VALUE"""),"cross-device")</f>
        <v>cross-device</v>
      </c>
      <c r="AO171" s="3"/>
      <c r="AP171" s="3"/>
      <c r="AQ171" s="3"/>
      <c r="AR171" s="3"/>
      <c r="AS171" s="3"/>
      <c r="AT171" s="3"/>
      <c r="AU171" s="3" t="str">
        <f ca="1">IFERROR(__xludf.DUMMYFUNCTION("""COMPUTED_VALUE"""),"nativní rectangle cross-device")</f>
        <v>nativní rectangle cross-device</v>
      </c>
    </row>
    <row r="172" spans="1:47" x14ac:dyDescent="0.3">
      <c r="A172" s="3">
        <f ca="1"/>
        <v>2346826</v>
      </c>
      <c r="B172" s="3" t="str">
        <f ca="1"/>
        <v>CZECH NEWS CENTER a. s.</v>
      </c>
      <c r="C172" s="3" t="str">
        <f ca="1">IFERROR(__xludf.DUMMYFUNCTION("""COMPUTED_VALUE"""),"Avmania")</f>
        <v>Avmania</v>
      </c>
      <c r="D172" s="4" t="str">
        <f ca="1">IFERROR(__xludf.DUMMYFUNCTION("""COMPUTED_VALUE"""),"https://avmania.zive.cz")</f>
        <v>https://avmania.zive.cz</v>
      </c>
      <c r="E172" s="3" t="str">
        <f ca="1">IFERROR(__xludf.DUMMYFUNCTION("""COMPUTED_VALUE"""),"celý web")</f>
        <v>celý web</v>
      </c>
      <c r="F172" s="4" t="str">
        <f ca="1">IFERROR(__xludf.DUMMYFUNCTION("""COMPUTED_VALUE"""),"https://avmania.zive.cz")</f>
        <v>https://avmania.zive.cz</v>
      </c>
      <c r="G172" s="3" t="str">
        <f ca="1">IFERROR(__xludf.DUMMYFUNCTION("""COMPUTED_VALUE"""),"outstream high season")</f>
        <v>outstream high season</v>
      </c>
      <c r="H172" s="3">
        <f ca="1">IFERROR(__xludf.DUMMYFUNCTION("""COMPUTED_VALUE"""),7)</f>
        <v>7</v>
      </c>
      <c r="I172" s="5">
        <f ca="1">IFERROR(__xludf.DUMMYFUNCTION("""COMPUTED_VALUE"""),1000)</f>
        <v>1000</v>
      </c>
      <c r="J172" s="5">
        <f ca="1">IFERROR(__xludf.DUMMYFUNCTION("""COMPUTED_VALUE"""),450)</f>
        <v>450</v>
      </c>
      <c r="K172" s="3"/>
      <c r="L172" s="3" t="str">
        <f ca="1">IFERROR(__xludf.DUMMYFUNCTION("""COMPUTED_VALUE"""),"Cost per period")</f>
        <v>Cost per period</v>
      </c>
      <c r="M172" s="3"/>
      <c r="N172" s="3"/>
      <c r="O172" s="3" t="str">
        <f ca="1">IFERROR(__xludf.DUMMYFUNCTION("""COMPUTED_VALUE"""),"1280")</f>
        <v>1280</v>
      </c>
      <c r="P172" s="3" t="str">
        <f ca="1">IFERROR(__xludf.DUMMYFUNCTION("""COMPUTED_VALUE"""),"720")</f>
        <v>720</v>
      </c>
      <c r="Q172" s="3" t="str">
        <f ca="1">IFERROR(__xludf.DUMMYFUNCTION("""COMPUTED_VALUE"""),"16:9")</f>
        <v>16:9</v>
      </c>
      <c r="R172" s="3"/>
      <c r="S172" s="3" t="str">
        <f ca="1">IFERROR(__xludf.DUMMYFUNCTION("""COMPUTED_VALUE"""),"100")</f>
        <v>100</v>
      </c>
      <c r="T172" s="3"/>
      <c r="U172" s="3" t="str">
        <f ca="1">IFERROR(__xludf.DUMMYFUNCTION("""COMPUTED_VALUE"""),"videospot")</f>
        <v>videospot</v>
      </c>
      <c r="V172" s="3"/>
      <c r="W172" s="4" t="str">
        <f ca="1">IFERROR(__xludf.DUMMYFUNCTION("""COMPUTED_VALUE"""),"https://reklama.cncenter.cz/Online/Outstream")</f>
        <v>https://reklama.cncenter.cz/Online/Outstream</v>
      </c>
      <c r="X172" s="3"/>
      <c r="Y172" s="3"/>
      <c r="Z172" s="3" t="str">
        <f ca="1">IFERROR(__xludf.DUMMYFUNCTION("""COMPUTED_VALUE"""),"podklady@cncenter.cz")</f>
        <v>podklady@cncenter.cz</v>
      </c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 t="str">
        <f ca="1">IFERROR(__xludf.DUMMYFUNCTION("""COMPUTED_VALUE"""),"cross-device")</f>
        <v>cross-device</v>
      </c>
      <c r="AO172" s="3"/>
      <c r="AP172" s="3"/>
      <c r="AQ172" s="3"/>
      <c r="AR172" s="3"/>
      <c r="AS172" s="3"/>
      <c r="AT172" s="3"/>
      <c r="AU172" s="3" t="str">
        <f ca="1">IFERROR(__xludf.DUMMYFUNCTION("""COMPUTED_VALUE"""),"outstream")</f>
        <v>outstream</v>
      </c>
    </row>
    <row r="173" spans="1:47" x14ac:dyDescent="0.3">
      <c r="A173" s="3">
        <f ca="1"/>
        <v>2346826</v>
      </c>
      <c r="B173" s="3" t="str">
        <f ca="1"/>
        <v>CZECH NEWS CENTER a. s.</v>
      </c>
      <c r="C173" s="3" t="str">
        <f ca="1">IFERROR(__xludf.DUMMYFUNCTION("""COMPUTED_VALUE"""),"Avmania")</f>
        <v>Avmania</v>
      </c>
      <c r="D173" s="4" t="str">
        <f ca="1">IFERROR(__xludf.DUMMYFUNCTION("""COMPUTED_VALUE"""),"https://avmania.zive.cz")</f>
        <v>https://avmania.zive.cz</v>
      </c>
      <c r="E173" s="3" t="str">
        <f ca="1">IFERROR(__xludf.DUMMYFUNCTION("""COMPUTED_VALUE"""),"celý web")</f>
        <v>celý web</v>
      </c>
      <c r="F173" s="4" t="str">
        <f ca="1">IFERROR(__xludf.DUMMYFUNCTION("""COMPUTED_VALUE"""),"https://avmania.zive.cz")</f>
        <v>https://avmania.zive.cz</v>
      </c>
      <c r="G173" s="3" t="str">
        <f ca="1">IFERROR(__xludf.DUMMYFUNCTION("""COMPUTED_VALUE"""),"PR článek high season")</f>
        <v>PR článek high season</v>
      </c>
      <c r="H173" s="3">
        <f ca="1">IFERROR(__xludf.DUMMYFUNCTION("""COMPUTED_VALUE"""),1)</f>
        <v>1</v>
      </c>
      <c r="I173" s="5">
        <f ca="1">IFERROR(__xludf.DUMMYFUNCTION("""COMPUTED_VALUE"""),1)</f>
        <v>1</v>
      </c>
      <c r="J173" s="5">
        <f ca="1">IFERROR(__xludf.DUMMYFUNCTION("""COMPUTED_VALUE"""),30000)</f>
        <v>30000</v>
      </c>
      <c r="K173" s="3"/>
      <c r="L173" s="3" t="str">
        <f ca="1">IFERROR(__xludf.DUMMYFUNCTION("""COMPUTED_VALUE"""),"Cost per instance")</f>
        <v>Cost per instance</v>
      </c>
      <c r="M173" s="3"/>
      <c r="N173" s="3"/>
      <c r="O173" s="3"/>
      <c r="P173" s="3"/>
      <c r="Q173" s="3"/>
      <c r="R173" s="3"/>
      <c r="S173" s="3" t="str">
        <f ca="1">IFERROR(__xludf.DUMMYFUNCTION("""COMPUTED_VALUE"""),"100")</f>
        <v>100</v>
      </c>
      <c r="T173" s="3"/>
      <c r="U173" s="3" t="str">
        <f ca="1">IFERROR(__xludf.DUMMYFUNCTION("""COMPUTED_VALUE"""),"pr článek")</f>
        <v>pr článek</v>
      </c>
      <c r="V173" s="3"/>
      <c r="W173" s="4" t="str">
        <f ca="1">IFERROR(__xludf.DUMMYFUNCTION("""COMPUTED_VALUE"""),"https://reklama.cncenter.cz/?ads=PR%2520%25C4%258Dl%25C3%25A1nky")</f>
        <v>https://reklama.cncenter.cz/?ads=PR%2520%25C4%258Dl%25C3%25A1nky</v>
      </c>
      <c r="X173" s="3"/>
      <c r="Y173" s="3"/>
      <c r="Z173" s="3" t="str">
        <f ca="1">IFERROR(__xludf.DUMMYFUNCTION("""COMPUTED_VALUE"""),"podklady@cncenter.cz")</f>
        <v>podklady@cncenter.cz</v>
      </c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 t="str">
        <f ca="1">IFERROR(__xludf.DUMMYFUNCTION("""COMPUTED_VALUE"""),"cross-device")</f>
        <v>cross-device</v>
      </c>
      <c r="AO173" s="3"/>
      <c r="AP173" s="3"/>
      <c r="AQ173" s="3"/>
      <c r="AR173" s="3"/>
      <c r="AS173" s="3"/>
      <c r="AT173" s="3"/>
      <c r="AU173" s="3" t="str">
        <f ca="1">IFERROR(__xludf.DUMMYFUNCTION("""COMPUTED_VALUE"""),"PR článek")</f>
        <v>PR článek</v>
      </c>
    </row>
    <row r="174" spans="1:47" x14ac:dyDescent="0.3">
      <c r="A174" s="3">
        <f ca="1"/>
        <v>2346826</v>
      </c>
      <c r="B174" s="3" t="str">
        <f ca="1"/>
        <v>CZECH NEWS CENTER a. s.</v>
      </c>
      <c r="C174" s="3" t="str">
        <f ca="1">IFERROR(__xludf.DUMMYFUNCTION("""COMPUTED_VALUE"""),"Avmania")</f>
        <v>Avmania</v>
      </c>
      <c r="D174" s="4" t="str">
        <f ca="1">IFERROR(__xludf.DUMMYFUNCTION("""COMPUTED_VALUE"""),"https://avmania.zive.cz")</f>
        <v>https://avmania.zive.cz</v>
      </c>
      <c r="E174" s="3" t="str">
        <f ca="1">IFERROR(__xludf.DUMMYFUNCTION("""COMPUTED_VALUE"""),"celý web")</f>
        <v>celý web</v>
      </c>
      <c r="F174" s="4" t="str">
        <f ca="1">IFERROR(__xludf.DUMMYFUNCTION("""COMPUTED_VALUE"""),"https://avmania.zive.cz")</f>
        <v>https://avmania.zive.cz</v>
      </c>
      <c r="G174" s="3" t="str">
        <f ca="1">IFERROR(__xludf.DUMMYFUNCTION("""COMPUTED_VALUE"""),"Prodloužení existující microsite, bez úprav high season")</f>
        <v>Prodloužení existující microsite, bez úprav high season</v>
      </c>
      <c r="H174" s="3">
        <f ca="1">IFERROR(__xludf.DUMMYFUNCTION("""COMPUTED_VALUE"""),1)</f>
        <v>1</v>
      </c>
      <c r="I174" s="5">
        <f ca="1">IFERROR(__xludf.DUMMYFUNCTION("""COMPUTED_VALUE"""),1)</f>
        <v>1</v>
      </c>
      <c r="J174" s="5">
        <f ca="1">IFERROR(__xludf.DUMMYFUNCTION("""COMPUTED_VALUE"""),15000)</f>
        <v>15000</v>
      </c>
      <c r="K174" s="3"/>
      <c r="L174" s="3" t="str">
        <f ca="1">IFERROR(__xludf.DUMMYFUNCTION("""COMPUTED_VALUE"""),"Cost per instance")</f>
        <v>Cost per instance</v>
      </c>
      <c r="M174" s="3"/>
      <c r="N174" s="3"/>
      <c r="O174" s="3"/>
      <c r="P174" s="3"/>
      <c r="Q174" s="3"/>
      <c r="R174" s="3"/>
      <c r="S174" s="3" t="str">
        <f ca="1">IFERROR(__xludf.DUMMYFUNCTION("""COMPUTED_VALUE"""),"100")</f>
        <v>100</v>
      </c>
      <c r="T174" s="3"/>
      <c r="U174" s="3" t="str">
        <f ca="1">IFERROR(__xludf.DUMMYFUNCTION("""COMPUTED_VALUE"""),"microsite")</f>
        <v>microsite</v>
      </c>
      <c r="V174" s="3"/>
      <c r="W174" s="3"/>
      <c r="X174" s="3"/>
      <c r="Y174" s="3"/>
      <c r="Z174" s="3" t="str">
        <f ca="1">IFERROR(__xludf.DUMMYFUNCTION("""COMPUTED_VALUE"""),"podklady@cncenter.cz")</f>
        <v>podklady@cncenter.cz</v>
      </c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 t="str">
        <f ca="1">IFERROR(__xludf.DUMMYFUNCTION("""COMPUTED_VALUE"""),"cross-device")</f>
        <v>cross-device</v>
      </c>
      <c r="AO174" s="3"/>
      <c r="AP174" s="3"/>
      <c r="AQ174" s="3"/>
      <c r="AR174" s="3"/>
      <c r="AS174" s="3"/>
      <c r="AT174" s="3"/>
      <c r="AU174" s="3" t="str">
        <f ca="1">IFERROR(__xludf.DUMMYFUNCTION("""COMPUTED_VALUE"""),"Prodloužení existující microsite, bez úprav")</f>
        <v>Prodloužení existující microsite, bez úprav</v>
      </c>
    </row>
    <row r="175" spans="1:47" x14ac:dyDescent="0.3">
      <c r="A175" s="3">
        <f ca="1"/>
        <v>2346826</v>
      </c>
      <c r="B175" s="3" t="str">
        <f ca="1"/>
        <v>CZECH NEWS CENTER a. s.</v>
      </c>
      <c r="C175" s="3" t="str">
        <f ca="1">IFERROR(__xludf.DUMMYFUNCTION("""COMPUTED_VALUE"""),"Avmania")</f>
        <v>Avmania</v>
      </c>
      <c r="D175" s="4" t="str">
        <f ca="1">IFERROR(__xludf.DUMMYFUNCTION("""COMPUTED_VALUE"""),"https://avmania.zive.cz")</f>
        <v>https://avmania.zive.cz</v>
      </c>
      <c r="E175" s="3" t="str">
        <f ca="1">IFERROR(__xludf.DUMMYFUNCTION("""COMPUTED_VALUE"""),"celý web")</f>
        <v>celý web</v>
      </c>
      <c r="F175" s="4" t="str">
        <f ca="1">IFERROR(__xludf.DUMMYFUNCTION("""COMPUTED_VALUE"""),"https://avmania.zive.cz")</f>
        <v>https://avmania.zive.cz</v>
      </c>
      <c r="G175" s="3" t="str">
        <f ca="1">IFERROR(__xludf.DUMMYFUNCTION("""COMPUTED_VALUE"""),"Prodloužení existující microsite, bez úprav high season")</f>
        <v>Prodloužení existující microsite, bez úprav high season</v>
      </c>
      <c r="H175" s="3">
        <f ca="1">IFERROR(__xludf.DUMMYFUNCTION("""COMPUTED_VALUE"""),1)</f>
        <v>1</v>
      </c>
      <c r="I175" s="5">
        <f ca="1">IFERROR(__xludf.DUMMYFUNCTION("""COMPUTED_VALUE"""),1)</f>
        <v>1</v>
      </c>
      <c r="J175" s="5">
        <f ca="1">IFERROR(__xludf.DUMMYFUNCTION("""COMPUTED_VALUE"""),15000)</f>
        <v>15000</v>
      </c>
      <c r="K175" s="3"/>
      <c r="L175" s="3" t="str">
        <f ca="1">IFERROR(__xludf.DUMMYFUNCTION("""COMPUTED_VALUE"""),"Cost per instance")</f>
        <v>Cost per instance</v>
      </c>
      <c r="M175" s="3"/>
      <c r="N175" s="3"/>
      <c r="O175" s="3"/>
      <c r="P175" s="3"/>
      <c r="Q175" s="3"/>
      <c r="R175" s="3"/>
      <c r="S175" s="3" t="str">
        <f ca="1">IFERROR(__xludf.DUMMYFUNCTION("""COMPUTED_VALUE"""),"100")</f>
        <v>100</v>
      </c>
      <c r="T175" s="3"/>
      <c r="U175" s="3" t="str">
        <f ca="1">IFERROR(__xludf.DUMMYFUNCTION("""COMPUTED_VALUE"""),"microsite")</f>
        <v>microsite</v>
      </c>
      <c r="V175" s="3"/>
      <c r="W175" s="3"/>
      <c r="X175" s="3"/>
      <c r="Y175" s="3"/>
      <c r="Z175" s="3" t="str">
        <f ca="1">IFERROR(__xludf.DUMMYFUNCTION("""COMPUTED_VALUE"""),"podklady@cncenter.cz")</f>
        <v>podklady@cncenter.cz</v>
      </c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 t="str">
        <f ca="1">IFERROR(__xludf.DUMMYFUNCTION("""COMPUTED_VALUE"""),"cross-device")</f>
        <v>cross-device</v>
      </c>
      <c r="AO175" s="3"/>
      <c r="AP175" s="3"/>
      <c r="AQ175" s="3"/>
      <c r="AR175" s="3"/>
      <c r="AS175" s="3"/>
      <c r="AT175" s="3"/>
      <c r="AU175" s="3" t="str">
        <f ca="1">IFERROR(__xludf.DUMMYFUNCTION("""COMPUTED_VALUE"""),"Prodloužení existující microsite, bez úprav")</f>
        <v>Prodloužení existující microsite, bez úprav</v>
      </c>
    </row>
    <row r="176" spans="1:47" x14ac:dyDescent="0.3">
      <c r="A176" s="3">
        <f ca="1"/>
        <v>2346826</v>
      </c>
      <c r="B176" s="3" t="str">
        <f ca="1"/>
        <v>CZECH NEWS CENTER a. s.</v>
      </c>
      <c r="C176" s="3" t="str">
        <f ca="1">IFERROR(__xludf.DUMMYFUNCTION("""COMPUTED_VALUE"""),"Avmania")</f>
        <v>Avmania</v>
      </c>
      <c r="D176" s="4" t="str">
        <f ca="1">IFERROR(__xludf.DUMMYFUNCTION("""COMPUTED_VALUE"""),"https://avmania.zive.cz")</f>
        <v>https://avmania.zive.cz</v>
      </c>
      <c r="E176" s="3" t="str">
        <f ca="1">IFERROR(__xludf.DUMMYFUNCTION("""COMPUTED_VALUE"""),"celý web")</f>
        <v>celý web</v>
      </c>
      <c r="F176" s="4" t="str">
        <f ca="1">IFERROR(__xludf.DUMMYFUNCTION("""COMPUTED_VALUE"""),"https://avmania.zive.cz")</f>
        <v>https://avmania.zive.cz</v>
      </c>
      <c r="G176" s="3" t="str">
        <f ca="1">IFERROR(__xludf.DUMMYFUNCTION("""COMPUTED_VALUE"""),"Prodloužení existující microsite, bez úprav high season")</f>
        <v>Prodloužení existující microsite, bez úprav high season</v>
      </c>
      <c r="H176" s="3">
        <f ca="1">IFERROR(__xludf.DUMMYFUNCTION("""COMPUTED_VALUE"""),1)</f>
        <v>1</v>
      </c>
      <c r="I176" s="5">
        <f ca="1">IFERROR(__xludf.DUMMYFUNCTION("""COMPUTED_VALUE"""),1)</f>
        <v>1</v>
      </c>
      <c r="J176" s="5">
        <f ca="1">IFERROR(__xludf.DUMMYFUNCTION("""COMPUTED_VALUE"""),15000)</f>
        <v>15000</v>
      </c>
      <c r="K176" s="3"/>
      <c r="L176" s="3" t="str">
        <f ca="1">IFERROR(__xludf.DUMMYFUNCTION("""COMPUTED_VALUE"""),"Cost per instance")</f>
        <v>Cost per instance</v>
      </c>
      <c r="M176" s="3"/>
      <c r="N176" s="3"/>
      <c r="O176" s="3"/>
      <c r="P176" s="3"/>
      <c r="Q176" s="3"/>
      <c r="R176" s="3"/>
      <c r="S176" s="3" t="str">
        <f ca="1">IFERROR(__xludf.DUMMYFUNCTION("""COMPUTED_VALUE"""),"100")</f>
        <v>100</v>
      </c>
      <c r="T176" s="3"/>
      <c r="U176" s="3" t="str">
        <f ca="1">IFERROR(__xludf.DUMMYFUNCTION("""COMPUTED_VALUE"""),"microsite")</f>
        <v>microsite</v>
      </c>
      <c r="V176" s="3"/>
      <c r="W176" s="3"/>
      <c r="X176" s="3"/>
      <c r="Y176" s="3"/>
      <c r="Z176" s="3" t="str">
        <f ca="1">IFERROR(__xludf.DUMMYFUNCTION("""COMPUTED_VALUE"""),"podklady@cncenter.cz")</f>
        <v>podklady@cncenter.cz</v>
      </c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 t="str">
        <f ca="1">IFERROR(__xludf.DUMMYFUNCTION("""COMPUTED_VALUE"""),"cross-device")</f>
        <v>cross-device</v>
      </c>
      <c r="AO176" s="3"/>
      <c r="AP176" s="3"/>
      <c r="AQ176" s="3"/>
      <c r="AR176" s="3"/>
      <c r="AS176" s="3"/>
      <c r="AT176" s="3"/>
      <c r="AU176" s="3" t="str">
        <f ca="1">IFERROR(__xludf.DUMMYFUNCTION("""COMPUTED_VALUE"""),"Prodloužení existující microsite, bez úprav")</f>
        <v>Prodloužení existující microsite, bez úprav</v>
      </c>
    </row>
    <row r="177" spans="1:47" x14ac:dyDescent="0.3">
      <c r="A177" s="3">
        <f ca="1"/>
        <v>2346826</v>
      </c>
      <c r="B177" s="3" t="str">
        <f ca="1"/>
        <v>CZECH NEWS CENTER a. s.</v>
      </c>
      <c r="C177" s="3" t="str">
        <f ca="1">IFERROR(__xludf.DUMMYFUNCTION("""COMPUTED_VALUE"""),"Blesk")</f>
        <v>Blesk</v>
      </c>
      <c r="D177" s="4" t="str">
        <f ca="1">IFERROR(__xludf.DUMMYFUNCTION("""COMPUTED_VALUE"""),"https://blesk.cz")</f>
        <v>https://blesk.cz</v>
      </c>
      <c r="E177" s="3" t="str">
        <f ca="1">IFERROR(__xludf.DUMMYFUNCTION("""COMPUTED_VALUE"""),"celý web")</f>
        <v>celý web</v>
      </c>
      <c r="F177" s="4" t="str">
        <f ca="1">IFERROR(__xludf.DUMMYFUNCTION("""COMPUTED_VALUE"""),"https://blesk.cz")</f>
        <v>https://blesk.cz</v>
      </c>
      <c r="G177" s="3" t="str">
        <f ca="1">IFERROR(__xludf.DUMMYFUNCTION("""COMPUTED_VALUE"""),"Advertorial high season")</f>
        <v>Advertorial high season</v>
      </c>
      <c r="H177" s="3">
        <f ca="1">IFERROR(__xludf.DUMMYFUNCTION("""COMPUTED_VALUE"""),1)</f>
        <v>1</v>
      </c>
      <c r="I177" s="5">
        <f ca="1">IFERROR(__xludf.DUMMYFUNCTION("""COMPUTED_VALUE"""),1)</f>
        <v>1</v>
      </c>
      <c r="J177" s="5">
        <f ca="1">IFERROR(__xludf.DUMMYFUNCTION("""COMPUTED_VALUE"""),90000)</f>
        <v>90000</v>
      </c>
      <c r="K177" s="3"/>
      <c r="L177" s="3" t="str">
        <f ca="1">IFERROR(__xludf.DUMMYFUNCTION("""COMPUTED_VALUE"""),"Cost per instance")</f>
        <v>Cost per instance</v>
      </c>
      <c r="M177" s="3"/>
      <c r="N177" s="3"/>
      <c r="O177" s="3"/>
      <c r="P177" s="3"/>
      <c r="Q177" s="3"/>
      <c r="R177" s="3"/>
      <c r="S177" s="3" t="str">
        <f ca="1">IFERROR(__xludf.DUMMYFUNCTION("""COMPUTED_VALUE"""),"100")</f>
        <v>100</v>
      </c>
      <c r="T177" s="3"/>
      <c r="U177" s="3" t="str">
        <f ca="1">IFERROR(__xludf.DUMMYFUNCTION("""COMPUTED_VALUE"""),"pr článek")</f>
        <v>pr článek</v>
      </c>
      <c r="V177" s="3"/>
      <c r="W177" s="3"/>
      <c r="X177" s="3"/>
      <c r="Y177" s="3"/>
      <c r="Z177" s="3" t="str">
        <f ca="1">IFERROR(__xludf.DUMMYFUNCTION("""COMPUTED_VALUE"""),"podklady@cncenter.cz")</f>
        <v>podklady@cncenter.cz</v>
      </c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 t="str">
        <f ca="1">IFERROR(__xludf.DUMMYFUNCTION("""COMPUTED_VALUE"""),"cross-device")</f>
        <v>cross-device</v>
      </c>
      <c r="AO177" s="3"/>
      <c r="AP177" s="3"/>
      <c r="AQ177" s="3"/>
      <c r="AR177" s="3"/>
      <c r="AS177" s="3"/>
      <c r="AT177" s="3"/>
      <c r="AU177" s="3" t="str">
        <f ca="1">IFERROR(__xludf.DUMMYFUNCTION("""COMPUTED_VALUE"""),"Advertorial")</f>
        <v>Advertorial</v>
      </c>
    </row>
    <row r="178" spans="1:47" x14ac:dyDescent="0.3">
      <c r="A178" s="3">
        <f ca="1"/>
        <v>2346826</v>
      </c>
      <c r="B178" s="3" t="str">
        <f ca="1"/>
        <v>CZECH NEWS CENTER a. s.</v>
      </c>
      <c r="C178" s="3" t="str">
        <f ca="1">IFERROR(__xludf.DUMMYFUNCTION("""COMPUTED_VALUE"""),"Blesk")</f>
        <v>Blesk</v>
      </c>
      <c r="D178" s="4" t="str">
        <f ca="1">IFERROR(__xludf.DUMMYFUNCTION("""COMPUTED_VALUE"""),"https://blesk.cz")</f>
        <v>https://blesk.cz</v>
      </c>
      <c r="E178" s="3" t="str">
        <f ca="1">IFERROR(__xludf.DUMMYFUNCTION("""COMPUTED_VALUE"""),"celý web")</f>
        <v>celý web</v>
      </c>
      <c r="F178" s="4" t="str">
        <f ca="1">IFERROR(__xludf.DUMMYFUNCTION("""COMPUTED_VALUE"""),"https://blesk.cz")</f>
        <v>https://blesk.cz</v>
      </c>
      <c r="G178" s="3" t="str">
        <f ca="1">IFERROR(__xludf.DUMMYFUNCTION("""COMPUTED_VALUE"""),"cílený nativní rectangle cross-device high season")</f>
        <v>cílený nativní rectangle cross-device high season</v>
      </c>
      <c r="H178" s="3">
        <f ca="1">IFERROR(__xludf.DUMMYFUNCTION("""COMPUTED_VALUE"""),7)</f>
        <v>7</v>
      </c>
      <c r="I178" s="5">
        <f ca="1">IFERROR(__xludf.DUMMYFUNCTION("""COMPUTED_VALUE"""),1000)</f>
        <v>1000</v>
      </c>
      <c r="J178" s="5">
        <f ca="1">IFERROR(__xludf.DUMMYFUNCTION("""COMPUTED_VALUE"""),432)</f>
        <v>432</v>
      </c>
      <c r="K178" s="3"/>
      <c r="L178" s="3" t="str">
        <f ca="1">IFERROR(__xludf.DUMMYFUNCTION("""COMPUTED_VALUE"""),"Cost per period")</f>
        <v>Cost per period</v>
      </c>
      <c r="M178" s="3"/>
      <c r="N178" s="3"/>
      <c r="O178" s="3" t="str">
        <f ca="1">IFERROR(__xludf.DUMMYFUNCTION("""COMPUTED_VALUE"""),"640")</f>
        <v>640</v>
      </c>
      <c r="P178" s="3" t="str">
        <f ca="1">IFERROR(__xludf.DUMMYFUNCTION("""COMPUTED_VALUE"""),"335, 640")</f>
        <v>335, 640</v>
      </c>
      <c r="Q178" s="3" t="str">
        <f ca="1">IFERROR(__xludf.DUMMYFUNCTION("""COMPUTED_VALUE"""),"640x640 a 640x335 + text + logo")</f>
        <v>640x640 a 640x335 + text + logo</v>
      </c>
      <c r="R178" s="3"/>
      <c r="S178" s="3" t="str">
        <f ca="1">IFERROR(__xludf.DUMMYFUNCTION("""COMPUTED_VALUE"""),"45")</f>
        <v>45</v>
      </c>
      <c r="T178" s="3"/>
      <c r="U178" s="3" t="str">
        <f ca="1">IFERROR(__xludf.DUMMYFUNCTION("""COMPUTED_VALUE"""),"nativní reklama")</f>
        <v>nativní reklama</v>
      </c>
      <c r="V178" s="3"/>
      <c r="W178" s="4" t="str">
        <f ca="1">IFERROR(__xludf.DUMMYFUNCTION("""COMPUTED_VALUE"""),"https://reklama.cncenter.cz/Online/nativni-rectangle-cross-device")</f>
        <v>https://reklama.cncenter.cz/Online/nativni-rectangle-cross-device</v>
      </c>
      <c r="X178" s="3"/>
      <c r="Y178" s="3"/>
      <c r="Z178" s="3" t="str">
        <f ca="1">IFERROR(__xludf.DUMMYFUNCTION("""COMPUTED_VALUE"""),"podklady@cncenter.cz")</f>
        <v>podklady@cncenter.cz</v>
      </c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 t="str">
        <f ca="1">IFERROR(__xludf.DUMMYFUNCTION("""COMPUTED_VALUE"""),"cross-device")</f>
        <v>cross-device</v>
      </c>
      <c r="AO178" s="3"/>
      <c r="AP178" s="3"/>
      <c r="AQ178" s="3"/>
      <c r="AR178" s="3"/>
      <c r="AS178" s="3"/>
      <c r="AT178" s="3"/>
      <c r="AU178" s="3" t="str">
        <f ca="1">IFERROR(__xludf.DUMMYFUNCTION("""COMPUTED_VALUE"""),"cílený nativní rectangle cross-device")</f>
        <v>cílený nativní rectangle cross-device</v>
      </c>
    </row>
    <row r="179" spans="1:47" x14ac:dyDescent="0.3">
      <c r="A179" s="3">
        <f ca="1"/>
        <v>2346826</v>
      </c>
      <c r="B179" s="3" t="str">
        <f ca="1"/>
        <v>CZECH NEWS CENTER a. s.</v>
      </c>
      <c r="C179" s="3" t="str">
        <f ca="1">IFERROR(__xludf.DUMMYFUNCTION("""COMPUTED_VALUE"""),"Blesk")</f>
        <v>Blesk</v>
      </c>
      <c r="D179" s="4" t="str">
        <f ca="1">IFERROR(__xludf.DUMMYFUNCTION("""COMPUTED_VALUE"""),"https://blesk.cz")</f>
        <v>https://blesk.cz</v>
      </c>
      <c r="E179" s="3" t="str">
        <f ca="1">IFERROR(__xludf.DUMMYFUNCTION("""COMPUTED_VALUE"""),"celý web")</f>
        <v>celý web</v>
      </c>
      <c r="F179" s="4" t="str">
        <f ca="1">IFERROR(__xludf.DUMMYFUNCTION("""COMPUTED_VALUE"""),"https://blesk.cz")</f>
        <v>https://blesk.cz</v>
      </c>
      <c r="G179" s="3" t="str">
        <f ca="1">IFERROR(__xludf.DUMMYFUNCTION("""COMPUTED_VALUE"""),"dokoupení proma o 2 týdny - 10 000 PV *** high season")</f>
        <v>dokoupení proma o 2 týdny - 10 000 PV *** high season</v>
      </c>
      <c r="H179" s="3">
        <f ca="1">IFERROR(__xludf.DUMMYFUNCTION("""COMPUTED_VALUE"""),1)</f>
        <v>1</v>
      </c>
      <c r="I179" s="5">
        <f ca="1">IFERROR(__xludf.DUMMYFUNCTION("""COMPUTED_VALUE"""),1)</f>
        <v>1</v>
      </c>
      <c r="J179" s="5">
        <f ca="1">IFERROR(__xludf.DUMMYFUNCTION("""COMPUTED_VALUE"""),60000)</f>
        <v>60000</v>
      </c>
      <c r="K179" s="3"/>
      <c r="L179" s="3" t="str">
        <f ca="1">IFERROR(__xludf.DUMMYFUNCTION("""COMPUTED_VALUE"""),"Cost per instance")</f>
        <v>Cost per instance</v>
      </c>
      <c r="M179" s="3"/>
      <c r="N179" s="3"/>
      <c r="O179" s="3"/>
      <c r="P179" s="3"/>
      <c r="Q179" s="3"/>
      <c r="R179" s="3"/>
      <c r="S179" s="3" t="str">
        <f ca="1">IFERROR(__xludf.DUMMYFUNCTION("""COMPUTED_VALUE"""),"100")</f>
        <v>100</v>
      </c>
      <c r="T179" s="3"/>
      <c r="U179" s="3" t="str">
        <f ca="1">IFERROR(__xludf.DUMMYFUNCTION("""COMPUTED_VALUE"""),"microsite")</f>
        <v>microsite</v>
      </c>
      <c r="V179" s="3"/>
      <c r="W179" s="3"/>
      <c r="X179" s="3"/>
      <c r="Y179" s="3"/>
      <c r="Z179" s="3" t="str">
        <f ca="1">IFERROR(__xludf.DUMMYFUNCTION("""COMPUTED_VALUE"""),"podklady@cncenter.cz")</f>
        <v>podklady@cncenter.cz</v>
      </c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 t="str">
        <f ca="1">IFERROR(__xludf.DUMMYFUNCTION("""COMPUTED_VALUE"""),"cross-device")</f>
        <v>cross-device</v>
      </c>
      <c r="AO179" s="3"/>
      <c r="AP179" s="3"/>
      <c r="AQ179" s="3"/>
      <c r="AR179" s="3"/>
      <c r="AS179" s="3"/>
      <c r="AT179" s="3"/>
      <c r="AU179" s="3" t="str">
        <f ca="1">IFERROR(__xludf.DUMMYFUNCTION("""COMPUTED_VALUE"""),"dokoupení proma o 2 týdny - 10 000 PV ***")</f>
        <v>dokoupení proma o 2 týdny - 10 000 PV ***</v>
      </c>
    </row>
    <row r="180" spans="1:47" x14ac:dyDescent="0.3">
      <c r="A180" s="3">
        <f ca="1"/>
        <v>2346826</v>
      </c>
      <c r="B180" s="3" t="str">
        <f ca="1"/>
        <v>CZECH NEWS CENTER a. s.</v>
      </c>
      <c r="C180" s="3" t="str">
        <f ca="1">IFERROR(__xludf.DUMMYFUNCTION("""COMPUTED_VALUE"""),"Blesk")</f>
        <v>Blesk</v>
      </c>
      <c r="D180" s="4" t="str">
        <f ca="1">IFERROR(__xludf.DUMMYFUNCTION("""COMPUTED_VALUE"""),"https://blesk.cz")</f>
        <v>https://blesk.cz</v>
      </c>
      <c r="E180" s="3" t="str">
        <f ca="1">IFERROR(__xludf.DUMMYFUNCTION("""COMPUTED_VALUE"""),"celý web")</f>
        <v>celý web</v>
      </c>
      <c r="F180" s="4" t="str">
        <f ca="1">IFERROR(__xludf.DUMMYFUNCTION("""COMPUTED_VALUE"""),"https://blesk.cz")</f>
        <v>https://blesk.cz</v>
      </c>
      <c r="G180" s="3" t="str">
        <f ca="1">IFERROR(__xludf.DUMMYFUNCTION("""COMPUTED_VALUE"""),"Native Standard high season")</f>
        <v>Native Standard high season</v>
      </c>
      <c r="H180" s="3">
        <f ca="1">IFERROR(__xludf.DUMMYFUNCTION("""COMPUTED_VALUE"""),1)</f>
        <v>1</v>
      </c>
      <c r="I180" s="5">
        <f ca="1">IFERROR(__xludf.DUMMYFUNCTION("""COMPUTED_VALUE"""),1)</f>
        <v>1</v>
      </c>
      <c r="J180" s="5">
        <f ca="1">IFERROR(__xludf.DUMMYFUNCTION("""COMPUTED_VALUE"""),330000)</f>
        <v>330000</v>
      </c>
      <c r="K180" s="3"/>
      <c r="L180" s="3" t="str">
        <f ca="1">IFERROR(__xludf.DUMMYFUNCTION("""COMPUTED_VALUE"""),"Cost per instance")</f>
        <v>Cost per instance</v>
      </c>
      <c r="M180" s="3"/>
      <c r="N180" s="3"/>
      <c r="O180" s="3"/>
      <c r="P180" s="3"/>
      <c r="Q180" s="3"/>
      <c r="R180" s="3"/>
      <c r="S180" s="3" t="str">
        <f ca="1">IFERROR(__xludf.DUMMYFUNCTION("""COMPUTED_VALUE"""),"100")</f>
        <v>100</v>
      </c>
      <c r="T180" s="3"/>
      <c r="U180" s="3" t="str">
        <f ca="1">IFERROR(__xludf.DUMMYFUNCTION("""COMPUTED_VALUE"""),"microsite")</f>
        <v>microsite</v>
      </c>
      <c r="V180" s="3"/>
      <c r="W180" s="3"/>
      <c r="X180" s="3"/>
      <c r="Y180" s="3"/>
      <c r="Z180" s="3" t="str">
        <f ca="1">IFERROR(__xludf.DUMMYFUNCTION("""COMPUTED_VALUE"""),"podklady@cncenter.cz")</f>
        <v>podklady@cncenter.cz</v>
      </c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 t="str">
        <f ca="1">IFERROR(__xludf.DUMMYFUNCTION("""COMPUTED_VALUE"""),"cross-device")</f>
        <v>cross-device</v>
      </c>
      <c r="AO180" s="3"/>
      <c r="AP180" s="3"/>
      <c r="AQ180" s="3"/>
      <c r="AR180" s="3"/>
      <c r="AS180" s="3"/>
      <c r="AT180" s="3"/>
      <c r="AU180" s="3" t="str">
        <f ca="1">IFERROR(__xludf.DUMMYFUNCTION("""COMPUTED_VALUE"""),"Native Standard")</f>
        <v>Native Standard</v>
      </c>
    </row>
    <row r="181" spans="1:47" x14ac:dyDescent="0.3">
      <c r="A181" s="3">
        <f ca="1"/>
        <v>2346826</v>
      </c>
      <c r="B181" s="3" t="str">
        <f ca="1"/>
        <v>CZECH NEWS CENTER a. s.</v>
      </c>
      <c r="C181" s="3" t="str">
        <f ca="1">IFERROR(__xludf.DUMMYFUNCTION("""COMPUTED_VALUE"""),"Blesk")</f>
        <v>Blesk</v>
      </c>
      <c r="D181" s="4" t="str">
        <f ca="1">IFERROR(__xludf.DUMMYFUNCTION("""COMPUTED_VALUE"""),"https://blesk.cz")</f>
        <v>https://blesk.cz</v>
      </c>
      <c r="E181" s="3" t="str">
        <f ca="1">IFERROR(__xludf.DUMMYFUNCTION("""COMPUTED_VALUE"""),"celý web")</f>
        <v>celý web</v>
      </c>
      <c r="F181" s="4" t="str">
        <f ca="1">IFERROR(__xludf.DUMMYFUNCTION("""COMPUTED_VALUE"""),"https://blesk.cz")</f>
        <v>https://blesk.cz</v>
      </c>
      <c r="G181" s="3" t="str">
        <f ca="1">IFERROR(__xludf.DUMMYFUNCTION("""COMPUTED_VALUE"""),"nativní rectangle cross-device high season")</f>
        <v>nativní rectangle cross-device high season</v>
      </c>
      <c r="H181" s="3">
        <f ca="1">IFERROR(__xludf.DUMMYFUNCTION("""COMPUTED_VALUE"""),7)</f>
        <v>7</v>
      </c>
      <c r="I181" s="5">
        <f ca="1">IFERROR(__xludf.DUMMYFUNCTION("""COMPUTED_VALUE"""),1000)</f>
        <v>1000</v>
      </c>
      <c r="J181" s="5">
        <f ca="1">IFERROR(__xludf.DUMMYFUNCTION("""COMPUTED_VALUE"""),360)</f>
        <v>360</v>
      </c>
      <c r="K181" s="3"/>
      <c r="L181" s="3" t="str">
        <f ca="1">IFERROR(__xludf.DUMMYFUNCTION("""COMPUTED_VALUE"""),"Cost per period")</f>
        <v>Cost per period</v>
      </c>
      <c r="M181" s="3"/>
      <c r="N181" s="3"/>
      <c r="O181" s="3" t="str">
        <f ca="1">IFERROR(__xludf.DUMMYFUNCTION("""COMPUTED_VALUE"""),"640")</f>
        <v>640</v>
      </c>
      <c r="P181" s="3" t="str">
        <f ca="1">IFERROR(__xludf.DUMMYFUNCTION("""COMPUTED_VALUE"""),"335, 640")</f>
        <v>335, 640</v>
      </c>
      <c r="Q181" s="3" t="str">
        <f ca="1">IFERROR(__xludf.DUMMYFUNCTION("""COMPUTED_VALUE"""),"640x640 a 640x335 + text + logo")</f>
        <v>640x640 a 640x335 + text + logo</v>
      </c>
      <c r="R181" s="3"/>
      <c r="S181" s="3" t="str">
        <f ca="1">IFERROR(__xludf.DUMMYFUNCTION("""COMPUTED_VALUE"""),"45")</f>
        <v>45</v>
      </c>
      <c r="T181" s="3"/>
      <c r="U181" s="3" t="str">
        <f ca="1">IFERROR(__xludf.DUMMYFUNCTION("""COMPUTED_VALUE"""),"nativní reklama")</f>
        <v>nativní reklama</v>
      </c>
      <c r="V181" s="3"/>
      <c r="W181" s="4" t="str">
        <f ca="1">IFERROR(__xludf.DUMMYFUNCTION("""COMPUTED_VALUE"""),"https://reklama.cncenter.cz/Online/nativni-rectangle-cross-device")</f>
        <v>https://reklama.cncenter.cz/Online/nativni-rectangle-cross-device</v>
      </c>
      <c r="X181" s="3"/>
      <c r="Y181" s="3"/>
      <c r="Z181" s="3" t="str">
        <f ca="1">IFERROR(__xludf.DUMMYFUNCTION("""COMPUTED_VALUE"""),"podklady@cncenter.cz")</f>
        <v>podklady@cncenter.cz</v>
      </c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 t="str">
        <f ca="1">IFERROR(__xludf.DUMMYFUNCTION("""COMPUTED_VALUE"""),"cross-device")</f>
        <v>cross-device</v>
      </c>
      <c r="AO181" s="3"/>
      <c r="AP181" s="3"/>
      <c r="AQ181" s="3"/>
      <c r="AR181" s="3"/>
      <c r="AS181" s="3"/>
      <c r="AT181" s="3"/>
      <c r="AU181" s="3" t="str">
        <f ca="1">IFERROR(__xludf.DUMMYFUNCTION("""COMPUTED_VALUE"""),"nativní rectangle cross-device")</f>
        <v>nativní rectangle cross-device</v>
      </c>
    </row>
    <row r="182" spans="1:47" x14ac:dyDescent="0.3">
      <c r="A182" s="3">
        <f ca="1"/>
        <v>2346826</v>
      </c>
      <c r="B182" s="3" t="str">
        <f ca="1"/>
        <v>CZECH NEWS CENTER a. s.</v>
      </c>
      <c r="C182" s="3" t="str">
        <f ca="1">IFERROR(__xludf.DUMMYFUNCTION("""COMPUTED_VALUE"""),"Blesk")</f>
        <v>Blesk</v>
      </c>
      <c r="D182" s="4" t="str">
        <f ca="1">IFERROR(__xludf.DUMMYFUNCTION("""COMPUTED_VALUE"""),"https://blesk.cz")</f>
        <v>https://blesk.cz</v>
      </c>
      <c r="E182" s="3" t="str">
        <f ca="1">IFERROR(__xludf.DUMMYFUNCTION("""COMPUTED_VALUE"""),"celý web")</f>
        <v>celý web</v>
      </c>
      <c r="F182" s="4" t="str">
        <f ca="1">IFERROR(__xludf.DUMMYFUNCTION("""COMPUTED_VALUE"""),"https://blesk.cz")</f>
        <v>https://blesk.cz</v>
      </c>
      <c r="G182" s="3" t="str">
        <f ca="1">IFERROR(__xludf.DUMMYFUNCTION("""COMPUTED_VALUE"""),"PR článek high season")</f>
        <v>PR článek high season</v>
      </c>
      <c r="H182" s="3">
        <f ca="1">IFERROR(__xludf.DUMMYFUNCTION("""COMPUTED_VALUE"""),1)</f>
        <v>1</v>
      </c>
      <c r="I182" s="5">
        <f ca="1">IFERROR(__xludf.DUMMYFUNCTION("""COMPUTED_VALUE"""),1)</f>
        <v>1</v>
      </c>
      <c r="J182" s="5">
        <f ca="1">IFERROR(__xludf.DUMMYFUNCTION("""COMPUTED_VALUE"""),30000)</f>
        <v>30000</v>
      </c>
      <c r="K182" s="3"/>
      <c r="L182" s="3" t="str">
        <f ca="1">IFERROR(__xludf.DUMMYFUNCTION("""COMPUTED_VALUE"""),"Cost per instance")</f>
        <v>Cost per instance</v>
      </c>
      <c r="M182" s="3"/>
      <c r="N182" s="3"/>
      <c r="O182" s="3"/>
      <c r="P182" s="3"/>
      <c r="Q182" s="3"/>
      <c r="R182" s="3"/>
      <c r="S182" s="3" t="str">
        <f ca="1">IFERROR(__xludf.DUMMYFUNCTION("""COMPUTED_VALUE"""),"100")</f>
        <v>100</v>
      </c>
      <c r="T182" s="3"/>
      <c r="U182" s="3" t="str">
        <f ca="1">IFERROR(__xludf.DUMMYFUNCTION("""COMPUTED_VALUE"""),"pr článek")</f>
        <v>pr článek</v>
      </c>
      <c r="V182" s="3"/>
      <c r="W182" s="4" t="str">
        <f ca="1">IFERROR(__xludf.DUMMYFUNCTION("""COMPUTED_VALUE"""),"https://reklama.cncenter.cz/?ads=PR%2520%25C4%258Dl%25C3%25A1nky")</f>
        <v>https://reklama.cncenter.cz/?ads=PR%2520%25C4%258Dl%25C3%25A1nky</v>
      </c>
      <c r="X182" s="3"/>
      <c r="Y182" s="3"/>
      <c r="Z182" s="3" t="str">
        <f ca="1">IFERROR(__xludf.DUMMYFUNCTION("""COMPUTED_VALUE"""),"podklady@cncenter.cz")</f>
        <v>podklady@cncenter.cz</v>
      </c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 t="str">
        <f ca="1">IFERROR(__xludf.DUMMYFUNCTION("""COMPUTED_VALUE"""),"cross-device")</f>
        <v>cross-device</v>
      </c>
      <c r="AO182" s="3"/>
      <c r="AP182" s="3"/>
      <c r="AQ182" s="3"/>
      <c r="AR182" s="3"/>
      <c r="AS182" s="3"/>
      <c r="AT182" s="3"/>
      <c r="AU182" s="3" t="str">
        <f ca="1">IFERROR(__xludf.DUMMYFUNCTION("""COMPUTED_VALUE"""),"PR článek")</f>
        <v>PR článek</v>
      </c>
    </row>
    <row r="183" spans="1:47" x14ac:dyDescent="0.3">
      <c r="A183" s="3">
        <f ca="1"/>
        <v>2346826</v>
      </c>
      <c r="B183" s="3" t="str">
        <f ca="1"/>
        <v>CZECH NEWS CENTER a. s.</v>
      </c>
      <c r="C183" s="3" t="str">
        <f ca="1">IFERROR(__xludf.DUMMYFUNCTION("""COMPUTED_VALUE"""),"Blesk")</f>
        <v>Blesk</v>
      </c>
      <c r="D183" s="4" t="str">
        <f ca="1">IFERROR(__xludf.DUMMYFUNCTION("""COMPUTED_VALUE"""),"https://blesk.cz")</f>
        <v>https://blesk.cz</v>
      </c>
      <c r="E183" s="3" t="str">
        <f ca="1">IFERROR(__xludf.DUMMYFUNCTION("""COMPUTED_VALUE"""),"celý web")</f>
        <v>celý web</v>
      </c>
      <c r="F183" s="4" t="str">
        <f ca="1">IFERROR(__xludf.DUMMYFUNCTION("""COMPUTED_VALUE"""),"https://blesk.cz")</f>
        <v>https://blesk.cz</v>
      </c>
      <c r="G183" s="3" t="str">
        <f ca="1">IFERROR(__xludf.DUMMYFUNCTION("""COMPUTED_VALUE"""),"Prodloužení existující microsite, bez úprav high season")</f>
        <v>Prodloužení existující microsite, bez úprav high season</v>
      </c>
      <c r="H183" s="3">
        <f ca="1">IFERROR(__xludf.DUMMYFUNCTION("""COMPUTED_VALUE"""),1)</f>
        <v>1</v>
      </c>
      <c r="I183" s="5">
        <f ca="1">IFERROR(__xludf.DUMMYFUNCTION("""COMPUTED_VALUE"""),1)</f>
        <v>1</v>
      </c>
      <c r="J183" s="5">
        <f ca="1">IFERROR(__xludf.DUMMYFUNCTION("""COMPUTED_VALUE"""),15000)</f>
        <v>15000</v>
      </c>
      <c r="K183" s="3"/>
      <c r="L183" s="3" t="str">
        <f ca="1">IFERROR(__xludf.DUMMYFUNCTION("""COMPUTED_VALUE"""),"Cost per instance")</f>
        <v>Cost per instance</v>
      </c>
      <c r="M183" s="3"/>
      <c r="N183" s="3"/>
      <c r="O183" s="3"/>
      <c r="P183" s="3"/>
      <c r="Q183" s="3"/>
      <c r="R183" s="3"/>
      <c r="S183" s="3" t="str">
        <f ca="1">IFERROR(__xludf.DUMMYFUNCTION("""COMPUTED_VALUE"""),"100")</f>
        <v>100</v>
      </c>
      <c r="T183" s="3"/>
      <c r="U183" s="3" t="str">
        <f ca="1">IFERROR(__xludf.DUMMYFUNCTION("""COMPUTED_VALUE"""),"microsite")</f>
        <v>microsite</v>
      </c>
      <c r="V183" s="3"/>
      <c r="W183" s="3"/>
      <c r="X183" s="3"/>
      <c r="Y183" s="3"/>
      <c r="Z183" s="3" t="str">
        <f ca="1">IFERROR(__xludf.DUMMYFUNCTION("""COMPUTED_VALUE"""),"podklady@cncenter.cz")</f>
        <v>podklady@cncenter.cz</v>
      </c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 t="str">
        <f ca="1">IFERROR(__xludf.DUMMYFUNCTION("""COMPUTED_VALUE"""),"cross-device")</f>
        <v>cross-device</v>
      </c>
      <c r="AO183" s="3"/>
      <c r="AP183" s="3"/>
      <c r="AQ183" s="3"/>
      <c r="AR183" s="3"/>
      <c r="AS183" s="3"/>
      <c r="AT183" s="3"/>
      <c r="AU183" s="3" t="str">
        <f ca="1">IFERROR(__xludf.DUMMYFUNCTION("""COMPUTED_VALUE"""),"Prodloužení existující microsite, bez úprav")</f>
        <v>Prodloužení existující microsite, bez úprav</v>
      </c>
    </row>
    <row r="184" spans="1:47" x14ac:dyDescent="0.3">
      <c r="A184" s="3">
        <f ca="1"/>
        <v>2346826</v>
      </c>
      <c r="B184" s="3" t="str">
        <f ca="1"/>
        <v>CZECH NEWS CENTER a. s.</v>
      </c>
      <c r="C184" s="3" t="str">
        <f ca="1">IFERROR(__xludf.DUMMYFUNCTION("""COMPUTED_VALUE"""),"Blesk")</f>
        <v>Blesk</v>
      </c>
      <c r="D184" s="4" t="str">
        <f ca="1">IFERROR(__xludf.DUMMYFUNCTION("""COMPUTED_VALUE"""),"https://blesk.cz")</f>
        <v>https://blesk.cz</v>
      </c>
      <c r="E184" s="3" t="str">
        <f ca="1">IFERROR(__xludf.DUMMYFUNCTION("""COMPUTED_VALUE"""),"celý web")</f>
        <v>celý web</v>
      </c>
      <c r="F184" s="4" t="str">
        <f ca="1">IFERROR(__xludf.DUMMYFUNCTION("""COMPUTED_VALUE"""),"https://blesk.cz")</f>
        <v>https://blesk.cz</v>
      </c>
      <c r="G184" s="3" t="str">
        <f ca="1">IFERROR(__xludf.DUMMYFUNCTION("""COMPUTED_VALUE"""),"Prodloužení existující microsite, bez úprav high season")</f>
        <v>Prodloužení existující microsite, bez úprav high season</v>
      </c>
      <c r="H184" s="3">
        <f ca="1">IFERROR(__xludf.DUMMYFUNCTION("""COMPUTED_VALUE"""),1)</f>
        <v>1</v>
      </c>
      <c r="I184" s="5">
        <f ca="1">IFERROR(__xludf.DUMMYFUNCTION("""COMPUTED_VALUE"""),1)</f>
        <v>1</v>
      </c>
      <c r="J184" s="5">
        <f ca="1">IFERROR(__xludf.DUMMYFUNCTION("""COMPUTED_VALUE"""),15000)</f>
        <v>15000</v>
      </c>
      <c r="K184" s="3"/>
      <c r="L184" s="3" t="str">
        <f ca="1">IFERROR(__xludf.DUMMYFUNCTION("""COMPUTED_VALUE"""),"Cost per instance")</f>
        <v>Cost per instance</v>
      </c>
      <c r="M184" s="3"/>
      <c r="N184" s="3"/>
      <c r="O184" s="3"/>
      <c r="P184" s="3"/>
      <c r="Q184" s="3"/>
      <c r="R184" s="3"/>
      <c r="S184" s="3" t="str">
        <f ca="1">IFERROR(__xludf.DUMMYFUNCTION("""COMPUTED_VALUE"""),"100")</f>
        <v>100</v>
      </c>
      <c r="T184" s="3"/>
      <c r="U184" s="3" t="str">
        <f ca="1">IFERROR(__xludf.DUMMYFUNCTION("""COMPUTED_VALUE"""),"microsite")</f>
        <v>microsite</v>
      </c>
      <c r="V184" s="3"/>
      <c r="W184" s="3"/>
      <c r="X184" s="3"/>
      <c r="Y184" s="3"/>
      <c r="Z184" s="3" t="str">
        <f ca="1">IFERROR(__xludf.DUMMYFUNCTION("""COMPUTED_VALUE"""),"podklady@cncenter.cz")</f>
        <v>podklady@cncenter.cz</v>
      </c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 t="str">
        <f ca="1">IFERROR(__xludf.DUMMYFUNCTION("""COMPUTED_VALUE"""),"cross-device")</f>
        <v>cross-device</v>
      </c>
      <c r="AO184" s="3"/>
      <c r="AP184" s="3"/>
      <c r="AQ184" s="3"/>
      <c r="AR184" s="3"/>
      <c r="AS184" s="3"/>
      <c r="AT184" s="3"/>
      <c r="AU184" s="3" t="str">
        <f ca="1">IFERROR(__xludf.DUMMYFUNCTION("""COMPUTED_VALUE"""),"Prodloužení existující microsite, bez úprav")</f>
        <v>Prodloužení existující microsite, bez úprav</v>
      </c>
    </row>
    <row r="185" spans="1:47" x14ac:dyDescent="0.3">
      <c r="A185" s="3">
        <f ca="1"/>
        <v>2346826</v>
      </c>
      <c r="B185" s="3" t="str">
        <f ca="1"/>
        <v>CZECH NEWS CENTER a. s.</v>
      </c>
      <c r="C185" s="3" t="str">
        <f ca="1">IFERROR(__xludf.DUMMYFUNCTION("""COMPUTED_VALUE"""),"Blesk")</f>
        <v>Blesk</v>
      </c>
      <c r="D185" s="4" t="str">
        <f ca="1">IFERROR(__xludf.DUMMYFUNCTION("""COMPUTED_VALUE"""),"https://blesk.cz")</f>
        <v>https://blesk.cz</v>
      </c>
      <c r="E185" s="3" t="str">
        <f ca="1">IFERROR(__xludf.DUMMYFUNCTION("""COMPUTED_VALUE"""),"celý web")</f>
        <v>celý web</v>
      </c>
      <c r="F185" s="4" t="str">
        <f ca="1">IFERROR(__xludf.DUMMYFUNCTION("""COMPUTED_VALUE"""),"https://blesk.cz")</f>
        <v>https://blesk.cz</v>
      </c>
      <c r="G185" s="3" t="str">
        <f ca="1">IFERROR(__xludf.DUMMYFUNCTION("""COMPUTED_VALUE"""),"Prodloužení existující microsite, bez úprav high season")</f>
        <v>Prodloužení existující microsite, bez úprav high season</v>
      </c>
      <c r="H185" s="3">
        <f ca="1">IFERROR(__xludf.DUMMYFUNCTION("""COMPUTED_VALUE"""),1)</f>
        <v>1</v>
      </c>
      <c r="I185" s="5">
        <f ca="1">IFERROR(__xludf.DUMMYFUNCTION("""COMPUTED_VALUE"""),1)</f>
        <v>1</v>
      </c>
      <c r="J185" s="5">
        <f ca="1">IFERROR(__xludf.DUMMYFUNCTION("""COMPUTED_VALUE"""),15000)</f>
        <v>15000</v>
      </c>
      <c r="K185" s="3"/>
      <c r="L185" s="3" t="str">
        <f ca="1">IFERROR(__xludf.DUMMYFUNCTION("""COMPUTED_VALUE"""),"Cost per instance")</f>
        <v>Cost per instance</v>
      </c>
      <c r="M185" s="3"/>
      <c r="N185" s="3"/>
      <c r="O185" s="3"/>
      <c r="P185" s="3"/>
      <c r="Q185" s="3"/>
      <c r="R185" s="3"/>
      <c r="S185" s="3" t="str">
        <f ca="1">IFERROR(__xludf.DUMMYFUNCTION("""COMPUTED_VALUE"""),"100")</f>
        <v>100</v>
      </c>
      <c r="T185" s="3"/>
      <c r="U185" s="3" t="str">
        <f ca="1">IFERROR(__xludf.DUMMYFUNCTION("""COMPUTED_VALUE"""),"microsite")</f>
        <v>microsite</v>
      </c>
      <c r="V185" s="3"/>
      <c r="W185" s="3"/>
      <c r="X185" s="3"/>
      <c r="Y185" s="3"/>
      <c r="Z185" s="3" t="str">
        <f ca="1">IFERROR(__xludf.DUMMYFUNCTION("""COMPUTED_VALUE"""),"podklady@cncenter.cz")</f>
        <v>podklady@cncenter.cz</v>
      </c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 t="str">
        <f ca="1">IFERROR(__xludf.DUMMYFUNCTION("""COMPUTED_VALUE"""),"cross-device")</f>
        <v>cross-device</v>
      </c>
      <c r="AO185" s="3"/>
      <c r="AP185" s="3"/>
      <c r="AQ185" s="3"/>
      <c r="AR185" s="3"/>
      <c r="AS185" s="3"/>
      <c r="AT185" s="3"/>
      <c r="AU185" s="3" t="str">
        <f ca="1">IFERROR(__xludf.DUMMYFUNCTION("""COMPUTED_VALUE"""),"Prodloužení existující microsite, bez úprav")</f>
        <v>Prodloužení existující microsite, bez úprav</v>
      </c>
    </row>
    <row r="186" spans="1:47" x14ac:dyDescent="0.3">
      <c r="A186" s="3">
        <f ca="1"/>
        <v>2346826</v>
      </c>
      <c r="B186" s="3" t="str">
        <f ca="1"/>
        <v>CZECH NEWS CENTER a. s.</v>
      </c>
      <c r="C186" s="3" t="str">
        <f ca="1">IFERROR(__xludf.DUMMYFUNCTION("""COMPUTED_VALUE"""),"Blesk floating")</f>
        <v>Blesk floating</v>
      </c>
      <c r="D186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86" s="3" t="str">
        <f ca="1">IFERROR(__xludf.DUMMYFUNCTION("""COMPUTED_VALUE"""),"celý web")</f>
        <v>celý web</v>
      </c>
      <c r="F186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86" s="3" t="str">
        <f ca="1">IFERROR(__xludf.DUMMYFUNCTION("""COMPUTED_VALUE"""),"billboard bottom high season")</f>
        <v>billboard bottom high season</v>
      </c>
      <c r="H186" s="3">
        <f ca="1">IFERROR(__xludf.DUMMYFUNCTION("""COMPUTED_VALUE"""),7)</f>
        <v>7</v>
      </c>
      <c r="I186" s="5">
        <f ca="1">IFERROR(__xludf.DUMMYFUNCTION("""COMPUTED_VALUE"""),1000)</f>
        <v>1000</v>
      </c>
      <c r="J186" s="5">
        <f ca="1">IFERROR(__xludf.DUMMYFUNCTION("""COMPUTED_VALUE"""),420)</f>
        <v>420</v>
      </c>
      <c r="K186" s="3"/>
      <c r="L186" s="3" t="str">
        <f ca="1">IFERROR(__xludf.DUMMYFUNCTION("""COMPUTED_VALUE"""),"Cost per period")</f>
        <v>Cost per period</v>
      </c>
      <c r="M186" s="3"/>
      <c r="N186" s="3"/>
      <c r="O186" s="3" t="str">
        <f ca="1">IFERROR(__xludf.DUMMYFUNCTION("""COMPUTED_VALUE"""),"970")</f>
        <v>970</v>
      </c>
      <c r="P186" s="3" t="str">
        <f ca="1">IFERROR(__xludf.DUMMYFUNCTION("""COMPUTED_VALUE"""),"250")</f>
        <v>250</v>
      </c>
      <c r="Q186" s="3" t="str">
        <f ca="1">IFERROR(__xludf.DUMMYFUNCTION("""COMPUTED_VALUE"""),"970x250")</f>
        <v>970x250</v>
      </c>
      <c r="R186" s="3"/>
      <c r="S186" s="3" t="str">
        <f ca="1">IFERROR(__xludf.DUMMYFUNCTION("""COMPUTED_VALUE"""),"100 (200 - HTML5)")</f>
        <v>100 (200 - HTML5)</v>
      </c>
      <c r="T186" s="3"/>
      <c r="U186" s="3" t="str">
        <f ca="1">IFERROR(__xludf.DUMMYFUNCTION("""COMPUTED_VALUE"""),"banner standard")</f>
        <v>banner standard</v>
      </c>
      <c r="V186" s="3"/>
      <c r="W186" s="4" t="str">
        <f ca="1">IFERROR(__xludf.DUMMYFUNCTION("""COMPUTED_VALUE"""),"https://reklama.cncenter.cz/Online/billboard-bottom")</f>
        <v>https://reklama.cncenter.cz/Online/billboard-bottom</v>
      </c>
      <c r="X186" s="3"/>
      <c r="Y186" s="3"/>
      <c r="Z186" s="3" t="str">
        <f ca="1">IFERROR(__xludf.DUMMYFUNCTION("""COMPUTED_VALUE"""),"podklady@cncenter.cz")</f>
        <v>podklady@cncenter.cz</v>
      </c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 t="str">
        <f ca="1">IFERROR(__xludf.DUMMYFUNCTION("""COMPUTED_VALUE"""),"desktop")</f>
        <v>desktop</v>
      </c>
      <c r="AO186" s="3"/>
      <c r="AP186" s="3"/>
      <c r="AQ186" s="3"/>
      <c r="AR186" s="3"/>
      <c r="AS186" s="3"/>
      <c r="AT186" s="3"/>
      <c r="AU186" s="3" t="str">
        <f ca="1">IFERROR(__xludf.DUMMYFUNCTION("""COMPUTED_VALUE"""),"billboard bottom")</f>
        <v>billboard bottom</v>
      </c>
    </row>
    <row r="187" spans="1:47" x14ac:dyDescent="0.3">
      <c r="A187" s="3">
        <f ca="1"/>
        <v>2346826</v>
      </c>
      <c r="B187" s="3" t="str">
        <f ca="1"/>
        <v>CZECH NEWS CENTER a. s.</v>
      </c>
      <c r="C187" s="3" t="str">
        <f ca="1">IFERROR(__xludf.DUMMYFUNCTION("""COMPUTED_VALUE"""),"Blesk floating")</f>
        <v>Blesk floating</v>
      </c>
      <c r="D187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87" s="3" t="str">
        <f ca="1">IFERROR(__xludf.DUMMYFUNCTION("""COMPUTED_VALUE"""),"celý web")</f>
        <v>celý web</v>
      </c>
      <c r="F187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87" s="3" t="str">
        <f ca="1">IFERROR(__xludf.DUMMYFUNCTION("""COMPUTED_VALUE"""),"branding cross-device high season")</f>
        <v>branding cross-device high season</v>
      </c>
      <c r="H187" s="3">
        <f ca="1">IFERROR(__xludf.DUMMYFUNCTION("""COMPUTED_VALUE"""),7)</f>
        <v>7</v>
      </c>
      <c r="I187" s="5">
        <f ca="1">IFERROR(__xludf.DUMMYFUNCTION("""COMPUTED_VALUE"""),1000)</f>
        <v>1000</v>
      </c>
      <c r="J187" s="5">
        <f ca="1">IFERROR(__xludf.DUMMYFUNCTION("""COMPUTED_VALUE"""),510)</f>
        <v>510</v>
      </c>
      <c r="K187" s="3"/>
      <c r="L187" s="3" t="str">
        <f ca="1">IFERROR(__xludf.DUMMYFUNCTION("""COMPUTED_VALUE"""),"Cost per period")</f>
        <v>Cost per period</v>
      </c>
      <c r="M187" s="3"/>
      <c r="N187" s="3"/>
      <c r="O187" s="3" t="str">
        <f ca="1">IFERROR(__xludf.DUMMYFUNCTION("""COMPUTED_VALUE"""),"2000")</f>
        <v>2000</v>
      </c>
      <c r="P187" s="3" t="str">
        <f ca="1">IFERROR(__xludf.DUMMYFUNCTION("""COMPUTED_VALUE"""),"1400")</f>
        <v>1400</v>
      </c>
      <c r="Q187" s="3" t="str">
        <f ca="1">IFERROR(__xludf.DUMMYFUNCTION("""COMPUTED_VALUE"""),"2000x1400 + 600x1080")</f>
        <v>2000x1400 + 600x1080</v>
      </c>
      <c r="R187" s="3"/>
      <c r="S187" s="3" t="str">
        <f ca="1">IFERROR(__xludf.DUMMYFUNCTION("""COMPUTED_VALUE"""),"500 (600 - HTLM5)")</f>
        <v>500 (600 - HTLM5)</v>
      </c>
      <c r="T187" s="3"/>
      <c r="U187" s="3" t="str">
        <f ca="1">IFERROR(__xludf.DUMMYFUNCTION("""COMPUTED_VALUE"""),"banner standard")</f>
        <v>banner standard</v>
      </c>
      <c r="V187" s="3"/>
      <c r="W187" s="4" t="str">
        <f ca="1">IFERROR(__xludf.DUMMYFUNCTION("""COMPUTED_VALUE"""),"https://reklama.cncenter.cz/Online/branding-cross-device")</f>
        <v>https://reklama.cncenter.cz/Online/branding-cross-device</v>
      </c>
      <c r="X187" s="3"/>
      <c r="Y187" s="3"/>
      <c r="Z187" s="3" t="str">
        <f ca="1">IFERROR(__xludf.DUMMYFUNCTION("""COMPUTED_VALUE"""),"podklady@cncenter.cz")</f>
        <v>podklady@cncenter.cz</v>
      </c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 t="str">
        <f ca="1">IFERROR(__xludf.DUMMYFUNCTION("""COMPUTED_VALUE"""),"cross-device")</f>
        <v>cross-device</v>
      </c>
      <c r="AO187" s="3"/>
      <c r="AP187" s="3"/>
      <c r="AQ187" s="3"/>
      <c r="AR187" s="3"/>
      <c r="AS187" s="3"/>
      <c r="AT187" s="3"/>
      <c r="AU187" s="3" t="str">
        <f ca="1">IFERROR(__xludf.DUMMYFUNCTION("""COMPUTED_VALUE"""),"branding cross-device")</f>
        <v>branding cross-device</v>
      </c>
    </row>
    <row r="188" spans="1:47" x14ac:dyDescent="0.3">
      <c r="A188" s="3">
        <f ca="1"/>
        <v>2346826</v>
      </c>
      <c r="B188" s="3" t="str">
        <f ca="1"/>
        <v>CZECH NEWS CENTER a. s.</v>
      </c>
      <c r="C188" s="3" t="str">
        <f ca="1">IFERROR(__xludf.DUMMYFUNCTION("""COMPUTED_VALUE"""),"Blesk floating")</f>
        <v>Blesk floating</v>
      </c>
      <c r="D188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88" s="3" t="str">
        <f ca="1">IFERROR(__xludf.DUMMYFUNCTION("""COMPUTED_VALUE"""),"celý web")</f>
        <v>celý web</v>
      </c>
      <c r="F188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88" s="3" t="str">
        <f ca="1">IFERROR(__xludf.DUMMYFUNCTION("""COMPUTED_VALUE"""),"branding high season")</f>
        <v>branding high season</v>
      </c>
      <c r="H188" s="3">
        <f ca="1">IFERROR(__xludf.DUMMYFUNCTION("""COMPUTED_VALUE"""),7)</f>
        <v>7</v>
      </c>
      <c r="I188" s="5">
        <f ca="1">IFERROR(__xludf.DUMMYFUNCTION("""COMPUTED_VALUE"""),1000)</f>
        <v>1000</v>
      </c>
      <c r="J188" s="5">
        <f ca="1">IFERROR(__xludf.DUMMYFUNCTION("""COMPUTED_VALUE"""),780)</f>
        <v>780</v>
      </c>
      <c r="K188" s="3"/>
      <c r="L188" s="3" t="str">
        <f ca="1">IFERROR(__xludf.DUMMYFUNCTION("""COMPUTED_VALUE"""),"Cost per period")</f>
        <v>Cost per period</v>
      </c>
      <c r="M188" s="3"/>
      <c r="N188" s="3"/>
      <c r="O188" s="3" t="str">
        <f ca="1">IFERROR(__xludf.DUMMYFUNCTION("""COMPUTED_VALUE"""),"2000")</f>
        <v>2000</v>
      </c>
      <c r="P188" s="3" t="str">
        <f ca="1">IFERROR(__xludf.DUMMYFUNCTION("""COMPUTED_VALUE"""),"1400")</f>
        <v>1400</v>
      </c>
      <c r="Q188" s="3" t="str">
        <f ca="1">IFERROR(__xludf.DUMMYFUNCTION("""COMPUTED_VALUE"""),"2000x1400")</f>
        <v>2000x1400</v>
      </c>
      <c r="R188" s="3"/>
      <c r="S188" s="3" t="str">
        <f ca="1">IFERROR(__xludf.DUMMYFUNCTION("""COMPUTED_VALUE"""),"500 + 200 (600+200 HTML5)")</f>
        <v>500 + 200 (600+200 HTML5)</v>
      </c>
      <c r="T188" s="3"/>
      <c r="U188" s="3" t="str">
        <f ca="1">IFERROR(__xludf.DUMMYFUNCTION("""COMPUTED_VALUE"""),"banner standard")</f>
        <v>banner standard</v>
      </c>
      <c r="V188" s="3"/>
      <c r="W188" s="4" t="str">
        <f ca="1">IFERROR(__xludf.DUMMYFUNCTION("""COMPUTED_VALUE"""),"https://reklama.cncenter.cz/Online/branding")</f>
        <v>https://reklama.cncenter.cz/Online/branding</v>
      </c>
      <c r="X188" s="3"/>
      <c r="Y188" s="3"/>
      <c r="Z188" s="3" t="str">
        <f ca="1">IFERROR(__xludf.DUMMYFUNCTION("""COMPUTED_VALUE"""),"podklady@cncenter.cz")</f>
        <v>podklady@cncenter.cz</v>
      </c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 t="str">
        <f ca="1">IFERROR(__xludf.DUMMYFUNCTION("""COMPUTED_VALUE"""),"desktop")</f>
        <v>desktop</v>
      </c>
      <c r="AO188" s="3"/>
      <c r="AP188" s="3"/>
      <c r="AQ188" s="3"/>
      <c r="AR188" s="3"/>
      <c r="AS188" s="3"/>
      <c r="AT188" s="3"/>
      <c r="AU188" s="3" t="str">
        <f ca="1">IFERROR(__xludf.DUMMYFUNCTION("""COMPUTED_VALUE"""),"branding")</f>
        <v>branding</v>
      </c>
    </row>
    <row r="189" spans="1:47" x14ac:dyDescent="0.3">
      <c r="A189" s="3">
        <f ca="1"/>
        <v>2346826</v>
      </c>
      <c r="B189" s="3" t="str">
        <f ca="1"/>
        <v>CZECH NEWS CENTER a. s.</v>
      </c>
      <c r="C189" s="3" t="str">
        <f ca="1">IFERROR(__xludf.DUMMYFUNCTION("""COMPUTED_VALUE"""),"Blesk floating")</f>
        <v>Blesk floating</v>
      </c>
      <c r="D189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89" s="3" t="str">
        <f ca="1">IFERROR(__xludf.DUMMYFUNCTION("""COMPUTED_VALUE"""),"celý web")</f>
        <v>celý web</v>
      </c>
      <c r="F189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89" s="3" t="str">
        <f ca="1">IFERROR(__xludf.DUMMYFUNCTION("""COMPUTED_VALUE"""),"cílený billboard bottom high season")</f>
        <v>cílený billboard bottom high season</v>
      </c>
      <c r="H189" s="3">
        <f ca="1">IFERROR(__xludf.DUMMYFUNCTION("""COMPUTED_VALUE"""),7)</f>
        <v>7</v>
      </c>
      <c r="I189" s="5">
        <f ca="1">IFERROR(__xludf.DUMMYFUNCTION("""COMPUTED_VALUE"""),1000)</f>
        <v>1000</v>
      </c>
      <c r="J189" s="5">
        <f ca="1">IFERROR(__xludf.DUMMYFUNCTION("""COMPUTED_VALUE"""),504)</f>
        <v>504</v>
      </c>
      <c r="K189" s="3"/>
      <c r="L189" s="3" t="str">
        <f ca="1">IFERROR(__xludf.DUMMYFUNCTION("""COMPUTED_VALUE"""),"Cost per period")</f>
        <v>Cost per period</v>
      </c>
      <c r="M189" s="3"/>
      <c r="N189" s="3"/>
      <c r="O189" s="3" t="str">
        <f ca="1">IFERROR(__xludf.DUMMYFUNCTION("""COMPUTED_VALUE"""),"970")</f>
        <v>970</v>
      </c>
      <c r="P189" s="3" t="str">
        <f ca="1">IFERROR(__xludf.DUMMYFUNCTION("""COMPUTED_VALUE"""),"250")</f>
        <v>250</v>
      </c>
      <c r="Q189" s="3" t="str">
        <f ca="1">IFERROR(__xludf.DUMMYFUNCTION("""COMPUTED_VALUE"""),"970x250")</f>
        <v>970x250</v>
      </c>
      <c r="R189" s="3"/>
      <c r="S189" s="3" t="str">
        <f ca="1">IFERROR(__xludf.DUMMYFUNCTION("""COMPUTED_VALUE"""),"100 (200 - HTML5)")</f>
        <v>100 (200 - HTML5)</v>
      </c>
      <c r="T189" s="3"/>
      <c r="U189" s="3" t="str">
        <f ca="1">IFERROR(__xludf.DUMMYFUNCTION("""COMPUTED_VALUE"""),"banner standard")</f>
        <v>banner standard</v>
      </c>
      <c r="V189" s="3"/>
      <c r="W189" s="4" t="str">
        <f ca="1">IFERROR(__xludf.DUMMYFUNCTION("""COMPUTED_VALUE"""),"https://reklama.cncenter.cz/Online/billboard-bottom")</f>
        <v>https://reklama.cncenter.cz/Online/billboard-bottom</v>
      </c>
      <c r="X189" s="3"/>
      <c r="Y189" s="3"/>
      <c r="Z189" s="3" t="str">
        <f ca="1">IFERROR(__xludf.DUMMYFUNCTION("""COMPUTED_VALUE"""),"podklady@cncenter.cz")</f>
        <v>podklady@cncenter.cz</v>
      </c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 t="str">
        <f ca="1">IFERROR(__xludf.DUMMYFUNCTION("""COMPUTED_VALUE"""),"desktop")</f>
        <v>desktop</v>
      </c>
      <c r="AO189" s="3"/>
      <c r="AP189" s="3"/>
      <c r="AQ189" s="3"/>
      <c r="AR189" s="3"/>
      <c r="AS189" s="3"/>
      <c r="AT189" s="3"/>
      <c r="AU189" s="3" t="str">
        <f ca="1">IFERROR(__xludf.DUMMYFUNCTION("""COMPUTED_VALUE"""),"cílený billboard bottom")</f>
        <v>cílený billboard bottom</v>
      </c>
    </row>
    <row r="190" spans="1:47" x14ac:dyDescent="0.3">
      <c r="A190" s="3">
        <f ca="1"/>
        <v>2346826</v>
      </c>
      <c r="B190" s="3" t="str">
        <f ca="1"/>
        <v>CZECH NEWS CENTER a. s.</v>
      </c>
      <c r="C190" s="3" t="str">
        <f ca="1">IFERROR(__xludf.DUMMYFUNCTION("""COMPUTED_VALUE"""),"Blesk floating")</f>
        <v>Blesk floating</v>
      </c>
      <c r="D190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0" s="3" t="str">
        <f ca="1">IFERROR(__xludf.DUMMYFUNCTION("""COMPUTED_VALUE"""),"celý web")</f>
        <v>celý web</v>
      </c>
      <c r="F190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0" s="3" t="str">
        <f ca="1">IFERROR(__xludf.DUMMYFUNCTION("""COMPUTED_VALUE"""),"cílený branding cross-device high season")</f>
        <v>cílený branding cross-device high season</v>
      </c>
      <c r="H190" s="3">
        <f ca="1">IFERROR(__xludf.DUMMYFUNCTION("""COMPUTED_VALUE"""),7)</f>
        <v>7</v>
      </c>
      <c r="I190" s="5">
        <f ca="1">IFERROR(__xludf.DUMMYFUNCTION("""COMPUTED_VALUE"""),1000)</f>
        <v>1000</v>
      </c>
      <c r="J190" s="5">
        <f ca="1">IFERROR(__xludf.DUMMYFUNCTION("""COMPUTED_VALUE"""),612)</f>
        <v>612</v>
      </c>
      <c r="K190" s="3"/>
      <c r="L190" s="3" t="str">
        <f ca="1">IFERROR(__xludf.DUMMYFUNCTION("""COMPUTED_VALUE"""),"Cost per period")</f>
        <v>Cost per period</v>
      </c>
      <c r="M190" s="3"/>
      <c r="N190" s="3"/>
      <c r="O190" s="3" t="str">
        <f ca="1">IFERROR(__xludf.DUMMYFUNCTION("""COMPUTED_VALUE"""),"2000")</f>
        <v>2000</v>
      </c>
      <c r="P190" s="3" t="str">
        <f ca="1">IFERROR(__xludf.DUMMYFUNCTION("""COMPUTED_VALUE"""),"1400")</f>
        <v>1400</v>
      </c>
      <c r="Q190" s="3" t="str">
        <f ca="1">IFERROR(__xludf.DUMMYFUNCTION("""COMPUTED_VALUE"""),"2000x1400 + 600x1080")</f>
        <v>2000x1400 + 600x1080</v>
      </c>
      <c r="R190" s="3"/>
      <c r="S190" s="3" t="str">
        <f ca="1">IFERROR(__xludf.DUMMYFUNCTION("""COMPUTED_VALUE"""),"500 (600 - HTLM5)")</f>
        <v>500 (600 - HTLM5)</v>
      </c>
      <c r="T190" s="3"/>
      <c r="U190" s="3" t="str">
        <f ca="1">IFERROR(__xludf.DUMMYFUNCTION("""COMPUTED_VALUE"""),"banner standard")</f>
        <v>banner standard</v>
      </c>
      <c r="V190" s="3"/>
      <c r="W190" s="4" t="str">
        <f ca="1">IFERROR(__xludf.DUMMYFUNCTION("""COMPUTED_VALUE"""),"https://reklama.cncenter.cz/Online/branding-cross-device")</f>
        <v>https://reklama.cncenter.cz/Online/branding-cross-device</v>
      </c>
      <c r="X190" s="3"/>
      <c r="Y190" s="3"/>
      <c r="Z190" s="3" t="str">
        <f ca="1">IFERROR(__xludf.DUMMYFUNCTION("""COMPUTED_VALUE"""),"podklady@cncenter.cz")</f>
        <v>podklady@cncenter.cz</v>
      </c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 t="str">
        <f ca="1">IFERROR(__xludf.DUMMYFUNCTION("""COMPUTED_VALUE"""),"cross-device")</f>
        <v>cross-device</v>
      </c>
      <c r="AO190" s="3"/>
      <c r="AP190" s="3"/>
      <c r="AQ190" s="3"/>
      <c r="AR190" s="3"/>
      <c r="AS190" s="3"/>
      <c r="AT190" s="3"/>
      <c r="AU190" s="3" t="str">
        <f ca="1">IFERROR(__xludf.DUMMYFUNCTION("""COMPUTED_VALUE"""),"cílený branding cross-device")</f>
        <v>cílený branding cross-device</v>
      </c>
    </row>
    <row r="191" spans="1:47" x14ac:dyDescent="0.3">
      <c r="A191" s="3">
        <f ca="1"/>
        <v>2346826</v>
      </c>
      <c r="B191" s="3" t="str">
        <f ca="1"/>
        <v>CZECH NEWS CENTER a. s.</v>
      </c>
      <c r="C191" s="3" t="str">
        <f ca="1">IFERROR(__xludf.DUMMYFUNCTION("""COMPUTED_VALUE"""),"Blesk floating")</f>
        <v>Blesk floating</v>
      </c>
      <c r="D191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1" s="3" t="str">
        <f ca="1">IFERROR(__xludf.DUMMYFUNCTION("""COMPUTED_VALUE"""),"celý web")</f>
        <v>celý web</v>
      </c>
      <c r="F191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1" s="3" t="str">
        <f ca="1">IFERROR(__xludf.DUMMYFUNCTION("""COMPUTED_VALUE"""),"cílený branding high season")</f>
        <v>cílený branding high season</v>
      </c>
      <c r="H191" s="3">
        <f ca="1">IFERROR(__xludf.DUMMYFUNCTION("""COMPUTED_VALUE"""),7)</f>
        <v>7</v>
      </c>
      <c r="I191" s="5">
        <f ca="1">IFERROR(__xludf.DUMMYFUNCTION("""COMPUTED_VALUE"""),1000)</f>
        <v>1000</v>
      </c>
      <c r="J191" s="5">
        <f ca="1">IFERROR(__xludf.DUMMYFUNCTION("""COMPUTED_VALUE"""),936)</f>
        <v>936</v>
      </c>
      <c r="K191" s="3"/>
      <c r="L191" s="3" t="str">
        <f ca="1">IFERROR(__xludf.DUMMYFUNCTION("""COMPUTED_VALUE"""),"Cost per period")</f>
        <v>Cost per period</v>
      </c>
      <c r="M191" s="3"/>
      <c r="N191" s="3"/>
      <c r="O191" s="3" t="str">
        <f ca="1">IFERROR(__xludf.DUMMYFUNCTION("""COMPUTED_VALUE"""),"2000")</f>
        <v>2000</v>
      </c>
      <c r="P191" s="3" t="str">
        <f ca="1">IFERROR(__xludf.DUMMYFUNCTION("""COMPUTED_VALUE"""),"1400")</f>
        <v>1400</v>
      </c>
      <c r="Q191" s="3" t="str">
        <f ca="1">IFERROR(__xludf.DUMMYFUNCTION("""COMPUTED_VALUE"""),"2000x1400")</f>
        <v>2000x1400</v>
      </c>
      <c r="R191" s="3"/>
      <c r="S191" s="3" t="str">
        <f ca="1">IFERROR(__xludf.DUMMYFUNCTION("""COMPUTED_VALUE"""),"500 + 200 (600+200 HTML5)")</f>
        <v>500 + 200 (600+200 HTML5)</v>
      </c>
      <c r="T191" s="3"/>
      <c r="U191" s="3" t="str">
        <f ca="1">IFERROR(__xludf.DUMMYFUNCTION("""COMPUTED_VALUE"""),"banner standard")</f>
        <v>banner standard</v>
      </c>
      <c r="V191" s="3"/>
      <c r="W191" s="4" t="str">
        <f ca="1">IFERROR(__xludf.DUMMYFUNCTION("""COMPUTED_VALUE"""),"https://reklama.cncenter.cz/Online/branding")</f>
        <v>https://reklama.cncenter.cz/Online/branding</v>
      </c>
      <c r="X191" s="3"/>
      <c r="Y191" s="3"/>
      <c r="Z191" s="3" t="str">
        <f ca="1">IFERROR(__xludf.DUMMYFUNCTION("""COMPUTED_VALUE"""),"podklady@cncenter.cz")</f>
        <v>podklady@cncenter.cz</v>
      </c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 t="str">
        <f ca="1">IFERROR(__xludf.DUMMYFUNCTION("""COMPUTED_VALUE"""),"desktop")</f>
        <v>desktop</v>
      </c>
      <c r="AO191" s="3"/>
      <c r="AP191" s="3"/>
      <c r="AQ191" s="3"/>
      <c r="AR191" s="3"/>
      <c r="AS191" s="3"/>
      <c r="AT191" s="3"/>
      <c r="AU191" s="3" t="str">
        <f ca="1">IFERROR(__xludf.DUMMYFUNCTION("""COMPUTED_VALUE"""),"cílený branding")</f>
        <v>cílený branding</v>
      </c>
    </row>
    <row r="192" spans="1:47" x14ac:dyDescent="0.3">
      <c r="A192" s="3">
        <f ca="1"/>
        <v>2346826</v>
      </c>
      <c r="B192" s="3" t="str">
        <f ca="1"/>
        <v>CZECH NEWS CENTER a. s.</v>
      </c>
      <c r="C192" s="3" t="str">
        <f ca="1">IFERROR(__xludf.DUMMYFUNCTION("""COMPUTED_VALUE"""),"Blesk floating")</f>
        <v>Blesk floating</v>
      </c>
      <c r="D192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2" s="3" t="str">
        <f ca="1">IFERROR(__xludf.DUMMYFUNCTION("""COMPUTED_VALUE"""),"celý web")</f>
        <v>celý web</v>
      </c>
      <c r="F192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2" s="3" t="str">
        <f ca="1">IFERROR(__xludf.DUMMYFUNCTION("""COMPUTED_VALUE"""),"cílený double skyscraper high season")</f>
        <v>cílený double skyscraper high season</v>
      </c>
      <c r="H192" s="3">
        <f ca="1">IFERROR(__xludf.DUMMYFUNCTION("""COMPUTED_VALUE"""),7)</f>
        <v>7</v>
      </c>
      <c r="I192" s="5">
        <f ca="1">IFERROR(__xludf.DUMMYFUNCTION("""COMPUTED_VALUE"""),1000)</f>
        <v>1000</v>
      </c>
      <c r="J192" s="5">
        <f ca="1">IFERROR(__xludf.DUMMYFUNCTION("""COMPUTED_VALUE"""),348)</f>
        <v>348</v>
      </c>
      <c r="K192" s="3"/>
      <c r="L192" s="3" t="str">
        <f ca="1">IFERROR(__xludf.DUMMYFUNCTION("""COMPUTED_VALUE"""),"Cost per period")</f>
        <v>Cost per period</v>
      </c>
      <c r="M192" s="3"/>
      <c r="N192" s="3"/>
      <c r="O192" s="3" t="str">
        <f ca="1">IFERROR(__xludf.DUMMYFUNCTION("""COMPUTED_VALUE"""),"300")</f>
        <v>300</v>
      </c>
      <c r="P192" s="3" t="str">
        <f ca="1">IFERROR(__xludf.DUMMYFUNCTION("""COMPUTED_VALUE"""),"600")</f>
        <v>600</v>
      </c>
      <c r="Q192" s="3" t="str">
        <f ca="1">IFERROR(__xludf.DUMMYFUNCTION("""COMPUTED_VALUE"""),"300x600")</f>
        <v>300x600</v>
      </c>
      <c r="R192" s="3"/>
      <c r="S192" s="3" t="str">
        <f ca="1">IFERROR(__xludf.DUMMYFUNCTION("""COMPUTED_VALUE"""),"100 (200 - HTML5)")</f>
        <v>100 (200 - HTML5)</v>
      </c>
      <c r="T192" s="3"/>
      <c r="U192" s="3" t="str">
        <f ca="1">IFERROR(__xludf.DUMMYFUNCTION("""COMPUTED_VALUE"""),"banner standard")</f>
        <v>banner standard</v>
      </c>
      <c r="V192" s="3"/>
      <c r="W192" s="4" t="str">
        <f ca="1">IFERROR(__xludf.DUMMYFUNCTION("""COMPUTED_VALUE"""),"https://reklama.cncenter.cz/Online/double-skyscraper")</f>
        <v>https://reklama.cncenter.cz/Online/double-skyscraper</v>
      </c>
      <c r="X192" s="3"/>
      <c r="Y192" s="3"/>
      <c r="Z192" s="3" t="str">
        <f ca="1">IFERROR(__xludf.DUMMYFUNCTION("""COMPUTED_VALUE"""),"podklady@cncenter.cz")</f>
        <v>podklady@cncenter.cz</v>
      </c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 t="str">
        <f ca="1">IFERROR(__xludf.DUMMYFUNCTION("""COMPUTED_VALUE"""),"desktop")</f>
        <v>desktop</v>
      </c>
      <c r="AO192" s="3"/>
      <c r="AP192" s="3"/>
      <c r="AQ192" s="3"/>
      <c r="AR192" s="3"/>
      <c r="AS192" s="3"/>
      <c r="AT192" s="3"/>
      <c r="AU192" s="3" t="str">
        <f ca="1">IFERROR(__xludf.DUMMYFUNCTION("""COMPUTED_VALUE"""),"cílený double skyscraper")</f>
        <v>cílený double skyscraper</v>
      </c>
    </row>
    <row r="193" spans="1:47" x14ac:dyDescent="0.3">
      <c r="A193" s="3">
        <f ca="1"/>
        <v>2346826</v>
      </c>
      <c r="B193" s="3" t="str">
        <f ca="1"/>
        <v>CZECH NEWS CENTER a. s.</v>
      </c>
      <c r="C193" s="3" t="str">
        <f ca="1">IFERROR(__xludf.DUMMYFUNCTION("""COMPUTED_VALUE"""),"Blesk floating")</f>
        <v>Blesk floating</v>
      </c>
      <c r="D193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3" s="3" t="str">
        <f ca="1">IFERROR(__xludf.DUMMYFUNCTION("""COMPUTED_VALUE"""),"celý web")</f>
        <v>celý web</v>
      </c>
      <c r="F193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3" s="3" t="str">
        <f ca="1">IFERROR(__xludf.DUMMYFUNCTION("""COMPUTED_VALUE"""),"cílený mini videospot - max. 30 sec. high season")</f>
        <v>cílený mini videospot - max. 30 sec. high season</v>
      </c>
      <c r="H193" s="3">
        <f ca="1">IFERROR(__xludf.DUMMYFUNCTION("""COMPUTED_VALUE"""),7)</f>
        <v>7</v>
      </c>
      <c r="I193" s="5">
        <f ca="1">IFERROR(__xludf.DUMMYFUNCTION("""COMPUTED_VALUE"""),1000)</f>
        <v>1000</v>
      </c>
      <c r="J193" s="5">
        <f ca="1">IFERROR(__xludf.DUMMYFUNCTION("""COMPUTED_VALUE"""),348)</f>
        <v>348</v>
      </c>
      <c r="K193" s="3"/>
      <c r="L193" s="3" t="str">
        <f ca="1">IFERROR(__xludf.DUMMYFUNCTION("""COMPUTED_VALUE"""),"Cost per period")</f>
        <v>Cost per period</v>
      </c>
      <c r="M193" s="3"/>
      <c r="N193" s="3"/>
      <c r="O193" s="3"/>
      <c r="P193" s="3"/>
      <c r="Q193" s="3" t="str">
        <f ca="1">IFERROR(__xludf.DUMMYFUNCTION("""COMPUTED_VALUE"""),"16:9 / umístění po domluvě dle možností")</f>
        <v>16:9 / umístění po domluvě dle možností</v>
      </c>
      <c r="R193" s="3" t="str">
        <f ca="1">IFERROR(__xludf.DUMMYFUNCTION("""COMPUTED_VALUE"""),"přeskočení po 7 sekundách")</f>
        <v>přeskočení po 7 sekundách</v>
      </c>
      <c r="S193" s="3" t="str">
        <f ca="1">IFERROR(__xludf.DUMMYFUNCTION("""COMPUTED_VALUE"""),"100")</f>
        <v>100</v>
      </c>
      <c r="T193" s="3"/>
      <c r="U193" s="3" t="str">
        <f ca="1">IFERROR(__xludf.DUMMYFUNCTION("""COMPUTED_VALUE"""),"videospot")</f>
        <v>videospot</v>
      </c>
      <c r="V193" s="3"/>
      <c r="W193" s="4" t="str">
        <f ca="1">IFERROR(__xludf.DUMMYFUNCTION("""COMPUTED_VALUE"""),"https://reklama.cncenter.cz/Online/Videospot")</f>
        <v>https://reklama.cncenter.cz/Online/Videospot</v>
      </c>
      <c r="X193" s="3"/>
      <c r="Y193" s="3"/>
      <c r="Z193" s="3" t="str">
        <f ca="1">IFERROR(__xludf.DUMMYFUNCTION("""COMPUTED_VALUE"""),"podklady@cncenter.cz")</f>
        <v>podklady@cncenter.cz</v>
      </c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 t="str">
        <f ca="1">IFERROR(__xludf.DUMMYFUNCTION("""COMPUTED_VALUE"""),"desktop")</f>
        <v>desktop</v>
      </c>
      <c r="AO193" s="3"/>
      <c r="AP193" s="3"/>
      <c r="AQ193" s="3"/>
      <c r="AR193" s="3"/>
      <c r="AS193" s="3"/>
      <c r="AT193" s="3"/>
      <c r="AU193" s="3" t="str">
        <f ca="1">IFERROR(__xludf.DUMMYFUNCTION("""COMPUTED_VALUE"""),"cílený mini videospot - max. 30 sec.")</f>
        <v>cílený mini videospot - max. 30 sec.</v>
      </c>
    </row>
    <row r="194" spans="1:47" x14ac:dyDescent="0.3">
      <c r="A194" s="3">
        <f ca="1"/>
        <v>2346826</v>
      </c>
      <c r="B194" s="3" t="str">
        <f ca="1"/>
        <v>CZECH NEWS CENTER a. s.</v>
      </c>
      <c r="C194" s="3" t="str">
        <f ca="1">IFERROR(__xludf.DUMMYFUNCTION("""COMPUTED_VALUE"""),"Blesk floating")</f>
        <v>Blesk floating</v>
      </c>
      <c r="D194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4" s="3" t="str">
        <f ca="1">IFERROR(__xludf.DUMMYFUNCTION("""COMPUTED_VALUE"""),"celý web")</f>
        <v>celý web</v>
      </c>
      <c r="F194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4" s="3" t="str">
        <f ca="1">IFERROR(__xludf.DUMMYFUNCTION("""COMPUTED_VALUE"""),"cílený mobilní interscroller high season")</f>
        <v>cílený mobilní interscroller high season</v>
      </c>
      <c r="H194" s="3">
        <f ca="1">IFERROR(__xludf.DUMMYFUNCTION("""COMPUTED_VALUE"""),7)</f>
        <v>7</v>
      </c>
      <c r="I194" s="5">
        <f ca="1">IFERROR(__xludf.DUMMYFUNCTION("""COMPUTED_VALUE"""),1000)</f>
        <v>1000</v>
      </c>
      <c r="J194" s="5">
        <f ca="1">IFERROR(__xludf.DUMMYFUNCTION("""COMPUTED_VALUE"""),456)</f>
        <v>456</v>
      </c>
      <c r="K194" s="3"/>
      <c r="L194" s="3" t="str">
        <f ca="1">IFERROR(__xludf.DUMMYFUNCTION("""COMPUTED_VALUE"""),"Cost per period")</f>
        <v>Cost per period</v>
      </c>
      <c r="M194" s="3"/>
      <c r="N194" s="3"/>
      <c r="O194" s="3" t="str">
        <f ca="1">IFERROR(__xludf.DUMMYFUNCTION("""COMPUTED_VALUE"""),"600")</f>
        <v>600</v>
      </c>
      <c r="P194" s="3" t="str">
        <f ca="1">IFERROR(__xludf.DUMMYFUNCTION("""COMPUTED_VALUE"""),"1080")</f>
        <v>1080</v>
      </c>
      <c r="Q194" s="3" t="str">
        <f ca="1">IFERROR(__xludf.DUMMYFUNCTION("""COMPUTED_VALUE"""),"600x1080")</f>
        <v>600x1080</v>
      </c>
      <c r="R194" s="3"/>
      <c r="S194" s="3" t="str">
        <f ca="1">IFERROR(__xludf.DUMMYFUNCTION("""COMPUTED_VALUE"""),"200")</f>
        <v>200</v>
      </c>
      <c r="T194" s="3"/>
      <c r="U194" s="3" t="str">
        <f ca="1">IFERROR(__xludf.DUMMYFUNCTION("""COMPUTED_VALUE"""),"banner standard")</f>
        <v>banner standard</v>
      </c>
      <c r="V194" s="3"/>
      <c r="W194" s="4" t="str">
        <f ca="1">IFERROR(__xludf.DUMMYFUNCTION("""COMPUTED_VALUE"""),"https://reklama.cncenter.cz/Online/mobilni-interscroller")</f>
        <v>https://reklama.cncenter.cz/Online/mobilni-interscroller</v>
      </c>
      <c r="X194" s="3"/>
      <c r="Y194" s="3"/>
      <c r="Z194" s="3" t="str">
        <f ca="1">IFERROR(__xludf.DUMMYFUNCTION("""COMPUTED_VALUE"""),"podklady@cncenter.cz")</f>
        <v>podklady@cncenter.cz</v>
      </c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 t="str">
        <f ca="1">IFERROR(__xludf.DUMMYFUNCTION("""COMPUTED_VALUE"""),"mobile")</f>
        <v>mobile</v>
      </c>
      <c r="AO194" s="3"/>
      <c r="AP194" s="3"/>
      <c r="AQ194" s="3"/>
      <c r="AR194" s="3"/>
      <c r="AS194" s="3"/>
      <c r="AT194" s="3"/>
      <c r="AU194" s="3" t="str">
        <f ca="1">IFERROR(__xludf.DUMMYFUNCTION("""COMPUTED_VALUE"""),"cílený mobilní interscroller")</f>
        <v>cílený mobilní interscroller</v>
      </c>
    </row>
    <row r="195" spans="1:47" x14ac:dyDescent="0.3">
      <c r="A195" s="3">
        <f ca="1"/>
        <v>2346826</v>
      </c>
      <c r="B195" s="3" t="str">
        <f ca="1"/>
        <v>CZECH NEWS CENTER a. s.</v>
      </c>
      <c r="C195" s="3" t="str">
        <f ca="1">IFERROR(__xludf.DUMMYFUNCTION("""COMPUTED_VALUE"""),"Blesk floating")</f>
        <v>Blesk floating</v>
      </c>
      <c r="D195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5" s="3" t="str">
        <f ca="1">IFERROR(__xludf.DUMMYFUNCTION("""COMPUTED_VALUE"""),"celý web")</f>
        <v>celý web</v>
      </c>
      <c r="F195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5" s="3" t="str">
        <f ca="1">IFERROR(__xludf.DUMMYFUNCTION("""COMPUTED_VALUE"""),"cílený mobilní slide-up high season")</f>
        <v>cílený mobilní slide-up high season</v>
      </c>
      <c r="H195" s="3">
        <f ca="1">IFERROR(__xludf.DUMMYFUNCTION("""COMPUTED_VALUE"""),7)</f>
        <v>7</v>
      </c>
      <c r="I195" s="5">
        <f ca="1">IFERROR(__xludf.DUMMYFUNCTION("""COMPUTED_VALUE"""),1000)</f>
        <v>1000</v>
      </c>
      <c r="J195" s="5">
        <f ca="1">IFERROR(__xludf.DUMMYFUNCTION("""COMPUTED_VALUE"""),972)</f>
        <v>972</v>
      </c>
      <c r="K195" s="3"/>
      <c r="L195" s="3" t="str">
        <f ca="1">IFERROR(__xludf.DUMMYFUNCTION("""COMPUTED_VALUE"""),"Cost per period")</f>
        <v>Cost per period</v>
      </c>
      <c r="M195" s="3"/>
      <c r="N195" s="3"/>
      <c r="O195" s="3" t="str">
        <f ca="1">IFERROR(__xludf.DUMMYFUNCTION("""COMPUTED_VALUE"""),"300")</f>
        <v>300</v>
      </c>
      <c r="P195" s="3" t="str">
        <f ca="1">IFERROR(__xludf.DUMMYFUNCTION("""COMPUTED_VALUE"""),"120")</f>
        <v>120</v>
      </c>
      <c r="Q195" s="3" t="str">
        <f ca="1">IFERROR(__xludf.DUMMYFUNCTION("""COMPUTED_VALUE"""),"300x120")</f>
        <v>300x120</v>
      </c>
      <c r="R195" s="3"/>
      <c r="S195" s="3" t="str">
        <f ca="1">IFERROR(__xludf.DUMMYFUNCTION("""COMPUTED_VALUE"""),"100")</f>
        <v>100</v>
      </c>
      <c r="T195" s="3"/>
      <c r="U195" s="3" t="str">
        <f ca="1">IFERROR(__xludf.DUMMYFUNCTION("""COMPUTED_VALUE"""),"banner standard")</f>
        <v>banner standard</v>
      </c>
      <c r="V195" s="3"/>
      <c r="W195" s="4" t="str">
        <f ca="1">IFERROR(__xludf.DUMMYFUNCTION("""COMPUTED_VALUE"""),"https://reklama.cncenter.cz/Online/mobilni-slide-up")</f>
        <v>https://reklama.cncenter.cz/Online/mobilni-slide-up</v>
      </c>
      <c r="X195" s="3"/>
      <c r="Y195" s="3"/>
      <c r="Z195" s="3" t="str">
        <f ca="1">IFERROR(__xludf.DUMMYFUNCTION("""COMPUTED_VALUE"""),"podklady@cncenter.cz")</f>
        <v>podklady@cncenter.cz</v>
      </c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 t="str">
        <f ca="1">IFERROR(__xludf.DUMMYFUNCTION("""COMPUTED_VALUE"""),"mobile")</f>
        <v>mobile</v>
      </c>
      <c r="AO195" s="3"/>
      <c r="AP195" s="3"/>
      <c r="AQ195" s="3"/>
      <c r="AR195" s="3"/>
      <c r="AS195" s="3"/>
      <c r="AT195" s="3"/>
      <c r="AU195" s="3" t="str">
        <f ca="1">IFERROR(__xludf.DUMMYFUNCTION("""COMPUTED_VALUE"""),"cílený mobilní slide-up")</f>
        <v>cílený mobilní slide-up</v>
      </c>
    </row>
    <row r="196" spans="1:47" x14ac:dyDescent="0.3">
      <c r="A196" s="3">
        <f ca="1"/>
        <v>2346826</v>
      </c>
      <c r="B196" s="3" t="str">
        <f ca="1"/>
        <v>CZECH NEWS CENTER a. s.</v>
      </c>
      <c r="C196" s="3" t="str">
        <f ca="1">IFERROR(__xludf.DUMMYFUNCTION("""COMPUTED_VALUE"""),"Blesk floating")</f>
        <v>Blesk floating</v>
      </c>
      <c r="D196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6" s="3" t="str">
        <f ca="1">IFERROR(__xludf.DUMMYFUNCTION("""COMPUTED_VALUE"""),"celý web")</f>
        <v>celý web</v>
      </c>
      <c r="F196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6" s="3" t="str">
        <f ca="1">IFERROR(__xludf.DUMMYFUNCTION("""COMPUTED_VALUE"""),"cílený mobilní viněta high season")</f>
        <v>cílený mobilní viněta high season</v>
      </c>
      <c r="H196" s="3">
        <f ca="1">IFERROR(__xludf.DUMMYFUNCTION("""COMPUTED_VALUE"""),7)</f>
        <v>7</v>
      </c>
      <c r="I196" s="5">
        <f ca="1">IFERROR(__xludf.DUMMYFUNCTION("""COMPUTED_VALUE"""),1000)</f>
        <v>1000</v>
      </c>
      <c r="J196" s="5">
        <f ca="1">IFERROR(__xludf.DUMMYFUNCTION("""COMPUTED_VALUE"""),1296)</f>
        <v>1296</v>
      </c>
      <c r="K196" s="3"/>
      <c r="L196" s="3" t="str">
        <f ca="1">IFERROR(__xludf.DUMMYFUNCTION("""COMPUTED_VALUE"""),"Cost per period")</f>
        <v>Cost per period</v>
      </c>
      <c r="M196" s="3"/>
      <c r="N196" s="3"/>
      <c r="O196" s="3" t="str">
        <f ca="1">IFERROR(__xludf.DUMMYFUNCTION("""COMPUTED_VALUE"""),"600")</f>
        <v>600</v>
      </c>
      <c r="P196" s="3" t="str">
        <f ca="1">IFERROR(__xludf.DUMMYFUNCTION("""COMPUTED_VALUE"""),"800")</f>
        <v>800</v>
      </c>
      <c r="Q196" s="3" t="str">
        <f ca="1">IFERROR(__xludf.DUMMYFUNCTION("""COMPUTED_VALUE"""),"300x250 nebo 600x800")</f>
        <v>300x250 nebo 600x800</v>
      </c>
      <c r="R196" s="3"/>
      <c r="S196" s="3" t="str">
        <f ca="1">IFERROR(__xludf.DUMMYFUNCTION("""COMPUTED_VALUE"""),"100")</f>
        <v>100</v>
      </c>
      <c r="T196" s="3"/>
      <c r="U196" s="3" t="str">
        <f ca="1">IFERROR(__xludf.DUMMYFUNCTION("""COMPUTED_VALUE"""),"banner standard")</f>
        <v>banner standard</v>
      </c>
      <c r="V196" s="3"/>
      <c r="W196" s="4" t="str">
        <f ca="1">IFERROR(__xludf.DUMMYFUNCTION("""COMPUTED_VALUE"""),"https://reklama.cncenter.cz/Online/mobilni-vineta")</f>
        <v>https://reklama.cncenter.cz/Online/mobilni-vineta</v>
      </c>
      <c r="X196" s="3"/>
      <c r="Y196" s="3"/>
      <c r="Z196" s="3" t="str">
        <f ca="1">IFERROR(__xludf.DUMMYFUNCTION("""COMPUTED_VALUE"""),"podklady@cncenter.cz")</f>
        <v>podklady@cncenter.cz</v>
      </c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 t="str">
        <f ca="1">IFERROR(__xludf.DUMMYFUNCTION("""COMPUTED_VALUE"""),"mobile")</f>
        <v>mobile</v>
      </c>
      <c r="AO196" s="3"/>
      <c r="AP196" s="3"/>
      <c r="AQ196" s="3"/>
      <c r="AR196" s="3"/>
      <c r="AS196" s="3"/>
      <c r="AT196" s="3"/>
      <c r="AU196" s="3" t="str">
        <f ca="1">IFERROR(__xludf.DUMMYFUNCTION("""COMPUTED_VALUE"""),"cílený mobilní viněta")</f>
        <v>cílený mobilní viněta</v>
      </c>
    </row>
    <row r="197" spans="1:47" x14ac:dyDescent="0.3">
      <c r="A197" s="3">
        <f ca="1"/>
        <v>2346826</v>
      </c>
      <c r="B197" s="3" t="str">
        <f ca="1"/>
        <v>CZECH NEWS CENTER a. s.</v>
      </c>
      <c r="C197" s="3" t="str">
        <f ca="1">IFERROR(__xludf.DUMMYFUNCTION("""COMPUTED_VALUE"""),"Blesk floating")</f>
        <v>Blesk floating</v>
      </c>
      <c r="D197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7" s="3" t="str">
        <f ca="1">IFERROR(__xludf.DUMMYFUNCTION("""COMPUTED_VALUE"""),"celý web")</f>
        <v>celý web</v>
      </c>
      <c r="F197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7" s="3" t="str">
        <f ca="1">IFERROR(__xludf.DUMMYFUNCTION("""COMPUTED_VALUE"""),"cílený nativní rectangle cross-device high season")</f>
        <v>cílený nativní rectangle cross-device high season</v>
      </c>
      <c r="H197" s="3">
        <f ca="1">IFERROR(__xludf.DUMMYFUNCTION("""COMPUTED_VALUE"""),7)</f>
        <v>7</v>
      </c>
      <c r="I197" s="5">
        <f ca="1">IFERROR(__xludf.DUMMYFUNCTION("""COMPUTED_VALUE"""),1000)</f>
        <v>1000</v>
      </c>
      <c r="J197" s="5">
        <f ca="1">IFERROR(__xludf.DUMMYFUNCTION("""COMPUTED_VALUE"""),396)</f>
        <v>396</v>
      </c>
      <c r="K197" s="3"/>
      <c r="L197" s="3" t="str">
        <f ca="1">IFERROR(__xludf.DUMMYFUNCTION("""COMPUTED_VALUE"""),"Cost per period")</f>
        <v>Cost per period</v>
      </c>
      <c r="M197" s="3"/>
      <c r="N197" s="3"/>
      <c r="O197" s="3" t="str">
        <f ca="1">IFERROR(__xludf.DUMMYFUNCTION("""COMPUTED_VALUE"""),"640")</f>
        <v>640</v>
      </c>
      <c r="P197" s="3" t="str">
        <f ca="1">IFERROR(__xludf.DUMMYFUNCTION("""COMPUTED_VALUE"""),"335, 640")</f>
        <v>335, 640</v>
      </c>
      <c r="Q197" s="3" t="str">
        <f ca="1">IFERROR(__xludf.DUMMYFUNCTION("""COMPUTED_VALUE"""),"640x640 a 640x335 + text + logo")</f>
        <v>640x640 a 640x335 + text + logo</v>
      </c>
      <c r="R197" s="3"/>
      <c r="S197" s="3" t="str">
        <f ca="1">IFERROR(__xludf.DUMMYFUNCTION("""COMPUTED_VALUE"""),"45")</f>
        <v>45</v>
      </c>
      <c r="T197" s="3"/>
      <c r="U197" s="3" t="str">
        <f ca="1">IFERROR(__xludf.DUMMYFUNCTION("""COMPUTED_VALUE"""),"nativní reklama")</f>
        <v>nativní reklama</v>
      </c>
      <c r="V197" s="3"/>
      <c r="W197" s="4" t="str">
        <f ca="1">IFERROR(__xludf.DUMMYFUNCTION("""COMPUTED_VALUE"""),"https://reklama.cncenter.cz/Online/nativni-rectangle-cross-device")</f>
        <v>https://reklama.cncenter.cz/Online/nativni-rectangle-cross-device</v>
      </c>
      <c r="X197" s="3"/>
      <c r="Y197" s="3"/>
      <c r="Z197" s="3" t="str">
        <f ca="1">IFERROR(__xludf.DUMMYFUNCTION("""COMPUTED_VALUE"""),"podklady@cncenter.cz")</f>
        <v>podklady@cncenter.cz</v>
      </c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 t="str">
        <f ca="1">IFERROR(__xludf.DUMMYFUNCTION("""COMPUTED_VALUE"""),"cross-device")</f>
        <v>cross-device</v>
      </c>
      <c r="AO197" s="3"/>
      <c r="AP197" s="3"/>
      <c r="AQ197" s="3"/>
      <c r="AR197" s="3"/>
      <c r="AS197" s="3"/>
      <c r="AT197" s="3"/>
      <c r="AU197" s="3" t="str">
        <f ca="1">IFERROR(__xludf.DUMMYFUNCTION("""COMPUTED_VALUE"""),"cílený nativní rectangle cross-device")</f>
        <v>cílený nativní rectangle cross-device</v>
      </c>
    </row>
    <row r="198" spans="1:47" x14ac:dyDescent="0.3">
      <c r="A198" s="3">
        <f ca="1"/>
        <v>2346826</v>
      </c>
      <c r="B198" s="3" t="str">
        <f ca="1"/>
        <v>CZECH NEWS CENTER a. s.</v>
      </c>
      <c r="C198" s="3" t="str">
        <f ca="1">IFERROR(__xludf.DUMMYFUNCTION("""COMPUTED_VALUE"""),"Blesk floating")</f>
        <v>Blesk floating</v>
      </c>
      <c r="D198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8" s="3" t="str">
        <f ca="1">IFERROR(__xludf.DUMMYFUNCTION("""COMPUTED_VALUE"""),"celý web")</f>
        <v>celý web</v>
      </c>
      <c r="F198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8" s="3" t="str">
        <f ca="1">IFERROR(__xludf.DUMMYFUNCTION("""COMPUTED_VALUE"""),"cílený outstream high season")</f>
        <v>cílený outstream high season</v>
      </c>
      <c r="H198" s="3">
        <f ca="1">IFERROR(__xludf.DUMMYFUNCTION("""COMPUTED_VALUE"""),7)</f>
        <v>7</v>
      </c>
      <c r="I198" s="5">
        <f ca="1">IFERROR(__xludf.DUMMYFUNCTION("""COMPUTED_VALUE"""),1000)</f>
        <v>1000</v>
      </c>
      <c r="J198" s="5">
        <f ca="1">IFERROR(__xludf.DUMMYFUNCTION("""COMPUTED_VALUE"""),504)</f>
        <v>504</v>
      </c>
      <c r="K198" s="3"/>
      <c r="L198" s="3" t="str">
        <f ca="1">IFERROR(__xludf.DUMMYFUNCTION("""COMPUTED_VALUE"""),"Cost per period")</f>
        <v>Cost per period</v>
      </c>
      <c r="M198" s="3"/>
      <c r="N198" s="3"/>
      <c r="O198" s="3" t="str">
        <f ca="1">IFERROR(__xludf.DUMMYFUNCTION("""COMPUTED_VALUE"""),"1280")</f>
        <v>1280</v>
      </c>
      <c r="P198" s="3" t="str">
        <f ca="1">IFERROR(__xludf.DUMMYFUNCTION("""COMPUTED_VALUE"""),"720")</f>
        <v>720</v>
      </c>
      <c r="Q198" s="3" t="str">
        <f ca="1">IFERROR(__xludf.DUMMYFUNCTION("""COMPUTED_VALUE"""),"16:9")</f>
        <v>16:9</v>
      </c>
      <c r="R198" s="3"/>
      <c r="S198" s="3" t="str">
        <f ca="1">IFERROR(__xludf.DUMMYFUNCTION("""COMPUTED_VALUE"""),"100")</f>
        <v>100</v>
      </c>
      <c r="T198" s="3"/>
      <c r="U198" s="3" t="str">
        <f ca="1">IFERROR(__xludf.DUMMYFUNCTION("""COMPUTED_VALUE"""),"videospot")</f>
        <v>videospot</v>
      </c>
      <c r="V198" s="3"/>
      <c r="W198" s="4" t="str">
        <f ca="1">IFERROR(__xludf.DUMMYFUNCTION("""COMPUTED_VALUE"""),"https://reklama.cncenter.cz/Online/Outstream")</f>
        <v>https://reklama.cncenter.cz/Online/Outstream</v>
      </c>
      <c r="X198" s="3"/>
      <c r="Y198" s="3"/>
      <c r="Z198" s="3" t="str">
        <f ca="1">IFERROR(__xludf.DUMMYFUNCTION("""COMPUTED_VALUE"""),"podklady@cncenter.cz")</f>
        <v>podklady@cncenter.cz</v>
      </c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 t="str">
        <f ca="1">IFERROR(__xludf.DUMMYFUNCTION("""COMPUTED_VALUE"""),"cross-device")</f>
        <v>cross-device</v>
      </c>
      <c r="AO198" s="3"/>
      <c r="AP198" s="3"/>
      <c r="AQ198" s="3"/>
      <c r="AR198" s="3"/>
      <c r="AS198" s="3"/>
      <c r="AT198" s="3"/>
      <c r="AU198" s="3" t="str">
        <f ca="1">IFERROR(__xludf.DUMMYFUNCTION("""COMPUTED_VALUE"""),"cílený outstream")</f>
        <v>cílený outstream</v>
      </c>
    </row>
    <row r="199" spans="1:47" x14ac:dyDescent="0.3">
      <c r="A199" s="3">
        <f ca="1"/>
        <v>2346826</v>
      </c>
      <c r="B199" s="3" t="str">
        <f ca="1"/>
        <v>CZECH NEWS CENTER a. s.</v>
      </c>
      <c r="C199" s="3" t="str">
        <f ca="1">IFERROR(__xludf.DUMMYFUNCTION("""COMPUTED_VALUE"""),"Blesk floating")</f>
        <v>Blesk floating</v>
      </c>
      <c r="D199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199" s="3" t="str">
        <f ca="1">IFERROR(__xludf.DUMMYFUNCTION("""COMPUTED_VALUE"""),"celý web")</f>
        <v>celý web</v>
      </c>
      <c r="F199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199" s="3" t="str">
        <f ca="1">IFERROR(__xludf.DUMMYFUNCTION("""COMPUTED_VALUE"""),"cílený Smarticle high season")</f>
        <v>cílený Smarticle high season</v>
      </c>
      <c r="H199" s="3">
        <f ca="1">IFERROR(__xludf.DUMMYFUNCTION("""COMPUTED_VALUE"""),7)</f>
        <v>7</v>
      </c>
      <c r="I199" s="5">
        <f ca="1">IFERROR(__xludf.DUMMYFUNCTION("""COMPUTED_VALUE"""),1000)</f>
        <v>1000</v>
      </c>
      <c r="J199" s="5">
        <f ca="1">IFERROR(__xludf.DUMMYFUNCTION("""COMPUTED_VALUE"""),240)</f>
        <v>240</v>
      </c>
      <c r="K199" s="3"/>
      <c r="L199" s="3" t="str">
        <f ca="1">IFERROR(__xludf.DUMMYFUNCTION("""COMPUTED_VALUE"""),"Cost per period")</f>
        <v>Cost per period</v>
      </c>
      <c r="M199" s="3"/>
      <c r="N199" s="3" t="str">
        <f ca="1">IFERROR(__xludf.DUMMYFUNCTION("""COMPUTED_VALUE"""),"A4")</f>
        <v>A4</v>
      </c>
      <c r="O199" s="3"/>
      <c r="P199" s="3"/>
      <c r="Q199" s="3" t="str">
        <f ca="1">IFERROR(__xludf.DUMMYFUNCTION("""COMPUTED_VALUE"""),"viz. tech.specifikace; HP + sekce")</f>
        <v>viz. tech.specifikace; HP + sekce</v>
      </c>
      <c r="R199" s="3" t="str">
        <f ca="1">IFERROR(__xludf.DUMMYFUNCTION("""COMPUTED_VALUE"""),"HP + sekce")</f>
        <v>HP + sekce</v>
      </c>
      <c r="S199" s="3" t="str">
        <f ca="1">IFERROR(__xludf.DUMMYFUNCTION("""COMPUTED_VALUE"""),"100")</f>
        <v>100</v>
      </c>
      <c r="T199" s="3"/>
      <c r="U199" s="3" t="str">
        <f ca="1">IFERROR(__xludf.DUMMYFUNCTION("""COMPUTED_VALUE"""),"pr článek")</f>
        <v>pr článek</v>
      </c>
      <c r="V199" s="3"/>
      <c r="W199" s="4" t="str">
        <f ca="1">IFERROR(__xludf.DUMMYFUNCTION("""COMPUTED_VALUE"""),"https://reklama.cncenter.cz/Online/Smarticle")</f>
        <v>https://reklama.cncenter.cz/Online/Smarticle</v>
      </c>
      <c r="X199" s="3"/>
      <c r="Y199" s="3"/>
      <c r="Z199" s="3" t="str">
        <f ca="1">IFERROR(__xludf.DUMMYFUNCTION("""COMPUTED_VALUE"""),"podklady@cncenter.cz")</f>
        <v>podklady@cncenter.cz</v>
      </c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 t="str">
        <f ca="1">IFERROR(__xludf.DUMMYFUNCTION("""COMPUTED_VALUE"""),"cross-device")</f>
        <v>cross-device</v>
      </c>
      <c r="AO199" s="3"/>
      <c r="AP199" s="3"/>
      <c r="AQ199" s="3"/>
      <c r="AR199" s="3"/>
      <c r="AS199" s="3"/>
      <c r="AT199" s="3"/>
      <c r="AU199" s="3" t="str">
        <f ca="1">IFERROR(__xludf.DUMMYFUNCTION("""COMPUTED_VALUE"""),"cílený Smarticle")</f>
        <v>cílený Smarticle</v>
      </c>
    </row>
    <row r="200" spans="1:47" x14ac:dyDescent="0.3">
      <c r="A200" s="3">
        <f ca="1"/>
        <v>2346826</v>
      </c>
      <c r="B200" s="3" t="str">
        <f ca="1"/>
        <v>CZECH NEWS CENTER a. s.</v>
      </c>
      <c r="C200" s="3" t="str">
        <f ca="1">IFERROR(__xludf.DUMMYFUNCTION("""COMPUTED_VALUE"""),"Blesk floating")</f>
        <v>Blesk floating</v>
      </c>
      <c r="D200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0" s="3" t="str">
        <f ca="1">IFERROR(__xludf.DUMMYFUNCTION("""COMPUTED_VALUE"""),"celý web")</f>
        <v>celý web</v>
      </c>
      <c r="F200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0" s="3" t="str">
        <f ca="1">IFERROR(__xludf.DUMMYFUNCTION("""COMPUTED_VALUE"""),"cílený videospot - max. 30 sec. / bumper high season")</f>
        <v>cílený videospot - max. 30 sec. / bumper high season</v>
      </c>
      <c r="H200" s="3">
        <f ca="1">IFERROR(__xludf.DUMMYFUNCTION("""COMPUTED_VALUE"""),7)</f>
        <v>7</v>
      </c>
      <c r="I200" s="5">
        <f ca="1">IFERROR(__xludf.DUMMYFUNCTION("""COMPUTED_VALUE"""),1000)</f>
        <v>1000</v>
      </c>
      <c r="J200" s="5">
        <f ca="1">IFERROR(__xludf.DUMMYFUNCTION("""COMPUTED_VALUE"""),1536)</f>
        <v>1536</v>
      </c>
      <c r="K200" s="3"/>
      <c r="L200" s="3" t="str">
        <f ca="1">IFERROR(__xludf.DUMMYFUNCTION("""COMPUTED_VALUE"""),"Cost per period")</f>
        <v>Cost per period</v>
      </c>
      <c r="M200" s="3"/>
      <c r="N200" s="3"/>
      <c r="O200" s="3" t="str">
        <f ca="1">IFERROR(__xludf.DUMMYFUNCTION("""COMPUTED_VALUE"""),"1280")</f>
        <v>1280</v>
      </c>
      <c r="P200" s="3" t="str">
        <f ca="1">IFERROR(__xludf.DUMMYFUNCTION("""COMPUTED_VALUE"""),"720")</f>
        <v>720</v>
      </c>
      <c r="Q200" s="3" t="str">
        <f ca="1">IFERROR(__xludf.DUMMYFUNCTION("""COMPUTED_VALUE"""),"16:9 / umístění po domluvě dle možností")</f>
        <v>16:9 / umístění po domluvě dle možností</v>
      </c>
      <c r="R200" s="3" t="str">
        <f ca="1">IFERROR(__xludf.DUMMYFUNCTION("""COMPUTED_VALUE"""),"přeskočení po 7 sekundách")</f>
        <v>přeskočení po 7 sekundách</v>
      </c>
      <c r="S200" s="3" t="str">
        <f ca="1">IFERROR(__xludf.DUMMYFUNCTION("""COMPUTED_VALUE"""),"100")</f>
        <v>100</v>
      </c>
      <c r="T200" s="3"/>
      <c r="U200" s="3" t="str">
        <f ca="1">IFERROR(__xludf.DUMMYFUNCTION("""COMPUTED_VALUE"""),"videospot")</f>
        <v>videospot</v>
      </c>
      <c r="V200" s="3"/>
      <c r="W200" s="4" t="str">
        <f ca="1">IFERROR(__xludf.DUMMYFUNCTION("""COMPUTED_VALUE"""),"https://reklama.cncenter.cz/Online/Bumper")</f>
        <v>https://reklama.cncenter.cz/Online/Bumper</v>
      </c>
      <c r="X200" s="3"/>
      <c r="Y200" s="3"/>
      <c r="Z200" s="3" t="str">
        <f ca="1">IFERROR(__xludf.DUMMYFUNCTION("""COMPUTED_VALUE"""),"podklady@cncenter.cz")</f>
        <v>podklady@cncenter.cz</v>
      </c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 t="str">
        <f ca="1">IFERROR(__xludf.DUMMYFUNCTION("""COMPUTED_VALUE"""),"cross-device")</f>
        <v>cross-device</v>
      </c>
      <c r="AO200" s="3"/>
      <c r="AP200" s="3"/>
      <c r="AQ200" s="3"/>
      <c r="AR200" s="3"/>
      <c r="AS200" s="3"/>
      <c r="AT200" s="3"/>
      <c r="AU200" s="3" t="str">
        <f ca="1">IFERROR(__xludf.DUMMYFUNCTION("""COMPUTED_VALUE"""),"cílený videospot - max. 30 sec. / bumper")</f>
        <v>cílený videospot - max. 30 sec. / bumper</v>
      </c>
    </row>
    <row r="201" spans="1:47" x14ac:dyDescent="0.3">
      <c r="A201" s="3">
        <f ca="1"/>
        <v>2346826</v>
      </c>
      <c r="B201" s="3" t="str">
        <f ca="1"/>
        <v>CZECH NEWS CENTER a. s.</v>
      </c>
      <c r="C201" s="3" t="str">
        <f ca="1">IFERROR(__xludf.DUMMYFUNCTION("""COMPUTED_VALUE"""),"Blesk floating")</f>
        <v>Blesk floating</v>
      </c>
      <c r="D201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1" s="3" t="str">
        <f ca="1">IFERROR(__xludf.DUMMYFUNCTION("""COMPUTED_VALUE"""),"celý web")</f>
        <v>celý web</v>
      </c>
      <c r="F201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1" s="3" t="str">
        <f ca="1">IFERROR(__xludf.DUMMYFUNCTION("""COMPUTED_VALUE"""),"double skyscraper high season")</f>
        <v>double skyscraper high season</v>
      </c>
      <c r="H201" s="3">
        <f ca="1">IFERROR(__xludf.DUMMYFUNCTION("""COMPUTED_VALUE"""),7)</f>
        <v>7</v>
      </c>
      <c r="I201" s="5">
        <f ca="1">IFERROR(__xludf.DUMMYFUNCTION("""COMPUTED_VALUE"""),1000)</f>
        <v>1000</v>
      </c>
      <c r="J201" s="5">
        <f ca="1">IFERROR(__xludf.DUMMYFUNCTION("""COMPUTED_VALUE"""),290)</f>
        <v>290</v>
      </c>
      <c r="K201" s="3"/>
      <c r="L201" s="3" t="str">
        <f ca="1">IFERROR(__xludf.DUMMYFUNCTION("""COMPUTED_VALUE"""),"Cost per period")</f>
        <v>Cost per period</v>
      </c>
      <c r="M201" s="3"/>
      <c r="N201" s="3"/>
      <c r="O201" s="3" t="str">
        <f ca="1">IFERROR(__xludf.DUMMYFUNCTION("""COMPUTED_VALUE"""),"300")</f>
        <v>300</v>
      </c>
      <c r="P201" s="3" t="str">
        <f ca="1">IFERROR(__xludf.DUMMYFUNCTION("""COMPUTED_VALUE"""),"600")</f>
        <v>600</v>
      </c>
      <c r="Q201" s="3" t="str">
        <f ca="1">IFERROR(__xludf.DUMMYFUNCTION("""COMPUTED_VALUE"""),"300x600")</f>
        <v>300x600</v>
      </c>
      <c r="R201" s="3"/>
      <c r="S201" s="3" t="str">
        <f ca="1">IFERROR(__xludf.DUMMYFUNCTION("""COMPUTED_VALUE"""),"100 (200 - HTML5)")</f>
        <v>100 (200 - HTML5)</v>
      </c>
      <c r="T201" s="3"/>
      <c r="U201" s="3" t="str">
        <f ca="1">IFERROR(__xludf.DUMMYFUNCTION("""COMPUTED_VALUE"""),"banner standard")</f>
        <v>banner standard</v>
      </c>
      <c r="V201" s="3"/>
      <c r="W201" s="4" t="str">
        <f ca="1">IFERROR(__xludf.DUMMYFUNCTION("""COMPUTED_VALUE"""),"https://reklama.cncenter.cz/Online/double-skyscraper")</f>
        <v>https://reklama.cncenter.cz/Online/double-skyscraper</v>
      </c>
      <c r="X201" s="3"/>
      <c r="Y201" s="3"/>
      <c r="Z201" s="3" t="str">
        <f ca="1">IFERROR(__xludf.DUMMYFUNCTION("""COMPUTED_VALUE"""),"podklady@cncenter.cz")</f>
        <v>podklady@cncenter.cz</v>
      </c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 t="str">
        <f ca="1">IFERROR(__xludf.DUMMYFUNCTION("""COMPUTED_VALUE"""),"desktop")</f>
        <v>desktop</v>
      </c>
      <c r="AO201" s="3"/>
      <c r="AP201" s="3"/>
      <c r="AQ201" s="3"/>
      <c r="AR201" s="3"/>
      <c r="AS201" s="3"/>
      <c r="AT201" s="3"/>
      <c r="AU201" s="3" t="str">
        <f ca="1">IFERROR(__xludf.DUMMYFUNCTION("""COMPUTED_VALUE"""),"double skyscraper")</f>
        <v>double skyscraper</v>
      </c>
    </row>
    <row r="202" spans="1:47" x14ac:dyDescent="0.3">
      <c r="A202" s="3">
        <f ca="1"/>
        <v>2346826</v>
      </c>
      <c r="B202" s="3" t="str">
        <f ca="1"/>
        <v>CZECH NEWS CENTER a. s.</v>
      </c>
      <c r="C202" s="3" t="str">
        <f ca="1">IFERROR(__xludf.DUMMYFUNCTION("""COMPUTED_VALUE"""),"Blesk floating")</f>
        <v>Blesk floating</v>
      </c>
      <c r="D202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2" s="3" t="str">
        <f ca="1">IFERROR(__xludf.DUMMYFUNCTION("""COMPUTED_VALUE"""),"celý web")</f>
        <v>celý web</v>
      </c>
      <c r="F202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2" s="3" t="str">
        <f ca="1">IFERROR(__xludf.DUMMYFUNCTION("""COMPUTED_VALUE"""),"mini videospot - max. 30 sec. high season")</f>
        <v>mini videospot - max. 30 sec. high season</v>
      </c>
      <c r="H202" s="3">
        <f ca="1">IFERROR(__xludf.DUMMYFUNCTION("""COMPUTED_VALUE"""),7)</f>
        <v>7</v>
      </c>
      <c r="I202" s="5">
        <f ca="1">IFERROR(__xludf.DUMMYFUNCTION("""COMPUTED_VALUE"""),1000)</f>
        <v>1000</v>
      </c>
      <c r="J202" s="5">
        <f ca="1">IFERROR(__xludf.DUMMYFUNCTION("""COMPUTED_VALUE"""),290)</f>
        <v>290</v>
      </c>
      <c r="K202" s="3"/>
      <c r="L202" s="3" t="str">
        <f ca="1">IFERROR(__xludf.DUMMYFUNCTION("""COMPUTED_VALUE"""),"Cost per period")</f>
        <v>Cost per period</v>
      </c>
      <c r="M202" s="3"/>
      <c r="N202" s="3"/>
      <c r="O202" s="3"/>
      <c r="P202" s="3"/>
      <c r="Q202" s="3" t="str">
        <f ca="1">IFERROR(__xludf.DUMMYFUNCTION("""COMPUTED_VALUE"""),"16:9 / umístění po domluvě dle možností")</f>
        <v>16:9 / umístění po domluvě dle možností</v>
      </c>
      <c r="R202" s="3" t="str">
        <f ca="1">IFERROR(__xludf.DUMMYFUNCTION("""COMPUTED_VALUE"""),"přeskočení po 7 sekundách")</f>
        <v>přeskočení po 7 sekundách</v>
      </c>
      <c r="S202" s="3" t="str">
        <f ca="1">IFERROR(__xludf.DUMMYFUNCTION("""COMPUTED_VALUE"""),"100")</f>
        <v>100</v>
      </c>
      <c r="T202" s="3"/>
      <c r="U202" s="3" t="str">
        <f ca="1">IFERROR(__xludf.DUMMYFUNCTION("""COMPUTED_VALUE"""),"videospot")</f>
        <v>videospot</v>
      </c>
      <c r="V202" s="3"/>
      <c r="W202" s="4" t="str">
        <f ca="1">IFERROR(__xludf.DUMMYFUNCTION("""COMPUTED_VALUE"""),"https://reklama.cncenter.cz/Online/Videospot")</f>
        <v>https://reklama.cncenter.cz/Online/Videospot</v>
      </c>
      <c r="X202" s="3"/>
      <c r="Y202" s="3"/>
      <c r="Z202" s="3" t="str">
        <f ca="1">IFERROR(__xludf.DUMMYFUNCTION("""COMPUTED_VALUE"""),"podklady@cncenter.cz")</f>
        <v>podklady@cncenter.cz</v>
      </c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 t="str">
        <f ca="1">IFERROR(__xludf.DUMMYFUNCTION("""COMPUTED_VALUE"""),"desktop")</f>
        <v>desktop</v>
      </c>
      <c r="AO202" s="3"/>
      <c r="AP202" s="3"/>
      <c r="AQ202" s="3"/>
      <c r="AR202" s="3"/>
      <c r="AS202" s="3"/>
      <c r="AT202" s="3"/>
      <c r="AU202" s="3" t="str">
        <f ca="1">IFERROR(__xludf.DUMMYFUNCTION("""COMPUTED_VALUE"""),"mini videospot - max. 30 sec.")</f>
        <v>mini videospot - max. 30 sec.</v>
      </c>
    </row>
    <row r="203" spans="1:47" x14ac:dyDescent="0.3">
      <c r="A203" s="3">
        <f ca="1"/>
        <v>2346826</v>
      </c>
      <c r="B203" s="3" t="str">
        <f ca="1"/>
        <v>CZECH NEWS CENTER a. s.</v>
      </c>
      <c r="C203" s="3" t="str">
        <f ca="1">IFERROR(__xludf.DUMMYFUNCTION("""COMPUTED_VALUE"""),"Blesk floating")</f>
        <v>Blesk floating</v>
      </c>
      <c r="D203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3" s="3" t="str">
        <f ca="1">IFERROR(__xludf.DUMMYFUNCTION("""COMPUTED_VALUE"""),"celý web")</f>
        <v>celý web</v>
      </c>
      <c r="F203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3" s="3" t="str">
        <f ca="1">IFERROR(__xludf.DUMMYFUNCTION("""COMPUTED_VALUE"""),"mobilní interscroller high season")</f>
        <v>mobilní interscroller high season</v>
      </c>
      <c r="H203" s="3">
        <f ca="1">IFERROR(__xludf.DUMMYFUNCTION("""COMPUTED_VALUE"""),7)</f>
        <v>7</v>
      </c>
      <c r="I203" s="5">
        <f ca="1">IFERROR(__xludf.DUMMYFUNCTION("""COMPUTED_VALUE"""),1000)</f>
        <v>1000</v>
      </c>
      <c r="J203" s="5">
        <f ca="1">IFERROR(__xludf.DUMMYFUNCTION("""COMPUTED_VALUE"""),380)</f>
        <v>380</v>
      </c>
      <c r="K203" s="3"/>
      <c r="L203" s="3" t="str">
        <f ca="1">IFERROR(__xludf.DUMMYFUNCTION("""COMPUTED_VALUE"""),"Cost per period")</f>
        <v>Cost per period</v>
      </c>
      <c r="M203" s="3"/>
      <c r="N203" s="3"/>
      <c r="O203" s="3" t="str">
        <f ca="1">IFERROR(__xludf.DUMMYFUNCTION("""COMPUTED_VALUE"""),"600")</f>
        <v>600</v>
      </c>
      <c r="P203" s="3" t="str">
        <f ca="1">IFERROR(__xludf.DUMMYFUNCTION("""COMPUTED_VALUE"""),"1080")</f>
        <v>1080</v>
      </c>
      <c r="Q203" s="3" t="str">
        <f ca="1">IFERROR(__xludf.DUMMYFUNCTION("""COMPUTED_VALUE"""),"600x1080")</f>
        <v>600x1080</v>
      </c>
      <c r="R203" s="3"/>
      <c r="S203" s="3" t="str">
        <f ca="1">IFERROR(__xludf.DUMMYFUNCTION("""COMPUTED_VALUE"""),"200")</f>
        <v>200</v>
      </c>
      <c r="T203" s="3"/>
      <c r="U203" s="3" t="str">
        <f ca="1">IFERROR(__xludf.DUMMYFUNCTION("""COMPUTED_VALUE"""),"banner standard")</f>
        <v>banner standard</v>
      </c>
      <c r="V203" s="3"/>
      <c r="W203" s="4" t="str">
        <f ca="1">IFERROR(__xludf.DUMMYFUNCTION("""COMPUTED_VALUE"""),"https://reklama.cncenter.cz/Online/mobilni-interscroller")</f>
        <v>https://reklama.cncenter.cz/Online/mobilni-interscroller</v>
      </c>
      <c r="X203" s="3"/>
      <c r="Y203" s="3"/>
      <c r="Z203" s="3" t="str">
        <f ca="1">IFERROR(__xludf.DUMMYFUNCTION("""COMPUTED_VALUE"""),"podklady@cncenter.cz")</f>
        <v>podklady@cncenter.cz</v>
      </c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 t="str">
        <f ca="1">IFERROR(__xludf.DUMMYFUNCTION("""COMPUTED_VALUE"""),"mobile")</f>
        <v>mobile</v>
      </c>
      <c r="AO203" s="3"/>
      <c r="AP203" s="3"/>
      <c r="AQ203" s="3"/>
      <c r="AR203" s="3"/>
      <c r="AS203" s="3"/>
      <c r="AT203" s="3"/>
      <c r="AU203" s="3" t="str">
        <f ca="1">IFERROR(__xludf.DUMMYFUNCTION("""COMPUTED_VALUE"""),"mobilní interscroller")</f>
        <v>mobilní interscroller</v>
      </c>
    </row>
    <row r="204" spans="1:47" x14ac:dyDescent="0.3">
      <c r="A204" s="3">
        <f ca="1"/>
        <v>2346826</v>
      </c>
      <c r="B204" s="3" t="str">
        <f ca="1"/>
        <v>CZECH NEWS CENTER a. s.</v>
      </c>
      <c r="C204" s="3" t="str">
        <f ca="1">IFERROR(__xludf.DUMMYFUNCTION("""COMPUTED_VALUE"""),"Blesk floating")</f>
        <v>Blesk floating</v>
      </c>
      <c r="D204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4" s="3" t="str">
        <f ca="1">IFERROR(__xludf.DUMMYFUNCTION("""COMPUTED_VALUE"""),"celý web")</f>
        <v>celý web</v>
      </c>
      <c r="F204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4" s="3" t="str">
        <f ca="1">IFERROR(__xludf.DUMMYFUNCTION("""COMPUTED_VALUE"""),"mobilní slide-up high season")</f>
        <v>mobilní slide-up high season</v>
      </c>
      <c r="H204" s="3">
        <f ca="1">IFERROR(__xludf.DUMMYFUNCTION("""COMPUTED_VALUE"""),7)</f>
        <v>7</v>
      </c>
      <c r="I204" s="5">
        <f ca="1">IFERROR(__xludf.DUMMYFUNCTION("""COMPUTED_VALUE"""),1000)</f>
        <v>1000</v>
      </c>
      <c r="J204" s="5">
        <f ca="1">IFERROR(__xludf.DUMMYFUNCTION("""COMPUTED_VALUE"""),810)</f>
        <v>810</v>
      </c>
      <c r="K204" s="3"/>
      <c r="L204" s="3" t="str">
        <f ca="1">IFERROR(__xludf.DUMMYFUNCTION("""COMPUTED_VALUE"""),"Cost per period")</f>
        <v>Cost per period</v>
      </c>
      <c r="M204" s="3"/>
      <c r="N204" s="3"/>
      <c r="O204" s="3" t="str">
        <f ca="1">IFERROR(__xludf.DUMMYFUNCTION("""COMPUTED_VALUE"""),"300")</f>
        <v>300</v>
      </c>
      <c r="P204" s="3" t="str">
        <f ca="1">IFERROR(__xludf.DUMMYFUNCTION("""COMPUTED_VALUE"""),"120")</f>
        <v>120</v>
      </c>
      <c r="Q204" s="3" t="str">
        <f ca="1">IFERROR(__xludf.DUMMYFUNCTION("""COMPUTED_VALUE"""),"300x120")</f>
        <v>300x120</v>
      </c>
      <c r="R204" s="3"/>
      <c r="S204" s="3" t="str">
        <f ca="1">IFERROR(__xludf.DUMMYFUNCTION("""COMPUTED_VALUE"""),"100")</f>
        <v>100</v>
      </c>
      <c r="T204" s="3"/>
      <c r="U204" s="3" t="str">
        <f ca="1">IFERROR(__xludf.DUMMYFUNCTION("""COMPUTED_VALUE"""),"banner standard")</f>
        <v>banner standard</v>
      </c>
      <c r="V204" s="3"/>
      <c r="W204" s="4" t="str">
        <f ca="1">IFERROR(__xludf.DUMMYFUNCTION("""COMPUTED_VALUE"""),"https://reklama.cncenter.cz/Online/mobilni-slide-up")</f>
        <v>https://reklama.cncenter.cz/Online/mobilni-slide-up</v>
      </c>
      <c r="X204" s="3"/>
      <c r="Y204" s="3"/>
      <c r="Z204" s="3" t="str">
        <f ca="1">IFERROR(__xludf.DUMMYFUNCTION("""COMPUTED_VALUE"""),"podklady@cncenter.cz")</f>
        <v>podklady@cncenter.cz</v>
      </c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 t="str">
        <f ca="1">IFERROR(__xludf.DUMMYFUNCTION("""COMPUTED_VALUE"""),"mobile")</f>
        <v>mobile</v>
      </c>
      <c r="AO204" s="3"/>
      <c r="AP204" s="3"/>
      <c r="AQ204" s="3"/>
      <c r="AR204" s="3"/>
      <c r="AS204" s="3"/>
      <c r="AT204" s="3"/>
      <c r="AU204" s="3" t="str">
        <f ca="1">IFERROR(__xludf.DUMMYFUNCTION("""COMPUTED_VALUE"""),"mobilní slide-up")</f>
        <v>mobilní slide-up</v>
      </c>
    </row>
    <row r="205" spans="1:47" x14ac:dyDescent="0.3">
      <c r="A205" s="3">
        <f ca="1"/>
        <v>2346826</v>
      </c>
      <c r="B205" s="3" t="str">
        <f ca="1"/>
        <v>CZECH NEWS CENTER a. s.</v>
      </c>
      <c r="C205" s="3" t="str">
        <f ca="1">IFERROR(__xludf.DUMMYFUNCTION("""COMPUTED_VALUE"""),"Blesk floating")</f>
        <v>Blesk floating</v>
      </c>
      <c r="D205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5" s="3" t="str">
        <f ca="1">IFERROR(__xludf.DUMMYFUNCTION("""COMPUTED_VALUE"""),"celý web")</f>
        <v>celý web</v>
      </c>
      <c r="F205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5" s="3" t="str">
        <f ca="1">IFERROR(__xludf.DUMMYFUNCTION("""COMPUTED_VALUE"""),"mobilní viněta high season")</f>
        <v>mobilní viněta high season</v>
      </c>
      <c r="H205" s="3">
        <f ca="1">IFERROR(__xludf.DUMMYFUNCTION("""COMPUTED_VALUE"""),7)</f>
        <v>7</v>
      </c>
      <c r="I205" s="5">
        <f ca="1">IFERROR(__xludf.DUMMYFUNCTION("""COMPUTED_VALUE"""),1000)</f>
        <v>1000</v>
      </c>
      <c r="J205" s="5">
        <f ca="1">IFERROR(__xludf.DUMMYFUNCTION("""COMPUTED_VALUE"""),1080)</f>
        <v>1080</v>
      </c>
      <c r="K205" s="3"/>
      <c r="L205" s="3" t="str">
        <f ca="1">IFERROR(__xludf.DUMMYFUNCTION("""COMPUTED_VALUE"""),"Cost per period")</f>
        <v>Cost per period</v>
      </c>
      <c r="M205" s="3"/>
      <c r="N205" s="3"/>
      <c r="O205" s="3" t="str">
        <f ca="1">IFERROR(__xludf.DUMMYFUNCTION("""COMPUTED_VALUE"""),"600")</f>
        <v>600</v>
      </c>
      <c r="P205" s="3" t="str">
        <f ca="1">IFERROR(__xludf.DUMMYFUNCTION("""COMPUTED_VALUE"""),"800")</f>
        <v>800</v>
      </c>
      <c r="Q205" s="3" t="str">
        <f ca="1">IFERROR(__xludf.DUMMYFUNCTION("""COMPUTED_VALUE"""),"300x250 nebo 600x800")</f>
        <v>300x250 nebo 600x800</v>
      </c>
      <c r="R205" s="3"/>
      <c r="S205" s="3" t="str">
        <f ca="1">IFERROR(__xludf.DUMMYFUNCTION("""COMPUTED_VALUE"""),"100")</f>
        <v>100</v>
      </c>
      <c r="T205" s="3"/>
      <c r="U205" s="3" t="str">
        <f ca="1">IFERROR(__xludf.DUMMYFUNCTION("""COMPUTED_VALUE"""),"banner standard")</f>
        <v>banner standard</v>
      </c>
      <c r="V205" s="3"/>
      <c r="W205" s="4" t="str">
        <f ca="1">IFERROR(__xludf.DUMMYFUNCTION("""COMPUTED_VALUE"""),"https://reklama.cncenter.cz/Online/mobilni-vineta")</f>
        <v>https://reklama.cncenter.cz/Online/mobilni-vineta</v>
      </c>
      <c r="X205" s="3"/>
      <c r="Y205" s="3"/>
      <c r="Z205" s="3" t="str">
        <f ca="1">IFERROR(__xludf.DUMMYFUNCTION("""COMPUTED_VALUE"""),"podklady@cncenter.cz")</f>
        <v>podklady@cncenter.cz</v>
      </c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 t="str">
        <f ca="1">IFERROR(__xludf.DUMMYFUNCTION("""COMPUTED_VALUE"""),"mobile")</f>
        <v>mobile</v>
      </c>
      <c r="AO205" s="3"/>
      <c r="AP205" s="3"/>
      <c r="AQ205" s="3"/>
      <c r="AR205" s="3"/>
      <c r="AS205" s="3"/>
      <c r="AT205" s="3"/>
      <c r="AU205" s="3" t="str">
        <f ca="1">IFERROR(__xludf.DUMMYFUNCTION("""COMPUTED_VALUE"""),"mobilní viněta")</f>
        <v>mobilní viněta</v>
      </c>
    </row>
    <row r="206" spans="1:47" x14ac:dyDescent="0.3">
      <c r="A206" s="3">
        <f ca="1"/>
        <v>2346826</v>
      </c>
      <c r="B206" s="3" t="str">
        <f ca="1"/>
        <v>CZECH NEWS CENTER a. s.</v>
      </c>
      <c r="C206" s="3" t="str">
        <f ca="1">IFERROR(__xludf.DUMMYFUNCTION("""COMPUTED_VALUE"""),"Blesk floating")</f>
        <v>Blesk floating</v>
      </c>
      <c r="D206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6" s="3" t="str">
        <f ca="1">IFERROR(__xludf.DUMMYFUNCTION("""COMPUTED_VALUE"""),"celý web")</f>
        <v>celý web</v>
      </c>
      <c r="F206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6" s="3" t="str">
        <f ca="1">IFERROR(__xludf.DUMMYFUNCTION("""COMPUTED_VALUE"""),"nativní rectangle cross-device high season")</f>
        <v>nativní rectangle cross-device high season</v>
      </c>
      <c r="H206" s="3">
        <f ca="1">IFERROR(__xludf.DUMMYFUNCTION("""COMPUTED_VALUE"""),7)</f>
        <v>7</v>
      </c>
      <c r="I206" s="5">
        <f ca="1">IFERROR(__xludf.DUMMYFUNCTION("""COMPUTED_VALUE"""),1000)</f>
        <v>1000</v>
      </c>
      <c r="J206" s="5">
        <f ca="1">IFERROR(__xludf.DUMMYFUNCTION("""COMPUTED_VALUE"""),330)</f>
        <v>330</v>
      </c>
      <c r="K206" s="3"/>
      <c r="L206" s="3" t="str">
        <f ca="1">IFERROR(__xludf.DUMMYFUNCTION("""COMPUTED_VALUE"""),"Cost per period")</f>
        <v>Cost per period</v>
      </c>
      <c r="M206" s="3"/>
      <c r="N206" s="3"/>
      <c r="O206" s="3" t="str">
        <f ca="1">IFERROR(__xludf.DUMMYFUNCTION("""COMPUTED_VALUE"""),"640")</f>
        <v>640</v>
      </c>
      <c r="P206" s="3" t="str">
        <f ca="1">IFERROR(__xludf.DUMMYFUNCTION("""COMPUTED_VALUE"""),"335, 640")</f>
        <v>335, 640</v>
      </c>
      <c r="Q206" s="3" t="str">
        <f ca="1">IFERROR(__xludf.DUMMYFUNCTION("""COMPUTED_VALUE"""),"640x640 a 640x335 + text + logo")</f>
        <v>640x640 a 640x335 + text + logo</v>
      </c>
      <c r="R206" s="3"/>
      <c r="S206" s="3" t="str">
        <f ca="1">IFERROR(__xludf.DUMMYFUNCTION("""COMPUTED_VALUE"""),"45")</f>
        <v>45</v>
      </c>
      <c r="T206" s="3"/>
      <c r="U206" s="3" t="str">
        <f ca="1">IFERROR(__xludf.DUMMYFUNCTION("""COMPUTED_VALUE"""),"nativní reklama")</f>
        <v>nativní reklama</v>
      </c>
      <c r="V206" s="3"/>
      <c r="W206" s="4" t="str">
        <f ca="1">IFERROR(__xludf.DUMMYFUNCTION("""COMPUTED_VALUE"""),"https://reklama.cncenter.cz/Online/nativni-rectangle-cross-device")</f>
        <v>https://reklama.cncenter.cz/Online/nativni-rectangle-cross-device</v>
      </c>
      <c r="X206" s="3"/>
      <c r="Y206" s="3"/>
      <c r="Z206" s="3" t="str">
        <f ca="1">IFERROR(__xludf.DUMMYFUNCTION("""COMPUTED_VALUE"""),"podklady@cncenter.cz")</f>
        <v>podklady@cncenter.cz</v>
      </c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 t="str">
        <f ca="1">IFERROR(__xludf.DUMMYFUNCTION("""COMPUTED_VALUE"""),"cross-device")</f>
        <v>cross-device</v>
      </c>
      <c r="AO206" s="3"/>
      <c r="AP206" s="3"/>
      <c r="AQ206" s="3"/>
      <c r="AR206" s="3"/>
      <c r="AS206" s="3"/>
      <c r="AT206" s="3"/>
      <c r="AU206" s="3" t="str">
        <f ca="1">IFERROR(__xludf.DUMMYFUNCTION("""COMPUTED_VALUE"""),"nativní rectangle cross-device")</f>
        <v>nativní rectangle cross-device</v>
      </c>
    </row>
    <row r="207" spans="1:47" x14ac:dyDescent="0.3">
      <c r="A207" s="3">
        <f ca="1"/>
        <v>2346826</v>
      </c>
      <c r="B207" s="3" t="str">
        <f ca="1"/>
        <v>CZECH NEWS CENTER a. s.</v>
      </c>
      <c r="C207" s="3" t="str">
        <f ca="1">IFERROR(__xludf.DUMMYFUNCTION("""COMPUTED_VALUE"""),"Blesk floating")</f>
        <v>Blesk floating</v>
      </c>
      <c r="D207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7" s="3" t="str">
        <f ca="1">IFERROR(__xludf.DUMMYFUNCTION("""COMPUTED_VALUE"""),"celý web")</f>
        <v>celý web</v>
      </c>
      <c r="F207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7" s="3" t="str">
        <f ca="1">IFERROR(__xludf.DUMMYFUNCTION("""COMPUTED_VALUE"""),"outstream high season")</f>
        <v>outstream high season</v>
      </c>
      <c r="H207" s="3">
        <f ca="1">IFERROR(__xludf.DUMMYFUNCTION("""COMPUTED_VALUE"""),7)</f>
        <v>7</v>
      </c>
      <c r="I207" s="5">
        <f ca="1">IFERROR(__xludf.DUMMYFUNCTION("""COMPUTED_VALUE"""),1000)</f>
        <v>1000</v>
      </c>
      <c r="J207" s="5">
        <f ca="1">IFERROR(__xludf.DUMMYFUNCTION("""COMPUTED_VALUE"""),420)</f>
        <v>420</v>
      </c>
      <c r="K207" s="3"/>
      <c r="L207" s="3" t="str">
        <f ca="1">IFERROR(__xludf.DUMMYFUNCTION("""COMPUTED_VALUE"""),"Cost per period")</f>
        <v>Cost per period</v>
      </c>
      <c r="M207" s="3"/>
      <c r="N207" s="3"/>
      <c r="O207" s="3" t="str">
        <f ca="1">IFERROR(__xludf.DUMMYFUNCTION("""COMPUTED_VALUE"""),"1280")</f>
        <v>1280</v>
      </c>
      <c r="P207" s="3" t="str">
        <f ca="1">IFERROR(__xludf.DUMMYFUNCTION("""COMPUTED_VALUE"""),"720")</f>
        <v>720</v>
      </c>
      <c r="Q207" s="3" t="str">
        <f ca="1">IFERROR(__xludf.DUMMYFUNCTION("""COMPUTED_VALUE"""),"16:9")</f>
        <v>16:9</v>
      </c>
      <c r="R207" s="3"/>
      <c r="S207" s="3" t="str">
        <f ca="1">IFERROR(__xludf.DUMMYFUNCTION("""COMPUTED_VALUE"""),"100")</f>
        <v>100</v>
      </c>
      <c r="T207" s="3"/>
      <c r="U207" s="3" t="str">
        <f ca="1">IFERROR(__xludf.DUMMYFUNCTION("""COMPUTED_VALUE"""),"videospot")</f>
        <v>videospot</v>
      </c>
      <c r="V207" s="3"/>
      <c r="W207" s="4" t="str">
        <f ca="1">IFERROR(__xludf.DUMMYFUNCTION("""COMPUTED_VALUE"""),"https://reklama.cncenter.cz/Online/Outstream")</f>
        <v>https://reklama.cncenter.cz/Online/Outstream</v>
      </c>
      <c r="X207" s="3"/>
      <c r="Y207" s="3"/>
      <c r="Z207" s="3" t="str">
        <f ca="1">IFERROR(__xludf.DUMMYFUNCTION("""COMPUTED_VALUE"""),"podklady@cncenter.cz")</f>
        <v>podklady@cncenter.cz</v>
      </c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 t="str">
        <f ca="1">IFERROR(__xludf.DUMMYFUNCTION("""COMPUTED_VALUE"""),"cross-device")</f>
        <v>cross-device</v>
      </c>
      <c r="AO207" s="3"/>
      <c r="AP207" s="3"/>
      <c r="AQ207" s="3"/>
      <c r="AR207" s="3"/>
      <c r="AS207" s="3"/>
      <c r="AT207" s="3"/>
      <c r="AU207" s="3" t="str">
        <f ca="1">IFERROR(__xludf.DUMMYFUNCTION("""COMPUTED_VALUE"""),"outstream")</f>
        <v>outstream</v>
      </c>
    </row>
    <row r="208" spans="1:47" x14ac:dyDescent="0.3">
      <c r="A208" s="3">
        <f ca="1"/>
        <v>2346826</v>
      </c>
      <c r="B208" s="3" t="str">
        <f ca="1"/>
        <v>CZECH NEWS CENTER a. s.</v>
      </c>
      <c r="C208" s="3" t="str">
        <f ca="1">IFERROR(__xludf.DUMMYFUNCTION("""COMPUTED_VALUE"""),"Blesk floating")</f>
        <v>Blesk floating</v>
      </c>
      <c r="D208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8" s="3" t="str">
        <f ca="1">IFERROR(__xludf.DUMMYFUNCTION("""COMPUTED_VALUE"""),"celý web")</f>
        <v>celý web</v>
      </c>
      <c r="F208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8" s="3" t="str">
        <f ca="1">IFERROR(__xludf.DUMMYFUNCTION("""COMPUTED_VALUE"""),"Smarticle high season")</f>
        <v>Smarticle high season</v>
      </c>
      <c r="H208" s="3">
        <f ca="1">IFERROR(__xludf.DUMMYFUNCTION("""COMPUTED_VALUE"""),7)</f>
        <v>7</v>
      </c>
      <c r="I208" s="5">
        <f ca="1">IFERROR(__xludf.DUMMYFUNCTION("""COMPUTED_VALUE"""),1000)</f>
        <v>1000</v>
      </c>
      <c r="J208" s="5">
        <f ca="1">IFERROR(__xludf.DUMMYFUNCTION("""COMPUTED_VALUE"""),200)</f>
        <v>200</v>
      </c>
      <c r="K208" s="3"/>
      <c r="L208" s="3" t="str">
        <f ca="1">IFERROR(__xludf.DUMMYFUNCTION("""COMPUTED_VALUE"""),"Cost per period")</f>
        <v>Cost per period</v>
      </c>
      <c r="M208" s="3"/>
      <c r="N208" s="3" t="str">
        <f ca="1">IFERROR(__xludf.DUMMYFUNCTION("""COMPUTED_VALUE"""),"A4")</f>
        <v>A4</v>
      </c>
      <c r="O208" s="3"/>
      <c r="P208" s="3"/>
      <c r="Q208" s="3" t="str">
        <f ca="1">IFERROR(__xludf.DUMMYFUNCTION("""COMPUTED_VALUE"""),"viz. tech.specifikace; HP + sekce")</f>
        <v>viz. tech.specifikace; HP + sekce</v>
      </c>
      <c r="R208" s="3" t="str">
        <f ca="1">IFERROR(__xludf.DUMMYFUNCTION("""COMPUTED_VALUE"""),"HP + sekce")</f>
        <v>HP + sekce</v>
      </c>
      <c r="S208" s="3" t="str">
        <f ca="1">IFERROR(__xludf.DUMMYFUNCTION("""COMPUTED_VALUE"""),"100")</f>
        <v>100</v>
      </c>
      <c r="T208" s="3"/>
      <c r="U208" s="3" t="str">
        <f ca="1">IFERROR(__xludf.DUMMYFUNCTION("""COMPUTED_VALUE"""),"pr článek")</f>
        <v>pr článek</v>
      </c>
      <c r="V208" s="3"/>
      <c r="W208" s="4" t="str">
        <f ca="1">IFERROR(__xludf.DUMMYFUNCTION("""COMPUTED_VALUE"""),"https://reklama.cncenter.cz/Online/Smarticle")</f>
        <v>https://reklama.cncenter.cz/Online/Smarticle</v>
      </c>
      <c r="X208" s="3"/>
      <c r="Y208" s="3"/>
      <c r="Z208" s="3" t="str">
        <f ca="1">IFERROR(__xludf.DUMMYFUNCTION("""COMPUTED_VALUE"""),"podklady@cncenter.cz")</f>
        <v>podklady@cncenter.cz</v>
      </c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 t="str">
        <f ca="1">IFERROR(__xludf.DUMMYFUNCTION("""COMPUTED_VALUE"""),"cross-device")</f>
        <v>cross-device</v>
      </c>
      <c r="AO208" s="3"/>
      <c r="AP208" s="3"/>
      <c r="AQ208" s="3"/>
      <c r="AR208" s="3"/>
      <c r="AS208" s="3"/>
      <c r="AT208" s="3"/>
      <c r="AU208" s="3" t="str">
        <f ca="1">IFERROR(__xludf.DUMMYFUNCTION("""COMPUTED_VALUE"""),"Smarticle")</f>
        <v>Smarticle</v>
      </c>
    </row>
    <row r="209" spans="1:47" x14ac:dyDescent="0.3">
      <c r="A209" s="3">
        <f ca="1"/>
        <v>2346826</v>
      </c>
      <c r="B209" s="3" t="str">
        <f ca="1"/>
        <v>CZECH NEWS CENTER a. s.</v>
      </c>
      <c r="C209" s="3" t="str">
        <f ca="1">IFERROR(__xludf.DUMMYFUNCTION("""COMPUTED_VALUE"""),"Blesk floating")</f>
        <v>Blesk floating</v>
      </c>
      <c r="D209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E209" s="3" t="str">
        <f ca="1">IFERROR(__xludf.DUMMYFUNCTION("""COMPUTED_VALUE"""),"celý web")</f>
        <v>celý web</v>
      </c>
      <c r="F209" s="3" t="str">
        <f ca="1">IFERROR(__xludf.DUMMYFUNCTION("""COMPUTED_VALUE"""),"https://blesk.cz, https://prozeny.blesk.cz, https://isport.blesk.cz, https://sportrevue.isport.blesk.cz")</f>
        <v>https://blesk.cz, https://prozeny.blesk.cz, https://isport.blesk.cz, https://sportrevue.isport.blesk.cz</v>
      </c>
      <c r="G209" s="3" t="str">
        <f ca="1">IFERROR(__xludf.DUMMYFUNCTION("""COMPUTED_VALUE"""),"videospot - max. 30 sec. / bumper high season")</f>
        <v>videospot - max. 30 sec. / bumper high season</v>
      </c>
      <c r="H209" s="3">
        <f ca="1">IFERROR(__xludf.DUMMYFUNCTION("""COMPUTED_VALUE"""),7)</f>
        <v>7</v>
      </c>
      <c r="I209" s="5">
        <f ca="1">IFERROR(__xludf.DUMMYFUNCTION("""COMPUTED_VALUE"""),1000)</f>
        <v>1000</v>
      </c>
      <c r="J209" s="5">
        <f ca="1">IFERROR(__xludf.DUMMYFUNCTION("""COMPUTED_VALUE"""),1280)</f>
        <v>1280</v>
      </c>
      <c r="K209" s="3"/>
      <c r="L209" s="3" t="str">
        <f ca="1">IFERROR(__xludf.DUMMYFUNCTION("""COMPUTED_VALUE"""),"Cost per period")</f>
        <v>Cost per period</v>
      </c>
      <c r="M209" s="3"/>
      <c r="N209" s="3"/>
      <c r="O209" s="3" t="str">
        <f ca="1">IFERROR(__xludf.DUMMYFUNCTION("""COMPUTED_VALUE"""),"1280")</f>
        <v>1280</v>
      </c>
      <c r="P209" s="3" t="str">
        <f ca="1">IFERROR(__xludf.DUMMYFUNCTION("""COMPUTED_VALUE"""),"720")</f>
        <v>720</v>
      </c>
      <c r="Q209" s="3" t="str">
        <f ca="1">IFERROR(__xludf.DUMMYFUNCTION("""COMPUTED_VALUE"""),"16:9 / umístění po domluvě dle možností")</f>
        <v>16:9 / umístění po domluvě dle možností</v>
      </c>
      <c r="R209" s="3" t="str">
        <f ca="1">IFERROR(__xludf.DUMMYFUNCTION("""COMPUTED_VALUE"""),"přeskočení po 7 sekundách")</f>
        <v>přeskočení po 7 sekundách</v>
      </c>
      <c r="S209" s="3" t="str">
        <f ca="1">IFERROR(__xludf.DUMMYFUNCTION("""COMPUTED_VALUE"""),"100")</f>
        <v>100</v>
      </c>
      <c r="T209" s="3"/>
      <c r="U209" s="3" t="str">
        <f ca="1">IFERROR(__xludf.DUMMYFUNCTION("""COMPUTED_VALUE"""),"videospot")</f>
        <v>videospot</v>
      </c>
      <c r="V209" s="3"/>
      <c r="W209" s="4" t="str">
        <f ca="1">IFERROR(__xludf.DUMMYFUNCTION("""COMPUTED_VALUE"""),"https://reklama.cncenter.cz/Online/Bumper")</f>
        <v>https://reklama.cncenter.cz/Online/Bumper</v>
      </c>
      <c r="X209" s="3"/>
      <c r="Y209" s="3"/>
      <c r="Z209" s="3" t="str">
        <f ca="1">IFERROR(__xludf.DUMMYFUNCTION("""COMPUTED_VALUE"""),"podklady@cncenter.cz")</f>
        <v>podklady@cncenter.cz</v>
      </c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 t="str">
        <f ca="1">IFERROR(__xludf.DUMMYFUNCTION("""COMPUTED_VALUE"""),"cross-device")</f>
        <v>cross-device</v>
      </c>
      <c r="AO209" s="3"/>
      <c r="AP209" s="3"/>
      <c r="AQ209" s="3"/>
      <c r="AR209" s="3"/>
      <c r="AS209" s="3"/>
      <c r="AT209" s="3"/>
      <c r="AU209" s="3" t="str">
        <f ca="1">IFERROR(__xludf.DUMMYFUNCTION("""COMPUTED_VALUE"""),"videospot - max. 30 sec. / bumper")</f>
        <v>videospot - max. 30 sec. / bumper</v>
      </c>
    </row>
    <row r="210" spans="1:47" x14ac:dyDescent="0.3">
      <c r="A210" s="3">
        <f ca="1"/>
        <v>2346826</v>
      </c>
      <c r="B210" s="3" t="str">
        <f ca="1"/>
        <v>CZECH NEWS CENTER a. s.</v>
      </c>
      <c r="C210" s="3" t="str">
        <f ca="1">IFERROR(__xludf.DUMMYFUNCTION("""COMPUTED_VALUE"""),"Blesk homepage")</f>
        <v>Blesk homepage</v>
      </c>
      <c r="D210" s="4" t="str">
        <f ca="1">IFERROR(__xludf.DUMMYFUNCTION("""COMPUTED_VALUE"""),"https://blesk.cz")</f>
        <v>https://blesk.cz</v>
      </c>
      <c r="E210" s="3" t="str">
        <f ca="1">IFERROR(__xludf.DUMMYFUNCTION("""COMPUTED_VALUE"""),"homepage")</f>
        <v>homepage</v>
      </c>
      <c r="F210" s="4" t="str">
        <f ca="1">IFERROR(__xludf.DUMMYFUNCTION("""COMPUTED_VALUE"""),"https://blesk.cz")</f>
        <v>https://blesk.cz</v>
      </c>
      <c r="G210" s="3" t="str">
        <f ca="1">IFERROR(__xludf.DUMMYFUNCTION("""COMPUTED_VALUE"""),"branding cross-device high season")</f>
        <v>branding cross-device high season</v>
      </c>
      <c r="H210" s="3">
        <f ca="1">IFERROR(__xludf.DUMMYFUNCTION("""COMPUTED_VALUE"""),7)</f>
        <v>7</v>
      </c>
      <c r="I210" s="5">
        <f ca="1">IFERROR(__xludf.DUMMYFUNCTION("""COMPUTED_VALUE"""),1000)</f>
        <v>1000</v>
      </c>
      <c r="J210" s="5">
        <f ca="1">IFERROR(__xludf.DUMMYFUNCTION("""COMPUTED_VALUE"""),650)</f>
        <v>650</v>
      </c>
      <c r="K210" s="3"/>
      <c r="L210" s="3" t="str">
        <f ca="1">IFERROR(__xludf.DUMMYFUNCTION("""COMPUTED_VALUE"""),"Cost per period")</f>
        <v>Cost per period</v>
      </c>
      <c r="M210" s="3"/>
      <c r="N210" s="3"/>
      <c r="O210" s="3" t="str">
        <f ca="1">IFERROR(__xludf.DUMMYFUNCTION("""COMPUTED_VALUE"""),"2000")</f>
        <v>2000</v>
      </c>
      <c r="P210" s="3" t="str">
        <f ca="1">IFERROR(__xludf.DUMMYFUNCTION("""COMPUTED_VALUE"""),"1400")</f>
        <v>1400</v>
      </c>
      <c r="Q210" s="3" t="str">
        <f ca="1">IFERROR(__xludf.DUMMYFUNCTION("""COMPUTED_VALUE"""),"2000x1400 + 600x1080")</f>
        <v>2000x1400 + 600x1080</v>
      </c>
      <c r="R210" s="3"/>
      <c r="S210" s="3" t="str">
        <f ca="1">IFERROR(__xludf.DUMMYFUNCTION("""COMPUTED_VALUE"""),"500 (600 - HTLM5)")</f>
        <v>500 (600 - HTLM5)</v>
      </c>
      <c r="T210" s="3"/>
      <c r="U210" s="3" t="str">
        <f ca="1">IFERROR(__xludf.DUMMYFUNCTION("""COMPUTED_VALUE"""),"banner standard")</f>
        <v>banner standard</v>
      </c>
      <c r="V210" s="3"/>
      <c r="W210" s="4" t="str">
        <f ca="1">IFERROR(__xludf.DUMMYFUNCTION("""COMPUTED_VALUE"""),"https://reklama.cncenter.cz/Online/branding-cross-device")</f>
        <v>https://reklama.cncenter.cz/Online/branding-cross-device</v>
      </c>
      <c r="X210" s="3"/>
      <c r="Y210" s="3"/>
      <c r="Z210" s="3" t="str">
        <f ca="1">IFERROR(__xludf.DUMMYFUNCTION("""COMPUTED_VALUE"""),"podklady@cncenter.cz")</f>
        <v>podklady@cncenter.cz</v>
      </c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 t="str">
        <f ca="1">IFERROR(__xludf.DUMMYFUNCTION("""COMPUTED_VALUE"""),"cross-device")</f>
        <v>cross-device</v>
      </c>
      <c r="AO210" s="3"/>
      <c r="AP210" s="3"/>
      <c r="AQ210" s="3"/>
      <c r="AR210" s="3"/>
      <c r="AS210" s="3"/>
      <c r="AT210" s="3"/>
      <c r="AU210" s="3" t="str">
        <f ca="1">IFERROR(__xludf.DUMMYFUNCTION("""COMPUTED_VALUE"""),"branding cross-device")</f>
        <v>branding cross-device</v>
      </c>
    </row>
    <row r="211" spans="1:47" x14ac:dyDescent="0.3">
      <c r="A211" s="3">
        <f ca="1"/>
        <v>2346826</v>
      </c>
      <c r="B211" s="3" t="str">
        <f ca="1"/>
        <v>CZECH NEWS CENTER a. s.</v>
      </c>
      <c r="C211" s="3" t="str">
        <f ca="1">IFERROR(__xludf.DUMMYFUNCTION("""COMPUTED_VALUE"""),"Blesk homepage")</f>
        <v>Blesk homepage</v>
      </c>
      <c r="D211" s="4" t="str">
        <f ca="1">IFERROR(__xludf.DUMMYFUNCTION("""COMPUTED_VALUE"""),"https://blesk.cz")</f>
        <v>https://blesk.cz</v>
      </c>
      <c r="E211" s="3" t="str">
        <f ca="1">IFERROR(__xludf.DUMMYFUNCTION("""COMPUTED_VALUE"""),"homepage")</f>
        <v>homepage</v>
      </c>
      <c r="F211" s="4" t="str">
        <f ca="1">IFERROR(__xludf.DUMMYFUNCTION("""COMPUTED_VALUE"""),"https://blesk.cz")</f>
        <v>https://blesk.cz</v>
      </c>
      <c r="G211" s="3" t="str">
        <f ca="1">IFERROR(__xludf.DUMMYFUNCTION("""COMPUTED_VALUE"""),"branding high season")</f>
        <v>branding high season</v>
      </c>
      <c r="H211" s="3">
        <f ca="1">IFERROR(__xludf.DUMMYFUNCTION("""COMPUTED_VALUE"""),7)</f>
        <v>7</v>
      </c>
      <c r="I211" s="5">
        <f ca="1">IFERROR(__xludf.DUMMYFUNCTION("""COMPUTED_VALUE"""),1000)</f>
        <v>1000</v>
      </c>
      <c r="J211" s="5">
        <f ca="1">IFERROR(__xludf.DUMMYFUNCTION("""COMPUTED_VALUE"""),1010)</f>
        <v>1010</v>
      </c>
      <c r="K211" s="3"/>
      <c r="L211" s="3" t="str">
        <f ca="1">IFERROR(__xludf.DUMMYFUNCTION("""COMPUTED_VALUE"""),"Cost per period")</f>
        <v>Cost per period</v>
      </c>
      <c r="M211" s="3"/>
      <c r="N211" s="3"/>
      <c r="O211" s="3" t="str">
        <f ca="1">IFERROR(__xludf.DUMMYFUNCTION("""COMPUTED_VALUE"""),"2000")</f>
        <v>2000</v>
      </c>
      <c r="P211" s="3" t="str">
        <f ca="1">IFERROR(__xludf.DUMMYFUNCTION("""COMPUTED_VALUE"""),"1400")</f>
        <v>1400</v>
      </c>
      <c r="Q211" s="3" t="str">
        <f ca="1">IFERROR(__xludf.DUMMYFUNCTION("""COMPUTED_VALUE"""),"2000x1400")</f>
        <v>2000x1400</v>
      </c>
      <c r="R211" s="3"/>
      <c r="S211" s="3" t="str">
        <f ca="1">IFERROR(__xludf.DUMMYFUNCTION("""COMPUTED_VALUE"""),"500 + 200 (600+200 HTML5)")</f>
        <v>500 + 200 (600+200 HTML5)</v>
      </c>
      <c r="T211" s="3"/>
      <c r="U211" s="3" t="str">
        <f ca="1">IFERROR(__xludf.DUMMYFUNCTION("""COMPUTED_VALUE"""),"banner standard")</f>
        <v>banner standard</v>
      </c>
      <c r="V211" s="3"/>
      <c r="W211" s="4" t="str">
        <f ca="1">IFERROR(__xludf.DUMMYFUNCTION("""COMPUTED_VALUE"""),"https://reklama.cncenter.cz/Online/branding")</f>
        <v>https://reklama.cncenter.cz/Online/branding</v>
      </c>
      <c r="X211" s="3"/>
      <c r="Y211" s="3"/>
      <c r="Z211" s="3" t="str">
        <f ca="1">IFERROR(__xludf.DUMMYFUNCTION("""COMPUTED_VALUE"""),"podklady@cncenter.cz")</f>
        <v>podklady@cncenter.cz</v>
      </c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 t="str">
        <f ca="1">IFERROR(__xludf.DUMMYFUNCTION("""COMPUTED_VALUE"""),"desktop")</f>
        <v>desktop</v>
      </c>
      <c r="AO211" s="3"/>
      <c r="AP211" s="3"/>
      <c r="AQ211" s="3"/>
      <c r="AR211" s="3"/>
      <c r="AS211" s="3"/>
      <c r="AT211" s="3"/>
      <c r="AU211" s="3" t="str">
        <f ca="1">IFERROR(__xludf.DUMMYFUNCTION("""COMPUTED_VALUE"""),"branding")</f>
        <v>branding</v>
      </c>
    </row>
    <row r="212" spans="1:47" x14ac:dyDescent="0.3">
      <c r="A212" s="3">
        <f ca="1"/>
        <v>2346826</v>
      </c>
      <c r="B212" s="3" t="str">
        <f ca="1"/>
        <v>CZECH NEWS CENTER a. s.</v>
      </c>
      <c r="C212" s="3" t="str">
        <f ca="1">IFERROR(__xludf.DUMMYFUNCTION("""COMPUTED_VALUE"""),"Blesk homepage")</f>
        <v>Blesk homepage</v>
      </c>
      <c r="D212" s="4" t="str">
        <f ca="1">IFERROR(__xludf.DUMMYFUNCTION("""COMPUTED_VALUE"""),"https://blesk.cz")</f>
        <v>https://blesk.cz</v>
      </c>
      <c r="E212" s="3" t="str">
        <f ca="1">IFERROR(__xludf.DUMMYFUNCTION("""COMPUTED_VALUE"""),"homepage")</f>
        <v>homepage</v>
      </c>
      <c r="F212" s="4" t="str">
        <f ca="1">IFERROR(__xludf.DUMMYFUNCTION("""COMPUTED_VALUE"""),"https://blesk.cz")</f>
        <v>https://blesk.cz</v>
      </c>
      <c r="G212" s="3" t="str">
        <f ca="1">IFERROR(__xludf.DUMMYFUNCTION("""COMPUTED_VALUE"""),"cílený branding cross-device high season")</f>
        <v>cílený branding cross-device high season</v>
      </c>
      <c r="H212" s="3">
        <f ca="1">IFERROR(__xludf.DUMMYFUNCTION("""COMPUTED_VALUE"""),7)</f>
        <v>7</v>
      </c>
      <c r="I212" s="5">
        <f ca="1">IFERROR(__xludf.DUMMYFUNCTION("""COMPUTED_VALUE"""),1000)</f>
        <v>1000</v>
      </c>
      <c r="J212" s="5">
        <f ca="1">IFERROR(__xludf.DUMMYFUNCTION("""COMPUTED_VALUE"""),780)</f>
        <v>780</v>
      </c>
      <c r="K212" s="3"/>
      <c r="L212" s="3" t="str">
        <f ca="1">IFERROR(__xludf.DUMMYFUNCTION("""COMPUTED_VALUE"""),"Cost per period")</f>
        <v>Cost per period</v>
      </c>
      <c r="M212" s="3"/>
      <c r="N212" s="3"/>
      <c r="O212" s="3" t="str">
        <f ca="1">IFERROR(__xludf.DUMMYFUNCTION("""COMPUTED_VALUE"""),"2000")</f>
        <v>2000</v>
      </c>
      <c r="P212" s="3" t="str">
        <f ca="1">IFERROR(__xludf.DUMMYFUNCTION("""COMPUTED_VALUE"""),"1400")</f>
        <v>1400</v>
      </c>
      <c r="Q212" s="3" t="str">
        <f ca="1">IFERROR(__xludf.DUMMYFUNCTION("""COMPUTED_VALUE"""),"2000x1400 + 600x1080")</f>
        <v>2000x1400 + 600x1080</v>
      </c>
      <c r="R212" s="3"/>
      <c r="S212" s="3" t="str">
        <f ca="1">IFERROR(__xludf.DUMMYFUNCTION("""COMPUTED_VALUE"""),"500 (600 - HTLM5)")</f>
        <v>500 (600 - HTLM5)</v>
      </c>
      <c r="T212" s="3"/>
      <c r="U212" s="3" t="str">
        <f ca="1">IFERROR(__xludf.DUMMYFUNCTION("""COMPUTED_VALUE"""),"banner standard")</f>
        <v>banner standard</v>
      </c>
      <c r="V212" s="3"/>
      <c r="W212" s="4" t="str">
        <f ca="1">IFERROR(__xludf.DUMMYFUNCTION("""COMPUTED_VALUE"""),"https://reklama.cncenter.cz/Online/branding-cross-device")</f>
        <v>https://reklama.cncenter.cz/Online/branding-cross-device</v>
      </c>
      <c r="X212" s="3"/>
      <c r="Y212" s="3"/>
      <c r="Z212" s="3" t="str">
        <f ca="1">IFERROR(__xludf.DUMMYFUNCTION("""COMPUTED_VALUE"""),"podklady@cncenter.cz")</f>
        <v>podklady@cncenter.cz</v>
      </c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 t="str">
        <f ca="1">IFERROR(__xludf.DUMMYFUNCTION("""COMPUTED_VALUE"""),"cross-device")</f>
        <v>cross-device</v>
      </c>
      <c r="AO212" s="3"/>
      <c r="AP212" s="3"/>
      <c r="AQ212" s="3"/>
      <c r="AR212" s="3"/>
      <c r="AS212" s="3"/>
      <c r="AT212" s="3"/>
      <c r="AU212" s="3" t="str">
        <f ca="1">IFERROR(__xludf.DUMMYFUNCTION("""COMPUTED_VALUE"""),"cílený branding cross-device")</f>
        <v>cílený branding cross-device</v>
      </c>
    </row>
    <row r="213" spans="1:47" x14ac:dyDescent="0.3">
      <c r="A213" s="3">
        <f ca="1"/>
        <v>2346826</v>
      </c>
      <c r="B213" s="3" t="str">
        <f ca="1"/>
        <v>CZECH NEWS CENTER a. s.</v>
      </c>
      <c r="C213" s="3" t="str">
        <f ca="1">IFERROR(__xludf.DUMMYFUNCTION("""COMPUTED_VALUE"""),"Blesk homepage")</f>
        <v>Blesk homepage</v>
      </c>
      <c r="D213" s="4" t="str">
        <f ca="1">IFERROR(__xludf.DUMMYFUNCTION("""COMPUTED_VALUE"""),"https://blesk.cz")</f>
        <v>https://blesk.cz</v>
      </c>
      <c r="E213" s="3" t="str">
        <f ca="1">IFERROR(__xludf.DUMMYFUNCTION("""COMPUTED_VALUE"""),"homepage")</f>
        <v>homepage</v>
      </c>
      <c r="F213" s="4" t="str">
        <f ca="1">IFERROR(__xludf.DUMMYFUNCTION("""COMPUTED_VALUE"""),"https://blesk.cz")</f>
        <v>https://blesk.cz</v>
      </c>
      <c r="G213" s="3" t="str">
        <f ca="1">IFERROR(__xludf.DUMMYFUNCTION("""COMPUTED_VALUE"""),"cílený branding high season")</f>
        <v>cílený branding high season</v>
      </c>
      <c r="H213" s="3">
        <f ca="1">IFERROR(__xludf.DUMMYFUNCTION("""COMPUTED_VALUE"""),7)</f>
        <v>7</v>
      </c>
      <c r="I213" s="5">
        <f ca="1">IFERROR(__xludf.DUMMYFUNCTION("""COMPUTED_VALUE"""),1000)</f>
        <v>1000</v>
      </c>
      <c r="J213" s="5">
        <f ca="1">IFERROR(__xludf.DUMMYFUNCTION("""COMPUTED_VALUE"""),1212)</f>
        <v>1212</v>
      </c>
      <c r="K213" s="3"/>
      <c r="L213" s="3" t="str">
        <f ca="1">IFERROR(__xludf.DUMMYFUNCTION("""COMPUTED_VALUE"""),"Cost per period")</f>
        <v>Cost per period</v>
      </c>
      <c r="M213" s="3"/>
      <c r="N213" s="3"/>
      <c r="O213" s="3" t="str">
        <f ca="1">IFERROR(__xludf.DUMMYFUNCTION("""COMPUTED_VALUE"""),"2000")</f>
        <v>2000</v>
      </c>
      <c r="P213" s="3" t="str">
        <f ca="1">IFERROR(__xludf.DUMMYFUNCTION("""COMPUTED_VALUE"""),"1400")</f>
        <v>1400</v>
      </c>
      <c r="Q213" s="3" t="str">
        <f ca="1">IFERROR(__xludf.DUMMYFUNCTION("""COMPUTED_VALUE"""),"2000x1400")</f>
        <v>2000x1400</v>
      </c>
      <c r="R213" s="3"/>
      <c r="S213" s="3" t="str">
        <f ca="1">IFERROR(__xludf.DUMMYFUNCTION("""COMPUTED_VALUE"""),"500 + 200 (600+200 HTML5)")</f>
        <v>500 + 200 (600+200 HTML5)</v>
      </c>
      <c r="T213" s="3"/>
      <c r="U213" s="3" t="str">
        <f ca="1">IFERROR(__xludf.DUMMYFUNCTION("""COMPUTED_VALUE"""),"banner standard")</f>
        <v>banner standard</v>
      </c>
      <c r="V213" s="3"/>
      <c r="W213" s="4" t="str">
        <f ca="1">IFERROR(__xludf.DUMMYFUNCTION("""COMPUTED_VALUE"""),"https://reklama.cncenter.cz/Online/branding")</f>
        <v>https://reklama.cncenter.cz/Online/branding</v>
      </c>
      <c r="X213" s="3"/>
      <c r="Y213" s="3"/>
      <c r="Z213" s="3" t="str">
        <f ca="1">IFERROR(__xludf.DUMMYFUNCTION("""COMPUTED_VALUE"""),"podklady@cncenter.cz")</f>
        <v>podklady@cncenter.cz</v>
      </c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 t="str">
        <f ca="1">IFERROR(__xludf.DUMMYFUNCTION("""COMPUTED_VALUE"""),"desktop")</f>
        <v>desktop</v>
      </c>
      <c r="AO213" s="3"/>
      <c r="AP213" s="3"/>
      <c r="AQ213" s="3"/>
      <c r="AR213" s="3"/>
      <c r="AS213" s="3"/>
      <c r="AT213" s="3"/>
      <c r="AU213" s="3" t="str">
        <f ca="1">IFERROR(__xludf.DUMMYFUNCTION("""COMPUTED_VALUE"""),"cílený branding")</f>
        <v>cílený branding</v>
      </c>
    </row>
    <row r="214" spans="1:47" x14ac:dyDescent="0.3">
      <c r="A214" s="3">
        <f ca="1"/>
        <v>2346826</v>
      </c>
      <c r="B214" s="3" t="str">
        <f ca="1"/>
        <v>CZECH NEWS CENTER a. s.</v>
      </c>
      <c r="C214" s="3" t="str">
        <f ca="1">IFERROR(__xludf.DUMMYFUNCTION("""COMPUTED_VALUE"""),"Blesk homepage")</f>
        <v>Blesk homepage</v>
      </c>
      <c r="D214" s="4" t="str">
        <f ca="1">IFERROR(__xludf.DUMMYFUNCTION("""COMPUTED_VALUE"""),"https://blesk.cz")</f>
        <v>https://blesk.cz</v>
      </c>
      <c r="E214" s="3" t="str">
        <f ca="1">IFERROR(__xludf.DUMMYFUNCTION("""COMPUTED_VALUE"""),"homepage")</f>
        <v>homepage</v>
      </c>
      <c r="F214" s="4" t="str">
        <f ca="1">IFERROR(__xludf.DUMMYFUNCTION("""COMPUTED_VALUE"""),"https://blesk.cz")</f>
        <v>https://blesk.cz</v>
      </c>
      <c r="G214" s="3" t="str">
        <f ca="1">IFERROR(__xludf.DUMMYFUNCTION("""COMPUTED_VALUE"""),"cílený mobilní interscroller high season")</f>
        <v>cílený mobilní interscroller high season</v>
      </c>
      <c r="H214" s="3">
        <f ca="1">IFERROR(__xludf.DUMMYFUNCTION("""COMPUTED_VALUE"""),7)</f>
        <v>7</v>
      </c>
      <c r="I214" s="5">
        <f ca="1">IFERROR(__xludf.DUMMYFUNCTION("""COMPUTED_VALUE"""),1000)</f>
        <v>1000</v>
      </c>
      <c r="J214" s="5">
        <f ca="1">IFERROR(__xludf.DUMMYFUNCTION("""COMPUTED_VALUE"""),480)</f>
        <v>480</v>
      </c>
      <c r="K214" s="3"/>
      <c r="L214" s="3" t="str">
        <f ca="1">IFERROR(__xludf.DUMMYFUNCTION("""COMPUTED_VALUE"""),"Cost per period")</f>
        <v>Cost per period</v>
      </c>
      <c r="M214" s="3"/>
      <c r="N214" s="3"/>
      <c r="O214" s="3" t="str">
        <f ca="1">IFERROR(__xludf.DUMMYFUNCTION("""COMPUTED_VALUE"""),"600")</f>
        <v>600</v>
      </c>
      <c r="P214" s="3" t="str">
        <f ca="1">IFERROR(__xludf.DUMMYFUNCTION("""COMPUTED_VALUE"""),"1080")</f>
        <v>1080</v>
      </c>
      <c r="Q214" s="3" t="str">
        <f ca="1">IFERROR(__xludf.DUMMYFUNCTION("""COMPUTED_VALUE"""),"600x1080")</f>
        <v>600x1080</v>
      </c>
      <c r="R214" s="3"/>
      <c r="S214" s="3" t="str">
        <f ca="1">IFERROR(__xludf.DUMMYFUNCTION("""COMPUTED_VALUE"""),"200")</f>
        <v>200</v>
      </c>
      <c r="T214" s="3"/>
      <c r="U214" s="3" t="str">
        <f ca="1">IFERROR(__xludf.DUMMYFUNCTION("""COMPUTED_VALUE"""),"banner standard")</f>
        <v>banner standard</v>
      </c>
      <c r="V214" s="3"/>
      <c r="W214" s="4" t="str">
        <f ca="1">IFERROR(__xludf.DUMMYFUNCTION("""COMPUTED_VALUE"""),"https://reklama.cncenter.cz/Online/mobilni-interscroller")</f>
        <v>https://reklama.cncenter.cz/Online/mobilni-interscroller</v>
      </c>
      <c r="X214" s="3"/>
      <c r="Y214" s="3"/>
      <c r="Z214" s="3" t="str">
        <f ca="1">IFERROR(__xludf.DUMMYFUNCTION("""COMPUTED_VALUE"""),"podklady@cncenter.cz")</f>
        <v>podklady@cncenter.cz</v>
      </c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 t="str">
        <f ca="1">IFERROR(__xludf.DUMMYFUNCTION("""COMPUTED_VALUE"""),"mobile")</f>
        <v>mobile</v>
      </c>
      <c r="AO214" s="3"/>
      <c r="AP214" s="3"/>
      <c r="AQ214" s="3"/>
      <c r="AR214" s="3"/>
      <c r="AS214" s="3"/>
      <c r="AT214" s="3"/>
      <c r="AU214" s="3" t="str">
        <f ca="1">IFERROR(__xludf.DUMMYFUNCTION("""COMPUTED_VALUE"""),"cílený mobilní interscroller")</f>
        <v>cílený mobilní interscroller</v>
      </c>
    </row>
    <row r="215" spans="1:47" x14ac:dyDescent="0.3">
      <c r="A215" s="3">
        <f ca="1"/>
        <v>2346826</v>
      </c>
      <c r="B215" s="3" t="str">
        <f ca="1"/>
        <v>CZECH NEWS CENTER a. s.</v>
      </c>
      <c r="C215" s="3" t="str">
        <f ca="1">IFERROR(__xludf.DUMMYFUNCTION("""COMPUTED_VALUE"""),"Blesk homepage")</f>
        <v>Blesk homepage</v>
      </c>
      <c r="D215" s="4" t="str">
        <f ca="1">IFERROR(__xludf.DUMMYFUNCTION("""COMPUTED_VALUE"""),"https://blesk.cz")</f>
        <v>https://blesk.cz</v>
      </c>
      <c r="E215" s="3" t="str">
        <f ca="1">IFERROR(__xludf.DUMMYFUNCTION("""COMPUTED_VALUE"""),"homepage")</f>
        <v>homepage</v>
      </c>
      <c r="F215" s="4" t="str">
        <f ca="1">IFERROR(__xludf.DUMMYFUNCTION("""COMPUTED_VALUE"""),"https://blesk.cz")</f>
        <v>https://blesk.cz</v>
      </c>
      <c r="G215" s="3" t="str">
        <f ca="1">IFERROR(__xludf.DUMMYFUNCTION("""COMPUTED_VALUE"""),"cílený mobilní slide-up high season")</f>
        <v>cílený mobilní slide-up high season</v>
      </c>
      <c r="H215" s="3">
        <f ca="1">IFERROR(__xludf.DUMMYFUNCTION("""COMPUTED_VALUE"""),7)</f>
        <v>7</v>
      </c>
      <c r="I215" s="5">
        <f ca="1">IFERROR(__xludf.DUMMYFUNCTION("""COMPUTED_VALUE"""),1000)</f>
        <v>1000</v>
      </c>
      <c r="J215" s="5">
        <f ca="1">IFERROR(__xludf.DUMMYFUNCTION("""COMPUTED_VALUE"""),972)</f>
        <v>972</v>
      </c>
      <c r="K215" s="3"/>
      <c r="L215" s="3" t="str">
        <f ca="1">IFERROR(__xludf.DUMMYFUNCTION("""COMPUTED_VALUE"""),"Cost per period")</f>
        <v>Cost per period</v>
      </c>
      <c r="M215" s="3"/>
      <c r="N215" s="3"/>
      <c r="O215" s="3" t="str">
        <f ca="1">IFERROR(__xludf.DUMMYFUNCTION("""COMPUTED_VALUE"""),"300")</f>
        <v>300</v>
      </c>
      <c r="P215" s="3" t="str">
        <f ca="1">IFERROR(__xludf.DUMMYFUNCTION("""COMPUTED_VALUE"""),"120")</f>
        <v>120</v>
      </c>
      <c r="Q215" s="3" t="str">
        <f ca="1">IFERROR(__xludf.DUMMYFUNCTION("""COMPUTED_VALUE"""),"300x120")</f>
        <v>300x120</v>
      </c>
      <c r="R215" s="3"/>
      <c r="S215" s="3" t="str">
        <f ca="1">IFERROR(__xludf.DUMMYFUNCTION("""COMPUTED_VALUE"""),"100")</f>
        <v>100</v>
      </c>
      <c r="T215" s="3"/>
      <c r="U215" s="3" t="str">
        <f ca="1">IFERROR(__xludf.DUMMYFUNCTION("""COMPUTED_VALUE"""),"banner standard")</f>
        <v>banner standard</v>
      </c>
      <c r="V215" s="3"/>
      <c r="W215" s="4" t="str">
        <f ca="1">IFERROR(__xludf.DUMMYFUNCTION("""COMPUTED_VALUE"""),"https://reklama.cncenter.cz/Online/mobilni-slide-up")</f>
        <v>https://reklama.cncenter.cz/Online/mobilni-slide-up</v>
      </c>
      <c r="X215" s="3"/>
      <c r="Y215" s="3"/>
      <c r="Z215" s="3" t="str">
        <f ca="1">IFERROR(__xludf.DUMMYFUNCTION("""COMPUTED_VALUE"""),"podklady@cncenter.cz")</f>
        <v>podklady@cncenter.cz</v>
      </c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 t="str">
        <f ca="1">IFERROR(__xludf.DUMMYFUNCTION("""COMPUTED_VALUE"""),"mobile")</f>
        <v>mobile</v>
      </c>
      <c r="AO215" s="3"/>
      <c r="AP215" s="3"/>
      <c r="AQ215" s="3"/>
      <c r="AR215" s="3"/>
      <c r="AS215" s="3"/>
      <c r="AT215" s="3"/>
      <c r="AU215" s="3" t="str">
        <f ca="1">IFERROR(__xludf.DUMMYFUNCTION("""COMPUTED_VALUE"""),"cílený mobilní slide-up")</f>
        <v>cílený mobilní slide-up</v>
      </c>
    </row>
    <row r="216" spans="1:47" x14ac:dyDescent="0.3">
      <c r="A216" s="3">
        <f ca="1"/>
        <v>2346826</v>
      </c>
      <c r="B216" s="3" t="str">
        <f ca="1"/>
        <v>CZECH NEWS CENTER a. s.</v>
      </c>
      <c r="C216" s="3" t="str">
        <f ca="1">IFERROR(__xludf.DUMMYFUNCTION("""COMPUTED_VALUE"""),"Blesk homepage")</f>
        <v>Blesk homepage</v>
      </c>
      <c r="D216" s="4" t="str">
        <f ca="1">IFERROR(__xludf.DUMMYFUNCTION("""COMPUTED_VALUE"""),"https://blesk.cz")</f>
        <v>https://blesk.cz</v>
      </c>
      <c r="E216" s="3" t="str">
        <f ca="1">IFERROR(__xludf.DUMMYFUNCTION("""COMPUTED_VALUE"""),"homepage")</f>
        <v>homepage</v>
      </c>
      <c r="F216" s="4" t="str">
        <f ca="1">IFERROR(__xludf.DUMMYFUNCTION("""COMPUTED_VALUE"""),"https://blesk.cz")</f>
        <v>https://blesk.cz</v>
      </c>
      <c r="G216" s="3" t="str">
        <f ca="1">IFERROR(__xludf.DUMMYFUNCTION("""COMPUTED_VALUE"""),"mobilní interscroller high season")</f>
        <v>mobilní interscroller high season</v>
      </c>
      <c r="H216" s="3">
        <f ca="1">IFERROR(__xludf.DUMMYFUNCTION("""COMPUTED_VALUE"""),7)</f>
        <v>7</v>
      </c>
      <c r="I216" s="5">
        <f ca="1">IFERROR(__xludf.DUMMYFUNCTION("""COMPUTED_VALUE"""),1000)</f>
        <v>1000</v>
      </c>
      <c r="J216" s="5">
        <f ca="1">IFERROR(__xludf.DUMMYFUNCTION("""COMPUTED_VALUE"""),400)</f>
        <v>400</v>
      </c>
      <c r="K216" s="3"/>
      <c r="L216" s="3" t="str">
        <f ca="1">IFERROR(__xludf.DUMMYFUNCTION("""COMPUTED_VALUE"""),"Cost per period")</f>
        <v>Cost per period</v>
      </c>
      <c r="M216" s="3"/>
      <c r="N216" s="3"/>
      <c r="O216" s="3" t="str">
        <f ca="1">IFERROR(__xludf.DUMMYFUNCTION("""COMPUTED_VALUE"""),"600")</f>
        <v>600</v>
      </c>
      <c r="P216" s="3" t="str">
        <f ca="1">IFERROR(__xludf.DUMMYFUNCTION("""COMPUTED_VALUE"""),"1080")</f>
        <v>1080</v>
      </c>
      <c r="Q216" s="3" t="str">
        <f ca="1">IFERROR(__xludf.DUMMYFUNCTION("""COMPUTED_VALUE"""),"600x1080")</f>
        <v>600x1080</v>
      </c>
      <c r="R216" s="3"/>
      <c r="S216" s="3" t="str">
        <f ca="1">IFERROR(__xludf.DUMMYFUNCTION("""COMPUTED_VALUE"""),"200")</f>
        <v>200</v>
      </c>
      <c r="T216" s="3"/>
      <c r="U216" s="3" t="str">
        <f ca="1">IFERROR(__xludf.DUMMYFUNCTION("""COMPUTED_VALUE"""),"banner standard")</f>
        <v>banner standard</v>
      </c>
      <c r="V216" s="3"/>
      <c r="W216" s="4" t="str">
        <f ca="1">IFERROR(__xludf.DUMMYFUNCTION("""COMPUTED_VALUE"""),"https://reklama.cncenter.cz/Online/mobilni-interscroller")</f>
        <v>https://reklama.cncenter.cz/Online/mobilni-interscroller</v>
      </c>
      <c r="X216" s="3"/>
      <c r="Y216" s="3"/>
      <c r="Z216" s="3" t="str">
        <f ca="1">IFERROR(__xludf.DUMMYFUNCTION("""COMPUTED_VALUE"""),"podklady@cncenter.cz")</f>
        <v>podklady@cncenter.cz</v>
      </c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 t="str">
        <f ca="1">IFERROR(__xludf.DUMMYFUNCTION("""COMPUTED_VALUE"""),"mobile")</f>
        <v>mobile</v>
      </c>
      <c r="AO216" s="3"/>
      <c r="AP216" s="3"/>
      <c r="AQ216" s="3"/>
      <c r="AR216" s="3"/>
      <c r="AS216" s="3"/>
      <c r="AT216" s="3"/>
      <c r="AU216" s="3" t="str">
        <f ca="1">IFERROR(__xludf.DUMMYFUNCTION("""COMPUTED_VALUE"""),"mobilní interscroller")</f>
        <v>mobilní interscroller</v>
      </c>
    </row>
    <row r="217" spans="1:47" x14ac:dyDescent="0.3">
      <c r="A217" s="3">
        <f ca="1"/>
        <v>2346826</v>
      </c>
      <c r="B217" s="3" t="str">
        <f ca="1"/>
        <v>CZECH NEWS CENTER a. s.</v>
      </c>
      <c r="C217" s="3" t="str">
        <f ca="1">IFERROR(__xludf.DUMMYFUNCTION("""COMPUTED_VALUE"""),"Blesk homepage")</f>
        <v>Blesk homepage</v>
      </c>
      <c r="D217" s="4" t="str">
        <f ca="1">IFERROR(__xludf.DUMMYFUNCTION("""COMPUTED_VALUE"""),"https://blesk.cz")</f>
        <v>https://blesk.cz</v>
      </c>
      <c r="E217" s="3" t="str">
        <f ca="1">IFERROR(__xludf.DUMMYFUNCTION("""COMPUTED_VALUE"""),"homepage")</f>
        <v>homepage</v>
      </c>
      <c r="F217" s="4" t="str">
        <f ca="1">IFERROR(__xludf.DUMMYFUNCTION("""COMPUTED_VALUE"""),"https://blesk.cz")</f>
        <v>https://blesk.cz</v>
      </c>
      <c r="G217" s="3" t="str">
        <f ca="1">IFERROR(__xludf.DUMMYFUNCTION("""COMPUTED_VALUE"""),"mobilní slide-up high season")</f>
        <v>mobilní slide-up high season</v>
      </c>
      <c r="H217" s="3">
        <f ca="1">IFERROR(__xludf.DUMMYFUNCTION("""COMPUTED_VALUE"""),7)</f>
        <v>7</v>
      </c>
      <c r="I217" s="5">
        <f ca="1">IFERROR(__xludf.DUMMYFUNCTION("""COMPUTED_VALUE"""),1000)</f>
        <v>1000</v>
      </c>
      <c r="J217" s="5">
        <f ca="1">IFERROR(__xludf.DUMMYFUNCTION("""COMPUTED_VALUE"""),810)</f>
        <v>810</v>
      </c>
      <c r="K217" s="3"/>
      <c r="L217" s="3" t="str">
        <f ca="1">IFERROR(__xludf.DUMMYFUNCTION("""COMPUTED_VALUE"""),"Cost per period")</f>
        <v>Cost per period</v>
      </c>
      <c r="M217" s="3"/>
      <c r="N217" s="3"/>
      <c r="O217" s="3" t="str">
        <f ca="1">IFERROR(__xludf.DUMMYFUNCTION("""COMPUTED_VALUE"""),"300")</f>
        <v>300</v>
      </c>
      <c r="P217" s="3" t="str">
        <f ca="1">IFERROR(__xludf.DUMMYFUNCTION("""COMPUTED_VALUE"""),"120")</f>
        <v>120</v>
      </c>
      <c r="Q217" s="3" t="str">
        <f ca="1">IFERROR(__xludf.DUMMYFUNCTION("""COMPUTED_VALUE"""),"300x120")</f>
        <v>300x120</v>
      </c>
      <c r="R217" s="3"/>
      <c r="S217" s="3" t="str">
        <f ca="1">IFERROR(__xludf.DUMMYFUNCTION("""COMPUTED_VALUE"""),"100")</f>
        <v>100</v>
      </c>
      <c r="T217" s="3"/>
      <c r="U217" s="3" t="str">
        <f ca="1">IFERROR(__xludf.DUMMYFUNCTION("""COMPUTED_VALUE"""),"banner standard")</f>
        <v>banner standard</v>
      </c>
      <c r="V217" s="3"/>
      <c r="W217" s="4" t="str">
        <f ca="1">IFERROR(__xludf.DUMMYFUNCTION("""COMPUTED_VALUE"""),"https://reklama.cncenter.cz/Online/mobilni-slide-up")</f>
        <v>https://reklama.cncenter.cz/Online/mobilni-slide-up</v>
      </c>
      <c r="X217" s="3"/>
      <c r="Y217" s="3"/>
      <c r="Z217" s="3" t="str">
        <f ca="1">IFERROR(__xludf.DUMMYFUNCTION("""COMPUTED_VALUE"""),"podklady@cncenter.cz")</f>
        <v>podklady@cncenter.cz</v>
      </c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 t="str">
        <f ca="1">IFERROR(__xludf.DUMMYFUNCTION("""COMPUTED_VALUE"""),"mobile")</f>
        <v>mobile</v>
      </c>
      <c r="AO217" s="3"/>
      <c r="AP217" s="3"/>
      <c r="AQ217" s="3"/>
      <c r="AR217" s="3"/>
      <c r="AS217" s="3"/>
      <c r="AT217" s="3"/>
      <c r="AU217" s="3" t="str">
        <f ca="1">IFERROR(__xludf.DUMMYFUNCTION("""COMPUTED_VALUE"""),"mobilní slide-up")</f>
        <v>mobilní slide-up</v>
      </c>
    </row>
    <row r="218" spans="1:47" x14ac:dyDescent="0.3">
      <c r="A218" s="3">
        <f ca="1"/>
        <v>2346826</v>
      </c>
      <c r="B218" s="3" t="str">
        <f ca="1"/>
        <v>CZECH NEWS CENTER a. s.</v>
      </c>
      <c r="C218" s="3" t="str">
        <f ca="1">IFERROR(__xludf.DUMMYFUNCTION("""COMPUTED_VALUE"""),"Blesk pro ženy")</f>
        <v>Blesk pro ženy</v>
      </c>
      <c r="D218" s="4" t="str">
        <f ca="1">IFERROR(__xludf.DUMMYFUNCTION("""COMPUTED_VALUE"""),"https://bleskprozeny.cz")</f>
        <v>https://bleskprozeny.cz</v>
      </c>
      <c r="E218" s="3" t="str">
        <f ca="1">IFERROR(__xludf.DUMMYFUNCTION("""COMPUTED_VALUE"""),"celý web")</f>
        <v>celý web</v>
      </c>
      <c r="F218" s="4" t="str">
        <f ca="1">IFERROR(__xludf.DUMMYFUNCTION("""COMPUTED_VALUE"""),"https://bleskprozeny.cz")</f>
        <v>https://bleskprozeny.cz</v>
      </c>
      <c r="G218" s="3" t="str">
        <f ca="1">IFERROR(__xludf.DUMMYFUNCTION("""COMPUTED_VALUE"""),"Advertorial high season")</f>
        <v>Advertorial high season</v>
      </c>
      <c r="H218" s="3">
        <f ca="1">IFERROR(__xludf.DUMMYFUNCTION("""COMPUTED_VALUE"""),1)</f>
        <v>1</v>
      </c>
      <c r="I218" s="5">
        <f ca="1">IFERROR(__xludf.DUMMYFUNCTION("""COMPUTED_VALUE"""),1)</f>
        <v>1</v>
      </c>
      <c r="J218" s="5">
        <f ca="1">IFERROR(__xludf.DUMMYFUNCTION("""COMPUTED_VALUE"""),90000)</f>
        <v>90000</v>
      </c>
      <c r="K218" s="3"/>
      <c r="L218" s="3" t="str">
        <f ca="1">IFERROR(__xludf.DUMMYFUNCTION("""COMPUTED_VALUE"""),"Cost per instance")</f>
        <v>Cost per instance</v>
      </c>
      <c r="M218" s="3"/>
      <c r="N218" s="3"/>
      <c r="O218" s="3"/>
      <c r="P218" s="3"/>
      <c r="Q218" s="3"/>
      <c r="R218" s="3"/>
      <c r="S218" s="3" t="str">
        <f ca="1">IFERROR(__xludf.DUMMYFUNCTION("""COMPUTED_VALUE"""),"100")</f>
        <v>100</v>
      </c>
      <c r="T218" s="3"/>
      <c r="U218" s="3" t="str">
        <f ca="1">IFERROR(__xludf.DUMMYFUNCTION("""COMPUTED_VALUE"""),"pr článek")</f>
        <v>pr článek</v>
      </c>
      <c r="V218" s="3"/>
      <c r="W218" s="3"/>
      <c r="X218" s="3"/>
      <c r="Y218" s="3"/>
      <c r="Z218" s="3" t="str">
        <f ca="1">IFERROR(__xludf.DUMMYFUNCTION("""COMPUTED_VALUE"""),"podklady@cncenter.cz")</f>
        <v>podklady@cncenter.cz</v>
      </c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 t="str">
        <f ca="1">IFERROR(__xludf.DUMMYFUNCTION("""COMPUTED_VALUE"""),"cross-device")</f>
        <v>cross-device</v>
      </c>
      <c r="AO218" s="3"/>
      <c r="AP218" s="3"/>
      <c r="AQ218" s="3"/>
      <c r="AR218" s="3"/>
      <c r="AS218" s="3"/>
      <c r="AT218" s="3"/>
      <c r="AU218" s="3" t="str">
        <f ca="1">IFERROR(__xludf.DUMMYFUNCTION("""COMPUTED_VALUE"""),"Advertorial")</f>
        <v>Advertorial</v>
      </c>
    </row>
    <row r="219" spans="1:47" x14ac:dyDescent="0.3">
      <c r="A219" s="3">
        <f ca="1"/>
        <v>2346826</v>
      </c>
      <c r="B219" s="3" t="str">
        <f ca="1"/>
        <v>CZECH NEWS CENTER a. s.</v>
      </c>
      <c r="C219" s="3" t="str">
        <f ca="1">IFERROR(__xludf.DUMMYFUNCTION("""COMPUTED_VALUE"""),"Blesk pro ženy")</f>
        <v>Blesk pro ženy</v>
      </c>
      <c r="D219" s="4" t="str">
        <f ca="1">IFERROR(__xludf.DUMMYFUNCTION("""COMPUTED_VALUE"""),"https://bleskprozeny.cz")</f>
        <v>https://bleskprozeny.cz</v>
      </c>
      <c r="E219" s="3" t="str">
        <f ca="1">IFERROR(__xludf.DUMMYFUNCTION("""COMPUTED_VALUE"""),"celý web")</f>
        <v>celý web</v>
      </c>
      <c r="F219" s="4" t="str">
        <f ca="1">IFERROR(__xludf.DUMMYFUNCTION("""COMPUTED_VALUE"""),"https://bleskprozeny.cz")</f>
        <v>https://bleskprozeny.cz</v>
      </c>
      <c r="G219" s="3" t="str">
        <f ca="1">IFERROR(__xludf.DUMMYFUNCTION("""COMPUTED_VALUE"""),"billboard bottom high season")</f>
        <v>billboard bottom high season</v>
      </c>
      <c r="H219" s="3">
        <f ca="1">IFERROR(__xludf.DUMMYFUNCTION("""COMPUTED_VALUE"""),7)</f>
        <v>7</v>
      </c>
      <c r="I219" s="5">
        <f ca="1">IFERROR(__xludf.DUMMYFUNCTION("""COMPUTED_VALUE"""),1000)</f>
        <v>1000</v>
      </c>
      <c r="J219" s="5">
        <f ca="1">IFERROR(__xludf.DUMMYFUNCTION("""COMPUTED_VALUE"""),440)</f>
        <v>440</v>
      </c>
      <c r="K219" s="3"/>
      <c r="L219" s="3" t="str">
        <f ca="1">IFERROR(__xludf.DUMMYFUNCTION("""COMPUTED_VALUE"""),"Cost per period")</f>
        <v>Cost per period</v>
      </c>
      <c r="M219" s="3"/>
      <c r="N219" s="3"/>
      <c r="O219" s="3" t="str">
        <f ca="1">IFERROR(__xludf.DUMMYFUNCTION("""COMPUTED_VALUE"""),"970")</f>
        <v>970</v>
      </c>
      <c r="P219" s="3" t="str">
        <f ca="1">IFERROR(__xludf.DUMMYFUNCTION("""COMPUTED_VALUE"""),"250")</f>
        <v>250</v>
      </c>
      <c r="Q219" s="3" t="str">
        <f ca="1">IFERROR(__xludf.DUMMYFUNCTION("""COMPUTED_VALUE"""),"970x250")</f>
        <v>970x250</v>
      </c>
      <c r="R219" s="3"/>
      <c r="S219" s="3" t="str">
        <f ca="1">IFERROR(__xludf.DUMMYFUNCTION("""COMPUTED_VALUE"""),"100 (200 - HTML5)")</f>
        <v>100 (200 - HTML5)</v>
      </c>
      <c r="T219" s="3"/>
      <c r="U219" s="3" t="str">
        <f ca="1">IFERROR(__xludf.DUMMYFUNCTION("""COMPUTED_VALUE"""),"banner standard")</f>
        <v>banner standard</v>
      </c>
      <c r="V219" s="3"/>
      <c r="W219" s="4" t="str">
        <f ca="1">IFERROR(__xludf.DUMMYFUNCTION("""COMPUTED_VALUE"""),"https://reklama.cncenter.cz/Online/billboard-bottom")</f>
        <v>https://reklama.cncenter.cz/Online/billboard-bottom</v>
      </c>
      <c r="X219" s="3"/>
      <c r="Y219" s="3"/>
      <c r="Z219" s="3" t="str">
        <f ca="1">IFERROR(__xludf.DUMMYFUNCTION("""COMPUTED_VALUE"""),"podklady@cncenter.cz")</f>
        <v>podklady@cncenter.cz</v>
      </c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 t="str">
        <f ca="1">IFERROR(__xludf.DUMMYFUNCTION("""COMPUTED_VALUE"""),"desktop")</f>
        <v>desktop</v>
      </c>
      <c r="AO219" s="3"/>
      <c r="AP219" s="3"/>
      <c r="AQ219" s="3"/>
      <c r="AR219" s="3"/>
      <c r="AS219" s="3"/>
      <c r="AT219" s="3"/>
      <c r="AU219" s="3" t="str">
        <f ca="1">IFERROR(__xludf.DUMMYFUNCTION("""COMPUTED_VALUE"""),"billboard bottom")</f>
        <v>billboard bottom</v>
      </c>
    </row>
    <row r="220" spans="1:47" x14ac:dyDescent="0.3">
      <c r="A220" s="3">
        <f ca="1"/>
        <v>2346826</v>
      </c>
      <c r="B220" s="3" t="str">
        <f ca="1"/>
        <v>CZECH NEWS CENTER a. s.</v>
      </c>
      <c r="C220" s="3" t="str">
        <f ca="1">IFERROR(__xludf.DUMMYFUNCTION("""COMPUTED_VALUE"""),"Blesk pro ženy")</f>
        <v>Blesk pro ženy</v>
      </c>
      <c r="D220" s="4" t="str">
        <f ca="1">IFERROR(__xludf.DUMMYFUNCTION("""COMPUTED_VALUE"""),"https://bleskprozeny.cz")</f>
        <v>https://bleskprozeny.cz</v>
      </c>
      <c r="E220" s="3" t="str">
        <f ca="1">IFERROR(__xludf.DUMMYFUNCTION("""COMPUTED_VALUE"""),"celý web")</f>
        <v>celý web</v>
      </c>
      <c r="F220" s="4" t="str">
        <f ca="1">IFERROR(__xludf.DUMMYFUNCTION("""COMPUTED_VALUE"""),"https://bleskprozeny.cz")</f>
        <v>https://bleskprozeny.cz</v>
      </c>
      <c r="G220" s="3" t="str">
        <f ca="1">IFERROR(__xludf.DUMMYFUNCTION("""COMPUTED_VALUE"""),"branding cross-device high season")</f>
        <v>branding cross-device high season</v>
      </c>
      <c r="H220" s="3">
        <f ca="1">IFERROR(__xludf.DUMMYFUNCTION("""COMPUTED_VALUE"""),7)</f>
        <v>7</v>
      </c>
      <c r="I220" s="5">
        <f ca="1">IFERROR(__xludf.DUMMYFUNCTION("""COMPUTED_VALUE"""),1000)</f>
        <v>1000</v>
      </c>
      <c r="J220" s="5">
        <f ca="1">IFERROR(__xludf.DUMMYFUNCTION("""COMPUTED_VALUE"""),540)</f>
        <v>540</v>
      </c>
      <c r="K220" s="3"/>
      <c r="L220" s="3" t="str">
        <f ca="1">IFERROR(__xludf.DUMMYFUNCTION("""COMPUTED_VALUE"""),"Cost per period")</f>
        <v>Cost per period</v>
      </c>
      <c r="M220" s="3"/>
      <c r="N220" s="3"/>
      <c r="O220" s="3" t="str">
        <f ca="1">IFERROR(__xludf.DUMMYFUNCTION("""COMPUTED_VALUE"""),"2000")</f>
        <v>2000</v>
      </c>
      <c r="P220" s="3" t="str">
        <f ca="1">IFERROR(__xludf.DUMMYFUNCTION("""COMPUTED_VALUE"""),"1400")</f>
        <v>1400</v>
      </c>
      <c r="Q220" s="3" t="str">
        <f ca="1">IFERROR(__xludf.DUMMYFUNCTION("""COMPUTED_VALUE"""),"2000x1400 + 600x1080")</f>
        <v>2000x1400 + 600x1080</v>
      </c>
      <c r="R220" s="3"/>
      <c r="S220" s="3" t="str">
        <f ca="1">IFERROR(__xludf.DUMMYFUNCTION("""COMPUTED_VALUE"""),"500 (600 - HTLM5)")</f>
        <v>500 (600 - HTLM5)</v>
      </c>
      <c r="T220" s="3"/>
      <c r="U220" s="3" t="str">
        <f ca="1">IFERROR(__xludf.DUMMYFUNCTION("""COMPUTED_VALUE"""),"banner standard")</f>
        <v>banner standard</v>
      </c>
      <c r="V220" s="3"/>
      <c r="W220" s="4" t="str">
        <f ca="1">IFERROR(__xludf.DUMMYFUNCTION("""COMPUTED_VALUE"""),"https://reklama.cncenter.cz/Online/branding-cross-device")</f>
        <v>https://reklama.cncenter.cz/Online/branding-cross-device</v>
      </c>
      <c r="X220" s="3"/>
      <c r="Y220" s="3"/>
      <c r="Z220" s="3" t="str">
        <f ca="1">IFERROR(__xludf.DUMMYFUNCTION("""COMPUTED_VALUE"""),"podklady@cncenter.cz")</f>
        <v>podklady@cncenter.cz</v>
      </c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 t="str">
        <f ca="1">IFERROR(__xludf.DUMMYFUNCTION("""COMPUTED_VALUE"""),"cross-device")</f>
        <v>cross-device</v>
      </c>
      <c r="AO220" s="3"/>
      <c r="AP220" s="3"/>
      <c r="AQ220" s="3"/>
      <c r="AR220" s="3"/>
      <c r="AS220" s="3"/>
      <c r="AT220" s="3"/>
      <c r="AU220" s="3" t="str">
        <f ca="1">IFERROR(__xludf.DUMMYFUNCTION("""COMPUTED_VALUE"""),"branding cross-device")</f>
        <v>branding cross-device</v>
      </c>
    </row>
    <row r="221" spans="1:47" x14ac:dyDescent="0.3">
      <c r="A221" s="3">
        <f ca="1"/>
        <v>2346826</v>
      </c>
      <c r="B221" s="3" t="str">
        <f ca="1"/>
        <v>CZECH NEWS CENTER a. s.</v>
      </c>
      <c r="C221" s="3" t="str">
        <f ca="1">IFERROR(__xludf.DUMMYFUNCTION("""COMPUTED_VALUE"""),"Blesk pro ženy")</f>
        <v>Blesk pro ženy</v>
      </c>
      <c r="D221" s="4" t="str">
        <f ca="1">IFERROR(__xludf.DUMMYFUNCTION("""COMPUTED_VALUE"""),"https://bleskprozeny.cz")</f>
        <v>https://bleskprozeny.cz</v>
      </c>
      <c r="E221" s="3" t="str">
        <f ca="1">IFERROR(__xludf.DUMMYFUNCTION("""COMPUTED_VALUE"""),"celý web")</f>
        <v>celý web</v>
      </c>
      <c r="F221" s="4" t="str">
        <f ca="1">IFERROR(__xludf.DUMMYFUNCTION("""COMPUTED_VALUE"""),"https://bleskprozeny.cz")</f>
        <v>https://bleskprozeny.cz</v>
      </c>
      <c r="G221" s="3" t="str">
        <f ca="1">IFERROR(__xludf.DUMMYFUNCTION("""COMPUTED_VALUE"""),"branding high season")</f>
        <v>branding high season</v>
      </c>
      <c r="H221" s="3">
        <f ca="1">IFERROR(__xludf.DUMMYFUNCTION("""COMPUTED_VALUE"""),7)</f>
        <v>7</v>
      </c>
      <c r="I221" s="5">
        <f ca="1">IFERROR(__xludf.DUMMYFUNCTION("""COMPUTED_VALUE"""),1000)</f>
        <v>1000</v>
      </c>
      <c r="J221" s="5">
        <f ca="1">IFERROR(__xludf.DUMMYFUNCTION("""COMPUTED_VALUE"""),890)</f>
        <v>890</v>
      </c>
      <c r="K221" s="3"/>
      <c r="L221" s="3" t="str">
        <f ca="1">IFERROR(__xludf.DUMMYFUNCTION("""COMPUTED_VALUE"""),"Cost per period")</f>
        <v>Cost per period</v>
      </c>
      <c r="M221" s="3"/>
      <c r="N221" s="3"/>
      <c r="O221" s="3" t="str">
        <f ca="1">IFERROR(__xludf.DUMMYFUNCTION("""COMPUTED_VALUE"""),"2000")</f>
        <v>2000</v>
      </c>
      <c r="P221" s="3" t="str">
        <f ca="1">IFERROR(__xludf.DUMMYFUNCTION("""COMPUTED_VALUE"""),"1400")</f>
        <v>1400</v>
      </c>
      <c r="Q221" s="3" t="str">
        <f ca="1">IFERROR(__xludf.DUMMYFUNCTION("""COMPUTED_VALUE"""),"2000x1400")</f>
        <v>2000x1400</v>
      </c>
      <c r="R221" s="3"/>
      <c r="S221" s="3" t="str">
        <f ca="1">IFERROR(__xludf.DUMMYFUNCTION("""COMPUTED_VALUE"""),"500 + 200 (600+200 HTML5)")</f>
        <v>500 + 200 (600+200 HTML5)</v>
      </c>
      <c r="T221" s="3"/>
      <c r="U221" s="3" t="str">
        <f ca="1">IFERROR(__xludf.DUMMYFUNCTION("""COMPUTED_VALUE"""),"banner standard")</f>
        <v>banner standard</v>
      </c>
      <c r="V221" s="3"/>
      <c r="W221" s="4" t="str">
        <f ca="1">IFERROR(__xludf.DUMMYFUNCTION("""COMPUTED_VALUE"""),"https://reklama.cncenter.cz/Online/branding")</f>
        <v>https://reklama.cncenter.cz/Online/branding</v>
      </c>
      <c r="X221" s="3"/>
      <c r="Y221" s="3"/>
      <c r="Z221" s="3" t="str">
        <f ca="1">IFERROR(__xludf.DUMMYFUNCTION("""COMPUTED_VALUE"""),"podklady@cncenter.cz")</f>
        <v>podklady@cncenter.cz</v>
      </c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 t="str">
        <f ca="1">IFERROR(__xludf.DUMMYFUNCTION("""COMPUTED_VALUE"""),"desktop")</f>
        <v>desktop</v>
      </c>
      <c r="AO221" s="3"/>
      <c r="AP221" s="3"/>
      <c r="AQ221" s="3"/>
      <c r="AR221" s="3"/>
      <c r="AS221" s="3"/>
      <c r="AT221" s="3"/>
      <c r="AU221" s="3" t="str">
        <f ca="1">IFERROR(__xludf.DUMMYFUNCTION("""COMPUTED_VALUE"""),"branding")</f>
        <v>branding</v>
      </c>
    </row>
    <row r="222" spans="1:47" x14ac:dyDescent="0.3">
      <c r="A222" s="3">
        <f ca="1"/>
        <v>2346826</v>
      </c>
      <c r="B222" s="3" t="str">
        <f ca="1"/>
        <v>CZECH NEWS CENTER a. s.</v>
      </c>
      <c r="C222" s="3" t="str">
        <f ca="1">IFERROR(__xludf.DUMMYFUNCTION("""COMPUTED_VALUE"""),"Blesk pro ženy")</f>
        <v>Blesk pro ženy</v>
      </c>
      <c r="D222" s="4" t="str">
        <f ca="1">IFERROR(__xludf.DUMMYFUNCTION("""COMPUTED_VALUE"""),"https://bleskprozeny.cz")</f>
        <v>https://bleskprozeny.cz</v>
      </c>
      <c r="E222" s="3" t="str">
        <f ca="1">IFERROR(__xludf.DUMMYFUNCTION("""COMPUTED_VALUE"""),"celý web")</f>
        <v>celý web</v>
      </c>
      <c r="F222" s="4" t="str">
        <f ca="1">IFERROR(__xludf.DUMMYFUNCTION("""COMPUTED_VALUE"""),"https://bleskprozeny.cz")</f>
        <v>https://bleskprozeny.cz</v>
      </c>
      <c r="G222" s="3" t="str">
        <f ca="1">IFERROR(__xludf.DUMMYFUNCTION("""COMPUTED_VALUE"""),"cílený billboard bottom high season")</f>
        <v>cílený billboard bottom high season</v>
      </c>
      <c r="H222" s="3">
        <f ca="1">IFERROR(__xludf.DUMMYFUNCTION("""COMPUTED_VALUE"""),7)</f>
        <v>7</v>
      </c>
      <c r="I222" s="5">
        <f ca="1">IFERROR(__xludf.DUMMYFUNCTION("""COMPUTED_VALUE"""),1000)</f>
        <v>1000</v>
      </c>
      <c r="J222" s="5">
        <f ca="1">IFERROR(__xludf.DUMMYFUNCTION("""COMPUTED_VALUE"""),528)</f>
        <v>528</v>
      </c>
      <c r="K222" s="3"/>
      <c r="L222" s="3" t="str">
        <f ca="1">IFERROR(__xludf.DUMMYFUNCTION("""COMPUTED_VALUE"""),"Cost per period")</f>
        <v>Cost per period</v>
      </c>
      <c r="M222" s="3"/>
      <c r="N222" s="3"/>
      <c r="O222" s="3" t="str">
        <f ca="1">IFERROR(__xludf.DUMMYFUNCTION("""COMPUTED_VALUE"""),"970")</f>
        <v>970</v>
      </c>
      <c r="P222" s="3" t="str">
        <f ca="1">IFERROR(__xludf.DUMMYFUNCTION("""COMPUTED_VALUE"""),"250")</f>
        <v>250</v>
      </c>
      <c r="Q222" s="3" t="str">
        <f ca="1">IFERROR(__xludf.DUMMYFUNCTION("""COMPUTED_VALUE"""),"970x250")</f>
        <v>970x250</v>
      </c>
      <c r="R222" s="3"/>
      <c r="S222" s="3" t="str">
        <f ca="1">IFERROR(__xludf.DUMMYFUNCTION("""COMPUTED_VALUE"""),"100 (200 - HTML5)")</f>
        <v>100 (200 - HTML5)</v>
      </c>
      <c r="T222" s="3"/>
      <c r="U222" s="3" t="str">
        <f ca="1">IFERROR(__xludf.DUMMYFUNCTION("""COMPUTED_VALUE"""),"banner standard")</f>
        <v>banner standard</v>
      </c>
      <c r="V222" s="3"/>
      <c r="W222" s="4" t="str">
        <f ca="1">IFERROR(__xludf.DUMMYFUNCTION("""COMPUTED_VALUE"""),"https://reklama.cncenter.cz/Online/billboard-bottom")</f>
        <v>https://reklama.cncenter.cz/Online/billboard-bottom</v>
      </c>
      <c r="X222" s="3"/>
      <c r="Y222" s="3"/>
      <c r="Z222" s="3" t="str">
        <f ca="1">IFERROR(__xludf.DUMMYFUNCTION("""COMPUTED_VALUE"""),"podklady@cncenter.cz")</f>
        <v>podklady@cncenter.cz</v>
      </c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 t="str">
        <f ca="1">IFERROR(__xludf.DUMMYFUNCTION("""COMPUTED_VALUE"""),"desktop")</f>
        <v>desktop</v>
      </c>
      <c r="AO222" s="3"/>
      <c r="AP222" s="3"/>
      <c r="AQ222" s="3"/>
      <c r="AR222" s="3"/>
      <c r="AS222" s="3"/>
      <c r="AT222" s="3"/>
      <c r="AU222" s="3" t="str">
        <f ca="1">IFERROR(__xludf.DUMMYFUNCTION("""COMPUTED_VALUE"""),"cílený billboard bottom")</f>
        <v>cílený billboard bottom</v>
      </c>
    </row>
    <row r="223" spans="1:47" x14ac:dyDescent="0.3">
      <c r="A223" s="3">
        <f ca="1"/>
        <v>2346826</v>
      </c>
      <c r="B223" s="3" t="str">
        <f ca="1"/>
        <v>CZECH NEWS CENTER a. s.</v>
      </c>
      <c r="C223" s="3" t="str">
        <f ca="1">IFERROR(__xludf.DUMMYFUNCTION("""COMPUTED_VALUE"""),"Blesk pro ženy")</f>
        <v>Blesk pro ženy</v>
      </c>
      <c r="D223" s="4" t="str">
        <f ca="1">IFERROR(__xludf.DUMMYFUNCTION("""COMPUTED_VALUE"""),"https://bleskprozeny.cz")</f>
        <v>https://bleskprozeny.cz</v>
      </c>
      <c r="E223" s="3" t="str">
        <f ca="1">IFERROR(__xludf.DUMMYFUNCTION("""COMPUTED_VALUE"""),"celý web")</f>
        <v>celý web</v>
      </c>
      <c r="F223" s="4" t="str">
        <f ca="1">IFERROR(__xludf.DUMMYFUNCTION("""COMPUTED_VALUE"""),"https://bleskprozeny.cz")</f>
        <v>https://bleskprozeny.cz</v>
      </c>
      <c r="G223" s="3" t="str">
        <f ca="1">IFERROR(__xludf.DUMMYFUNCTION("""COMPUTED_VALUE"""),"cílený branding cross-device high season")</f>
        <v>cílený branding cross-device high season</v>
      </c>
      <c r="H223" s="3">
        <f ca="1">IFERROR(__xludf.DUMMYFUNCTION("""COMPUTED_VALUE"""),7)</f>
        <v>7</v>
      </c>
      <c r="I223" s="5">
        <f ca="1">IFERROR(__xludf.DUMMYFUNCTION("""COMPUTED_VALUE"""),1000)</f>
        <v>1000</v>
      </c>
      <c r="J223" s="5">
        <f ca="1">IFERROR(__xludf.DUMMYFUNCTION("""COMPUTED_VALUE"""),648)</f>
        <v>648</v>
      </c>
      <c r="K223" s="3"/>
      <c r="L223" s="3" t="str">
        <f ca="1">IFERROR(__xludf.DUMMYFUNCTION("""COMPUTED_VALUE"""),"Cost per period")</f>
        <v>Cost per period</v>
      </c>
      <c r="M223" s="3"/>
      <c r="N223" s="3"/>
      <c r="O223" s="3" t="str">
        <f ca="1">IFERROR(__xludf.DUMMYFUNCTION("""COMPUTED_VALUE"""),"2000")</f>
        <v>2000</v>
      </c>
      <c r="P223" s="3" t="str">
        <f ca="1">IFERROR(__xludf.DUMMYFUNCTION("""COMPUTED_VALUE"""),"1400")</f>
        <v>1400</v>
      </c>
      <c r="Q223" s="3" t="str">
        <f ca="1">IFERROR(__xludf.DUMMYFUNCTION("""COMPUTED_VALUE"""),"2000x1400 + 600x1080")</f>
        <v>2000x1400 + 600x1080</v>
      </c>
      <c r="R223" s="3"/>
      <c r="S223" s="3" t="str">
        <f ca="1">IFERROR(__xludf.DUMMYFUNCTION("""COMPUTED_VALUE"""),"500 (600 - HTLM5)")</f>
        <v>500 (600 - HTLM5)</v>
      </c>
      <c r="T223" s="3"/>
      <c r="U223" s="3" t="str">
        <f ca="1">IFERROR(__xludf.DUMMYFUNCTION("""COMPUTED_VALUE"""),"banner standard")</f>
        <v>banner standard</v>
      </c>
      <c r="V223" s="3"/>
      <c r="W223" s="4" t="str">
        <f ca="1">IFERROR(__xludf.DUMMYFUNCTION("""COMPUTED_VALUE"""),"https://reklama.cncenter.cz/Online/branding-cross-device")</f>
        <v>https://reklama.cncenter.cz/Online/branding-cross-device</v>
      </c>
      <c r="X223" s="3"/>
      <c r="Y223" s="3"/>
      <c r="Z223" s="3" t="str">
        <f ca="1">IFERROR(__xludf.DUMMYFUNCTION("""COMPUTED_VALUE"""),"podklady@cncenter.cz")</f>
        <v>podklady@cncenter.cz</v>
      </c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 t="str">
        <f ca="1">IFERROR(__xludf.DUMMYFUNCTION("""COMPUTED_VALUE"""),"cross-device")</f>
        <v>cross-device</v>
      </c>
      <c r="AO223" s="3"/>
      <c r="AP223" s="3"/>
      <c r="AQ223" s="3"/>
      <c r="AR223" s="3"/>
      <c r="AS223" s="3"/>
      <c r="AT223" s="3"/>
      <c r="AU223" s="3" t="str">
        <f ca="1">IFERROR(__xludf.DUMMYFUNCTION("""COMPUTED_VALUE"""),"cílený branding cross-device")</f>
        <v>cílený branding cross-device</v>
      </c>
    </row>
    <row r="224" spans="1:47" x14ac:dyDescent="0.3">
      <c r="A224" s="3">
        <f ca="1"/>
        <v>2346826</v>
      </c>
      <c r="B224" s="3" t="str">
        <f ca="1"/>
        <v>CZECH NEWS CENTER a. s.</v>
      </c>
      <c r="C224" s="3" t="str">
        <f ca="1">IFERROR(__xludf.DUMMYFUNCTION("""COMPUTED_VALUE"""),"Blesk pro ženy")</f>
        <v>Blesk pro ženy</v>
      </c>
      <c r="D224" s="4" t="str">
        <f ca="1">IFERROR(__xludf.DUMMYFUNCTION("""COMPUTED_VALUE"""),"https://bleskprozeny.cz")</f>
        <v>https://bleskprozeny.cz</v>
      </c>
      <c r="E224" s="3" t="str">
        <f ca="1">IFERROR(__xludf.DUMMYFUNCTION("""COMPUTED_VALUE"""),"celý web")</f>
        <v>celý web</v>
      </c>
      <c r="F224" s="4" t="str">
        <f ca="1">IFERROR(__xludf.DUMMYFUNCTION("""COMPUTED_VALUE"""),"https://bleskprozeny.cz")</f>
        <v>https://bleskprozeny.cz</v>
      </c>
      <c r="G224" s="3" t="str">
        <f ca="1">IFERROR(__xludf.DUMMYFUNCTION("""COMPUTED_VALUE"""),"cílený branding high season")</f>
        <v>cílený branding high season</v>
      </c>
      <c r="H224" s="3">
        <f ca="1">IFERROR(__xludf.DUMMYFUNCTION("""COMPUTED_VALUE"""),7)</f>
        <v>7</v>
      </c>
      <c r="I224" s="5">
        <f ca="1">IFERROR(__xludf.DUMMYFUNCTION("""COMPUTED_VALUE"""),1000)</f>
        <v>1000</v>
      </c>
      <c r="J224" s="5">
        <f ca="1">IFERROR(__xludf.DUMMYFUNCTION("""COMPUTED_VALUE"""),1068)</f>
        <v>1068</v>
      </c>
      <c r="K224" s="3"/>
      <c r="L224" s="3" t="str">
        <f ca="1">IFERROR(__xludf.DUMMYFUNCTION("""COMPUTED_VALUE"""),"Cost per period")</f>
        <v>Cost per period</v>
      </c>
      <c r="M224" s="3"/>
      <c r="N224" s="3"/>
      <c r="O224" s="3" t="str">
        <f ca="1">IFERROR(__xludf.DUMMYFUNCTION("""COMPUTED_VALUE"""),"2000")</f>
        <v>2000</v>
      </c>
      <c r="P224" s="3" t="str">
        <f ca="1">IFERROR(__xludf.DUMMYFUNCTION("""COMPUTED_VALUE"""),"1400")</f>
        <v>1400</v>
      </c>
      <c r="Q224" s="3" t="str">
        <f ca="1">IFERROR(__xludf.DUMMYFUNCTION("""COMPUTED_VALUE"""),"2000x1400")</f>
        <v>2000x1400</v>
      </c>
      <c r="R224" s="3"/>
      <c r="S224" s="3" t="str">
        <f ca="1">IFERROR(__xludf.DUMMYFUNCTION("""COMPUTED_VALUE"""),"500 + 200 (600+200 HTML5)")</f>
        <v>500 + 200 (600+200 HTML5)</v>
      </c>
      <c r="T224" s="3"/>
      <c r="U224" s="3" t="str">
        <f ca="1">IFERROR(__xludf.DUMMYFUNCTION("""COMPUTED_VALUE"""),"banner standard")</f>
        <v>banner standard</v>
      </c>
      <c r="V224" s="3"/>
      <c r="W224" s="4" t="str">
        <f ca="1">IFERROR(__xludf.DUMMYFUNCTION("""COMPUTED_VALUE"""),"https://reklama.cncenter.cz/Online/branding")</f>
        <v>https://reklama.cncenter.cz/Online/branding</v>
      </c>
      <c r="X224" s="3"/>
      <c r="Y224" s="3"/>
      <c r="Z224" s="3" t="str">
        <f ca="1">IFERROR(__xludf.DUMMYFUNCTION("""COMPUTED_VALUE"""),"podklady@cncenter.cz")</f>
        <v>podklady@cncenter.cz</v>
      </c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 t="str">
        <f ca="1">IFERROR(__xludf.DUMMYFUNCTION("""COMPUTED_VALUE"""),"desktop")</f>
        <v>desktop</v>
      </c>
      <c r="AO224" s="3"/>
      <c r="AP224" s="3"/>
      <c r="AQ224" s="3"/>
      <c r="AR224" s="3"/>
      <c r="AS224" s="3"/>
      <c r="AT224" s="3"/>
      <c r="AU224" s="3" t="str">
        <f ca="1">IFERROR(__xludf.DUMMYFUNCTION("""COMPUTED_VALUE"""),"cílený branding")</f>
        <v>cílený branding</v>
      </c>
    </row>
    <row r="225" spans="1:47" x14ac:dyDescent="0.3">
      <c r="A225" s="3">
        <f ca="1"/>
        <v>2346826</v>
      </c>
      <c r="B225" s="3" t="str">
        <f ca="1"/>
        <v>CZECH NEWS CENTER a. s.</v>
      </c>
      <c r="C225" s="3" t="str">
        <f ca="1">IFERROR(__xludf.DUMMYFUNCTION("""COMPUTED_VALUE"""),"Blesk pro ženy")</f>
        <v>Blesk pro ženy</v>
      </c>
      <c r="D225" s="4" t="str">
        <f ca="1">IFERROR(__xludf.DUMMYFUNCTION("""COMPUTED_VALUE"""),"https://bleskprozeny.cz")</f>
        <v>https://bleskprozeny.cz</v>
      </c>
      <c r="E225" s="3" t="str">
        <f ca="1">IFERROR(__xludf.DUMMYFUNCTION("""COMPUTED_VALUE"""),"celý web")</f>
        <v>celý web</v>
      </c>
      <c r="F225" s="4" t="str">
        <f ca="1">IFERROR(__xludf.DUMMYFUNCTION("""COMPUTED_VALUE"""),"https://bleskprozeny.cz")</f>
        <v>https://bleskprozeny.cz</v>
      </c>
      <c r="G225" s="3" t="str">
        <f ca="1">IFERROR(__xludf.DUMMYFUNCTION("""COMPUTED_VALUE"""),"cílený double skyscraper high season")</f>
        <v>cílený double skyscraper high season</v>
      </c>
      <c r="H225" s="3">
        <f ca="1">IFERROR(__xludf.DUMMYFUNCTION("""COMPUTED_VALUE"""),7)</f>
        <v>7</v>
      </c>
      <c r="I225" s="5">
        <f ca="1">IFERROR(__xludf.DUMMYFUNCTION("""COMPUTED_VALUE"""),1000)</f>
        <v>1000</v>
      </c>
      <c r="J225" s="5">
        <f ca="1">IFERROR(__xludf.DUMMYFUNCTION("""COMPUTED_VALUE"""),420)</f>
        <v>420</v>
      </c>
      <c r="K225" s="3"/>
      <c r="L225" s="3" t="str">
        <f ca="1">IFERROR(__xludf.DUMMYFUNCTION("""COMPUTED_VALUE"""),"Cost per period")</f>
        <v>Cost per period</v>
      </c>
      <c r="M225" s="3"/>
      <c r="N225" s="3"/>
      <c r="O225" s="3" t="str">
        <f ca="1">IFERROR(__xludf.DUMMYFUNCTION("""COMPUTED_VALUE"""),"300")</f>
        <v>300</v>
      </c>
      <c r="P225" s="3" t="str">
        <f ca="1">IFERROR(__xludf.DUMMYFUNCTION("""COMPUTED_VALUE"""),"600")</f>
        <v>600</v>
      </c>
      <c r="Q225" s="3" t="str">
        <f ca="1">IFERROR(__xludf.DUMMYFUNCTION("""COMPUTED_VALUE"""),"300x600")</f>
        <v>300x600</v>
      </c>
      <c r="R225" s="3"/>
      <c r="S225" s="3" t="str">
        <f ca="1">IFERROR(__xludf.DUMMYFUNCTION("""COMPUTED_VALUE"""),"100 (200 - HTML5)")</f>
        <v>100 (200 - HTML5)</v>
      </c>
      <c r="T225" s="3"/>
      <c r="U225" s="3" t="str">
        <f ca="1">IFERROR(__xludf.DUMMYFUNCTION("""COMPUTED_VALUE"""),"banner standard")</f>
        <v>banner standard</v>
      </c>
      <c r="V225" s="3"/>
      <c r="W225" s="4" t="str">
        <f ca="1">IFERROR(__xludf.DUMMYFUNCTION("""COMPUTED_VALUE"""),"https://reklama.cncenter.cz/Online/double-skyscraper")</f>
        <v>https://reklama.cncenter.cz/Online/double-skyscraper</v>
      </c>
      <c r="X225" s="3"/>
      <c r="Y225" s="3"/>
      <c r="Z225" s="3" t="str">
        <f ca="1">IFERROR(__xludf.DUMMYFUNCTION("""COMPUTED_VALUE"""),"podklady@cncenter.cz")</f>
        <v>podklady@cncenter.cz</v>
      </c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 t="str">
        <f ca="1">IFERROR(__xludf.DUMMYFUNCTION("""COMPUTED_VALUE"""),"desktop")</f>
        <v>desktop</v>
      </c>
      <c r="AO225" s="3"/>
      <c r="AP225" s="3"/>
      <c r="AQ225" s="3"/>
      <c r="AR225" s="3"/>
      <c r="AS225" s="3"/>
      <c r="AT225" s="3"/>
      <c r="AU225" s="3" t="str">
        <f ca="1">IFERROR(__xludf.DUMMYFUNCTION("""COMPUTED_VALUE"""),"cílený double skyscraper")</f>
        <v>cílený double skyscraper</v>
      </c>
    </row>
    <row r="226" spans="1:47" x14ac:dyDescent="0.3">
      <c r="A226" s="3">
        <f ca="1"/>
        <v>2346826</v>
      </c>
      <c r="B226" s="3" t="str">
        <f ca="1"/>
        <v>CZECH NEWS CENTER a. s.</v>
      </c>
      <c r="C226" s="3" t="str">
        <f ca="1">IFERROR(__xludf.DUMMYFUNCTION("""COMPUTED_VALUE"""),"Blesk pro ženy")</f>
        <v>Blesk pro ženy</v>
      </c>
      <c r="D226" s="4" t="str">
        <f ca="1">IFERROR(__xludf.DUMMYFUNCTION("""COMPUTED_VALUE"""),"https://bleskprozeny.cz")</f>
        <v>https://bleskprozeny.cz</v>
      </c>
      <c r="E226" s="3" t="str">
        <f ca="1">IFERROR(__xludf.DUMMYFUNCTION("""COMPUTED_VALUE"""),"celý web")</f>
        <v>celý web</v>
      </c>
      <c r="F226" s="4" t="str">
        <f ca="1">IFERROR(__xludf.DUMMYFUNCTION("""COMPUTED_VALUE"""),"https://bleskprozeny.cz")</f>
        <v>https://bleskprozeny.cz</v>
      </c>
      <c r="G226" s="3" t="str">
        <f ca="1">IFERROR(__xludf.DUMMYFUNCTION("""COMPUTED_VALUE"""),"cílený mini videospot - max. 30 sec. high season")</f>
        <v>cílený mini videospot - max. 30 sec. high season</v>
      </c>
      <c r="H226" s="3">
        <f ca="1">IFERROR(__xludf.DUMMYFUNCTION("""COMPUTED_VALUE"""),7)</f>
        <v>7</v>
      </c>
      <c r="I226" s="5">
        <f ca="1">IFERROR(__xludf.DUMMYFUNCTION("""COMPUTED_VALUE"""),1000)</f>
        <v>1000</v>
      </c>
      <c r="J226" s="5">
        <f ca="1">IFERROR(__xludf.DUMMYFUNCTION("""COMPUTED_VALUE"""),312)</f>
        <v>312</v>
      </c>
      <c r="K226" s="3"/>
      <c r="L226" s="3" t="str">
        <f ca="1">IFERROR(__xludf.DUMMYFUNCTION("""COMPUTED_VALUE"""),"Cost per period")</f>
        <v>Cost per period</v>
      </c>
      <c r="M226" s="3"/>
      <c r="N226" s="3"/>
      <c r="O226" s="3"/>
      <c r="P226" s="3"/>
      <c r="Q226" s="3" t="str">
        <f ca="1">IFERROR(__xludf.DUMMYFUNCTION("""COMPUTED_VALUE"""),"16:9 / umístění po domluvě dle možností")</f>
        <v>16:9 / umístění po domluvě dle možností</v>
      </c>
      <c r="R226" s="3" t="str">
        <f ca="1">IFERROR(__xludf.DUMMYFUNCTION("""COMPUTED_VALUE"""),"přeskočení po 7 sekundách")</f>
        <v>přeskočení po 7 sekundách</v>
      </c>
      <c r="S226" s="3" t="str">
        <f ca="1">IFERROR(__xludf.DUMMYFUNCTION("""COMPUTED_VALUE"""),"100")</f>
        <v>100</v>
      </c>
      <c r="T226" s="3"/>
      <c r="U226" s="3" t="str">
        <f ca="1">IFERROR(__xludf.DUMMYFUNCTION("""COMPUTED_VALUE"""),"videospot")</f>
        <v>videospot</v>
      </c>
      <c r="V226" s="3"/>
      <c r="W226" s="4" t="str">
        <f ca="1">IFERROR(__xludf.DUMMYFUNCTION("""COMPUTED_VALUE"""),"https://reklama.cncenter.cz/Online/Videospot")</f>
        <v>https://reklama.cncenter.cz/Online/Videospot</v>
      </c>
      <c r="X226" s="3"/>
      <c r="Y226" s="3"/>
      <c r="Z226" s="3" t="str">
        <f ca="1">IFERROR(__xludf.DUMMYFUNCTION("""COMPUTED_VALUE"""),"podklady@cncenter.cz")</f>
        <v>podklady@cncenter.cz</v>
      </c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 t="str">
        <f ca="1">IFERROR(__xludf.DUMMYFUNCTION("""COMPUTED_VALUE"""),"desktop")</f>
        <v>desktop</v>
      </c>
      <c r="AO226" s="3"/>
      <c r="AP226" s="3"/>
      <c r="AQ226" s="3"/>
      <c r="AR226" s="3"/>
      <c r="AS226" s="3"/>
      <c r="AT226" s="3"/>
      <c r="AU226" s="3" t="str">
        <f ca="1">IFERROR(__xludf.DUMMYFUNCTION("""COMPUTED_VALUE"""),"cílený mini videospot - max. 30 sec.")</f>
        <v>cílený mini videospot - max. 30 sec.</v>
      </c>
    </row>
    <row r="227" spans="1:47" x14ac:dyDescent="0.3">
      <c r="A227" s="3">
        <f ca="1"/>
        <v>2346826</v>
      </c>
      <c r="B227" s="3" t="str">
        <f ca="1"/>
        <v>CZECH NEWS CENTER a. s.</v>
      </c>
      <c r="C227" s="3" t="str">
        <f ca="1">IFERROR(__xludf.DUMMYFUNCTION("""COMPUTED_VALUE"""),"Blesk pro ženy")</f>
        <v>Blesk pro ženy</v>
      </c>
      <c r="D227" s="4" t="str">
        <f ca="1">IFERROR(__xludf.DUMMYFUNCTION("""COMPUTED_VALUE"""),"https://bleskprozeny.cz")</f>
        <v>https://bleskprozeny.cz</v>
      </c>
      <c r="E227" s="3" t="str">
        <f ca="1">IFERROR(__xludf.DUMMYFUNCTION("""COMPUTED_VALUE"""),"celý web")</f>
        <v>celý web</v>
      </c>
      <c r="F227" s="4" t="str">
        <f ca="1">IFERROR(__xludf.DUMMYFUNCTION("""COMPUTED_VALUE"""),"https://bleskprozeny.cz")</f>
        <v>https://bleskprozeny.cz</v>
      </c>
      <c r="G227" s="3" t="str">
        <f ca="1">IFERROR(__xludf.DUMMYFUNCTION("""COMPUTED_VALUE"""),"cílený mobilní interscroller high season")</f>
        <v>cílený mobilní interscroller high season</v>
      </c>
      <c r="H227" s="3">
        <f ca="1">IFERROR(__xludf.DUMMYFUNCTION("""COMPUTED_VALUE"""),7)</f>
        <v>7</v>
      </c>
      <c r="I227" s="5">
        <f ca="1">IFERROR(__xludf.DUMMYFUNCTION("""COMPUTED_VALUE"""),1000)</f>
        <v>1000</v>
      </c>
      <c r="J227" s="5">
        <f ca="1">IFERROR(__xludf.DUMMYFUNCTION("""COMPUTED_VALUE"""),540)</f>
        <v>540</v>
      </c>
      <c r="K227" s="3"/>
      <c r="L227" s="3" t="str">
        <f ca="1">IFERROR(__xludf.DUMMYFUNCTION("""COMPUTED_VALUE"""),"Cost per period")</f>
        <v>Cost per period</v>
      </c>
      <c r="M227" s="3"/>
      <c r="N227" s="3"/>
      <c r="O227" s="3" t="str">
        <f ca="1">IFERROR(__xludf.DUMMYFUNCTION("""COMPUTED_VALUE"""),"600")</f>
        <v>600</v>
      </c>
      <c r="P227" s="3" t="str">
        <f ca="1">IFERROR(__xludf.DUMMYFUNCTION("""COMPUTED_VALUE"""),"1080")</f>
        <v>1080</v>
      </c>
      <c r="Q227" s="3" t="str">
        <f ca="1">IFERROR(__xludf.DUMMYFUNCTION("""COMPUTED_VALUE"""),"600x1080")</f>
        <v>600x1080</v>
      </c>
      <c r="R227" s="3"/>
      <c r="S227" s="3" t="str">
        <f ca="1">IFERROR(__xludf.DUMMYFUNCTION("""COMPUTED_VALUE"""),"200")</f>
        <v>200</v>
      </c>
      <c r="T227" s="3"/>
      <c r="U227" s="3" t="str">
        <f ca="1">IFERROR(__xludf.DUMMYFUNCTION("""COMPUTED_VALUE"""),"banner standard")</f>
        <v>banner standard</v>
      </c>
      <c r="V227" s="3"/>
      <c r="W227" s="4" t="str">
        <f ca="1">IFERROR(__xludf.DUMMYFUNCTION("""COMPUTED_VALUE"""),"https://reklama.cncenter.cz/Online/mobilni-interscroller")</f>
        <v>https://reklama.cncenter.cz/Online/mobilni-interscroller</v>
      </c>
      <c r="X227" s="3"/>
      <c r="Y227" s="3"/>
      <c r="Z227" s="3" t="str">
        <f ca="1">IFERROR(__xludf.DUMMYFUNCTION("""COMPUTED_VALUE"""),"podklady@cncenter.cz")</f>
        <v>podklady@cncenter.cz</v>
      </c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 t="str">
        <f ca="1">IFERROR(__xludf.DUMMYFUNCTION("""COMPUTED_VALUE"""),"mobile")</f>
        <v>mobile</v>
      </c>
      <c r="AO227" s="3"/>
      <c r="AP227" s="3"/>
      <c r="AQ227" s="3"/>
      <c r="AR227" s="3"/>
      <c r="AS227" s="3"/>
      <c r="AT227" s="3"/>
      <c r="AU227" s="3" t="str">
        <f ca="1">IFERROR(__xludf.DUMMYFUNCTION("""COMPUTED_VALUE"""),"cílený mobilní interscroller")</f>
        <v>cílený mobilní interscroller</v>
      </c>
    </row>
    <row r="228" spans="1:47" x14ac:dyDescent="0.3">
      <c r="A228" s="3">
        <f ca="1"/>
        <v>2346826</v>
      </c>
      <c r="B228" s="3" t="str">
        <f ca="1"/>
        <v>CZECH NEWS CENTER a. s.</v>
      </c>
      <c r="C228" s="3" t="str">
        <f ca="1">IFERROR(__xludf.DUMMYFUNCTION("""COMPUTED_VALUE"""),"Blesk pro ženy")</f>
        <v>Blesk pro ženy</v>
      </c>
      <c r="D228" s="4" t="str">
        <f ca="1">IFERROR(__xludf.DUMMYFUNCTION("""COMPUTED_VALUE"""),"https://bleskprozeny.cz")</f>
        <v>https://bleskprozeny.cz</v>
      </c>
      <c r="E228" s="3" t="str">
        <f ca="1">IFERROR(__xludf.DUMMYFUNCTION("""COMPUTED_VALUE"""),"celý web")</f>
        <v>celý web</v>
      </c>
      <c r="F228" s="4" t="str">
        <f ca="1">IFERROR(__xludf.DUMMYFUNCTION("""COMPUTED_VALUE"""),"https://bleskprozeny.cz")</f>
        <v>https://bleskprozeny.cz</v>
      </c>
      <c r="G228" s="3" t="str">
        <f ca="1">IFERROR(__xludf.DUMMYFUNCTION("""COMPUTED_VALUE"""),"cílený mobilní slide-up high season")</f>
        <v>cílený mobilní slide-up high season</v>
      </c>
      <c r="H228" s="3">
        <f ca="1">IFERROR(__xludf.DUMMYFUNCTION("""COMPUTED_VALUE"""),7)</f>
        <v>7</v>
      </c>
      <c r="I228" s="5">
        <f ca="1">IFERROR(__xludf.DUMMYFUNCTION("""COMPUTED_VALUE"""),1000)</f>
        <v>1000</v>
      </c>
      <c r="J228" s="5">
        <f ca="1">IFERROR(__xludf.DUMMYFUNCTION("""COMPUTED_VALUE"""),1104)</f>
        <v>1104</v>
      </c>
      <c r="K228" s="3"/>
      <c r="L228" s="3" t="str">
        <f ca="1">IFERROR(__xludf.DUMMYFUNCTION("""COMPUTED_VALUE"""),"Cost per period")</f>
        <v>Cost per period</v>
      </c>
      <c r="M228" s="3"/>
      <c r="N228" s="3"/>
      <c r="O228" s="3" t="str">
        <f ca="1">IFERROR(__xludf.DUMMYFUNCTION("""COMPUTED_VALUE"""),"300")</f>
        <v>300</v>
      </c>
      <c r="P228" s="3" t="str">
        <f ca="1">IFERROR(__xludf.DUMMYFUNCTION("""COMPUTED_VALUE"""),"120")</f>
        <v>120</v>
      </c>
      <c r="Q228" s="3" t="str">
        <f ca="1">IFERROR(__xludf.DUMMYFUNCTION("""COMPUTED_VALUE"""),"300x120")</f>
        <v>300x120</v>
      </c>
      <c r="R228" s="3"/>
      <c r="S228" s="3" t="str">
        <f ca="1">IFERROR(__xludf.DUMMYFUNCTION("""COMPUTED_VALUE"""),"100")</f>
        <v>100</v>
      </c>
      <c r="T228" s="3"/>
      <c r="U228" s="3" t="str">
        <f ca="1">IFERROR(__xludf.DUMMYFUNCTION("""COMPUTED_VALUE"""),"banner standard")</f>
        <v>banner standard</v>
      </c>
      <c r="V228" s="3"/>
      <c r="W228" s="4" t="str">
        <f ca="1">IFERROR(__xludf.DUMMYFUNCTION("""COMPUTED_VALUE"""),"https://reklama.cncenter.cz/Online/mobilni-slide-up")</f>
        <v>https://reklama.cncenter.cz/Online/mobilni-slide-up</v>
      </c>
      <c r="X228" s="3"/>
      <c r="Y228" s="3"/>
      <c r="Z228" s="3" t="str">
        <f ca="1">IFERROR(__xludf.DUMMYFUNCTION("""COMPUTED_VALUE"""),"podklady@cncenter.cz")</f>
        <v>podklady@cncenter.cz</v>
      </c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 t="str">
        <f ca="1">IFERROR(__xludf.DUMMYFUNCTION("""COMPUTED_VALUE"""),"mobile")</f>
        <v>mobile</v>
      </c>
      <c r="AO228" s="3"/>
      <c r="AP228" s="3"/>
      <c r="AQ228" s="3"/>
      <c r="AR228" s="3"/>
      <c r="AS228" s="3"/>
      <c r="AT228" s="3"/>
      <c r="AU228" s="3" t="str">
        <f ca="1">IFERROR(__xludf.DUMMYFUNCTION("""COMPUTED_VALUE"""),"cílený mobilní slide-up")</f>
        <v>cílený mobilní slide-up</v>
      </c>
    </row>
    <row r="229" spans="1:47" x14ac:dyDescent="0.3">
      <c r="A229" s="3">
        <f ca="1"/>
        <v>2346826</v>
      </c>
      <c r="B229" s="3" t="str">
        <f ca="1"/>
        <v>CZECH NEWS CENTER a. s.</v>
      </c>
      <c r="C229" s="3" t="str">
        <f ca="1">IFERROR(__xludf.DUMMYFUNCTION("""COMPUTED_VALUE"""),"Blesk pro ženy")</f>
        <v>Blesk pro ženy</v>
      </c>
      <c r="D229" s="4" t="str">
        <f ca="1">IFERROR(__xludf.DUMMYFUNCTION("""COMPUTED_VALUE"""),"https://bleskprozeny.cz")</f>
        <v>https://bleskprozeny.cz</v>
      </c>
      <c r="E229" s="3" t="str">
        <f ca="1">IFERROR(__xludf.DUMMYFUNCTION("""COMPUTED_VALUE"""),"celý web")</f>
        <v>celý web</v>
      </c>
      <c r="F229" s="4" t="str">
        <f ca="1">IFERROR(__xludf.DUMMYFUNCTION("""COMPUTED_VALUE"""),"https://bleskprozeny.cz")</f>
        <v>https://bleskprozeny.cz</v>
      </c>
      <c r="G229" s="3" t="str">
        <f ca="1">IFERROR(__xludf.DUMMYFUNCTION("""COMPUTED_VALUE"""),"cílený mobilní viněta high season")</f>
        <v>cílený mobilní viněta high season</v>
      </c>
      <c r="H229" s="3">
        <f ca="1">IFERROR(__xludf.DUMMYFUNCTION("""COMPUTED_VALUE"""),7)</f>
        <v>7</v>
      </c>
      <c r="I229" s="5">
        <f ca="1">IFERROR(__xludf.DUMMYFUNCTION("""COMPUTED_VALUE"""),1000)</f>
        <v>1000</v>
      </c>
      <c r="J229" s="5">
        <f ca="1">IFERROR(__xludf.DUMMYFUNCTION("""COMPUTED_VALUE"""),1908)</f>
        <v>1908</v>
      </c>
      <c r="K229" s="3"/>
      <c r="L229" s="3" t="str">
        <f ca="1">IFERROR(__xludf.DUMMYFUNCTION("""COMPUTED_VALUE"""),"Cost per period")</f>
        <v>Cost per period</v>
      </c>
      <c r="M229" s="3"/>
      <c r="N229" s="3"/>
      <c r="O229" s="3" t="str">
        <f ca="1">IFERROR(__xludf.DUMMYFUNCTION("""COMPUTED_VALUE"""),"600")</f>
        <v>600</v>
      </c>
      <c r="P229" s="3" t="str">
        <f ca="1">IFERROR(__xludf.DUMMYFUNCTION("""COMPUTED_VALUE"""),"800")</f>
        <v>800</v>
      </c>
      <c r="Q229" s="3" t="str">
        <f ca="1">IFERROR(__xludf.DUMMYFUNCTION("""COMPUTED_VALUE"""),"300x250 nebo 600x800")</f>
        <v>300x250 nebo 600x800</v>
      </c>
      <c r="R229" s="3"/>
      <c r="S229" s="3" t="str">
        <f ca="1">IFERROR(__xludf.DUMMYFUNCTION("""COMPUTED_VALUE"""),"100")</f>
        <v>100</v>
      </c>
      <c r="T229" s="3"/>
      <c r="U229" s="3" t="str">
        <f ca="1">IFERROR(__xludf.DUMMYFUNCTION("""COMPUTED_VALUE"""),"banner standard")</f>
        <v>banner standard</v>
      </c>
      <c r="V229" s="3"/>
      <c r="W229" s="4" t="str">
        <f ca="1">IFERROR(__xludf.DUMMYFUNCTION("""COMPUTED_VALUE"""),"https://reklama.cncenter.cz/Online/mobilni-vineta")</f>
        <v>https://reklama.cncenter.cz/Online/mobilni-vineta</v>
      </c>
      <c r="X229" s="3"/>
      <c r="Y229" s="3"/>
      <c r="Z229" s="3" t="str">
        <f ca="1">IFERROR(__xludf.DUMMYFUNCTION("""COMPUTED_VALUE"""),"podklady@cncenter.cz")</f>
        <v>podklady@cncenter.cz</v>
      </c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 t="str">
        <f ca="1">IFERROR(__xludf.DUMMYFUNCTION("""COMPUTED_VALUE"""),"mobile")</f>
        <v>mobile</v>
      </c>
      <c r="AO229" s="3"/>
      <c r="AP229" s="3"/>
      <c r="AQ229" s="3"/>
      <c r="AR229" s="3"/>
      <c r="AS229" s="3"/>
      <c r="AT229" s="3"/>
      <c r="AU229" s="3" t="str">
        <f ca="1">IFERROR(__xludf.DUMMYFUNCTION("""COMPUTED_VALUE"""),"cílený mobilní viněta")</f>
        <v>cílený mobilní viněta</v>
      </c>
    </row>
    <row r="230" spans="1:47" x14ac:dyDescent="0.3">
      <c r="A230" s="3">
        <f ca="1"/>
        <v>2346826</v>
      </c>
      <c r="B230" s="3" t="str">
        <f ca="1"/>
        <v>CZECH NEWS CENTER a. s.</v>
      </c>
      <c r="C230" s="3" t="str">
        <f ca="1">IFERROR(__xludf.DUMMYFUNCTION("""COMPUTED_VALUE"""),"Blesk pro ženy")</f>
        <v>Blesk pro ženy</v>
      </c>
      <c r="D230" s="4" t="str">
        <f ca="1">IFERROR(__xludf.DUMMYFUNCTION("""COMPUTED_VALUE"""),"https://bleskprozeny.cz")</f>
        <v>https://bleskprozeny.cz</v>
      </c>
      <c r="E230" s="3" t="str">
        <f ca="1">IFERROR(__xludf.DUMMYFUNCTION("""COMPUTED_VALUE"""),"celý web")</f>
        <v>celý web</v>
      </c>
      <c r="F230" s="4" t="str">
        <f ca="1">IFERROR(__xludf.DUMMYFUNCTION("""COMPUTED_VALUE"""),"https://bleskprozeny.cz")</f>
        <v>https://bleskprozeny.cz</v>
      </c>
      <c r="G230" s="3" t="str">
        <f ca="1">IFERROR(__xludf.DUMMYFUNCTION("""COMPUTED_VALUE"""),"cílený nativní pr premium high season")</f>
        <v>cílený nativní pr premium high season</v>
      </c>
      <c r="H230" s="3">
        <f ca="1">IFERROR(__xludf.DUMMYFUNCTION("""COMPUTED_VALUE"""),7)</f>
        <v>7</v>
      </c>
      <c r="I230" s="5">
        <f ca="1">IFERROR(__xludf.DUMMYFUNCTION("""COMPUTED_VALUE"""),1000)</f>
        <v>1000</v>
      </c>
      <c r="J230" s="5">
        <f ca="1">IFERROR(__xludf.DUMMYFUNCTION("""COMPUTED_VALUE"""),216)</f>
        <v>216</v>
      </c>
      <c r="K230" s="3"/>
      <c r="L230" s="3" t="str">
        <f ca="1">IFERROR(__xludf.DUMMYFUNCTION("""COMPUTED_VALUE"""),"Cost per period")</f>
        <v>Cost per period</v>
      </c>
      <c r="M230" s="3"/>
      <c r="N230" s="3"/>
      <c r="O230" s="3" t="str">
        <f ca="1">IFERROR(__xludf.DUMMYFUNCTION("""COMPUTED_VALUE"""),"640")</f>
        <v>640</v>
      </c>
      <c r="P230" s="3" t="str">
        <f ca="1">IFERROR(__xludf.DUMMYFUNCTION("""COMPUTED_VALUE"""),"335, 640")</f>
        <v>335, 640</v>
      </c>
      <c r="Q230" s="3" t="str">
        <f ca="1">IFERROR(__xludf.DUMMYFUNCTION("""COMPUTED_VALUE"""),"640x640 a 640x335 + text + logo")</f>
        <v>640x640 a 640x335 + text + logo</v>
      </c>
      <c r="R230" s="3" t="str">
        <f ca="1">IFERROR(__xludf.DUMMYFUNCTION("""COMPUTED_VALUE"""),"detailní specifikace na URL odkaze")</f>
        <v>detailní specifikace na URL odkaze</v>
      </c>
      <c r="S230" s="3" t="str">
        <f ca="1">IFERROR(__xludf.DUMMYFUNCTION("""COMPUTED_VALUE"""),"100")</f>
        <v>100</v>
      </c>
      <c r="T230" s="3"/>
      <c r="U230" s="3" t="str">
        <f ca="1">IFERROR(__xludf.DUMMYFUNCTION("""COMPUTED_VALUE"""),"nativní reklama")</f>
        <v>nativní reklama</v>
      </c>
      <c r="V230" s="3"/>
      <c r="W230" s="4" t="str">
        <f ca="1">IFERROR(__xludf.DUMMYFUNCTION("""COMPUTED_VALUE"""),"https://reklama.cncenter.cz/Online/nativni-PR-premium")</f>
        <v>https://reklama.cncenter.cz/Online/nativni-PR-premium</v>
      </c>
      <c r="X230" s="3"/>
      <c r="Y230" s="3"/>
      <c r="Z230" s="3" t="str">
        <f ca="1">IFERROR(__xludf.DUMMYFUNCTION("""COMPUTED_VALUE"""),"podklady@cncenter.cz")</f>
        <v>podklady@cncenter.cz</v>
      </c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 t="str">
        <f ca="1">IFERROR(__xludf.DUMMYFUNCTION("""COMPUTED_VALUE"""),"cross-device")</f>
        <v>cross-device</v>
      </c>
      <c r="AO230" s="3"/>
      <c r="AP230" s="3"/>
      <c r="AQ230" s="3"/>
      <c r="AR230" s="3"/>
      <c r="AS230" s="3"/>
      <c r="AT230" s="3"/>
      <c r="AU230" s="3" t="str">
        <f ca="1">IFERROR(__xludf.DUMMYFUNCTION("""COMPUTED_VALUE"""),"cílený nativní pr premium")</f>
        <v>cílený nativní pr premium</v>
      </c>
    </row>
    <row r="231" spans="1:47" x14ac:dyDescent="0.3">
      <c r="A231" s="3">
        <f ca="1"/>
        <v>2346826</v>
      </c>
      <c r="B231" s="3" t="str">
        <f ca="1"/>
        <v>CZECH NEWS CENTER a. s.</v>
      </c>
      <c r="C231" s="3" t="str">
        <f ca="1">IFERROR(__xludf.DUMMYFUNCTION("""COMPUTED_VALUE"""),"Blesk pro ženy")</f>
        <v>Blesk pro ženy</v>
      </c>
      <c r="D231" s="4" t="str">
        <f ca="1">IFERROR(__xludf.DUMMYFUNCTION("""COMPUTED_VALUE"""),"https://bleskprozeny.cz")</f>
        <v>https://bleskprozeny.cz</v>
      </c>
      <c r="E231" s="3" t="str">
        <f ca="1">IFERROR(__xludf.DUMMYFUNCTION("""COMPUTED_VALUE"""),"celý web")</f>
        <v>celý web</v>
      </c>
      <c r="F231" s="4" t="str">
        <f ca="1">IFERROR(__xludf.DUMMYFUNCTION("""COMPUTED_VALUE"""),"https://bleskprozeny.cz")</f>
        <v>https://bleskprozeny.cz</v>
      </c>
      <c r="G231" s="3" t="str">
        <f ca="1">IFERROR(__xludf.DUMMYFUNCTION("""COMPUTED_VALUE"""),"cílený nativní rectangle cross-device high season")</f>
        <v>cílený nativní rectangle cross-device high season</v>
      </c>
      <c r="H231" s="3">
        <f ca="1">IFERROR(__xludf.DUMMYFUNCTION("""COMPUTED_VALUE"""),7)</f>
        <v>7</v>
      </c>
      <c r="I231" s="5">
        <f ca="1">IFERROR(__xludf.DUMMYFUNCTION("""COMPUTED_VALUE"""),1000)</f>
        <v>1000</v>
      </c>
      <c r="J231" s="5">
        <f ca="1">IFERROR(__xludf.DUMMYFUNCTION("""COMPUTED_VALUE"""),432)</f>
        <v>432</v>
      </c>
      <c r="K231" s="3"/>
      <c r="L231" s="3" t="str">
        <f ca="1">IFERROR(__xludf.DUMMYFUNCTION("""COMPUTED_VALUE"""),"Cost per period")</f>
        <v>Cost per period</v>
      </c>
      <c r="M231" s="3"/>
      <c r="N231" s="3"/>
      <c r="O231" s="3" t="str">
        <f ca="1">IFERROR(__xludf.DUMMYFUNCTION("""COMPUTED_VALUE"""),"640")</f>
        <v>640</v>
      </c>
      <c r="P231" s="3" t="str">
        <f ca="1">IFERROR(__xludf.DUMMYFUNCTION("""COMPUTED_VALUE"""),"335, 640")</f>
        <v>335, 640</v>
      </c>
      <c r="Q231" s="3" t="str">
        <f ca="1">IFERROR(__xludf.DUMMYFUNCTION("""COMPUTED_VALUE"""),"640x640 a 640x335 + text + logo")</f>
        <v>640x640 a 640x335 + text + logo</v>
      </c>
      <c r="R231" s="3"/>
      <c r="S231" s="3" t="str">
        <f ca="1">IFERROR(__xludf.DUMMYFUNCTION("""COMPUTED_VALUE"""),"45")</f>
        <v>45</v>
      </c>
      <c r="T231" s="3"/>
      <c r="U231" s="3" t="str">
        <f ca="1">IFERROR(__xludf.DUMMYFUNCTION("""COMPUTED_VALUE"""),"nativní reklama")</f>
        <v>nativní reklama</v>
      </c>
      <c r="V231" s="3"/>
      <c r="W231" s="4" t="str">
        <f ca="1">IFERROR(__xludf.DUMMYFUNCTION("""COMPUTED_VALUE"""),"https://reklama.cncenter.cz/Online/nativni-rectangle-cross-device")</f>
        <v>https://reklama.cncenter.cz/Online/nativni-rectangle-cross-device</v>
      </c>
      <c r="X231" s="3"/>
      <c r="Y231" s="3"/>
      <c r="Z231" s="3" t="str">
        <f ca="1">IFERROR(__xludf.DUMMYFUNCTION("""COMPUTED_VALUE"""),"podklady@cncenter.cz")</f>
        <v>podklady@cncenter.cz</v>
      </c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 t="str">
        <f ca="1">IFERROR(__xludf.DUMMYFUNCTION("""COMPUTED_VALUE"""),"cross-device")</f>
        <v>cross-device</v>
      </c>
      <c r="AO231" s="3"/>
      <c r="AP231" s="3"/>
      <c r="AQ231" s="3"/>
      <c r="AR231" s="3"/>
      <c r="AS231" s="3"/>
      <c r="AT231" s="3"/>
      <c r="AU231" s="3" t="str">
        <f ca="1">IFERROR(__xludf.DUMMYFUNCTION("""COMPUTED_VALUE"""),"cílený nativní rectangle cross-device")</f>
        <v>cílený nativní rectangle cross-device</v>
      </c>
    </row>
    <row r="232" spans="1:47" x14ac:dyDescent="0.3">
      <c r="A232" s="3">
        <f ca="1"/>
        <v>2346826</v>
      </c>
      <c r="B232" s="3" t="str">
        <f ca="1"/>
        <v>CZECH NEWS CENTER a. s.</v>
      </c>
      <c r="C232" s="3" t="str">
        <f ca="1">IFERROR(__xludf.DUMMYFUNCTION("""COMPUTED_VALUE"""),"Blesk pro ženy")</f>
        <v>Blesk pro ženy</v>
      </c>
      <c r="D232" s="4" t="str">
        <f ca="1">IFERROR(__xludf.DUMMYFUNCTION("""COMPUTED_VALUE"""),"https://bleskprozeny.cz")</f>
        <v>https://bleskprozeny.cz</v>
      </c>
      <c r="E232" s="3" t="str">
        <f ca="1">IFERROR(__xludf.DUMMYFUNCTION("""COMPUTED_VALUE"""),"celý web")</f>
        <v>celý web</v>
      </c>
      <c r="F232" s="4" t="str">
        <f ca="1">IFERROR(__xludf.DUMMYFUNCTION("""COMPUTED_VALUE"""),"https://bleskprozeny.cz")</f>
        <v>https://bleskprozeny.cz</v>
      </c>
      <c r="G232" s="3" t="str">
        <f ca="1">IFERROR(__xludf.DUMMYFUNCTION("""COMPUTED_VALUE"""),"cílený outstream high season")</f>
        <v>cílený outstream high season</v>
      </c>
      <c r="H232" s="3">
        <f ca="1">IFERROR(__xludf.DUMMYFUNCTION("""COMPUTED_VALUE"""),7)</f>
        <v>7</v>
      </c>
      <c r="I232" s="5">
        <f ca="1">IFERROR(__xludf.DUMMYFUNCTION("""COMPUTED_VALUE"""),1000)</f>
        <v>1000</v>
      </c>
      <c r="J232" s="5">
        <f ca="1">IFERROR(__xludf.DUMMYFUNCTION("""COMPUTED_VALUE"""),540)</f>
        <v>540</v>
      </c>
      <c r="K232" s="3"/>
      <c r="L232" s="3" t="str">
        <f ca="1">IFERROR(__xludf.DUMMYFUNCTION("""COMPUTED_VALUE"""),"Cost per period")</f>
        <v>Cost per period</v>
      </c>
      <c r="M232" s="3"/>
      <c r="N232" s="3"/>
      <c r="O232" s="3" t="str">
        <f ca="1">IFERROR(__xludf.DUMMYFUNCTION("""COMPUTED_VALUE"""),"1280")</f>
        <v>1280</v>
      </c>
      <c r="P232" s="3" t="str">
        <f ca="1">IFERROR(__xludf.DUMMYFUNCTION("""COMPUTED_VALUE"""),"720")</f>
        <v>720</v>
      </c>
      <c r="Q232" s="3" t="str">
        <f ca="1">IFERROR(__xludf.DUMMYFUNCTION("""COMPUTED_VALUE"""),"16:9")</f>
        <v>16:9</v>
      </c>
      <c r="R232" s="3"/>
      <c r="S232" s="3" t="str">
        <f ca="1">IFERROR(__xludf.DUMMYFUNCTION("""COMPUTED_VALUE"""),"100")</f>
        <v>100</v>
      </c>
      <c r="T232" s="3"/>
      <c r="U232" s="3" t="str">
        <f ca="1">IFERROR(__xludf.DUMMYFUNCTION("""COMPUTED_VALUE"""),"videospot")</f>
        <v>videospot</v>
      </c>
      <c r="V232" s="3"/>
      <c r="W232" s="4" t="str">
        <f ca="1">IFERROR(__xludf.DUMMYFUNCTION("""COMPUTED_VALUE"""),"https://reklama.cncenter.cz/Online/Outstream")</f>
        <v>https://reklama.cncenter.cz/Online/Outstream</v>
      </c>
      <c r="X232" s="3"/>
      <c r="Y232" s="3"/>
      <c r="Z232" s="3" t="str">
        <f ca="1">IFERROR(__xludf.DUMMYFUNCTION("""COMPUTED_VALUE"""),"podklady@cncenter.cz")</f>
        <v>podklady@cncenter.cz</v>
      </c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 t="str">
        <f ca="1">IFERROR(__xludf.DUMMYFUNCTION("""COMPUTED_VALUE"""),"cross-device")</f>
        <v>cross-device</v>
      </c>
      <c r="AO232" s="3"/>
      <c r="AP232" s="3"/>
      <c r="AQ232" s="3"/>
      <c r="AR232" s="3"/>
      <c r="AS232" s="3"/>
      <c r="AT232" s="3"/>
      <c r="AU232" s="3" t="str">
        <f ca="1">IFERROR(__xludf.DUMMYFUNCTION("""COMPUTED_VALUE"""),"cílený outstream")</f>
        <v>cílený outstream</v>
      </c>
    </row>
    <row r="233" spans="1:47" x14ac:dyDescent="0.3">
      <c r="A233" s="3">
        <f ca="1"/>
        <v>2346826</v>
      </c>
      <c r="B233" s="3" t="str">
        <f ca="1"/>
        <v>CZECH NEWS CENTER a. s.</v>
      </c>
      <c r="C233" s="3" t="str">
        <f ca="1">IFERROR(__xludf.DUMMYFUNCTION("""COMPUTED_VALUE"""),"Blesk pro ženy")</f>
        <v>Blesk pro ženy</v>
      </c>
      <c r="D233" s="4" t="str">
        <f ca="1">IFERROR(__xludf.DUMMYFUNCTION("""COMPUTED_VALUE"""),"https://bleskprozeny.cz")</f>
        <v>https://bleskprozeny.cz</v>
      </c>
      <c r="E233" s="3" t="str">
        <f ca="1">IFERROR(__xludf.DUMMYFUNCTION("""COMPUTED_VALUE"""),"celý web")</f>
        <v>celý web</v>
      </c>
      <c r="F233" s="4" t="str">
        <f ca="1">IFERROR(__xludf.DUMMYFUNCTION("""COMPUTED_VALUE"""),"https://bleskprozeny.cz")</f>
        <v>https://bleskprozeny.cz</v>
      </c>
      <c r="G233" s="3" t="str">
        <f ca="1">IFERROR(__xludf.DUMMYFUNCTION("""COMPUTED_VALUE"""),"cílený videospot - max. 30 sec. / bumper high season")</f>
        <v>cílený videospot - max. 30 sec. / bumper high season</v>
      </c>
      <c r="H233" s="3">
        <f ca="1">IFERROR(__xludf.DUMMYFUNCTION("""COMPUTED_VALUE"""),7)</f>
        <v>7</v>
      </c>
      <c r="I233" s="5">
        <f ca="1">IFERROR(__xludf.DUMMYFUNCTION("""COMPUTED_VALUE"""),1000)</f>
        <v>1000</v>
      </c>
      <c r="J233" s="5">
        <f ca="1">IFERROR(__xludf.DUMMYFUNCTION("""COMPUTED_VALUE"""),1608)</f>
        <v>1608</v>
      </c>
      <c r="K233" s="3"/>
      <c r="L233" s="3" t="str">
        <f ca="1">IFERROR(__xludf.DUMMYFUNCTION("""COMPUTED_VALUE"""),"Cost per period")</f>
        <v>Cost per period</v>
      </c>
      <c r="M233" s="3"/>
      <c r="N233" s="3"/>
      <c r="O233" s="3" t="str">
        <f ca="1">IFERROR(__xludf.DUMMYFUNCTION("""COMPUTED_VALUE"""),"1280")</f>
        <v>1280</v>
      </c>
      <c r="P233" s="3" t="str">
        <f ca="1">IFERROR(__xludf.DUMMYFUNCTION("""COMPUTED_VALUE"""),"720")</f>
        <v>720</v>
      </c>
      <c r="Q233" s="3" t="str">
        <f ca="1">IFERROR(__xludf.DUMMYFUNCTION("""COMPUTED_VALUE"""),"16:9 / umístění po domluvě dle možností")</f>
        <v>16:9 / umístění po domluvě dle možností</v>
      </c>
      <c r="R233" s="3" t="str">
        <f ca="1">IFERROR(__xludf.DUMMYFUNCTION("""COMPUTED_VALUE"""),"přeskočení po 7 sekundách")</f>
        <v>přeskočení po 7 sekundách</v>
      </c>
      <c r="S233" s="3" t="str">
        <f ca="1">IFERROR(__xludf.DUMMYFUNCTION("""COMPUTED_VALUE"""),"100")</f>
        <v>100</v>
      </c>
      <c r="T233" s="3"/>
      <c r="U233" s="3" t="str">
        <f ca="1">IFERROR(__xludf.DUMMYFUNCTION("""COMPUTED_VALUE"""),"videospot")</f>
        <v>videospot</v>
      </c>
      <c r="V233" s="3"/>
      <c r="W233" s="4" t="str">
        <f ca="1">IFERROR(__xludf.DUMMYFUNCTION("""COMPUTED_VALUE"""),"https://reklama.cncenter.cz/Online/Bumper")</f>
        <v>https://reklama.cncenter.cz/Online/Bumper</v>
      </c>
      <c r="X233" s="3"/>
      <c r="Y233" s="3"/>
      <c r="Z233" s="3" t="str">
        <f ca="1">IFERROR(__xludf.DUMMYFUNCTION("""COMPUTED_VALUE"""),"podklady@cncenter.cz")</f>
        <v>podklady@cncenter.cz</v>
      </c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 t="str">
        <f ca="1">IFERROR(__xludf.DUMMYFUNCTION("""COMPUTED_VALUE"""),"cross-device")</f>
        <v>cross-device</v>
      </c>
      <c r="AO233" s="3"/>
      <c r="AP233" s="3"/>
      <c r="AQ233" s="3"/>
      <c r="AR233" s="3"/>
      <c r="AS233" s="3"/>
      <c r="AT233" s="3"/>
      <c r="AU233" s="3" t="str">
        <f ca="1">IFERROR(__xludf.DUMMYFUNCTION("""COMPUTED_VALUE"""),"cílený videospot - max. 30 sec. / bumper")</f>
        <v>cílený videospot - max. 30 sec. / bumper</v>
      </c>
    </row>
    <row r="234" spans="1:47" x14ac:dyDescent="0.3">
      <c r="A234" s="3">
        <f ca="1"/>
        <v>2346826</v>
      </c>
      <c r="B234" s="3" t="str">
        <f ca="1"/>
        <v>CZECH NEWS CENTER a. s.</v>
      </c>
      <c r="C234" s="3" t="str">
        <f ca="1">IFERROR(__xludf.DUMMYFUNCTION("""COMPUTED_VALUE"""),"Blesk pro ženy")</f>
        <v>Blesk pro ženy</v>
      </c>
      <c r="D234" s="4" t="str">
        <f ca="1">IFERROR(__xludf.DUMMYFUNCTION("""COMPUTED_VALUE"""),"https://bleskprozeny.cz")</f>
        <v>https://bleskprozeny.cz</v>
      </c>
      <c r="E234" s="3" t="str">
        <f ca="1">IFERROR(__xludf.DUMMYFUNCTION("""COMPUTED_VALUE"""),"celý web")</f>
        <v>celý web</v>
      </c>
      <c r="F234" s="4" t="str">
        <f ca="1">IFERROR(__xludf.DUMMYFUNCTION("""COMPUTED_VALUE"""),"https://bleskprozeny.cz")</f>
        <v>https://bleskprozeny.cz</v>
      </c>
      <c r="G234" s="3" t="str">
        <f ca="1">IFERROR(__xludf.DUMMYFUNCTION("""COMPUTED_VALUE"""),"dokoupení proma o 2 týdny - 10 000 PV *** high season")</f>
        <v>dokoupení proma o 2 týdny - 10 000 PV *** high season</v>
      </c>
      <c r="H234" s="3">
        <f ca="1">IFERROR(__xludf.DUMMYFUNCTION("""COMPUTED_VALUE"""),1)</f>
        <v>1</v>
      </c>
      <c r="I234" s="5">
        <f ca="1">IFERROR(__xludf.DUMMYFUNCTION("""COMPUTED_VALUE"""),1)</f>
        <v>1</v>
      </c>
      <c r="J234" s="5">
        <f ca="1">IFERROR(__xludf.DUMMYFUNCTION("""COMPUTED_VALUE"""),60000)</f>
        <v>60000</v>
      </c>
      <c r="K234" s="3"/>
      <c r="L234" s="3" t="str">
        <f ca="1">IFERROR(__xludf.DUMMYFUNCTION("""COMPUTED_VALUE"""),"Cost per instance")</f>
        <v>Cost per instance</v>
      </c>
      <c r="M234" s="3"/>
      <c r="N234" s="3"/>
      <c r="O234" s="3"/>
      <c r="P234" s="3"/>
      <c r="Q234" s="3"/>
      <c r="R234" s="3"/>
      <c r="S234" s="3" t="str">
        <f ca="1">IFERROR(__xludf.DUMMYFUNCTION("""COMPUTED_VALUE"""),"100")</f>
        <v>100</v>
      </c>
      <c r="T234" s="3"/>
      <c r="U234" s="3" t="str">
        <f ca="1">IFERROR(__xludf.DUMMYFUNCTION("""COMPUTED_VALUE"""),"microsite")</f>
        <v>microsite</v>
      </c>
      <c r="V234" s="3"/>
      <c r="W234" s="3"/>
      <c r="X234" s="3"/>
      <c r="Y234" s="3"/>
      <c r="Z234" s="3" t="str">
        <f ca="1">IFERROR(__xludf.DUMMYFUNCTION("""COMPUTED_VALUE"""),"podklady@cncenter.cz")</f>
        <v>podklady@cncenter.cz</v>
      </c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 t="str">
        <f ca="1">IFERROR(__xludf.DUMMYFUNCTION("""COMPUTED_VALUE"""),"cross-device")</f>
        <v>cross-device</v>
      </c>
      <c r="AO234" s="3"/>
      <c r="AP234" s="3"/>
      <c r="AQ234" s="3"/>
      <c r="AR234" s="3"/>
      <c r="AS234" s="3"/>
      <c r="AT234" s="3"/>
      <c r="AU234" s="3" t="str">
        <f ca="1">IFERROR(__xludf.DUMMYFUNCTION("""COMPUTED_VALUE"""),"dokoupení proma o 2 týdny - 10 000 PV ***")</f>
        <v>dokoupení proma o 2 týdny - 10 000 PV ***</v>
      </c>
    </row>
    <row r="235" spans="1:47" x14ac:dyDescent="0.3">
      <c r="A235" s="3">
        <f ca="1"/>
        <v>2346826</v>
      </c>
      <c r="B235" s="3" t="str">
        <f ca="1"/>
        <v>CZECH NEWS CENTER a. s.</v>
      </c>
      <c r="C235" s="3" t="str">
        <f ca="1">IFERROR(__xludf.DUMMYFUNCTION("""COMPUTED_VALUE"""),"Blesk pro ženy")</f>
        <v>Blesk pro ženy</v>
      </c>
      <c r="D235" s="4" t="str">
        <f ca="1">IFERROR(__xludf.DUMMYFUNCTION("""COMPUTED_VALUE"""),"https://bleskprozeny.cz")</f>
        <v>https://bleskprozeny.cz</v>
      </c>
      <c r="E235" s="3" t="str">
        <f ca="1">IFERROR(__xludf.DUMMYFUNCTION("""COMPUTED_VALUE"""),"celý web")</f>
        <v>celý web</v>
      </c>
      <c r="F235" s="4" t="str">
        <f ca="1">IFERROR(__xludf.DUMMYFUNCTION("""COMPUTED_VALUE"""),"https://bleskprozeny.cz")</f>
        <v>https://bleskprozeny.cz</v>
      </c>
      <c r="G235" s="3" t="str">
        <f ca="1">IFERROR(__xludf.DUMMYFUNCTION("""COMPUTED_VALUE"""),"double skyscraper high season")</f>
        <v>double skyscraper high season</v>
      </c>
      <c r="H235" s="3">
        <f ca="1">IFERROR(__xludf.DUMMYFUNCTION("""COMPUTED_VALUE"""),7)</f>
        <v>7</v>
      </c>
      <c r="I235" s="5">
        <f ca="1">IFERROR(__xludf.DUMMYFUNCTION("""COMPUTED_VALUE"""),1000)</f>
        <v>1000</v>
      </c>
      <c r="J235" s="5">
        <f ca="1">IFERROR(__xludf.DUMMYFUNCTION("""COMPUTED_VALUE"""),350)</f>
        <v>350</v>
      </c>
      <c r="K235" s="3"/>
      <c r="L235" s="3" t="str">
        <f ca="1">IFERROR(__xludf.DUMMYFUNCTION("""COMPUTED_VALUE"""),"Cost per period")</f>
        <v>Cost per period</v>
      </c>
      <c r="M235" s="3"/>
      <c r="N235" s="3"/>
      <c r="O235" s="3" t="str">
        <f ca="1">IFERROR(__xludf.DUMMYFUNCTION("""COMPUTED_VALUE"""),"300")</f>
        <v>300</v>
      </c>
      <c r="P235" s="3" t="str">
        <f ca="1">IFERROR(__xludf.DUMMYFUNCTION("""COMPUTED_VALUE"""),"600")</f>
        <v>600</v>
      </c>
      <c r="Q235" s="3" t="str">
        <f ca="1">IFERROR(__xludf.DUMMYFUNCTION("""COMPUTED_VALUE"""),"300x600")</f>
        <v>300x600</v>
      </c>
      <c r="R235" s="3"/>
      <c r="S235" s="3" t="str">
        <f ca="1">IFERROR(__xludf.DUMMYFUNCTION("""COMPUTED_VALUE"""),"100 (200 - HTML5)")</f>
        <v>100 (200 - HTML5)</v>
      </c>
      <c r="T235" s="3"/>
      <c r="U235" s="3" t="str">
        <f ca="1">IFERROR(__xludf.DUMMYFUNCTION("""COMPUTED_VALUE"""),"banner standard")</f>
        <v>banner standard</v>
      </c>
      <c r="V235" s="3"/>
      <c r="W235" s="4" t="str">
        <f ca="1">IFERROR(__xludf.DUMMYFUNCTION("""COMPUTED_VALUE"""),"https://reklama.cncenter.cz/Online/double-skyscraper")</f>
        <v>https://reklama.cncenter.cz/Online/double-skyscraper</v>
      </c>
      <c r="X235" s="3"/>
      <c r="Y235" s="3"/>
      <c r="Z235" s="3" t="str">
        <f ca="1">IFERROR(__xludf.DUMMYFUNCTION("""COMPUTED_VALUE"""),"podklady@cncenter.cz")</f>
        <v>podklady@cncenter.cz</v>
      </c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 t="str">
        <f ca="1">IFERROR(__xludf.DUMMYFUNCTION("""COMPUTED_VALUE"""),"desktop")</f>
        <v>desktop</v>
      </c>
      <c r="AO235" s="3"/>
      <c r="AP235" s="3"/>
      <c r="AQ235" s="3"/>
      <c r="AR235" s="3"/>
      <c r="AS235" s="3"/>
      <c r="AT235" s="3"/>
      <c r="AU235" s="3" t="str">
        <f ca="1">IFERROR(__xludf.DUMMYFUNCTION("""COMPUTED_VALUE"""),"double skyscraper")</f>
        <v>double skyscraper</v>
      </c>
    </row>
    <row r="236" spans="1:47" x14ac:dyDescent="0.3">
      <c r="A236" s="3">
        <f ca="1"/>
        <v>2346826</v>
      </c>
      <c r="B236" s="3" t="str">
        <f ca="1"/>
        <v>CZECH NEWS CENTER a. s.</v>
      </c>
      <c r="C236" s="3" t="str">
        <f ca="1">IFERROR(__xludf.DUMMYFUNCTION("""COMPUTED_VALUE"""),"Blesk pro ženy")</f>
        <v>Blesk pro ženy</v>
      </c>
      <c r="D236" s="4" t="str">
        <f ca="1">IFERROR(__xludf.DUMMYFUNCTION("""COMPUTED_VALUE"""),"https://bleskprozeny.cz")</f>
        <v>https://bleskprozeny.cz</v>
      </c>
      <c r="E236" s="3" t="str">
        <f ca="1">IFERROR(__xludf.DUMMYFUNCTION("""COMPUTED_VALUE"""),"celý web")</f>
        <v>celý web</v>
      </c>
      <c r="F236" s="4" t="str">
        <f ca="1">IFERROR(__xludf.DUMMYFUNCTION("""COMPUTED_VALUE"""),"https://bleskprozeny.cz")</f>
        <v>https://bleskprozeny.cz</v>
      </c>
      <c r="G236" s="3" t="str">
        <f ca="1">IFERROR(__xludf.DUMMYFUNCTION("""COMPUTED_VALUE"""),"mini videospot - max. 30 sec. high season")</f>
        <v>mini videospot - max. 30 sec. high season</v>
      </c>
      <c r="H236" s="3">
        <f ca="1">IFERROR(__xludf.DUMMYFUNCTION("""COMPUTED_VALUE"""),7)</f>
        <v>7</v>
      </c>
      <c r="I236" s="5">
        <f ca="1">IFERROR(__xludf.DUMMYFUNCTION("""COMPUTED_VALUE"""),1000)</f>
        <v>1000</v>
      </c>
      <c r="J236" s="5">
        <f ca="1">IFERROR(__xludf.DUMMYFUNCTION("""COMPUTED_VALUE"""),260)</f>
        <v>260</v>
      </c>
      <c r="K236" s="3"/>
      <c r="L236" s="3" t="str">
        <f ca="1">IFERROR(__xludf.DUMMYFUNCTION("""COMPUTED_VALUE"""),"Cost per period")</f>
        <v>Cost per period</v>
      </c>
      <c r="M236" s="3"/>
      <c r="N236" s="3"/>
      <c r="O236" s="3"/>
      <c r="P236" s="3"/>
      <c r="Q236" s="3" t="str">
        <f ca="1">IFERROR(__xludf.DUMMYFUNCTION("""COMPUTED_VALUE"""),"16:9 / umístění po domluvě dle možností")</f>
        <v>16:9 / umístění po domluvě dle možností</v>
      </c>
      <c r="R236" s="3" t="str">
        <f ca="1">IFERROR(__xludf.DUMMYFUNCTION("""COMPUTED_VALUE"""),"přeskočení po 7 sekundách")</f>
        <v>přeskočení po 7 sekundách</v>
      </c>
      <c r="S236" s="3" t="str">
        <f ca="1">IFERROR(__xludf.DUMMYFUNCTION("""COMPUTED_VALUE"""),"100")</f>
        <v>100</v>
      </c>
      <c r="T236" s="3"/>
      <c r="U236" s="3" t="str">
        <f ca="1">IFERROR(__xludf.DUMMYFUNCTION("""COMPUTED_VALUE"""),"videospot")</f>
        <v>videospot</v>
      </c>
      <c r="V236" s="3"/>
      <c r="W236" s="4" t="str">
        <f ca="1">IFERROR(__xludf.DUMMYFUNCTION("""COMPUTED_VALUE"""),"https://reklama.cncenter.cz/Online/Videospot")</f>
        <v>https://reklama.cncenter.cz/Online/Videospot</v>
      </c>
      <c r="X236" s="3"/>
      <c r="Y236" s="3"/>
      <c r="Z236" s="3" t="str">
        <f ca="1">IFERROR(__xludf.DUMMYFUNCTION("""COMPUTED_VALUE"""),"podklady@cncenter.cz")</f>
        <v>podklady@cncenter.cz</v>
      </c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 t="str">
        <f ca="1">IFERROR(__xludf.DUMMYFUNCTION("""COMPUTED_VALUE"""),"desktop")</f>
        <v>desktop</v>
      </c>
      <c r="AO236" s="3"/>
      <c r="AP236" s="3"/>
      <c r="AQ236" s="3"/>
      <c r="AR236" s="3"/>
      <c r="AS236" s="3"/>
      <c r="AT236" s="3"/>
      <c r="AU236" s="3" t="str">
        <f ca="1">IFERROR(__xludf.DUMMYFUNCTION("""COMPUTED_VALUE"""),"mini videospot - max. 30 sec.")</f>
        <v>mini videospot - max. 30 sec.</v>
      </c>
    </row>
    <row r="237" spans="1:47" x14ac:dyDescent="0.3">
      <c r="A237" s="3">
        <f ca="1"/>
        <v>2346826</v>
      </c>
      <c r="B237" s="3" t="str">
        <f ca="1"/>
        <v>CZECH NEWS CENTER a. s.</v>
      </c>
      <c r="C237" s="3" t="str">
        <f ca="1">IFERROR(__xludf.DUMMYFUNCTION("""COMPUTED_VALUE"""),"Blesk pro ženy")</f>
        <v>Blesk pro ženy</v>
      </c>
      <c r="D237" s="4" t="str">
        <f ca="1">IFERROR(__xludf.DUMMYFUNCTION("""COMPUTED_VALUE"""),"https://bleskprozeny.cz")</f>
        <v>https://bleskprozeny.cz</v>
      </c>
      <c r="E237" s="3" t="str">
        <f ca="1">IFERROR(__xludf.DUMMYFUNCTION("""COMPUTED_VALUE"""),"celý web")</f>
        <v>celý web</v>
      </c>
      <c r="F237" s="4" t="str">
        <f ca="1">IFERROR(__xludf.DUMMYFUNCTION("""COMPUTED_VALUE"""),"https://bleskprozeny.cz")</f>
        <v>https://bleskprozeny.cz</v>
      </c>
      <c r="G237" s="3" t="str">
        <f ca="1">IFERROR(__xludf.DUMMYFUNCTION("""COMPUTED_VALUE"""),"mobilní interscroller high season")</f>
        <v>mobilní interscroller high season</v>
      </c>
      <c r="H237" s="3">
        <f ca="1">IFERROR(__xludf.DUMMYFUNCTION("""COMPUTED_VALUE"""),7)</f>
        <v>7</v>
      </c>
      <c r="I237" s="5">
        <f ca="1">IFERROR(__xludf.DUMMYFUNCTION("""COMPUTED_VALUE"""),1000)</f>
        <v>1000</v>
      </c>
      <c r="J237" s="5">
        <f ca="1">IFERROR(__xludf.DUMMYFUNCTION("""COMPUTED_VALUE"""),450)</f>
        <v>450</v>
      </c>
      <c r="K237" s="3"/>
      <c r="L237" s="3" t="str">
        <f ca="1">IFERROR(__xludf.DUMMYFUNCTION("""COMPUTED_VALUE"""),"Cost per period")</f>
        <v>Cost per period</v>
      </c>
      <c r="M237" s="3"/>
      <c r="N237" s="3"/>
      <c r="O237" s="3" t="str">
        <f ca="1">IFERROR(__xludf.DUMMYFUNCTION("""COMPUTED_VALUE"""),"600")</f>
        <v>600</v>
      </c>
      <c r="P237" s="3" t="str">
        <f ca="1">IFERROR(__xludf.DUMMYFUNCTION("""COMPUTED_VALUE"""),"1080")</f>
        <v>1080</v>
      </c>
      <c r="Q237" s="3" t="str">
        <f ca="1">IFERROR(__xludf.DUMMYFUNCTION("""COMPUTED_VALUE"""),"600x1080")</f>
        <v>600x1080</v>
      </c>
      <c r="R237" s="3"/>
      <c r="S237" s="3" t="str">
        <f ca="1">IFERROR(__xludf.DUMMYFUNCTION("""COMPUTED_VALUE"""),"200")</f>
        <v>200</v>
      </c>
      <c r="T237" s="3"/>
      <c r="U237" s="3" t="str">
        <f ca="1">IFERROR(__xludf.DUMMYFUNCTION("""COMPUTED_VALUE"""),"banner standard")</f>
        <v>banner standard</v>
      </c>
      <c r="V237" s="3"/>
      <c r="W237" s="4" t="str">
        <f ca="1">IFERROR(__xludf.DUMMYFUNCTION("""COMPUTED_VALUE"""),"https://reklama.cncenter.cz/Online/mobilni-interscroller")</f>
        <v>https://reklama.cncenter.cz/Online/mobilni-interscroller</v>
      </c>
      <c r="X237" s="3"/>
      <c r="Y237" s="3"/>
      <c r="Z237" s="3" t="str">
        <f ca="1">IFERROR(__xludf.DUMMYFUNCTION("""COMPUTED_VALUE"""),"podklady@cncenter.cz")</f>
        <v>podklady@cncenter.cz</v>
      </c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 t="str">
        <f ca="1">IFERROR(__xludf.DUMMYFUNCTION("""COMPUTED_VALUE"""),"mobile")</f>
        <v>mobile</v>
      </c>
      <c r="AO237" s="3"/>
      <c r="AP237" s="3"/>
      <c r="AQ237" s="3"/>
      <c r="AR237" s="3"/>
      <c r="AS237" s="3"/>
      <c r="AT237" s="3"/>
      <c r="AU237" s="3" t="str">
        <f ca="1">IFERROR(__xludf.DUMMYFUNCTION("""COMPUTED_VALUE"""),"mobilní interscroller")</f>
        <v>mobilní interscroller</v>
      </c>
    </row>
    <row r="238" spans="1:47" x14ac:dyDescent="0.3">
      <c r="A238" s="3">
        <f ca="1"/>
        <v>2346826</v>
      </c>
      <c r="B238" s="3" t="str">
        <f ca="1"/>
        <v>CZECH NEWS CENTER a. s.</v>
      </c>
      <c r="C238" s="3" t="str">
        <f ca="1">IFERROR(__xludf.DUMMYFUNCTION("""COMPUTED_VALUE"""),"Blesk pro ženy")</f>
        <v>Blesk pro ženy</v>
      </c>
      <c r="D238" s="4" t="str">
        <f ca="1">IFERROR(__xludf.DUMMYFUNCTION("""COMPUTED_VALUE"""),"https://bleskprozeny.cz")</f>
        <v>https://bleskprozeny.cz</v>
      </c>
      <c r="E238" s="3" t="str">
        <f ca="1">IFERROR(__xludf.DUMMYFUNCTION("""COMPUTED_VALUE"""),"celý web")</f>
        <v>celý web</v>
      </c>
      <c r="F238" s="4" t="str">
        <f ca="1">IFERROR(__xludf.DUMMYFUNCTION("""COMPUTED_VALUE"""),"https://bleskprozeny.cz")</f>
        <v>https://bleskprozeny.cz</v>
      </c>
      <c r="G238" s="3" t="str">
        <f ca="1">IFERROR(__xludf.DUMMYFUNCTION("""COMPUTED_VALUE"""),"mobilní slide-up high season")</f>
        <v>mobilní slide-up high season</v>
      </c>
      <c r="H238" s="3">
        <f ca="1">IFERROR(__xludf.DUMMYFUNCTION("""COMPUTED_VALUE"""),7)</f>
        <v>7</v>
      </c>
      <c r="I238" s="5">
        <f ca="1">IFERROR(__xludf.DUMMYFUNCTION("""COMPUTED_VALUE"""),1000)</f>
        <v>1000</v>
      </c>
      <c r="J238" s="5">
        <f ca="1">IFERROR(__xludf.DUMMYFUNCTION("""COMPUTED_VALUE"""),920)</f>
        <v>920</v>
      </c>
      <c r="K238" s="3"/>
      <c r="L238" s="3" t="str">
        <f ca="1">IFERROR(__xludf.DUMMYFUNCTION("""COMPUTED_VALUE"""),"Cost per period")</f>
        <v>Cost per period</v>
      </c>
      <c r="M238" s="3"/>
      <c r="N238" s="3"/>
      <c r="O238" s="3" t="str">
        <f ca="1">IFERROR(__xludf.DUMMYFUNCTION("""COMPUTED_VALUE"""),"300")</f>
        <v>300</v>
      </c>
      <c r="P238" s="3" t="str">
        <f ca="1">IFERROR(__xludf.DUMMYFUNCTION("""COMPUTED_VALUE"""),"120")</f>
        <v>120</v>
      </c>
      <c r="Q238" s="3" t="str">
        <f ca="1">IFERROR(__xludf.DUMMYFUNCTION("""COMPUTED_VALUE"""),"300x120")</f>
        <v>300x120</v>
      </c>
      <c r="R238" s="3"/>
      <c r="S238" s="3" t="str">
        <f ca="1">IFERROR(__xludf.DUMMYFUNCTION("""COMPUTED_VALUE"""),"100")</f>
        <v>100</v>
      </c>
      <c r="T238" s="3"/>
      <c r="U238" s="3" t="str">
        <f ca="1">IFERROR(__xludf.DUMMYFUNCTION("""COMPUTED_VALUE"""),"banner standard")</f>
        <v>banner standard</v>
      </c>
      <c r="V238" s="3"/>
      <c r="W238" s="4" t="str">
        <f ca="1">IFERROR(__xludf.DUMMYFUNCTION("""COMPUTED_VALUE"""),"https://reklama.cncenter.cz/Online/mobilni-slide-up")</f>
        <v>https://reklama.cncenter.cz/Online/mobilni-slide-up</v>
      </c>
      <c r="X238" s="3"/>
      <c r="Y238" s="3"/>
      <c r="Z238" s="3" t="str">
        <f ca="1">IFERROR(__xludf.DUMMYFUNCTION("""COMPUTED_VALUE"""),"podklady@cncenter.cz")</f>
        <v>podklady@cncenter.cz</v>
      </c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 t="str">
        <f ca="1">IFERROR(__xludf.DUMMYFUNCTION("""COMPUTED_VALUE"""),"mobile")</f>
        <v>mobile</v>
      </c>
      <c r="AO238" s="3"/>
      <c r="AP238" s="3"/>
      <c r="AQ238" s="3"/>
      <c r="AR238" s="3"/>
      <c r="AS238" s="3"/>
      <c r="AT238" s="3"/>
      <c r="AU238" s="3" t="str">
        <f ca="1">IFERROR(__xludf.DUMMYFUNCTION("""COMPUTED_VALUE"""),"mobilní slide-up")</f>
        <v>mobilní slide-up</v>
      </c>
    </row>
    <row r="239" spans="1:47" x14ac:dyDescent="0.3">
      <c r="A239" s="3">
        <f ca="1"/>
        <v>2346826</v>
      </c>
      <c r="B239" s="3" t="str">
        <f ca="1"/>
        <v>CZECH NEWS CENTER a. s.</v>
      </c>
      <c r="C239" s="3" t="str">
        <f ca="1">IFERROR(__xludf.DUMMYFUNCTION("""COMPUTED_VALUE"""),"Blesk pro ženy")</f>
        <v>Blesk pro ženy</v>
      </c>
      <c r="D239" s="4" t="str">
        <f ca="1">IFERROR(__xludf.DUMMYFUNCTION("""COMPUTED_VALUE"""),"https://bleskprozeny.cz")</f>
        <v>https://bleskprozeny.cz</v>
      </c>
      <c r="E239" s="3" t="str">
        <f ca="1">IFERROR(__xludf.DUMMYFUNCTION("""COMPUTED_VALUE"""),"celý web")</f>
        <v>celý web</v>
      </c>
      <c r="F239" s="4" t="str">
        <f ca="1">IFERROR(__xludf.DUMMYFUNCTION("""COMPUTED_VALUE"""),"https://bleskprozeny.cz")</f>
        <v>https://bleskprozeny.cz</v>
      </c>
      <c r="G239" s="3" t="str">
        <f ca="1">IFERROR(__xludf.DUMMYFUNCTION("""COMPUTED_VALUE"""),"mobilní viněta high season")</f>
        <v>mobilní viněta high season</v>
      </c>
      <c r="H239" s="3">
        <f ca="1">IFERROR(__xludf.DUMMYFUNCTION("""COMPUTED_VALUE"""),7)</f>
        <v>7</v>
      </c>
      <c r="I239" s="5">
        <f ca="1">IFERROR(__xludf.DUMMYFUNCTION("""COMPUTED_VALUE"""),1000)</f>
        <v>1000</v>
      </c>
      <c r="J239" s="5">
        <f ca="1">IFERROR(__xludf.DUMMYFUNCTION("""COMPUTED_VALUE"""),1590)</f>
        <v>1590</v>
      </c>
      <c r="K239" s="3"/>
      <c r="L239" s="3" t="str">
        <f ca="1">IFERROR(__xludf.DUMMYFUNCTION("""COMPUTED_VALUE"""),"Cost per period")</f>
        <v>Cost per period</v>
      </c>
      <c r="M239" s="3"/>
      <c r="N239" s="3"/>
      <c r="O239" s="3" t="str">
        <f ca="1">IFERROR(__xludf.DUMMYFUNCTION("""COMPUTED_VALUE"""),"600")</f>
        <v>600</v>
      </c>
      <c r="P239" s="3" t="str">
        <f ca="1">IFERROR(__xludf.DUMMYFUNCTION("""COMPUTED_VALUE"""),"800")</f>
        <v>800</v>
      </c>
      <c r="Q239" s="3" t="str">
        <f ca="1">IFERROR(__xludf.DUMMYFUNCTION("""COMPUTED_VALUE"""),"300x250 nebo 600x800")</f>
        <v>300x250 nebo 600x800</v>
      </c>
      <c r="R239" s="3"/>
      <c r="S239" s="3" t="str">
        <f ca="1">IFERROR(__xludf.DUMMYFUNCTION("""COMPUTED_VALUE"""),"100")</f>
        <v>100</v>
      </c>
      <c r="T239" s="3"/>
      <c r="U239" s="3" t="str">
        <f ca="1">IFERROR(__xludf.DUMMYFUNCTION("""COMPUTED_VALUE"""),"banner standard")</f>
        <v>banner standard</v>
      </c>
      <c r="V239" s="3"/>
      <c r="W239" s="4" t="str">
        <f ca="1">IFERROR(__xludf.DUMMYFUNCTION("""COMPUTED_VALUE"""),"https://reklama.cncenter.cz/Online/mobilni-vineta")</f>
        <v>https://reklama.cncenter.cz/Online/mobilni-vineta</v>
      </c>
      <c r="X239" s="3"/>
      <c r="Y239" s="3"/>
      <c r="Z239" s="3" t="str">
        <f ca="1">IFERROR(__xludf.DUMMYFUNCTION("""COMPUTED_VALUE"""),"podklady@cncenter.cz")</f>
        <v>podklady@cncenter.cz</v>
      </c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 t="str">
        <f ca="1">IFERROR(__xludf.DUMMYFUNCTION("""COMPUTED_VALUE"""),"mobile")</f>
        <v>mobile</v>
      </c>
      <c r="AO239" s="3"/>
      <c r="AP239" s="3"/>
      <c r="AQ239" s="3"/>
      <c r="AR239" s="3"/>
      <c r="AS239" s="3"/>
      <c r="AT239" s="3"/>
      <c r="AU239" s="3" t="str">
        <f ca="1">IFERROR(__xludf.DUMMYFUNCTION("""COMPUTED_VALUE"""),"mobilní viněta")</f>
        <v>mobilní viněta</v>
      </c>
    </row>
    <row r="240" spans="1:47" x14ac:dyDescent="0.3">
      <c r="A240" s="3">
        <f ca="1"/>
        <v>2346826</v>
      </c>
      <c r="B240" s="3" t="str">
        <f ca="1"/>
        <v>CZECH NEWS CENTER a. s.</v>
      </c>
      <c r="C240" s="3" t="str">
        <f ca="1">IFERROR(__xludf.DUMMYFUNCTION("""COMPUTED_VALUE"""),"Blesk pro ženy")</f>
        <v>Blesk pro ženy</v>
      </c>
      <c r="D240" s="4" t="str">
        <f ca="1">IFERROR(__xludf.DUMMYFUNCTION("""COMPUTED_VALUE"""),"https://bleskprozeny.cz")</f>
        <v>https://bleskprozeny.cz</v>
      </c>
      <c r="E240" s="3" t="str">
        <f ca="1">IFERROR(__xludf.DUMMYFUNCTION("""COMPUTED_VALUE"""),"celý web")</f>
        <v>celý web</v>
      </c>
      <c r="F240" s="4" t="str">
        <f ca="1">IFERROR(__xludf.DUMMYFUNCTION("""COMPUTED_VALUE"""),"https://bleskprozeny.cz")</f>
        <v>https://bleskprozeny.cz</v>
      </c>
      <c r="G240" s="3" t="str">
        <f ca="1">IFERROR(__xludf.DUMMYFUNCTION("""COMPUTED_VALUE"""),"Native Standard high season")</f>
        <v>Native Standard high season</v>
      </c>
      <c r="H240" s="3">
        <f ca="1">IFERROR(__xludf.DUMMYFUNCTION("""COMPUTED_VALUE"""),1)</f>
        <v>1</v>
      </c>
      <c r="I240" s="5">
        <f ca="1">IFERROR(__xludf.DUMMYFUNCTION("""COMPUTED_VALUE"""),1)</f>
        <v>1</v>
      </c>
      <c r="J240" s="5">
        <f ca="1">IFERROR(__xludf.DUMMYFUNCTION("""COMPUTED_VALUE"""),330000)</f>
        <v>330000</v>
      </c>
      <c r="K240" s="3"/>
      <c r="L240" s="3" t="str">
        <f ca="1">IFERROR(__xludf.DUMMYFUNCTION("""COMPUTED_VALUE"""),"Cost per instance")</f>
        <v>Cost per instance</v>
      </c>
      <c r="M240" s="3"/>
      <c r="N240" s="3"/>
      <c r="O240" s="3"/>
      <c r="P240" s="3"/>
      <c r="Q240" s="3"/>
      <c r="R240" s="3"/>
      <c r="S240" s="3" t="str">
        <f ca="1">IFERROR(__xludf.DUMMYFUNCTION("""COMPUTED_VALUE"""),"100")</f>
        <v>100</v>
      </c>
      <c r="T240" s="3"/>
      <c r="U240" s="3" t="str">
        <f ca="1">IFERROR(__xludf.DUMMYFUNCTION("""COMPUTED_VALUE"""),"microsite")</f>
        <v>microsite</v>
      </c>
      <c r="V240" s="3"/>
      <c r="W240" s="3"/>
      <c r="X240" s="3"/>
      <c r="Y240" s="3"/>
      <c r="Z240" s="3" t="str">
        <f ca="1">IFERROR(__xludf.DUMMYFUNCTION("""COMPUTED_VALUE"""),"podklady@cncenter.cz")</f>
        <v>podklady@cncenter.cz</v>
      </c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 t="str">
        <f ca="1">IFERROR(__xludf.DUMMYFUNCTION("""COMPUTED_VALUE"""),"cross-device")</f>
        <v>cross-device</v>
      </c>
      <c r="AO240" s="3"/>
      <c r="AP240" s="3"/>
      <c r="AQ240" s="3"/>
      <c r="AR240" s="3"/>
      <c r="AS240" s="3"/>
      <c r="AT240" s="3"/>
      <c r="AU240" s="3" t="str">
        <f ca="1">IFERROR(__xludf.DUMMYFUNCTION("""COMPUTED_VALUE"""),"Native Standard")</f>
        <v>Native Standard</v>
      </c>
    </row>
    <row r="241" spans="1:47" x14ac:dyDescent="0.3">
      <c r="A241" s="3">
        <f ca="1"/>
        <v>2346826</v>
      </c>
      <c r="B241" s="3" t="str">
        <f ca="1"/>
        <v>CZECH NEWS CENTER a. s.</v>
      </c>
      <c r="C241" s="3" t="str">
        <f ca="1">IFERROR(__xludf.DUMMYFUNCTION("""COMPUTED_VALUE"""),"Blesk pro ženy")</f>
        <v>Blesk pro ženy</v>
      </c>
      <c r="D241" s="4" t="str">
        <f ca="1">IFERROR(__xludf.DUMMYFUNCTION("""COMPUTED_VALUE"""),"https://bleskprozeny.cz")</f>
        <v>https://bleskprozeny.cz</v>
      </c>
      <c r="E241" s="3" t="str">
        <f ca="1">IFERROR(__xludf.DUMMYFUNCTION("""COMPUTED_VALUE"""),"celý web")</f>
        <v>celý web</v>
      </c>
      <c r="F241" s="4" t="str">
        <f ca="1">IFERROR(__xludf.DUMMYFUNCTION("""COMPUTED_VALUE"""),"https://bleskprozeny.cz")</f>
        <v>https://bleskprozeny.cz</v>
      </c>
      <c r="G241" s="3" t="str">
        <f ca="1">IFERROR(__xludf.DUMMYFUNCTION("""COMPUTED_VALUE"""),"nativní pr premium high season")</f>
        <v>nativní pr premium high season</v>
      </c>
      <c r="H241" s="3">
        <f ca="1">IFERROR(__xludf.DUMMYFUNCTION("""COMPUTED_VALUE"""),7)</f>
        <v>7</v>
      </c>
      <c r="I241" s="5">
        <f ca="1">IFERROR(__xludf.DUMMYFUNCTION("""COMPUTED_VALUE"""),1000)</f>
        <v>1000</v>
      </c>
      <c r="J241" s="5">
        <f ca="1">IFERROR(__xludf.DUMMYFUNCTION("""COMPUTED_VALUE"""),180)</f>
        <v>180</v>
      </c>
      <c r="K241" s="3"/>
      <c r="L241" s="3" t="str">
        <f ca="1">IFERROR(__xludf.DUMMYFUNCTION("""COMPUTED_VALUE"""),"Cost per period")</f>
        <v>Cost per period</v>
      </c>
      <c r="M241" s="3"/>
      <c r="N241" s="3"/>
      <c r="O241" s="3" t="str">
        <f ca="1">IFERROR(__xludf.DUMMYFUNCTION("""COMPUTED_VALUE"""),"640")</f>
        <v>640</v>
      </c>
      <c r="P241" s="3" t="str">
        <f ca="1">IFERROR(__xludf.DUMMYFUNCTION("""COMPUTED_VALUE"""),"335, 640")</f>
        <v>335, 640</v>
      </c>
      <c r="Q241" s="3" t="str">
        <f ca="1">IFERROR(__xludf.DUMMYFUNCTION("""COMPUTED_VALUE"""),"640x640 a 640x335 + text + logo")</f>
        <v>640x640 a 640x335 + text + logo</v>
      </c>
      <c r="R241" s="3" t="str">
        <f ca="1">IFERROR(__xludf.DUMMYFUNCTION("""COMPUTED_VALUE"""),"detailní specifikace na URL odkaze")</f>
        <v>detailní specifikace na URL odkaze</v>
      </c>
      <c r="S241" s="3" t="str">
        <f ca="1">IFERROR(__xludf.DUMMYFUNCTION("""COMPUTED_VALUE"""),"100")</f>
        <v>100</v>
      </c>
      <c r="T241" s="3"/>
      <c r="U241" s="3" t="str">
        <f ca="1">IFERROR(__xludf.DUMMYFUNCTION("""COMPUTED_VALUE"""),"nativní reklama")</f>
        <v>nativní reklama</v>
      </c>
      <c r="V241" s="3"/>
      <c r="W241" s="4" t="str">
        <f ca="1">IFERROR(__xludf.DUMMYFUNCTION("""COMPUTED_VALUE"""),"https://reklama.cncenter.cz/Online/nativni-PR-premium")</f>
        <v>https://reklama.cncenter.cz/Online/nativni-PR-premium</v>
      </c>
      <c r="X241" s="3"/>
      <c r="Y241" s="3"/>
      <c r="Z241" s="3" t="str">
        <f ca="1">IFERROR(__xludf.DUMMYFUNCTION("""COMPUTED_VALUE"""),"podklady@cncenter.cz")</f>
        <v>podklady@cncenter.cz</v>
      </c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 t="str">
        <f ca="1">IFERROR(__xludf.DUMMYFUNCTION("""COMPUTED_VALUE"""),"cross-device")</f>
        <v>cross-device</v>
      </c>
      <c r="AO241" s="3"/>
      <c r="AP241" s="3"/>
      <c r="AQ241" s="3"/>
      <c r="AR241" s="3"/>
      <c r="AS241" s="3"/>
      <c r="AT241" s="3"/>
      <c r="AU241" s="3" t="str">
        <f ca="1">IFERROR(__xludf.DUMMYFUNCTION("""COMPUTED_VALUE"""),"nativní pr premium")</f>
        <v>nativní pr premium</v>
      </c>
    </row>
    <row r="242" spans="1:47" x14ac:dyDescent="0.3">
      <c r="A242" s="3">
        <f ca="1"/>
        <v>2346826</v>
      </c>
      <c r="B242" s="3" t="str">
        <f ca="1"/>
        <v>CZECH NEWS CENTER a. s.</v>
      </c>
      <c r="C242" s="3" t="str">
        <f ca="1">IFERROR(__xludf.DUMMYFUNCTION("""COMPUTED_VALUE"""),"Blesk pro ženy")</f>
        <v>Blesk pro ženy</v>
      </c>
      <c r="D242" s="4" t="str">
        <f ca="1">IFERROR(__xludf.DUMMYFUNCTION("""COMPUTED_VALUE"""),"https://bleskprozeny.cz")</f>
        <v>https://bleskprozeny.cz</v>
      </c>
      <c r="E242" s="3" t="str">
        <f ca="1">IFERROR(__xludf.DUMMYFUNCTION("""COMPUTED_VALUE"""),"celý web")</f>
        <v>celý web</v>
      </c>
      <c r="F242" s="4" t="str">
        <f ca="1">IFERROR(__xludf.DUMMYFUNCTION("""COMPUTED_VALUE"""),"https://bleskprozeny.cz")</f>
        <v>https://bleskprozeny.cz</v>
      </c>
      <c r="G242" s="3" t="str">
        <f ca="1">IFERROR(__xludf.DUMMYFUNCTION("""COMPUTED_VALUE"""),"nativní rectangle cross-device high season")</f>
        <v>nativní rectangle cross-device high season</v>
      </c>
      <c r="H242" s="3">
        <f ca="1">IFERROR(__xludf.DUMMYFUNCTION("""COMPUTED_VALUE"""),7)</f>
        <v>7</v>
      </c>
      <c r="I242" s="5">
        <f ca="1">IFERROR(__xludf.DUMMYFUNCTION("""COMPUTED_VALUE"""),1000)</f>
        <v>1000</v>
      </c>
      <c r="J242" s="5">
        <f ca="1">IFERROR(__xludf.DUMMYFUNCTION("""COMPUTED_VALUE"""),360)</f>
        <v>360</v>
      </c>
      <c r="K242" s="3"/>
      <c r="L242" s="3" t="str">
        <f ca="1">IFERROR(__xludf.DUMMYFUNCTION("""COMPUTED_VALUE"""),"Cost per period")</f>
        <v>Cost per period</v>
      </c>
      <c r="M242" s="3"/>
      <c r="N242" s="3"/>
      <c r="O242" s="3" t="str">
        <f ca="1">IFERROR(__xludf.DUMMYFUNCTION("""COMPUTED_VALUE"""),"640")</f>
        <v>640</v>
      </c>
      <c r="P242" s="3" t="str">
        <f ca="1">IFERROR(__xludf.DUMMYFUNCTION("""COMPUTED_VALUE"""),"335, 640")</f>
        <v>335, 640</v>
      </c>
      <c r="Q242" s="3" t="str">
        <f ca="1">IFERROR(__xludf.DUMMYFUNCTION("""COMPUTED_VALUE"""),"640x640 a 640x335 + text + logo")</f>
        <v>640x640 a 640x335 + text + logo</v>
      </c>
      <c r="R242" s="3"/>
      <c r="S242" s="3" t="str">
        <f ca="1">IFERROR(__xludf.DUMMYFUNCTION("""COMPUTED_VALUE"""),"45")</f>
        <v>45</v>
      </c>
      <c r="T242" s="3"/>
      <c r="U242" s="3" t="str">
        <f ca="1">IFERROR(__xludf.DUMMYFUNCTION("""COMPUTED_VALUE"""),"nativní reklama")</f>
        <v>nativní reklama</v>
      </c>
      <c r="V242" s="3"/>
      <c r="W242" s="4" t="str">
        <f ca="1">IFERROR(__xludf.DUMMYFUNCTION("""COMPUTED_VALUE"""),"https://reklama.cncenter.cz/Online/nativni-rectangle-cross-device")</f>
        <v>https://reklama.cncenter.cz/Online/nativni-rectangle-cross-device</v>
      </c>
      <c r="X242" s="3"/>
      <c r="Y242" s="3"/>
      <c r="Z242" s="3" t="str">
        <f ca="1">IFERROR(__xludf.DUMMYFUNCTION("""COMPUTED_VALUE"""),"podklady@cncenter.cz")</f>
        <v>podklady@cncenter.cz</v>
      </c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 t="str">
        <f ca="1">IFERROR(__xludf.DUMMYFUNCTION("""COMPUTED_VALUE"""),"cross-device")</f>
        <v>cross-device</v>
      </c>
      <c r="AO242" s="3"/>
      <c r="AP242" s="3"/>
      <c r="AQ242" s="3"/>
      <c r="AR242" s="3"/>
      <c r="AS242" s="3"/>
      <c r="AT242" s="3"/>
      <c r="AU242" s="3" t="str">
        <f ca="1">IFERROR(__xludf.DUMMYFUNCTION("""COMPUTED_VALUE"""),"nativní rectangle cross-device")</f>
        <v>nativní rectangle cross-device</v>
      </c>
    </row>
    <row r="243" spans="1:47" x14ac:dyDescent="0.3">
      <c r="A243" s="3">
        <f ca="1"/>
        <v>2346826</v>
      </c>
      <c r="B243" s="3" t="str">
        <f ca="1"/>
        <v>CZECH NEWS CENTER a. s.</v>
      </c>
      <c r="C243" s="3" t="str">
        <f ca="1">IFERROR(__xludf.DUMMYFUNCTION("""COMPUTED_VALUE"""),"Blesk pro ženy")</f>
        <v>Blesk pro ženy</v>
      </c>
      <c r="D243" s="4" t="str">
        <f ca="1">IFERROR(__xludf.DUMMYFUNCTION("""COMPUTED_VALUE"""),"https://bleskprozeny.cz")</f>
        <v>https://bleskprozeny.cz</v>
      </c>
      <c r="E243" s="3" t="str">
        <f ca="1">IFERROR(__xludf.DUMMYFUNCTION("""COMPUTED_VALUE"""),"celý web")</f>
        <v>celý web</v>
      </c>
      <c r="F243" s="4" t="str">
        <f ca="1">IFERROR(__xludf.DUMMYFUNCTION("""COMPUTED_VALUE"""),"https://bleskprozeny.cz")</f>
        <v>https://bleskprozeny.cz</v>
      </c>
      <c r="G243" s="3" t="str">
        <f ca="1">IFERROR(__xludf.DUMMYFUNCTION("""COMPUTED_VALUE"""),"outstream high season")</f>
        <v>outstream high season</v>
      </c>
      <c r="H243" s="3">
        <f ca="1">IFERROR(__xludf.DUMMYFUNCTION("""COMPUTED_VALUE"""),7)</f>
        <v>7</v>
      </c>
      <c r="I243" s="5">
        <f ca="1">IFERROR(__xludf.DUMMYFUNCTION("""COMPUTED_VALUE"""),1000)</f>
        <v>1000</v>
      </c>
      <c r="J243" s="5">
        <f ca="1">IFERROR(__xludf.DUMMYFUNCTION("""COMPUTED_VALUE"""),450)</f>
        <v>450</v>
      </c>
      <c r="K243" s="3"/>
      <c r="L243" s="3" t="str">
        <f ca="1">IFERROR(__xludf.DUMMYFUNCTION("""COMPUTED_VALUE"""),"Cost per period")</f>
        <v>Cost per period</v>
      </c>
      <c r="M243" s="3"/>
      <c r="N243" s="3"/>
      <c r="O243" s="3" t="str">
        <f ca="1">IFERROR(__xludf.DUMMYFUNCTION("""COMPUTED_VALUE"""),"1280")</f>
        <v>1280</v>
      </c>
      <c r="P243" s="3" t="str">
        <f ca="1">IFERROR(__xludf.DUMMYFUNCTION("""COMPUTED_VALUE"""),"720")</f>
        <v>720</v>
      </c>
      <c r="Q243" s="3" t="str">
        <f ca="1">IFERROR(__xludf.DUMMYFUNCTION("""COMPUTED_VALUE"""),"16:9")</f>
        <v>16:9</v>
      </c>
      <c r="R243" s="3"/>
      <c r="S243" s="3" t="str">
        <f ca="1">IFERROR(__xludf.DUMMYFUNCTION("""COMPUTED_VALUE"""),"100")</f>
        <v>100</v>
      </c>
      <c r="T243" s="3"/>
      <c r="U243" s="3" t="str">
        <f ca="1">IFERROR(__xludf.DUMMYFUNCTION("""COMPUTED_VALUE"""),"videospot")</f>
        <v>videospot</v>
      </c>
      <c r="V243" s="3"/>
      <c r="W243" s="4" t="str">
        <f ca="1">IFERROR(__xludf.DUMMYFUNCTION("""COMPUTED_VALUE"""),"https://reklama.cncenter.cz/Online/Outstream")</f>
        <v>https://reklama.cncenter.cz/Online/Outstream</v>
      </c>
      <c r="X243" s="3"/>
      <c r="Y243" s="3"/>
      <c r="Z243" s="3" t="str">
        <f ca="1">IFERROR(__xludf.DUMMYFUNCTION("""COMPUTED_VALUE"""),"podklady@cncenter.cz")</f>
        <v>podklady@cncenter.cz</v>
      </c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 t="str">
        <f ca="1">IFERROR(__xludf.DUMMYFUNCTION("""COMPUTED_VALUE"""),"cross-device")</f>
        <v>cross-device</v>
      </c>
      <c r="AO243" s="3"/>
      <c r="AP243" s="3"/>
      <c r="AQ243" s="3"/>
      <c r="AR243" s="3"/>
      <c r="AS243" s="3"/>
      <c r="AT243" s="3"/>
      <c r="AU243" s="3" t="str">
        <f ca="1">IFERROR(__xludf.DUMMYFUNCTION("""COMPUTED_VALUE"""),"outstream")</f>
        <v>outstream</v>
      </c>
    </row>
    <row r="244" spans="1:47" x14ac:dyDescent="0.3">
      <c r="A244" s="3">
        <f ca="1"/>
        <v>2346826</v>
      </c>
      <c r="B244" s="3" t="str">
        <f ca="1"/>
        <v>CZECH NEWS CENTER a. s.</v>
      </c>
      <c r="C244" s="3" t="str">
        <f ca="1">IFERROR(__xludf.DUMMYFUNCTION("""COMPUTED_VALUE"""),"Blesk pro ženy")</f>
        <v>Blesk pro ženy</v>
      </c>
      <c r="D244" s="4" t="str">
        <f ca="1">IFERROR(__xludf.DUMMYFUNCTION("""COMPUTED_VALUE"""),"https://bleskprozeny.cz")</f>
        <v>https://bleskprozeny.cz</v>
      </c>
      <c r="E244" s="3" t="str">
        <f ca="1">IFERROR(__xludf.DUMMYFUNCTION("""COMPUTED_VALUE"""),"celý web")</f>
        <v>celý web</v>
      </c>
      <c r="F244" s="4" t="str">
        <f ca="1">IFERROR(__xludf.DUMMYFUNCTION("""COMPUTED_VALUE"""),"https://bleskprozeny.cz")</f>
        <v>https://bleskprozeny.cz</v>
      </c>
      <c r="G244" s="3" t="str">
        <f ca="1">IFERROR(__xludf.DUMMYFUNCTION("""COMPUTED_VALUE"""),"PR článek high season")</f>
        <v>PR článek high season</v>
      </c>
      <c r="H244" s="3">
        <f ca="1">IFERROR(__xludf.DUMMYFUNCTION("""COMPUTED_VALUE"""),1)</f>
        <v>1</v>
      </c>
      <c r="I244" s="5">
        <f ca="1">IFERROR(__xludf.DUMMYFUNCTION("""COMPUTED_VALUE"""),1)</f>
        <v>1</v>
      </c>
      <c r="J244" s="5">
        <f ca="1">IFERROR(__xludf.DUMMYFUNCTION("""COMPUTED_VALUE"""),33000)</f>
        <v>33000</v>
      </c>
      <c r="K244" s="3"/>
      <c r="L244" s="3" t="str">
        <f ca="1">IFERROR(__xludf.DUMMYFUNCTION("""COMPUTED_VALUE"""),"Cost per instance")</f>
        <v>Cost per instance</v>
      </c>
      <c r="M244" s="3"/>
      <c r="N244" s="3"/>
      <c r="O244" s="3"/>
      <c r="P244" s="3"/>
      <c r="Q244" s="3"/>
      <c r="R244" s="3"/>
      <c r="S244" s="3" t="str">
        <f ca="1">IFERROR(__xludf.DUMMYFUNCTION("""COMPUTED_VALUE"""),"100")</f>
        <v>100</v>
      </c>
      <c r="T244" s="3"/>
      <c r="U244" s="3" t="str">
        <f ca="1">IFERROR(__xludf.DUMMYFUNCTION("""COMPUTED_VALUE"""),"pr článek")</f>
        <v>pr článek</v>
      </c>
      <c r="V244" s="3"/>
      <c r="W244" s="4" t="str">
        <f ca="1">IFERROR(__xludf.DUMMYFUNCTION("""COMPUTED_VALUE"""),"https://reklama.cncenter.cz/?ads=PR%2520%25C4%258Dl%25C3%25A1nky")</f>
        <v>https://reklama.cncenter.cz/?ads=PR%2520%25C4%258Dl%25C3%25A1nky</v>
      </c>
      <c r="X244" s="3"/>
      <c r="Y244" s="3"/>
      <c r="Z244" s="3" t="str">
        <f ca="1">IFERROR(__xludf.DUMMYFUNCTION("""COMPUTED_VALUE"""),"podklady@cncenter.cz")</f>
        <v>podklady@cncenter.cz</v>
      </c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 t="str">
        <f ca="1">IFERROR(__xludf.DUMMYFUNCTION("""COMPUTED_VALUE"""),"cross-device")</f>
        <v>cross-device</v>
      </c>
      <c r="AO244" s="3"/>
      <c r="AP244" s="3"/>
      <c r="AQ244" s="3"/>
      <c r="AR244" s="3"/>
      <c r="AS244" s="3"/>
      <c r="AT244" s="3"/>
      <c r="AU244" s="3" t="str">
        <f ca="1">IFERROR(__xludf.DUMMYFUNCTION("""COMPUTED_VALUE"""),"PR článek")</f>
        <v>PR článek</v>
      </c>
    </row>
    <row r="245" spans="1:47" x14ac:dyDescent="0.3">
      <c r="A245" s="3">
        <f ca="1"/>
        <v>2346826</v>
      </c>
      <c r="B245" s="3" t="str">
        <f ca="1"/>
        <v>CZECH NEWS CENTER a. s.</v>
      </c>
      <c r="C245" s="3" t="str">
        <f ca="1">IFERROR(__xludf.DUMMYFUNCTION("""COMPUTED_VALUE"""),"Blesk pro ženy")</f>
        <v>Blesk pro ženy</v>
      </c>
      <c r="D245" s="4" t="str">
        <f ca="1">IFERROR(__xludf.DUMMYFUNCTION("""COMPUTED_VALUE"""),"https://bleskprozeny.cz")</f>
        <v>https://bleskprozeny.cz</v>
      </c>
      <c r="E245" s="3" t="str">
        <f ca="1">IFERROR(__xludf.DUMMYFUNCTION("""COMPUTED_VALUE"""),"celý web")</f>
        <v>celý web</v>
      </c>
      <c r="F245" s="4" t="str">
        <f ca="1">IFERROR(__xludf.DUMMYFUNCTION("""COMPUTED_VALUE"""),"https://bleskprozeny.cz")</f>
        <v>https://bleskprozeny.cz</v>
      </c>
      <c r="G245" s="3" t="str">
        <f ca="1">IFERROR(__xludf.DUMMYFUNCTION("""COMPUTED_VALUE"""),"Prodloužení existující microsite, bez úprav high season")</f>
        <v>Prodloužení existující microsite, bez úprav high season</v>
      </c>
      <c r="H245" s="3">
        <f ca="1">IFERROR(__xludf.DUMMYFUNCTION("""COMPUTED_VALUE"""),1)</f>
        <v>1</v>
      </c>
      <c r="I245" s="5">
        <f ca="1">IFERROR(__xludf.DUMMYFUNCTION("""COMPUTED_VALUE"""),1)</f>
        <v>1</v>
      </c>
      <c r="J245" s="5">
        <f ca="1">IFERROR(__xludf.DUMMYFUNCTION("""COMPUTED_VALUE"""),15000)</f>
        <v>15000</v>
      </c>
      <c r="K245" s="3"/>
      <c r="L245" s="3" t="str">
        <f ca="1">IFERROR(__xludf.DUMMYFUNCTION("""COMPUTED_VALUE"""),"Cost per instance")</f>
        <v>Cost per instance</v>
      </c>
      <c r="M245" s="3"/>
      <c r="N245" s="3"/>
      <c r="O245" s="3"/>
      <c r="P245" s="3"/>
      <c r="Q245" s="3"/>
      <c r="R245" s="3"/>
      <c r="S245" s="3" t="str">
        <f ca="1">IFERROR(__xludf.DUMMYFUNCTION("""COMPUTED_VALUE"""),"100")</f>
        <v>100</v>
      </c>
      <c r="T245" s="3"/>
      <c r="U245" s="3" t="str">
        <f ca="1">IFERROR(__xludf.DUMMYFUNCTION("""COMPUTED_VALUE"""),"microsite")</f>
        <v>microsite</v>
      </c>
      <c r="V245" s="3"/>
      <c r="W245" s="3"/>
      <c r="X245" s="3"/>
      <c r="Y245" s="3"/>
      <c r="Z245" s="3" t="str">
        <f ca="1">IFERROR(__xludf.DUMMYFUNCTION("""COMPUTED_VALUE"""),"podklady@cncenter.cz")</f>
        <v>podklady@cncenter.cz</v>
      </c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 t="str">
        <f ca="1">IFERROR(__xludf.DUMMYFUNCTION("""COMPUTED_VALUE"""),"cross-device")</f>
        <v>cross-device</v>
      </c>
      <c r="AO245" s="3"/>
      <c r="AP245" s="3"/>
      <c r="AQ245" s="3"/>
      <c r="AR245" s="3"/>
      <c r="AS245" s="3"/>
      <c r="AT245" s="3"/>
      <c r="AU245" s="3" t="str">
        <f ca="1">IFERROR(__xludf.DUMMYFUNCTION("""COMPUTED_VALUE"""),"Prodloužení existující microsite, bez úprav")</f>
        <v>Prodloužení existující microsite, bez úprav</v>
      </c>
    </row>
    <row r="246" spans="1:47" x14ac:dyDescent="0.3">
      <c r="A246" s="3">
        <f ca="1"/>
        <v>2346826</v>
      </c>
      <c r="B246" s="3" t="str">
        <f ca="1"/>
        <v>CZECH NEWS CENTER a. s.</v>
      </c>
      <c r="C246" s="3" t="str">
        <f ca="1">IFERROR(__xludf.DUMMYFUNCTION("""COMPUTED_VALUE"""),"Blesk pro ženy")</f>
        <v>Blesk pro ženy</v>
      </c>
      <c r="D246" s="4" t="str">
        <f ca="1">IFERROR(__xludf.DUMMYFUNCTION("""COMPUTED_VALUE"""),"https://bleskprozeny.cz")</f>
        <v>https://bleskprozeny.cz</v>
      </c>
      <c r="E246" s="3" t="str">
        <f ca="1">IFERROR(__xludf.DUMMYFUNCTION("""COMPUTED_VALUE"""),"celý web")</f>
        <v>celý web</v>
      </c>
      <c r="F246" s="4" t="str">
        <f ca="1">IFERROR(__xludf.DUMMYFUNCTION("""COMPUTED_VALUE"""),"https://bleskprozeny.cz")</f>
        <v>https://bleskprozeny.cz</v>
      </c>
      <c r="G246" s="3" t="str">
        <f ca="1">IFERROR(__xludf.DUMMYFUNCTION("""COMPUTED_VALUE"""),"Prodloužení existující microsite, bez úprav high season")</f>
        <v>Prodloužení existující microsite, bez úprav high season</v>
      </c>
      <c r="H246" s="3">
        <f ca="1">IFERROR(__xludf.DUMMYFUNCTION("""COMPUTED_VALUE"""),1)</f>
        <v>1</v>
      </c>
      <c r="I246" s="5">
        <f ca="1">IFERROR(__xludf.DUMMYFUNCTION("""COMPUTED_VALUE"""),1)</f>
        <v>1</v>
      </c>
      <c r="J246" s="5">
        <f ca="1">IFERROR(__xludf.DUMMYFUNCTION("""COMPUTED_VALUE"""),15000)</f>
        <v>15000</v>
      </c>
      <c r="K246" s="3"/>
      <c r="L246" s="3" t="str">
        <f ca="1">IFERROR(__xludf.DUMMYFUNCTION("""COMPUTED_VALUE"""),"Cost per instance")</f>
        <v>Cost per instance</v>
      </c>
      <c r="M246" s="3"/>
      <c r="N246" s="3"/>
      <c r="O246" s="3"/>
      <c r="P246" s="3"/>
      <c r="Q246" s="3"/>
      <c r="R246" s="3"/>
      <c r="S246" s="3" t="str">
        <f ca="1">IFERROR(__xludf.DUMMYFUNCTION("""COMPUTED_VALUE"""),"100")</f>
        <v>100</v>
      </c>
      <c r="T246" s="3"/>
      <c r="U246" s="3" t="str">
        <f ca="1">IFERROR(__xludf.DUMMYFUNCTION("""COMPUTED_VALUE"""),"microsite")</f>
        <v>microsite</v>
      </c>
      <c r="V246" s="3"/>
      <c r="W246" s="3"/>
      <c r="X246" s="3"/>
      <c r="Y246" s="3"/>
      <c r="Z246" s="3" t="str">
        <f ca="1">IFERROR(__xludf.DUMMYFUNCTION("""COMPUTED_VALUE"""),"podklady@cncenter.cz")</f>
        <v>podklady@cncenter.cz</v>
      </c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 t="str">
        <f ca="1">IFERROR(__xludf.DUMMYFUNCTION("""COMPUTED_VALUE"""),"cross-device")</f>
        <v>cross-device</v>
      </c>
      <c r="AO246" s="3"/>
      <c r="AP246" s="3"/>
      <c r="AQ246" s="3"/>
      <c r="AR246" s="3"/>
      <c r="AS246" s="3"/>
      <c r="AT246" s="3"/>
      <c r="AU246" s="3" t="str">
        <f ca="1">IFERROR(__xludf.DUMMYFUNCTION("""COMPUTED_VALUE"""),"Prodloužení existující microsite, bez úprav")</f>
        <v>Prodloužení existující microsite, bez úprav</v>
      </c>
    </row>
    <row r="247" spans="1:47" x14ac:dyDescent="0.3">
      <c r="A247" s="3">
        <f ca="1"/>
        <v>2346826</v>
      </c>
      <c r="B247" s="3" t="str">
        <f ca="1"/>
        <v>CZECH NEWS CENTER a. s.</v>
      </c>
      <c r="C247" s="3" t="str">
        <f ca="1">IFERROR(__xludf.DUMMYFUNCTION("""COMPUTED_VALUE"""),"Blesk pro ženy")</f>
        <v>Blesk pro ženy</v>
      </c>
      <c r="D247" s="4" t="str">
        <f ca="1">IFERROR(__xludf.DUMMYFUNCTION("""COMPUTED_VALUE"""),"https://bleskprozeny.cz")</f>
        <v>https://bleskprozeny.cz</v>
      </c>
      <c r="E247" s="3" t="str">
        <f ca="1">IFERROR(__xludf.DUMMYFUNCTION("""COMPUTED_VALUE"""),"celý web")</f>
        <v>celý web</v>
      </c>
      <c r="F247" s="4" t="str">
        <f ca="1">IFERROR(__xludf.DUMMYFUNCTION("""COMPUTED_VALUE"""),"https://bleskprozeny.cz")</f>
        <v>https://bleskprozeny.cz</v>
      </c>
      <c r="G247" s="3" t="str">
        <f ca="1">IFERROR(__xludf.DUMMYFUNCTION("""COMPUTED_VALUE"""),"Prodloužení existující microsite, bez úprav high season")</f>
        <v>Prodloužení existující microsite, bez úprav high season</v>
      </c>
      <c r="H247" s="3">
        <f ca="1">IFERROR(__xludf.DUMMYFUNCTION("""COMPUTED_VALUE"""),1)</f>
        <v>1</v>
      </c>
      <c r="I247" s="5">
        <f ca="1">IFERROR(__xludf.DUMMYFUNCTION("""COMPUTED_VALUE"""),1)</f>
        <v>1</v>
      </c>
      <c r="J247" s="5">
        <f ca="1">IFERROR(__xludf.DUMMYFUNCTION("""COMPUTED_VALUE"""),15000)</f>
        <v>15000</v>
      </c>
      <c r="K247" s="3"/>
      <c r="L247" s="3" t="str">
        <f ca="1">IFERROR(__xludf.DUMMYFUNCTION("""COMPUTED_VALUE"""),"Cost per instance")</f>
        <v>Cost per instance</v>
      </c>
      <c r="M247" s="3"/>
      <c r="N247" s="3"/>
      <c r="O247" s="3"/>
      <c r="P247" s="3"/>
      <c r="Q247" s="3"/>
      <c r="R247" s="3"/>
      <c r="S247" s="3" t="str">
        <f ca="1">IFERROR(__xludf.DUMMYFUNCTION("""COMPUTED_VALUE"""),"100")</f>
        <v>100</v>
      </c>
      <c r="T247" s="3"/>
      <c r="U247" s="3" t="str">
        <f ca="1">IFERROR(__xludf.DUMMYFUNCTION("""COMPUTED_VALUE"""),"microsite")</f>
        <v>microsite</v>
      </c>
      <c r="V247" s="3"/>
      <c r="W247" s="3"/>
      <c r="X247" s="3"/>
      <c r="Y247" s="3"/>
      <c r="Z247" s="3" t="str">
        <f ca="1">IFERROR(__xludf.DUMMYFUNCTION("""COMPUTED_VALUE"""),"podklady@cncenter.cz")</f>
        <v>podklady@cncenter.cz</v>
      </c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 t="str">
        <f ca="1">IFERROR(__xludf.DUMMYFUNCTION("""COMPUTED_VALUE"""),"cross-device")</f>
        <v>cross-device</v>
      </c>
      <c r="AO247" s="3"/>
      <c r="AP247" s="3"/>
      <c r="AQ247" s="3"/>
      <c r="AR247" s="3"/>
      <c r="AS247" s="3"/>
      <c r="AT247" s="3"/>
      <c r="AU247" s="3" t="str">
        <f ca="1">IFERROR(__xludf.DUMMYFUNCTION("""COMPUTED_VALUE"""),"Prodloužení existující microsite, bez úprav")</f>
        <v>Prodloužení existující microsite, bez úprav</v>
      </c>
    </row>
    <row r="248" spans="1:47" x14ac:dyDescent="0.3">
      <c r="A248" s="3">
        <f ca="1"/>
        <v>2346826</v>
      </c>
      <c r="B248" s="3" t="str">
        <f ca="1"/>
        <v>CZECH NEWS CENTER a. s.</v>
      </c>
      <c r="C248" s="3" t="str">
        <f ca="1">IFERROR(__xludf.DUMMYFUNCTION("""COMPUTED_VALUE"""),"Blesk pro ženy")</f>
        <v>Blesk pro ženy</v>
      </c>
      <c r="D248" s="4" t="str">
        <f ca="1">IFERROR(__xludf.DUMMYFUNCTION("""COMPUTED_VALUE"""),"https://bleskprozeny.cz")</f>
        <v>https://bleskprozeny.cz</v>
      </c>
      <c r="E248" s="3" t="str">
        <f ca="1">IFERROR(__xludf.DUMMYFUNCTION("""COMPUTED_VALUE"""),"celý web")</f>
        <v>celý web</v>
      </c>
      <c r="F248" s="4" t="str">
        <f ca="1">IFERROR(__xludf.DUMMYFUNCTION("""COMPUTED_VALUE"""),"https://bleskprozeny.cz")</f>
        <v>https://bleskprozeny.cz</v>
      </c>
      <c r="G248" s="3" t="str">
        <f ca="1">IFERROR(__xludf.DUMMYFUNCTION("""COMPUTED_VALUE"""),"videospot - max. 30 sec. / bumper high season")</f>
        <v>videospot - max. 30 sec. / bumper high season</v>
      </c>
      <c r="H248" s="3">
        <f ca="1">IFERROR(__xludf.DUMMYFUNCTION("""COMPUTED_VALUE"""),7)</f>
        <v>7</v>
      </c>
      <c r="I248" s="5">
        <f ca="1">IFERROR(__xludf.DUMMYFUNCTION("""COMPUTED_VALUE"""),1000)</f>
        <v>1000</v>
      </c>
      <c r="J248" s="5">
        <f ca="1">IFERROR(__xludf.DUMMYFUNCTION("""COMPUTED_VALUE"""),1340)</f>
        <v>1340</v>
      </c>
      <c r="K248" s="3"/>
      <c r="L248" s="3" t="str">
        <f ca="1">IFERROR(__xludf.DUMMYFUNCTION("""COMPUTED_VALUE"""),"Cost per period")</f>
        <v>Cost per period</v>
      </c>
      <c r="M248" s="3"/>
      <c r="N248" s="3"/>
      <c r="O248" s="3" t="str">
        <f ca="1">IFERROR(__xludf.DUMMYFUNCTION("""COMPUTED_VALUE"""),"1280")</f>
        <v>1280</v>
      </c>
      <c r="P248" s="3" t="str">
        <f ca="1">IFERROR(__xludf.DUMMYFUNCTION("""COMPUTED_VALUE"""),"720")</f>
        <v>720</v>
      </c>
      <c r="Q248" s="3" t="str">
        <f ca="1">IFERROR(__xludf.DUMMYFUNCTION("""COMPUTED_VALUE"""),"16:9 / umístění po domluvě dle možností")</f>
        <v>16:9 / umístění po domluvě dle možností</v>
      </c>
      <c r="R248" s="3" t="str">
        <f ca="1">IFERROR(__xludf.DUMMYFUNCTION("""COMPUTED_VALUE"""),"přeskočení po 7 sekundách")</f>
        <v>přeskočení po 7 sekundách</v>
      </c>
      <c r="S248" s="3" t="str">
        <f ca="1">IFERROR(__xludf.DUMMYFUNCTION("""COMPUTED_VALUE"""),"100")</f>
        <v>100</v>
      </c>
      <c r="T248" s="3"/>
      <c r="U248" s="3" t="str">
        <f ca="1">IFERROR(__xludf.DUMMYFUNCTION("""COMPUTED_VALUE"""),"videospot")</f>
        <v>videospot</v>
      </c>
      <c r="V248" s="3"/>
      <c r="W248" s="4" t="str">
        <f ca="1">IFERROR(__xludf.DUMMYFUNCTION("""COMPUTED_VALUE"""),"https://reklama.cncenter.cz/Online/Bumper")</f>
        <v>https://reklama.cncenter.cz/Online/Bumper</v>
      </c>
      <c r="X248" s="3"/>
      <c r="Y248" s="3"/>
      <c r="Z248" s="3" t="str">
        <f ca="1">IFERROR(__xludf.DUMMYFUNCTION("""COMPUTED_VALUE"""),"podklady@cncenter.cz")</f>
        <v>podklady@cncenter.cz</v>
      </c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 t="str">
        <f ca="1">IFERROR(__xludf.DUMMYFUNCTION("""COMPUTED_VALUE"""),"cross-device")</f>
        <v>cross-device</v>
      </c>
      <c r="AO248" s="3"/>
      <c r="AP248" s="3"/>
      <c r="AQ248" s="3"/>
      <c r="AR248" s="3"/>
      <c r="AS248" s="3"/>
      <c r="AT248" s="3"/>
      <c r="AU248" s="3" t="str">
        <f ca="1">IFERROR(__xludf.DUMMYFUNCTION("""COMPUTED_VALUE"""),"videospot - max. 30 sec. / bumper")</f>
        <v>videospot - max. 30 sec. / bumper</v>
      </c>
    </row>
    <row r="249" spans="1:47" x14ac:dyDescent="0.3">
      <c r="A249" s="3">
        <f ca="1"/>
        <v>2346826</v>
      </c>
      <c r="B249" s="3" t="str">
        <f ca="1"/>
        <v>CZECH NEWS CENTER a. s.</v>
      </c>
      <c r="C249" s="3" t="str">
        <f ca="1">IFERROR(__xludf.DUMMYFUNCTION("""COMPUTED_VALUE"""),"CNC auto moto pack")</f>
        <v>CNC auto moto pack</v>
      </c>
      <c r="D249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49" s="3" t="str">
        <f ca="1">IFERROR(__xludf.DUMMYFUNCTION("""COMPUTED_VALUE"""),"celý web")</f>
        <v>celý web</v>
      </c>
      <c r="F249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49" s="3" t="str">
        <f ca="1">IFERROR(__xludf.DUMMYFUNCTION("""COMPUTED_VALUE"""),"billboard bottom high season")</f>
        <v>billboard bottom high season</v>
      </c>
      <c r="H249" s="3">
        <f ca="1">IFERROR(__xludf.DUMMYFUNCTION("""COMPUTED_VALUE"""),7)</f>
        <v>7</v>
      </c>
      <c r="I249" s="5">
        <f ca="1">IFERROR(__xludf.DUMMYFUNCTION("""COMPUTED_VALUE"""),1000)</f>
        <v>1000</v>
      </c>
      <c r="J249" s="5">
        <f ca="1">IFERROR(__xludf.DUMMYFUNCTION("""COMPUTED_VALUE"""),380)</f>
        <v>380</v>
      </c>
      <c r="K249" s="3"/>
      <c r="L249" s="3" t="str">
        <f ca="1">IFERROR(__xludf.DUMMYFUNCTION("""COMPUTED_VALUE"""),"Cost per period")</f>
        <v>Cost per period</v>
      </c>
      <c r="M249" s="3"/>
      <c r="N249" s="3"/>
      <c r="O249" s="3" t="str">
        <f ca="1">IFERROR(__xludf.DUMMYFUNCTION("""COMPUTED_VALUE"""),"970")</f>
        <v>970</v>
      </c>
      <c r="P249" s="3" t="str">
        <f ca="1">IFERROR(__xludf.DUMMYFUNCTION("""COMPUTED_VALUE"""),"250")</f>
        <v>250</v>
      </c>
      <c r="Q249" s="3" t="str">
        <f ca="1">IFERROR(__xludf.DUMMYFUNCTION("""COMPUTED_VALUE"""),"970x250")</f>
        <v>970x250</v>
      </c>
      <c r="R249" s="3"/>
      <c r="S249" s="3" t="str">
        <f ca="1">IFERROR(__xludf.DUMMYFUNCTION("""COMPUTED_VALUE"""),"100 (200 - HTML5)")</f>
        <v>100 (200 - HTML5)</v>
      </c>
      <c r="T249" s="3"/>
      <c r="U249" s="3" t="str">
        <f ca="1">IFERROR(__xludf.DUMMYFUNCTION("""COMPUTED_VALUE"""),"banner standard")</f>
        <v>banner standard</v>
      </c>
      <c r="V249" s="3"/>
      <c r="W249" s="4" t="str">
        <f ca="1">IFERROR(__xludf.DUMMYFUNCTION("""COMPUTED_VALUE"""),"https://reklama.cncenter.cz/Online/billboard-bottom")</f>
        <v>https://reklama.cncenter.cz/Online/billboard-bottom</v>
      </c>
      <c r="X249" s="3"/>
      <c r="Y249" s="3"/>
      <c r="Z249" s="3" t="str">
        <f ca="1">IFERROR(__xludf.DUMMYFUNCTION("""COMPUTED_VALUE"""),"podklady@cncenter.cz")</f>
        <v>podklady@cncenter.cz</v>
      </c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 t="str">
        <f ca="1">IFERROR(__xludf.DUMMYFUNCTION("""COMPUTED_VALUE"""),"desktop")</f>
        <v>desktop</v>
      </c>
      <c r="AO249" s="3"/>
      <c r="AP249" s="3"/>
      <c r="AQ249" s="3"/>
      <c r="AR249" s="3"/>
      <c r="AS249" s="3"/>
      <c r="AT249" s="3"/>
      <c r="AU249" s="3" t="str">
        <f ca="1">IFERROR(__xludf.DUMMYFUNCTION("""COMPUTED_VALUE"""),"billboard bottom")</f>
        <v>billboard bottom</v>
      </c>
    </row>
    <row r="250" spans="1:47" x14ac:dyDescent="0.3">
      <c r="A250" s="3">
        <f ca="1"/>
        <v>2346826</v>
      </c>
      <c r="B250" s="3" t="str">
        <f ca="1"/>
        <v>CZECH NEWS CENTER a. s.</v>
      </c>
      <c r="C250" s="3" t="str">
        <f ca="1">IFERROR(__xludf.DUMMYFUNCTION("""COMPUTED_VALUE"""),"CNC auto moto pack")</f>
        <v>CNC auto moto pack</v>
      </c>
      <c r="D250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0" s="3" t="str">
        <f ca="1">IFERROR(__xludf.DUMMYFUNCTION("""COMPUTED_VALUE"""),"celý web")</f>
        <v>celý web</v>
      </c>
      <c r="F250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0" s="3" t="str">
        <f ca="1">IFERROR(__xludf.DUMMYFUNCTION("""COMPUTED_VALUE"""),"branding cross-device high season")</f>
        <v>branding cross-device high season</v>
      </c>
      <c r="H250" s="3">
        <f ca="1">IFERROR(__xludf.DUMMYFUNCTION("""COMPUTED_VALUE"""),7)</f>
        <v>7</v>
      </c>
      <c r="I250" s="5">
        <f ca="1">IFERROR(__xludf.DUMMYFUNCTION("""COMPUTED_VALUE"""),1000)</f>
        <v>1000</v>
      </c>
      <c r="J250" s="5">
        <f ca="1">IFERROR(__xludf.DUMMYFUNCTION("""COMPUTED_VALUE"""),490)</f>
        <v>490</v>
      </c>
      <c r="K250" s="3"/>
      <c r="L250" s="3" t="str">
        <f ca="1">IFERROR(__xludf.DUMMYFUNCTION("""COMPUTED_VALUE"""),"Cost per period")</f>
        <v>Cost per period</v>
      </c>
      <c r="M250" s="3"/>
      <c r="N250" s="3"/>
      <c r="O250" s="3" t="str">
        <f ca="1">IFERROR(__xludf.DUMMYFUNCTION("""COMPUTED_VALUE"""),"2000")</f>
        <v>2000</v>
      </c>
      <c r="P250" s="3" t="str">
        <f ca="1">IFERROR(__xludf.DUMMYFUNCTION("""COMPUTED_VALUE"""),"1400")</f>
        <v>1400</v>
      </c>
      <c r="Q250" s="3" t="str">
        <f ca="1">IFERROR(__xludf.DUMMYFUNCTION("""COMPUTED_VALUE"""),"2000x1400 + 600x1080")</f>
        <v>2000x1400 + 600x1080</v>
      </c>
      <c r="R250" s="3"/>
      <c r="S250" s="3" t="str">
        <f ca="1">IFERROR(__xludf.DUMMYFUNCTION("""COMPUTED_VALUE"""),"500 (600 - HTLM5)")</f>
        <v>500 (600 - HTLM5)</v>
      </c>
      <c r="T250" s="3"/>
      <c r="U250" s="3" t="str">
        <f ca="1">IFERROR(__xludf.DUMMYFUNCTION("""COMPUTED_VALUE"""),"banner standard")</f>
        <v>banner standard</v>
      </c>
      <c r="V250" s="3"/>
      <c r="W250" s="4" t="str">
        <f ca="1">IFERROR(__xludf.DUMMYFUNCTION("""COMPUTED_VALUE"""),"https://reklama.cncenter.cz/Online/branding-cross-device")</f>
        <v>https://reklama.cncenter.cz/Online/branding-cross-device</v>
      </c>
      <c r="X250" s="3"/>
      <c r="Y250" s="3"/>
      <c r="Z250" s="3" t="str">
        <f ca="1">IFERROR(__xludf.DUMMYFUNCTION("""COMPUTED_VALUE"""),"podklady@cncenter.cz")</f>
        <v>podklady@cncenter.cz</v>
      </c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 t="str">
        <f ca="1">IFERROR(__xludf.DUMMYFUNCTION("""COMPUTED_VALUE"""),"cross-device")</f>
        <v>cross-device</v>
      </c>
      <c r="AO250" s="3"/>
      <c r="AP250" s="3"/>
      <c r="AQ250" s="3"/>
      <c r="AR250" s="3"/>
      <c r="AS250" s="3"/>
      <c r="AT250" s="3"/>
      <c r="AU250" s="3" t="str">
        <f ca="1">IFERROR(__xludf.DUMMYFUNCTION("""COMPUTED_VALUE"""),"branding cross-device")</f>
        <v>branding cross-device</v>
      </c>
    </row>
    <row r="251" spans="1:47" x14ac:dyDescent="0.3">
      <c r="A251" s="3">
        <f ca="1"/>
        <v>2346826</v>
      </c>
      <c r="B251" s="3" t="str">
        <f ca="1"/>
        <v>CZECH NEWS CENTER a. s.</v>
      </c>
      <c r="C251" s="3" t="str">
        <f ca="1">IFERROR(__xludf.DUMMYFUNCTION("""COMPUTED_VALUE"""),"CNC auto moto pack")</f>
        <v>CNC auto moto pack</v>
      </c>
      <c r="D251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1" s="3" t="str">
        <f ca="1">IFERROR(__xludf.DUMMYFUNCTION("""COMPUTED_VALUE"""),"celý web")</f>
        <v>celý web</v>
      </c>
      <c r="F251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1" s="3" t="str">
        <f ca="1">IFERROR(__xludf.DUMMYFUNCTION("""COMPUTED_VALUE"""),"branding high season")</f>
        <v>branding high season</v>
      </c>
      <c r="H251" s="3">
        <f ca="1">IFERROR(__xludf.DUMMYFUNCTION("""COMPUTED_VALUE"""),7)</f>
        <v>7</v>
      </c>
      <c r="I251" s="5">
        <f ca="1">IFERROR(__xludf.DUMMYFUNCTION("""COMPUTED_VALUE"""),1000)</f>
        <v>1000</v>
      </c>
      <c r="J251" s="5">
        <f ca="1">IFERROR(__xludf.DUMMYFUNCTION("""COMPUTED_VALUE"""),720)</f>
        <v>720</v>
      </c>
      <c r="K251" s="3"/>
      <c r="L251" s="3" t="str">
        <f ca="1">IFERROR(__xludf.DUMMYFUNCTION("""COMPUTED_VALUE"""),"Cost per period")</f>
        <v>Cost per period</v>
      </c>
      <c r="M251" s="3"/>
      <c r="N251" s="3"/>
      <c r="O251" s="3" t="str">
        <f ca="1">IFERROR(__xludf.DUMMYFUNCTION("""COMPUTED_VALUE"""),"2000")</f>
        <v>2000</v>
      </c>
      <c r="P251" s="3" t="str">
        <f ca="1">IFERROR(__xludf.DUMMYFUNCTION("""COMPUTED_VALUE"""),"1400")</f>
        <v>1400</v>
      </c>
      <c r="Q251" s="3" t="str">
        <f ca="1">IFERROR(__xludf.DUMMYFUNCTION("""COMPUTED_VALUE"""),"2000x1400")</f>
        <v>2000x1400</v>
      </c>
      <c r="R251" s="3"/>
      <c r="S251" s="3" t="str">
        <f ca="1">IFERROR(__xludf.DUMMYFUNCTION("""COMPUTED_VALUE"""),"500 + 200 (600+200 HTML5)")</f>
        <v>500 + 200 (600+200 HTML5)</v>
      </c>
      <c r="T251" s="3"/>
      <c r="U251" s="3" t="str">
        <f ca="1">IFERROR(__xludf.DUMMYFUNCTION("""COMPUTED_VALUE"""),"banner standard")</f>
        <v>banner standard</v>
      </c>
      <c r="V251" s="3"/>
      <c r="W251" s="4" t="str">
        <f ca="1">IFERROR(__xludf.DUMMYFUNCTION("""COMPUTED_VALUE"""),"https://reklama.cncenter.cz/Online/branding")</f>
        <v>https://reklama.cncenter.cz/Online/branding</v>
      </c>
      <c r="X251" s="3"/>
      <c r="Y251" s="3"/>
      <c r="Z251" s="3" t="str">
        <f ca="1">IFERROR(__xludf.DUMMYFUNCTION("""COMPUTED_VALUE"""),"podklady@cncenter.cz")</f>
        <v>podklady@cncenter.cz</v>
      </c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 t="str">
        <f ca="1">IFERROR(__xludf.DUMMYFUNCTION("""COMPUTED_VALUE"""),"desktop")</f>
        <v>desktop</v>
      </c>
      <c r="AO251" s="3"/>
      <c r="AP251" s="3"/>
      <c r="AQ251" s="3"/>
      <c r="AR251" s="3"/>
      <c r="AS251" s="3"/>
      <c r="AT251" s="3"/>
      <c r="AU251" s="3" t="str">
        <f ca="1">IFERROR(__xludf.DUMMYFUNCTION("""COMPUTED_VALUE"""),"branding")</f>
        <v>branding</v>
      </c>
    </row>
    <row r="252" spans="1:47" x14ac:dyDescent="0.3">
      <c r="A252" s="3">
        <f ca="1"/>
        <v>2346826</v>
      </c>
      <c r="B252" s="3" t="str">
        <f ca="1"/>
        <v>CZECH NEWS CENTER a. s.</v>
      </c>
      <c r="C252" s="3" t="str">
        <f ca="1">IFERROR(__xludf.DUMMYFUNCTION("""COMPUTED_VALUE"""),"CNC auto moto pack")</f>
        <v>CNC auto moto pack</v>
      </c>
      <c r="D252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2" s="3" t="str">
        <f ca="1">IFERROR(__xludf.DUMMYFUNCTION("""COMPUTED_VALUE"""),"celý web")</f>
        <v>celý web</v>
      </c>
      <c r="F252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2" s="3" t="str">
        <f ca="1">IFERROR(__xludf.DUMMYFUNCTION("""COMPUTED_VALUE"""),"cílený billboard bottom high season")</f>
        <v>cílený billboard bottom high season</v>
      </c>
      <c r="H252" s="3">
        <f ca="1">IFERROR(__xludf.DUMMYFUNCTION("""COMPUTED_VALUE"""),7)</f>
        <v>7</v>
      </c>
      <c r="I252" s="5">
        <f ca="1">IFERROR(__xludf.DUMMYFUNCTION("""COMPUTED_VALUE"""),1000)</f>
        <v>1000</v>
      </c>
      <c r="J252" s="5">
        <f ca="1">IFERROR(__xludf.DUMMYFUNCTION("""COMPUTED_VALUE"""),456)</f>
        <v>456</v>
      </c>
      <c r="K252" s="3"/>
      <c r="L252" s="3" t="str">
        <f ca="1">IFERROR(__xludf.DUMMYFUNCTION("""COMPUTED_VALUE"""),"Cost per period")</f>
        <v>Cost per period</v>
      </c>
      <c r="M252" s="3"/>
      <c r="N252" s="3"/>
      <c r="O252" s="3" t="str">
        <f ca="1">IFERROR(__xludf.DUMMYFUNCTION("""COMPUTED_VALUE"""),"970")</f>
        <v>970</v>
      </c>
      <c r="P252" s="3" t="str">
        <f ca="1">IFERROR(__xludf.DUMMYFUNCTION("""COMPUTED_VALUE"""),"250")</f>
        <v>250</v>
      </c>
      <c r="Q252" s="3" t="str">
        <f ca="1">IFERROR(__xludf.DUMMYFUNCTION("""COMPUTED_VALUE"""),"970x250")</f>
        <v>970x250</v>
      </c>
      <c r="R252" s="3"/>
      <c r="S252" s="3" t="str">
        <f ca="1">IFERROR(__xludf.DUMMYFUNCTION("""COMPUTED_VALUE"""),"100 (200 - HTML5)")</f>
        <v>100 (200 - HTML5)</v>
      </c>
      <c r="T252" s="3"/>
      <c r="U252" s="3" t="str">
        <f ca="1">IFERROR(__xludf.DUMMYFUNCTION("""COMPUTED_VALUE"""),"banner standard")</f>
        <v>banner standard</v>
      </c>
      <c r="V252" s="3"/>
      <c r="W252" s="4" t="str">
        <f ca="1">IFERROR(__xludf.DUMMYFUNCTION("""COMPUTED_VALUE"""),"https://reklama.cncenter.cz/Online/billboard-bottom")</f>
        <v>https://reklama.cncenter.cz/Online/billboard-bottom</v>
      </c>
      <c r="X252" s="3"/>
      <c r="Y252" s="3"/>
      <c r="Z252" s="3" t="str">
        <f ca="1">IFERROR(__xludf.DUMMYFUNCTION("""COMPUTED_VALUE"""),"podklady@cncenter.cz")</f>
        <v>podklady@cncenter.cz</v>
      </c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 t="str">
        <f ca="1">IFERROR(__xludf.DUMMYFUNCTION("""COMPUTED_VALUE"""),"desktop")</f>
        <v>desktop</v>
      </c>
      <c r="AO252" s="3"/>
      <c r="AP252" s="3"/>
      <c r="AQ252" s="3"/>
      <c r="AR252" s="3"/>
      <c r="AS252" s="3"/>
      <c r="AT252" s="3"/>
      <c r="AU252" s="3" t="str">
        <f ca="1">IFERROR(__xludf.DUMMYFUNCTION("""COMPUTED_VALUE"""),"cílený billboard bottom")</f>
        <v>cílený billboard bottom</v>
      </c>
    </row>
    <row r="253" spans="1:47" x14ac:dyDescent="0.3">
      <c r="A253" s="3">
        <f ca="1"/>
        <v>2346826</v>
      </c>
      <c r="B253" s="3" t="str">
        <f ca="1"/>
        <v>CZECH NEWS CENTER a. s.</v>
      </c>
      <c r="C253" s="3" t="str">
        <f ca="1">IFERROR(__xludf.DUMMYFUNCTION("""COMPUTED_VALUE"""),"CNC auto moto pack")</f>
        <v>CNC auto moto pack</v>
      </c>
      <c r="D253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3" s="3" t="str">
        <f ca="1">IFERROR(__xludf.DUMMYFUNCTION("""COMPUTED_VALUE"""),"celý web")</f>
        <v>celý web</v>
      </c>
      <c r="F253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3" s="3" t="str">
        <f ca="1">IFERROR(__xludf.DUMMYFUNCTION("""COMPUTED_VALUE"""),"cílený branding cross-device high season")</f>
        <v>cílený branding cross-device high season</v>
      </c>
      <c r="H253" s="3">
        <f ca="1">IFERROR(__xludf.DUMMYFUNCTION("""COMPUTED_VALUE"""),7)</f>
        <v>7</v>
      </c>
      <c r="I253" s="5">
        <f ca="1">IFERROR(__xludf.DUMMYFUNCTION("""COMPUTED_VALUE"""),1000)</f>
        <v>1000</v>
      </c>
      <c r="J253" s="5">
        <f ca="1">IFERROR(__xludf.DUMMYFUNCTION("""COMPUTED_VALUE"""),588)</f>
        <v>588</v>
      </c>
      <c r="K253" s="3"/>
      <c r="L253" s="3" t="str">
        <f ca="1">IFERROR(__xludf.DUMMYFUNCTION("""COMPUTED_VALUE"""),"Cost per period")</f>
        <v>Cost per period</v>
      </c>
      <c r="M253" s="3"/>
      <c r="N253" s="3"/>
      <c r="O253" s="3" t="str">
        <f ca="1">IFERROR(__xludf.DUMMYFUNCTION("""COMPUTED_VALUE"""),"2000")</f>
        <v>2000</v>
      </c>
      <c r="P253" s="3" t="str">
        <f ca="1">IFERROR(__xludf.DUMMYFUNCTION("""COMPUTED_VALUE"""),"1400")</f>
        <v>1400</v>
      </c>
      <c r="Q253" s="3" t="str">
        <f ca="1">IFERROR(__xludf.DUMMYFUNCTION("""COMPUTED_VALUE"""),"2000x1400 + 600x1080")</f>
        <v>2000x1400 + 600x1080</v>
      </c>
      <c r="R253" s="3"/>
      <c r="S253" s="3" t="str">
        <f ca="1">IFERROR(__xludf.DUMMYFUNCTION("""COMPUTED_VALUE"""),"500 (600 - HTLM5)")</f>
        <v>500 (600 - HTLM5)</v>
      </c>
      <c r="T253" s="3"/>
      <c r="U253" s="3" t="str">
        <f ca="1">IFERROR(__xludf.DUMMYFUNCTION("""COMPUTED_VALUE"""),"banner standard")</f>
        <v>banner standard</v>
      </c>
      <c r="V253" s="3"/>
      <c r="W253" s="4" t="str">
        <f ca="1">IFERROR(__xludf.DUMMYFUNCTION("""COMPUTED_VALUE"""),"https://reklama.cncenter.cz/Online/branding-cross-device")</f>
        <v>https://reklama.cncenter.cz/Online/branding-cross-device</v>
      </c>
      <c r="X253" s="3"/>
      <c r="Y253" s="3"/>
      <c r="Z253" s="3" t="str">
        <f ca="1">IFERROR(__xludf.DUMMYFUNCTION("""COMPUTED_VALUE"""),"podklady@cncenter.cz")</f>
        <v>podklady@cncenter.cz</v>
      </c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 t="str">
        <f ca="1">IFERROR(__xludf.DUMMYFUNCTION("""COMPUTED_VALUE"""),"cross-device")</f>
        <v>cross-device</v>
      </c>
      <c r="AO253" s="3"/>
      <c r="AP253" s="3"/>
      <c r="AQ253" s="3"/>
      <c r="AR253" s="3"/>
      <c r="AS253" s="3"/>
      <c r="AT253" s="3"/>
      <c r="AU253" s="3" t="str">
        <f ca="1">IFERROR(__xludf.DUMMYFUNCTION("""COMPUTED_VALUE"""),"cílený branding cross-device")</f>
        <v>cílený branding cross-device</v>
      </c>
    </row>
    <row r="254" spans="1:47" x14ac:dyDescent="0.3">
      <c r="A254" s="3">
        <f ca="1"/>
        <v>2346826</v>
      </c>
      <c r="B254" s="3" t="str">
        <f ca="1"/>
        <v>CZECH NEWS CENTER a. s.</v>
      </c>
      <c r="C254" s="3" t="str">
        <f ca="1">IFERROR(__xludf.DUMMYFUNCTION("""COMPUTED_VALUE"""),"CNC auto moto pack")</f>
        <v>CNC auto moto pack</v>
      </c>
      <c r="D254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4" s="3" t="str">
        <f ca="1">IFERROR(__xludf.DUMMYFUNCTION("""COMPUTED_VALUE"""),"celý web")</f>
        <v>celý web</v>
      </c>
      <c r="F254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4" s="3" t="str">
        <f ca="1">IFERROR(__xludf.DUMMYFUNCTION("""COMPUTED_VALUE"""),"cílený branding high season")</f>
        <v>cílený branding high season</v>
      </c>
      <c r="H254" s="3">
        <f ca="1">IFERROR(__xludf.DUMMYFUNCTION("""COMPUTED_VALUE"""),7)</f>
        <v>7</v>
      </c>
      <c r="I254" s="5">
        <f ca="1">IFERROR(__xludf.DUMMYFUNCTION("""COMPUTED_VALUE"""),1000)</f>
        <v>1000</v>
      </c>
      <c r="J254" s="5">
        <f ca="1">IFERROR(__xludf.DUMMYFUNCTION("""COMPUTED_VALUE"""),864)</f>
        <v>864</v>
      </c>
      <c r="K254" s="3"/>
      <c r="L254" s="3" t="str">
        <f ca="1">IFERROR(__xludf.DUMMYFUNCTION("""COMPUTED_VALUE"""),"Cost per period")</f>
        <v>Cost per period</v>
      </c>
      <c r="M254" s="3"/>
      <c r="N254" s="3"/>
      <c r="O254" s="3" t="str">
        <f ca="1">IFERROR(__xludf.DUMMYFUNCTION("""COMPUTED_VALUE"""),"2000")</f>
        <v>2000</v>
      </c>
      <c r="P254" s="3" t="str">
        <f ca="1">IFERROR(__xludf.DUMMYFUNCTION("""COMPUTED_VALUE"""),"1400")</f>
        <v>1400</v>
      </c>
      <c r="Q254" s="3" t="str">
        <f ca="1">IFERROR(__xludf.DUMMYFUNCTION("""COMPUTED_VALUE"""),"2000x1400")</f>
        <v>2000x1400</v>
      </c>
      <c r="R254" s="3"/>
      <c r="S254" s="3" t="str">
        <f ca="1">IFERROR(__xludf.DUMMYFUNCTION("""COMPUTED_VALUE"""),"500 + 200 (600+200 HTML5)")</f>
        <v>500 + 200 (600+200 HTML5)</v>
      </c>
      <c r="T254" s="3"/>
      <c r="U254" s="3" t="str">
        <f ca="1">IFERROR(__xludf.DUMMYFUNCTION("""COMPUTED_VALUE"""),"banner standard")</f>
        <v>banner standard</v>
      </c>
      <c r="V254" s="3"/>
      <c r="W254" s="4" t="str">
        <f ca="1">IFERROR(__xludf.DUMMYFUNCTION("""COMPUTED_VALUE"""),"https://reklama.cncenter.cz/Online/branding")</f>
        <v>https://reklama.cncenter.cz/Online/branding</v>
      </c>
      <c r="X254" s="3"/>
      <c r="Y254" s="3"/>
      <c r="Z254" s="3" t="str">
        <f ca="1">IFERROR(__xludf.DUMMYFUNCTION("""COMPUTED_VALUE"""),"podklady@cncenter.cz")</f>
        <v>podklady@cncenter.cz</v>
      </c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 t="str">
        <f ca="1">IFERROR(__xludf.DUMMYFUNCTION("""COMPUTED_VALUE"""),"desktop")</f>
        <v>desktop</v>
      </c>
      <c r="AO254" s="3"/>
      <c r="AP254" s="3"/>
      <c r="AQ254" s="3"/>
      <c r="AR254" s="3"/>
      <c r="AS254" s="3"/>
      <c r="AT254" s="3"/>
      <c r="AU254" s="3" t="str">
        <f ca="1">IFERROR(__xludf.DUMMYFUNCTION("""COMPUTED_VALUE"""),"cílený branding")</f>
        <v>cílený branding</v>
      </c>
    </row>
    <row r="255" spans="1:47" x14ac:dyDescent="0.3">
      <c r="A255" s="3">
        <f ca="1"/>
        <v>2346826</v>
      </c>
      <c r="B255" s="3" t="str">
        <f ca="1"/>
        <v>CZECH NEWS CENTER a. s.</v>
      </c>
      <c r="C255" s="3" t="str">
        <f ca="1">IFERROR(__xludf.DUMMYFUNCTION("""COMPUTED_VALUE"""),"CNC auto moto pack")</f>
        <v>CNC auto moto pack</v>
      </c>
      <c r="D255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5" s="3" t="str">
        <f ca="1">IFERROR(__xludf.DUMMYFUNCTION("""COMPUTED_VALUE"""),"celý web")</f>
        <v>celý web</v>
      </c>
      <c r="F255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5" s="3" t="str">
        <f ca="1">IFERROR(__xludf.DUMMYFUNCTION("""COMPUTED_VALUE"""),"cílený double skyscraper high season")</f>
        <v>cílený double skyscraper high season</v>
      </c>
      <c r="H255" s="3">
        <f ca="1">IFERROR(__xludf.DUMMYFUNCTION("""COMPUTED_VALUE"""),7)</f>
        <v>7</v>
      </c>
      <c r="I255" s="5">
        <f ca="1">IFERROR(__xludf.DUMMYFUNCTION("""COMPUTED_VALUE"""),1000)</f>
        <v>1000</v>
      </c>
      <c r="J255" s="5">
        <f ca="1">IFERROR(__xludf.DUMMYFUNCTION("""COMPUTED_VALUE"""),324)</f>
        <v>324</v>
      </c>
      <c r="K255" s="3"/>
      <c r="L255" s="3" t="str">
        <f ca="1">IFERROR(__xludf.DUMMYFUNCTION("""COMPUTED_VALUE"""),"Cost per period")</f>
        <v>Cost per period</v>
      </c>
      <c r="M255" s="3"/>
      <c r="N255" s="3"/>
      <c r="O255" s="3" t="str">
        <f ca="1">IFERROR(__xludf.DUMMYFUNCTION("""COMPUTED_VALUE"""),"300")</f>
        <v>300</v>
      </c>
      <c r="P255" s="3" t="str">
        <f ca="1">IFERROR(__xludf.DUMMYFUNCTION("""COMPUTED_VALUE"""),"600")</f>
        <v>600</v>
      </c>
      <c r="Q255" s="3" t="str">
        <f ca="1">IFERROR(__xludf.DUMMYFUNCTION("""COMPUTED_VALUE"""),"300x600")</f>
        <v>300x600</v>
      </c>
      <c r="R255" s="3"/>
      <c r="S255" s="3" t="str">
        <f ca="1">IFERROR(__xludf.DUMMYFUNCTION("""COMPUTED_VALUE"""),"100 (200 - HTML5)")</f>
        <v>100 (200 - HTML5)</v>
      </c>
      <c r="T255" s="3"/>
      <c r="U255" s="3" t="str">
        <f ca="1">IFERROR(__xludf.DUMMYFUNCTION("""COMPUTED_VALUE"""),"banner standard")</f>
        <v>banner standard</v>
      </c>
      <c r="V255" s="3"/>
      <c r="W255" s="4" t="str">
        <f ca="1">IFERROR(__xludf.DUMMYFUNCTION("""COMPUTED_VALUE"""),"https://reklama.cncenter.cz/Online/double-skyscraper")</f>
        <v>https://reklama.cncenter.cz/Online/double-skyscraper</v>
      </c>
      <c r="X255" s="3"/>
      <c r="Y255" s="3"/>
      <c r="Z255" s="3" t="str">
        <f ca="1">IFERROR(__xludf.DUMMYFUNCTION("""COMPUTED_VALUE"""),"podklady@cncenter.cz")</f>
        <v>podklady@cncenter.cz</v>
      </c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 t="str">
        <f ca="1">IFERROR(__xludf.DUMMYFUNCTION("""COMPUTED_VALUE"""),"desktop")</f>
        <v>desktop</v>
      </c>
      <c r="AO255" s="3"/>
      <c r="AP255" s="3"/>
      <c r="AQ255" s="3"/>
      <c r="AR255" s="3"/>
      <c r="AS255" s="3"/>
      <c r="AT255" s="3"/>
      <c r="AU255" s="3" t="str">
        <f ca="1">IFERROR(__xludf.DUMMYFUNCTION("""COMPUTED_VALUE"""),"cílený double skyscraper")</f>
        <v>cílený double skyscraper</v>
      </c>
    </row>
    <row r="256" spans="1:47" x14ac:dyDescent="0.3">
      <c r="A256" s="3">
        <f ca="1"/>
        <v>2346826</v>
      </c>
      <c r="B256" s="3" t="str">
        <f ca="1"/>
        <v>CZECH NEWS CENTER a. s.</v>
      </c>
      <c r="C256" s="3" t="str">
        <f ca="1">IFERROR(__xludf.DUMMYFUNCTION("""COMPUTED_VALUE"""),"CNC auto moto pack")</f>
        <v>CNC auto moto pack</v>
      </c>
      <c r="D256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6" s="3" t="str">
        <f ca="1">IFERROR(__xludf.DUMMYFUNCTION("""COMPUTED_VALUE"""),"celý web")</f>
        <v>celý web</v>
      </c>
      <c r="F256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6" s="3" t="str">
        <f ca="1">IFERROR(__xludf.DUMMYFUNCTION("""COMPUTED_VALUE"""),"cílený mini videospot - max. 30 sec. high season")</f>
        <v>cílený mini videospot - max. 30 sec. high season</v>
      </c>
      <c r="H256" s="3">
        <f ca="1">IFERROR(__xludf.DUMMYFUNCTION("""COMPUTED_VALUE"""),7)</f>
        <v>7</v>
      </c>
      <c r="I256" s="5">
        <f ca="1">IFERROR(__xludf.DUMMYFUNCTION("""COMPUTED_VALUE"""),1000)</f>
        <v>1000</v>
      </c>
      <c r="J256" s="5">
        <f ca="1">IFERROR(__xludf.DUMMYFUNCTION("""COMPUTED_VALUE"""),324)</f>
        <v>324</v>
      </c>
      <c r="K256" s="3"/>
      <c r="L256" s="3" t="str">
        <f ca="1">IFERROR(__xludf.DUMMYFUNCTION("""COMPUTED_VALUE"""),"Cost per period")</f>
        <v>Cost per period</v>
      </c>
      <c r="M256" s="3"/>
      <c r="N256" s="3"/>
      <c r="O256" s="3"/>
      <c r="P256" s="3"/>
      <c r="Q256" s="3" t="str">
        <f ca="1">IFERROR(__xludf.DUMMYFUNCTION("""COMPUTED_VALUE"""),"16:9 / umístění po domluvě dle možností")</f>
        <v>16:9 / umístění po domluvě dle možností</v>
      </c>
      <c r="R256" s="3" t="str">
        <f ca="1">IFERROR(__xludf.DUMMYFUNCTION("""COMPUTED_VALUE"""),"přeskočení po 7 sekundách")</f>
        <v>přeskočení po 7 sekundách</v>
      </c>
      <c r="S256" s="3" t="str">
        <f ca="1">IFERROR(__xludf.DUMMYFUNCTION("""COMPUTED_VALUE"""),"100")</f>
        <v>100</v>
      </c>
      <c r="T256" s="3"/>
      <c r="U256" s="3" t="str">
        <f ca="1">IFERROR(__xludf.DUMMYFUNCTION("""COMPUTED_VALUE"""),"videospot")</f>
        <v>videospot</v>
      </c>
      <c r="V256" s="3"/>
      <c r="W256" s="4" t="str">
        <f ca="1">IFERROR(__xludf.DUMMYFUNCTION("""COMPUTED_VALUE"""),"https://reklama.cncenter.cz/Online/Videospot")</f>
        <v>https://reklama.cncenter.cz/Online/Videospot</v>
      </c>
      <c r="X256" s="3"/>
      <c r="Y256" s="3"/>
      <c r="Z256" s="3" t="str">
        <f ca="1">IFERROR(__xludf.DUMMYFUNCTION("""COMPUTED_VALUE"""),"podklady@cncenter.cz")</f>
        <v>podklady@cncenter.cz</v>
      </c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 t="str">
        <f ca="1">IFERROR(__xludf.DUMMYFUNCTION("""COMPUTED_VALUE"""),"desktop")</f>
        <v>desktop</v>
      </c>
      <c r="AO256" s="3"/>
      <c r="AP256" s="3"/>
      <c r="AQ256" s="3"/>
      <c r="AR256" s="3"/>
      <c r="AS256" s="3"/>
      <c r="AT256" s="3"/>
      <c r="AU256" s="3" t="str">
        <f ca="1">IFERROR(__xludf.DUMMYFUNCTION("""COMPUTED_VALUE"""),"cílený mini videospot - max. 30 sec.")</f>
        <v>cílený mini videospot - max. 30 sec.</v>
      </c>
    </row>
    <row r="257" spans="1:47" x14ac:dyDescent="0.3">
      <c r="A257" s="3">
        <f ca="1"/>
        <v>2346826</v>
      </c>
      <c r="B257" s="3" t="str">
        <f ca="1"/>
        <v>CZECH NEWS CENTER a. s.</v>
      </c>
      <c r="C257" s="3" t="str">
        <f ca="1">IFERROR(__xludf.DUMMYFUNCTION("""COMPUTED_VALUE"""),"CNC auto moto pack")</f>
        <v>CNC auto moto pack</v>
      </c>
      <c r="D257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7" s="3" t="str">
        <f ca="1">IFERROR(__xludf.DUMMYFUNCTION("""COMPUTED_VALUE"""),"celý web")</f>
        <v>celý web</v>
      </c>
      <c r="F257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7" s="3" t="str">
        <f ca="1">IFERROR(__xludf.DUMMYFUNCTION("""COMPUTED_VALUE"""),"cílený mobilní interscroller high season")</f>
        <v>cílený mobilní interscroller high season</v>
      </c>
      <c r="H257" s="3">
        <f ca="1">IFERROR(__xludf.DUMMYFUNCTION("""COMPUTED_VALUE"""),7)</f>
        <v>7</v>
      </c>
      <c r="I257" s="5">
        <f ca="1">IFERROR(__xludf.DUMMYFUNCTION("""COMPUTED_VALUE"""),1000)</f>
        <v>1000</v>
      </c>
      <c r="J257" s="5">
        <f ca="1">IFERROR(__xludf.DUMMYFUNCTION("""COMPUTED_VALUE"""),432)</f>
        <v>432</v>
      </c>
      <c r="K257" s="3"/>
      <c r="L257" s="3" t="str">
        <f ca="1">IFERROR(__xludf.DUMMYFUNCTION("""COMPUTED_VALUE"""),"Cost per period")</f>
        <v>Cost per period</v>
      </c>
      <c r="M257" s="3"/>
      <c r="N257" s="3"/>
      <c r="O257" s="3" t="str">
        <f ca="1">IFERROR(__xludf.DUMMYFUNCTION("""COMPUTED_VALUE"""),"600")</f>
        <v>600</v>
      </c>
      <c r="P257" s="3" t="str">
        <f ca="1">IFERROR(__xludf.DUMMYFUNCTION("""COMPUTED_VALUE"""),"1080")</f>
        <v>1080</v>
      </c>
      <c r="Q257" s="3" t="str">
        <f ca="1">IFERROR(__xludf.DUMMYFUNCTION("""COMPUTED_VALUE"""),"600x1080")</f>
        <v>600x1080</v>
      </c>
      <c r="R257" s="3"/>
      <c r="S257" s="3" t="str">
        <f ca="1">IFERROR(__xludf.DUMMYFUNCTION("""COMPUTED_VALUE"""),"200")</f>
        <v>200</v>
      </c>
      <c r="T257" s="3"/>
      <c r="U257" s="3" t="str">
        <f ca="1">IFERROR(__xludf.DUMMYFUNCTION("""COMPUTED_VALUE"""),"banner standard")</f>
        <v>banner standard</v>
      </c>
      <c r="V257" s="3"/>
      <c r="W257" s="4" t="str">
        <f ca="1">IFERROR(__xludf.DUMMYFUNCTION("""COMPUTED_VALUE"""),"https://reklama.cncenter.cz/Online/mobilni-interscroller")</f>
        <v>https://reklama.cncenter.cz/Online/mobilni-interscroller</v>
      </c>
      <c r="X257" s="3"/>
      <c r="Y257" s="3"/>
      <c r="Z257" s="3" t="str">
        <f ca="1">IFERROR(__xludf.DUMMYFUNCTION("""COMPUTED_VALUE"""),"podklady@cncenter.cz")</f>
        <v>podklady@cncenter.cz</v>
      </c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 t="str">
        <f ca="1">IFERROR(__xludf.DUMMYFUNCTION("""COMPUTED_VALUE"""),"mobile")</f>
        <v>mobile</v>
      </c>
      <c r="AO257" s="3"/>
      <c r="AP257" s="3"/>
      <c r="AQ257" s="3"/>
      <c r="AR257" s="3"/>
      <c r="AS257" s="3"/>
      <c r="AT257" s="3"/>
      <c r="AU257" s="3" t="str">
        <f ca="1">IFERROR(__xludf.DUMMYFUNCTION("""COMPUTED_VALUE"""),"cílený mobilní interscroller")</f>
        <v>cílený mobilní interscroller</v>
      </c>
    </row>
    <row r="258" spans="1:47" x14ac:dyDescent="0.3">
      <c r="A258" s="3">
        <f ca="1"/>
        <v>2346826</v>
      </c>
      <c r="B258" s="3" t="str">
        <f ca="1"/>
        <v>CZECH NEWS CENTER a. s.</v>
      </c>
      <c r="C258" s="3" t="str">
        <f ca="1">IFERROR(__xludf.DUMMYFUNCTION("""COMPUTED_VALUE"""),"CNC auto moto pack")</f>
        <v>CNC auto moto pack</v>
      </c>
      <c r="D258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8" s="3" t="str">
        <f ca="1">IFERROR(__xludf.DUMMYFUNCTION("""COMPUTED_VALUE"""),"celý web")</f>
        <v>celý web</v>
      </c>
      <c r="F258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8" s="3" t="str">
        <f ca="1">IFERROR(__xludf.DUMMYFUNCTION("""COMPUTED_VALUE"""),"cílený mobilní slide-up high season")</f>
        <v>cílený mobilní slide-up high season</v>
      </c>
      <c r="H258" s="3">
        <f ca="1">IFERROR(__xludf.DUMMYFUNCTION("""COMPUTED_VALUE"""),7)</f>
        <v>7</v>
      </c>
      <c r="I258" s="5">
        <f ca="1">IFERROR(__xludf.DUMMYFUNCTION("""COMPUTED_VALUE"""),1000)</f>
        <v>1000</v>
      </c>
      <c r="J258" s="5">
        <f ca="1">IFERROR(__xludf.DUMMYFUNCTION("""COMPUTED_VALUE"""),864)</f>
        <v>864</v>
      </c>
      <c r="K258" s="3"/>
      <c r="L258" s="3" t="str">
        <f ca="1">IFERROR(__xludf.DUMMYFUNCTION("""COMPUTED_VALUE"""),"Cost per period")</f>
        <v>Cost per period</v>
      </c>
      <c r="M258" s="3"/>
      <c r="N258" s="3"/>
      <c r="O258" s="3" t="str">
        <f ca="1">IFERROR(__xludf.DUMMYFUNCTION("""COMPUTED_VALUE"""),"300")</f>
        <v>300</v>
      </c>
      <c r="P258" s="3" t="str">
        <f ca="1">IFERROR(__xludf.DUMMYFUNCTION("""COMPUTED_VALUE"""),"120")</f>
        <v>120</v>
      </c>
      <c r="Q258" s="3" t="str">
        <f ca="1">IFERROR(__xludf.DUMMYFUNCTION("""COMPUTED_VALUE"""),"300x120")</f>
        <v>300x120</v>
      </c>
      <c r="R258" s="3"/>
      <c r="S258" s="3" t="str">
        <f ca="1">IFERROR(__xludf.DUMMYFUNCTION("""COMPUTED_VALUE"""),"100")</f>
        <v>100</v>
      </c>
      <c r="T258" s="3"/>
      <c r="U258" s="3" t="str">
        <f ca="1">IFERROR(__xludf.DUMMYFUNCTION("""COMPUTED_VALUE"""),"banner standard")</f>
        <v>banner standard</v>
      </c>
      <c r="V258" s="3"/>
      <c r="W258" s="4" t="str">
        <f ca="1">IFERROR(__xludf.DUMMYFUNCTION("""COMPUTED_VALUE"""),"https://reklama.cncenter.cz/Online/mobilni-slide-up")</f>
        <v>https://reklama.cncenter.cz/Online/mobilni-slide-up</v>
      </c>
      <c r="X258" s="3"/>
      <c r="Y258" s="3"/>
      <c r="Z258" s="3" t="str">
        <f ca="1">IFERROR(__xludf.DUMMYFUNCTION("""COMPUTED_VALUE"""),"podklady@cncenter.cz")</f>
        <v>podklady@cncenter.cz</v>
      </c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 t="str">
        <f ca="1">IFERROR(__xludf.DUMMYFUNCTION("""COMPUTED_VALUE"""),"mobile")</f>
        <v>mobile</v>
      </c>
      <c r="AO258" s="3"/>
      <c r="AP258" s="3"/>
      <c r="AQ258" s="3"/>
      <c r="AR258" s="3"/>
      <c r="AS258" s="3"/>
      <c r="AT258" s="3"/>
      <c r="AU258" s="3" t="str">
        <f ca="1">IFERROR(__xludf.DUMMYFUNCTION("""COMPUTED_VALUE"""),"cílený mobilní slide-up")</f>
        <v>cílený mobilní slide-up</v>
      </c>
    </row>
    <row r="259" spans="1:47" x14ac:dyDescent="0.3">
      <c r="A259" s="3">
        <f ca="1"/>
        <v>2346826</v>
      </c>
      <c r="B259" s="3" t="str">
        <f ca="1"/>
        <v>CZECH NEWS CENTER a. s.</v>
      </c>
      <c r="C259" s="3" t="str">
        <f ca="1">IFERROR(__xludf.DUMMYFUNCTION("""COMPUTED_VALUE"""),"CNC auto moto pack")</f>
        <v>CNC auto moto pack</v>
      </c>
      <c r="D259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59" s="3" t="str">
        <f ca="1">IFERROR(__xludf.DUMMYFUNCTION("""COMPUTED_VALUE"""),"celý web")</f>
        <v>celý web</v>
      </c>
      <c r="F259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59" s="3" t="str">
        <f ca="1">IFERROR(__xludf.DUMMYFUNCTION("""COMPUTED_VALUE"""),"cílený mobilní viněta high season")</f>
        <v>cílený mobilní viněta high season</v>
      </c>
      <c r="H259" s="3">
        <f ca="1">IFERROR(__xludf.DUMMYFUNCTION("""COMPUTED_VALUE"""),7)</f>
        <v>7</v>
      </c>
      <c r="I259" s="5">
        <f ca="1">IFERROR(__xludf.DUMMYFUNCTION("""COMPUTED_VALUE"""),1000)</f>
        <v>1000</v>
      </c>
      <c r="J259" s="5">
        <f ca="1">IFERROR(__xludf.DUMMYFUNCTION("""COMPUTED_VALUE"""),1212)</f>
        <v>1212</v>
      </c>
      <c r="K259" s="3"/>
      <c r="L259" s="3" t="str">
        <f ca="1">IFERROR(__xludf.DUMMYFUNCTION("""COMPUTED_VALUE"""),"Cost per period")</f>
        <v>Cost per period</v>
      </c>
      <c r="M259" s="3"/>
      <c r="N259" s="3"/>
      <c r="O259" s="3" t="str">
        <f ca="1">IFERROR(__xludf.DUMMYFUNCTION("""COMPUTED_VALUE"""),"600")</f>
        <v>600</v>
      </c>
      <c r="P259" s="3" t="str">
        <f ca="1">IFERROR(__xludf.DUMMYFUNCTION("""COMPUTED_VALUE"""),"800")</f>
        <v>800</v>
      </c>
      <c r="Q259" s="3" t="str">
        <f ca="1">IFERROR(__xludf.DUMMYFUNCTION("""COMPUTED_VALUE"""),"300x250 nebo 600x800")</f>
        <v>300x250 nebo 600x800</v>
      </c>
      <c r="R259" s="3"/>
      <c r="S259" s="3" t="str">
        <f ca="1">IFERROR(__xludf.DUMMYFUNCTION("""COMPUTED_VALUE"""),"100")</f>
        <v>100</v>
      </c>
      <c r="T259" s="3"/>
      <c r="U259" s="3" t="str">
        <f ca="1">IFERROR(__xludf.DUMMYFUNCTION("""COMPUTED_VALUE"""),"banner standard")</f>
        <v>banner standard</v>
      </c>
      <c r="V259" s="3"/>
      <c r="W259" s="4" t="str">
        <f ca="1">IFERROR(__xludf.DUMMYFUNCTION("""COMPUTED_VALUE"""),"https://reklama.cncenter.cz/Online/mobilni-vineta")</f>
        <v>https://reklama.cncenter.cz/Online/mobilni-vineta</v>
      </c>
      <c r="X259" s="3"/>
      <c r="Y259" s="3"/>
      <c r="Z259" s="3" t="str">
        <f ca="1">IFERROR(__xludf.DUMMYFUNCTION("""COMPUTED_VALUE"""),"podklady@cncenter.cz")</f>
        <v>podklady@cncenter.cz</v>
      </c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 t="str">
        <f ca="1">IFERROR(__xludf.DUMMYFUNCTION("""COMPUTED_VALUE"""),"mobile")</f>
        <v>mobile</v>
      </c>
      <c r="AO259" s="3"/>
      <c r="AP259" s="3"/>
      <c r="AQ259" s="3"/>
      <c r="AR259" s="3"/>
      <c r="AS259" s="3"/>
      <c r="AT259" s="3"/>
      <c r="AU259" s="3" t="str">
        <f ca="1">IFERROR(__xludf.DUMMYFUNCTION("""COMPUTED_VALUE"""),"cílený mobilní viněta")</f>
        <v>cílený mobilní viněta</v>
      </c>
    </row>
    <row r="260" spans="1:47" x14ac:dyDescent="0.3">
      <c r="A260" s="3">
        <f ca="1"/>
        <v>2346826</v>
      </c>
      <c r="B260" s="3" t="str">
        <f ca="1"/>
        <v>CZECH NEWS CENTER a. s.</v>
      </c>
      <c r="C260" s="3" t="str">
        <f ca="1">IFERROR(__xludf.DUMMYFUNCTION("""COMPUTED_VALUE"""),"CNC auto moto pack")</f>
        <v>CNC auto moto pack</v>
      </c>
      <c r="D260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0" s="3" t="str">
        <f ca="1">IFERROR(__xludf.DUMMYFUNCTION("""COMPUTED_VALUE"""),"celý web")</f>
        <v>celý web</v>
      </c>
      <c r="F260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0" s="3" t="str">
        <f ca="1">IFERROR(__xludf.DUMMYFUNCTION("""COMPUTED_VALUE"""),"cílený nativní rectangle cross-device high season")</f>
        <v>cílený nativní rectangle cross-device high season</v>
      </c>
      <c r="H260" s="3">
        <f ca="1">IFERROR(__xludf.DUMMYFUNCTION("""COMPUTED_VALUE"""),7)</f>
        <v>7</v>
      </c>
      <c r="I260" s="5">
        <f ca="1">IFERROR(__xludf.DUMMYFUNCTION("""COMPUTED_VALUE"""),1000)</f>
        <v>1000</v>
      </c>
      <c r="J260" s="5">
        <f ca="1">IFERROR(__xludf.DUMMYFUNCTION("""COMPUTED_VALUE"""),324)</f>
        <v>324</v>
      </c>
      <c r="K260" s="3"/>
      <c r="L260" s="3" t="str">
        <f ca="1">IFERROR(__xludf.DUMMYFUNCTION("""COMPUTED_VALUE"""),"Cost per period")</f>
        <v>Cost per period</v>
      </c>
      <c r="M260" s="3"/>
      <c r="N260" s="3"/>
      <c r="O260" s="3" t="str">
        <f ca="1">IFERROR(__xludf.DUMMYFUNCTION("""COMPUTED_VALUE"""),"640")</f>
        <v>640</v>
      </c>
      <c r="P260" s="3" t="str">
        <f ca="1">IFERROR(__xludf.DUMMYFUNCTION("""COMPUTED_VALUE"""),"335, 640")</f>
        <v>335, 640</v>
      </c>
      <c r="Q260" s="3" t="str">
        <f ca="1">IFERROR(__xludf.DUMMYFUNCTION("""COMPUTED_VALUE"""),"640x640 a 640x335 + text + logo")</f>
        <v>640x640 a 640x335 + text + logo</v>
      </c>
      <c r="R260" s="3"/>
      <c r="S260" s="3" t="str">
        <f ca="1">IFERROR(__xludf.DUMMYFUNCTION("""COMPUTED_VALUE"""),"45")</f>
        <v>45</v>
      </c>
      <c r="T260" s="3"/>
      <c r="U260" s="3" t="str">
        <f ca="1">IFERROR(__xludf.DUMMYFUNCTION("""COMPUTED_VALUE"""),"nativní reklama")</f>
        <v>nativní reklama</v>
      </c>
      <c r="V260" s="3"/>
      <c r="W260" s="4" t="str">
        <f ca="1">IFERROR(__xludf.DUMMYFUNCTION("""COMPUTED_VALUE"""),"https://reklama.cncenter.cz/Online/nativni-rectangle-cross-device")</f>
        <v>https://reklama.cncenter.cz/Online/nativni-rectangle-cross-device</v>
      </c>
      <c r="X260" s="3"/>
      <c r="Y260" s="3"/>
      <c r="Z260" s="3" t="str">
        <f ca="1">IFERROR(__xludf.DUMMYFUNCTION("""COMPUTED_VALUE"""),"podklady@cncenter.cz")</f>
        <v>podklady@cncenter.cz</v>
      </c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 t="str">
        <f ca="1">IFERROR(__xludf.DUMMYFUNCTION("""COMPUTED_VALUE"""),"cross-device")</f>
        <v>cross-device</v>
      </c>
      <c r="AO260" s="3"/>
      <c r="AP260" s="3"/>
      <c r="AQ260" s="3"/>
      <c r="AR260" s="3"/>
      <c r="AS260" s="3"/>
      <c r="AT260" s="3"/>
      <c r="AU260" s="3" t="str">
        <f ca="1">IFERROR(__xludf.DUMMYFUNCTION("""COMPUTED_VALUE"""),"cílený nativní rectangle cross-device")</f>
        <v>cílený nativní rectangle cross-device</v>
      </c>
    </row>
    <row r="261" spans="1:47" x14ac:dyDescent="0.3">
      <c r="A261" s="3">
        <f ca="1"/>
        <v>2346826</v>
      </c>
      <c r="B261" s="3" t="str">
        <f ca="1"/>
        <v>CZECH NEWS CENTER a. s.</v>
      </c>
      <c r="C261" s="3" t="str">
        <f ca="1">IFERROR(__xludf.DUMMYFUNCTION("""COMPUTED_VALUE"""),"CNC auto moto pack")</f>
        <v>CNC auto moto pack</v>
      </c>
      <c r="D261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1" s="3" t="str">
        <f ca="1">IFERROR(__xludf.DUMMYFUNCTION("""COMPUTED_VALUE"""),"celý web")</f>
        <v>celý web</v>
      </c>
      <c r="F261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1" s="3" t="str">
        <f ca="1">IFERROR(__xludf.DUMMYFUNCTION("""COMPUTED_VALUE"""),"cílený outstream high season")</f>
        <v>cílený outstream high season</v>
      </c>
      <c r="H261" s="3">
        <f ca="1">IFERROR(__xludf.DUMMYFUNCTION("""COMPUTED_VALUE"""),7)</f>
        <v>7</v>
      </c>
      <c r="I261" s="5">
        <f ca="1">IFERROR(__xludf.DUMMYFUNCTION("""COMPUTED_VALUE"""),1000)</f>
        <v>1000</v>
      </c>
      <c r="J261" s="5">
        <f ca="1">IFERROR(__xludf.DUMMYFUNCTION("""COMPUTED_VALUE"""),504)</f>
        <v>504</v>
      </c>
      <c r="K261" s="3"/>
      <c r="L261" s="3" t="str">
        <f ca="1">IFERROR(__xludf.DUMMYFUNCTION("""COMPUTED_VALUE"""),"Cost per period")</f>
        <v>Cost per period</v>
      </c>
      <c r="M261" s="3"/>
      <c r="N261" s="3"/>
      <c r="O261" s="3" t="str">
        <f ca="1">IFERROR(__xludf.DUMMYFUNCTION("""COMPUTED_VALUE"""),"1280")</f>
        <v>1280</v>
      </c>
      <c r="P261" s="3" t="str">
        <f ca="1">IFERROR(__xludf.DUMMYFUNCTION("""COMPUTED_VALUE"""),"720")</f>
        <v>720</v>
      </c>
      <c r="Q261" s="3" t="str">
        <f ca="1">IFERROR(__xludf.DUMMYFUNCTION("""COMPUTED_VALUE"""),"16:9")</f>
        <v>16:9</v>
      </c>
      <c r="R261" s="3"/>
      <c r="S261" s="3" t="str">
        <f ca="1">IFERROR(__xludf.DUMMYFUNCTION("""COMPUTED_VALUE"""),"100")</f>
        <v>100</v>
      </c>
      <c r="T261" s="3"/>
      <c r="U261" s="3" t="str">
        <f ca="1">IFERROR(__xludf.DUMMYFUNCTION("""COMPUTED_VALUE"""),"videospot")</f>
        <v>videospot</v>
      </c>
      <c r="V261" s="3"/>
      <c r="W261" s="4" t="str">
        <f ca="1">IFERROR(__xludf.DUMMYFUNCTION("""COMPUTED_VALUE"""),"https://reklama.cncenter.cz/Online/Outstream")</f>
        <v>https://reklama.cncenter.cz/Online/Outstream</v>
      </c>
      <c r="X261" s="3"/>
      <c r="Y261" s="3"/>
      <c r="Z261" s="3" t="str">
        <f ca="1">IFERROR(__xludf.DUMMYFUNCTION("""COMPUTED_VALUE"""),"podklady@cncenter.cz")</f>
        <v>podklady@cncenter.cz</v>
      </c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 t="str">
        <f ca="1">IFERROR(__xludf.DUMMYFUNCTION("""COMPUTED_VALUE"""),"cross-device")</f>
        <v>cross-device</v>
      </c>
      <c r="AO261" s="3"/>
      <c r="AP261" s="3"/>
      <c r="AQ261" s="3"/>
      <c r="AR261" s="3"/>
      <c r="AS261" s="3"/>
      <c r="AT261" s="3"/>
      <c r="AU261" s="3" t="str">
        <f ca="1">IFERROR(__xludf.DUMMYFUNCTION("""COMPUTED_VALUE"""),"cílený outstream")</f>
        <v>cílený outstream</v>
      </c>
    </row>
    <row r="262" spans="1:47" x14ac:dyDescent="0.3">
      <c r="A262" s="3">
        <f ca="1"/>
        <v>2346826</v>
      </c>
      <c r="B262" s="3" t="str">
        <f ca="1"/>
        <v>CZECH NEWS CENTER a. s.</v>
      </c>
      <c r="C262" s="3" t="str">
        <f ca="1">IFERROR(__xludf.DUMMYFUNCTION("""COMPUTED_VALUE"""),"CNC auto moto pack")</f>
        <v>CNC auto moto pack</v>
      </c>
      <c r="D262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2" s="3" t="str">
        <f ca="1">IFERROR(__xludf.DUMMYFUNCTION("""COMPUTED_VALUE"""),"celý web")</f>
        <v>celý web</v>
      </c>
      <c r="F262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2" s="3" t="str">
        <f ca="1">IFERROR(__xludf.DUMMYFUNCTION("""COMPUTED_VALUE"""),"cílený Smarticle high season")</f>
        <v>cílený Smarticle high season</v>
      </c>
      <c r="H262" s="3">
        <f ca="1">IFERROR(__xludf.DUMMYFUNCTION("""COMPUTED_VALUE"""),7)</f>
        <v>7</v>
      </c>
      <c r="I262" s="5">
        <f ca="1">IFERROR(__xludf.DUMMYFUNCTION("""COMPUTED_VALUE"""),1000)</f>
        <v>1000</v>
      </c>
      <c r="J262" s="5">
        <f ca="1">IFERROR(__xludf.DUMMYFUNCTION("""COMPUTED_VALUE"""),240)</f>
        <v>240</v>
      </c>
      <c r="K262" s="3"/>
      <c r="L262" s="3" t="str">
        <f ca="1">IFERROR(__xludf.DUMMYFUNCTION("""COMPUTED_VALUE"""),"Cost per period")</f>
        <v>Cost per period</v>
      </c>
      <c r="M262" s="3"/>
      <c r="N262" s="3" t="str">
        <f ca="1">IFERROR(__xludf.DUMMYFUNCTION("""COMPUTED_VALUE"""),"A4")</f>
        <v>A4</v>
      </c>
      <c r="O262" s="3"/>
      <c r="P262" s="3"/>
      <c r="Q262" s="3" t="str">
        <f ca="1">IFERROR(__xludf.DUMMYFUNCTION("""COMPUTED_VALUE"""),"viz. tech.specifikace; HP + sekce")</f>
        <v>viz. tech.specifikace; HP + sekce</v>
      </c>
      <c r="R262" s="3" t="str">
        <f ca="1">IFERROR(__xludf.DUMMYFUNCTION("""COMPUTED_VALUE"""),"HP + sekce")</f>
        <v>HP + sekce</v>
      </c>
      <c r="S262" s="3" t="str">
        <f ca="1">IFERROR(__xludf.DUMMYFUNCTION("""COMPUTED_VALUE"""),"100")</f>
        <v>100</v>
      </c>
      <c r="T262" s="3"/>
      <c r="U262" s="3" t="str">
        <f ca="1">IFERROR(__xludf.DUMMYFUNCTION("""COMPUTED_VALUE"""),"pr článek")</f>
        <v>pr článek</v>
      </c>
      <c r="V262" s="3"/>
      <c r="W262" s="4" t="str">
        <f ca="1">IFERROR(__xludf.DUMMYFUNCTION("""COMPUTED_VALUE"""),"https://reklama.cncenter.cz/Online/Smarticle")</f>
        <v>https://reklama.cncenter.cz/Online/Smarticle</v>
      </c>
      <c r="X262" s="3"/>
      <c r="Y262" s="3"/>
      <c r="Z262" s="3" t="str">
        <f ca="1">IFERROR(__xludf.DUMMYFUNCTION("""COMPUTED_VALUE"""),"podklady@cncenter.cz")</f>
        <v>podklady@cncenter.cz</v>
      </c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 t="str">
        <f ca="1">IFERROR(__xludf.DUMMYFUNCTION("""COMPUTED_VALUE"""),"cross-device")</f>
        <v>cross-device</v>
      </c>
      <c r="AO262" s="3"/>
      <c r="AP262" s="3"/>
      <c r="AQ262" s="3"/>
      <c r="AR262" s="3"/>
      <c r="AS262" s="3"/>
      <c r="AT262" s="3"/>
      <c r="AU262" s="3" t="str">
        <f ca="1">IFERROR(__xludf.DUMMYFUNCTION("""COMPUTED_VALUE"""),"cílený Smarticle")</f>
        <v>cílený Smarticle</v>
      </c>
    </row>
    <row r="263" spans="1:47" x14ac:dyDescent="0.3">
      <c r="A263" s="3">
        <f ca="1"/>
        <v>2346826</v>
      </c>
      <c r="B263" s="3" t="str">
        <f ca="1"/>
        <v>CZECH NEWS CENTER a. s.</v>
      </c>
      <c r="C263" s="3" t="str">
        <f ca="1">IFERROR(__xludf.DUMMYFUNCTION("""COMPUTED_VALUE"""),"CNC auto moto pack")</f>
        <v>CNC auto moto pack</v>
      </c>
      <c r="D263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3" s="3" t="str">
        <f ca="1">IFERROR(__xludf.DUMMYFUNCTION("""COMPUTED_VALUE"""),"celý web")</f>
        <v>celý web</v>
      </c>
      <c r="F263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3" s="3" t="str">
        <f ca="1">IFERROR(__xludf.DUMMYFUNCTION("""COMPUTED_VALUE"""),"cílený videospot - max. 30 sec. / bumper high season")</f>
        <v>cílený videospot - max. 30 sec. / bumper high season</v>
      </c>
      <c r="H263" s="3">
        <f ca="1">IFERROR(__xludf.DUMMYFUNCTION("""COMPUTED_VALUE"""),7)</f>
        <v>7</v>
      </c>
      <c r="I263" s="5">
        <f ca="1">IFERROR(__xludf.DUMMYFUNCTION("""COMPUTED_VALUE"""),1000)</f>
        <v>1000</v>
      </c>
      <c r="J263" s="5">
        <f ca="1">IFERROR(__xludf.DUMMYFUNCTION("""COMPUTED_VALUE"""),1476)</f>
        <v>1476</v>
      </c>
      <c r="K263" s="3"/>
      <c r="L263" s="3" t="str">
        <f ca="1">IFERROR(__xludf.DUMMYFUNCTION("""COMPUTED_VALUE"""),"Cost per period")</f>
        <v>Cost per period</v>
      </c>
      <c r="M263" s="3"/>
      <c r="N263" s="3"/>
      <c r="O263" s="3" t="str">
        <f ca="1">IFERROR(__xludf.DUMMYFUNCTION("""COMPUTED_VALUE"""),"1280")</f>
        <v>1280</v>
      </c>
      <c r="P263" s="3" t="str">
        <f ca="1">IFERROR(__xludf.DUMMYFUNCTION("""COMPUTED_VALUE"""),"720")</f>
        <v>720</v>
      </c>
      <c r="Q263" s="3" t="str">
        <f ca="1">IFERROR(__xludf.DUMMYFUNCTION("""COMPUTED_VALUE"""),"16:9 / umístění po domluvě dle možností")</f>
        <v>16:9 / umístění po domluvě dle možností</v>
      </c>
      <c r="R263" s="3" t="str">
        <f ca="1">IFERROR(__xludf.DUMMYFUNCTION("""COMPUTED_VALUE"""),"přeskočení po 7 sekundách")</f>
        <v>přeskočení po 7 sekundách</v>
      </c>
      <c r="S263" s="3" t="str">
        <f ca="1">IFERROR(__xludf.DUMMYFUNCTION("""COMPUTED_VALUE"""),"100")</f>
        <v>100</v>
      </c>
      <c r="T263" s="3"/>
      <c r="U263" s="3" t="str">
        <f ca="1">IFERROR(__xludf.DUMMYFUNCTION("""COMPUTED_VALUE"""),"videospot")</f>
        <v>videospot</v>
      </c>
      <c r="V263" s="3"/>
      <c r="W263" s="4" t="str">
        <f ca="1">IFERROR(__xludf.DUMMYFUNCTION("""COMPUTED_VALUE"""),"https://reklama.cncenter.cz/Online/Bumper")</f>
        <v>https://reklama.cncenter.cz/Online/Bumper</v>
      </c>
      <c r="X263" s="3"/>
      <c r="Y263" s="3"/>
      <c r="Z263" s="3" t="str">
        <f ca="1">IFERROR(__xludf.DUMMYFUNCTION("""COMPUTED_VALUE"""),"podklady@cncenter.cz")</f>
        <v>podklady@cncenter.cz</v>
      </c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 t="str">
        <f ca="1">IFERROR(__xludf.DUMMYFUNCTION("""COMPUTED_VALUE"""),"cross-device")</f>
        <v>cross-device</v>
      </c>
      <c r="AO263" s="3"/>
      <c r="AP263" s="3"/>
      <c r="AQ263" s="3"/>
      <c r="AR263" s="3"/>
      <c r="AS263" s="3"/>
      <c r="AT263" s="3"/>
      <c r="AU263" s="3" t="str">
        <f ca="1">IFERROR(__xludf.DUMMYFUNCTION("""COMPUTED_VALUE"""),"cílený videospot - max. 30 sec. / bumper")</f>
        <v>cílený videospot - max. 30 sec. / bumper</v>
      </c>
    </row>
    <row r="264" spans="1:47" x14ac:dyDescent="0.3">
      <c r="A264" s="3">
        <f ca="1"/>
        <v>2346826</v>
      </c>
      <c r="B264" s="3" t="str">
        <f ca="1"/>
        <v>CZECH NEWS CENTER a. s.</v>
      </c>
      <c r="C264" s="3" t="str">
        <f ca="1">IFERROR(__xludf.DUMMYFUNCTION("""COMPUTED_VALUE"""),"CNC auto moto pack")</f>
        <v>CNC auto moto pack</v>
      </c>
      <c r="D264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4" s="3" t="str">
        <f ca="1">IFERROR(__xludf.DUMMYFUNCTION("""COMPUTED_VALUE"""),"celý web")</f>
        <v>celý web</v>
      </c>
      <c r="F264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4" s="3" t="str">
        <f ca="1">IFERROR(__xludf.DUMMYFUNCTION("""COMPUTED_VALUE"""),"double skyscraper high season")</f>
        <v>double skyscraper high season</v>
      </c>
      <c r="H264" s="3">
        <f ca="1">IFERROR(__xludf.DUMMYFUNCTION("""COMPUTED_VALUE"""),7)</f>
        <v>7</v>
      </c>
      <c r="I264" s="5">
        <f ca="1">IFERROR(__xludf.DUMMYFUNCTION("""COMPUTED_VALUE"""),1000)</f>
        <v>1000</v>
      </c>
      <c r="J264" s="5">
        <f ca="1">IFERROR(__xludf.DUMMYFUNCTION("""COMPUTED_VALUE"""),270)</f>
        <v>270</v>
      </c>
      <c r="K264" s="3"/>
      <c r="L264" s="3" t="str">
        <f ca="1">IFERROR(__xludf.DUMMYFUNCTION("""COMPUTED_VALUE"""),"Cost per period")</f>
        <v>Cost per period</v>
      </c>
      <c r="M264" s="3"/>
      <c r="N264" s="3"/>
      <c r="O264" s="3" t="str">
        <f ca="1">IFERROR(__xludf.DUMMYFUNCTION("""COMPUTED_VALUE"""),"300")</f>
        <v>300</v>
      </c>
      <c r="P264" s="3" t="str">
        <f ca="1">IFERROR(__xludf.DUMMYFUNCTION("""COMPUTED_VALUE"""),"600")</f>
        <v>600</v>
      </c>
      <c r="Q264" s="3" t="str">
        <f ca="1">IFERROR(__xludf.DUMMYFUNCTION("""COMPUTED_VALUE"""),"300x600")</f>
        <v>300x600</v>
      </c>
      <c r="R264" s="3"/>
      <c r="S264" s="3" t="str">
        <f ca="1">IFERROR(__xludf.DUMMYFUNCTION("""COMPUTED_VALUE"""),"100 (200 - HTML5)")</f>
        <v>100 (200 - HTML5)</v>
      </c>
      <c r="T264" s="3"/>
      <c r="U264" s="3" t="str">
        <f ca="1">IFERROR(__xludf.DUMMYFUNCTION("""COMPUTED_VALUE"""),"banner standard")</f>
        <v>banner standard</v>
      </c>
      <c r="V264" s="3"/>
      <c r="W264" s="4" t="str">
        <f ca="1">IFERROR(__xludf.DUMMYFUNCTION("""COMPUTED_VALUE"""),"https://reklama.cncenter.cz/Online/double-skyscraper")</f>
        <v>https://reklama.cncenter.cz/Online/double-skyscraper</v>
      </c>
      <c r="X264" s="3"/>
      <c r="Y264" s="3"/>
      <c r="Z264" s="3" t="str">
        <f ca="1">IFERROR(__xludf.DUMMYFUNCTION("""COMPUTED_VALUE"""),"podklady@cncenter.cz")</f>
        <v>podklady@cncenter.cz</v>
      </c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 t="str">
        <f ca="1">IFERROR(__xludf.DUMMYFUNCTION("""COMPUTED_VALUE"""),"desktop")</f>
        <v>desktop</v>
      </c>
      <c r="AO264" s="3"/>
      <c r="AP264" s="3"/>
      <c r="AQ264" s="3"/>
      <c r="AR264" s="3"/>
      <c r="AS264" s="3"/>
      <c r="AT264" s="3"/>
      <c r="AU264" s="3" t="str">
        <f ca="1">IFERROR(__xludf.DUMMYFUNCTION("""COMPUTED_VALUE"""),"double skyscraper")</f>
        <v>double skyscraper</v>
      </c>
    </row>
    <row r="265" spans="1:47" x14ac:dyDescent="0.3">
      <c r="A265" s="3">
        <f ca="1"/>
        <v>2346826</v>
      </c>
      <c r="B265" s="3" t="str">
        <f ca="1"/>
        <v>CZECH NEWS CENTER a. s.</v>
      </c>
      <c r="C265" s="3" t="str">
        <f ca="1">IFERROR(__xludf.DUMMYFUNCTION("""COMPUTED_VALUE"""),"CNC auto moto pack")</f>
        <v>CNC auto moto pack</v>
      </c>
      <c r="D265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5" s="3" t="str">
        <f ca="1">IFERROR(__xludf.DUMMYFUNCTION("""COMPUTED_VALUE"""),"celý web")</f>
        <v>celý web</v>
      </c>
      <c r="F265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5" s="3" t="str">
        <f ca="1">IFERROR(__xludf.DUMMYFUNCTION("""COMPUTED_VALUE"""),"mini videospot - max. 30 sec. high season")</f>
        <v>mini videospot - max. 30 sec. high season</v>
      </c>
      <c r="H265" s="3">
        <f ca="1">IFERROR(__xludf.DUMMYFUNCTION("""COMPUTED_VALUE"""),7)</f>
        <v>7</v>
      </c>
      <c r="I265" s="5">
        <f ca="1">IFERROR(__xludf.DUMMYFUNCTION("""COMPUTED_VALUE"""),1000)</f>
        <v>1000</v>
      </c>
      <c r="J265" s="5">
        <f ca="1">IFERROR(__xludf.DUMMYFUNCTION("""COMPUTED_VALUE"""),270)</f>
        <v>270</v>
      </c>
      <c r="K265" s="3"/>
      <c r="L265" s="3" t="str">
        <f ca="1">IFERROR(__xludf.DUMMYFUNCTION("""COMPUTED_VALUE"""),"Cost per period")</f>
        <v>Cost per period</v>
      </c>
      <c r="M265" s="3"/>
      <c r="N265" s="3"/>
      <c r="O265" s="3"/>
      <c r="P265" s="3"/>
      <c r="Q265" s="3" t="str">
        <f ca="1">IFERROR(__xludf.DUMMYFUNCTION("""COMPUTED_VALUE"""),"16:9 / umístění po domluvě dle možností")</f>
        <v>16:9 / umístění po domluvě dle možností</v>
      </c>
      <c r="R265" s="3" t="str">
        <f ca="1">IFERROR(__xludf.DUMMYFUNCTION("""COMPUTED_VALUE"""),"přeskočení po 7 sekundách")</f>
        <v>přeskočení po 7 sekundách</v>
      </c>
      <c r="S265" s="3" t="str">
        <f ca="1">IFERROR(__xludf.DUMMYFUNCTION("""COMPUTED_VALUE"""),"100")</f>
        <v>100</v>
      </c>
      <c r="T265" s="3"/>
      <c r="U265" s="3" t="str">
        <f ca="1">IFERROR(__xludf.DUMMYFUNCTION("""COMPUTED_VALUE"""),"videospot")</f>
        <v>videospot</v>
      </c>
      <c r="V265" s="3"/>
      <c r="W265" s="4" t="str">
        <f ca="1">IFERROR(__xludf.DUMMYFUNCTION("""COMPUTED_VALUE"""),"https://reklama.cncenter.cz/Online/Videospot")</f>
        <v>https://reklama.cncenter.cz/Online/Videospot</v>
      </c>
      <c r="X265" s="3"/>
      <c r="Y265" s="3"/>
      <c r="Z265" s="3" t="str">
        <f ca="1">IFERROR(__xludf.DUMMYFUNCTION("""COMPUTED_VALUE"""),"podklady@cncenter.cz")</f>
        <v>podklady@cncenter.cz</v>
      </c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 t="str">
        <f ca="1">IFERROR(__xludf.DUMMYFUNCTION("""COMPUTED_VALUE"""),"desktop")</f>
        <v>desktop</v>
      </c>
      <c r="AO265" s="3"/>
      <c r="AP265" s="3"/>
      <c r="AQ265" s="3"/>
      <c r="AR265" s="3"/>
      <c r="AS265" s="3"/>
      <c r="AT265" s="3"/>
      <c r="AU265" s="3" t="str">
        <f ca="1">IFERROR(__xludf.DUMMYFUNCTION("""COMPUTED_VALUE"""),"mini videospot - max. 30 sec.")</f>
        <v>mini videospot - max. 30 sec.</v>
      </c>
    </row>
    <row r="266" spans="1:47" x14ac:dyDescent="0.3">
      <c r="A266" s="3">
        <f ca="1"/>
        <v>2346826</v>
      </c>
      <c r="B266" s="3" t="str">
        <f ca="1"/>
        <v>CZECH NEWS CENTER a. s.</v>
      </c>
      <c r="C266" s="3" t="str">
        <f ca="1">IFERROR(__xludf.DUMMYFUNCTION("""COMPUTED_VALUE"""),"CNC auto moto pack")</f>
        <v>CNC auto moto pack</v>
      </c>
      <c r="D266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6" s="3" t="str">
        <f ca="1">IFERROR(__xludf.DUMMYFUNCTION("""COMPUTED_VALUE"""),"celý web")</f>
        <v>celý web</v>
      </c>
      <c r="F266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6" s="3" t="str">
        <f ca="1">IFERROR(__xludf.DUMMYFUNCTION("""COMPUTED_VALUE"""),"mobilní interscroller high season")</f>
        <v>mobilní interscroller high season</v>
      </c>
      <c r="H266" s="3">
        <f ca="1">IFERROR(__xludf.DUMMYFUNCTION("""COMPUTED_VALUE"""),7)</f>
        <v>7</v>
      </c>
      <c r="I266" s="5">
        <f ca="1">IFERROR(__xludf.DUMMYFUNCTION("""COMPUTED_VALUE"""),1000)</f>
        <v>1000</v>
      </c>
      <c r="J266" s="5">
        <f ca="1">IFERROR(__xludf.DUMMYFUNCTION("""COMPUTED_VALUE"""),360)</f>
        <v>360</v>
      </c>
      <c r="K266" s="3"/>
      <c r="L266" s="3" t="str">
        <f ca="1">IFERROR(__xludf.DUMMYFUNCTION("""COMPUTED_VALUE"""),"Cost per period")</f>
        <v>Cost per period</v>
      </c>
      <c r="M266" s="3"/>
      <c r="N266" s="3"/>
      <c r="O266" s="3" t="str">
        <f ca="1">IFERROR(__xludf.DUMMYFUNCTION("""COMPUTED_VALUE"""),"600")</f>
        <v>600</v>
      </c>
      <c r="P266" s="3" t="str">
        <f ca="1">IFERROR(__xludf.DUMMYFUNCTION("""COMPUTED_VALUE"""),"1080")</f>
        <v>1080</v>
      </c>
      <c r="Q266" s="3" t="str">
        <f ca="1">IFERROR(__xludf.DUMMYFUNCTION("""COMPUTED_VALUE"""),"600x1080")</f>
        <v>600x1080</v>
      </c>
      <c r="R266" s="3"/>
      <c r="S266" s="3" t="str">
        <f ca="1">IFERROR(__xludf.DUMMYFUNCTION("""COMPUTED_VALUE"""),"200")</f>
        <v>200</v>
      </c>
      <c r="T266" s="3"/>
      <c r="U266" s="3" t="str">
        <f ca="1">IFERROR(__xludf.DUMMYFUNCTION("""COMPUTED_VALUE"""),"banner standard")</f>
        <v>banner standard</v>
      </c>
      <c r="V266" s="3"/>
      <c r="W266" s="4" t="str">
        <f ca="1">IFERROR(__xludf.DUMMYFUNCTION("""COMPUTED_VALUE"""),"https://reklama.cncenter.cz/Online/mobilni-interscroller")</f>
        <v>https://reklama.cncenter.cz/Online/mobilni-interscroller</v>
      </c>
      <c r="X266" s="3"/>
      <c r="Y266" s="3"/>
      <c r="Z266" s="3" t="str">
        <f ca="1">IFERROR(__xludf.DUMMYFUNCTION("""COMPUTED_VALUE"""),"podklady@cncenter.cz")</f>
        <v>podklady@cncenter.cz</v>
      </c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 t="str">
        <f ca="1">IFERROR(__xludf.DUMMYFUNCTION("""COMPUTED_VALUE"""),"mobile")</f>
        <v>mobile</v>
      </c>
      <c r="AO266" s="3"/>
      <c r="AP266" s="3"/>
      <c r="AQ266" s="3"/>
      <c r="AR266" s="3"/>
      <c r="AS266" s="3"/>
      <c r="AT266" s="3"/>
      <c r="AU266" s="3" t="str">
        <f ca="1">IFERROR(__xludf.DUMMYFUNCTION("""COMPUTED_VALUE"""),"mobilní interscroller")</f>
        <v>mobilní interscroller</v>
      </c>
    </row>
    <row r="267" spans="1:47" x14ac:dyDescent="0.3">
      <c r="A267" s="3">
        <f ca="1"/>
        <v>2346826</v>
      </c>
      <c r="B267" s="3" t="str">
        <f ca="1"/>
        <v>CZECH NEWS CENTER a. s.</v>
      </c>
      <c r="C267" s="3" t="str">
        <f ca="1">IFERROR(__xludf.DUMMYFUNCTION("""COMPUTED_VALUE"""),"CNC auto moto pack")</f>
        <v>CNC auto moto pack</v>
      </c>
      <c r="D267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7" s="3" t="str">
        <f ca="1">IFERROR(__xludf.DUMMYFUNCTION("""COMPUTED_VALUE"""),"celý web")</f>
        <v>celý web</v>
      </c>
      <c r="F267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7" s="3" t="str">
        <f ca="1">IFERROR(__xludf.DUMMYFUNCTION("""COMPUTED_VALUE"""),"mobilní slide-up high season")</f>
        <v>mobilní slide-up high season</v>
      </c>
      <c r="H267" s="3">
        <f ca="1">IFERROR(__xludf.DUMMYFUNCTION("""COMPUTED_VALUE"""),7)</f>
        <v>7</v>
      </c>
      <c r="I267" s="5">
        <f ca="1">IFERROR(__xludf.DUMMYFUNCTION("""COMPUTED_VALUE"""),1000)</f>
        <v>1000</v>
      </c>
      <c r="J267" s="5">
        <f ca="1">IFERROR(__xludf.DUMMYFUNCTION("""COMPUTED_VALUE"""),720)</f>
        <v>720</v>
      </c>
      <c r="K267" s="3"/>
      <c r="L267" s="3" t="str">
        <f ca="1">IFERROR(__xludf.DUMMYFUNCTION("""COMPUTED_VALUE"""),"Cost per period")</f>
        <v>Cost per period</v>
      </c>
      <c r="M267" s="3"/>
      <c r="N267" s="3"/>
      <c r="O267" s="3" t="str">
        <f ca="1">IFERROR(__xludf.DUMMYFUNCTION("""COMPUTED_VALUE"""),"300")</f>
        <v>300</v>
      </c>
      <c r="P267" s="3" t="str">
        <f ca="1">IFERROR(__xludf.DUMMYFUNCTION("""COMPUTED_VALUE"""),"120")</f>
        <v>120</v>
      </c>
      <c r="Q267" s="3" t="str">
        <f ca="1">IFERROR(__xludf.DUMMYFUNCTION("""COMPUTED_VALUE"""),"300x120")</f>
        <v>300x120</v>
      </c>
      <c r="R267" s="3"/>
      <c r="S267" s="3" t="str">
        <f ca="1">IFERROR(__xludf.DUMMYFUNCTION("""COMPUTED_VALUE"""),"100")</f>
        <v>100</v>
      </c>
      <c r="T267" s="3"/>
      <c r="U267" s="3" t="str">
        <f ca="1">IFERROR(__xludf.DUMMYFUNCTION("""COMPUTED_VALUE"""),"banner standard")</f>
        <v>banner standard</v>
      </c>
      <c r="V267" s="3"/>
      <c r="W267" s="4" t="str">
        <f ca="1">IFERROR(__xludf.DUMMYFUNCTION("""COMPUTED_VALUE"""),"https://reklama.cncenter.cz/Online/mobilni-slide-up")</f>
        <v>https://reklama.cncenter.cz/Online/mobilni-slide-up</v>
      </c>
      <c r="X267" s="3"/>
      <c r="Y267" s="3"/>
      <c r="Z267" s="3" t="str">
        <f ca="1">IFERROR(__xludf.DUMMYFUNCTION("""COMPUTED_VALUE"""),"podklady@cncenter.cz")</f>
        <v>podklady@cncenter.cz</v>
      </c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 t="str">
        <f ca="1">IFERROR(__xludf.DUMMYFUNCTION("""COMPUTED_VALUE"""),"mobile")</f>
        <v>mobile</v>
      </c>
      <c r="AO267" s="3"/>
      <c r="AP267" s="3"/>
      <c r="AQ267" s="3"/>
      <c r="AR267" s="3"/>
      <c r="AS267" s="3"/>
      <c r="AT267" s="3"/>
      <c r="AU267" s="3" t="str">
        <f ca="1">IFERROR(__xludf.DUMMYFUNCTION("""COMPUTED_VALUE"""),"mobilní slide-up")</f>
        <v>mobilní slide-up</v>
      </c>
    </row>
    <row r="268" spans="1:47" x14ac:dyDescent="0.3">
      <c r="A268" s="3">
        <f ca="1"/>
        <v>2346826</v>
      </c>
      <c r="B268" s="3" t="str">
        <f ca="1"/>
        <v>CZECH NEWS CENTER a. s.</v>
      </c>
      <c r="C268" s="3" t="str">
        <f ca="1">IFERROR(__xludf.DUMMYFUNCTION("""COMPUTED_VALUE"""),"CNC auto moto pack")</f>
        <v>CNC auto moto pack</v>
      </c>
      <c r="D268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8" s="3" t="str">
        <f ca="1">IFERROR(__xludf.DUMMYFUNCTION("""COMPUTED_VALUE"""),"celý web")</f>
        <v>celý web</v>
      </c>
      <c r="F268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8" s="3" t="str">
        <f ca="1">IFERROR(__xludf.DUMMYFUNCTION("""COMPUTED_VALUE"""),"mobilní viněta high season")</f>
        <v>mobilní viněta high season</v>
      </c>
      <c r="H268" s="3">
        <f ca="1">IFERROR(__xludf.DUMMYFUNCTION("""COMPUTED_VALUE"""),7)</f>
        <v>7</v>
      </c>
      <c r="I268" s="5">
        <f ca="1">IFERROR(__xludf.DUMMYFUNCTION("""COMPUTED_VALUE"""),1000)</f>
        <v>1000</v>
      </c>
      <c r="J268" s="5">
        <f ca="1">IFERROR(__xludf.DUMMYFUNCTION("""COMPUTED_VALUE"""),1010)</f>
        <v>1010</v>
      </c>
      <c r="K268" s="3"/>
      <c r="L268" s="3" t="str">
        <f ca="1">IFERROR(__xludf.DUMMYFUNCTION("""COMPUTED_VALUE"""),"Cost per period")</f>
        <v>Cost per period</v>
      </c>
      <c r="M268" s="3"/>
      <c r="N268" s="3"/>
      <c r="O268" s="3" t="str">
        <f ca="1">IFERROR(__xludf.DUMMYFUNCTION("""COMPUTED_VALUE"""),"600")</f>
        <v>600</v>
      </c>
      <c r="P268" s="3" t="str">
        <f ca="1">IFERROR(__xludf.DUMMYFUNCTION("""COMPUTED_VALUE"""),"800")</f>
        <v>800</v>
      </c>
      <c r="Q268" s="3" t="str">
        <f ca="1">IFERROR(__xludf.DUMMYFUNCTION("""COMPUTED_VALUE"""),"300x250 nebo 600x800")</f>
        <v>300x250 nebo 600x800</v>
      </c>
      <c r="R268" s="3"/>
      <c r="S268" s="3" t="str">
        <f ca="1">IFERROR(__xludf.DUMMYFUNCTION("""COMPUTED_VALUE"""),"100")</f>
        <v>100</v>
      </c>
      <c r="T268" s="3"/>
      <c r="U268" s="3" t="str">
        <f ca="1">IFERROR(__xludf.DUMMYFUNCTION("""COMPUTED_VALUE"""),"banner standard")</f>
        <v>banner standard</v>
      </c>
      <c r="V268" s="3"/>
      <c r="W268" s="4" t="str">
        <f ca="1">IFERROR(__xludf.DUMMYFUNCTION("""COMPUTED_VALUE"""),"https://reklama.cncenter.cz/Online/mobilni-vineta")</f>
        <v>https://reklama.cncenter.cz/Online/mobilni-vineta</v>
      </c>
      <c r="X268" s="3"/>
      <c r="Y268" s="3"/>
      <c r="Z268" s="3" t="str">
        <f ca="1">IFERROR(__xludf.DUMMYFUNCTION("""COMPUTED_VALUE"""),"podklady@cncenter.cz")</f>
        <v>podklady@cncenter.cz</v>
      </c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 t="str">
        <f ca="1">IFERROR(__xludf.DUMMYFUNCTION("""COMPUTED_VALUE"""),"mobile")</f>
        <v>mobile</v>
      </c>
      <c r="AO268" s="3"/>
      <c r="AP268" s="3"/>
      <c r="AQ268" s="3"/>
      <c r="AR268" s="3"/>
      <c r="AS268" s="3"/>
      <c r="AT268" s="3"/>
      <c r="AU268" s="3" t="str">
        <f ca="1">IFERROR(__xludf.DUMMYFUNCTION("""COMPUTED_VALUE"""),"mobilní viněta")</f>
        <v>mobilní viněta</v>
      </c>
    </row>
    <row r="269" spans="1:47" x14ac:dyDescent="0.3">
      <c r="A269" s="3">
        <f ca="1"/>
        <v>2346826</v>
      </c>
      <c r="B269" s="3" t="str">
        <f ca="1"/>
        <v>CZECH NEWS CENTER a. s.</v>
      </c>
      <c r="C269" s="3" t="str">
        <f ca="1">IFERROR(__xludf.DUMMYFUNCTION("""COMPUTED_VALUE"""),"CNC auto moto pack")</f>
        <v>CNC auto moto pack</v>
      </c>
      <c r="D269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69" s="3" t="str">
        <f ca="1">IFERROR(__xludf.DUMMYFUNCTION("""COMPUTED_VALUE"""),"celý web")</f>
        <v>celý web</v>
      </c>
      <c r="F269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69" s="3" t="str">
        <f ca="1">IFERROR(__xludf.DUMMYFUNCTION("""COMPUTED_VALUE"""),"nativní rectangle cross-device high season")</f>
        <v>nativní rectangle cross-device high season</v>
      </c>
      <c r="H269" s="3">
        <f ca="1">IFERROR(__xludf.DUMMYFUNCTION("""COMPUTED_VALUE"""),7)</f>
        <v>7</v>
      </c>
      <c r="I269" s="5">
        <f ca="1">IFERROR(__xludf.DUMMYFUNCTION("""COMPUTED_VALUE"""),1000)</f>
        <v>1000</v>
      </c>
      <c r="J269" s="5">
        <f ca="1">IFERROR(__xludf.DUMMYFUNCTION("""COMPUTED_VALUE"""),270)</f>
        <v>270</v>
      </c>
      <c r="K269" s="3"/>
      <c r="L269" s="3" t="str">
        <f ca="1">IFERROR(__xludf.DUMMYFUNCTION("""COMPUTED_VALUE"""),"Cost per period")</f>
        <v>Cost per period</v>
      </c>
      <c r="M269" s="3"/>
      <c r="N269" s="3"/>
      <c r="O269" s="3" t="str">
        <f ca="1">IFERROR(__xludf.DUMMYFUNCTION("""COMPUTED_VALUE"""),"640")</f>
        <v>640</v>
      </c>
      <c r="P269" s="3" t="str">
        <f ca="1">IFERROR(__xludf.DUMMYFUNCTION("""COMPUTED_VALUE"""),"335, 640")</f>
        <v>335, 640</v>
      </c>
      <c r="Q269" s="3" t="str">
        <f ca="1">IFERROR(__xludf.DUMMYFUNCTION("""COMPUTED_VALUE"""),"640x640 a 640x335 + text + logo")</f>
        <v>640x640 a 640x335 + text + logo</v>
      </c>
      <c r="R269" s="3"/>
      <c r="S269" s="3" t="str">
        <f ca="1">IFERROR(__xludf.DUMMYFUNCTION("""COMPUTED_VALUE"""),"45")</f>
        <v>45</v>
      </c>
      <c r="T269" s="3"/>
      <c r="U269" s="3" t="str">
        <f ca="1">IFERROR(__xludf.DUMMYFUNCTION("""COMPUTED_VALUE"""),"nativní reklama")</f>
        <v>nativní reklama</v>
      </c>
      <c r="V269" s="3"/>
      <c r="W269" s="4" t="str">
        <f ca="1">IFERROR(__xludf.DUMMYFUNCTION("""COMPUTED_VALUE"""),"https://reklama.cncenter.cz/Online/nativni-rectangle-cross-device")</f>
        <v>https://reklama.cncenter.cz/Online/nativni-rectangle-cross-device</v>
      </c>
      <c r="X269" s="3"/>
      <c r="Y269" s="3"/>
      <c r="Z269" s="3" t="str">
        <f ca="1">IFERROR(__xludf.DUMMYFUNCTION("""COMPUTED_VALUE"""),"podklady@cncenter.cz")</f>
        <v>podklady@cncenter.cz</v>
      </c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 t="str">
        <f ca="1">IFERROR(__xludf.DUMMYFUNCTION("""COMPUTED_VALUE"""),"cross-device")</f>
        <v>cross-device</v>
      </c>
      <c r="AO269" s="3"/>
      <c r="AP269" s="3"/>
      <c r="AQ269" s="3"/>
      <c r="AR269" s="3"/>
      <c r="AS269" s="3"/>
      <c r="AT269" s="3"/>
      <c r="AU269" s="3" t="str">
        <f ca="1">IFERROR(__xludf.DUMMYFUNCTION("""COMPUTED_VALUE"""),"nativní rectangle cross-device")</f>
        <v>nativní rectangle cross-device</v>
      </c>
    </row>
    <row r="270" spans="1:47" x14ac:dyDescent="0.3">
      <c r="A270" s="3">
        <f ca="1"/>
        <v>2346826</v>
      </c>
      <c r="B270" s="3" t="str">
        <f ca="1"/>
        <v>CZECH NEWS CENTER a. s.</v>
      </c>
      <c r="C270" s="3" t="str">
        <f ca="1">IFERROR(__xludf.DUMMYFUNCTION("""COMPUTED_VALUE"""),"CNC auto moto pack")</f>
        <v>CNC auto moto pack</v>
      </c>
      <c r="D270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70" s="3" t="str">
        <f ca="1">IFERROR(__xludf.DUMMYFUNCTION("""COMPUTED_VALUE"""),"celý web")</f>
        <v>celý web</v>
      </c>
      <c r="F270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70" s="3" t="str">
        <f ca="1">IFERROR(__xludf.DUMMYFUNCTION("""COMPUTED_VALUE"""),"outstream high season")</f>
        <v>outstream high season</v>
      </c>
      <c r="H270" s="3">
        <f ca="1">IFERROR(__xludf.DUMMYFUNCTION("""COMPUTED_VALUE"""),7)</f>
        <v>7</v>
      </c>
      <c r="I270" s="5">
        <f ca="1">IFERROR(__xludf.DUMMYFUNCTION("""COMPUTED_VALUE"""),1000)</f>
        <v>1000</v>
      </c>
      <c r="J270" s="5">
        <f ca="1">IFERROR(__xludf.DUMMYFUNCTION("""COMPUTED_VALUE"""),420)</f>
        <v>420</v>
      </c>
      <c r="K270" s="3"/>
      <c r="L270" s="3" t="str">
        <f ca="1">IFERROR(__xludf.DUMMYFUNCTION("""COMPUTED_VALUE"""),"Cost per period")</f>
        <v>Cost per period</v>
      </c>
      <c r="M270" s="3"/>
      <c r="N270" s="3"/>
      <c r="O270" s="3" t="str">
        <f ca="1">IFERROR(__xludf.DUMMYFUNCTION("""COMPUTED_VALUE"""),"1280")</f>
        <v>1280</v>
      </c>
      <c r="P270" s="3" t="str">
        <f ca="1">IFERROR(__xludf.DUMMYFUNCTION("""COMPUTED_VALUE"""),"720")</f>
        <v>720</v>
      </c>
      <c r="Q270" s="3" t="str">
        <f ca="1">IFERROR(__xludf.DUMMYFUNCTION("""COMPUTED_VALUE"""),"16:9")</f>
        <v>16:9</v>
      </c>
      <c r="R270" s="3"/>
      <c r="S270" s="3" t="str">
        <f ca="1">IFERROR(__xludf.DUMMYFUNCTION("""COMPUTED_VALUE"""),"100")</f>
        <v>100</v>
      </c>
      <c r="T270" s="3"/>
      <c r="U270" s="3" t="str">
        <f ca="1">IFERROR(__xludf.DUMMYFUNCTION("""COMPUTED_VALUE"""),"videospot")</f>
        <v>videospot</v>
      </c>
      <c r="V270" s="3"/>
      <c r="W270" s="4" t="str">
        <f ca="1">IFERROR(__xludf.DUMMYFUNCTION("""COMPUTED_VALUE"""),"https://reklama.cncenter.cz/Online/Outstream")</f>
        <v>https://reklama.cncenter.cz/Online/Outstream</v>
      </c>
      <c r="X270" s="3"/>
      <c r="Y270" s="3"/>
      <c r="Z270" s="3" t="str">
        <f ca="1">IFERROR(__xludf.DUMMYFUNCTION("""COMPUTED_VALUE"""),"podklady@cncenter.cz")</f>
        <v>podklady@cncenter.cz</v>
      </c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 t="str">
        <f ca="1">IFERROR(__xludf.DUMMYFUNCTION("""COMPUTED_VALUE"""),"cross-device")</f>
        <v>cross-device</v>
      </c>
      <c r="AO270" s="3"/>
      <c r="AP270" s="3"/>
      <c r="AQ270" s="3"/>
      <c r="AR270" s="3"/>
      <c r="AS270" s="3"/>
      <c r="AT270" s="3"/>
      <c r="AU270" s="3" t="str">
        <f ca="1">IFERROR(__xludf.DUMMYFUNCTION("""COMPUTED_VALUE"""),"outstream")</f>
        <v>outstream</v>
      </c>
    </row>
    <row r="271" spans="1:47" x14ac:dyDescent="0.3">
      <c r="A271" s="3">
        <f ca="1"/>
        <v>2346826</v>
      </c>
      <c r="B271" s="3" t="str">
        <f ca="1"/>
        <v>CZECH NEWS CENTER a. s.</v>
      </c>
      <c r="C271" s="3" t="str">
        <f ca="1">IFERROR(__xludf.DUMMYFUNCTION("""COMPUTED_VALUE"""),"CNC auto moto pack")</f>
        <v>CNC auto moto pack</v>
      </c>
      <c r="D271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71" s="3" t="str">
        <f ca="1">IFERROR(__xludf.DUMMYFUNCTION("""COMPUTED_VALUE"""),"celý web")</f>
        <v>celý web</v>
      </c>
      <c r="F271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71" s="3" t="str">
        <f ca="1">IFERROR(__xludf.DUMMYFUNCTION("""COMPUTED_VALUE"""),"Smarticle high season")</f>
        <v>Smarticle high season</v>
      </c>
      <c r="H271" s="3">
        <f ca="1">IFERROR(__xludf.DUMMYFUNCTION("""COMPUTED_VALUE"""),7)</f>
        <v>7</v>
      </c>
      <c r="I271" s="5">
        <f ca="1">IFERROR(__xludf.DUMMYFUNCTION("""COMPUTED_VALUE"""),1000)</f>
        <v>1000</v>
      </c>
      <c r="J271" s="5">
        <f ca="1">IFERROR(__xludf.DUMMYFUNCTION("""COMPUTED_VALUE"""),200)</f>
        <v>200</v>
      </c>
      <c r="K271" s="3"/>
      <c r="L271" s="3" t="str">
        <f ca="1">IFERROR(__xludf.DUMMYFUNCTION("""COMPUTED_VALUE"""),"Cost per period")</f>
        <v>Cost per period</v>
      </c>
      <c r="M271" s="3"/>
      <c r="N271" s="3" t="str">
        <f ca="1">IFERROR(__xludf.DUMMYFUNCTION("""COMPUTED_VALUE"""),"A4")</f>
        <v>A4</v>
      </c>
      <c r="O271" s="3"/>
      <c r="P271" s="3"/>
      <c r="Q271" s="3" t="str">
        <f ca="1">IFERROR(__xludf.DUMMYFUNCTION("""COMPUTED_VALUE"""),"viz. tech.specifikace; HP + sekce")</f>
        <v>viz. tech.specifikace; HP + sekce</v>
      </c>
      <c r="R271" s="3" t="str">
        <f ca="1">IFERROR(__xludf.DUMMYFUNCTION("""COMPUTED_VALUE"""),"HP + sekce")</f>
        <v>HP + sekce</v>
      </c>
      <c r="S271" s="3" t="str">
        <f ca="1">IFERROR(__xludf.DUMMYFUNCTION("""COMPUTED_VALUE"""),"100")</f>
        <v>100</v>
      </c>
      <c r="T271" s="3"/>
      <c r="U271" s="3" t="str">
        <f ca="1">IFERROR(__xludf.DUMMYFUNCTION("""COMPUTED_VALUE"""),"pr článek")</f>
        <v>pr článek</v>
      </c>
      <c r="V271" s="3"/>
      <c r="W271" s="4" t="str">
        <f ca="1">IFERROR(__xludf.DUMMYFUNCTION("""COMPUTED_VALUE"""),"https://reklama.cncenter.cz/Online/Smarticle")</f>
        <v>https://reklama.cncenter.cz/Online/Smarticle</v>
      </c>
      <c r="X271" s="3"/>
      <c r="Y271" s="3"/>
      <c r="Z271" s="3" t="str">
        <f ca="1">IFERROR(__xludf.DUMMYFUNCTION("""COMPUTED_VALUE"""),"podklady@cncenter.cz")</f>
        <v>podklady@cncenter.cz</v>
      </c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 t="str">
        <f ca="1">IFERROR(__xludf.DUMMYFUNCTION("""COMPUTED_VALUE"""),"cross-device")</f>
        <v>cross-device</v>
      </c>
      <c r="AO271" s="3"/>
      <c r="AP271" s="3"/>
      <c r="AQ271" s="3"/>
      <c r="AR271" s="3"/>
      <c r="AS271" s="3"/>
      <c r="AT271" s="3"/>
      <c r="AU271" s="3" t="str">
        <f ca="1">IFERROR(__xludf.DUMMYFUNCTION("""COMPUTED_VALUE"""),"Smarticle")</f>
        <v>Smarticle</v>
      </c>
    </row>
    <row r="272" spans="1:47" x14ac:dyDescent="0.3">
      <c r="A272" s="3">
        <f ca="1"/>
        <v>2346826</v>
      </c>
      <c r="B272" s="3" t="str">
        <f ca="1"/>
        <v>CZECH NEWS CENTER a. s.</v>
      </c>
      <c r="C272" s="3" t="str">
        <f ca="1">IFERROR(__xludf.DUMMYFUNCTION("""COMPUTED_VALUE"""),"CNC auto moto pack")</f>
        <v>CNC auto moto pack</v>
      </c>
      <c r="D272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E272" s="3" t="str">
        <f ca="1">IFERROR(__xludf.DUMMYFUNCTION("""COMPUTED_VALUE"""),"celý web")</f>
        <v>celý web</v>
      </c>
      <c r="F272" s="3" t="str">
        <f ca="1">IFERROR(__xludf.DUMMYFUNCTION("""COMPUTED_VALUE"""),"https://auto.cz, https://f1sport.auto.cz, https://motogpsport.autorevue.cz, https://autorevue.cz")</f>
        <v>https://auto.cz, https://f1sport.auto.cz, https://motogpsport.autorevue.cz, https://autorevue.cz</v>
      </c>
      <c r="G272" s="3" t="str">
        <f ca="1">IFERROR(__xludf.DUMMYFUNCTION("""COMPUTED_VALUE"""),"videospot - max. 30 sec. / bumper high season")</f>
        <v>videospot - max. 30 sec. / bumper high season</v>
      </c>
      <c r="H272" s="3">
        <f ca="1">IFERROR(__xludf.DUMMYFUNCTION("""COMPUTED_VALUE"""),7)</f>
        <v>7</v>
      </c>
      <c r="I272" s="5">
        <f ca="1">IFERROR(__xludf.DUMMYFUNCTION("""COMPUTED_VALUE"""),1000)</f>
        <v>1000</v>
      </c>
      <c r="J272" s="5">
        <f ca="1">IFERROR(__xludf.DUMMYFUNCTION("""COMPUTED_VALUE"""),1230)</f>
        <v>1230</v>
      </c>
      <c r="K272" s="3"/>
      <c r="L272" s="3" t="str">
        <f ca="1">IFERROR(__xludf.DUMMYFUNCTION("""COMPUTED_VALUE"""),"Cost per period")</f>
        <v>Cost per period</v>
      </c>
      <c r="M272" s="3"/>
      <c r="N272" s="3"/>
      <c r="O272" s="3" t="str">
        <f ca="1">IFERROR(__xludf.DUMMYFUNCTION("""COMPUTED_VALUE"""),"1280")</f>
        <v>1280</v>
      </c>
      <c r="P272" s="3" t="str">
        <f ca="1">IFERROR(__xludf.DUMMYFUNCTION("""COMPUTED_VALUE"""),"720")</f>
        <v>720</v>
      </c>
      <c r="Q272" s="3" t="str">
        <f ca="1">IFERROR(__xludf.DUMMYFUNCTION("""COMPUTED_VALUE"""),"16:9 / umístění po domluvě dle možností")</f>
        <v>16:9 / umístění po domluvě dle možností</v>
      </c>
      <c r="R272" s="3" t="str">
        <f ca="1">IFERROR(__xludf.DUMMYFUNCTION("""COMPUTED_VALUE"""),"přeskočení po 7 sekundách")</f>
        <v>přeskočení po 7 sekundách</v>
      </c>
      <c r="S272" s="3" t="str">
        <f ca="1">IFERROR(__xludf.DUMMYFUNCTION("""COMPUTED_VALUE"""),"100")</f>
        <v>100</v>
      </c>
      <c r="T272" s="3"/>
      <c r="U272" s="3" t="str">
        <f ca="1">IFERROR(__xludf.DUMMYFUNCTION("""COMPUTED_VALUE"""),"videospot")</f>
        <v>videospot</v>
      </c>
      <c r="V272" s="3"/>
      <c r="W272" s="4" t="str">
        <f ca="1">IFERROR(__xludf.DUMMYFUNCTION("""COMPUTED_VALUE"""),"https://reklama.cncenter.cz/Online/Bumper")</f>
        <v>https://reklama.cncenter.cz/Online/Bumper</v>
      </c>
      <c r="X272" s="3"/>
      <c r="Y272" s="3"/>
      <c r="Z272" s="3" t="str">
        <f ca="1">IFERROR(__xludf.DUMMYFUNCTION("""COMPUTED_VALUE"""),"podklady@cncenter.cz")</f>
        <v>podklady@cncenter.cz</v>
      </c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 t="str">
        <f ca="1">IFERROR(__xludf.DUMMYFUNCTION("""COMPUTED_VALUE"""),"cross-device")</f>
        <v>cross-device</v>
      </c>
      <c r="AO272" s="3"/>
      <c r="AP272" s="3"/>
      <c r="AQ272" s="3"/>
      <c r="AR272" s="3"/>
      <c r="AS272" s="3"/>
      <c r="AT272" s="3"/>
      <c r="AU272" s="3" t="str">
        <f ca="1">IFERROR(__xludf.DUMMYFUNCTION("""COMPUTED_VALUE"""),"videospot - max. 30 sec. / bumper")</f>
        <v>videospot - max. 30 sec. / bumper</v>
      </c>
    </row>
    <row r="273" spans="1:47" x14ac:dyDescent="0.3">
      <c r="A273" s="3">
        <f ca="1"/>
        <v>2346826</v>
      </c>
      <c r="B273" s="3" t="str">
        <f ca="1"/>
        <v>CZECH NEWS CENTER a. s.</v>
      </c>
      <c r="C273" s="3" t="str">
        <f ca="1">IFERROR(__xludf.DUMMYFUNCTION("""COMPUTED_VALUE"""),"CNC floating")</f>
        <v>CNC floating</v>
      </c>
      <c r="D27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3" s="3" t="str">
        <f ca="1">IFERROR(__xludf.DUMMYFUNCTION("""COMPUTED_VALUE"""),"celý web")</f>
        <v>celý web</v>
      </c>
      <c r="F27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3" s="3" t="str">
        <f ca="1">IFERROR(__xludf.DUMMYFUNCTION("""COMPUTED_VALUE"""),"billboard bottom high season")</f>
        <v>billboard bottom high season</v>
      </c>
      <c r="H273" s="3">
        <f ca="1">IFERROR(__xludf.DUMMYFUNCTION("""COMPUTED_VALUE"""),7)</f>
        <v>7</v>
      </c>
      <c r="I273" s="5">
        <f ca="1">IFERROR(__xludf.DUMMYFUNCTION("""COMPUTED_VALUE"""),1000)</f>
        <v>1000</v>
      </c>
      <c r="J273" s="5">
        <f ca="1">IFERROR(__xludf.DUMMYFUNCTION("""COMPUTED_VALUE"""),330)</f>
        <v>330</v>
      </c>
      <c r="K273" s="3"/>
      <c r="L273" s="3" t="str">
        <f ca="1">IFERROR(__xludf.DUMMYFUNCTION("""COMPUTED_VALUE"""),"Cost per period")</f>
        <v>Cost per period</v>
      </c>
      <c r="M273" s="3"/>
      <c r="N273" s="3"/>
      <c r="O273" s="3" t="str">
        <f ca="1">IFERROR(__xludf.DUMMYFUNCTION("""COMPUTED_VALUE"""),"970")</f>
        <v>970</v>
      </c>
      <c r="P273" s="3" t="str">
        <f ca="1">IFERROR(__xludf.DUMMYFUNCTION("""COMPUTED_VALUE"""),"250")</f>
        <v>250</v>
      </c>
      <c r="Q273" s="3" t="str">
        <f ca="1">IFERROR(__xludf.DUMMYFUNCTION("""COMPUTED_VALUE"""),"970x250")</f>
        <v>970x250</v>
      </c>
      <c r="R273" s="3"/>
      <c r="S273" s="3" t="str">
        <f ca="1">IFERROR(__xludf.DUMMYFUNCTION("""COMPUTED_VALUE"""),"100 (200 - HTML5)")</f>
        <v>100 (200 - HTML5)</v>
      </c>
      <c r="T273" s="3"/>
      <c r="U273" s="3" t="str">
        <f ca="1">IFERROR(__xludf.DUMMYFUNCTION("""COMPUTED_VALUE"""),"banner standard")</f>
        <v>banner standard</v>
      </c>
      <c r="V273" s="3"/>
      <c r="W273" s="4" t="str">
        <f ca="1">IFERROR(__xludf.DUMMYFUNCTION("""COMPUTED_VALUE"""),"https://reklama.cncenter.cz/Online/billboard-bottom")</f>
        <v>https://reklama.cncenter.cz/Online/billboard-bottom</v>
      </c>
      <c r="X273" s="3"/>
      <c r="Y273" s="3"/>
      <c r="Z273" s="3" t="str">
        <f ca="1">IFERROR(__xludf.DUMMYFUNCTION("""COMPUTED_VALUE"""),"podklady@cncenter.cz")</f>
        <v>podklady@cncenter.cz</v>
      </c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 t="str">
        <f ca="1">IFERROR(__xludf.DUMMYFUNCTION("""COMPUTED_VALUE"""),"desktop")</f>
        <v>desktop</v>
      </c>
      <c r="AO273" s="3"/>
      <c r="AP273" s="3"/>
      <c r="AQ273" s="3"/>
      <c r="AR273" s="3"/>
      <c r="AS273" s="3"/>
      <c r="AT273" s="3"/>
      <c r="AU273" s="3" t="str">
        <f ca="1">IFERROR(__xludf.DUMMYFUNCTION("""COMPUTED_VALUE"""),"billboard bottom")</f>
        <v>billboard bottom</v>
      </c>
    </row>
    <row r="274" spans="1:47" x14ac:dyDescent="0.3">
      <c r="A274" s="3">
        <f ca="1"/>
        <v>2346826</v>
      </c>
      <c r="B274" s="3" t="str">
        <f ca="1"/>
        <v>CZECH NEWS CENTER a. s.</v>
      </c>
      <c r="C274" s="3" t="str">
        <f ca="1">IFERROR(__xludf.DUMMYFUNCTION("""COMPUTED_VALUE"""),"CNC floating")</f>
        <v>CNC floating</v>
      </c>
      <c r="D274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4" s="3" t="str">
        <f ca="1">IFERROR(__xludf.DUMMYFUNCTION("""COMPUTED_VALUE"""),"celý web")</f>
        <v>celý web</v>
      </c>
      <c r="F274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4" s="3" t="str">
        <f ca="1">IFERROR(__xludf.DUMMYFUNCTION("""COMPUTED_VALUE"""),"branding cross-device high season")</f>
        <v>branding cross-device high season</v>
      </c>
      <c r="H274" s="3">
        <f ca="1">IFERROR(__xludf.DUMMYFUNCTION("""COMPUTED_VALUE"""),7)</f>
        <v>7</v>
      </c>
      <c r="I274" s="5">
        <f ca="1">IFERROR(__xludf.DUMMYFUNCTION("""COMPUTED_VALUE"""),1000)</f>
        <v>1000</v>
      </c>
      <c r="J274" s="5">
        <f ca="1">IFERROR(__xludf.DUMMYFUNCTION("""COMPUTED_VALUE"""),420)</f>
        <v>420</v>
      </c>
      <c r="K274" s="3"/>
      <c r="L274" s="3" t="str">
        <f ca="1">IFERROR(__xludf.DUMMYFUNCTION("""COMPUTED_VALUE"""),"Cost per period")</f>
        <v>Cost per period</v>
      </c>
      <c r="M274" s="3"/>
      <c r="N274" s="3"/>
      <c r="O274" s="3" t="str">
        <f ca="1">IFERROR(__xludf.DUMMYFUNCTION("""COMPUTED_VALUE"""),"2000")</f>
        <v>2000</v>
      </c>
      <c r="P274" s="3" t="str">
        <f ca="1">IFERROR(__xludf.DUMMYFUNCTION("""COMPUTED_VALUE"""),"1400")</f>
        <v>1400</v>
      </c>
      <c r="Q274" s="3" t="str">
        <f ca="1">IFERROR(__xludf.DUMMYFUNCTION("""COMPUTED_VALUE"""),"2000x1400 + 600x1080")</f>
        <v>2000x1400 + 600x1080</v>
      </c>
      <c r="R274" s="3"/>
      <c r="S274" s="3" t="str">
        <f ca="1">IFERROR(__xludf.DUMMYFUNCTION("""COMPUTED_VALUE"""),"500 (600 - HTLM5)")</f>
        <v>500 (600 - HTLM5)</v>
      </c>
      <c r="T274" s="3"/>
      <c r="U274" s="3" t="str">
        <f ca="1">IFERROR(__xludf.DUMMYFUNCTION("""COMPUTED_VALUE"""),"banner standard")</f>
        <v>banner standard</v>
      </c>
      <c r="V274" s="3"/>
      <c r="W274" s="4" t="str">
        <f ca="1">IFERROR(__xludf.DUMMYFUNCTION("""COMPUTED_VALUE"""),"https://reklama.cncenter.cz/Online/branding-cross-device")</f>
        <v>https://reklama.cncenter.cz/Online/branding-cross-device</v>
      </c>
      <c r="X274" s="3"/>
      <c r="Y274" s="3"/>
      <c r="Z274" s="3" t="str">
        <f ca="1">IFERROR(__xludf.DUMMYFUNCTION("""COMPUTED_VALUE"""),"podklady@cncenter.cz")</f>
        <v>podklady@cncenter.cz</v>
      </c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 t="str">
        <f ca="1">IFERROR(__xludf.DUMMYFUNCTION("""COMPUTED_VALUE"""),"cross-device")</f>
        <v>cross-device</v>
      </c>
      <c r="AO274" s="3"/>
      <c r="AP274" s="3"/>
      <c r="AQ274" s="3"/>
      <c r="AR274" s="3"/>
      <c r="AS274" s="3"/>
      <c r="AT274" s="3"/>
      <c r="AU274" s="3" t="str">
        <f ca="1">IFERROR(__xludf.DUMMYFUNCTION("""COMPUTED_VALUE"""),"branding cross-device")</f>
        <v>branding cross-device</v>
      </c>
    </row>
    <row r="275" spans="1:47" x14ac:dyDescent="0.3">
      <c r="A275" s="3">
        <f ca="1"/>
        <v>2346826</v>
      </c>
      <c r="B275" s="3" t="str">
        <f ca="1"/>
        <v>CZECH NEWS CENTER a. s.</v>
      </c>
      <c r="C275" s="3" t="str">
        <f ca="1">IFERROR(__xludf.DUMMYFUNCTION("""COMPUTED_VALUE"""),"CNC floating")</f>
        <v>CNC floating</v>
      </c>
      <c r="D275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5" s="3" t="str">
        <f ca="1">IFERROR(__xludf.DUMMYFUNCTION("""COMPUTED_VALUE"""),"celý web")</f>
        <v>celý web</v>
      </c>
      <c r="F275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5" s="3" t="str">
        <f ca="1">IFERROR(__xludf.DUMMYFUNCTION("""COMPUTED_VALUE"""),"branding high season")</f>
        <v>branding high season</v>
      </c>
      <c r="H275" s="3">
        <f ca="1">IFERROR(__xludf.DUMMYFUNCTION("""COMPUTED_VALUE"""),7)</f>
        <v>7</v>
      </c>
      <c r="I275" s="5">
        <f ca="1">IFERROR(__xludf.DUMMYFUNCTION("""COMPUTED_VALUE"""),1000)</f>
        <v>1000</v>
      </c>
      <c r="J275" s="5">
        <f ca="1">IFERROR(__xludf.DUMMYFUNCTION("""COMPUTED_VALUE"""),610)</f>
        <v>610</v>
      </c>
      <c r="K275" s="3"/>
      <c r="L275" s="3" t="str">
        <f ca="1">IFERROR(__xludf.DUMMYFUNCTION("""COMPUTED_VALUE"""),"Cost per period")</f>
        <v>Cost per period</v>
      </c>
      <c r="M275" s="3"/>
      <c r="N275" s="3"/>
      <c r="O275" s="3" t="str">
        <f ca="1">IFERROR(__xludf.DUMMYFUNCTION("""COMPUTED_VALUE"""),"2000")</f>
        <v>2000</v>
      </c>
      <c r="P275" s="3" t="str">
        <f ca="1">IFERROR(__xludf.DUMMYFUNCTION("""COMPUTED_VALUE"""),"1400")</f>
        <v>1400</v>
      </c>
      <c r="Q275" s="3" t="str">
        <f ca="1">IFERROR(__xludf.DUMMYFUNCTION("""COMPUTED_VALUE"""),"2000x1400")</f>
        <v>2000x1400</v>
      </c>
      <c r="R275" s="3"/>
      <c r="S275" s="3" t="str">
        <f ca="1">IFERROR(__xludf.DUMMYFUNCTION("""COMPUTED_VALUE"""),"500 + 200 (600+200 HTML5)")</f>
        <v>500 + 200 (600+200 HTML5)</v>
      </c>
      <c r="T275" s="3"/>
      <c r="U275" s="3" t="str">
        <f ca="1">IFERROR(__xludf.DUMMYFUNCTION("""COMPUTED_VALUE"""),"banner standard")</f>
        <v>banner standard</v>
      </c>
      <c r="V275" s="3"/>
      <c r="W275" s="4" t="str">
        <f ca="1">IFERROR(__xludf.DUMMYFUNCTION("""COMPUTED_VALUE"""),"https://reklama.cncenter.cz/Online/branding")</f>
        <v>https://reklama.cncenter.cz/Online/branding</v>
      </c>
      <c r="X275" s="3"/>
      <c r="Y275" s="3"/>
      <c r="Z275" s="3" t="str">
        <f ca="1">IFERROR(__xludf.DUMMYFUNCTION("""COMPUTED_VALUE"""),"podklady@cncenter.cz")</f>
        <v>podklady@cncenter.cz</v>
      </c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 t="str">
        <f ca="1">IFERROR(__xludf.DUMMYFUNCTION("""COMPUTED_VALUE"""),"desktop")</f>
        <v>desktop</v>
      </c>
      <c r="AO275" s="3"/>
      <c r="AP275" s="3"/>
      <c r="AQ275" s="3"/>
      <c r="AR275" s="3"/>
      <c r="AS275" s="3"/>
      <c r="AT275" s="3"/>
      <c r="AU275" s="3" t="str">
        <f ca="1">IFERROR(__xludf.DUMMYFUNCTION("""COMPUTED_VALUE"""),"branding")</f>
        <v>branding</v>
      </c>
    </row>
    <row r="276" spans="1:47" x14ac:dyDescent="0.3">
      <c r="A276" s="3">
        <f ca="1"/>
        <v>2346826</v>
      </c>
      <c r="B276" s="3" t="str">
        <f ca="1"/>
        <v>CZECH NEWS CENTER a. s.</v>
      </c>
      <c r="C276" s="3" t="str">
        <f ca="1">IFERROR(__xludf.DUMMYFUNCTION("""COMPUTED_VALUE"""),"CNC floating")</f>
        <v>CNC floating</v>
      </c>
      <c r="D276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6" s="3" t="str">
        <f ca="1">IFERROR(__xludf.DUMMYFUNCTION("""COMPUTED_VALUE"""),"celý web")</f>
        <v>celý web</v>
      </c>
      <c r="F276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6" s="3" t="str">
        <f ca="1">IFERROR(__xludf.DUMMYFUNCTION("""COMPUTED_VALUE"""),"cílený billboard bottom high season")</f>
        <v>cílený billboard bottom high season</v>
      </c>
      <c r="H276" s="3">
        <f ca="1">IFERROR(__xludf.DUMMYFUNCTION("""COMPUTED_VALUE"""),7)</f>
        <v>7</v>
      </c>
      <c r="I276" s="5">
        <f ca="1">IFERROR(__xludf.DUMMYFUNCTION("""COMPUTED_VALUE"""),1000)</f>
        <v>1000</v>
      </c>
      <c r="J276" s="5">
        <f ca="1">IFERROR(__xludf.DUMMYFUNCTION("""COMPUTED_VALUE"""),396)</f>
        <v>396</v>
      </c>
      <c r="K276" s="3"/>
      <c r="L276" s="3" t="str">
        <f ca="1">IFERROR(__xludf.DUMMYFUNCTION("""COMPUTED_VALUE"""),"Cost per period")</f>
        <v>Cost per period</v>
      </c>
      <c r="M276" s="3"/>
      <c r="N276" s="3"/>
      <c r="O276" s="3" t="str">
        <f ca="1">IFERROR(__xludf.DUMMYFUNCTION("""COMPUTED_VALUE"""),"970")</f>
        <v>970</v>
      </c>
      <c r="P276" s="3" t="str">
        <f ca="1">IFERROR(__xludf.DUMMYFUNCTION("""COMPUTED_VALUE"""),"250")</f>
        <v>250</v>
      </c>
      <c r="Q276" s="3" t="str">
        <f ca="1">IFERROR(__xludf.DUMMYFUNCTION("""COMPUTED_VALUE"""),"970x250")</f>
        <v>970x250</v>
      </c>
      <c r="R276" s="3"/>
      <c r="S276" s="3" t="str">
        <f ca="1">IFERROR(__xludf.DUMMYFUNCTION("""COMPUTED_VALUE"""),"100 (200 - HTML5)")</f>
        <v>100 (200 - HTML5)</v>
      </c>
      <c r="T276" s="3"/>
      <c r="U276" s="3" t="str">
        <f ca="1">IFERROR(__xludf.DUMMYFUNCTION("""COMPUTED_VALUE"""),"banner standard")</f>
        <v>banner standard</v>
      </c>
      <c r="V276" s="3"/>
      <c r="W276" s="4" t="str">
        <f ca="1">IFERROR(__xludf.DUMMYFUNCTION("""COMPUTED_VALUE"""),"https://reklama.cncenter.cz/Online/billboard-bottom")</f>
        <v>https://reklama.cncenter.cz/Online/billboard-bottom</v>
      </c>
      <c r="X276" s="3"/>
      <c r="Y276" s="3"/>
      <c r="Z276" s="3" t="str">
        <f ca="1">IFERROR(__xludf.DUMMYFUNCTION("""COMPUTED_VALUE"""),"podklady@cncenter.cz")</f>
        <v>podklady@cncenter.cz</v>
      </c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 t="str">
        <f ca="1">IFERROR(__xludf.DUMMYFUNCTION("""COMPUTED_VALUE"""),"desktop")</f>
        <v>desktop</v>
      </c>
      <c r="AO276" s="3"/>
      <c r="AP276" s="3"/>
      <c r="AQ276" s="3"/>
      <c r="AR276" s="3"/>
      <c r="AS276" s="3"/>
      <c r="AT276" s="3"/>
      <c r="AU276" s="3" t="str">
        <f ca="1">IFERROR(__xludf.DUMMYFUNCTION("""COMPUTED_VALUE"""),"cílený billboard bottom")</f>
        <v>cílený billboard bottom</v>
      </c>
    </row>
    <row r="277" spans="1:47" x14ac:dyDescent="0.3">
      <c r="A277" s="3">
        <f ca="1"/>
        <v>2346826</v>
      </c>
      <c r="B277" s="3" t="str">
        <f ca="1"/>
        <v>CZECH NEWS CENTER a. s.</v>
      </c>
      <c r="C277" s="3" t="str">
        <f ca="1">IFERROR(__xludf.DUMMYFUNCTION("""COMPUTED_VALUE"""),"CNC floating")</f>
        <v>CNC floating</v>
      </c>
      <c r="D277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7" s="3" t="str">
        <f ca="1">IFERROR(__xludf.DUMMYFUNCTION("""COMPUTED_VALUE"""),"celý web")</f>
        <v>celý web</v>
      </c>
      <c r="F277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7" s="3" t="str">
        <f ca="1">IFERROR(__xludf.DUMMYFUNCTION("""COMPUTED_VALUE"""),"cílený branding cross-device high season")</f>
        <v>cílený branding cross-device high season</v>
      </c>
      <c r="H277" s="3">
        <f ca="1">IFERROR(__xludf.DUMMYFUNCTION("""COMPUTED_VALUE"""),7)</f>
        <v>7</v>
      </c>
      <c r="I277" s="5">
        <f ca="1">IFERROR(__xludf.DUMMYFUNCTION("""COMPUTED_VALUE"""),1000)</f>
        <v>1000</v>
      </c>
      <c r="J277" s="5">
        <f ca="1">IFERROR(__xludf.DUMMYFUNCTION("""COMPUTED_VALUE"""),504)</f>
        <v>504</v>
      </c>
      <c r="K277" s="3"/>
      <c r="L277" s="3" t="str">
        <f ca="1">IFERROR(__xludf.DUMMYFUNCTION("""COMPUTED_VALUE"""),"Cost per period")</f>
        <v>Cost per period</v>
      </c>
      <c r="M277" s="3"/>
      <c r="N277" s="3"/>
      <c r="O277" s="3" t="str">
        <f ca="1">IFERROR(__xludf.DUMMYFUNCTION("""COMPUTED_VALUE"""),"2000")</f>
        <v>2000</v>
      </c>
      <c r="P277" s="3" t="str">
        <f ca="1">IFERROR(__xludf.DUMMYFUNCTION("""COMPUTED_VALUE"""),"1400")</f>
        <v>1400</v>
      </c>
      <c r="Q277" s="3" t="str">
        <f ca="1">IFERROR(__xludf.DUMMYFUNCTION("""COMPUTED_VALUE"""),"2000x1400 + 600x1080")</f>
        <v>2000x1400 + 600x1080</v>
      </c>
      <c r="R277" s="3"/>
      <c r="S277" s="3" t="str">
        <f ca="1">IFERROR(__xludf.DUMMYFUNCTION("""COMPUTED_VALUE"""),"500 (600 - HTLM5)")</f>
        <v>500 (600 - HTLM5)</v>
      </c>
      <c r="T277" s="3"/>
      <c r="U277" s="3" t="str">
        <f ca="1">IFERROR(__xludf.DUMMYFUNCTION("""COMPUTED_VALUE"""),"banner standard")</f>
        <v>banner standard</v>
      </c>
      <c r="V277" s="3"/>
      <c r="W277" s="4" t="str">
        <f ca="1">IFERROR(__xludf.DUMMYFUNCTION("""COMPUTED_VALUE"""),"https://reklama.cncenter.cz/Online/branding-cross-device")</f>
        <v>https://reklama.cncenter.cz/Online/branding-cross-device</v>
      </c>
      <c r="X277" s="3"/>
      <c r="Y277" s="3"/>
      <c r="Z277" s="3" t="str">
        <f ca="1">IFERROR(__xludf.DUMMYFUNCTION("""COMPUTED_VALUE"""),"podklady@cncenter.cz")</f>
        <v>podklady@cncenter.cz</v>
      </c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 t="str">
        <f ca="1">IFERROR(__xludf.DUMMYFUNCTION("""COMPUTED_VALUE"""),"cross-device")</f>
        <v>cross-device</v>
      </c>
      <c r="AO277" s="3"/>
      <c r="AP277" s="3"/>
      <c r="AQ277" s="3"/>
      <c r="AR277" s="3"/>
      <c r="AS277" s="3"/>
      <c r="AT277" s="3"/>
      <c r="AU277" s="3" t="str">
        <f ca="1">IFERROR(__xludf.DUMMYFUNCTION("""COMPUTED_VALUE"""),"cílený branding cross-device")</f>
        <v>cílený branding cross-device</v>
      </c>
    </row>
    <row r="278" spans="1:47" x14ac:dyDescent="0.3">
      <c r="A278" s="3">
        <f ca="1"/>
        <v>2346826</v>
      </c>
      <c r="B278" s="3" t="str">
        <f ca="1"/>
        <v>CZECH NEWS CENTER a. s.</v>
      </c>
      <c r="C278" s="3" t="str">
        <f ca="1">IFERROR(__xludf.DUMMYFUNCTION("""COMPUTED_VALUE"""),"CNC floating")</f>
        <v>CNC floating</v>
      </c>
      <c r="D278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8" s="3" t="str">
        <f ca="1">IFERROR(__xludf.DUMMYFUNCTION("""COMPUTED_VALUE"""),"celý web")</f>
        <v>celý web</v>
      </c>
      <c r="F278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8" s="3" t="str">
        <f ca="1">IFERROR(__xludf.DUMMYFUNCTION("""COMPUTED_VALUE"""),"cílený branding high season")</f>
        <v>cílený branding high season</v>
      </c>
      <c r="H278" s="3">
        <f ca="1">IFERROR(__xludf.DUMMYFUNCTION("""COMPUTED_VALUE"""),7)</f>
        <v>7</v>
      </c>
      <c r="I278" s="5">
        <f ca="1">IFERROR(__xludf.DUMMYFUNCTION("""COMPUTED_VALUE"""),1000)</f>
        <v>1000</v>
      </c>
      <c r="J278" s="5">
        <f ca="1">IFERROR(__xludf.DUMMYFUNCTION("""COMPUTED_VALUE"""),732)</f>
        <v>732</v>
      </c>
      <c r="K278" s="3"/>
      <c r="L278" s="3" t="str">
        <f ca="1">IFERROR(__xludf.DUMMYFUNCTION("""COMPUTED_VALUE"""),"Cost per period")</f>
        <v>Cost per period</v>
      </c>
      <c r="M278" s="3"/>
      <c r="N278" s="3"/>
      <c r="O278" s="3" t="str">
        <f ca="1">IFERROR(__xludf.DUMMYFUNCTION("""COMPUTED_VALUE"""),"2000")</f>
        <v>2000</v>
      </c>
      <c r="P278" s="3" t="str">
        <f ca="1">IFERROR(__xludf.DUMMYFUNCTION("""COMPUTED_VALUE"""),"1400")</f>
        <v>1400</v>
      </c>
      <c r="Q278" s="3" t="str">
        <f ca="1">IFERROR(__xludf.DUMMYFUNCTION("""COMPUTED_VALUE"""),"2000x1400")</f>
        <v>2000x1400</v>
      </c>
      <c r="R278" s="3"/>
      <c r="S278" s="3" t="str">
        <f ca="1">IFERROR(__xludf.DUMMYFUNCTION("""COMPUTED_VALUE"""),"500 + 200 (600+200 HTML5)")</f>
        <v>500 + 200 (600+200 HTML5)</v>
      </c>
      <c r="T278" s="3"/>
      <c r="U278" s="3" t="str">
        <f ca="1">IFERROR(__xludf.DUMMYFUNCTION("""COMPUTED_VALUE"""),"banner standard")</f>
        <v>banner standard</v>
      </c>
      <c r="V278" s="3"/>
      <c r="W278" s="4" t="str">
        <f ca="1">IFERROR(__xludf.DUMMYFUNCTION("""COMPUTED_VALUE"""),"https://reklama.cncenter.cz/Online/branding")</f>
        <v>https://reklama.cncenter.cz/Online/branding</v>
      </c>
      <c r="X278" s="3"/>
      <c r="Y278" s="3"/>
      <c r="Z278" s="3" t="str">
        <f ca="1">IFERROR(__xludf.DUMMYFUNCTION("""COMPUTED_VALUE"""),"podklady@cncenter.cz")</f>
        <v>podklady@cncenter.cz</v>
      </c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 t="str">
        <f ca="1">IFERROR(__xludf.DUMMYFUNCTION("""COMPUTED_VALUE"""),"desktop")</f>
        <v>desktop</v>
      </c>
      <c r="AO278" s="3"/>
      <c r="AP278" s="3"/>
      <c r="AQ278" s="3"/>
      <c r="AR278" s="3"/>
      <c r="AS278" s="3"/>
      <c r="AT278" s="3"/>
      <c r="AU278" s="3" t="str">
        <f ca="1">IFERROR(__xludf.DUMMYFUNCTION("""COMPUTED_VALUE"""),"cílený branding")</f>
        <v>cílený branding</v>
      </c>
    </row>
    <row r="279" spans="1:47" x14ac:dyDescent="0.3">
      <c r="A279" s="3">
        <f ca="1"/>
        <v>2346826</v>
      </c>
      <c r="B279" s="3" t="str">
        <f ca="1"/>
        <v>CZECH NEWS CENTER a. s.</v>
      </c>
      <c r="C279" s="3" t="str">
        <f ca="1">IFERROR(__xludf.DUMMYFUNCTION("""COMPUTED_VALUE"""),"CNC floating")</f>
        <v>CNC floating</v>
      </c>
      <c r="D279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79" s="3" t="str">
        <f ca="1">IFERROR(__xludf.DUMMYFUNCTION("""COMPUTED_VALUE"""),"celý web")</f>
        <v>celý web</v>
      </c>
      <c r="F279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79" s="3" t="str">
        <f ca="1">IFERROR(__xludf.DUMMYFUNCTION("""COMPUTED_VALUE"""),"cílený double skyscraper high season")</f>
        <v>cílený double skyscraper high season</v>
      </c>
      <c r="H279" s="3">
        <f ca="1">IFERROR(__xludf.DUMMYFUNCTION("""COMPUTED_VALUE"""),7)</f>
        <v>7</v>
      </c>
      <c r="I279" s="5">
        <f ca="1">IFERROR(__xludf.DUMMYFUNCTION("""COMPUTED_VALUE"""),1000)</f>
        <v>1000</v>
      </c>
      <c r="J279" s="5">
        <f ca="1">IFERROR(__xludf.DUMMYFUNCTION("""COMPUTED_VALUE"""),300)</f>
        <v>300</v>
      </c>
      <c r="K279" s="3"/>
      <c r="L279" s="3" t="str">
        <f ca="1">IFERROR(__xludf.DUMMYFUNCTION("""COMPUTED_VALUE"""),"Cost per period")</f>
        <v>Cost per period</v>
      </c>
      <c r="M279" s="3"/>
      <c r="N279" s="3"/>
      <c r="O279" s="3" t="str">
        <f ca="1">IFERROR(__xludf.DUMMYFUNCTION("""COMPUTED_VALUE"""),"300")</f>
        <v>300</v>
      </c>
      <c r="P279" s="3" t="str">
        <f ca="1">IFERROR(__xludf.DUMMYFUNCTION("""COMPUTED_VALUE"""),"600")</f>
        <v>600</v>
      </c>
      <c r="Q279" s="3" t="str">
        <f ca="1">IFERROR(__xludf.DUMMYFUNCTION("""COMPUTED_VALUE"""),"300x600")</f>
        <v>300x600</v>
      </c>
      <c r="R279" s="3"/>
      <c r="S279" s="3" t="str">
        <f ca="1">IFERROR(__xludf.DUMMYFUNCTION("""COMPUTED_VALUE"""),"100 (200 - HTML5)")</f>
        <v>100 (200 - HTML5)</v>
      </c>
      <c r="T279" s="3"/>
      <c r="U279" s="3" t="str">
        <f ca="1">IFERROR(__xludf.DUMMYFUNCTION("""COMPUTED_VALUE"""),"banner standard")</f>
        <v>banner standard</v>
      </c>
      <c r="V279" s="3"/>
      <c r="W279" s="4" t="str">
        <f ca="1">IFERROR(__xludf.DUMMYFUNCTION("""COMPUTED_VALUE"""),"https://reklama.cncenter.cz/Online/double-skyscraper")</f>
        <v>https://reklama.cncenter.cz/Online/double-skyscraper</v>
      </c>
      <c r="X279" s="3"/>
      <c r="Y279" s="3"/>
      <c r="Z279" s="3" t="str">
        <f ca="1">IFERROR(__xludf.DUMMYFUNCTION("""COMPUTED_VALUE"""),"podklady@cncenter.cz")</f>
        <v>podklady@cncenter.cz</v>
      </c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 t="str">
        <f ca="1">IFERROR(__xludf.DUMMYFUNCTION("""COMPUTED_VALUE"""),"desktop")</f>
        <v>desktop</v>
      </c>
      <c r="AO279" s="3"/>
      <c r="AP279" s="3"/>
      <c r="AQ279" s="3"/>
      <c r="AR279" s="3"/>
      <c r="AS279" s="3"/>
      <c r="AT279" s="3"/>
      <c r="AU279" s="3" t="str">
        <f ca="1">IFERROR(__xludf.DUMMYFUNCTION("""COMPUTED_VALUE"""),"cílený double skyscraper")</f>
        <v>cílený double skyscraper</v>
      </c>
    </row>
    <row r="280" spans="1:47" x14ac:dyDescent="0.3">
      <c r="A280" s="3">
        <f ca="1"/>
        <v>2346826</v>
      </c>
      <c r="B280" s="3" t="str">
        <f ca="1"/>
        <v>CZECH NEWS CENTER a. s.</v>
      </c>
      <c r="C280" s="3" t="str">
        <f ca="1">IFERROR(__xludf.DUMMYFUNCTION("""COMPUTED_VALUE"""),"CNC floating")</f>
        <v>CNC floating</v>
      </c>
      <c r="D280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0" s="3" t="str">
        <f ca="1">IFERROR(__xludf.DUMMYFUNCTION("""COMPUTED_VALUE"""),"celý web")</f>
        <v>celý web</v>
      </c>
      <c r="F280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0" s="3" t="str">
        <f ca="1">IFERROR(__xludf.DUMMYFUNCTION("""COMPUTED_VALUE"""),"cílený mini videospot - max. 30 sec. high season")</f>
        <v>cílený mini videospot - max. 30 sec. high season</v>
      </c>
      <c r="H280" s="3">
        <f ca="1">IFERROR(__xludf.DUMMYFUNCTION("""COMPUTED_VALUE"""),7)</f>
        <v>7</v>
      </c>
      <c r="I280" s="5">
        <f ca="1">IFERROR(__xludf.DUMMYFUNCTION("""COMPUTED_VALUE"""),1000)</f>
        <v>1000</v>
      </c>
      <c r="J280" s="5">
        <f ca="1">IFERROR(__xludf.DUMMYFUNCTION("""COMPUTED_VALUE"""),276)</f>
        <v>276</v>
      </c>
      <c r="K280" s="3"/>
      <c r="L280" s="3" t="str">
        <f ca="1">IFERROR(__xludf.DUMMYFUNCTION("""COMPUTED_VALUE"""),"Cost per period")</f>
        <v>Cost per period</v>
      </c>
      <c r="M280" s="3"/>
      <c r="N280" s="3"/>
      <c r="O280" s="3"/>
      <c r="P280" s="3"/>
      <c r="Q280" s="3" t="str">
        <f ca="1">IFERROR(__xludf.DUMMYFUNCTION("""COMPUTED_VALUE"""),"16:9 / umístění po domluvě dle možností")</f>
        <v>16:9 / umístění po domluvě dle možností</v>
      </c>
      <c r="R280" s="3" t="str">
        <f ca="1">IFERROR(__xludf.DUMMYFUNCTION("""COMPUTED_VALUE"""),"přeskočení po 7 sekundách")</f>
        <v>přeskočení po 7 sekundách</v>
      </c>
      <c r="S280" s="3" t="str">
        <f ca="1">IFERROR(__xludf.DUMMYFUNCTION("""COMPUTED_VALUE"""),"100")</f>
        <v>100</v>
      </c>
      <c r="T280" s="3"/>
      <c r="U280" s="3" t="str">
        <f ca="1">IFERROR(__xludf.DUMMYFUNCTION("""COMPUTED_VALUE"""),"videospot")</f>
        <v>videospot</v>
      </c>
      <c r="V280" s="3"/>
      <c r="W280" s="4" t="str">
        <f ca="1">IFERROR(__xludf.DUMMYFUNCTION("""COMPUTED_VALUE"""),"https://reklama.cncenter.cz/Online/Videospot")</f>
        <v>https://reklama.cncenter.cz/Online/Videospot</v>
      </c>
      <c r="X280" s="3"/>
      <c r="Y280" s="3"/>
      <c r="Z280" s="3" t="str">
        <f ca="1">IFERROR(__xludf.DUMMYFUNCTION("""COMPUTED_VALUE"""),"podklady@cncenter.cz")</f>
        <v>podklady@cncenter.cz</v>
      </c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 t="str">
        <f ca="1">IFERROR(__xludf.DUMMYFUNCTION("""COMPUTED_VALUE"""),"desktop")</f>
        <v>desktop</v>
      </c>
      <c r="AO280" s="3"/>
      <c r="AP280" s="3"/>
      <c r="AQ280" s="3"/>
      <c r="AR280" s="3"/>
      <c r="AS280" s="3"/>
      <c r="AT280" s="3"/>
      <c r="AU280" s="3" t="str">
        <f ca="1">IFERROR(__xludf.DUMMYFUNCTION("""COMPUTED_VALUE"""),"cílený mini videospot - max. 30 sec.")</f>
        <v>cílený mini videospot - max. 30 sec.</v>
      </c>
    </row>
    <row r="281" spans="1:47" x14ac:dyDescent="0.3">
      <c r="A281" s="3">
        <f ca="1"/>
        <v>2346826</v>
      </c>
      <c r="B281" s="3" t="str">
        <f ca="1"/>
        <v>CZECH NEWS CENTER a. s.</v>
      </c>
      <c r="C281" s="3" t="str">
        <f ca="1">IFERROR(__xludf.DUMMYFUNCTION("""COMPUTED_VALUE"""),"CNC floating")</f>
        <v>CNC floating</v>
      </c>
      <c r="D281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1" s="3" t="str">
        <f ca="1">IFERROR(__xludf.DUMMYFUNCTION("""COMPUTED_VALUE"""),"celý web")</f>
        <v>celý web</v>
      </c>
      <c r="F281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1" s="3" t="str">
        <f ca="1">IFERROR(__xludf.DUMMYFUNCTION("""COMPUTED_VALUE"""),"cílený mobilní interscroller high season")</f>
        <v>cílený mobilní interscroller high season</v>
      </c>
      <c r="H281" s="3">
        <f ca="1">IFERROR(__xludf.DUMMYFUNCTION("""COMPUTED_VALUE"""),7)</f>
        <v>7</v>
      </c>
      <c r="I281" s="5">
        <f ca="1">IFERROR(__xludf.DUMMYFUNCTION("""COMPUTED_VALUE"""),1000)</f>
        <v>1000</v>
      </c>
      <c r="J281" s="5">
        <f ca="1">IFERROR(__xludf.DUMMYFUNCTION("""COMPUTED_VALUE"""),396)</f>
        <v>396</v>
      </c>
      <c r="K281" s="3"/>
      <c r="L281" s="3" t="str">
        <f ca="1">IFERROR(__xludf.DUMMYFUNCTION("""COMPUTED_VALUE"""),"Cost per period")</f>
        <v>Cost per period</v>
      </c>
      <c r="M281" s="3"/>
      <c r="N281" s="3"/>
      <c r="O281" s="3" t="str">
        <f ca="1">IFERROR(__xludf.DUMMYFUNCTION("""COMPUTED_VALUE"""),"600")</f>
        <v>600</v>
      </c>
      <c r="P281" s="3" t="str">
        <f ca="1">IFERROR(__xludf.DUMMYFUNCTION("""COMPUTED_VALUE"""),"1080")</f>
        <v>1080</v>
      </c>
      <c r="Q281" s="3" t="str">
        <f ca="1">IFERROR(__xludf.DUMMYFUNCTION("""COMPUTED_VALUE"""),"600x1080")</f>
        <v>600x1080</v>
      </c>
      <c r="R281" s="3"/>
      <c r="S281" s="3" t="str">
        <f ca="1">IFERROR(__xludf.DUMMYFUNCTION("""COMPUTED_VALUE"""),"200")</f>
        <v>200</v>
      </c>
      <c r="T281" s="3"/>
      <c r="U281" s="3" t="str">
        <f ca="1">IFERROR(__xludf.DUMMYFUNCTION("""COMPUTED_VALUE"""),"banner standard")</f>
        <v>banner standard</v>
      </c>
      <c r="V281" s="3"/>
      <c r="W281" s="4" t="str">
        <f ca="1">IFERROR(__xludf.DUMMYFUNCTION("""COMPUTED_VALUE"""),"https://reklama.cncenter.cz/Online/mobilni-interscroller")</f>
        <v>https://reklama.cncenter.cz/Online/mobilni-interscroller</v>
      </c>
      <c r="X281" s="3"/>
      <c r="Y281" s="3"/>
      <c r="Z281" s="3" t="str">
        <f ca="1">IFERROR(__xludf.DUMMYFUNCTION("""COMPUTED_VALUE"""),"podklady@cncenter.cz")</f>
        <v>podklady@cncenter.cz</v>
      </c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 t="str">
        <f ca="1">IFERROR(__xludf.DUMMYFUNCTION("""COMPUTED_VALUE"""),"mobile")</f>
        <v>mobile</v>
      </c>
      <c r="AO281" s="3"/>
      <c r="AP281" s="3"/>
      <c r="AQ281" s="3"/>
      <c r="AR281" s="3"/>
      <c r="AS281" s="3"/>
      <c r="AT281" s="3"/>
      <c r="AU281" s="3" t="str">
        <f ca="1">IFERROR(__xludf.DUMMYFUNCTION("""COMPUTED_VALUE"""),"cílený mobilní interscroller")</f>
        <v>cílený mobilní interscroller</v>
      </c>
    </row>
    <row r="282" spans="1:47" x14ac:dyDescent="0.3">
      <c r="A282" s="3">
        <f ca="1"/>
        <v>2346826</v>
      </c>
      <c r="B282" s="3" t="str">
        <f ca="1"/>
        <v>CZECH NEWS CENTER a. s.</v>
      </c>
      <c r="C282" s="3" t="str">
        <f ca="1">IFERROR(__xludf.DUMMYFUNCTION("""COMPUTED_VALUE"""),"CNC floating")</f>
        <v>CNC floating</v>
      </c>
      <c r="D282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2" s="3" t="str">
        <f ca="1">IFERROR(__xludf.DUMMYFUNCTION("""COMPUTED_VALUE"""),"celý web")</f>
        <v>celý web</v>
      </c>
      <c r="F282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2" s="3" t="str">
        <f ca="1">IFERROR(__xludf.DUMMYFUNCTION("""COMPUTED_VALUE"""),"cílený mobilní slide-up high season")</f>
        <v>cílený mobilní slide-up high season</v>
      </c>
      <c r="H282" s="3">
        <f ca="1">IFERROR(__xludf.DUMMYFUNCTION("""COMPUTED_VALUE"""),7)</f>
        <v>7</v>
      </c>
      <c r="I282" s="5">
        <f ca="1">IFERROR(__xludf.DUMMYFUNCTION("""COMPUTED_VALUE"""),1000)</f>
        <v>1000</v>
      </c>
      <c r="J282" s="5">
        <f ca="1">IFERROR(__xludf.DUMMYFUNCTION("""COMPUTED_VALUE"""),816)</f>
        <v>816</v>
      </c>
      <c r="K282" s="3"/>
      <c r="L282" s="3" t="str">
        <f ca="1">IFERROR(__xludf.DUMMYFUNCTION("""COMPUTED_VALUE"""),"Cost per period")</f>
        <v>Cost per period</v>
      </c>
      <c r="M282" s="3"/>
      <c r="N282" s="3"/>
      <c r="O282" s="3" t="str">
        <f ca="1">IFERROR(__xludf.DUMMYFUNCTION("""COMPUTED_VALUE"""),"300")</f>
        <v>300</v>
      </c>
      <c r="P282" s="3" t="str">
        <f ca="1">IFERROR(__xludf.DUMMYFUNCTION("""COMPUTED_VALUE"""),"120")</f>
        <v>120</v>
      </c>
      <c r="Q282" s="3" t="str">
        <f ca="1">IFERROR(__xludf.DUMMYFUNCTION("""COMPUTED_VALUE"""),"300x120")</f>
        <v>300x120</v>
      </c>
      <c r="R282" s="3"/>
      <c r="S282" s="3" t="str">
        <f ca="1">IFERROR(__xludf.DUMMYFUNCTION("""COMPUTED_VALUE"""),"100")</f>
        <v>100</v>
      </c>
      <c r="T282" s="3"/>
      <c r="U282" s="3" t="str">
        <f ca="1">IFERROR(__xludf.DUMMYFUNCTION("""COMPUTED_VALUE"""),"banner standard")</f>
        <v>banner standard</v>
      </c>
      <c r="V282" s="3"/>
      <c r="W282" s="4" t="str">
        <f ca="1">IFERROR(__xludf.DUMMYFUNCTION("""COMPUTED_VALUE"""),"https://reklama.cncenter.cz/Online/mobilni-slide-up")</f>
        <v>https://reklama.cncenter.cz/Online/mobilni-slide-up</v>
      </c>
      <c r="X282" s="3"/>
      <c r="Y282" s="3"/>
      <c r="Z282" s="3" t="str">
        <f ca="1">IFERROR(__xludf.DUMMYFUNCTION("""COMPUTED_VALUE"""),"podklady@cncenter.cz")</f>
        <v>podklady@cncenter.cz</v>
      </c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 t="str">
        <f ca="1">IFERROR(__xludf.DUMMYFUNCTION("""COMPUTED_VALUE"""),"mobile")</f>
        <v>mobile</v>
      </c>
      <c r="AO282" s="3"/>
      <c r="AP282" s="3"/>
      <c r="AQ282" s="3"/>
      <c r="AR282" s="3"/>
      <c r="AS282" s="3"/>
      <c r="AT282" s="3"/>
      <c r="AU282" s="3" t="str">
        <f ca="1">IFERROR(__xludf.DUMMYFUNCTION("""COMPUTED_VALUE"""),"cílený mobilní slide-up")</f>
        <v>cílený mobilní slide-up</v>
      </c>
    </row>
    <row r="283" spans="1:47" x14ac:dyDescent="0.3">
      <c r="A283" s="3">
        <f ca="1"/>
        <v>2346826</v>
      </c>
      <c r="B283" s="3" t="str">
        <f ca="1"/>
        <v>CZECH NEWS CENTER a. s.</v>
      </c>
      <c r="C283" s="3" t="str">
        <f ca="1">IFERROR(__xludf.DUMMYFUNCTION("""COMPUTED_VALUE"""),"CNC floating")</f>
        <v>CNC floating</v>
      </c>
      <c r="D28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3" s="3" t="str">
        <f ca="1">IFERROR(__xludf.DUMMYFUNCTION("""COMPUTED_VALUE"""),"celý web")</f>
        <v>celý web</v>
      </c>
      <c r="F28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3" s="3" t="str">
        <f ca="1">IFERROR(__xludf.DUMMYFUNCTION("""COMPUTED_VALUE"""),"cílený mobilní viněta high season")</f>
        <v>cílený mobilní viněta high season</v>
      </c>
      <c r="H283" s="3">
        <f ca="1">IFERROR(__xludf.DUMMYFUNCTION("""COMPUTED_VALUE"""),7)</f>
        <v>7</v>
      </c>
      <c r="I283" s="5">
        <f ca="1">IFERROR(__xludf.DUMMYFUNCTION("""COMPUTED_VALUE"""),1000)</f>
        <v>1000</v>
      </c>
      <c r="J283" s="5">
        <f ca="1">IFERROR(__xludf.DUMMYFUNCTION("""COMPUTED_VALUE"""),1548)</f>
        <v>1548</v>
      </c>
      <c r="K283" s="3"/>
      <c r="L283" s="3" t="str">
        <f ca="1">IFERROR(__xludf.DUMMYFUNCTION("""COMPUTED_VALUE"""),"Cost per period")</f>
        <v>Cost per period</v>
      </c>
      <c r="M283" s="3"/>
      <c r="N283" s="3"/>
      <c r="O283" s="3" t="str">
        <f ca="1">IFERROR(__xludf.DUMMYFUNCTION("""COMPUTED_VALUE"""),"600")</f>
        <v>600</v>
      </c>
      <c r="P283" s="3" t="str">
        <f ca="1">IFERROR(__xludf.DUMMYFUNCTION("""COMPUTED_VALUE"""),"800")</f>
        <v>800</v>
      </c>
      <c r="Q283" s="3" t="str">
        <f ca="1">IFERROR(__xludf.DUMMYFUNCTION("""COMPUTED_VALUE"""),"300x250 nebo 600x800")</f>
        <v>300x250 nebo 600x800</v>
      </c>
      <c r="R283" s="3"/>
      <c r="S283" s="3" t="str">
        <f ca="1">IFERROR(__xludf.DUMMYFUNCTION("""COMPUTED_VALUE"""),"100")</f>
        <v>100</v>
      </c>
      <c r="T283" s="3"/>
      <c r="U283" s="3" t="str">
        <f ca="1">IFERROR(__xludf.DUMMYFUNCTION("""COMPUTED_VALUE"""),"banner standard")</f>
        <v>banner standard</v>
      </c>
      <c r="V283" s="3"/>
      <c r="W283" s="4" t="str">
        <f ca="1">IFERROR(__xludf.DUMMYFUNCTION("""COMPUTED_VALUE"""),"https://reklama.cncenter.cz/Online/mobilni-vineta")</f>
        <v>https://reklama.cncenter.cz/Online/mobilni-vineta</v>
      </c>
      <c r="X283" s="3"/>
      <c r="Y283" s="3"/>
      <c r="Z283" s="3" t="str">
        <f ca="1">IFERROR(__xludf.DUMMYFUNCTION("""COMPUTED_VALUE"""),"podklady@cncenter.cz")</f>
        <v>podklady@cncenter.cz</v>
      </c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 t="str">
        <f ca="1">IFERROR(__xludf.DUMMYFUNCTION("""COMPUTED_VALUE"""),"mobile")</f>
        <v>mobile</v>
      </c>
      <c r="AO283" s="3"/>
      <c r="AP283" s="3"/>
      <c r="AQ283" s="3"/>
      <c r="AR283" s="3"/>
      <c r="AS283" s="3"/>
      <c r="AT283" s="3"/>
      <c r="AU283" s="3" t="str">
        <f ca="1">IFERROR(__xludf.DUMMYFUNCTION("""COMPUTED_VALUE"""),"cílený mobilní viněta")</f>
        <v>cílený mobilní viněta</v>
      </c>
    </row>
    <row r="284" spans="1:47" x14ac:dyDescent="0.3">
      <c r="A284" s="3">
        <f ca="1"/>
        <v>2346826</v>
      </c>
      <c r="B284" s="3" t="str">
        <f ca="1"/>
        <v>CZECH NEWS CENTER a. s.</v>
      </c>
      <c r="C284" s="3" t="str">
        <f ca="1">IFERROR(__xludf.DUMMYFUNCTION("""COMPUTED_VALUE"""),"CNC floating")</f>
        <v>CNC floating</v>
      </c>
      <c r="D284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4" s="3" t="str">
        <f ca="1">IFERROR(__xludf.DUMMYFUNCTION("""COMPUTED_VALUE"""),"celý web")</f>
        <v>celý web</v>
      </c>
      <c r="F284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4" s="3" t="str">
        <f ca="1">IFERROR(__xludf.DUMMYFUNCTION("""COMPUTED_VALUE"""),"cílený nativní rectangle cross-device high season")</f>
        <v>cílený nativní rectangle cross-device high season</v>
      </c>
      <c r="H284" s="3">
        <f ca="1">IFERROR(__xludf.DUMMYFUNCTION("""COMPUTED_VALUE"""),7)</f>
        <v>7</v>
      </c>
      <c r="I284" s="5">
        <f ca="1">IFERROR(__xludf.DUMMYFUNCTION("""COMPUTED_VALUE"""),1000)</f>
        <v>1000</v>
      </c>
      <c r="J284" s="5">
        <f ca="1">IFERROR(__xludf.DUMMYFUNCTION("""COMPUTED_VALUE"""),336)</f>
        <v>336</v>
      </c>
      <c r="K284" s="3"/>
      <c r="L284" s="3" t="str">
        <f ca="1">IFERROR(__xludf.DUMMYFUNCTION("""COMPUTED_VALUE"""),"Cost per period")</f>
        <v>Cost per period</v>
      </c>
      <c r="M284" s="3"/>
      <c r="N284" s="3"/>
      <c r="O284" s="3" t="str">
        <f ca="1">IFERROR(__xludf.DUMMYFUNCTION("""COMPUTED_VALUE"""),"640")</f>
        <v>640</v>
      </c>
      <c r="P284" s="3" t="str">
        <f ca="1">IFERROR(__xludf.DUMMYFUNCTION("""COMPUTED_VALUE"""),"335, 640")</f>
        <v>335, 640</v>
      </c>
      <c r="Q284" s="3" t="str">
        <f ca="1">IFERROR(__xludf.DUMMYFUNCTION("""COMPUTED_VALUE"""),"640x640 a 640x335 + text + logo")</f>
        <v>640x640 a 640x335 + text + logo</v>
      </c>
      <c r="R284" s="3"/>
      <c r="S284" s="3" t="str">
        <f ca="1">IFERROR(__xludf.DUMMYFUNCTION("""COMPUTED_VALUE"""),"45")</f>
        <v>45</v>
      </c>
      <c r="T284" s="3"/>
      <c r="U284" s="3" t="str">
        <f ca="1">IFERROR(__xludf.DUMMYFUNCTION("""COMPUTED_VALUE"""),"nativní reklama")</f>
        <v>nativní reklama</v>
      </c>
      <c r="V284" s="3"/>
      <c r="W284" s="4" t="str">
        <f ca="1">IFERROR(__xludf.DUMMYFUNCTION("""COMPUTED_VALUE"""),"https://reklama.cncenter.cz/Online/nativni-rectangle-cross-device")</f>
        <v>https://reklama.cncenter.cz/Online/nativni-rectangle-cross-device</v>
      </c>
      <c r="X284" s="3"/>
      <c r="Y284" s="3"/>
      <c r="Z284" s="3" t="str">
        <f ca="1">IFERROR(__xludf.DUMMYFUNCTION("""COMPUTED_VALUE"""),"podklady@cncenter.cz")</f>
        <v>podklady@cncenter.cz</v>
      </c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 t="str">
        <f ca="1">IFERROR(__xludf.DUMMYFUNCTION("""COMPUTED_VALUE"""),"cross-device")</f>
        <v>cross-device</v>
      </c>
      <c r="AO284" s="3"/>
      <c r="AP284" s="3"/>
      <c r="AQ284" s="3"/>
      <c r="AR284" s="3"/>
      <c r="AS284" s="3"/>
      <c r="AT284" s="3"/>
      <c r="AU284" s="3" t="str">
        <f ca="1">IFERROR(__xludf.DUMMYFUNCTION("""COMPUTED_VALUE"""),"cílený nativní rectangle cross-device")</f>
        <v>cílený nativní rectangle cross-device</v>
      </c>
    </row>
    <row r="285" spans="1:47" x14ac:dyDescent="0.3">
      <c r="A285" s="3">
        <f ca="1"/>
        <v>2346826</v>
      </c>
      <c r="B285" s="3" t="str">
        <f ca="1"/>
        <v>CZECH NEWS CENTER a. s.</v>
      </c>
      <c r="C285" s="3" t="str">
        <f ca="1">IFERROR(__xludf.DUMMYFUNCTION("""COMPUTED_VALUE"""),"CNC floating")</f>
        <v>CNC floating</v>
      </c>
      <c r="D285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5" s="3" t="str">
        <f ca="1">IFERROR(__xludf.DUMMYFUNCTION("""COMPUTED_VALUE"""),"celý web")</f>
        <v>celý web</v>
      </c>
      <c r="F285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5" s="3" t="str">
        <f ca="1">IFERROR(__xludf.DUMMYFUNCTION("""COMPUTED_VALUE"""),"cílený outstream high season")</f>
        <v>cílený outstream high season</v>
      </c>
      <c r="H285" s="3">
        <f ca="1">IFERROR(__xludf.DUMMYFUNCTION("""COMPUTED_VALUE"""),7)</f>
        <v>7</v>
      </c>
      <c r="I285" s="5">
        <f ca="1">IFERROR(__xludf.DUMMYFUNCTION("""COMPUTED_VALUE"""),1000)</f>
        <v>1000</v>
      </c>
      <c r="J285" s="5">
        <f ca="1">IFERROR(__xludf.DUMMYFUNCTION("""COMPUTED_VALUE"""),420)</f>
        <v>420</v>
      </c>
      <c r="K285" s="3"/>
      <c r="L285" s="3" t="str">
        <f ca="1">IFERROR(__xludf.DUMMYFUNCTION("""COMPUTED_VALUE"""),"Cost per period")</f>
        <v>Cost per period</v>
      </c>
      <c r="M285" s="3"/>
      <c r="N285" s="3"/>
      <c r="O285" s="3" t="str">
        <f ca="1">IFERROR(__xludf.DUMMYFUNCTION("""COMPUTED_VALUE"""),"1280")</f>
        <v>1280</v>
      </c>
      <c r="P285" s="3" t="str">
        <f ca="1">IFERROR(__xludf.DUMMYFUNCTION("""COMPUTED_VALUE"""),"720")</f>
        <v>720</v>
      </c>
      <c r="Q285" s="3" t="str">
        <f ca="1">IFERROR(__xludf.DUMMYFUNCTION("""COMPUTED_VALUE"""),"16:9")</f>
        <v>16:9</v>
      </c>
      <c r="R285" s="3"/>
      <c r="S285" s="3" t="str">
        <f ca="1">IFERROR(__xludf.DUMMYFUNCTION("""COMPUTED_VALUE"""),"100")</f>
        <v>100</v>
      </c>
      <c r="T285" s="3"/>
      <c r="U285" s="3" t="str">
        <f ca="1">IFERROR(__xludf.DUMMYFUNCTION("""COMPUTED_VALUE"""),"videospot")</f>
        <v>videospot</v>
      </c>
      <c r="V285" s="3"/>
      <c r="W285" s="4" t="str">
        <f ca="1">IFERROR(__xludf.DUMMYFUNCTION("""COMPUTED_VALUE"""),"https://reklama.cncenter.cz/Online/Outstream")</f>
        <v>https://reklama.cncenter.cz/Online/Outstream</v>
      </c>
      <c r="X285" s="3"/>
      <c r="Y285" s="3"/>
      <c r="Z285" s="3" t="str">
        <f ca="1">IFERROR(__xludf.DUMMYFUNCTION("""COMPUTED_VALUE"""),"podklady@cncenter.cz")</f>
        <v>podklady@cncenter.cz</v>
      </c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 t="str">
        <f ca="1">IFERROR(__xludf.DUMMYFUNCTION("""COMPUTED_VALUE"""),"cross-device")</f>
        <v>cross-device</v>
      </c>
      <c r="AO285" s="3"/>
      <c r="AP285" s="3"/>
      <c r="AQ285" s="3"/>
      <c r="AR285" s="3"/>
      <c r="AS285" s="3"/>
      <c r="AT285" s="3"/>
      <c r="AU285" s="3" t="str">
        <f ca="1">IFERROR(__xludf.DUMMYFUNCTION("""COMPUTED_VALUE"""),"cílený outstream")</f>
        <v>cílený outstream</v>
      </c>
    </row>
    <row r="286" spans="1:47" x14ac:dyDescent="0.3">
      <c r="A286" s="3">
        <f ca="1"/>
        <v>2346826</v>
      </c>
      <c r="B286" s="3" t="str">
        <f ca="1"/>
        <v>CZECH NEWS CENTER a. s.</v>
      </c>
      <c r="C286" s="3" t="str">
        <f ca="1">IFERROR(__xludf.DUMMYFUNCTION("""COMPUTED_VALUE"""),"CNC floating")</f>
        <v>CNC floating</v>
      </c>
      <c r="D286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6" s="3" t="str">
        <f ca="1">IFERROR(__xludf.DUMMYFUNCTION("""COMPUTED_VALUE"""),"celý web")</f>
        <v>celý web</v>
      </c>
      <c r="F286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6" s="3" t="str">
        <f ca="1">IFERROR(__xludf.DUMMYFUNCTION("""COMPUTED_VALUE"""),"cílený Smarticle high season")</f>
        <v>cílený Smarticle high season</v>
      </c>
      <c r="H286" s="3">
        <f ca="1">IFERROR(__xludf.DUMMYFUNCTION("""COMPUTED_VALUE"""),7)</f>
        <v>7</v>
      </c>
      <c r="I286" s="5">
        <f ca="1">IFERROR(__xludf.DUMMYFUNCTION("""COMPUTED_VALUE"""),1000)</f>
        <v>1000</v>
      </c>
      <c r="J286" s="5">
        <f ca="1">IFERROR(__xludf.DUMMYFUNCTION("""COMPUTED_VALUE"""),204)</f>
        <v>204</v>
      </c>
      <c r="K286" s="3"/>
      <c r="L286" s="3" t="str">
        <f ca="1">IFERROR(__xludf.DUMMYFUNCTION("""COMPUTED_VALUE"""),"Cost per period")</f>
        <v>Cost per period</v>
      </c>
      <c r="M286" s="3"/>
      <c r="N286" s="3" t="str">
        <f ca="1">IFERROR(__xludf.DUMMYFUNCTION("""COMPUTED_VALUE"""),"A4")</f>
        <v>A4</v>
      </c>
      <c r="O286" s="3"/>
      <c r="P286" s="3"/>
      <c r="Q286" s="3" t="str">
        <f ca="1">IFERROR(__xludf.DUMMYFUNCTION("""COMPUTED_VALUE"""),"viz. tech.specifikace; HP + sekce")</f>
        <v>viz. tech.specifikace; HP + sekce</v>
      </c>
      <c r="R286" s="3" t="str">
        <f ca="1">IFERROR(__xludf.DUMMYFUNCTION("""COMPUTED_VALUE"""),"HP + sekce")</f>
        <v>HP + sekce</v>
      </c>
      <c r="S286" s="3" t="str">
        <f ca="1">IFERROR(__xludf.DUMMYFUNCTION("""COMPUTED_VALUE"""),"100")</f>
        <v>100</v>
      </c>
      <c r="T286" s="3"/>
      <c r="U286" s="3" t="str">
        <f ca="1">IFERROR(__xludf.DUMMYFUNCTION("""COMPUTED_VALUE"""),"pr článek")</f>
        <v>pr článek</v>
      </c>
      <c r="V286" s="3"/>
      <c r="W286" s="4" t="str">
        <f ca="1">IFERROR(__xludf.DUMMYFUNCTION("""COMPUTED_VALUE"""),"https://reklama.cncenter.cz/Online/Smarticle")</f>
        <v>https://reklama.cncenter.cz/Online/Smarticle</v>
      </c>
      <c r="X286" s="3"/>
      <c r="Y286" s="3"/>
      <c r="Z286" s="3" t="str">
        <f ca="1">IFERROR(__xludf.DUMMYFUNCTION("""COMPUTED_VALUE"""),"podklady@cncenter.cz")</f>
        <v>podklady@cncenter.cz</v>
      </c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 t="str">
        <f ca="1">IFERROR(__xludf.DUMMYFUNCTION("""COMPUTED_VALUE"""),"cross-device")</f>
        <v>cross-device</v>
      </c>
      <c r="AO286" s="3"/>
      <c r="AP286" s="3"/>
      <c r="AQ286" s="3"/>
      <c r="AR286" s="3"/>
      <c r="AS286" s="3"/>
      <c r="AT286" s="3"/>
      <c r="AU286" s="3" t="str">
        <f ca="1">IFERROR(__xludf.DUMMYFUNCTION("""COMPUTED_VALUE"""),"cílený Smarticle")</f>
        <v>cílený Smarticle</v>
      </c>
    </row>
    <row r="287" spans="1:47" x14ac:dyDescent="0.3">
      <c r="A287" s="3">
        <f ca="1"/>
        <v>2346826</v>
      </c>
      <c r="B287" s="3" t="str">
        <f ca="1"/>
        <v>CZECH NEWS CENTER a. s.</v>
      </c>
      <c r="C287" s="3" t="str">
        <f ca="1">IFERROR(__xludf.DUMMYFUNCTION("""COMPUTED_VALUE"""),"CNC floating")</f>
        <v>CNC floating</v>
      </c>
      <c r="D287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7" s="3" t="str">
        <f ca="1">IFERROR(__xludf.DUMMYFUNCTION("""COMPUTED_VALUE"""),"celý web")</f>
        <v>celý web</v>
      </c>
      <c r="F287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7" s="3" t="str">
        <f ca="1">IFERROR(__xludf.DUMMYFUNCTION("""COMPUTED_VALUE"""),"cílený videospot - max. 30 sec. / bumper high season")</f>
        <v>cílený videospot - max. 30 sec. / bumper high season</v>
      </c>
      <c r="H287" s="3">
        <f ca="1">IFERROR(__xludf.DUMMYFUNCTION("""COMPUTED_VALUE"""),7)</f>
        <v>7</v>
      </c>
      <c r="I287" s="5">
        <f ca="1">IFERROR(__xludf.DUMMYFUNCTION("""COMPUTED_VALUE"""),1000)</f>
        <v>1000</v>
      </c>
      <c r="J287" s="5">
        <f ca="1">IFERROR(__xludf.DUMMYFUNCTION("""COMPUTED_VALUE"""),1236)</f>
        <v>1236</v>
      </c>
      <c r="K287" s="3"/>
      <c r="L287" s="3" t="str">
        <f ca="1">IFERROR(__xludf.DUMMYFUNCTION("""COMPUTED_VALUE"""),"Cost per period")</f>
        <v>Cost per period</v>
      </c>
      <c r="M287" s="3"/>
      <c r="N287" s="3"/>
      <c r="O287" s="3" t="str">
        <f ca="1">IFERROR(__xludf.DUMMYFUNCTION("""COMPUTED_VALUE"""),"1280")</f>
        <v>1280</v>
      </c>
      <c r="P287" s="3" t="str">
        <f ca="1">IFERROR(__xludf.DUMMYFUNCTION("""COMPUTED_VALUE"""),"720")</f>
        <v>720</v>
      </c>
      <c r="Q287" s="3" t="str">
        <f ca="1">IFERROR(__xludf.DUMMYFUNCTION("""COMPUTED_VALUE"""),"16:9 / umístění po domluvě dle možností")</f>
        <v>16:9 / umístění po domluvě dle možností</v>
      </c>
      <c r="R287" s="3" t="str">
        <f ca="1">IFERROR(__xludf.DUMMYFUNCTION("""COMPUTED_VALUE"""),"přeskočení po 7 sekundách")</f>
        <v>přeskočení po 7 sekundách</v>
      </c>
      <c r="S287" s="3" t="str">
        <f ca="1">IFERROR(__xludf.DUMMYFUNCTION("""COMPUTED_VALUE"""),"100")</f>
        <v>100</v>
      </c>
      <c r="T287" s="3"/>
      <c r="U287" s="3" t="str">
        <f ca="1">IFERROR(__xludf.DUMMYFUNCTION("""COMPUTED_VALUE"""),"videospot")</f>
        <v>videospot</v>
      </c>
      <c r="V287" s="3"/>
      <c r="W287" s="4" t="str">
        <f ca="1">IFERROR(__xludf.DUMMYFUNCTION("""COMPUTED_VALUE"""),"https://reklama.cncenter.cz/Online/Bumper")</f>
        <v>https://reklama.cncenter.cz/Online/Bumper</v>
      </c>
      <c r="X287" s="3"/>
      <c r="Y287" s="3"/>
      <c r="Z287" s="3" t="str">
        <f ca="1">IFERROR(__xludf.DUMMYFUNCTION("""COMPUTED_VALUE"""),"podklady@cncenter.cz")</f>
        <v>podklady@cncenter.cz</v>
      </c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 t="str">
        <f ca="1">IFERROR(__xludf.DUMMYFUNCTION("""COMPUTED_VALUE"""),"cross-device")</f>
        <v>cross-device</v>
      </c>
      <c r="AO287" s="3"/>
      <c r="AP287" s="3"/>
      <c r="AQ287" s="3"/>
      <c r="AR287" s="3"/>
      <c r="AS287" s="3"/>
      <c r="AT287" s="3"/>
      <c r="AU287" s="3" t="str">
        <f ca="1">IFERROR(__xludf.DUMMYFUNCTION("""COMPUTED_VALUE"""),"cílený videospot - max. 30 sec. / bumper")</f>
        <v>cílený videospot - max. 30 sec. / bumper</v>
      </c>
    </row>
    <row r="288" spans="1:47" x14ac:dyDescent="0.3">
      <c r="A288" s="3">
        <f ca="1"/>
        <v>2346826</v>
      </c>
      <c r="B288" s="3" t="str">
        <f ca="1"/>
        <v>CZECH NEWS CENTER a. s.</v>
      </c>
      <c r="C288" s="3" t="str">
        <f ca="1">IFERROR(__xludf.DUMMYFUNCTION("""COMPUTED_VALUE"""),"CNC floating")</f>
        <v>CNC floating</v>
      </c>
      <c r="D288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8" s="3" t="str">
        <f ca="1">IFERROR(__xludf.DUMMYFUNCTION("""COMPUTED_VALUE"""),"celý web")</f>
        <v>celý web</v>
      </c>
      <c r="F288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8" s="3" t="str">
        <f ca="1">IFERROR(__xludf.DUMMYFUNCTION("""COMPUTED_VALUE"""),"double skyscraper high season")</f>
        <v>double skyscraper high season</v>
      </c>
      <c r="H288" s="3">
        <f ca="1">IFERROR(__xludf.DUMMYFUNCTION("""COMPUTED_VALUE"""),7)</f>
        <v>7</v>
      </c>
      <c r="I288" s="5">
        <f ca="1">IFERROR(__xludf.DUMMYFUNCTION("""COMPUTED_VALUE"""),1000)</f>
        <v>1000</v>
      </c>
      <c r="J288" s="5">
        <f ca="1">IFERROR(__xludf.DUMMYFUNCTION("""COMPUTED_VALUE"""),250)</f>
        <v>250</v>
      </c>
      <c r="K288" s="3"/>
      <c r="L288" s="3" t="str">
        <f ca="1">IFERROR(__xludf.DUMMYFUNCTION("""COMPUTED_VALUE"""),"Cost per period")</f>
        <v>Cost per period</v>
      </c>
      <c r="M288" s="3"/>
      <c r="N288" s="3"/>
      <c r="O288" s="3" t="str">
        <f ca="1">IFERROR(__xludf.DUMMYFUNCTION("""COMPUTED_VALUE"""),"300")</f>
        <v>300</v>
      </c>
      <c r="P288" s="3" t="str">
        <f ca="1">IFERROR(__xludf.DUMMYFUNCTION("""COMPUTED_VALUE"""),"600")</f>
        <v>600</v>
      </c>
      <c r="Q288" s="3" t="str">
        <f ca="1">IFERROR(__xludf.DUMMYFUNCTION("""COMPUTED_VALUE"""),"300x600")</f>
        <v>300x600</v>
      </c>
      <c r="R288" s="3"/>
      <c r="S288" s="3" t="str">
        <f ca="1">IFERROR(__xludf.DUMMYFUNCTION("""COMPUTED_VALUE"""),"100 (200 - HTML5)")</f>
        <v>100 (200 - HTML5)</v>
      </c>
      <c r="T288" s="3"/>
      <c r="U288" s="3" t="str">
        <f ca="1">IFERROR(__xludf.DUMMYFUNCTION("""COMPUTED_VALUE"""),"banner standard")</f>
        <v>banner standard</v>
      </c>
      <c r="V288" s="3"/>
      <c r="W288" s="4" t="str">
        <f ca="1">IFERROR(__xludf.DUMMYFUNCTION("""COMPUTED_VALUE"""),"https://reklama.cncenter.cz/Online/double-skyscraper")</f>
        <v>https://reklama.cncenter.cz/Online/double-skyscraper</v>
      </c>
      <c r="X288" s="3"/>
      <c r="Y288" s="3"/>
      <c r="Z288" s="3" t="str">
        <f ca="1">IFERROR(__xludf.DUMMYFUNCTION("""COMPUTED_VALUE"""),"podklady@cncenter.cz")</f>
        <v>podklady@cncenter.cz</v>
      </c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 t="str">
        <f ca="1">IFERROR(__xludf.DUMMYFUNCTION("""COMPUTED_VALUE"""),"desktop")</f>
        <v>desktop</v>
      </c>
      <c r="AO288" s="3"/>
      <c r="AP288" s="3"/>
      <c r="AQ288" s="3"/>
      <c r="AR288" s="3"/>
      <c r="AS288" s="3"/>
      <c r="AT288" s="3"/>
      <c r="AU288" s="3" t="str">
        <f ca="1">IFERROR(__xludf.DUMMYFUNCTION("""COMPUTED_VALUE"""),"double skyscraper")</f>
        <v>double skyscraper</v>
      </c>
    </row>
    <row r="289" spans="1:47" x14ac:dyDescent="0.3">
      <c r="A289" s="3">
        <f ca="1"/>
        <v>2346826</v>
      </c>
      <c r="B289" s="3" t="str">
        <f ca="1"/>
        <v>CZECH NEWS CENTER a. s.</v>
      </c>
      <c r="C289" s="3" t="str">
        <f ca="1">IFERROR(__xludf.DUMMYFUNCTION("""COMPUTED_VALUE"""),"CNC floating")</f>
        <v>CNC floating</v>
      </c>
      <c r="D289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89" s="3" t="str">
        <f ca="1">IFERROR(__xludf.DUMMYFUNCTION("""COMPUTED_VALUE"""),"celý web")</f>
        <v>celý web</v>
      </c>
      <c r="F289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89" s="3" t="str">
        <f ca="1">IFERROR(__xludf.DUMMYFUNCTION("""COMPUTED_VALUE"""),"korporátní video high season")</f>
        <v>korporátní video high season</v>
      </c>
      <c r="H289" s="3">
        <f ca="1">IFERROR(__xludf.DUMMYFUNCTION("""COMPUTED_VALUE"""),1)</f>
        <v>1</v>
      </c>
      <c r="I289" s="5">
        <f ca="1">IFERROR(__xludf.DUMMYFUNCTION("""COMPUTED_VALUE"""),1)</f>
        <v>1</v>
      </c>
      <c r="J289" s="5">
        <f ca="1">IFERROR(__xludf.DUMMYFUNCTION("""COMPUTED_VALUE"""),60000)</f>
        <v>60000</v>
      </c>
      <c r="K289" s="3"/>
      <c r="L289" s="3" t="str">
        <f ca="1">IFERROR(__xludf.DUMMYFUNCTION("""COMPUTED_VALUE"""),"Cost per instance")</f>
        <v>Cost per instance</v>
      </c>
      <c r="M289" s="3"/>
      <c r="N289" s="3"/>
      <c r="O289" s="3"/>
      <c r="P289" s="3"/>
      <c r="Q289" s="3"/>
      <c r="R289" s="3"/>
      <c r="S289" s="3" t="str">
        <f ca="1">IFERROR(__xludf.DUMMYFUNCTION("""COMPUTED_VALUE"""),"100")</f>
        <v>100</v>
      </c>
      <c r="T289" s="3"/>
      <c r="U289" s="3" t="str">
        <f ca="1">IFERROR(__xludf.DUMMYFUNCTION("""COMPUTED_VALUE"""),"pr video")</f>
        <v>pr video</v>
      </c>
      <c r="V289" s="3"/>
      <c r="W289" s="3"/>
      <c r="X289" s="3"/>
      <c r="Y289" s="3"/>
      <c r="Z289" s="3" t="str">
        <f ca="1">IFERROR(__xludf.DUMMYFUNCTION("""COMPUTED_VALUE"""),"podklady@cncenter.cz")</f>
        <v>podklady@cncenter.cz</v>
      </c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 t="str">
        <f ca="1">IFERROR(__xludf.DUMMYFUNCTION("""COMPUTED_VALUE"""),"cross-device")</f>
        <v>cross-device</v>
      </c>
      <c r="AO289" s="3"/>
      <c r="AP289" s="3"/>
      <c r="AQ289" s="3"/>
      <c r="AR289" s="3"/>
      <c r="AS289" s="3"/>
      <c r="AT289" s="3"/>
      <c r="AU289" s="3" t="str">
        <f ca="1">IFERROR(__xludf.DUMMYFUNCTION("""COMPUTED_VALUE"""),"korporátní video")</f>
        <v>korporátní video</v>
      </c>
    </row>
    <row r="290" spans="1:47" x14ac:dyDescent="0.3">
      <c r="A290" s="3">
        <f ca="1"/>
        <v>2346826</v>
      </c>
      <c r="B290" s="3" t="str">
        <f ca="1"/>
        <v>CZECH NEWS CENTER a. s.</v>
      </c>
      <c r="C290" s="3" t="str">
        <f ca="1">IFERROR(__xludf.DUMMYFUNCTION("""COMPUTED_VALUE"""),"CNC floating")</f>
        <v>CNC floating</v>
      </c>
      <c r="D290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0" s="3" t="str">
        <f ca="1">IFERROR(__xludf.DUMMYFUNCTION("""COMPUTED_VALUE"""),"celý web")</f>
        <v>celý web</v>
      </c>
      <c r="F290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0" s="3" t="str">
        <f ca="1">IFERROR(__xludf.DUMMYFUNCTION("""COMPUTED_VALUE"""),"mini videospot - max. 30 sec. high season")</f>
        <v>mini videospot - max. 30 sec. high season</v>
      </c>
      <c r="H290" s="3">
        <f ca="1">IFERROR(__xludf.DUMMYFUNCTION("""COMPUTED_VALUE"""),7)</f>
        <v>7</v>
      </c>
      <c r="I290" s="5">
        <f ca="1">IFERROR(__xludf.DUMMYFUNCTION("""COMPUTED_VALUE"""),1000)</f>
        <v>1000</v>
      </c>
      <c r="J290" s="5">
        <f ca="1">IFERROR(__xludf.DUMMYFUNCTION("""COMPUTED_VALUE"""),230)</f>
        <v>230</v>
      </c>
      <c r="K290" s="3"/>
      <c r="L290" s="3" t="str">
        <f ca="1">IFERROR(__xludf.DUMMYFUNCTION("""COMPUTED_VALUE"""),"Cost per period")</f>
        <v>Cost per period</v>
      </c>
      <c r="M290" s="3"/>
      <c r="N290" s="3"/>
      <c r="O290" s="3"/>
      <c r="P290" s="3"/>
      <c r="Q290" s="3" t="str">
        <f ca="1">IFERROR(__xludf.DUMMYFUNCTION("""COMPUTED_VALUE"""),"16:9 / umístění po domluvě dle možností")</f>
        <v>16:9 / umístění po domluvě dle možností</v>
      </c>
      <c r="R290" s="3" t="str">
        <f ca="1">IFERROR(__xludf.DUMMYFUNCTION("""COMPUTED_VALUE"""),"přeskočení po 7 sekundách")</f>
        <v>přeskočení po 7 sekundách</v>
      </c>
      <c r="S290" s="3" t="str">
        <f ca="1">IFERROR(__xludf.DUMMYFUNCTION("""COMPUTED_VALUE"""),"100")</f>
        <v>100</v>
      </c>
      <c r="T290" s="3"/>
      <c r="U290" s="3" t="str">
        <f ca="1">IFERROR(__xludf.DUMMYFUNCTION("""COMPUTED_VALUE"""),"videospot")</f>
        <v>videospot</v>
      </c>
      <c r="V290" s="3"/>
      <c r="W290" s="4" t="str">
        <f ca="1">IFERROR(__xludf.DUMMYFUNCTION("""COMPUTED_VALUE"""),"https://reklama.cncenter.cz/Online/Videospot")</f>
        <v>https://reklama.cncenter.cz/Online/Videospot</v>
      </c>
      <c r="X290" s="3"/>
      <c r="Y290" s="3"/>
      <c r="Z290" s="3" t="str">
        <f ca="1">IFERROR(__xludf.DUMMYFUNCTION("""COMPUTED_VALUE"""),"podklady@cncenter.cz")</f>
        <v>podklady@cncenter.cz</v>
      </c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 t="str">
        <f ca="1">IFERROR(__xludf.DUMMYFUNCTION("""COMPUTED_VALUE"""),"desktop")</f>
        <v>desktop</v>
      </c>
      <c r="AO290" s="3"/>
      <c r="AP290" s="3"/>
      <c r="AQ290" s="3"/>
      <c r="AR290" s="3"/>
      <c r="AS290" s="3"/>
      <c r="AT290" s="3"/>
      <c r="AU290" s="3" t="str">
        <f ca="1">IFERROR(__xludf.DUMMYFUNCTION("""COMPUTED_VALUE"""),"mini videospot - max. 30 sec.")</f>
        <v>mini videospot - max. 30 sec.</v>
      </c>
    </row>
    <row r="291" spans="1:47" x14ac:dyDescent="0.3">
      <c r="A291" s="3">
        <f ca="1"/>
        <v>2346826</v>
      </c>
      <c r="B291" s="3" t="str">
        <f ca="1"/>
        <v>CZECH NEWS CENTER a. s.</v>
      </c>
      <c r="C291" s="3" t="str">
        <f ca="1">IFERROR(__xludf.DUMMYFUNCTION("""COMPUTED_VALUE"""),"CNC floating")</f>
        <v>CNC floating</v>
      </c>
      <c r="D291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1" s="3" t="str">
        <f ca="1">IFERROR(__xludf.DUMMYFUNCTION("""COMPUTED_VALUE"""),"celý web")</f>
        <v>celý web</v>
      </c>
      <c r="F291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1" s="3" t="str">
        <f ca="1">IFERROR(__xludf.DUMMYFUNCTION("""COMPUTED_VALUE"""),"mobilní interscroller high season")</f>
        <v>mobilní interscroller high season</v>
      </c>
      <c r="H291" s="3">
        <f ca="1">IFERROR(__xludf.DUMMYFUNCTION("""COMPUTED_VALUE"""),7)</f>
        <v>7</v>
      </c>
      <c r="I291" s="5">
        <f ca="1">IFERROR(__xludf.DUMMYFUNCTION("""COMPUTED_VALUE"""),1000)</f>
        <v>1000</v>
      </c>
      <c r="J291" s="5">
        <f ca="1">IFERROR(__xludf.DUMMYFUNCTION("""COMPUTED_VALUE"""),330)</f>
        <v>330</v>
      </c>
      <c r="K291" s="3"/>
      <c r="L291" s="3" t="str">
        <f ca="1">IFERROR(__xludf.DUMMYFUNCTION("""COMPUTED_VALUE"""),"Cost per period")</f>
        <v>Cost per period</v>
      </c>
      <c r="M291" s="3"/>
      <c r="N291" s="3"/>
      <c r="O291" s="3" t="str">
        <f ca="1">IFERROR(__xludf.DUMMYFUNCTION("""COMPUTED_VALUE"""),"600")</f>
        <v>600</v>
      </c>
      <c r="P291" s="3" t="str">
        <f ca="1">IFERROR(__xludf.DUMMYFUNCTION("""COMPUTED_VALUE"""),"1080")</f>
        <v>1080</v>
      </c>
      <c r="Q291" s="3" t="str">
        <f ca="1">IFERROR(__xludf.DUMMYFUNCTION("""COMPUTED_VALUE"""),"600x1080")</f>
        <v>600x1080</v>
      </c>
      <c r="R291" s="3"/>
      <c r="S291" s="3" t="str">
        <f ca="1">IFERROR(__xludf.DUMMYFUNCTION("""COMPUTED_VALUE"""),"200")</f>
        <v>200</v>
      </c>
      <c r="T291" s="3"/>
      <c r="U291" s="3" t="str">
        <f ca="1">IFERROR(__xludf.DUMMYFUNCTION("""COMPUTED_VALUE"""),"banner standard")</f>
        <v>banner standard</v>
      </c>
      <c r="V291" s="3"/>
      <c r="W291" s="4" t="str">
        <f ca="1">IFERROR(__xludf.DUMMYFUNCTION("""COMPUTED_VALUE"""),"https://reklama.cncenter.cz/Online/mobilni-interscroller")</f>
        <v>https://reklama.cncenter.cz/Online/mobilni-interscroller</v>
      </c>
      <c r="X291" s="3"/>
      <c r="Y291" s="3"/>
      <c r="Z291" s="3" t="str">
        <f ca="1">IFERROR(__xludf.DUMMYFUNCTION("""COMPUTED_VALUE"""),"podklady@cncenter.cz")</f>
        <v>podklady@cncenter.cz</v>
      </c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 t="str">
        <f ca="1">IFERROR(__xludf.DUMMYFUNCTION("""COMPUTED_VALUE"""),"mobile")</f>
        <v>mobile</v>
      </c>
      <c r="AO291" s="3"/>
      <c r="AP291" s="3"/>
      <c r="AQ291" s="3"/>
      <c r="AR291" s="3"/>
      <c r="AS291" s="3"/>
      <c r="AT291" s="3"/>
      <c r="AU291" s="3" t="str">
        <f ca="1">IFERROR(__xludf.DUMMYFUNCTION("""COMPUTED_VALUE"""),"mobilní interscroller")</f>
        <v>mobilní interscroller</v>
      </c>
    </row>
    <row r="292" spans="1:47" x14ac:dyDescent="0.3">
      <c r="A292" s="3">
        <f ca="1"/>
        <v>2346826</v>
      </c>
      <c r="B292" s="3" t="str">
        <f ca="1"/>
        <v>CZECH NEWS CENTER a. s.</v>
      </c>
      <c r="C292" s="3" t="str">
        <f ca="1">IFERROR(__xludf.DUMMYFUNCTION("""COMPUTED_VALUE"""),"CNC floating")</f>
        <v>CNC floating</v>
      </c>
      <c r="D292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2" s="3" t="str">
        <f ca="1">IFERROR(__xludf.DUMMYFUNCTION("""COMPUTED_VALUE"""),"celý web")</f>
        <v>celý web</v>
      </c>
      <c r="F292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2" s="3" t="str">
        <f ca="1">IFERROR(__xludf.DUMMYFUNCTION("""COMPUTED_VALUE"""),"mobilní slide-up high season")</f>
        <v>mobilní slide-up high season</v>
      </c>
      <c r="H292" s="3">
        <f ca="1">IFERROR(__xludf.DUMMYFUNCTION("""COMPUTED_VALUE"""),7)</f>
        <v>7</v>
      </c>
      <c r="I292" s="5">
        <f ca="1">IFERROR(__xludf.DUMMYFUNCTION("""COMPUTED_VALUE"""),1000)</f>
        <v>1000</v>
      </c>
      <c r="J292" s="5">
        <f ca="1">IFERROR(__xludf.DUMMYFUNCTION("""COMPUTED_VALUE"""),680)</f>
        <v>680</v>
      </c>
      <c r="K292" s="3"/>
      <c r="L292" s="3" t="str">
        <f ca="1">IFERROR(__xludf.DUMMYFUNCTION("""COMPUTED_VALUE"""),"Cost per period")</f>
        <v>Cost per period</v>
      </c>
      <c r="M292" s="3"/>
      <c r="N292" s="3"/>
      <c r="O292" s="3" t="str">
        <f ca="1">IFERROR(__xludf.DUMMYFUNCTION("""COMPUTED_VALUE"""),"300")</f>
        <v>300</v>
      </c>
      <c r="P292" s="3" t="str">
        <f ca="1">IFERROR(__xludf.DUMMYFUNCTION("""COMPUTED_VALUE"""),"120")</f>
        <v>120</v>
      </c>
      <c r="Q292" s="3" t="str">
        <f ca="1">IFERROR(__xludf.DUMMYFUNCTION("""COMPUTED_VALUE"""),"300x120")</f>
        <v>300x120</v>
      </c>
      <c r="R292" s="3"/>
      <c r="S292" s="3" t="str">
        <f ca="1">IFERROR(__xludf.DUMMYFUNCTION("""COMPUTED_VALUE"""),"100")</f>
        <v>100</v>
      </c>
      <c r="T292" s="3"/>
      <c r="U292" s="3" t="str">
        <f ca="1">IFERROR(__xludf.DUMMYFUNCTION("""COMPUTED_VALUE"""),"banner standard")</f>
        <v>banner standard</v>
      </c>
      <c r="V292" s="3"/>
      <c r="W292" s="4" t="str">
        <f ca="1">IFERROR(__xludf.DUMMYFUNCTION("""COMPUTED_VALUE"""),"https://reklama.cncenter.cz/Online/mobilni-slide-up")</f>
        <v>https://reklama.cncenter.cz/Online/mobilni-slide-up</v>
      </c>
      <c r="X292" s="3"/>
      <c r="Y292" s="3"/>
      <c r="Z292" s="3" t="str">
        <f ca="1">IFERROR(__xludf.DUMMYFUNCTION("""COMPUTED_VALUE"""),"podklady@cncenter.cz")</f>
        <v>podklady@cncenter.cz</v>
      </c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 t="str">
        <f ca="1">IFERROR(__xludf.DUMMYFUNCTION("""COMPUTED_VALUE"""),"mobile")</f>
        <v>mobile</v>
      </c>
      <c r="AO292" s="3"/>
      <c r="AP292" s="3"/>
      <c r="AQ292" s="3"/>
      <c r="AR292" s="3"/>
      <c r="AS292" s="3"/>
      <c r="AT292" s="3"/>
      <c r="AU292" s="3" t="str">
        <f ca="1">IFERROR(__xludf.DUMMYFUNCTION("""COMPUTED_VALUE"""),"mobilní slide-up")</f>
        <v>mobilní slide-up</v>
      </c>
    </row>
    <row r="293" spans="1:47" x14ac:dyDescent="0.3">
      <c r="A293" s="3">
        <f ca="1"/>
        <v>2346826</v>
      </c>
      <c r="B293" s="3" t="str">
        <f ca="1"/>
        <v>CZECH NEWS CENTER a. s.</v>
      </c>
      <c r="C293" s="3" t="str">
        <f ca="1">IFERROR(__xludf.DUMMYFUNCTION("""COMPUTED_VALUE"""),"CNC floating")</f>
        <v>CNC floating</v>
      </c>
      <c r="D29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3" s="3" t="str">
        <f ca="1">IFERROR(__xludf.DUMMYFUNCTION("""COMPUTED_VALUE"""),"celý web")</f>
        <v>celý web</v>
      </c>
      <c r="F29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3" s="3" t="str">
        <f ca="1">IFERROR(__xludf.DUMMYFUNCTION("""COMPUTED_VALUE"""),"mobilní viněta high season")</f>
        <v>mobilní viněta high season</v>
      </c>
      <c r="H293" s="3">
        <f ca="1">IFERROR(__xludf.DUMMYFUNCTION("""COMPUTED_VALUE"""),7)</f>
        <v>7</v>
      </c>
      <c r="I293" s="5">
        <f ca="1">IFERROR(__xludf.DUMMYFUNCTION("""COMPUTED_VALUE"""),1000)</f>
        <v>1000</v>
      </c>
      <c r="J293" s="5">
        <f ca="1">IFERROR(__xludf.DUMMYFUNCTION("""COMPUTED_VALUE"""),1290)</f>
        <v>1290</v>
      </c>
      <c r="K293" s="3"/>
      <c r="L293" s="3" t="str">
        <f ca="1">IFERROR(__xludf.DUMMYFUNCTION("""COMPUTED_VALUE"""),"Cost per period")</f>
        <v>Cost per period</v>
      </c>
      <c r="M293" s="3"/>
      <c r="N293" s="3"/>
      <c r="O293" s="3" t="str">
        <f ca="1">IFERROR(__xludf.DUMMYFUNCTION("""COMPUTED_VALUE"""),"600")</f>
        <v>600</v>
      </c>
      <c r="P293" s="3" t="str">
        <f ca="1">IFERROR(__xludf.DUMMYFUNCTION("""COMPUTED_VALUE"""),"800")</f>
        <v>800</v>
      </c>
      <c r="Q293" s="3" t="str">
        <f ca="1">IFERROR(__xludf.DUMMYFUNCTION("""COMPUTED_VALUE"""),"300x250 nebo 600x800")</f>
        <v>300x250 nebo 600x800</v>
      </c>
      <c r="R293" s="3"/>
      <c r="S293" s="3" t="str">
        <f ca="1">IFERROR(__xludf.DUMMYFUNCTION("""COMPUTED_VALUE"""),"100")</f>
        <v>100</v>
      </c>
      <c r="T293" s="3"/>
      <c r="U293" s="3" t="str">
        <f ca="1">IFERROR(__xludf.DUMMYFUNCTION("""COMPUTED_VALUE"""),"banner standard")</f>
        <v>banner standard</v>
      </c>
      <c r="V293" s="3"/>
      <c r="W293" s="4" t="str">
        <f ca="1">IFERROR(__xludf.DUMMYFUNCTION("""COMPUTED_VALUE"""),"https://reklama.cncenter.cz/Online/mobilni-vineta")</f>
        <v>https://reklama.cncenter.cz/Online/mobilni-vineta</v>
      </c>
      <c r="X293" s="3"/>
      <c r="Y293" s="3"/>
      <c r="Z293" s="3" t="str">
        <f ca="1">IFERROR(__xludf.DUMMYFUNCTION("""COMPUTED_VALUE"""),"podklady@cncenter.cz")</f>
        <v>podklady@cncenter.cz</v>
      </c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 t="str">
        <f ca="1">IFERROR(__xludf.DUMMYFUNCTION("""COMPUTED_VALUE"""),"mobile")</f>
        <v>mobile</v>
      </c>
      <c r="AO293" s="3"/>
      <c r="AP293" s="3"/>
      <c r="AQ293" s="3"/>
      <c r="AR293" s="3"/>
      <c r="AS293" s="3"/>
      <c r="AT293" s="3"/>
      <c r="AU293" s="3" t="str">
        <f ca="1">IFERROR(__xludf.DUMMYFUNCTION("""COMPUTED_VALUE"""),"mobilní viněta")</f>
        <v>mobilní viněta</v>
      </c>
    </row>
    <row r="294" spans="1:47" x14ac:dyDescent="0.3">
      <c r="A294" s="3">
        <f ca="1"/>
        <v>2346826</v>
      </c>
      <c r="B294" s="3" t="str">
        <f ca="1"/>
        <v>CZECH NEWS CENTER a. s.</v>
      </c>
      <c r="C294" s="3" t="str">
        <f ca="1">IFERROR(__xludf.DUMMYFUNCTION("""COMPUTED_VALUE"""),"CNC floating")</f>
        <v>CNC floating</v>
      </c>
      <c r="D294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4" s="3" t="str">
        <f ca="1">IFERROR(__xludf.DUMMYFUNCTION("""COMPUTED_VALUE"""),"celý web")</f>
        <v>celý web</v>
      </c>
      <c r="F294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4" s="3" t="str">
        <f ca="1">IFERROR(__xludf.DUMMYFUNCTION("""COMPUTED_VALUE"""),"nativní rectangle cross-device high season")</f>
        <v>nativní rectangle cross-device high season</v>
      </c>
      <c r="H294" s="3">
        <f ca="1">IFERROR(__xludf.DUMMYFUNCTION("""COMPUTED_VALUE"""),7)</f>
        <v>7</v>
      </c>
      <c r="I294" s="5">
        <f ca="1">IFERROR(__xludf.DUMMYFUNCTION("""COMPUTED_VALUE"""),1000)</f>
        <v>1000</v>
      </c>
      <c r="J294" s="5">
        <f ca="1">IFERROR(__xludf.DUMMYFUNCTION("""COMPUTED_VALUE"""),280)</f>
        <v>280</v>
      </c>
      <c r="K294" s="3"/>
      <c r="L294" s="3" t="str">
        <f ca="1">IFERROR(__xludf.DUMMYFUNCTION("""COMPUTED_VALUE"""),"Cost per period")</f>
        <v>Cost per period</v>
      </c>
      <c r="M294" s="3"/>
      <c r="N294" s="3"/>
      <c r="O294" s="3" t="str">
        <f ca="1">IFERROR(__xludf.DUMMYFUNCTION("""COMPUTED_VALUE"""),"640")</f>
        <v>640</v>
      </c>
      <c r="P294" s="3" t="str">
        <f ca="1">IFERROR(__xludf.DUMMYFUNCTION("""COMPUTED_VALUE"""),"335, 640")</f>
        <v>335, 640</v>
      </c>
      <c r="Q294" s="3" t="str">
        <f ca="1">IFERROR(__xludf.DUMMYFUNCTION("""COMPUTED_VALUE"""),"640x640 a 640x335 + text + logo")</f>
        <v>640x640 a 640x335 + text + logo</v>
      </c>
      <c r="R294" s="3"/>
      <c r="S294" s="3" t="str">
        <f ca="1">IFERROR(__xludf.DUMMYFUNCTION("""COMPUTED_VALUE"""),"45")</f>
        <v>45</v>
      </c>
      <c r="T294" s="3"/>
      <c r="U294" s="3" t="str">
        <f ca="1">IFERROR(__xludf.DUMMYFUNCTION("""COMPUTED_VALUE"""),"nativní reklama")</f>
        <v>nativní reklama</v>
      </c>
      <c r="V294" s="3"/>
      <c r="W294" s="4" t="str">
        <f ca="1">IFERROR(__xludf.DUMMYFUNCTION("""COMPUTED_VALUE"""),"https://reklama.cncenter.cz/Online/nativni-rectangle-cross-device")</f>
        <v>https://reklama.cncenter.cz/Online/nativni-rectangle-cross-device</v>
      </c>
      <c r="X294" s="3"/>
      <c r="Y294" s="3"/>
      <c r="Z294" s="3" t="str">
        <f ca="1">IFERROR(__xludf.DUMMYFUNCTION("""COMPUTED_VALUE"""),"podklady@cncenter.cz")</f>
        <v>podklady@cncenter.cz</v>
      </c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 t="str">
        <f ca="1">IFERROR(__xludf.DUMMYFUNCTION("""COMPUTED_VALUE"""),"cross-device")</f>
        <v>cross-device</v>
      </c>
      <c r="AO294" s="3"/>
      <c r="AP294" s="3"/>
      <c r="AQ294" s="3"/>
      <c r="AR294" s="3"/>
      <c r="AS294" s="3"/>
      <c r="AT294" s="3"/>
      <c r="AU294" s="3" t="str">
        <f ca="1">IFERROR(__xludf.DUMMYFUNCTION("""COMPUTED_VALUE"""),"nativní rectangle cross-device")</f>
        <v>nativní rectangle cross-device</v>
      </c>
    </row>
    <row r="295" spans="1:47" x14ac:dyDescent="0.3">
      <c r="A295" s="3">
        <f ca="1"/>
        <v>2346826</v>
      </c>
      <c r="B295" s="3" t="str">
        <f ca="1"/>
        <v>CZECH NEWS CENTER a. s.</v>
      </c>
      <c r="C295" s="3" t="str">
        <f ca="1">IFERROR(__xludf.DUMMYFUNCTION("""COMPUTED_VALUE"""),"CNC floating")</f>
        <v>CNC floating</v>
      </c>
      <c r="D295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5" s="3" t="str">
        <f ca="1">IFERROR(__xludf.DUMMYFUNCTION("""COMPUTED_VALUE"""),"celý web")</f>
        <v>celý web</v>
      </c>
      <c r="F295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5" s="3" t="str">
        <f ca="1">IFERROR(__xludf.DUMMYFUNCTION("""COMPUTED_VALUE"""),"outstream high season")</f>
        <v>outstream high season</v>
      </c>
      <c r="H295" s="3">
        <f ca="1">IFERROR(__xludf.DUMMYFUNCTION("""COMPUTED_VALUE"""),7)</f>
        <v>7</v>
      </c>
      <c r="I295" s="5">
        <f ca="1">IFERROR(__xludf.DUMMYFUNCTION("""COMPUTED_VALUE"""),1000)</f>
        <v>1000</v>
      </c>
      <c r="J295" s="5">
        <f ca="1">IFERROR(__xludf.DUMMYFUNCTION("""COMPUTED_VALUE"""),350)</f>
        <v>350</v>
      </c>
      <c r="K295" s="3"/>
      <c r="L295" s="3" t="str">
        <f ca="1">IFERROR(__xludf.DUMMYFUNCTION("""COMPUTED_VALUE"""),"Cost per period")</f>
        <v>Cost per period</v>
      </c>
      <c r="M295" s="3"/>
      <c r="N295" s="3"/>
      <c r="O295" s="3" t="str">
        <f ca="1">IFERROR(__xludf.DUMMYFUNCTION("""COMPUTED_VALUE"""),"1280")</f>
        <v>1280</v>
      </c>
      <c r="P295" s="3" t="str">
        <f ca="1">IFERROR(__xludf.DUMMYFUNCTION("""COMPUTED_VALUE"""),"720")</f>
        <v>720</v>
      </c>
      <c r="Q295" s="3" t="str">
        <f ca="1">IFERROR(__xludf.DUMMYFUNCTION("""COMPUTED_VALUE"""),"16:9")</f>
        <v>16:9</v>
      </c>
      <c r="R295" s="3"/>
      <c r="S295" s="3" t="str">
        <f ca="1">IFERROR(__xludf.DUMMYFUNCTION("""COMPUTED_VALUE"""),"100")</f>
        <v>100</v>
      </c>
      <c r="T295" s="3"/>
      <c r="U295" s="3" t="str">
        <f ca="1">IFERROR(__xludf.DUMMYFUNCTION("""COMPUTED_VALUE"""),"videospot")</f>
        <v>videospot</v>
      </c>
      <c r="V295" s="3"/>
      <c r="W295" s="4" t="str">
        <f ca="1">IFERROR(__xludf.DUMMYFUNCTION("""COMPUTED_VALUE"""),"https://reklama.cncenter.cz/Online/Outstream")</f>
        <v>https://reklama.cncenter.cz/Online/Outstream</v>
      </c>
      <c r="X295" s="3"/>
      <c r="Y295" s="3"/>
      <c r="Z295" s="3" t="str">
        <f ca="1">IFERROR(__xludf.DUMMYFUNCTION("""COMPUTED_VALUE"""),"podklady@cncenter.cz")</f>
        <v>podklady@cncenter.cz</v>
      </c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 t="str">
        <f ca="1">IFERROR(__xludf.DUMMYFUNCTION("""COMPUTED_VALUE"""),"cross-device")</f>
        <v>cross-device</v>
      </c>
      <c r="AO295" s="3"/>
      <c r="AP295" s="3"/>
      <c r="AQ295" s="3"/>
      <c r="AR295" s="3"/>
      <c r="AS295" s="3"/>
      <c r="AT295" s="3"/>
      <c r="AU295" s="3" t="str">
        <f ca="1">IFERROR(__xludf.DUMMYFUNCTION("""COMPUTED_VALUE"""),"outstream")</f>
        <v>outstream</v>
      </c>
    </row>
    <row r="296" spans="1:47" x14ac:dyDescent="0.3">
      <c r="A296" s="3">
        <f ca="1"/>
        <v>2346826</v>
      </c>
      <c r="B296" s="3" t="str">
        <f ca="1"/>
        <v>CZECH NEWS CENTER a. s.</v>
      </c>
      <c r="C296" s="3" t="str">
        <f ca="1">IFERROR(__xludf.DUMMYFUNCTION("""COMPUTED_VALUE"""),"CNC floating")</f>
        <v>CNC floating</v>
      </c>
      <c r="D296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6" s="3" t="str">
        <f ca="1">IFERROR(__xludf.DUMMYFUNCTION("""COMPUTED_VALUE"""),"celý web")</f>
        <v>celý web</v>
      </c>
      <c r="F296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6" s="3" t="str">
        <f ca="1">IFERROR(__xludf.DUMMYFUNCTION("""COMPUTED_VALUE"""),"PR chat high season")</f>
        <v>PR chat high season</v>
      </c>
      <c r="H296" s="3">
        <f ca="1">IFERROR(__xludf.DUMMYFUNCTION("""COMPUTED_VALUE"""),1)</f>
        <v>1</v>
      </c>
      <c r="I296" s="5">
        <f ca="1">IFERROR(__xludf.DUMMYFUNCTION("""COMPUTED_VALUE"""),1)</f>
        <v>1</v>
      </c>
      <c r="J296" s="5">
        <f ca="1">IFERROR(__xludf.DUMMYFUNCTION("""COMPUTED_VALUE"""),50000)</f>
        <v>50000</v>
      </c>
      <c r="K296" s="3"/>
      <c r="L296" s="3" t="str">
        <f ca="1">IFERROR(__xludf.DUMMYFUNCTION("""COMPUTED_VALUE"""),"Cost per instance")</f>
        <v>Cost per instance</v>
      </c>
      <c r="M296" s="3"/>
      <c r="N296" s="3"/>
      <c r="O296" s="3"/>
      <c r="P296" s="3"/>
      <c r="Q296" s="3"/>
      <c r="R296" s="3"/>
      <c r="S296" s="3" t="str">
        <f ca="1">IFERROR(__xludf.DUMMYFUNCTION("""COMPUTED_VALUE"""),"100")</f>
        <v>100</v>
      </c>
      <c r="T296" s="3"/>
      <c r="U296" s="3" t="str">
        <f ca="1">IFERROR(__xludf.DUMMYFUNCTION("""COMPUTED_VALUE"""),"pr článek")</f>
        <v>pr článek</v>
      </c>
      <c r="V296" s="3"/>
      <c r="W296" s="3"/>
      <c r="X296" s="3"/>
      <c r="Y296" s="3"/>
      <c r="Z296" s="3" t="str">
        <f ca="1">IFERROR(__xludf.DUMMYFUNCTION("""COMPUTED_VALUE"""),"podklady@cncenter.cz")</f>
        <v>podklady@cncenter.cz</v>
      </c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 t="str">
        <f ca="1">IFERROR(__xludf.DUMMYFUNCTION("""COMPUTED_VALUE"""),"cross-device")</f>
        <v>cross-device</v>
      </c>
      <c r="AO296" s="3"/>
      <c r="AP296" s="3"/>
      <c r="AQ296" s="3"/>
      <c r="AR296" s="3"/>
      <c r="AS296" s="3"/>
      <c r="AT296" s="3"/>
      <c r="AU296" s="3" t="str">
        <f ca="1">IFERROR(__xludf.DUMMYFUNCTION("""COMPUTED_VALUE"""),"PR chat")</f>
        <v>PR chat</v>
      </c>
    </row>
    <row r="297" spans="1:47" x14ac:dyDescent="0.3">
      <c r="A297" s="3">
        <f ca="1"/>
        <v>2346826</v>
      </c>
      <c r="B297" s="3" t="str">
        <f ca="1"/>
        <v>CZECH NEWS CENTER a. s.</v>
      </c>
      <c r="C297" s="3" t="str">
        <f ca="1">IFERROR(__xludf.DUMMYFUNCTION("""COMPUTED_VALUE"""),"CNC floating")</f>
        <v>CNC floating</v>
      </c>
      <c r="D297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7" s="3" t="str">
        <f ca="1">IFERROR(__xludf.DUMMYFUNCTION("""COMPUTED_VALUE"""),"celý web")</f>
        <v>celý web</v>
      </c>
      <c r="F297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7" s="3" t="str">
        <f ca="1">IFERROR(__xludf.DUMMYFUNCTION("""COMPUTED_VALUE"""),"Smarticle high season")</f>
        <v>Smarticle high season</v>
      </c>
      <c r="H297" s="3">
        <f ca="1">IFERROR(__xludf.DUMMYFUNCTION("""COMPUTED_VALUE"""),7)</f>
        <v>7</v>
      </c>
      <c r="I297" s="5">
        <f ca="1">IFERROR(__xludf.DUMMYFUNCTION("""COMPUTED_VALUE"""),1000)</f>
        <v>1000</v>
      </c>
      <c r="J297" s="5">
        <f ca="1">IFERROR(__xludf.DUMMYFUNCTION("""COMPUTED_VALUE"""),170)</f>
        <v>170</v>
      </c>
      <c r="K297" s="3"/>
      <c r="L297" s="3" t="str">
        <f ca="1">IFERROR(__xludf.DUMMYFUNCTION("""COMPUTED_VALUE"""),"Cost per period")</f>
        <v>Cost per period</v>
      </c>
      <c r="M297" s="3"/>
      <c r="N297" s="3" t="str">
        <f ca="1">IFERROR(__xludf.DUMMYFUNCTION("""COMPUTED_VALUE"""),"A4")</f>
        <v>A4</v>
      </c>
      <c r="O297" s="3"/>
      <c r="P297" s="3"/>
      <c r="Q297" s="3" t="str">
        <f ca="1">IFERROR(__xludf.DUMMYFUNCTION("""COMPUTED_VALUE"""),"viz. tech.specifikace; HP + sekce")</f>
        <v>viz. tech.specifikace; HP + sekce</v>
      </c>
      <c r="R297" s="3" t="str">
        <f ca="1">IFERROR(__xludf.DUMMYFUNCTION("""COMPUTED_VALUE"""),"HP + sekce")</f>
        <v>HP + sekce</v>
      </c>
      <c r="S297" s="3" t="str">
        <f ca="1">IFERROR(__xludf.DUMMYFUNCTION("""COMPUTED_VALUE"""),"100")</f>
        <v>100</v>
      </c>
      <c r="T297" s="3"/>
      <c r="U297" s="3" t="str">
        <f ca="1">IFERROR(__xludf.DUMMYFUNCTION("""COMPUTED_VALUE"""),"pr článek")</f>
        <v>pr článek</v>
      </c>
      <c r="V297" s="3"/>
      <c r="W297" s="4" t="str">
        <f ca="1">IFERROR(__xludf.DUMMYFUNCTION("""COMPUTED_VALUE"""),"https://reklama.cncenter.cz/Online/Smarticle")</f>
        <v>https://reklama.cncenter.cz/Online/Smarticle</v>
      </c>
      <c r="X297" s="3"/>
      <c r="Y297" s="3"/>
      <c r="Z297" s="3" t="str">
        <f ca="1">IFERROR(__xludf.DUMMYFUNCTION("""COMPUTED_VALUE"""),"podklady@cncenter.cz")</f>
        <v>podklady@cncenter.cz</v>
      </c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 t="str">
        <f ca="1">IFERROR(__xludf.DUMMYFUNCTION("""COMPUTED_VALUE"""),"cross-device")</f>
        <v>cross-device</v>
      </c>
      <c r="AO297" s="3"/>
      <c r="AP297" s="3"/>
      <c r="AQ297" s="3"/>
      <c r="AR297" s="3"/>
      <c r="AS297" s="3"/>
      <c r="AT297" s="3"/>
      <c r="AU297" s="3" t="str">
        <f ca="1">IFERROR(__xludf.DUMMYFUNCTION("""COMPUTED_VALUE"""),"Smarticle")</f>
        <v>Smarticle</v>
      </c>
    </row>
    <row r="298" spans="1:47" x14ac:dyDescent="0.3">
      <c r="A298" s="3">
        <f ca="1"/>
        <v>2346826</v>
      </c>
      <c r="B298" s="3" t="str">
        <f ca="1"/>
        <v>CZECH NEWS CENTER a. s.</v>
      </c>
      <c r="C298" s="3" t="str">
        <f ca="1">IFERROR(__xludf.DUMMYFUNCTION("""COMPUTED_VALUE"""),"CNC floating")</f>
        <v>CNC floating</v>
      </c>
      <c r="D298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8" s="3" t="str">
        <f ca="1">IFERROR(__xludf.DUMMYFUNCTION("""COMPUTED_VALUE"""),"celý web")</f>
        <v>celý web</v>
      </c>
      <c r="F298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8" s="3" t="str">
        <f ca="1">IFERROR(__xludf.DUMMYFUNCTION("""COMPUTED_VALUE"""),"Speciální spolupráce high season")</f>
        <v>Speciální spolupráce high season</v>
      </c>
      <c r="H298" s="3">
        <f ca="1">IFERROR(__xludf.DUMMYFUNCTION("""COMPUTED_VALUE"""),1)</f>
        <v>1</v>
      </c>
      <c r="I298" s="5">
        <f ca="1">IFERROR(__xludf.DUMMYFUNCTION("""COMPUTED_VALUE"""),1)</f>
        <v>1</v>
      </c>
      <c r="J298" s="5"/>
      <c r="K298" s="3"/>
      <c r="L298" s="3" t="str">
        <f ca="1">IFERROR(__xludf.DUMMYFUNCTION("""COMPUTED_VALUE"""),"Cost per instance")</f>
        <v>Cost per instance</v>
      </c>
      <c r="M298" s="3"/>
      <c r="N298" s="3"/>
      <c r="O298" s="3"/>
      <c r="P298" s="3"/>
      <c r="Q298" s="3" t="str">
        <f ca="1">IFERROR(__xludf.DUMMYFUNCTION("""COMPUTED_VALUE"""),"viz. tech.specifikace")</f>
        <v>viz. tech.specifikace</v>
      </c>
      <c r="R298" s="3"/>
      <c r="S298" s="3" t="str">
        <f ca="1">IFERROR(__xludf.DUMMYFUNCTION("""COMPUTED_VALUE"""),"100")</f>
        <v>100</v>
      </c>
      <c r="T298" s="3"/>
      <c r="U298" s="3" t="str">
        <f ca="1">IFERROR(__xludf.DUMMYFUNCTION("""COMPUTED_VALUE"""),"pr článek")</f>
        <v>pr článek</v>
      </c>
      <c r="V298" s="3"/>
      <c r="W298" s="3"/>
      <c r="X298" s="3"/>
      <c r="Y298" s="3"/>
      <c r="Z298" s="3" t="str">
        <f ca="1">IFERROR(__xludf.DUMMYFUNCTION("""COMPUTED_VALUE"""),"podklady@cncenter.cz")</f>
        <v>podklady@cncenter.cz</v>
      </c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 t="str">
        <f ca="1">IFERROR(__xludf.DUMMYFUNCTION("""COMPUTED_VALUE"""),"cross-device")</f>
        <v>cross-device</v>
      </c>
      <c r="AO298" s="3"/>
      <c r="AP298" s="3"/>
      <c r="AQ298" s="3"/>
      <c r="AR298" s="3"/>
      <c r="AS298" s="3"/>
      <c r="AT298" s="3"/>
      <c r="AU298" s="3" t="str">
        <f ca="1">IFERROR(__xludf.DUMMYFUNCTION("""COMPUTED_VALUE"""),"Speciální spolupráce")</f>
        <v>Speciální spolupráce</v>
      </c>
    </row>
    <row r="299" spans="1:47" x14ac:dyDescent="0.3">
      <c r="A299" s="3">
        <f ca="1"/>
        <v>2346826</v>
      </c>
      <c r="B299" s="3" t="str">
        <f ca="1"/>
        <v>CZECH NEWS CENTER a. s.</v>
      </c>
      <c r="C299" s="3" t="str">
        <f ca="1">IFERROR(__xludf.DUMMYFUNCTION("""COMPUTED_VALUE"""),"CNC floating")</f>
        <v>CNC floating</v>
      </c>
      <c r="D299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299" s="3" t="str">
        <f ca="1">IFERROR(__xludf.DUMMYFUNCTION("""COMPUTED_VALUE"""),"celý web")</f>
        <v>celý web</v>
      </c>
      <c r="F299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299" s="3" t="str">
        <f ca="1">IFERROR(__xludf.DUMMYFUNCTION("""COMPUTED_VALUE"""),"tvorba článku vč. rešerše high season")</f>
        <v>tvorba článku vč. rešerše high season</v>
      </c>
      <c r="H299" s="3">
        <f ca="1">IFERROR(__xludf.DUMMYFUNCTION("""COMPUTED_VALUE"""),1)</f>
        <v>1</v>
      </c>
      <c r="I299" s="5">
        <f ca="1">IFERROR(__xludf.DUMMYFUNCTION("""COMPUTED_VALUE"""),1)</f>
        <v>1</v>
      </c>
      <c r="J299" s="5">
        <f ca="1">IFERROR(__xludf.DUMMYFUNCTION("""COMPUTED_VALUE"""),4000)</f>
        <v>4000</v>
      </c>
      <c r="K299" s="3"/>
      <c r="L299" s="3" t="str">
        <f ca="1">IFERROR(__xludf.DUMMYFUNCTION("""COMPUTED_VALUE"""),"Cost per instance")</f>
        <v>Cost per instance</v>
      </c>
      <c r="M299" s="3"/>
      <c r="N299" s="3"/>
      <c r="O299" s="3"/>
      <c r="P299" s="3"/>
      <c r="Q299" s="3"/>
      <c r="R299" s="3"/>
      <c r="S299" s="3" t="str">
        <f ca="1">IFERROR(__xludf.DUMMYFUNCTION("""COMPUTED_VALUE"""),"100")</f>
        <v>100</v>
      </c>
      <c r="T299" s="3"/>
      <c r="U299" s="3" t="str">
        <f ca="1">IFERROR(__xludf.DUMMYFUNCTION("""COMPUTED_VALUE"""),"pr nestandard")</f>
        <v>pr nestandard</v>
      </c>
      <c r="V299" s="3"/>
      <c r="W299" s="3"/>
      <c r="X299" s="3"/>
      <c r="Y299" s="3"/>
      <c r="Z299" s="3" t="str">
        <f ca="1">IFERROR(__xludf.DUMMYFUNCTION("""COMPUTED_VALUE"""),"podklady@cncenter.cz")</f>
        <v>podklady@cncenter.cz</v>
      </c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 t="str">
        <f ca="1">IFERROR(__xludf.DUMMYFUNCTION("""COMPUTED_VALUE"""),"cross-device")</f>
        <v>cross-device</v>
      </c>
      <c r="AO299" s="3"/>
      <c r="AP299" s="3"/>
      <c r="AQ299" s="3"/>
      <c r="AR299" s="3"/>
      <c r="AS299" s="3"/>
      <c r="AT299" s="3"/>
      <c r="AU299" s="3" t="str">
        <f ca="1">IFERROR(__xludf.DUMMYFUNCTION("""COMPUTED_VALUE"""),"tvorba článku vč. rešerše")</f>
        <v>tvorba článku vč. rešerše</v>
      </c>
    </row>
    <row r="300" spans="1:47" x14ac:dyDescent="0.3">
      <c r="A300" s="3">
        <f ca="1"/>
        <v>2346826</v>
      </c>
      <c r="B300" s="3" t="str">
        <f ca="1"/>
        <v>CZECH NEWS CENTER a. s.</v>
      </c>
      <c r="C300" s="3" t="str">
        <f ca="1">IFERROR(__xludf.DUMMYFUNCTION("""COMPUTED_VALUE"""),"CNC floating")</f>
        <v>CNC floating</v>
      </c>
      <c r="D300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300" s="3" t="str">
        <f ca="1">IFERROR(__xludf.DUMMYFUNCTION("""COMPUTED_VALUE"""),"celý web")</f>
        <v>celý web</v>
      </c>
      <c r="F300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300" s="3" t="str">
        <f ca="1">IFERROR(__xludf.DUMMYFUNCTION("""COMPUTED_VALUE"""),"video reklamního typu bez mediálního prostoru high season")</f>
        <v>video reklamního typu bez mediálního prostoru high season</v>
      </c>
      <c r="H300" s="3">
        <f ca="1">IFERROR(__xludf.DUMMYFUNCTION("""COMPUTED_VALUE"""),1)</f>
        <v>1</v>
      </c>
      <c r="I300" s="5">
        <f ca="1">IFERROR(__xludf.DUMMYFUNCTION("""COMPUTED_VALUE"""),1)</f>
        <v>1</v>
      </c>
      <c r="J300" s="5">
        <f ca="1">IFERROR(__xludf.DUMMYFUNCTION("""COMPUTED_VALUE"""),200000)</f>
        <v>200000</v>
      </c>
      <c r="K300" s="3"/>
      <c r="L300" s="3" t="str">
        <f ca="1">IFERROR(__xludf.DUMMYFUNCTION("""COMPUTED_VALUE"""),"Cost per instance")</f>
        <v>Cost per instance</v>
      </c>
      <c r="M300" s="3"/>
      <c r="N300" s="3"/>
      <c r="O300" s="3"/>
      <c r="P300" s="3"/>
      <c r="Q300" s="3"/>
      <c r="R300" s="3" t="str">
        <f ca="1">IFERROR(__xludf.DUMMYFUNCTION("""COMPUTED_VALUE"""),"cena od 200 000 Kč")</f>
        <v>cena od 200 000 Kč</v>
      </c>
      <c r="S300" s="3" t="str">
        <f ca="1">IFERROR(__xludf.DUMMYFUNCTION("""COMPUTED_VALUE"""),"100")</f>
        <v>100</v>
      </c>
      <c r="T300" s="3"/>
      <c r="U300" s="3" t="str">
        <f ca="1">IFERROR(__xludf.DUMMYFUNCTION("""COMPUTED_VALUE"""),"pr video")</f>
        <v>pr video</v>
      </c>
      <c r="V300" s="3"/>
      <c r="W300" s="3"/>
      <c r="X300" s="3"/>
      <c r="Y300" s="3"/>
      <c r="Z300" s="3" t="str">
        <f ca="1">IFERROR(__xludf.DUMMYFUNCTION("""COMPUTED_VALUE"""),"podklady@cncenter.cz")</f>
        <v>podklady@cncenter.cz</v>
      </c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 t="str">
        <f ca="1">IFERROR(__xludf.DUMMYFUNCTION("""COMPUTED_VALUE"""),"cross-device")</f>
        <v>cross-device</v>
      </c>
      <c r="AO300" s="3"/>
      <c r="AP300" s="3"/>
      <c r="AQ300" s="3"/>
      <c r="AR300" s="3"/>
      <c r="AS300" s="3"/>
      <c r="AT300" s="3"/>
      <c r="AU300" s="3" t="str">
        <f ca="1">IFERROR(__xludf.DUMMYFUNCTION("""COMPUTED_VALUE"""),"video reklamního typu bez mediálního prostoru")</f>
        <v>video reklamního typu bez mediálního prostoru</v>
      </c>
    </row>
    <row r="301" spans="1:47" x14ac:dyDescent="0.3">
      <c r="A301" s="3">
        <f ca="1"/>
        <v>2346826</v>
      </c>
      <c r="B301" s="3" t="str">
        <f ca="1"/>
        <v>CZECH NEWS CENTER a. s.</v>
      </c>
      <c r="C301" s="3" t="str">
        <f ca="1">IFERROR(__xludf.DUMMYFUNCTION("""COMPUTED_VALUE"""),"CNC floating")</f>
        <v>CNC floating</v>
      </c>
      <c r="D301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301" s="3" t="str">
        <f ca="1">IFERROR(__xludf.DUMMYFUNCTION("""COMPUTED_VALUE"""),"celý web")</f>
        <v>celý web</v>
      </c>
      <c r="F301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301" s="3" t="str">
        <f ca="1">IFERROR(__xludf.DUMMYFUNCTION("""COMPUTED_VALUE"""),"video reklamního typu s mediálním prostorem high season")</f>
        <v>video reklamního typu s mediálním prostorem high season</v>
      </c>
      <c r="H301" s="3">
        <f ca="1">IFERROR(__xludf.DUMMYFUNCTION("""COMPUTED_VALUE"""),1)</f>
        <v>1</v>
      </c>
      <c r="I301" s="5">
        <f ca="1">IFERROR(__xludf.DUMMYFUNCTION("""COMPUTED_VALUE"""),1)</f>
        <v>1</v>
      </c>
      <c r="J301" s="5">
        <f ca="1">IFERROR(__xludf.DUMMYFUNCTION("""COMPUTED_VALUE"""),300000)</f>
        <v>300000</v>
      </c>
      <c r="K301" s="3"/>
      <c r="L301" s="3" t="str">
        <f ca="1">IFERROR(__xludf.DUMMYFUNCTION("""COMPUTED_VALUE"""),"Cost per instance")</f>
        <v>Cost per instance</v>
      </c>
      <c r="M301" s="3"/>
      <c r="N301" s="3"/>
      <c r="O301" s="3"/>
      <c r="P301" s="3"/>
      <c r="Q301" s="3"/>
      <c r="R301" s="3" t="str">
        <f ca="1">IFERROR(__xludf.DUMMYFUNCTION("""COMPUTED_VALUE"""),"cena bez možnosti slevy")</f>
        <v>cena bez možnosti slevy</v>
      </c>
      <c r="S301" s="3" t="str">
        <f ca="1">IFERROR(__xludf.DUMMYFUNCTION("""COMPUTED_VALUE"""),"100")</f>
        <v>100</v>
      </c>
      <c r="T301" s="3"/>
      <c r="U301" s="3" t="str">
        <f ca="1">IFERROR(__xludf.DUMMYFUNCTION("""COMPUTED_VALUE"""),"pr video")</f>
        <v>pr video</v>
      </c>
      <c r="V301" s="3"/>
      <c r="W301" s="3"/>
      <c r="X301" s="3"/>
      <c r="Y301" s="3"/>
      <c r="Z301" s="3" t="str">
        <f ca="1">IFERROR(__xludf.DUMMYFUNCTION("""COMPUTED_VALUE"""),"podklady@cncenter.cz")</f>
        <v>podklady@cncenter.cz</v>
      </c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 t="str">
        <f ca="1">IFERROR(__xludf.DUMMYFUNCTION("""COMPUTED_VALUE"""),"cross-device")</f>
        <v>cross-device</v>
      </c>
      <c r="AO301" s="3"/>
      <c r="AP301" s="3"/>
      <c r="AQ301" s="3"/>
      <c r="AR301" s="3"/>
      <c r="AS301" s="3"/>
      <c r="AT301" s="3"/>
      <c r="AU301" s="3" t="str">
        <f ca="1">IFERROR(__xludf.DUMMYFUNCTION("""COMPUTED_VALUE"""),"video reklamního typu s mediálním prostorem")</f>
        <v>video reklamního typu s mediálním prostorem</v>
      </c>
    </row>
    <row r="302" spans="1:47" x14ac:dyDescent="0.3">
      <c r="A302" s="3">
        <f ca="1"/>
        <v>2346826</v>
      </c>
      <c r="B302" s="3" t="str">
        <f ca="1"/>
        <v>CZECH NEWS CENTER a. s.</v>
      </c>
      <c r="C302" s="3" t="str">
        <f ca="1">IFERROR(__xludf.DUMMYFUNCTION("""COMPUTED_VALUE"""),"CNC floating")</f>
        <v>CNC floating</v>
      </c>
      <c r="D302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302" s="3" t="str">
        <f ca="1">IFERROR(__xludf.DUMMYFUNCTION("""COMPUTED_VALUE"""),"celý web")</f>
        <v>celý web</v>
      </c>
      <c r="F302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302" s="3" t="str">
        <f ca="1">IFERROR(__xludf.DUMMYFUNCTION("""COMPUTED_VALUE"""),"videospot - max. 30 sec. / bumper high season")</f>
        <v>videospot - max. 30 sec. / bumper high season</v>
      </c>
      <c r="H302" s="3">
        <f ca="1">IFERROR(__xludf.DUMMYFUNCTION("""COMPUTED_VALUE"""),7)</f>
        <v>7</v>
      </c>
      <c r="I302" s="5">
        <f ca="1">IFERROR(__xludf.DUMMYFUNCTION("""COMPUTED_VALUE"""),1000)</f>
        <v>1000</v>
      </c>
      <c r="J302" s="5">
        <f ca="1">IFERROR(__xludf.DUMMYFUNCTION("""COMPUTED_VALUE"""),1030)</f>
        <v>1030</v>
      </c>
      <c r="K302" s="3"/>
      <c r="L302" s="3" t="str">
        <f ca="1">IFERROR(__xludf.DUMMYFUNCTION("""COMPUTED_VALUE"""),"Cost per period")</f>
        <v>Cost per period</v>
      </c>
      <c r="M302" s="3"/>
      <c r="N302" s="3"/>
      <c r="O302" s="3" t="str">
        <f ca="1">IFERROR(__xludf.DUMMYFUNCTION("""COMPUTED_VALUE"""),"1280")</f>
        <v>1280</v>
      </c>
      <c r="P302" s="3" t="str">
        <f ca="1">IFERROR(__xludf.DUMMYFUNCTION("""COMPUTED_VALUE"""),"720")</f>
        <v>720</v>
      </c>
      <c r="Q302" s="3" t="str">
        <f ca="1">IFERROR(__xludf.DUMMYFUNCTION("""COMPUTED_VALUE"""),"16:9 / umístění po domluvě dle možností")</f>
        <v>16:9 / umístění po domluvě dle možností</v>
      </c>
      <c r="R302" s="3" t="str">
        <f ca="1">IFERROR(__xludf.DUMMYFUNCTION("""COMPUTED_VALUE"""),"přeskočení po 7 sekundách")</f>
        <v>přeskočení po 7 sekundách</v>
      </c>
      <c r="S302" s="3" t="str">
        <f ca="1">IFERROR(__xludf.DUMMYFUNCTION("""COMPUTED_VALUE"""),"100")</f>
        <v>100</v>
      </c>
      <c r="T302" s="3"/>
      <c r="U302" s="3" t="str">
        <f ca="1">IFERROR(__xludf.DUMMYFUNCTION("""COMPUTED_VALUE"""),"videospot")</f>
        <v>videospot</v>
      </c>
      <c r="V302" s="3"/>
      <c r="W302" s="4" t="str">
        <f ca="1">IFERROR(__xludf.DUMMYFUNCTION("""COMPUTED_VALUE"""),"https://reklama.cncenter.cz/Online/Bumper")</f>
        <v>https://reklama.cncenter.cz/Online/Bumper</v>
      </c>
      <c r="X302" s="3"/>
      <c r="Y302" s="3"/>
      <c r="Z302" s="3" t="str">
        <f ca="1">IFERROR(__xludf.DUMMYFUNCTION("""COMPUTED_VALUE"""),"podklady@cncenter.cz")</f>
        <v>podklady@cncenter.cz</v>
      </c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 t="str">
        <f ca="1">IFERROR(__xludf.DUMMYFUNCTION("""COMPUTED_VALUE"""),"cross-device")</f>
        <v>cross-device</v>
      </c>
      <c r="AO302" s="3"/>
      <c r="AP302" s="3"/>
      <c r="AQ302" s="3"/>
      <c r="AR302" s="3"/>
      <c r="AS302" s="3"/>
      <c r="AT302" s="3"/>
      <c r="AU302" s="3" t="str">
        <f ca="1">IFERROR(__xludf.DUMMYFUNCTION("""COMPUTED_VALUE"""),"videospot - max. 30 sec. / bumper")</f>
        <v>videospot - max. 30 sec. / bumper</v>
      </c>
    </row>
    <row r="303" spans="1:47" x14ac:dyDescent="0.3">
      <c r="A303" s="3">
        <f ca="1"/>
        <v>2346826</v>
      </c>
      <c r="B303" s="3" t="str">
        <f ca="1"/>
        <v>CZECH NEWS CENTER a. s.</v>
      </c>
      <c r="C303" s="3" t="str">
        <f ca="1">IFERROR(__xludf.DUMMYFUNCTION("""COMPUTED_VALUE"""),"CNC floating")</f>
        <v>CNC floating</v>
      </c>
      <c r="D30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E303" s="3" t="str">
        <f ca="1">IFERROR(__xludf.DUMMYFUNCTION("""COMPUTED_VALUE"""),"celý web")</f>
        <v>celý web</v>
      </c>
      <c r="F303" s="3" t="str">
        <f ca="1">IFERROR(__xludf.DUMMYFUNCTION("""COMPUTED_VALUE"""),"https://abecedazahrady.dama.cz, https://abicko.cz, https://ahaonline.cz, https://auto.cz, https://autorevue.cz, https://avmania.zive.cz, https://blesk.cz, https://bleskprozeny.cz, https://ceskepodcasty.cz, https://dama.cz, https://digiarena.zive.cz, https"&amp;"://doupe.zive.cz, https://e15.cz, https://e15.cz/formen, https://evropa2.cz, https://fitweb.cz, https://frekvence1.cz, https://hledejceny.cz, https://hobbykompas.cz, https://isport.cz, https://lideazeme.cz, https://maminka.cz, https://mimibazarcz.cz, http"&amp;"s://mimibazarsk.cz, https://mobilmania.cz, https://mojepsychologie.cz, https://mojezdravi.cz, https://realitnitrh.cz, https://recepty.cz, https://reflex.cz, https://sportrevue.cz, https://stargaze.com, https://youradio.cz, https://zbozi.auto.cz, https://z"&amp;"bozi.blesk.cz, https://zbozi.dama.cz, https://zbozi.zive.cz, https://zeny.cz, https://zive.cz")</f>
        <v>https://abecedazahrady.dama.cz, https://abicko.cz, https://ahaonline.cz, https://auto.cz, https://autorevue.cz, https://avmania.zive.cz, https://blesk.cz, https://bleskprozeny.cz, https://ceskepodcasty.cz, https://dama.cz, https://digiarena.zive.cz, https://doupe.zive.cz, https://e15.cz, https://e15.cz/formen, https://evropa2.cz, https://fitweb.cz, https://frekvence1.cz, https://hledejceny.cz, https://hobbykompas.cz, https://isport.cz, https://lideazeme.cz, https://maminka.cz, https://mimibazarcz.cz, https://mimibazarsk.cz, https://mobilmania.cz, https://mojepsychologie.cz, https://mojezdravi.cz, https://realitnitrh.cz, https://recepty.cz, https://reflex.cz, https://sportrevue.cz, https://stargaze.com, https://youradio.cz, https://zbozi.auto.cz, https://zbozi.blesk.cz, https://zbozi.dama.cz, https://zbozi.zive.cz, https://zeny.cz, https://zive.cz</v>
      </c>
      <c r="G303" s="3" t="str">
        <f ca="1">IFERROR(__xludf.DUMMYFUNCTION("""COMPUTED_VALUE"""),"vytvoření nebo úprava 1 ks banneru z dodaného master podkladu high season")</f>
        <v>vytvoření nebo úprava 1 ks banneru z dodaného master podkladu high season</v>
      </c>
      <c r="H303" s="3">
        <f ca="1">IFERROR(__xludf.DUMMYFUNCTION("""COMPUTED_VALUE"""),1)</f>
        <v>1</v>
      </c>
      <c r="I303" s="5">
        <f ca="1">IFERROR(__xludf.DUMMYFUNCTION("""COMPUTED_VALUE"""),1)</f>
        <v>1</v>
      </c>
      <c r="J303" s="5"/>
      <c r="K303" s="3"/>
      <c r="L303" s="3" t="str">
        <f ca="1">IFERROR(__xludf.DUMMYFUNCTION("""COMPUTED_VALUE"""),"Cost per instance")</f>
        <v>Cost per instance</v>
      </c>
      <c r="M303" s="3"/>
      <c r="N303" s="3"/>
      <c r="O303" s="3"/>
      <c r="P303" s="3"/>
      <c r="Q303" s="3"/>
      <c r="R303" s="3"/>
      <c r="S303" s="3" t="str">
        <f ca="1">IFERROR(__xludf.DUMMYFUNCTION("""COMPUTED_VALUE"""),"100")</f>
        <v>100</v>
      </c>
      <c r="T303" s="3"/>
      <c r="U303" s="3" t="str">
        <f ca="1">IFERROR(__xludf.DUMMYFUNCTION("""COMPUTED_VALUE"""),"pr nestandard")</f>
        <v>pr nestandard</v>
      </c>
      <c r="V303" s="3"/>
      <c r="W303" s="3"/>
      <c r="X303" s="3"/>
      <c r="Y303" s="3"/>
      <c r="Z303" s="3" t="str">
        <f ca="1">IFERROR(__xludf.DUMMYFUNCTION("""COMPUTED_VALUE"""),"podklady@cncenter.cz")</f>
        <v>podklady@cncenter.cz</v>
      </c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 t="str">
        <f ca="1">IFERROR(__xludf.DUMMYFUNCTION("""COMPUTED_VALUE"""),"cross-device")</f>
        <v>cross-device</v>
      </c>
      <c r="AO303" s="3"/>
      <c r="AP303" s="3"/>
      <c r="AQ303" s="3"/>
      <c r="AR303" s="3"/>
      <c r="AS303" s="3"/>
      <c r="AT303" s="3"/>
      <c r="AU303" s="3" t="str">
        <f ca="1">IFERROR(__xludf.DUMMYFUNCTION("""COMPUTED_VALUE"""),"vytvoření nebo úprava 1 ks banneru z dodaného master podkladu")</f>
        <v>vytvoření nebo úprava 1 ks banneru z dodaného master podkladu</v>
      </c>
    </row>
    <row r="304" spans="1:47" x14ac:dyDescent="0.3">
      <c r="A304" s="3">
        <f ca="1"/>
        <v>2346826</v>
      </c>
      <c r="B304" s="3" t="str">
        <f ca="1"/>
        <v>CZECH NEWS CENTER a. s.</v>
      </c>
      <c r="C304" s="3" t="str">
        <f ca="1">IFERROR(__xludf.DUMMYFUNCTION("""COMPUTED_VALUE"""),"CNC IT &amp; mobile &amp; digital pack")</f>
        <v>CNC IT &amp; mobile &amp; digital pack</v>
      </c>
      <c r="D304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04" s="3" t="str">
        <f ca="1">IFERROR(__xludf.DUMMYFUNCTION("""COMPUTED_VALUE"""),"celý web")</f>
        <v>celý web</v>
      </c>
      <c r="F304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04" s="3" t="str">
        <f ca="1">IFERROR(__xludf.DUMMYFUNCTION("""COMPUTED_VALUE"""),"billboard bottom high season")</f>
        <v>billboard bottom high season</v>
      </c>
      <c r="H304" s="3">
        <f ca="1">IFERROR(__xludf.DUMMYFUNCTION("""COMPUTED_VALUE"""),7)</f>
        <v>7</v>
      </c>
      <c r="I304" s="5">
        <f ca="1">IFERROR(__xludf.DUMMYFUNCTION("""COMPUTED_VALUE"""),1000)</f>
        <v>1000</v>
      </c>
      <c r="J304" s="5">
        <f ca="1">IFERROR(__xludf.DUMMYFUNCTION("""COMPUTED_VALUE"""),380)</f>
        <v>380</v>
      </c>
      <c r="K304" s="3"/>
      <c r="L304" s="3" t="str">
        <f ca="1">IFERROR(__xludf.DUMMYFUNCTION("""COMPUTED_VALUE"""),"Cost per period")</f>
        <v>Cost per period</v>
      </c>
      <c r="M304" s="3"/>
      <c r="N304" s="3"/>
      <c r="O304" s="3" t="str">
        <f ca="1">IFERROR(__xludf.DUMMYFUNCTION("""COMPUTED_VALUE"""),"970")</f>
        <v>970</v>
      </c>
      <c r="P304" s="3" t="str">
        <f ca="1">IFERROR(__xludf.DUMMYFUNCTION("""COMPUTED_VALUE"""),"250")</f>
        <v>250</v>
      </c>
      <c r="Q304" s="3" t="str">
        <f ca="1">IFERROR(__xludf.DUMMYFUNCTION("""COMPUTED_VALUE"""),"970x250")</f>
        <v>970x250</v>
      </c>
      <c r="R304" s="3"/>
      <c r="S304" s="3" t="str">
        <f ca="1">IFERROR(__xludf.DUMMYFUNCTION("""COMPUTED_VALUE"""),"100 (200 - HTML5)")</f>
        <v>100 (200 - HTML5)</v>
      </c>
      <c r="T304" s="3"/>
      <c r="U304" s="3" t="str">
        <f ca="1">IFERROR(__xludf.DUMMYFUNCTION("""COMPUTED_VALUE"""),"banner standard")</f>
        <v>banner standard</v>
      </c>
      <c r="V304" s="3"/>
      <c r="W304" s="4" t="str">
        <f ca="1">IFERROR(__xludf.DUMMYFUNCTION("""COMPUTED_VALUE"""),"https://reklama.cncenter.cz/Online/billboard-bottom")</f>
        <v>https://reklama.cncenter.cz/Online/billboard-bottom</v>
      </c>
      <c r="X304" s="3"/>
      <c r="Y304" s="3"/>
      <c r="Z304" s="3" t="str">
        <f ca="1">IFERROR(__xludf.DUMMYFUNCTION("""COMPUTED_VALUE"""),"podklady@cncenter.cz")</f>
        <v>podklady@cncenter.cz</v>
      </c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 t="str">
        <f ca="1">IFERROR(__xludf.DUMMYFUNCTION("""COMPUTED_VALUE"""),"desktop")</f>
        <v>desktop</v>
      </c>
      <c r="AO304" s="3"/>
      <c r="AP304" s="3"/>
      <c r="AQ304" s="3"/>
      <c r="AR304" s="3"/>
      <c r="AS304" s="3"/>
      <c r="AT304" s="3"/>
      <c r="AU304" s="3" t="str">
        <f ca="1">IFERROR(__xludf.DUMMYFUNCTION("""COMPUTED_VALUE"""),"billboard bottom")</f>
        <v>billboard bottom</v>
      </c>
    </row>
    <row r="305" spans="1:47" x14ac:dyDescent="0.3">
      <c r="A305" s="3">
        <f ca="1"/>
        <v>2346826</v>
      </c>
      <c r="B305" s="3" t="str">
        <f ca="1"/>
        <v>CZECH NEWS CENTER a. s.</v>
      </c>
      <c r="C305" s="3" t="str">
        <f ca="1">IFERROR(__xludf.DUMMYFUNCTION("""COMPUTED_VALUE"""),"CNC IT &amp; mobile &amp; digital pack")</f>
        <v>CNC IT &amp; mobile &amp; digital pack</v>
      </c>
      <c r="D305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05" s="3" t="str">
        <f ca="1">IFERROR(__xludf.DUMMYFUNCTION("""COMPUTED_VALUE"""),"celý web")</f>
        <v>celý web</v>
      </c>
      <c r="F305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05" s="3" t="str">
        <f ca="1">IFERROR(__xludf.DUMMYFUNCTION("""COMPUTED_VALUE"""),"branding cross-device high season")</f>
        <v>branding cross-device high season</v>
      </c>
      <c r="H305" s="3">
        <f ca="1">IFERROR(__xludf.DUMMYFUNCTION("""COMPUTED_VALUE"""),7)</f>
        <v>7</v>
      </c>
      <c r="I305" s="5">
        <f ca="1">IFERROR(__xludf.DUMMYFUNCTION("""COMPUTED_VALUE"""),1000)</f>
        <v>1000</v>
      </c>
      <c r="J305" s="5">
        <f ca="1">IFERROR(__xludf.DUMMYFUNCTION("""COMPUTED_VALUE"""),490)</f>
        <v>490</v>
      </c>
      <c r="K305" s="3"/>
      <c r="L305" s="3" t="str">
        <f ca="1">IFERROR(__xludf.DUMMYFUNCTION("""COMPUTED_VALUE"""),"Cost per period")</f>
        <v>Cost per period</v>
      </c>
      <c r="M305" s="3"/>
      <c r="N305" s="3"/>
      <c r="O305" s="3" t="str">
        <f ca="1">IFERROR(__xludf.DUMMYFUNCTION("""COMPUTED_VALUE"""),"2000")</f>
        <v>2000</v>
      </c>
      <c r="P305" s="3" t="str">
        <f ca="1">IFERROR(__xludf.DUMMYFUNCTION("""COMPUTED_VALUE"""),"1400")</f>
        <v>1400</v>
      </c>
      <c r="Q305" s="3" t="str">
        <f ca="1">IFERROR(__xludf.DUMMYFUNCTION("""COMPUTED_VALUE"""),"2000x1400 + 600x1080")</f>
        <v>2000x1400 + 600x1080</v>
      </c>
      <c r="R305" s="3"/>
      <c r="S305" s="3" t="str">
        <f ca="1">IFERROR(__xludf.DUMMYFUNCTION("""COMPUTED_VALUE"""),"500 (600 - HTLM5)")</f>
        <v>500 (600 - HTLM5)</v>
      </c>
      <c r="T305" s="3"/>
      <c r="U305" s="3" t="str">
        <f ca="1">IFERROR(__xludf.DUMMYFUNCTION("""COMPUTED_VALUE"""),"banner standard")</f>
        <v>banner standard</v>
      </c>
      <c r="V305" s="3"/>
      <c r="W305" s="4" t="str">
        <f ca="1">IFERROR(__xludf.DUMMYFUNCTION("""COMPUTED_VALUE"""),"https://reklama.cncenter.cz/Online/branding-cross-device")</f>
        <v>https://reklama.cncenter.cz/Online/branding-cross-device</v>
      </c>
      <c r="X305" s="3"/>
      <c r="Y305" s="3"/>
      <c r="Z305" s="3" t="str">
        <f ca="1">IFERROR(__xludf.DUMMYFUNCTION("""COMPUTED_VALUE"""),"podklady@cncenter.cz")</f>
        <v>podklady@cncenter.cz</v>
      </c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 t="str">
        <f ca="1">IFERROR(__xludf.DUMMYFUNCTION("""COMPUTED_VALUE"""),"cross-device")</f>
        <v>cross-device</v>
      </c>
      <c r="AO305" s="3"/>
      <c r="AP305" s="3"/>
      <c r="AQ305" s="3"/>
      <c r="AR305" s="3"/>
      <c r="AS305" s="3"/>
      <c r="AT305" s="3"/>
      <c r="AU305" s="3" t="str">
        <f ca="1">IFERROR(__xludf.DUMMYFUNCTION("""COMPUTED_VALUE"""),"branding cross-device")</f>
        <v>branding cross-device</v>
      </c>
    </row>
    <row r="306" spans="1:47" x14ac:dyDescent="0.3">
      <c r="A306" s="3">
        <f ca="1"/>
        <v>2346826</v>
      </c>
      <c r="B306" s="3" t="str">
        <f ca="1"/>
        <v>CZECH NEWS CENTER a. s.</v>
      </c>
      <c r="C306" s="3" t="str">
        <f ca="1">IFERROR(__xludf.DUMMYFUNCTION("""COMPUTED_VALUE"""),"CNC IT &amp; mobile &amp; digital pack")</f>
        <v>CNC IT &amp; mobile &amp; digital pack</v>
      </c>
      <c r="D306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06" s="3" t="str">
        <f ca="1">IFERROR(__xludf.DUMMYFUNCTION("""COMPUTED_VALUE"""),"celý web")</f>
        <v>celý web</v>
      </c>
      <c r="F306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06" s="3" t="str">
        <f ca="1">IFERROR(__xludf.DUMMYFUNCTION("""COMPUTED_VALUE"""),"branding high season")</f>
        <v>branding high season</v>
      </c>
      <c r="H306" s="3">
        <f ca="1">IFERROR(__xludf.DUMMYFUNCTION("""COMPUTED_VALUE"""),7)</f>
        <v>7</v>
      </c>
      <c r="I306" s="5">
        <f ca="1">IFERROR(__xludf.DUMMYFUNCTION("""COMPUTED_VALUE"""),1000)</f>
        <v>1000</v>
      </c>
      <c r="J306" s="5">
        <f ca="1">IFERROR(__xludf.DUMMYFUNCTION("""COMPUTED_VALUE"""),720)</f>
        <v>720</v>
      </c>
      <c r="K306" s="3"/>
      <c r="L306" s="3" t="str">
        <f ca="1">IFERROR(__xludf.DUMMYFUNCTION("""COMPUTED_VALUE"""),"Cost per period")</f>
        <v>Cost per period</v>
      </c>
      <c r="M306" s="3"/>
      <c r="N306" s="3"/>
      <c r="O306" s="3" t="str">
        <f ca="1">IFERROR(__xludf.DUMMYFUNCTION("""COMPUTED_VALUE"""),"2000")</f>
        <v>2000</v>
      </c>
      <c r="P306" s="3" t="str">
        <f ca="1">IFERROR(__xludf.DUMMYFUNCTION("""COMPUTED_VALUE"""),"1400")</f>
        <v>1400</v>
      </c>
      <c r="Q306" s="3" t="str">
        <f ca="1">IFERROR(__xludf.DUMMYFUNCTION("""COMPUTED_VALUE"""),"2000x1400")</f>
        <v>2000x1400</v>
      </c>
      <c r="R306" s="3"/>
      <c r="S306" s="3" t="str">
        <f ca="1">IFERROR(__xludf.DUMMYFUNCTION("""COMPUTED_VALUE"""),"500 + 200 (600+200 HTML5)")</f>
        <v>500 + 200 (600+200 HTML5)</v>
      </c>
      <c r="T306" s="3"/>
      <c r="U306" s="3" t="str">
        <f ca="1">IFERROR(__xludf.DUMMYFUNCTION("""COMPUTED_VALUE"""),"banner standard")</f>
        <v>banner standard</v>
      </c>
      <c r="V306" s="3"/>
      <c r="W306" s="4" t="str">
        <f ca="1">IFERROR(__xludf.DUMMYFUNCTION("""COMPUTED_VALUE"""),"https://reklama.cncenter.cz/Online/branding")</f>
        <v>https://reklama.cncenter.cz/Online/branding</v>
      </c>
      <c r="X306" s="3"/>
      <c r="Y306" s="3"/>
      <c r="Z306" s="3" t="str">
        <f ca="1">IFERROR(__xludf.DUMMYFUNCTION("""COMPUTED_VALUE"""),"podklady@cncenter.cz")</f>
        <v>podklady@cncenter.cz</v>
      </c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 t="str">
        <f ca="1">IFERROR(__xludf.DUMMYFUNCTION("""COMPUTED_VALUE"""),"desktop")</f>
        <v>desktop</v>
      </c>
      <c r="AO306" s="3"/>
      <c r="AP306" s="3"/>
      <c r="AQ306" s="3"/>
      <c r="AR306" s="3"/>
      <c r="AS306" s="3"/>
      <c r="AT306" s="3"/>
      <c r="AU306" s="3" t="str">
        <f ca="1">IFERROR(__xludf.DUMMYFUNCTION("""COMPUTED_VALUE"""),"branding")</f>
        <v>branding</v>
      </c>
    </row>
    <row r="307" spans="1:47" x14ac:dyDescent="0.3">
      <c r="A307" s="3">
        <f ca="1"/>
        <v>2346826</v>
      </c>
      <c r="B307" s="3" t="str">
        <f ca="1"/>
        <v>CZECH NEWS CENTER a. s.</v>
      </c>
      <c r="C307" s="3" t="str">
        <f ca="1">IFERROR(__xludf.DUMMYFUNCTION("""COMPUTED_VALUE"""),"CNC IT &amp; mobile &amp; digital pack")</f>
        <v>CNC IT &amp; mobile &amp; digital pack</v>
      </c>
      <c r="D307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07" s="3" t="str">
        <f ca="1">IFERROR(__xludf.DUMMYFUNCTION("""COMPUTED_VALUE"""),"celý web")</f>
        <v>celý web</v>
      </c>
      <c r="F307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07" s="3" t="str">
        <f ca="1">IFERROR(__xludf.DUMMYFUNCTION("""COMPUTED_VALUE"""),"cílený billboard bottom high season")</f>
        <v>cílený billboard bottom high season</v>
      </c>
      <c r="H307" s="3">
        <f ca="1">IFERROR(__xludf.DUMMYFUNCTION("""COMPUTED_VALUE"""),7)</f>
        <v>7</v>
      </c>
      <c r="I307" s="5">
        <f ca="1">IFERROR(__xludf.DUMMYFUNCTION("""COMPUTED_VALUE"""),1000)</f>
        <v>1000</v>
      </c>
      <c r="J307" s="5">
        <f ca="1">IFERROR(__xludf.DUMMYFUNCTION("""COMPUTED_VALUE"""),456)</f>
        <v>456</v>
      </c>
      <c r="K307" s="3"/>
      <c r="L307" s="3" t="str">
        <f ca="1">IFERROR(__xludf.DUMMYFUNCTION("""COMPUTED_VALUE"""),"Cost per period")</f>
        <v>Cost per period</v>
      </c>
      <c r="M307" s="3"/>
      <c r="N307" s="3"/>
      <c r="O307" s="3" t="str">
        <f ca="1">IFERROR(__xludf.DUMMYFUNCTION("""COMPUTED_VALUE"""),"970")</f>
        <v>970</v>
      </c>
      <c r="P307" s="3" t="str">
        <f ca="1">IFERROR(__xludf.DUMMYFUNCTION("""COMPUTED_VALUE"""),"250")</f>
        <v>250</v>
      </c>
      <c r="Q307" s="3" t="str">
        <f ca="1">IFERROR(__xludf.DUMMYFUNCTION("""COMPUTED_VALUE"""),"970x250")</f>
        <v>970x250</v>
      </c>
      <c r="R307" s="3"/>
      <c r="S307" s="3" t="str">
        <f ca="1">IFERROR(__xludf.DUMMYFUNCTION("""COMPUTED_VALUE"""),"100 (200 - HTML5)")</f>
        <v>100 (200 - HTML5)</v>
      </c>
      <c r="T307" s="3"/>
      <c r="U307" s="3" t="str">
        <f ca="1">IFERROR(__xludf.DUMMYFUNCTION("""COMPUTED_VALUE"""),"banner standard")</f>
        <v>banner standard</v>
      </c>
      <c r="V307" s="3"/>
      <c r="W307" s="4" t="str">
        <f ca="1">IFERROR(__xludf.DUMMYFUNCTION("""COMPUTED_VALUE"""),"https://reklama.cncenter.cz/Online/billboard-bottom")</f>
        <v>https://reklama.cncenter.cz/Online/billboard-bottom</v>
      </c>
      <c r="X307" s="3"/>
      <c r="Y307" s="3"/>
      <c r="Z307" s="3" t="str">
        <f ca="1">IFERROR(__xludf.DUMMYFUNCTION("""COMPUTED_VALUE"""),"podklady@cncenter.cz")</f>
        <v>podklady@cncenter.cz</v>
      </c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 t="str">
        <f ca="1">IFERROR(__xludf.DUMMYFUNCTION("""COMPUTED_VALUE"""),"desktop")</f>
        <v>desktop</v>
      </c>
      <c r="AO307" s="3"/>
      <c r="AP307" s="3"/>
      <c r="AQ307" s="3"/>
      <c r="AR307" s="3"/>
      <c r="AS307" s="3"/>
      <c r="AT307" s="3"/>
      <c r="AU307" s="3" t="str">
        <f ca="1">IFERROR(__xludf.DUMMYFUNCTION("""COMPUTED_VALUE"""),"cílený billboard bottom")</f>
        <v>cílený billboard bottom</v>
      </c>
    </row>
    <row r="308" spans="1:47" x14ac:dyDescent="0.3">
      <c r="A308" s="3">
        <f ca="1"/>
        <v>2346826</v>
      </c>
      <c r="B308" s="3" t="str">
        <f ca="1"/>
        <v>CZECH NEWS CENTER a. s.</v>
      </c>
      <c r="C308" s="3" t="str">
        <f ca="1">IFERROR(__xludf.DUMMYFUNCTION("""COMPUTED_VALUE"""),"CNC IT &amp; mobile &amp; digital pack")</f>
        <v>CNC IT &amp; mobile &amp; digital pack</v>
      </c>
      <c r="D308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08" s="3" t="str">
        <f ca="1">IFERROR(__xludf.DUMMYFUNCTION("""COMPUTED_VALUE"""),"celý web")</f>
        <v>celý web</v>
      </c>
      <c r="F308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08" s="3" t="str">
        <f ca="1">IFERROR(__xludf.DUMMYFUNCTION("""COMPUTED_VALUE"""),"cílený branding cross-device high season")</f>
        <v>cílený branding cross-device high season</v>
      </c>
      <c r="H308" s="3">
        <f ca="1">IFERROR(__xludf.DUMMYFUNCTION("""COMPUTED_VALUE"""),7)</f>
        <v>7</v>
      </c>
      <c r="I308" s="5">
        <f ca="1">IFERROR(__xludf.DUMMYFUNCTION("""COMPUTED_VALUE"""),1000)</f>
        <v>1000</v>
      </c>
      <c r="J308" s="5">
        <f ca="1">IFERROR(__xludf.DUMMYFUNCTION("""COMPUTED_VALUE"""),588)</f>
        <v>588</v>
      </c>
      <c r="K308" s="3"/>
      <c r="L308" s="3" t="str">
        <f ca="1">IFERROR(__xludf.DUMMYFUNCTION("""COMPUTED_VALUE"""),"Cost per period")</f>
        <v>Cost per period</v>
      </c>
      <c r="M308" s="3"/>
      <c r="N308" s="3"/>
      <c r="O308" s="3" t="str">
        <f ca="1">IFERROR(__xludf.DUMMYFUNCTION("""COMPUTED_VALUE"""),"2000")</f>
        <v>2000</v>
      </c>
      <c r="P308" s="3" t="str">
        <f ca="1">IFERROR(__xludf.DUMMYFUNCTION("""COMPUTED_VALUE"""),"1400")</f>
        <v>1400</v>
      </c>
      <c r="Q308" s="3" t="str">
        <f ca="1">IFERROR(__xludf.DUMMYFUNCTION("""COMPUTED_VALUE"""),"2000x1400 + 600x1080")</f>
        <v>2000x1400 + 600x1080</v>
      </c>
      <c r="R308" s="3"/>
      <c r="S308" s="3" t="str">
        <f ca="1">IFERROR(__xludf.DUMMYFUNCTION("""COMPUTED_VALUE"""),"500 (600 - HTLM5)")</f>
        <v>500 (600 - HTLM5)</v>
      </c>
      <c r="T308" s="3"/>
      <c r="U308" s="3" t="str">
        <f ca="1">IFERROR(__xludf.DUMMYFUNCTION("""COMPUTED_VALUE"""),"banner standard")</f>
        <v>banner standard</v>
      </c>
      <c r="V308" s="3"/>
      <c r="W308" s="4" t="str">
        <f ca="1">IFERROR(__xludf.DUMMYFUNCTION("""COMPUTED_VALUE"""),"https://reklama.cncenter.cz/Online/branding-cross-device")</f>
        <v>https://reklama.cncenter.cz/Online/branding-cross-device</v>
      </c>
      <c r="X308" s="3"/>
      <c r="Y308" s="3"/>
      <c r="Z308" s="3" t="str">
        <f ca="1">IFERROR(__xludf.DUMMYFUNCTION("""COMPUTED_VALUE"""),"podklady@cncenter.cz")</f>
        <v>podklady@cncenter.cz</v>
      </c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 t="str">
        <f ca="1">IFERROR(__xludf.DUMMYFUNCTION("""COMPUTED_VALUE"""),"cross-device")</f>
        <v>cross-device</v>
      </c>
      <c r="AO308" s="3"/>
      <c r="AP308" s="3"/>
      <c r="AQ308" s="3"/>
      <c r="AR308" s="3"/>
      <c r="AS308" s="3"/>
      <c r="AT308" s="3"/>
      <c r="AU308" s="3" t="str">
        <f ca="1">IFERROR(__xludf.DUMMYFUNCTION("""COMPUTED_VALUE"""),"cílený branding cross-device")</f>
        <v>cílený branding cross-device</v>
      </c>
    </row>
    <row r="309" spans="1:47" x14ac:dyDescent="0.3">
      <c r="A309" s="3">
        <f ca="1"/>
        <v>2346826</v>
      </c>
      <c r="B309" s="3" t="str">
        <f ca="1"/>
        <v>CZECH NEWS CENTER a. s.</v>
      </c>
      <c r="C309" s="3" t="str">
        <f ca="1">IFERROR(__xludf.DUMMYFUNCTION("""COMPUTED_VALUE"""),"CNC IT &amp; mobile &amp; digital pack")</f>
        <v>CNC IT &amp; mobile &amp; digital pack</v>
      </c>
      <c r="D309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09" s="3" t="str">
        <f ca="1">IFERROR(__xludf.DUMMYFUNCTION("""COMPUTED_VALUE"""),"celý web")</f>
        <v>celý web</v>
      </c>
      <c r="F309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09" s="3" t="str">
        <f ca="1">IFERROR(__xludf.DUMMYFUNCTION("""COMPUTED_VALUE"""),"cílený branding high season")</f>
        <v>cílený branding high season</v>
      </c>
      <c r="H309" s="3">
        <f ca="1">IFERROR(__xludf.DUMMYFUNCTION("""COMPUTED_VALUE"""),7)</f>
        <v>7</v>
      </c>
      <c r="I309" s="5">
        <f ca="1">IFERROR(__xludf.DUMMYFUNCTION("""COMPUTED_VALUE"""),1000)</f>
        <v>1000</v>
      </c>
      <c r="J309" s="5">
        <f ca="1">IFERROR(__xludf.DUMMYFUNCTION("""COMPUTED_VALUE"""),864)</f>
        <v>864</v>
      </c>
      <c r="K309" s="3"/>
      <c r="L309" s="3" t="str">
        <f ca="1">IFERROR(__xludf.DUMMYFUNCTION("""COMPUTED_VALUE"""),"Cost per period")</f>
        <v>Cost per period</v>
      </c>
      <c r="M309" s="3"/>
      <c r="N309" s="3"/>
      <c r="O309" s="3" t="str">
        <f ca="1">IFERROR(__xludf.DUMMYFUNCTION("""COMPUTED_VALUE"""),"2000")</f>
        <v>2000</v>
      </c>
      <c r="P309" s="3" t="str">
        <f ca="1">IFERROR(__xludf.DUMMYFUNCTION("""COMPUTED_VALUE"""),"1400")</f>
        <v>1400</v>
      </c>
      <c r="Q309" s="3" t="str">
        <f ca="1">IFERROR(__xludf.DUMMYFUNCTION("""COMPUTED_VALUE"""),"2000x1400")</f>
        <v>2000x1400</v>
      </c>
      <c r="R309" s="3"/>
      <c r="S309" s="3" t="str">
        <f ca="1">IFERROR(__xludf.DUMMYFUNCTION("""COMPUTED_VALUE"""),"500 + 200 (600+200 HTML5)")</f>
        <v>500 + 200 (600+200 HTML5)</v>
      </c>
      <c r="T309" s="3"/>
      <c r="U309" s="3" t="str">
        <f ca="1">IFERROR(__xludf.DUMMYFUNCTION("""COMPUTED_VALUE"""),"banner standard")</f>
        <v>banner standard</v>
      </c>
      <c r="V309" s="3"/>
      <c r="W309" s="4" t="str">
        <f ca="1">IFERROR(__xludf.DUMMYFUNCTION("""COMPUTED_VALUE"""),"https://reklama.cncenter.cz/Online/branding")</f>
        <v>https://reklama.cncenter.cz/Online/branding</v>
      </c>
      <c r="X309" s="3"/>
      <c r="Y309" s="3"/>
      <c r="Z309" s="3" t="str">
        <f ca="1">IFERROR(__xludf.DUMMYFUNCTION("""COMPUTED_VALUE"""),"podklady@cncenter.cz")</f>
        <v>podklady@cncenter.cz</v>
      </c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 t="str">
        <f ca="1">IFERROR(__xludf.DUMMYFUNCTION("""COMPUTED_VALUE"""),"desktop")</f>
        <v>desktop</v>
      </c>
      <c r="AO309" s="3"/>
      <c r="AP309" s="3"/>
      <c r="AQ309" s="3"/>
      <c r="AR309" s="3"/>
      <c r="AS309" s="3"/>
      <c r="AT309" s="3"/>
      <c r="AU309" s="3" t="str">
        <f ca="1">IFERROR(__xludf.DUMMYFUNCTION("""COMPUTED_VALUE"""),"cílený branding")</f>
        <v>cílený branding</v>
      </c>
    </row>
    <row r="310" spans="1:47" x14ac:dyDescent="0.3">
      <c r="A310" s="3">
        <f ca="1"/>
        <v>2346826</v>
      </c>
      <c r="B310" s="3" t="str">
        <f ca="1"/>
        <v>CZECH NEWS CENTER a. s.</v>
      </c>
      <c r="C310" s="3" t="str">
        <f ca="1">IFERROR(__xludf.DUMMYFUNCTION("""COMPUTED_VALUE"""),"CNC IT &amp; mobile &amp; digital pack")</f>
        <v>CNC IT &amp; mobile &amp; digital pack</v>
      </c>
      <c r="D310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0" s="3" t="str">
        <f ca="1">IFERROR(__xludf.DUMMYFUNCTION("""COMPUTED_VALUE"""),"celý web")</f>
        <v>celý web</v>
      </c>
      <c r="F310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0" s="3" t="str">
        <f ca="1">IFERROR(__xludf.DUMMYFUNCTION("""COMPUTED_VALUE"""),"cílený double skyscraper high season")</f>
        <v>cílený double skyscraper high season</v>
      </c>
      <c r="H310" s="3">
        <f ca="1">IFERROR(__xludf.DUMMYFUNCTION("""COMPUTED_VALUE"""),7)</f>
        <v>7</v>
      </c>
      <c r="I310" s="5">
        <f ca="1">IFERROR(__xludf.DUMMYFUNCTION("""COMPUTED_VALUE"""),1000)</f>
        <v>1000</v>
      </c>
      <c r="J310" s="5">
        <f ca="1">IFERROR(__xludf.DUMMYFUNCTION("""COMPUTED_VALUE"""),324)</f>
        <v>324</v>
      </c>
      <c r="K310" s="3"/>
      <c r="L310" s="3" t="str">
        <f ca="1">IFERROR(__xludf.DUMMYFUNCTION("""COMPUTED_VALUE"""),"Cost per period")</f>
        <v>Cost per period</v>
      </c>
      <c r="M310" s="3"/>
      <c r="N310" s="3"/>
      <c r="O310" s="3" t="str">
        <f ca="1">IFERROR(__xludf.DUMMYFUNCTION("""COMPUTED_VALUE"""),"300")</f>
        <v>300</v>
      </c>
      <c r="P310" s="3" t="str">
        <f ca="1">IFERROR(__xludf.DUMMYFUNCTION("""COMPUTED_VALUE"""),"600")</f>
        <v>600</v>
      </c>
      <c r="Q310" s="3" t="str">
        <f ca="1">IFERROR(__xludf.DUMMYFUNCTION("""COMPUTED_VALUE"""),"300x600")</f>
        <v>300x600</v>
      </c>
      <c r="R310" s="3"/>
      <c r="S310" s="3" t="str">
        <f ca="1">IFERROR(__xludf.DUMMYFUNCTION("""COMPUTED_VALUE"""),"100 (200 - HTML5)")</f>
        <v>100 (200 - HTML5)</v>
      </c>
      <c r="T310" s="3"/>
      <c r="U310" s="3" t="str">
        <f ca="1">IFERROR(__xludf.DUMMYFUNCTION("""COMPUTED_VALUE"""),"banner standard")</f>
        <v>banner standard</v>
      </c>
      <c r="V310" s="3"/>
      <c r="W310" s="4" t="str">
        <f ca="1">IFERROR(__xludf.DUMMYFUNCTION("""COMPUTED_VALUE"""),"https://reklama.cncenter.cz/Online/double-skyscraper")</f>
        <v>https://reklama.cncenter.cz/Online/double-skyscraper</v>
      </c>
      <c r="X310" s="3"/>
      <c r="Y310" s="3"/>
      <c r="Z310" s="3" t="str">
        <f ca="1">IFERROR(__xludf.DUMMYFUNCTION("""COMPUTED_VALUE"""),"podklady@cncenter.cz")</f>
        <v>podklady@cncenter.cz</v>
      </c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 t="str">
        <f ca="1">IFERROR(__xludf.DUMMYFUNCTION("""COMPUTED_VALUE"""),"desktop")</f>
        <v>desktop</v>
      </c>
      <c r="AO310" s="3"/>
      <c r="AP310" s="3"/>
      <c r="AQ310" s="3"/>
      <c r="AR310" s="3"/>
      <c r="AS310" s="3"/>
      <c r="AT310" s="3"/>
      <c r="AU310" s="3" t="str">
        <f ca="1">IFERROR(__xludf.DUMMYFUNCTION("""COMPUTED_VALUE"""),"cílený double skyscraper")</f>
        <v>cílený double skyscraper</v>
      </c>
    </row>
    <row r="311" spans="1:47" x14ac:dyDescent="0.3">
      <c r="A311" s="3">
        <f ca="1"/>
        <v>2346826</v>
      </c>
      <c r="B311" s="3" t="str">
        <f ca="1"/>
        <v>CZECH NEWS CENTER a. s.</v>
      </c>
      <c r="C311" s="3" t="str">
        <f ca="1">IFERROR(__xludf.DUMMYFUNCTION("""COMPUTED_VALUE"""),"CNC IT &amp; mobile &amp; digital pack")</f>
        <v>CNC IT &amp; mobile &amp; digital pack</v>
      </c>
      <c r="D311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1" s="3" t="str">
        <f ca="1">IFERROR(__xludf.DUMMYFUNCTION("""COMPUTED_VALUE"""),"celý web")</f>
        <v>celý web</v>
      </c>
      <c r="F311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1" s="3" t="str">
        <f ca="1">IFERROR(__xludf.DUMMYFUNCTION("""COMPUTED_VALUE"""),"cílený mobilní interscroller high season")</f>
        <v>cílený mobilní interscroller high season</v>
      </c>
      <c r="H311" s="3">
        <f ca="1">IFERROR(__xludf.DUMMYFUNCTION("""COMPUTED_VALUE"""),7)</f>
        <v>7</v>
      </c>
      <c r="I311" s="5">
        <f ca="1">IFERROR(__xludf.DUMMYFUNCTION("""COMPUTED_VALUE"""),1000)</f>
        <v>1000</v>
      </c>
      <c r="J311" s="5">
        <f ca="1">IFERROR(__xludf.DUMMYFUNCTION("""COMPUTED_VALUE"""),432)</f>
        <v>432</v>
      </c>
      <c r="K311" s="3"/>
      <c r="L311" s="3" t="str">
        <f ca="1">IFERROR(__xludf.DUMMYFUNCTION("""COMPUTED_VALUE"""),"Cost per period")</f>
        <v>Cost per period</v>
      </c>
      <c r="M311" s="3"/>
      <c r="N311" s="3"/>
      <c r="O311" s="3" t="str">
        <f ca="1">IFERROR(__xludf.DUMMYFUNCTION("""COMPUTED_VALUE"""),"600")</f>
        <v>600</v>
      </c>
      <c r="P311" s="3" t="str">
        <f ca="1">IFERROR(__xludf.DUMMYFUNCTION("""COMPUTED_VALUE"""),"1080")</f>
        <v>1080</v>
      </c>
      <c r="Q311" s="3" t="str">
        <f ca="1">IFERROR(__xludf.DUMMYFUNCTION("""COMPUTED_VALUE"""),"600x1080")</f>
        <v>600x1080</v>
      </c>
      <c r="R311" s="3"/>
      <c r="S311" s="3" t="str">
        <f ca="1">IFERROR(__xludf.DUMMYFUNCTION("""COMPUTED_VALUE"""),"200")</f>
        <v>200</v>
      </c>
      <c r="T311" s="3"/>
      <c r="U311" s="3" t="str">
        <f ca="1">IFERROR(__xludf.DUMMYFUNCTION("""COMPUTED_VALUE"""),"banner standard")</f>
        <v>banner standard</v>
      </c>
      <c r="V311" s="3"/>
      <c r="W311" s="4" t="str">
        <f ca="1">IFERROR(__xludf.DUMMYFUNCTION("""COMPUTED_VALUE"""),"https://reklama.cncenter.cz/Online/mobilni-interscroller")</f>
        <v>https://reklama.cncenter.cz/Online/mobilni-interscroller</v>
      </c>
      <c r="X311" s="3"/>
      <c r="Y311" s="3"/>
      <c r="Z311" s="3" t="str">
        <f ca="1">IFERROR(__xludf.DUMMYFUNCTION("""COMPUTED_VALUE"""),"podklady@cncenter.cz")</f>
        <v>podklady@cncenter.cz</v>
      </c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 t="str">
        <f ca="1">IFERROR(__xludf.DUMMYFUNCTION("""COMPUTED_VALUE"""),"mobile")</f>
        <v>mobile</v>
      </c>
      <c r="AO311" s="3"/>
      <c r="AP311" s="3"/>
      <c r="AQ311" s="3"/>
      <c r="AR311" s="3"/>
      <c r="AS311" s="3"/>
      <c r="AT311" s="3"/>
      <c r="AU311" s="3" t="str">
        <f ca="1">IFERROR(__xludf.DUMMYFUNCTION("""COMPUTED_VALUE"""),"cílený mobilní interscroller")</f>
        <v>cílený mobilní interscroller</v>
      </c>
    </row>
    <row r="312" spans="1:47" x14ac:dyDescent="0.3">
      <c r="A312" s="3">
        <f ca="1"/>
        <v>2346826</v>
      </c>
      <c r="B312" s="3" t="str">
        <f ca="1"/>
        <v>CZECH NEWS CENTER a. s.</v>
      </c>
      <c r="C312" s="3" t="str">
        <f ca="1">IFERROR(__xludf.DUMMYFUNCTION("""COMPUTED_VALUE"""),"CNC IT &amp; mobile &amp; digital pack")</f>
        <v>CNC IT &amp; mobile &amp; digital pack</v>
      </c>
      <c r="D312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2" s="3" t="str">
        <f ca="1">IFERROR(__xludf.DUMMYFUNCTION("""COMPUTED_VALUE"""),"celý web")</f>
        <v>celý web</v>
      </c>
      <c r="F312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2" s="3" t="str">
        <f ca="1">IFERROR(__xludf.DUMMYFUNCTION("""COMPUTED_VALUE"""),"cílený mobilní slide-up high season")</f>
        <v>cílený mobilní slide-up high season</v>
      </c>
      <c r="H312" s="3">
        <f ca="1">IFERROR(__xludf.DUMMYFUNCTION("""COMPUTED_VALUE"""),7)</f>
        <v>7</v>
      </c>
      <c r="I312" s="5">
        <f ca="1">IFERROR(__xludf.DUMMYFUNCTION("""COMPUTED_VALUE"""),1000)</f>
        <v>1000</v>
      </c>
      <c r="J312" s="5">
        <f ca="1">IFERROR(__xludf.DUMMYFUNCTION("""COMPUTED_VALUE"""),864)</f>
        <v>864</v>
      </c>
      <c r="K312" s="3"/>
      <c r="L312" s="3" t="str">
        <f ca="1">IFERROR(__xludf.DUMMYFUNCTION("""COMPUTED_VALUE"""),"Cost per period")</f>
        <v>Cost per period</v>
      </c>
      <c r="M312" s="3"/>
      <c r="N312" s="3"/>
      <c r="O312" s="3" t="str">
        <f ca="1">IFERROR(__xludf.DUMMYFUNCTION("""COMPUTED_VALUE"""),"300")</f>
        <v>300</v>
      </c>
      <c r="P312" s="3" t="str">
        <f ca="1">IFERROR(__xludf.DUMMYFUNCTION("""COMPUTED_VALUE"""),"120")</f>
        <v>120</v>
      </c>
      <c r="Q312" s="3" t="str">
        <f ca="1">IFERROR(__xludf.DUMMYFUNCTION("""COMPUTED_VALUE"""),"300x120")</f>
        <v>300x120</v>
      </c>
      <c r="R312" s="3"/>
      <c r="S312" s="3" t="str">
        <f ca="1">IFERROR(__xludf.DUMMYFUNCTION("""COMPUTED_VALUE"""),"100")</f>
        <v>100</v>
      </c>
      <c r="T312" s="3"/>
      <c r="U312" s="3" t="str">
        <f ca="1">IFERROR(__xludf.DUMMYFUNCTION("""COMPUTED_VALUE"""),"banner standard")</f>
        <v>banner standard</v>
      </c>
      <c r="V312" s="3"/>
      <c r="W312" s="4" t="str">
        <f ca="1">IFERROR(__xludf.DUMMYFUNCTION("""COMPUTED_VALUE"""),"https://reklama.cncenter.cz/Online/mobilni-slide-up")</f>
        <v>https://reklama.cncenter.cz/Online/mobilni-slide-up</v>
      </c>
      <c r="X312" s="3"/>
      <c r="Y312" s="3"/>
      <c r="Z312" s="3" t="str">
        <f ca="1">IFERROR(__xludf.DUMMYFUNCTION("""COMPUTED_VALUE"""),"podklady@cncenter.cz")</f>
        <v>podklady@cncenter.cz</v>
      </c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 t="str">
        <f ca="1">IFERROR(__xludf.DUMMYFUNCTION("""COMPUTED_VALUE"""),"mobile")</f>
        <v>mobile</v>
      </c>
      <c r="AO312" s="3"/>
      <c r="AP312" s="3"/>
      <c r="AQ312" s="3"/>
      <c r="AR312" s="3"/>
      <c r="AS312" s="3"/>
      <c r="AT312" s="3"/>
      <c r="AU312" s="3" t="str">
        <f ca="1">IFERROR(__xludf.DUMMYFUNCTION("""COMPUTED_VALUE"""),"cílený mobilní slide-up")</f>
        <v>cílený mobilní slide-up</v>
      </c>
    </row>
    <row r="313" spans="1:47" x14ac:dyDescent="0.3">
      <c r="A313" s="3">
        <f ca="1"/>
        <v>2346826</v>
      </c>
      <c r="B313" s="3" t="str">
        <f ca="1"/>
        <v>CZECH NEWS CENTER a. s.</v>
      </c>
      <c r="C313" s="3" t="str">
        <f ca="1">IFERROR(__xludf.DUMMYFUNCTION("""COMPUTED_VALUE"""),"CNC IT &amp; mobile &amp; digital pack")</f>
        <v>CNC IT &amp; mobile &amp; digital pack</v>
      </c>
      <c r="D313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3" s="3" t="str">
        <f ca="1">IFERROR(__xludf.DUMMYFUNCTION("""COMPUTED_VALUE"""),"celý web")</f>
        <v>celý web</v>
      </c>
      <c r="F313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3" s="3" t="str">
        <f ca="1">IFERROR(__xludf.DUMMYFUNCTION("""COMPUTED_VALUE"""),"cílený mobilní viněta high season")</f>
        <v>cílený mobilní viněta high season</v>
      </c>
      <c r="H313" s="3">
        <f ca="1">IFERROR(__xludf.DUMMYFUNCTION("""COMPUTED_VALUE"""),7)</f>
        <v>7</v>
      </c>
      <c r="I313" s="5">
        <f ca="1">IFERROR(__xludf.DUMMYFUNCTION("""COMPUTED_VALUE"""),1000)</f>
        <v>1000</v>
      </c>
      <c r="J313" s="5">
        <f ca="1">IFERROR(__xludf.DUMMYFUNCTION("""COMPUTED_VALUE"""),1212)</f>
        <v>1212</v>
      </c>
      <c r="K313" s="3"/>
      <c r="L313" s="3" t="str">
        <f ca="1">IFERROR(__xludf.DUMMYFUNCTION("""COMPUTED_VALUE"""),"Cost per period")</f>
        <v>Cost per period</v>
      </c>
      <c r="M313" s="3"/>
      <c r="N313" s="3"/>
      <c r="O313" s="3" t="str">
        <f ca="1">IFERROR(__xludf.DUMMYFUNCTION("""COMPUTED_VALUE"""),"600")</f>
        <v>600</v>
      </c>
      <c r="P313" s="3" t="str">
        <f ca="1">IFERROR(__xludf.DUMMYFUNCTION("""COMPUTED_VALUE"""),"800")</f>
        <v>800</v>
      </c>
      <c r="Q313" s="3" t="str">
        <f ca="1">IFERROR(__xludf.DUMMYFUNCTION("""COMPUTED_VALUE"""),"300x250 nebo 600x800")</f>
        <v>300x250 nebo 600x800</v>
      </c>
      <c r="R313" s="3"/>
      <c r="S313" s="3" t="str">
        <f ca="1">IFERROR(__xludf.DUMMYFUNCTION("""COMPUTED_VALUE"""),"100")</f>
        <v>100</v>
      </c>
      <c r="T313" s="3"/>
      <c r="U313" s="3" t="str">
        <f ca="1">IFERROR(__xludf.DUMMYFUNCTION("""COMPUTED_VALUE"""),"banner standard")</f>
        <v>banner standard</v>
      </c>
      <c r="V313" s="3"/>
      <c r="W313" s="4" t="str">
        <f ca="1">IFERROR(__xludf.DUMMYFUNCTION("""COMPUTED_VALUE"""),"https://reklama.cncenter.cz/Online/mobilni-vineta")</f>
        <v>https://reklama.cncenter.cz/Online/mobilni-vineta</v>
      </c>
      <c r="X313" s="3"/>
      <c r="Y313" s="3"/>
      <c r="Z313" s="3" t="str">
        <f ca="1">IFERROR(__xludf.DUMMYFUNCTION("""COMPUTED_VALUE"""),"podklady@cncenter.cz")</f>
        <v>podklady@cncenter.cz</v>
      </c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 t="str">
        <f ca="1">IFERROR(__xludf.DUMMYFUNCTION("""COMPUTED_VALUE"""),"mobile")</f>
        <v>mobile</v>
      </c>
      <c r="AO313" s="3"/>
      <c r="AP313" s="3"/>
      <c r="AQ313" s="3"/>
      <c r="AR313" s="3"/>
      <c r="AS313" s="3"/>
      <c r="AT313" s="3"/>
      <c r="AU313" s="3" t="str">
        <f ca="1">IFERROR(__xludf.DUMMYFUNCTION("""COMPUTED_VALUE"""),"cílený mobilní viněta")</f>
        <v>cílený mobilní viněta</v>
      </c>
    </row>
    <row r="314" spans="1:47" x14ac:dyDescent="0.3">
      <c r="A314" s="3">
        <f ca="1"/>
        <v>2346826</v>
      </c>
      <c r="B314" s="3" t="str">
        <f ca="1"/>
        <v>CZECH NEWS CENTER a. s.</v>
      </c>
      <c r="C314" s="3" t="str">
        <f ca="1">IFERROR(__xludf.DUMMYFUNCTION("""COMPUTED_VALUE"""),"CNC IT &amp; mobile &amp; digital pack")</f>
        <v>CNC IT &amp; mobile &amp; digital pack</v>
      </c>
      <c r="D314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4" s="3" t="str">
        <f ca="1">IFERROR(__xludf.DUMMYFUNCTION("""COMPUTED_VALUE"""),"celý web")</f>
        <v>celý web</v>
      </c>
      <c r="F314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4" s="3" t="str">
        <f ca="1">IFERROR(__xludf.DUMMYFUNCTION("""COMPUTED_VALUE"""),"cílený nativní rectangle cross-device high season")</f>
        <v>cílený nativní rectangle cross-device high season</v>
      </c>
      <c r="H314" s="3">
        <f ca="1">IFERROR(__xludf.DUMMYFUNCTION("""COMPUTED_VALUE"""),7)</f>
        <v>7</v>
      </c>
      <c r="I314" s="5">
        <f ca="1">IFERROR(__xludf.DUMMYFUNCTION("""COMPUTED_VALUE"""),1000)</f>
        <v>1000</v>
      </c>
      <c r="J314" s="5">
        <f ca="1">IFERROR(__xludf.DUMMYFUNCTION("""COMPUTED_VALUE"""),324)</f>
        <v>324</v>
      </c>
      <c r="K314" s="3"/>
      <c r="L314" s="3" t="str">
        <f ca="1">IFERROR(__xludf.DUMMYFUNCTION("""COMPUTED_VALUE"""),"Cost per period")</f>
        <v>Cost per period</v>
      </c>
      <c r="M314" s="3"/>
      <c r="N314" s="3"/>
      <c r="O314" s="3" t="str">
        <f ca="1">IFERROR(__xludf.DUMMYFUNCTION("""COMPUTED_VALUE"""),"640")</f>
        <v>640</v>
      </c>
      <c r="P314" s="3" t="str">
        <f ca="1">IFERROR(__xludf.DUMMYFUNCTION("""COMPUTED_VALUE"""),"335, 640")</f>
        <v>335, 640</v>
      </c>
      <c r="Q314" s="3" t="str">
        <f ca="1">IFERROR(__xludf.DUMMYFUNCTION("""COMPUTED_VALUE"""),"640x640 a 640x335 + text + logo")</f>
        <v>640x640 a 640x335 + text + logo</v>
      </c>
      <c r="R314" s="3"/>
      <c r="S314" s="3" t="str">
        <f ca="1">IFERROR(__xludf.DUMMYFUNCTION("""COMPUTED_VALUE"""),"45")</f>
        <v>45</v>
      </c>
      <c r="T314" s="3"/>
      <c r="U314" s="3" t="str">
        <f ca="1">IFERROR(__xludf.DUMMYFUNCTION("""COMPUTED_VALUE"""),"nativní reklama")</f>
        <v>nativní reklama</v>
      </c>
      <c r="V314" s="3"/>
      <c r="W314" s="4" t="str">
        <f ca="1">IFERROR(__xludf.DUMMYFUNCTION("""COMPUTED_VALUE"""),"https://reklama.cncenter.cz/Online/nativni-rectangle-cross-device")</f>
        <v>https://reklama.cncenter.cz/Online/nativni-rectangle-cross-device</v>
      </c>
      <c r="X314" s="3"/>
      <c r="Y314" s="3"/>
      <c r="Z314" s="3" t="str">
        <f ca="1">IFERROR(__xludf.DUMMYFUNCTION("""COMPUTED_VALUE"""),"podklady@cncenter.cz")</f>
        <v>podklady@cncenter.cz</v>
      </c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 t="str">
        <f ca="1">IFERROR(__xludf.DUMMYFUNCTION("""COMPUTED_VALUE"""),"cross-device")</f>
        <v>cross-device</v>
      </c>
      <c r="AO314" s="3"/>
      <c r="AP314" s="3"/>
      <c r="AQ314" s="3"/>
      <c r="AR314" s="3"/>
      <c r="AS314" s="3"/>
      <c r="AT314" s="3"/>
      <c r="AU314" s="3" t="str">
        <f ca="1">IFERROR(__xludf.DUMMYFUNCTION("""COMPUTED_VALUE"""),"cílený nativní rectangle cross-device")</f>
        <v>cílený nativní rectangle cross-device</v>
      </c>
    </row>
    <row r="315" spans="1:47" x14ac:dyDescent="0.3">
      <c r="A315" s="3">
        <f ca="1"/>
        <v>2346826</v>
      </c>
      <c r="B315" s="3" t="str">
        <f ca="1"/>
        <v>CZECH NEWS CENTER a. s.</v>
      </c>
      <c r="C315" s="3" t="str">
        <f ca="1">IFERROR(__xludf.DUMMYFUNCTION("""COMPUTED_VALUE"""),"CNC IT &amp; mobile &amp; digital pack")</f>
        <v>CNC IT &amp; mobile &amp; digital pack</v>
      </c>
      <c r="D315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5" s="3" t="str">
        <f ca="1">IFERROR(__xludf.DUMMYFUNCTION("""COMPUTED_VALUE"""),"celý web")</f>
        <v>celý web</v>
      </c>
      <c r="F315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5" s="3" t="str">
        <f ca="1">IFERROR(__xludf.DUMMYFUNCTION("""COMPUTED_VALUE"""),"cílený outstream high season")</f>
        <v>cílený outstream high season</v>
      </c>
      <c r="H315" s="3">
        <f ca="1">IFERROR(__xludf.DUMMYFUNCTION("""COMPUTED_VALUE"""),7)</f>
        <v>7</v>
      </c>
      <c r="I315" s="5">
        <f ca="1">IFERROR(__xludf.DUMMYFUNCTION("""COMPUTED_VALUE"""),1000)</f>
        <v>1000</v>
      </c>
      <c r="J315" s="5">
        <f ca="1">IFERROR(__xludf.DUMMYFUNCTION("""COMPUTED_VALUE"""),504)</f>
        <v>504</v>
      </c>
      <c r="K315" s="3"/>
      <c r="L315" s="3" t="str">
        <f ca="1">IFERROR(__xludf.DUMMYFUNCTION("""COMPUTED_VALUE"""),"Cost per period")</f>
        <v>Cost per period</v>
      </c>
      <c r="M315" s="3"/>
      <c r="N315" s="3"/>
      <c r="O315" s="3" t="str">
        <f ca="1">IFERROR(__xludf.DUMMYFUNCTION("""COMPUTED_VALUE"""),"1280")</f>
        <v>1280</v>
      </c>
      <c r="P315" s="3" t="str">
        <f ca="1">IFERROR(__xludf.DUMMYFUNCTION("""COMPUTED_VALUE"""),"720")</f>
        <v>720</v>
      </c>
      <c r="Q315" s="3" t="str">
        <f ca="1">IFERROR(__xludf.DUMMYFUNCTION("""COMPUTED_VALUE"""),"16:9")</f>
        <v>16:9</v>
      </c>
      <c r="R315" s="3"/>
      <c r="S315" s="3" t="str">
        <f ca="1">IFERROR(__xludf.DUMMYFUNCTION("""COMPUTED_VALUE"""),"100")</f>
        <v>100</v>
      </c>
      <c r="T315" s="3"/>
      <c r="U315" s="3" t="str">
        <f ca="1">IFERROR(__xludf.DUMMYFUNCTION("""COMPUTED_VALUE"""),"videospot")</f>
        <v>videospot</v>
      </c>
      <c r="V315" s="3"/>
      <c r="W315" s="4" t="str">
        <f ca="1">IFERROR(__xludf.DUMMYFUNCTION("""COMPUTED_VALUE"""),"https://reklama.cncenter.cz/Online/Outstream")</f>
        <v>https://reklama.cncenter.cz/Online/Outstream</v>
      </c>
      <c r="X315" s="3"/>
      <c r="Y315" s="3"/>
      <c r="Z315" s="3" t="str">
        <f ca="1">IFERROR(__xludf.DUMMYFUNCTION("""COMPUTED_VALUE"""),"podklady@cncenter.cz")</f>
        <v>podklady@cncenter.cz</v>
      </c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 t="str">
        <f ca="1">IFERROR(__xludf.DUMMYFUNCTION("""COMPUTED_VALUE"""),"cross-device")</f>
        <v>cross-device</v>
      </c>
      <c r="AO315" s="3"/>
      <c r="AP315" s="3"/>
      <c r="AQ315" s="3"/>
      <c r="AR315" s="3"/>
      <c r="AS315" s="3"/>
      <c r="AT315" s="3"/>
      <c r="AU315" s="3" t="str">
        <f ca="1">IFERROR(__xludf.DUMMYFUNCTION("""COMPUTED_VALUE"""),"cílený outstream")</f>
        <v>cílený outstream</v>
      </c>
    </row>
    <row r="316" spans="1:47" x14ac:dyDescent="0.3">
      <c r="A316" s="3">
        <f ca="1"/>
        <v>2346826</v>
      </c>
      <c r="B316" s="3" t="str">
        <f ca="1"/>
        <v>CZECH NEWS CENTER a. s.</v>
      </c>
      <c r="C316" s="3" t="str">
        <f ca="1">IFERROR(__xludf.DUMMYFUNCTION("""COMPUTED_VALUE"""),"CNC IT &amp; mobile &amp; digital pack")</f>
        <v>CNC IT &amp; mobile &amp; digital pack</v>
      </c>
      <c r="D316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6" s="3" t="str">
        <f ca="1">IFERROR(__xludf.DUMMYFUNCTION("""COMPUTED_VALUE"""),"celý web")</f>
        <v>celý web</v>
      </c>
      <c r="F316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6" s="3" t="str">
        <f ca="1">IFERROR(__xludf.DUMMYFUNCTION("""COMPUTED_VALUE"""),"cílený Smarticle high season")</f>
        <v>cílený Smarticle high season</v>
      </c>
      <c r="H316" s="3">
        <f ca="1">IFERROR(__xludf.DUMMYFUNCTION("""COMPUTED_VALUE"""),7)</f>
        <v>7</v>
      </c>
      <c r="I316" s="5">
        <f ca="1">IFERROR(__xludf.DUMMYFUNCTION("""COMPUTED_VALUE"""),1000)</f>
        <v>1000</v>
      </c>
      <c r="J316" s="5">
        <f ca="1">IFERROR(__xludf.DUMMYFUNCTION("""COMPUTED_VALUE"""),240)</f>
        <v>240</v>
      </c>
      <c r="K316" s="3"/>
      <c r="L316" s="3" t="str">
        <f ca="1">IFERROR(__xludf.DUMMYFUNCTION("""COMPUTED_VALUE"""),"Cost per period")</f>
        <v>Cost per period</v>
      </c>
      <c r="M316" s="3"/>
      <c r="N316" s="3" t="str">
        <f ca="1">IFERROR(__xludf.DUMMYFUNCTION("""COMPUTED_VALUE"""),"A4")</f>
        <v>A4</v>
      </c>
      <c r="O316" s="3"/>
      <c r="P316" s="3"/>
      <c r="Q316" s="3" t="str">
        <f ca="1">IFERROR(__xludf.DUMMYFUNCTION("""COMPUTED_VALUE"""),"viz. tech.specifikace; HP + sekce")</f>
        <v>viz. tech.specifikace; HP + sekce</v>
      </c>
      <c r="R316" s="3" t="str">
        <f ca="1">IFERROR(__xludf.DUMMYFUNCTION("""COMPUTED_VALUE"""),"HP + sekce")</f>
        <v>HP + sekce</v>
      </c>
      <c r="S316" s="3" t="str">
        <f ca="1">IFERROR(__xludf.DUMMYFUNCTION("""COMPUTED_VALUE"""),"100")</f>
        <v>100</v>
      </c>
      <c r="T316" s="3"/>
      <c r="U316" s="3" t="str">
        <f ca="1">IFERROR(__xludf.DUMMYFUNCTION("""COMPUTED_VALUE"""),"pr článek")</f>
        <v>pr článek</v>
      </c>
      <c r="V316" s="3"/>
      <c r="W316" s="4" t="str">
        <f ca="1">IFERROR(__xludf.DUMMYFUNCTION("""COMPUTED_VALUE"""),"https://reklama.cncenter.cz/Online/Smarticle")</f>
        <v>https://reklama.cncenter.cz/Online/Smarticle</v>
      </c>
      <c r="X316" s="3"/>
      <c r="Y316" s="3"/>
      <c r="Z316" s="3" t="str">
        <f ca="1">IFERROR(__xludf.DUMMYFUNCTION("""COMPUTED_VALUE"""),"podklady@cncenter.cz")</f>
        <v>podklady@cncenter.cz</v>
      </c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 t="str">
        <f ca="1">IFERROR(__xludf.DUMMYFUNCTION("""COMPUTED_VALUE"""),"cross-device")</f>
        <v>cross-device</v>
      </c>
      <c r="AO316" s="3"/>
      <c r="AP316" s="3"/>
      <c r="AQ316" s="3"/>
      <c r="AR316" s="3"/>
      <c r="AS316" s="3"/>
      <c r="AT316" s="3"/>
      <c r="AU316" s="3" t="str">
        <f ca="1">IFERROR(__xludf.DUMMYFUNCTION("""COMPUTED_VALUE"""),"cílený Smarticle")</f>
        <v>cílený Smarticle</v>
      </c>
    </row>
    <row r="317" spans="1:47" x14ac:dyDescent="0.3">
      <c r="A317" s="3">
        <f ca="1"/>
        <v>2346826</v>
      </c>
      <c r="B317" s="3" t="str">
        <f ca="1"/>
        <v>CZECH NEWS CENTER a. s.</v>
      </c>
      <c r="C317" s="3" t="str">
        <f ca="1">IFERROR(__xludf.DUMMYFUNCTION("""COMPUTED_VALUE"""),"CNC IT &amp; mobile &amp; digital pack")</f>
        <v>CNC IT &amp; mobile &amp; digital pack</v>
      </c>
      <c r="D317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7" s="3" t="str">
        <f ca="1">IFERROR(__xludf.DUMMYFUNCTION("""COMPUTED_VALUE"""),"celý web")</f>
        <v>celý web</v>
      </c>
      <c r="F317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7" s="3" t="str">
        <f ca="1">IFERROR(__xludf.DUMMYFUNCTION("""COMPUTED_VALUE"""),"cílený videospot - max. 30 sec. / bumper high season")</f>
        <v>cílený videospot - max. 30 sec. / bumper high season</v>
      </c>
      <c r="H317" s="3">
        <f ca="1">IFERROR(__xludf.DUMMYFUNCTION("""COMPUTED_VALUE"""),7)</f>
        <v>7</v>
      </c>
      <c r="I317" s="5">
        <f ca="1">IFERROR(__xludf.DUMMYFUNCTION("""COMPUTED_VALUE"""),1000)</f>
        <v>1000</v>
      </c>
      <c r="J317" s="5">
        <f ca="1">IFERROR(__xludf.DUMMYFUNCTION("""COMPUTED_VALUE"""),1476)</f>
        <v>1476</v>
      </c>
      <c r="K317" s="3"/>
      <c r="L317" s="3" t="str">
        <f ca="1">IFERROR(__xludf.DUMMYFUNCTION("""COMPUTED_VALUE"""),"Cost per period")</f>
        <v>Cost per period</v>
      </c>
      <c r="M317" s="3"/>
      <c r="N317" s="3"/>
      <c r="O317" s="3" t="str">
        <f ca="1">IFERROR(__xludf.DUMMYFUNCTION("""COMPUTED_VALUE"""),"1280")</f>
        <v>1280</v>
      </c>
      <c r="P317" s="3" t="str">
        <f ca="1">IFERROR(__xludf.DUMMYFUNCTION("""COMPUTED_VALUE"""),"720")</f>
        <v>720</v>
      </c>
      <c r="Q317" s="3" t="str">
        <f ca="1">IFERROR(__xludf.DUMMYFUNCTION("""COMPUTED_VALUE"""),"16:9 / umístění po domluvě dle možností")</f>
        <v>16:9 / umístění po domluvě dle možností</v>
      </c>
      <c r="R317" s="3" t="str">
        <f ca="1">IFERROR(__xludf.DUMMYFUNCTION("""COMPUTED_VALUE"""),"přeskočení po 7 sekundách")</f>
        <v>přeskočení po 7 sekundách</v>
      </c>
      <c r="S317" s="3" t="str">
        <f ca="1">IFERROR(__xludf.DUMMYFUNCTION("""COMPUTED_VALUE"""),"100")</f>
        <v>100</v>
      </c>
      <c r="T317" s="3"/>
      <c r="U317" s="3" t="str">
        <f ca="1">IFERROR(__xludf.DUMMYFUNCTION("""COMPUTED_VALUE"""),"videospot")</f>
        <v>videospot</v>
      </c>
      <c r="V317" s="3"/>
      <c r="W317" s="4" t="str">
        <f ca="1">IFERROR(__xludf.DUMMYFUNCTION("""COMPUTED_VALUE"""),"https://reklama.cncenter.cz/Online/Bumper")</f>
        <v>https://reklama.cncenter.cz/Online/Bumper</v>
      </c>
      <c r="X317" s="3"/>
      <c r="Y317" s="3"/>
      <c r="Z317" s="3" t="str">
        <f ca="1">IFERROR(__xludf.DUMMYFUNCTION("""COMPUTED_VALUE"""),"podklady@cncenter.cz")</f>
        <v>podklady@cncenter.cz</v>
      </c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 t="str">
        <f ca="1">IFERROR(__xludf.DUMMYFUNCTION("""COMPUTED_VALUE"""),"cross-device")</f>
        <v>cross-device</v>
      </c>
      <c r="AO317" s="3"/>
      <c r="AP317" s="3"/>
      <c r="AQ317" s="3"/>
      <c r="AR317" s="3"/>
      <c r="AS317" s="3"/>
      <c r="AT317" s="3"/>
      <c r="AU317" s="3" t="str">
        <f ca="1">IFERROR(__xludf.DUMMYFUNCTION("""COMPUTED_VALUE"""),"cílený videospot - max. 30 sec. / bumper")</f>
        <v>cílený videospot - max. 30 sec. / bumper</v>
      </c>
    </row>
    <row r="318" spans="1:47" x14ac:dyDescent="0.3">
      <c r="A318" s="3">
        <f ca="1"/>
        <v>2346826</v>
      </c>
      <c r="B318" s="3" t="str">
        <f ca="1"/>
        <v>CZECH NEWS CENTER a. s.</v>
      </c>
      <c r="C318" s="3" t="str">
        <f ca="1">IFERROR(__xludf.DUMMYFUNCTION("""COMPUTED_VALUE"""),"CNC IT &amp; mobile &amp; digital pack")</f>
        <v>CNC IT &amp; mobile &amp; digital pack</v>
      </c>
      <c r="D318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8" s="3" t="str">
        <f ca="1">IFERROR(__xludf.DUMMYFUNCTION("""COMPUTED_VALUE"""),"celý web")</f>
        <v>celý web</v>
      </c>
      <c r="F318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8" s="3" t="str">
        <f ca="1">IFERROR(__xludf.DUMMYFUNCTION("""COMPUTED_VALUE"""),"double skyscraper high season")</f>
        <v>double skyscraper high season</v>
      </c>
      <c r="H318" s="3">
        <f ca="1">IFERROR(__xludf.DUMMYFUNCTION("""COMPUTED_VALUE"""),7)</f>
        <v>7</v>
      </c>
      <c r="I318" s="5">
        <f ca="1">IFERROR(__xludf.DUMMYFUNCTION("""COMPUTED_VALUE"""),1000)</f>
        <v>1000</v>
      </c>
      <c r="J318" s="5">
        <f ca="1">IFERROR(__xludf.DUMMYFUNCTION("""COMPUTED_VALUE"""),270)</f>
        <v>270</v>
      </c>
      <c r="K318" s="3"/>
      <c r="L318" s="3" t="str">
        <f ca="1">IFERROR(__xludf.DUMMYFUNCTION("""COMPUTED_VALUE"""),"Cost per period")</f>
        <v>Cost per period</v>
      </c>
      <c r="M318" s="3"/>
      <c r="N318" s="3"/>
      <c r="O318" s="3" t="str">
        <f ca="1">IFERROR(__xludf.DUMMYFUNCTION("""COMPUTED_VALUE"""),"300")</f>
        <v>300</v>
      </c>
      <c r="P318" s="3" t="str">
        <f ca="1">IFERROR(__xludf.DUMMYFUNCTION("""COMPUTED_VALUE"""),"600")</f>
        <v>600</v>
      </c>
      <c r="Q318" s="3" t="str">
        <f ca="1">IFERROR(__xludf.DUMMYFUNCTION("""COMPUTED_VALUE"""),"300x600")</f>
        <v>300x600</v>
      </c>
      <c r="R318" s="3"/>
      <c r="S318" s="3" t="str">
        <f ca="1">IFERROR(__xludf.DUMMYFUNCTION("""COMPUTED_VALUE"""),"100 (200 - HTML5)")</f>
        <v>100 (200 - HTML5)</v>
      </c>
      <c r="T318" s="3"/>
      <c r="U318" s="3" t="str">
        <f ca="1">IFERROR(__xludf.DUMMYFUNCTION("""COMPUTED_VALUE"""),"banner standard")</f>
        <v>banner standard</v>
      </c>
      <c r="V318" s="3"/>
      <c r="W318" s="4" t="str">
        <f ca="1">IFERROR(__xludf.DUMMYFUNCTION("""COMPUTED_VALUE"""),"https://reklama.cncenter.cz/Online/double-skyscraper")</f>
        <v>https://reklama.cncenter.cz/Online/double-skyscraper</v>
      </c>
      <c r="X318" s="3"/>
      <c r="Y318" s="3"/>
      <c r="Z318" s="3" t="str">
        <f ca="1">IFERROR(__xludf.DUMMYFUNCTION("""COMPUTED_VALUE"""),"podklady@cncenter.cz")</f>
        <v>podklady@cncenter.cz</v>
      </c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 t="str">
        <f ca="1">IFERROR(__xludf.DUMMYFUNCTION("""COMPUTED_VALUE"""),"desktop")</f>
        <v>desktop</v>
      </c>
      <c r="AO318" s="3"/>
      <c r="AP318" s="3"/>
      <c r="AQ318" s="3"/>
      <c r="AR318" s="3"/>
      <c r="AS318" s="3"/>
      <c r="AT318" s="3"/>
      <c r="AU318" s="3" t="str">
        <f ca="1">IFERROR(__xludf.DUMMYFUNCTION("""COMPUTED_VALUE"""),"double skyscraper")</f>
        <v>double skyscraper</v>
      </c>
    </row>
    <row r="319" spans="1:47" x14ac:dyDescent="0.3">
      <c r="A319" s="3">
        <f ca="1"/>
        <v>2346826</v>
      </c>
      <c r="B319" s="3" t="str">
        <f ca="1"/>
        <v>CZECH NEWS CENTER a. s.</v>
      </c>
      <c r="C319" s="3" t="str">
        <f ca="1">IFERROR(__xludf.DUMMYFUNCTION("""COMPUTED_VALUE"""),"CNC IT &amp; mobile &amp; digital pack")</f>
        <v>CNC IT &amp; mobile &amp; digital pack</v>
      </c>
      <c r="D319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19" s="3" t="str">
        <f ca="1">IFERROR(__xludf.DUMMYFUNCTION("""COMPUTED_VALUE"""),"celý web")</f>
        <v>celý web</v>
      </c>
      <c r="F319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19" s="3" t="str">
        <f ca="1">IFERROR(__xludf.DUMMYFUNCTION("""COMPUTED_VALUE"""),"mobilní interscroller high season")</f>
        <v>mobilní interscroller high season</v>
      </c>
      <c r="H319" s="3">
        <f ca="1">IFERROR(__xludf.DUMMYFUNCTION("""COMPUTED_VALUE"""),7)</f>
        <v>7</v>
      </c>
      <c r="I319" s="5">
        <f ca="1">IFERROR(__xludf.DUMMYFUNCTION("""COMPUTED_VALUE"""),1000)</f>
        <v>1000</v>
      </c>
      <c r="J319" s="5">
        <f ca="1">IFERROR(__xludf.DUMMYFUNCTION("""COMPUTED_VALUE"""),360)</f>
        <v>360</v>
      </c>
      <c r="K319" s="3"/>
      <c r="L319" s="3" t="str">
        <f ca="1">IFERROR(__xludf.DUMMYFUNCTION("""COMPUTED_VALUE"""),"Cost per period")</f>
        <v>Cost per period</v>
      </c>
      <c r="M319" s="3"/>
      <c r="N319" s="3"/>
      <c r="O319" s="3" t="str">
        <f ca="1">IFERROR(__xludf.DUMMYFUNCTION("""COMPUTED_VALUE"""),"600")</f>
        <v>600</v>
      </c>
      <c r="P319" s="3" t="str">
        <f ca="1">IFERROR(__xludf.DUMMYFUNCTION("""COMPUTED_VALUE"""),"1080")</f>
        <v>1080</v>
      </c>
      <c r="Q319" s="3" t="str">
        <f ca="1">IFERROR(__xludf.DUMMYFUNCTION("""COMPUTED_VALUE"""),"600x1080")</f>
        <v>600x1080</v>
      </c>
      <c r="R319" s="3"/>
      <c r="S319" s="3" t="str">
        <f ca="1">IFERROR(__xludf.DUMMYFUNCTION("""COMPUTED_VALUE"""),"200")</f>
        <v>200</v>
      </c>
      <c r="T319" s="3"/>
      <c r="U319" s="3" t="str">
        <f ca="1">IFERROR(__xludf.DUMMYFUNCTION("""COMPUTED_VALUE"""),"banner standard")</f>
        <v>banner standard</v>
      </c>
      <c r="V319" s="3"/>
      <c r="W319" s="4" t="str">
        <f ca="1">IFERROR(__xludf.DUMMYFUNCTION("""COMPUTED_VALUE"""),"https://reklama.cncenter.cz/Online/mobilni-interscroller")</f>
        <v>https://reklama.cncenter.cz/Online/mobilni-interscroller</v>
      </c>
      <c r="X319" s="3"/>
      <c r="Y319" s="3"/>
      <c r="Z319" s="3" t="str">
        <f ca="1">IFERROR(__xludf.DUMMYFUNCTION("""COMPUTED_VALUE"""),"podklady@cncenter.cz")</f>
        <v>podklady@cncenter.cz</v>
      </c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 t="str">
        <f ca="1">IFERROR(__xludf.DUMMYFUNCTION("""COMPUTED_VALUE"""),"mobile")</f>
        <v>mobile</v>
      </c>
      <c r="AO319" s="3"/>
      <c r="AP319" s="3"/>
      <c r="AQ319" s="3"/>
      <c r="AR319" s="3"/>
      <c r="AS319" s="3"/>
      <c r="AT319" s="3"/>
      <c r="AU319" s="3" t="str">
        <f ca="1">IFERROR(__xludf.DUMMYFUNCTION("""COMPUTED_VALUE"""),"mobilní interscroller")</f>
        <v>mobilní interscroller</v>
      </c>
    </row>
    <row r="320" spans="1:47" x14ac:dyDescent="0.3">
      <c r="A320" s="3">
        <f ca="1"/>
        <v>2346826</v>
      </c>
      <c r="B320" s="3" t="str">
        <f ca="1"/>
        <v>CZECH NEWS CENTER a. s.</v>
      </c>
      <c r="C320" s="3" t="str">
        <f ca="1">IFERROR(__xludf.DUMMYFUNCTION("""COMPUTED_VALUE"""),"CNC IT &amp; mobile &amp; digital pack")</f>
        <v>CNC IT &amp; mobile &amp; digital pack</v>
      </c>
      <c r="D320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20" s="3" t="str">
        <f ca="1">IFERROR(__xludf.DUMMYFUNCTION("""COMPUTED_VALUE"""),"celý web")</f>
        <v>celý web</v>
      </c>
      <c r="F320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20" s="3" t="str">
        <f ca="1">IFERROR(__xludf.DUMMYFUNCTION("""COMPUTED_VALUE"""),"mobilní slide-up high season")</f>
        <v>mobilní slide-up high season</v>
      </c>
      <c r="H320" s="3">
        <f ca="1">IFERROR(__xludf.DUMMYFUNCTION("""COMPUTED_VALUE"""),7)</f>
        <v>7</v>
      </c>
      <c r="I320" s="5">
        <f ca="1">IFERROR(__xludf.DUMMYFUNCTION("""COMPUTED_VALUE"""),1000)</f>
        <v>1000</v>
      </c>
      <c r="J320" s="5">
        <f ca="1">IFERROR(__xludf.DUMMYFUNCTION("""COMPUTED_VALUE"""),720)</f>
        <v>720</v>
      </c>
      <c r="K320" s="3"/>
      <c r="L320" s="3" t="str">
        <f ca="1">IFERROR(__xludf.DUMMYFUNCTION("""COMPUTED_VALUE"""),"Cost per period")</f>
        <v>Cost per period</v>
      </c>
      <c r="M320" s="3"/>
      <c r="N320" s="3"/>
      <c r="O320" s="3" t="str">
        <f ca="1">IFERROR(__xludf.DUMMYFUNCTION("""COMPUTED_VALUE"""),"300")</f>
        <v>300</v>
      </c>
      <c r="P320" s="3" t="str">
        <f ca="1">IFERROR(__xludf.DUMMYFUNCTION("""COMPUTED_VALUE"""),"120")</f>
        <v>120</v>
      </c>
      <c r="Q320" s="3" t="str">
        <f ca="1">IFERROR(__xludf.DUMMYFUNCTION("""COMPUTED_VALUE"""),"300x120")</f>
        <v>300x120</v>
      </c>
      <c r="R320" s="3"/>
      <c r="S320" s="3" t="str">
        <f ca="1">IFERROR(__xludf.DUMMYFUNCTION("""COMPUTED_VALUE"""),"100")</f>
        <v>100</v>
      </c>
      <c r="T320" s="3"/>
      <c r="U320" s="3" t="str">
        <f ca="1">IFERROR(__xludf.DUMMYFUNCTION("""COMPUTED_VALUE"""),"banner standard")</f>
        <v>banner standard</v>
      </c>
      <c r="V320" s="3"/>
      <c r="W320" s="4" t="str">
        <f ca="1">IFERROR(__xludf.DUMMYFUNCTION("""COMPUTED_VALUE"""),"https://reklama.cncenter.cz/Online/mobilni-slide-up")</f>
        <v>https://reklama.cncenter.cz/Online/mobilni-slide-up</v>
      </c>
      <c r="X320" s="3"/>
      <c r="Y320" s="3"/>
      <c r="Z320" s="3" t="str">
        <f ca="1">IFERROR(__xludf.DUMMYFUNCTION("""COMPUTED_VALUE"""),"podklady@cncenter.cz")</f>
        <v>podklady@cncenter.cz</v>
      </c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 t="str">
        <f ca="1">IFERROR(__xludf.DUMMYFUNCTION("""COMPUTED_VALUE"""),"mobile")</f>
        <v>mobile</v>
      </c>
      <c r="AO320" s="3"/>
      <c r="AP320" s="3"/>
      <c r="AQ320" s="3"/>
      <c r="AR320" s="3"/>
      <c r="AS320" s="3"/>
      <c r="AT320" s="3"/>
      <c r="AU320" s="3" t="str">
        <f ca="1">IFERROR(__xludf.DUMMYFUNCTION("""COMPUTED_VALUE"""),"mobilní slide-up")</f>
        <v>mobilní slide-up</v>
      </c>
    </row>
    <row r="321" spans="1:47" x14ac:dyDescent="0.3">
      <c r="A321" s="3">
        <f ca="1"/>
        <v>2346826</v>
      </c>
      <c r="B321" s="3" t="str">
        <f ca="1"/>
        <v>CZECH NEWS CENTER a. s.</v>
      </c>
      <c r="C321" s="3" t="str">
        <f ca="1">IFERROR(__xludf.DUMMYFUNCTION("""COMPUTED_VALUE"""),"CNC IT &amp; mobile &amp; digital pack")</f>
        <v>CNC IT &amp; mobile &amp; digital pack</v>
      </c>
      <c r="D321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21" s="3" t="str">
        <f ca="1">IFERROR(__xludf.DUMMYFUNCTION("""COMPUTED_VALUE"""),"celý web")</f>
        <v>celý web</v>
      </c>
      <c r="F321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21" s="3" t="str">
        <f ca="1">IFERROR(__xludf.DUMMYFUNCTION("""COMPUTED_VALUE"""),"mobilní viněta high season")</f>
        <v>mobilní viněta high season</v>
      </c>
      <c r="H321" s="3">
        <f ca="1">IFERROR(__xludf.DUMMYFUNCTION("""COMPUTED_VALUE"""),7)</f>
        <v>7</v>
      </c>
      <c r="I321" s="5">
        <f ca="1">IFERROR(__xludf.DUMMYFUNCTION("""COMPUTED_VALUE"""),1000)</f>
        <v>1000</v>
      </c>
      <c r="J321" s="5">
        <f ca="1">IFERROR(__xludf.DUMMYFUNCTION("""COMPUTED_VALUE"""),1010)</f>
        <v>1010</v>
      </c>
      <c r="K321" s="3"/>
      <c r="L321" s="3" t="str">
        <f ca="1">IFERROR(__xludf.DUMMYFUNCTION("""COMPUTED_VALUE"""),"Cost per period")</f>
        <v>Cost per period</v>
      </c>
      <c r="M321" s="3"/>
      <c r="N321" s="3"/>
      <c r="O321" s="3" t="str">
        <f ca="1">IFERROR(__xludf.DUMMYFUNCTION("""COMPUTED_VALUE"""),"600")</f>
        <v>600</v>
      </c>
      <c r="P321" s="3" t="str">
        <f ca="1">IFERROR(__xludf.DUMMYFUNCTION("""COMPUTED_VALUE"""),"800")</f>
        <v>800</v>
      </c>
      <c r="Q321" s="3" t="str">
        <f ca="1">IFERROR(__xludf.DUMMYFUNCTION("""COMPUTED_VALUE"""),"300x250 nebo 600x800")</f>
        <v>300x250 nebo 600x800</v>
      </c>
      <c r="R321" s="3"/>
      <c r="S321" s="3" t="str">
        <f ca="1">IFERROR(__xludf.DUMMYFUNCTION("""COMPUTED_VALUE"""),"100")</f>
        <v>100</v>
      </c>
      <c r="T321" s="3"/>
      <c r="U321" s="3" t="str">
        <f ca="1">IFERROR(__xludf.DUMMYFUNCTION("""COMPUTED_VALUE"""),"banner standard")</f>
        <v>banner standard</v>
      </c>
      <c r="V321" s="3"/>
      <c r="W321" s="4" t="str">
        <f ca="1">IFERROR(__xludf.DUMMYFUNCTION("""COMPUTED_VALUE"""),"https://reklama.cncenter.cz/Online/mobilni-vineta")</f>
        <v>https://reklama.cncenter.cz/Online/mobilni-vineta</v>
      </c>
      <c r="X321" s="3"/>
      <c r="Y321" s="3"/>
      <c r="Z321" s="3" t="str">
        <f ca="1">IFERROR(__xludf.DUMMYFUNCTION("""COMPUTED_VALUE"""),"podklady@cncenter.cz")</f>
        <v>podklady@cncenter.cz</v>
      </c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 t="str">
        <f ca="1">IFERROR(__xludf.DUMMYFUNCTION("""COMPUTED_VALUE"""),"mobile")</f>
        <v>mobile</v>
      </c>
      <c r="AO321" s="3"/>
      <c r="AP321" s="3"/>
      <c r="AQ321" s="3"/>
      <c r="AR321" s="3"/>
      <c r="AS321" s="3"/>
      <c r="AT321" s="3"/>
      <c r="AU321" s="3" t="str">
        <f ca="1">IFERROR(__xludf.DUMMYFUNCTION("""COMPUTED_VALUE"""),"mobilní viněta")</f>
        <v>mobilní viněta</v>
      </c>
    </row>
    <row r="322" spans="1:47" x14ac:dyDescent="0.3">
      <c r="A322" s="3">
        <f ca="1"/>
        <v>2346826</v>
      </c>
      <c r="B322" s="3" t="str">
        <f ca="1"/>
        <v>CZECH NEWS CENTER a. s.</v>
      </c>
      <c r="C322" s="3" t="str">
        <f ca="1">IFERROR(__xludf.DUMMYFUNCTION("""COMPUTED_VALUE"""),"CNC IT &amp; mobile &amp; digital pack")</f>
        <v>CNC IT &amp; mobile &amp; digital pack</v>
      </c>
      <c r="D322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22" s="3" t="str">
        <f ca="1">IFERROR(__xludf.DUMMYFUNCTION("""COMPUTED_VALUE"""),"celý web")</f>
        <v>celý web</v>
      </c>
      <c r="F322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22" s="3" t="str">
        <f ca="1">IFERROR(__xludf.DUMMYFUNCTION("""COMPUTED_VALUE"""),"nativní rectangle cross-device high season")</f>
        <v>nativní rectangle cross-device high season</v>
      </c>
      <c r="H322" s="3">
        <f ca="1">IFERROR(__xludf.DUMMYFUNCTION("""COMPUTED_VALUE"""),7)</f>
        <v>7</v>
      </c>
      <c r="I322" s="5">
        <f ca="1">IFERROR(__xludf.DUMMYFUNCTION("""COMPUTED_VALUE"""),1000)</f>
        <v>1000</v>
      </c>
      <c r="J322" s="5">
        <f ca="1">IFERROR(__xludf.DUMMYFUNCTION("""COMPUTED_VALUE"""),270)</f>
        <v>270</v>
      </c>
      <c r="K322" s="3"/>
      <c r="L322" s="3" t="str">
        <f ca="1">IFERROR(__xludf.DUMMYFUNCTION("""COMPUTED_VALUE"""),"Cost per period")</f>
        <v>Cost per period</v>
      </c>
      <c r="M322" s="3"/>
      <c r="N322" s="3"/>
      <c r="O322" s="3" t="str">
        <f ca="1">IFERROR(__xludf.DUMMYFUNCTION("""COMPUTED_VALUE"""),"640")</f>
        <v>640</v>
      </c>
      <c r="P322" s="3" t="str">
        <f ca="1">IFERROR(__xludf.DUMMYFUNCTION("""COMPUTED_VALUE"""),"335, 640")</f>
        <v>335, 640</v>
      </c>
      <c r="Q322" s="3" t="str">
        <f ca="1">IFERROR(__xludf.DUMMYFUNCTION("""COMPUTED_VALUE"""),"640x640 a 640x335 + text + logo")</f>
        <v>640x640 a 640x335 + text + logo</v>
      </c>
      <c r="R322" s="3"/>
      <c r="S322" s="3" t="str">
        <f ca="1">IFERROR(__xludf.DUMMYFUNCTION("""COMPUTED_VALUE"""),"45")</f>
        <v>45</v>
      </c>
      <c r="T322" s="3"/>
      <c r="U322" s="3" t="str">
        <f ca="1">IFERROR(__xludf.DUMMYFUNCTION("""COMPUTED_VALUE"""),"nativní reklama")</f>
        <v>nativní reklama</v>
      </c>
      <c r="V322" s="3"/>
      <c r="W322" s="4" t="str">
        <f ca="1">IFERROR(__xludf.DUMMYFUNCTION("""COMPUTED_VALUE"""),"https://reklama.cncenter.cz/Online/nativni-rectangle-cross-device")</f>
        <v>https://reklama.cncenter.cz/Online/nativni-rectangle-cross-device</v>
      </c>
      <c r="X322" s="3"/>
      <c r="Y322" s="3"/>
      <c r="Z322" s="3" t="str">
        <f ca="1">IFERROR(__xludf.DUMMYFUNCTION("""COMPUTED_VALUE"""),"podklady@cncenter.cz")</f>
        <v>podklady@cncenter.cz</v>
      </c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 t="str">
        <f ca="1">IFERROR(__xludf.DUMMYFUNCTION("""COMPUTED_VALUE"""),"cross-device")</f>
        <v>cross-device</v>
      </c>
      <c r="AO322" s="3"/>
      <c r="AP322" s="3"/>
      <c r="AQ322" s="3"/>
      <c r="AR322" s="3"/>
      <c r="AS322" s="3"/>
      <c r="AT322" s="3"/>
      <c r="AU322" s="3" t="str">
        <f ca="1">IFERROR(__xludf.DUMMYFUNCTION("""COMPUTED_VALUE"""),"nativní rectangle cross-device")</f>
        <v>nativní rectangle cross-device</v>
      </c>
    </row>
    <row r="323" spans="1:47" x14ac:dyDescent="0.3">
      <c r="A323" s="3">
        <f ca="1"/>
        <v>2346826</v>
      </c>
      <c r="B323" s="3" t="str">
        <f ca="1"/>
        <v>CZECH NEWS CENTER a. s.</v>
      </c>
      <c r="C323" s="3" t="str">
        <f ca="1">IFERROR(__xludf.DUMMYFUNCTION("""COMPUTED_VALUE"""),"CNC IT &amp; mobile &amp; digital pack")</f>
        <v>CNC IT &amp; mobile &amp; digital pack</v>
      </c>
      <c r="D323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23" s="3" t="str">
        <f ca="1">IFERROR(__xludf.DUMMYFUNCTION("""COMPUTED_VALUE"""),"celý web")</f>
        <v>celý web</v>
      </c>
      <c r="F323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23" s="3" t="str">
        <f ca="1">IFERROR(__xludf.DUMMYFUNCTION("""COMPUTED_VALUE"""),"outstream high season")</f>
        <v>outstream high season</v>
      </c>
      <c r="H323" s="3">
        <f ca="1">IFERROR(__xludf.DUMMYFUNCTION("""COMPUTED_VALUE"""),7)</f>
        <v>7</v>
      </c>
      <c r="I323" s="5">
        <f ca="1">IFERROR(__xludf.DUMMYFUNCTION("""COMPUTED_VALUE"""),1000)</f>
        <v>1000</v>
      </c>
      <c r="J323" s="5">
        <f ca="1">IFERROR(__xludf.DUMMYFUNCTION("""COMPUTED_VALUE"""),420)</f>
        <v>420</v>
      </c>
      <c r="K323" s="3"/>
      <c r="L323" s="3" t="str">
        <f ca="1">IFERROR(__xludf.DUMMYFUNCTION("""COMPUTED_VALUE"""),"Cost per period")</f>
        <v>Cost per period</v>
      </c>
      <c r="M323" s="3"/>
      <c r="N323" s="3"/>
      <c r="O323" s="3" t="str">
        <f ca="1">IFERROR(__xludf.DUMMYFUNCTION("""COMPUTED_VALUE"""),"1280")</f>
        <v>1280</v>
      </c>
      <c r="P323" s="3" t="str">
        <f ca="1">IFERROR(__xludf.DUMMYFUNCTION("""COMPUTED_VALUE"""),"720")</f>
        <v>720</v>
      </c>
      <c r="Q323" s="3" t="str">
        <f ca="1">IFERROR(__xludf.DUMMYFUNCTION("""COMPUTED_VALUE"""),"16:9")</f>
        <v>16:9</v>
      </c>
      <c r="R323" s="3"/>
      <c r="S323" s="3" t="str">
        <f ca="1">IFERROR(__xludf.DUMMYFUNCTION("""COMPUTED_VALUE"""),"100")</f>
        <v>100</v>
      </c>
      <c r="T323" s="3"/>
      <c r="U323" s="3" t="str">
        <f ca="1">IFERROR(__xludf.DUMMYFUNCTION("""COMPUTED_VALUE"""),"videospot")</f>
        <v>videospot</v>
      </c>
      <c r="V323" s="3"/>
      <c r="W323" s="4" t="str">
        <f ca="1">IFERROR(__xludf.DUMMYFUNCTION("""COMPUTED_VALUE"""),"https://reklama.cncenter.cz/Online/Outstream")</f>
        <v>https://reklama.cncenter.cz/Online/Outstream</v>
      </c>
      <c r="X323" s="3"/>
      <c r="Y323" s="3"/>
      <c r="Z323" s="3" t="str">
        <f ca="1">IFERROR(__xludf.DUMMYFUNCTION("""COMPUTED_VALUE"""),"podklady@cncenter.cz")</f>
        <v>podklady@cncenter.cz</v>
      </c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 t="str">
        <f ca="1">IFERROR(__xludf.DUMMYFUNCTION("""COMPUTED_VALUE"""),"cross-device")</f>
        <v>cross-device</v>
      </c>
      <c r="AO323" s="3"/>
      <c r="AP323" s="3"/>
      <c r="AQ323" s="3"/>
      <c r="AR323" s="3"/>
      <c r="AS323" s="3"/>
      <c r="AT323" s="3"/>
      <c r="AU323" s="3" t="str">
        <f ca="1">IFERROR(__xludf.DUMMYFUNCTION("""COMPUTED_VALUE"""),"outstream")</f>
        <v>outstream</v>
      </c>
    </row>
    <row r="324" spans="1:47" x14ac:dyDescent="0.3">
      <c r="A324" s="3">
        <f ca="1"/>
        <v>2346826</v>
      </c>
      <c r="B324" s="3" t="str">
        <f ca="1"/>
        <v>CZECH NEWS CENTER a. s.</v>
      </c>
      <c r="C324" s="3" t="str">
        <f ca="1">IFERROR(__xludf.DUMMYFUNCTION("""COMPUTED_VALUE"""),"CNC IT &amp; mobile &amp; digital pack")</f>
        <v>CNC IT &amp; mobile &amp; digital pack</v>
      </c>
      <c r="D324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24" s="3" t="str">
        <f ca="1">IFERROR(__xludf.DUMMYFUNCTION("""COMPUTED_VALUE"""),"celý web")</f>
        <v>celý web</v>
      </c>
      <c r="F324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24" s="3" t="str">
        <f ca="1">IFERROR(__xludf.DUMMYFUNCTION("""COMPUTED_VALUE"""),"Smarticle high season")</f>
        <v>Smarticle high season</v>
      </c>
      <c r="H324" s="3">
        <f ca="1">IFERROR(__xludf.DUMMYFUNCTION("""COMPUTED_VALUE"""),7)</f>
        <v>7</v>
      </c>
      <c r="I324" s="5">
        <f ca="1">IFERROR(__xludf.DUMMYFUNCTION("""COMPUTED_VALUE"""),1000)</f>
        <v>1000</v>
      </c>
      <c r="J324" s="5">
        <f ca="1">IFERROR(__xludf.DUMMYFUNCTION("""COMPUTED_VALUE"""),200)</f>
        <v>200</v>
      </c>
      <c r="K324" s="3"/>
      <c r="L324" s="3" t="str">
        <f ca="1">IFERROR(__xludf.DUMMYFUNCTION("""COMPUTED_VALUE"""),"Cost per period")</f>
        <v>Cost per period</v>
      </c>
      <c r="M324" s="3"/>
      <c r="N324" s="3" t="str">
        <f ca="1">IFERROR(__xludf.DUMMYFUNCTION("""COMPUTED_VALUE"""),"A4")</f>
        <v>A4</v>
      </c>
      <c r="O324" s="3"/>
      <c r="P324" s="3"/>
      <c r="Q324" s="3" t="str">
        <f ca="1">IFERROR(__xludf.DUMMYFUNCTION("""COMPUTED_VALUE"""),"viz. tech.specifikace; HP + sekce")</f>
        <v>viz. tech.specifikace; HP + sekce</v>
      </c>
      <c r="R324" s="3" t="str">
        <f ca="1">IFERROR(__xludf.DUMMYFUNCTION("""COMPUTED_VALUE"""),"HP + sekce")</f>
        <v>HP + sekce</v>
      </c>
      <c r="S324" s="3" t="str">
        <f ca="1">IFERROR(__xludf.DUMMYFUNCTION("""COMPUTED_VALUE"""),"100")</f>
        <v>100</v>
      </c>
      <c r="T324" s="3"/>
      <c r="U324" s="3" t="str">
        <f ca="1">IFERROR(__xludf.DUMMYFUNCTION("""COMPUTED_VALUE"""),"pr článek")</f>
        <v>pr článek</v>
      </c>
      <c r="V324" s="3"/>
      <c r="W324" s="4" t="str">
        <f ca="1">IFERROR(__xludf.DUMMYFUNCTION("""COMPUTED_VALUE"""),"https://reklama.cncenter.cz/Online/Smarticle")</f>
        <v>https://reklama.cncenter.cz/Online/Smarticle</v>
      </c>
      <c r="X324" s="3"/>
      <c r="Y324" s="3"/>
      <c r="Z324" s="3" t="str">
        <f ca="1">IFERROR(__xludf.DUMMYFUNCTION("""COMPUTED_VALUE"""),"podklady@cncenter.cz")</f>
        <v>podklady@cncenter.cz</v>
      </c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 t="str">
        <f ca="1">IFERROR(__xludf.DUMMYFUNCTION("""COMPUTED_VALUE"""),"cross-device")</f>
        <v>cross-device</v>
      </c>
      <c r="AO324" s="3"/>
      <c r="AP324" s="3"/>
      <c r="AQ324" s="3"/>
      <c r="AR324" s="3"/>
      <c r="AS324" s="3"/>
      <c r="AT324" s="3"/>
      <c r="AU324" s="3" t="str">
        <f ca="1">IFERROR(__xludf.DUMMYFUNCTION("""COMPUTED_VALUE"""),"Smarticle")</f>
        <v>Smarticle</v>
      </c>
    </row>
    <row r="325" spans="1:47" x14ac:dyDescent="0.3">
      <c r="A325" s="3">
        <f ca="1"/>
        <v>2346826</v>
      </c>
      <c r="B325" s="3" t="str">
        <f ca="1"/>
        <v>CZECH NEWS CENTER a. s.</v>
      </c>
      <c r="C325" s="3" t="str">
        <f ca="1">IFERROR(__xludf.DUMMYFUNCTION("""COMPUTED_VALUE"""),"CNC IT &amp; mobile &amp; digital pack")</f>
        <v>CNC IT &amp; mobile &amp; digital pack</v>
      </c>
      <c r="D325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E325" s="3" t="str">
        <f ca="1">IFERROR(__xludf.DUMMYFUNCTION("""COMPUTED_VALUE"""),"celý web")</f>
        <v>celý web</v>
      </c>
      <c r="F325" s="3" t="str">
        <f ca="1">IFERROR(__xludf.DUMMYFUNCTION("""COMPUTED_VALUE"""),"https://avmania.zive.cz, https://digiarena.zive.cz, https://doupe.zive.cz, https://mobilmania.cz, https://vtm.zive.cz, https://zive.cz")</f>
        <v>https://avmania.zive.cz, https://digiarena.zive.cz, https://doupe.zive.cz, https://mobilmania.cz, https://vtm.zive.cz, https://zive.cz</v>
      </c>
      <c r="G325" s="3" t="str">
        <f ca="1">IFERROR(__xludf.DUMMYFUNCTION("""COMPUTED_VALUE"""),"videospot - max. 30 sec. / bumper high season")</f>
        <v>videospot - max. 30 sec. / bumper high season</v>
      </c>
      <c r="H325" s="3">
        <f ca="1">IFERROR(__xludf.DUMMYFUNCTION("""COMPUTED_VALUE"""),7)</f>
        <v>7</v>
      </c>
      <c r="I325" s="5">
        <f ca="1">IFERROR(__xludf.DUMMYFUNCTION("""COMPUTED_VALUE"""),1000)</f>
        <v>1000</v>
      </c>
      <c r="J325" s="5">
        <f ca="1">IFERROR(__xludf.DUMMYFUNCTION("""COMPUTED_VALUE"""),1230)</f>
        <v>1230</v>
      </c>
      <c r="K325" s="3"/>
      <c r="L325" s="3" t="str">
        <f ca="1">IFERROR(__xludf.DUMMYFUNCTION("""COMPUTED_VALUE"""),"Cost per period")</f>
        <v>Cost per period</v>
      </c>
      <c r="M325" s="3"/>
      <c r="N325" s="3"/>
      <c r="O325" s="3" t="str">
        <f ca="1">IFERROR(__xludf.DUMMYFUNCTION("""COMPUTED_VALUE"""),"1280")</f>
        <v>1280</v>
      </c>
      <c r="P325" s="3" t="str">
        <f ca="1">IFERROR(__xludf.DUMMYFUNCTION("""COMPUTED_VALUE"""),"720")</f>
        <v>720</v>
      </c>
      <c r="Q325" s="3" t="str">
        <f ca="1">IFERROR(__xludf.DUMMYFUNCTION("""COMPUTED_VALUE"""),"16:9 / umístění po domluvě dle možností")</f>
        <v>16:9 / umístění po domluvě dle možností</v>
      </c>
      <c r="R325" s="3" t="str">
        <f ca="1">IFERROR(__xludf.DUMMYFUNCTION("""COMPUTED_VALUE"""),"přeskočení po 7 sekundách")</f>
        <v>přeskočení po 7 sekundách</v>
      </c>
      <c r="S325" s="3" t="str">
        <f ca="1">IFERROR(__xludf.DUMMYFUNCTION("""COMPUTED_VALUE"""),"100")</f>
        <v>100</v>
      </c>
      <c r="T325" s="3"/>
      <c r="U325" s="3" t="str">
        <f ca="1">IFERROR(__xludf.DUMMYFUNCTION("""COMPUTED_VALUE"""),"videospot")</f>
        <v>videospot</v>
      </c>
      <c r="V325" s="3"/>
      <c r="W325" s="4" t="str">
        <f ca="1">IFERROR(__xludf.DUMMYFUNCTION("""COMPUTED_VALUE"""),"https://reklama.cncenter.cz/Online/Bumper")</f>
        <v>https://reklama.cncenter.cz/Online/Bumper</v>
      </c>
      <c r="X325" s="3"/>
      <c r="Y325" s="3"/>
      <c r="Z325" s="3" t="str">
        <f ca="1">IFERROR(__xludf.DUMMYFUNCTION("""COMPUTED_VALUE"""),"podklady@cncenter.cz")</f>
        <v>podklady@cncenter.cz</v>
      </c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 t="str">
        <f ca="1">IFERROR(__xludf.DUMMYFUNCTION("""COMPUTED_VALUE"""),"cross-device")</f>
        <v>cross-device</v>
      </c>
      <c r="AO325" s="3"/>
      <c r="AP325" s="3"/>
      <c r="AQ325" s="3"/>
      <c r="AR325" s="3"/>
      <c r="AS325" s="3"/>
      <c r="AT325" s="3"/>
      <c r="AU325" s="3" t="str">
        <f ca="1">IFERROR(__xludf.DUMMYFUNCTION("""COMPUTED_VALUE"""),"videospot - max. 30 sec. / bumper")</f>
        <v>videospot - max. 30 sec. / bumper</v>
      </c>
    </row>
    <row r="326" spans="1:47" x14ac:dyDescent="0.3">
      <c r="A326" s="3">
        <f ca="1"/>
        <v>2346826</v>
      </c>
      <c r="B326" s="3" t="str">
        <f ca="1"/>
        <v>CZECH NEWS CENTER a. s.</v>
      </c>
      <c r="C326" s="3" t="str">
        <f ca="1">IFERROR(__xludf.DUMMYFUNCTION("""COMPUTED_VALUE"""),"CNC muži pack")</f>
        <v>CNC muži pack</v>
      </c>
      <c r="D326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26" s="3" t="str">
        <f ca="1">IFERROR(__xludf.DUMMYFUNCTION("""COMPUTED_VALUE"""),"celý web")</f>
        <v>celý web</v>
      </c>
      <c r="F326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26" s="3" t="str">
        <f ca="1">IFERROR(__xludf.DUMMYFUNCTION("""COMPUTED_VALUE"""),"billboard bottom high season")</f>
        <v>billboard bottom high season</v>
      </c>
      <c r="H326" s="3">
        <f ca="1">IFERROR(__xludf.DUMMYFUNCTION("""COMPUTED_VALUE"""),7)</f>
        <v>7</v>
      </c>
      <c r="I326" s="5">
        <f ca="1">IFERROR(__xludf.DUMMYFUNCTION("""COMPUTED_VALUE"""),1000)</f>
        <v>1000</v>
      </c>
      <c r="J326" s="5">
        <f ca="1">IFERROR(__xludf.DUMMYFUNCTION("""COMPUTED_VALUE"""),380)</f>
        <v>380</v>
      </c>
      <c r="K326" s="3"/>
      <c r="L326" s="3" t="str">
        <f ca="1">IFERROR(__xludf.DUMMYFUNCTION("""COMPUTED_VALUE"""),"Cost per period")</f>
        <v>Cost per period</v>
      </c>
      <c r="M326" s="3"/>
      <c r="N326" s="3"/>
      <c r="O326" s="3" t="str">
        <f ca="1">IFERROR(__xludf.DUMMYFUNCTION("""COMPUTED_VALUE"""),"970")</f>
        <v>970</v>
      </c>
      <c r="P326" s="3" t="str">
        <f ca="1">IFERROR(__xludf.DUMMYFUNCTION("""COMPUTED_VALUE"""),"250")</f>
        <v>250</v>
      </c>
      <c r="Q326" s="3" t="str">
        <f ca="1">IFERROR(__xludf.DUMMYFUNCTION("""COMPUTED_VALUE"""),"970x250")</f>
        <v>970x250</v>
      </c>
      <c r="R326" s="3"/>
      <c r="S326" s="3" t="str">
        <f ca="1">IFERROR(__xludf.DUMMYFUNCTION("""COMPUTED_VALUE"""),"100 (200 - HTML5)")</f>
        <v>100 (200 - HTML5)</v>
      </c>
      <c r="T326" s="3"/>
      <c r="U326" s="3" t="str">
        <f ca="1">IFERROR(__xludf.DUMMYFUNCTION("""COMPUTED_VALUE"""),"banner standard")</f>
        <v>banner standard</v>
      </c>
      <c r="V326" s="3"/>
      <c r="W326" s="4" t="str">
        <f ca="1">IFERROR(__xludf.DUMMYFUNCTION("""COMPUTED_VALUE"""),"https://reklama.cncenter.cz/Online/billboard-bottom")</f>
        <v>https://reklama.cncenter.cz/Online/billboard-bottom</v>
      </c>
      <c r="X326" s="3"/>
      <c r="Y326" s="3"/>
      <c r="Z326" s="3" t="str">
        <f ca="1">IFERROR(__xludf.DUMMYFUNCTION("""COMPUTED_VALUE"""),"podklady@cncenter.cz")</f>
        <v>podklady@cncenter.cz</v>
      </c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 t="str">
        <f ca="1">IFERROR(__xludf.DUMMYFUNCTION("""COMPUTED_VALUE"""),"desktop")</f>
        <v>desktop</v>
      </c>
      <c r="AO326" s="3"/>
      <c r="AP326" s="3"/>
      <c r="AQ326" s="3"/>
      <c r="AR326" s="3"/>
      <c r="AS326" s="3"/>
      <c r="AT326" s="3"/>
      <c r="AU326" s="3" t="str">
        <f ca="1">IFERROR(__xludf.DUMMYFUNCTION("""COMPUTED_VALUE"""),"billboard bottom")</f>
        <v>billboard bottom</v>
      </c>
    </row>
    <row r="327" spans="1:47" x14ac:dyDescent="0.3">
      <c r="A327" s="3">
        <f ca="1"/>
        <v>2346826</v>
      </c>
      <c r="B327" s="3" t="str">
        <f ca="1"/>
        <v>CZECH NEWS CENTER a. s.</v>
      </c>
      <c r="C327" s="3" t="str">
        <f ca="1">IFERROR(__xludf.DUMMYFUNCTION("""COMPUTED_VALUE"""),"CNC muži pack")</f>
        <v>CNC muži pack</v>
      </c>
      <c r="D327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27" s="3" t="str">
        <f ca="1">IFERROR(__xludf.DUMMYFUNCTION("""COMPUTED_VALUE"""),"celý web")</f>
        <v>celý web</v>
      </c>
      <c r="F327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27" s="3" t="str">
        <f ca="1">IFERROR(__xludf.DUMMYFUNCTION("""COMPUTED_VALUE"""),"branding cross-device high season")</f>
        <v>branding cross-device high season</v>
      </c>
      <c r="H327" s="3">
        <f ca="1">IFERROR(__xludf.DUMMYFUNCTION("""COMPUTED_VALUE"""),7)</f>
        <v>7</v>
      </c>
      <c r="I327" s="5">
        <f ca="1">IFERROR(__xludf.DUMMYFUNCTION("""COMPUTED_VALUE"""),1000)</f>
        <v>1000</v>
      </c>
      <c r="J327" s="5">
        <f ca="1">IFERROR(__xludf.DUMMYFUNCTION("""COMPUTED_VALUE"""),490)</f>
        <v>490</v>
      </c>
      <c r="K327" s="3"/>
      <c r="L327" s="3" t="str">
        <f ca="1">IFERROR(__xludf.DUMMYFUNCTION("""COMPUTED_VALUE"""),"Cost per period")</f>
        <v>Cost per period</v>
      </c>
      <c r="M327" s="3"/>
      <c r="N327" s="3"/>
      <c r="O327" s="3" t="str">
        <f ca="1">IFERROR(__xludf.DUMMYFUNCTION("""COMPUTED_VALUE"""),"2000")</f>
        <v>2000</v>
      </c>
      <c r="P327" s="3" t="str">
        <f ca="1">IFERROR(__xludf.DUMMYFUNCTION("""COMPUTED_VALUE"""),"1400")</f>
        <v>1400</v>
      </c>
      <c r="Q327" s="3" t="str">
        <f ca="1">IFERROR(__xludf.DUMMYFUNCTION("""COMPUTED_VALUE"""),"2000x1400 + 600x1080")</f>
        <v>2000x1400 + 600x1080</v>
      </c>
      <c r="R327" s="3"/>
      <c r="S327" s="3" t="str">
        <f ca="1">IFERROR(__xludf.DUMMYFUNCTION("""COMPUTED_VALUE"""),"500 (600 - HTLM5)")</f>
        <v>500 (600 - HTLM5)</v>
      </c>
      <c r="T327" s="3"/>
      <c r="U327" s="3" t="str">
        <f ca="1">IFERROR(__xludf.DUMMYFUNCTION("""COMPUTED_VALUE"""),"banner standard")</f>
        <v>banner standard</v>
      </c>
      <c r="V327" s="3"/>
      <c r="W327" s="4" t="str">
        <f ca="1">IFERROR(__xludf.DUMMYFUNCTION("""COMPUTED_VALUE"""),"https://reklama.cncenter.cz/Online/branding-cross-device")</f>
        <v>https://reklama.cncenter.cz/Online/branding-cross-device</v>
      </c>
      <c r="X327" s="3"/>
      <c r="Y327" s="3"/>
      <c r="Z327" s="3" t="str">
        <f ca="1">IFERROR(__xludf.DUMMYFUNCTION("""COMPUTED_VALUE"""),"podklady@cncenter.cz")</f>
        <v>podklady@cncenter.cz</v>
      </c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 t="str">
        <f ca="1">IFERROR(__xludf.DUMMYFUNCTION("""COMPUTED_VALUE"""),"cross-device")</f>
        <v>cross-device</v>
      </c>
      <c r="AO327" s="3"/>
      <c r="AP327" s="3"/>
      <c r="AQ327" s="3"/>
      <c r="AR327" s="3"/>
      <c r="AS327" s="3"/>
      <c r="AT327" s="3"/>
      <c r="AU327" s="3" t="str">
        <f ca="1">IFERROR(__xludf.DUMMYFUNCTION("""COMPUTED_VALUE"""),"branding cross-device")</f>
        <v>branding cross-device</v>
      </c>
    </row>
    <row r="328" spans="1:47" x14ac:dyDescent="0.3">
      <c r="A328" s="3">
        <f ca="1"/>
        <v>2346826</v>
      </c>
      <c r="B328" s="3" t="str">
        <f ca="1"/>
        <v>CZECH NEWS CENTER a. s.</v>
      </c>
      <c r="C328" s="3" t="str">
        <f ca="1">IFERROR(__xludf.DUMMYFUNCTION("""COMPUTED_VALUE"""),"CNC muži pack")</f>
        <v>CNC muži pack</v>
      </c>
      <c r="D328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28" s="3" t="str">
        <f ca="1">IFERROR(__xludf.DUMMYFUNCTION("""COMPUTED_VALUE"""),"celý web")</f>
        <v>celý web</v>
      </c>
      <c r="F328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28" s="3" t="str">
        <f ca="1">IFERROR(__xludf.DUMMYFUNCTION("""COMPUTED_VALUE"""),"branding high season")</f>
        <v>branding high season</v>
      </c>
      <c r="H328" s="3">
        <f ca="1">IFERROR(__xludf.DUMMYFUNCTION("""COMPUTED_VALUE"""),7)</f>
        <v>7</v>
      </c>
      <c r="I328" s="5">
        <f ca="1">IFERROR(__xludf.DUMMYFUNCTION("""COMPUTED_VALUE"""),1000)</f>
        <v>1000</v>
      </c>
      <c r="J328" s="5">
        <f ca="1">IFERROR(__xludf.DUMMYFUNCTION("""COMPUTED_VALUE"""),720)</f>
        <v>720</v>
      </c>
      <c r="K328" s="3"/>
      <c r="L328" s="3" t="str">
        <f ca="1">IFERROR(__xludf.DUMMYFUNCTION("""COMPUTED_VALUE"""),"Cost per period")</f>
        <v>Cost per period</v>
      </c>
      <c r="M328" s="3"/>
      <c r="N328" s="3"/>
      <c r="O328" s="3" t="str">
        <f ca="1">IFERROR(__xludf.DUMMYFUNCTION("""COMPUTED_VALUE"""),"2000")</f>
        <v>2000</v>
      </c>
      <c r="P328" s="3" t="str">
        <f ca="1">IFERROR(__xludf.DUMMYFUNCTION("""COMPUTED_VALUE"""),"1400")</f>
        <v>1400</v>
      </c>
      <c r="Q328" s="3" t="str">
        <f ca="1">IFERROR(__xludf.DUMMYFUNCTION("""COMPUTED_VALUE"""),"2000x1400")</f>
        <v>2000x1400</v>
      </c>
      <c r="R328" s="3"/>
      <c r="S328" s="3" t="str">
        <f ca="1">IFERROR(__xludf.DUMMYFUNCTION("""COMPUTED_VALUE"""),"500 + 200 (600+200 HTML5)")</f>
        <v>500 + 200 (600+200 HTML5)</v>
      </c>
      <c r="T328" s="3"/>
      <c r="U328" s="3" t="str">
        <f ca="1">IFERROR(__xludf.DUMMYFUNCTION("""COMPUTED_VALUE"""),"banner standard")</f>
        <v>banner standard</v>
      </c>
      <c r="V328" s="3"/>
      <c r="W328" s="4" t="str">
        <f ca="1">IFERROR(__xludf.DUMMYFUNCTION("""COMPUTED_VALUE"""),"https://reklama.cncenter.cz/Online/branding")</f>
        <v>https://reklama.cncenter.cz/Online/branding</v>
      </c>
      <c r="X328" s="3"/>
      <c r="Y328" s="3"/>
      <c r="Z328" s="3" t="str">
        <f ca="1">IFERROR(__xludf.DUMMYFUNCTION("""COMPUTED_VALUE"""),"podklady@cncenter.cz")</f>
        <v>podklady@cncenter.cz</v>
      </c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 t="str">
        <f ca="1">IFERROR(__xludf.DUMMYFUNCTION("""COMPUTED_VALUE"""),"desktop")</f>
        <v>desktop</v>
      </c>
      <c r="AO328" s="3"/>
      <c r="AP328" s="3"/>
      <c r="AQ328" s="3"/>
      <c r="AR328" s="3"/>
      <c r="AS328" s="3"/>
      <c r="AT328" s="3"/>
      <c r="AU328" s="3" t="str">
        <f ca="1">IFERROR(__xludf.DUMMYFUNCTION("""COMPUTED_VALUE"""),"branding")</f>
        <v>branding</v>
      </c>
    </row>
    <row r="329" spans="1:47" x14ac:dyDescent="0.3">
      <c r="A329" s="3">
        <f ca="1"/>
        <v>2346826</v>
      </c>
      <c r="B329" s="3" t="str">
        <f ca="1"/>
        <v>CZECH NEWS CENTER a. s.</v>
      </c>
      <c r="C329" s="3" t="str">
        <f ca="1">IFERROR(__xludf.DUMMYFUNCTION("""COMPUTED_VALUE"""),"CNC muži pack")</f>
        <v>CNC muži pack</v>
      </c>
      <c r="D329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29" s="3" t="str">
        <f ca="1">IFERROR(__xludf.DUMMYFUNCTION("""COMPUTED_VALUE"""),"celý web")</f>
        <v>celý web</v>
      </c>
      <c r="F329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29" s="3" t="str">
        <f ca="1">IFERROR(__xludf.DUMMYFUNCTION("""COMPUTED_VALUE"""),"cílený billboard bottom high season")</f>
        <v>cílený billboard bottom high season</v>
      </c>
      <c r="H329" s="3">
        <f ca="1">IFERROR(__xludf.DUMMYFUNCTION("""COMPUTED_VALUE"""),7)</f>
        <v>7</v>
      </c>
      <c r="I329" s="5">
        <f ca="1">IFERROR(__xludf.DUMMYFUNCTION("""COMPUTED_VALUE"""),1000)</f>
        <v>1000</v>
      </c>
      <c r="J329" s="5">
        <f ca="1">IFERROR(__xludf.DUMMYFUNCTION("""COMPUTED_VALUE"""),456)</f>
        <v>456</v>
      </c>
      <c r="K329" s="3"/>
      <c r="L329" s="3" t="str">
        <f ca="1">IFERROR(__xludf.DUMMYFUNCTION("""COMPUTED_VALUE"""),"Cost per period")</f>
        <v>Cost per period</v>
      </c>
      <c r="M329" s="3"/>
      <c r="N329" s="3"/>
      <c r="O329" s="3" t="str">
        <f ca="1">IFERROR(__xludf.DUMMYFUNCTION("""COMPUTED_VALUE"""),"970")</f>
        <v>970</v>
      </c>
      <c r="P329" s="3" t="str">
        <f ca="1">IFERROR(__xludf.DUMMYFUNCTION("""COMPUTED_VALUE"""),"250")</f>
        <v>250</v>
      </c>
      <c r="Q329" s="3" t="str">
        <f ca="1">IFERROR(__xludf.DUMMYFUNCTION("""COMPUTED_VALUE"""),"970x250")</f>
        <v>970x250</v>
      </c>
      <c r="R329" s="3"/>
      <c r="S329" s="3" t="str">
        <f ca="1">IFERROR(__xludf.DUMMYFUNCTION("""COMPUTED_VALUE"""),"100 (200 - HTML5)")</f>
        <v>100 (200 - HTML5)</v>
      </c>
      <c r="T329" s="3"/>
      <c r="U329" s="3" t="str">
        <f ca="1">IFERROR(__xludf.DUMMYFUNCTION("""COMPUTED_VALUE"""),"banner standard")</f>
        <v>banner standard</v>
      </c>
      <c r="V329" s="3"/>
      <c r="W329" s="4" t="str">
        <f ca="1">IFERROR(__xludf.DUMMYFUNCTION("""COMPUTED_VALUE"""),"https://reklama.cncenter.cz/Online/billboard-bottom")</f>
        <v>https://reklama.cncenter.cz/Online/billboard-bottom</v>
      </c>
      <c r="X329" s="3"/>
      <c r="Y329" s="3"/>
      <c r="Z329" s="3" t="str">
        <f ca="1">IFERROR(__xludf.DUMMYFUNCTION("""COMPUTED_VALUE"""),"podklady@cncenter.cz")</f>
        <v>podklady@cncenter.cz</v>
      </c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 t="str">
        <f ca="1">IFERROR(__xludf.DUMMYFUNCTION("""COMPUTED_VALUE"""),"desktop")</f>
        <v>desktop</v>
      </c>
      <c r="AO329" s="3"/>
      <c r="AP329" s="3"/>
      <c r="AQ329" s="3"/>
      <c r="AR329" s="3"/>
      <c r="AS329" s="3"/>
      <c r="AT329" s="3"/>
      <c r="AU329" s="3" t="str">
        <f ca="1">IFERROR(__xludf.DUMMYFUNCTION("""COMPUTED_VALUE"""),"cílený billboard bottom")</f>
        <v>cílený billboard bottom</v>
      </c>
    </row>
    <row r="330" spans="1:47" x14ac:dyDescent="0.3">
      <c r="A330" s="3">
        <f ca="1"/>
        <v>2346826</v>
      </c>
      <c r="B330" s="3" t="str">
        <f ca="1"/>
        <v>CZECH NEWS CENTER a. s.</v>
      </c>
      <c r="C330" s="3" t="str">
        <f ca="1">IFERROR(__xludf.DUMMYFUNCTION("""COMPUTED_VALUE"""),"CNC muži pack")</f>
        <v>CNC muži pack</v>
      </c>
      <c r="D330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0" s="3" t="str">
        <f ca="1">IFERROR(__xludf.DUMMYFUNCTION("""COMPUTED_VALUE"""),"celý web")</f>
        <v>celý web</v>
      </c>
      <c r="F330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0" s="3" t="str">
        <f ca="1">IFERROR(__xludf.DUMMYFUNCTION("""COMPUTED_VALUE"""),"cílený branding cross-device high season")</f>
        <v>cílený branding cross-device high season</v>
      </c>
      <c r="H330" s="3">
        <f ca="1">IFERROR(__xludf.DUMMYFUNCTION("""COMPUTED_VALUE"""),7)</f>
        <v>7</v>
      </c>
      <c r="I330" s="5">
        <f ca="1">IFERROR(__xludf.DUMMYFUNCTION("""COMPUTED_VALUE"""),1000)</f>
        <v>1000</v>
      </c>
      <c r="J330" s="5">
        <f ca="1">IFERROR(__xludf.DUMMYFUNCTION("""COMPUTED_VALUE"""),588)</f>
        <v>588</v>
      </c>
      <c r="K330" s="3"/>
      <c r="L330" s="3" t="str">
        <f ca="1">IFERROR(__xludf.DUMMYFUNCTION("""COMPUTED_VALUE"""),"Cost per period")</f>
        <v>Cost per period</v>
      </c>
      <c r="M330" s="3"/>
      <c r="N330" s="3"/>
      <c r="O330" s="3" t="str">
        <f ca="1">IFERROR(__xludf.DUMMYFUNCTION("""COMPUTED_VALUE"""),"2000")</f>
        <v>2000</v>
      </c>
      <c r="P330" s="3" t="str">
        <f ca="1">IFERROR(__xludf.DUMMYFUNCTION("""COMPUTED_VALUE"""),"1400")</f>
        <v>1400</v>
      </c>
      <c r="Q330" s="3" t="str">
        <f ca="1">IFERROR(__xludf.DUMMYFUNCTION("""COMPUTED_VALUE"""),"2000x1400 + 600x1080")</f>
        <v>2000x1400 + 600x1080</v>
      </c>
      <c r="R330" s="3"/>
      <c r="S330" s="3" t="str">
        <f ca="1">IFERROR(__xludf.DUMMYFUNCTION("""COMPUTED_VALUE"""),"500 (600 - HTLM5)")</f>
        <v>500 (600 - HTLM5)</v>
      </c>
      <c r="T330" s="3"/>
      <c r="U330" s="3" t="str">
        <f ca="1">IFERROR(__xludf.DUMMYFUNCTION("""COMPUTED_VALUE"""),"banner standard")</f>
        <v>banner standard</v>
      </c>
      <c r="V330" s="3"/>
      <c r="W330" s="4" t="str">
        <f ca="1">IFERROR(__xludf.DUMMYFUNCTION("""COMPUTED_VALUE"""),"https://reklama.cncenter.cz/Online/branding-cross-device")</f>
        <v>https://reklama.cncenter.cz/Online/branding-cross-device</v>
      </c>
      <c r="X330" s="3"/>
      <c r="Y330" s="3"/>
      <c r="Z330" s="3" t="str">
        <f ca="1">IFERROR(__xludf.DUMMYFUNCTION("""COMPUTED_VALUE"""),"podklady@cncenter.cz")</f>
        <v>podklady@cncenter.cz</v>
      </c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 t="str">
        <f ca="1">IFERROR(__xludf.DUMMYFUNCTION("""COMPUTED_VALUE"""),"cross-device")</f>
        <v>cross-device</v>
      </c>
      <c r="AO330" s="3"/>
      <c r="AP330" s="3"/>
      <c r="AQ330" s="3"/>
      <c r="AR330" s="3"/>
      <c r="AS330" s="3"/>
      <c r="AT330" s="3"/>
      <c r="AU330" s="3" t="str">
        <f ca="1">IFERROR(__xludf.DUMMYFUNCTION("""COMPUTED_VALUE"""),"cílený branding cross-device")</f>
        <v>cílený branding cross-device</v>
      </c>
    </row>
    <row r="331" spans="1:47" x14ac:dyDescent="0.3">
      <c r="A331" s="3">
        <f ca="1"/>
        <v>2346826</v>
      </c>
      <c r="B331" s="3" t="str">
        <f ca="1"/>
        <v>CZECH NEWS CENTER a. s.</v>
      </c>
      <c r="C331" s="3" t="str">
        <f ca="1">IFERROR(__xludf.DUMMYFUNCTION("""COMPUTED_VALUE"""),"CNC muži pack")</f>
        <v>CNC muži pack</v>
      </c>
      <c r="D331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1" s="3" t="str">
        <f ca="1">IFERROR(__xludf.DUMMYFUNCTION("""COMPUTED_VALUE"""),"celý web")</f>
        <v>celý web</v>
      </c>
      <c r="F331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1" s="3" t="str">
        <f ca="1">IFERROR(__xludf.DUMMYFUNCTION("""COMPUTED_VALUE"""),"cílený branding high season")</f>
        <v>cílený branding high season</v>
      </c>
      <c r="H331" s="3">
        <f ca="1">IFERROR(__xludf.DUMMYFUNCTION("""COMPUTED_VALUE"""),7)</f>
        <v>7</v>
      </c>
      <c r="I331" s="5">
        <f ca="1">IFERROR(__xludf.DUMMYFUNCTION("""COMPUTED_VALUE"""),1000)</f>
        <v>1000</v>
      </c>
      <c r="J331" s="5">
        <f ca="1">IFERROR(__xludf.DUMMYFUNCTION("""COMPUTED_VALUE"""),864)</f>
        <v>864</v>
      </c>
      <c r="K331" s="3"/>
      <c r="L331" s="3" t="str">
        <f ca="1">IFERROR(__xludf.DUMMYFUNCTION("""COMPUTED_VALUE"""),"Cost per period")</f>
        <v>Cost per period</v>
      </c>
      <c r="M331" s="3"/>
      <c r="N331" s="3"/>
      <c r="O331" s="3" t="str">
        <f ca="1">IFERROR(__xludf.DUMMYFUNCTION("""COMPUTED_VALUE"""),"2000")</f>
        <v>2000</v>
      </c>
      <c r="P331" s="3" t="str">
        <f ca="1">IFERROR(__xludf.DUMMYFUNCTION("""COMPUTED_VALUE"""),"1400")</f>
        <v>1400</v>
      </c>
      <c r="Q331" s="3" t="str">
        <f ca="1">IFERROR(__xludf.DUMMYFUNCTION("""COMPUTED_VALUE"""),"2000x1400")</f>
        <v>2000x1400</v>
      </c>
      <c r="R331" s="3"/>
      <c r="S331" s="3" t="str">
        <f ca="1">IFERROR(__xludf.DUMMYFUNCTION("""COMPUTED_VALUE"""),"500 + 200 (600+200 HTML5)")</f>
        <v>500 + 200 (600+200 HTML5)</v>
      </c>
      <c r="T331" s="3"/>
      <c r="U331" s="3" t="str">
        <f ca="1">IFERROR(__xludf.DUMMYFUNCTION("""COMPUTED_VALUE"""),"banner standard")</f>
        <v>banner standard</v>
      </c>
      <c r="V331" s="3"/>
      <c r="W331" s="4" t="str">
        <f ca="1">IFERROR(__xludf.DUMMYFUNCTION("""COMPUTED_VALUE"""),"https://reklama.cncenter.cz/Online/branding")</f>
        <v>https://reklama.cncenter.cz/Online/branding</v>
      </c>
      <c r="X331" s="3"/>
      <c r="Y331" s="3"/>
      <c r="Z331" s="3" t="str">
        <f ca="1">IFERROR(__xludf.DUMMYFUNCTION("""COMPUTED_VALUE"""),"podklady@cncenter.cz")</f>
        <v>podklady@cncenter.cz</v>
      </c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 t="str">
        <f ca="1">IFERROR(__xludf.DUMMYFUNCTION("""COMPUTED_VALUE"""),"desktop")</f>
        <v>desktop</v>
      </c>
      <c r="AO331" s="3"/>
      <c r="AP331" s="3"/>
      <c r="AQ331" s="3"/>
      <c r="AR331" s="3"/>
      <c r="AS331" s="3"/>
      <c r="AT331" s="3"/>
      <c r="AU331" s="3" t="str">
        <f ca="1">IFERROR(__xludf.DUMMYFUNCTION("""COMPUTED_VALUE"""),"cílený branding")</f>
        <v>cílený branding</v>
      </c>
    </row>
    <row r="332" spans="1:47" x14ac:dyDescent="0.3">
      <c r="A332" s="3">
        <f ca="1"/>
        <v>2346826</v>
      </c>
      <c r="B332" s="3" t="str">
        <f ca="1"/>
        <v>CZECH NEWS CENTER a. s.</v>
      </c>
      <c r="C332" s="3" t="str">
        <f ca="1">IFERROR(__xludf.DUMMYFUNCTION("""COMPUTED_VALUE"""),"CNC muži pack")</f>
        <v>CNC muži pack</v>
      </c>
      <c r="D332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2" s="3" t="str">
        <f ca="1">IFERROR(__xludf.DUMMYFUNCTION("""COMPUTED_VALUE"""),"celý web")</f>
        <v>celý web</v>
      </c>
      <c r="F332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2" s="3" t="str">
        <f ca="1">IFERROR(__xludf.DUMMYFUNCTION("""COMPUTED_VALUE"""),"cílený double skyscraper high season")</f>
        <v>cílený double skyscraper high season</v>
      </c>
      <c r="H332" s="3">
        <f ca="1">IFERROR(__xludf.DUMMYFUNCTION("""COMPUTED_VALUE"""),7)</f>
        <v>7</v>
      </c>
      <c r="I332" s="5">
        <f ca="1">IFERROR(__xludf.DUMMYFUNCTION("""COMPUTED_VALUE"""),1000)</f>
        <v>1000</v>
      </c>
      <c r="J332" s="5">
        <f ca="1">IFERROR(__xludf.DUMMYFUNCTION("""COMPUTED_VALUE"""),324)</f>
        <v>324</v>
      </c>
      <c r="K332" s="3"/>
      <c r="L332" s="3" t="str">
        <f ca="1">IFERROR(__xludf.DUMMYFUNCTION("""COMPUTED_VALUE"""),"Cost per period")</f>
        <v>Cost per period</v>
      </c>
      <c r="M332" s="3"/>
      <c r="N332" s="3"/>
      <c r="O332" s="3" t="str">
        <f ca="1">IFERROR(__xludf.DUMMYFUNCTION("""COMPUTED_VALUE"""),"300")</f>
        <v>300</v>
      </c>
      <c r="P332" s="3" t="str">
        <f ca="1">IFERROR(__xludf.DUMMYFUNCTION("""COMPUTED_VALUE"""),"600")</f>
        <v>600</v>
      </c>
      <c r="Q332" s="3" t="str">
        <f ca="1">IFERROR(__xludf.DUMMYFUNCTION("""COMPUTED_VALUE"""),"300x600")</f>
        <v>300x600</v>
      </c>
      <c r="R332" s="3"/>
      <c r="S332" s="3" t="str">
        <f ca="1">IFERROR(__xludf.DUMMYFUNCTION("""COMPUTED_VALUE"""),"100 (200 - HTML5)")</f>
        <v>100 (200 - HTML5)</v>
      </c>
      <c r="T332" s="3"/>
      <c r="U332" s="3" t="str">
        <f ca="1">IFERROR(__xludf.DUMMYFUNCTION("""COMPUTED_VALUE"""),"banner standard")</f>
        <v>banner standard</v>
      </c>
      <c r="V332" s="3"/>
      <c r="W332" s="4" t="str">
        <f ca="1">IFERROR(__xludf.DUMMYFUNCTION("""COMPUTED_VALUE"""),"https://reklama.cncenter.cz/Online/double-skyscraper")</f>
        <v>https://reklama.cncenter.cz/Online/double-skyscraper</v>
      </c>
      <c r="X332" s="3"/>
      <c r="Y332" s="3"/>
      <c r="Z332" s="3" t="str">
        <f ca="1">IFERROR(__xludf.DUMMYFUNCTION("""COMPUTED_VALUE"""),"podklady@cncenter.cz")</f>
        <v>podklady@cncenter.cz</v>
      </c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 t="str">
        <f ca="1">IFERROR(__xludf.DUMMYFUNCTION("""COMPUTED_VALUE"""),"desktop")</f>
        <v>desktop</v>
      </c>
      <c r="AO332" s="3"/>
      <c r="AP332" s="3"/>
      <c r="AQ332" s="3"/>
      <c r="AR332" s="3"/>
      <c r="AS332" s="3"/>
      <c r="AT332" s="3"/>
      <c r="AU332" s="3" t="str">
        <f ca="1">IFERROR(__xludf.DUMMYFUNCTION("""COMPUTED_VALUE"""),"cílený double skyscraper")</f>
        <v>cílený double skyscraper</v>
      </c>
    </row>
    <row r="333" spans="1:47" x14ac:dyDescent="0.3">
      <c r="A333" s="3">
        <f ca="1"/>
        <v>2346826</v>
      </c>
      <c r="B333" s="3" t="str">
        <f ca="1"/>
        <v>CZECH NEWS CENTER a. s.</v>
      </c>
      <c r="C333" s="3" t="str">
        <f ca="1">IFERROR(__xludf.DUMMYFUNCTION("""COMPUTED_VALUE"""),"CNC muži pack")</f>
        <v>CNC muži pack</v>
      </c>
      <c r="D333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3" s="3" t="str">
        <f ca="1">IFERROR(__xludf.DUMMYFUNCTION("""COMPUTED_VALUE"""),"celý web")</f>
        <v>celý web</v>
      </c>
      <c r="F333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3" s="3" t="str">
        <f ca="1">IFERROR(__xludf.DUMMYFUNCTION("""COMPUTED_VALUE"""),"cílený mini videospot - max. 30 sec. high season")</f>
        <v>cílený mini videospot - max. 30 sec. high season</v>
      </c>
      <c r="H333" s="3">
        <f ca="1">IFERROR(__xludf.DUMMYFUNCTION("""COMPUTED_VALUE"""),7)</f>
        <v>7</v>
      </c>
      <c r="I333" s="5">
        <f ca="1">IFERROR(__xludf.DUMMYFUNCTION("""COMPUTED_VALUE"""),1000)</f>
        <v>1000</v>
      </c>
      <c r="J333" s="5">
        <f ca="1">IFERROR(__xludf.DUMMYFUNCTION("""COMPUTED_VALUE"""),324)</f>
        <v>324</v>
      </c>
      <c r="K333" s="3"/>
      <c r="L333" s="3" t="str">
        <f ca="1">IFERROR(__xludf.DUMMYFUNCTION("""COMPUTED_VALUE"""),"Cost per period")</f>
        <v>Cost per period</v>
      </c>
      <c r="M333" s="3"/>
      <c r="N333" s="3"/>
      <c r="O333" s="3"/>
      <c r="P333" s="3"/>
      <c r="Q333" s="3" t="str">
        <f ca="1">IFERROR(__xludf.DUMMYFUNCTION("""COMPUTED_VALUE"""),"16:9 / umístění po domluvě dle možností")</f>
        <v>16:9 / umístění po domluvě dle možností</v>
      </c>
      <c r="R333" s="3" t="str">
        <f ca="1">IFERROR(__xludf.DUMMYFUNCTION("""COMPUTED_VALUE"""),"přeskočení po 7 sekundách")</f>
        <v>přeskočení po 7 sekundách</v>
      </c>
      <c r="S333" s="3" t="str">
        <f ca="1">IFERROR(__xludf.DUMMYFUNCTION("""COMPUTED_VALUE"""),"100")</f>
        <v>100</v>
      </c>
      <c r="T333" s="3"/>
      <c r="U333" s="3" t="str">
        <f ca="1">IFERROR(__xludf.DUMMYFUNCTION("""COMPUTED_VALUE"""),"videospot")</f>
        <v>videospot</v>
      </c>
      <c r="V333" s="3"/>
      <c r="W333" s="4" t="str">
        <f ca="1">IFERROR(__xludf.DUMMYFUNCTION("""COMPUTED_VALUE"""),"https://reklama.cncenter.cz/Online/Videospot")</f>
        <v>https://reklama.cncenter.cz/Online/Videospot</v>
      </c>
      <c r="X333" s="3"/>
      <c r="Y333" s="3"/>
      <c r="Z333" s="3" t="str">
        <f ca="1">IFERROR(__xludf.DUMMYFUNCTION("""COMPUTED_VALUE"""),"podklady@cncenter.cz")</f>
        <v>podklady@cncenter.cz</v>
      </c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 t="str">
        <f ca="1">IFERROR(__xludf.DUMMYFUNCTION("""COMPUTED_VALUE"""),"desktop")</f>
        <v>desktop</v>
      </c>
      <c r="AO333" s="3"/>
      <c r="AP333" s="3"/>
      <c r="AQ333" s="3"/>
      <c r="AR333" s="3"/>
      <c r="AS333" s="3"/>
      <c r="AT333" s="3"/>
      <c r="AU333" s="3" t="str">
        <f ca="1">IFERROR(__xludf.DUMMYFUNCTION("""COMPUTED_VALUE"""),"cílený mini videospot - max. 30 sec.")</f>
        <v>cílený mini videospot - max. 30 sec.</v>
      </c>
    </row>
    <row r="334" spans="1:47" x14ac:dyDescent="0.3">
      <c r="A334" s="3">
        <f ca="1"/>
        <v>2346826</v>
      </c>
      <c r="B334" s="3" t="str">
        <f ca="1"/>
        <v>CZECH NEWS CENTER a. s.</v>
      </c>
      <c r="C334" s="3" t="str">
        <f ca="1">IFERROR(__xludf.DUMMYFUNCTION("""COMPUTED_VALUE"""),"CNC muži pack")</f>
        <v>CNC muži pack</v>
      </c>
      <c r="D334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4" s="3" t="str">
        <f ca="1">IFERROR(__xludf.DUMMYFUNCTION("""COMPUTED_VALUE"""),"celý web")</f>
        <v>celý web</v>
      </c>
      <c r="F334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4" s="3" t="str">
        <f ca="1">IFERROR(__xludf.DUMMYFUNCTION("""COMPUTED_VALUE"""),"cílený mobilní interscroller high season")</f>
        <v>cílený mobilní interscroller high season</v>
      </c>
      <c r="H334" s="3">
        <f ca="1">IFERROR(__xludf.DUMMYFUNCTION("""COMPUTED_VALUE"""),7)</f>
        <v>7</v>
      </c>
      <c r="I334" s="5">
        <f ca="1">IFERROR(__xludf.DUMMYFUNCTION("""COMPUTED_VALUE"""),1000)</f>
        <v>1000</v>
      </c>
      <c r="J334" s="5">
        <f ca="1">IFERROR(__xludf.DUMMYFUNCTION("""COMPUTED_VALUE"""),432)</f>
        <v>432</v>
      </c>
      <c r="K334" s="3"/>
      <c r="L334" s="3" t="str">
        <f ca="1">IFERROR(__xludf.DUMMYFUNCTION("""COMPUTED_VALUE"""),"Cost per period")</f>
        <v>Cost per period</v>
      </c>
      <c r="M334" s="3"/>
      <c r="N334" s="3"/>
      <c r="O334" s="3" t="str">
        <f ca="1">IFERROR(__xludf.DUMMYFUNCTION("""COMPUTED_VALUE"""),"600")</f>
        <v>600</v>
      </c>
      <c r="P334" s="3" t="str">
        <f ca="1">IFERROR(__xludf.DUMMYFUNCTION("""COMPUTED_VALUE"""),"1080")</f>
        <v>1080</v>
      </c>
      <c r="Q334" s="3" t="str">
        <f ca="1">IFERROR(__xludf.DUMMYFUNCTION("""COMPUTED_VALUE"""),"600x1080")</f>
        <v>600x1080</v>
      </c>
      <c r="R334" s="3"/>
      <c r="S334" s="3" t="str">
        <f ca="1">IFERROR(__xludf.DUMMYFUNCTION("""COMPUTED_VALUE"""),"200")</f>
        <v>200</v>
      </c>
      <c r="T334" s="3"/>
      <c r="U334" s="3" t="str">
        <f ca="1">IFERROR(__xludf.DUMMYFUNCTION("""COMPUTED_VALUE"""),"banner standard")</f>
        <v>banner standard</v>
      </c>
      <c r="V334" s="3"/>
      <c r="W334" s="4" t="str">
        <f ca="1">IFERROR(__xludf.DUMMYFUNCTION("""COMPUTED_VALUE"""),"https://reklama.cncenter.cz/Online/mobilni-interscroller")</f>
        <v>https://reklama.cncenter.cz/Online/mobilni-interscroller</v>
      </c>
      <c r="X334" s="3"/>
      <c r="Y334" s="3"/>
      <c r="Z334" s="3" t="str">
        <f ca="1">IFERROR(__xludf.DUMMYFUNCTION("""COMPUTED_VALUE"""),"podklady@cncenter.cz")</f>
        <v>podklady@cncenter.cz</v>
      </c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 t="str">
        <f ca="1">IFERROR(__xludf.DUMMYFUNCTION("""COMPUTED_VALUE"""),"mobile")</f>
        <v>mobile</v>
      </c>
      <c r="AO334" s="3"/>
      <c r="AP334" s="3"/>
      <c r="AQ334" s="3"/>
      <c r="AR334" s="3"/>
      <c r="AS334" s="3"/>
      <c r="AT334" s="3"/>
      <c r="AU334" s="3" t="str">
        <f ca="1">IFERROR(__xludf.DUMMYFUNCTION("""COMPUTED_VALUE"""),"cílený mobilní interscroller")</f>
        <v>cílený mobilní interscroller</v>
      </c>
    </row>
    <row r="335" spans="1:47" x14ac:dyDescent="0.3">
      <c r="A335" s="3">
        <f ca="1"/>
        <v>2346826</v>
      </c>
      <c r="B335" s="3" t="str">
        <f ca="1"/>
        <v>CZECH NEWS CENTER a. s.</v>
      </c>
      <c r="C335" s="3" t="str">
        <f ca="1">IFERROR(__xludf.DUMMYFUNCTION("""COMPUTED_VALUE"""),"CNC muži pack")</f>
        <v>CNC muži pack</v>
      </c>
      <c r="D335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5" s="3" t="str">
        <f ca="1">IFERROR(__xludf.DUMMYFUNCTION("""COMPUTED_VALUE"""),"celý web")</f>
        <v>celý web</v>
      </c>
      <c r="F335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5" s="3" t="str">
        <f ca="1">IFERROR(__xludf.DUMMYFUNCTION("""COMPUTED_VALUE"""),"cílený mobilní slide-up high season")</f>
        <v>cílený mobilní slide-up high season</v>
      </c>
      <c r="H335" s="3">
        <f ca="1">IFERROR(__xludf.DUMMYFUNCTION("""COMPUTED_VALUE"""),7)</f>
        <v>7</v>
      </c>
      <c r="I335" s="5">
        <f ca="1">IFERROR(__xludf.DUMMYFUNCTION("""COMPUTED_VALUE"""),1000)</f>
        <v>1000</v>
      </c>
      <c r="J335" s="5">
        <f ca="1">IFERROR(__xludf.DUMMYFUNCTION("""COMPUTED_VALUE"""),864)</f>
        <v>864</v>
      </c>
      <c r="K335" s="3"/>
      <c r="L335" s="3" t="str">
        <f ca="1">IFERROR(__xludf.DUMMYFUNCTION("""COMPUTED_VALUE"""),"Cost per period")</f>
        <v>Cost per period</v>
      </c>
      <c r="M335" s="3"/>
      <c r="N335" s="3"/>
      <c r="O335" s="3" t="str">
        <f ca="1">IFERROR(__xludf.DUMMYFUNCTION("""COMPUTED_VALUE"""),"300")</f>
        <v>300</v>
      </c>
      <c r="P335" s="3" t="str">
        <f ca="1">IFERROR(__xludf.DUMMYFUNCTION("""COMPUTED_VALUE"""),"120")</f>
        <v>120</v>
      </c>
      <c r="Q335" s="3" t="str">
        <f ca="1">IFERROR(__xludf.DUMMYFUNCTION("""COMPUTED_VALUE"""),"300x120")</f>
        <v>300x120</v>
      </c>
      <c r="R335" s="3"/>
      <c r="S335" s="3" t="str">
        <f ca="1">IFERROR(__xludf.DUMMYFUNCTION("""COMPUTED_VALUE"""),"100")</f>
        <v>100</v>
      </c>
      <c r="T335" s="3"/>
      <c r="U335" s="3" t="str">
        <f ca="1">IFERROR(__xludf.DUMMYFUNCTION("""COMPUTED_VALUE"""),"banner standard")</f>
        <v>banner standard</v>
      </c>
      <c r="V335" s="3"/>
      <c r="W335" s="4" t="str">
        <f ca="1">IFERROR(__xludf.DUMMYFUNCTION("""COMPUTED_VALUE"""),"https://reklama.cncenter.cz/Online/mobilni-slide-up")</f>
        <v>https://reklama.cncenter.cz/Online/mobilni-slide-up</v>
      </c>
      <c r="X335" s="3"/>
      <c r="Y335" s="3"/>
      <c r="Z335" s="3" t="str">
        <f ca="1">IFERROR(__xludf.DUMMYFUNCTION("""COMPUTED_VALUE"""),"podklady@cncenter.cz")</f>
        <v>podklady@cncenter.cz</v>
      </c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 t="str">
        <f ca="1">IFERROR(__xludf.DUMMYFUNCTION("""COMPUTED_VALUE"""),"mobile")</f>
        <v>mobile</v>
      </c>
      <c r="AO335" s="3"/>
      <c r="AP335" s="3"/>
      <c r="AQ335" s="3"/>
      <c r="AR335" s="3"/>
      <c r="AS335" s="3"/>
      <c r="AT335" s="3"/>
      <c r="AU335" s="3" t="str">
        <f ca="1">IFERROR(__xludf.DUMMYFUNCTION("""COMPUTED_VALUE"""),"cílený mobilní slide-up")</f>
        <v>cílený mobilní slide-up</v>
      </c>
    </row>
    <row r="336" spans="1:47" x14ac:dyDescent="0.3">
      <c r="A336" s="3">
        <f ca="1"/>
        <v>2346826</v>
      </c>
      <c r="B336" s="3" t="str">
        <f ca="1"/>
        <v>CZECH NEWS CENTER a. s.</v>
      </c>
      <c r="C336" s="3" t="str">
        <f ca="1">IFERROR(__xludf.DUMMYFUNCTION("""COMPUTED_VALUE"""),"CNC muži pack")</f>
        <v>CNC muži pack</v>
      </c>
      <c r="D336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6" s="3" t="str">
        <f ca="1">IFERROR(__xludf.DUMMYFUNCTION("""COMPUTED_VALUE"""),"celý web")</f>
        <v>celý web</v>
      </c>
      <c r="F336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6" s="3" t="str">
        <f ca="1">IFERROR(__xludf.DUMMYFUNCTION("""COMPUTED_VALUE"""),"cílený mobilní viněta high season")</f>
        <v>cílený mobilní viněta high season</v>
      </c>
      <c r="H336" s="3">
        <f ca="1">IFERROR(__xludf.DUMMYFUNCTION("""COMPUTED_VALUE"""),7)</f>
        <v>7</v>
      </c>
      <c r="I336" s="5">
        <f ca="1">IFERROR(__xludf.DUMMYFUNCTION("""COMPUTED_VALUE"""),1000)</f>
        <v>1000</v>
      </c>
      <c r="J336" s="5">
        <f ca="1">IFERROR(__xludf.DUMMYFUNCTION("""COMPUTED_VALUE"""),1212)</f>
        <v>1212</v>
      </c>
      <c r="K336" s="3"/>
      <c r="L336" s="3" t="str">
        <f ca="1">IFERROR(__xludf.DUMMYFUNCTION("""COMPUTED_VALUE"""),"Cost per period")</f>
        <v>Cost per period</v>
      </c>
      <c r="M336" s="3"/>
      <c r="N336" s="3"/>
      <c r="O336" s="3" t="str">
        <f ca="1">IFERROR(__xludf.DUMMYFUNCTION("""COMPUTED_VALUE"""),"600")</f>
        <v>600</v>
      </c>
      <c r="P336" s="3" t="str">
        <f ca="1">IFERROR(__xludf.DUMMYFUNCTION("""COMPUTED_VALUE"""),"800")</f>
        <v>800</v>
      </c>
      <c r="Q336" s="3" t="str">
        <f ca="1">IFERROR(__xludf.DUMMYFUNCTION("""COMPUTED_VALUE"""),"300x250 nebo 600x800")</f>
        <v>300x250 nebo 600x800</v>
      </c>
      <c r="R336" s="3"/>
      <c r="S336" s="3" t="str">
        <f ca="1">IFERROR(__xludf.DUMMYFUNCTION("""COMPUTED_VALUE"""),"100")</f>
        <v>100</v>
      </c>
      <c r="T336" s="3"/>
      <c r="U336" s="3" t="str">
        <f ca="1">IFERROR(__xludf.DUMMYFUNCTION("""COMPUTED_VALUE"""),"banner standard")</f>
        <v>banner standard</v>
      </c>
      <c r="V336" s="3"/>
      <c r="W336" s="4" t="str">
        <f ca="1">IFERROR(__xludf.DUMMYFUNCTION("""COMPUTED_VALUE"""),"https://reklama.cncenter.cz/Online/mobilni-vineta")</f>
        <v>https://reklama.cncenter.cz/Online/mobilni-vineta</v>
      </c>
      <c r="X336" s="3"/>
      <c r="Y336" s="3"/>
      <c r="Z336" s="3" t="str">
        <f ca="1">IFERROR(__xludf.DUMMYFUNCTION("""COMPUTED_VALUE"""),"podklady@cncenter.cz")</f>
        <v>podklady@cncenter.cz</v>
      </c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 t="str">
        <f ca="1">IFERROR(__xludf.DUMMYFUNCTION("""COMPUTED_VALUE"""),"mobile")</f>
        <v>mobile</v>
      </c>
      <c r="AO336" s="3"/>
      <c r="AP336" s="3"/>
      <c r="AQ336" s="3"/>
      <c r="AR336" s="3"/>
      <c r="AS336" s="3"/>
      <c r="AT336" s="3"/>
      <c r="AU336" s="3" t="str">
        <f ca="1">IFERROR(__xludf.DUMMYFUNCTION("""COMPUTED_VALUE"""),"cílený mobilní viněta")</f>
        <v>cílený mobilní viněta</v>
      </c>
    </row>
    <row r="337" spans="1:47" x14ac:dyDescent="0.3">
      <c r="A337" s="3">
        <f ca="1"/>
        <v>2346826</v>
      </c>
      <c r="B337" s="3" t="str">
        <f ca="1"/>
        <v>CZECH NEWS CENTER a. s.</v>
      </c>
      <c r="C337" s="3" t="str">
        <f ca="1">IFERROR(__xludf.DUMMYFUNCTION("""COMPUTED_VALUE"""),"CNC muži pack")</f>
        <v>CNC muži pack</v>
      </c>
      <c r="D337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7" s="3" t="str">
        <f ca="1">IFERROR(__xludf.DUMMYFUNCTION("""COMPUTED_VALUE"""),"celý web")</f>
        <v>celý web</v>
      </c>
      <c r="F337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7" s="3" t="str">
        <f ca="1">IFERROR(__xludf.DUMMYFUNCTION("""COMPUTED_VALUE"""),"cílený nativní rectangle cross-device high season")</f>
        <v>cílený nativní rectangle cross-device high season</v>
      </c>
      <c r="H337" s="3">
        <f ca="1">IFERROR(__xludf.DUMMYFUNCTION("""COMPUTED_VALUE"""),7)</f>
        <v>7</v>
      </c>
      <c r="I337" s="5">
        <f ca="1">IFERROR(__xludf.DUMMYFUNCTION("""COMPUTED_VALUE"""),1000)</f>
        <v>1000</v>
      </c>
      <c r="J337" s="5">
        <f ca="1">IFERROR(__xludf.DUMMYFUNCTION("""COMPUTED_VALUE"""),324)</f>
        <v>324</v>
      </c>
      <c r="K337" s="3"/>
      <c r="L337" s="3" t="str">
        <f ca="1">IFERROR(__xludf.DUMMYFUNCTION("""COMPUTED_VALUE"""),"Cost per period")</f>
        <v>Cost per period</v>
      </c>
      <c r="M337" s="3"/>
      <c r="N337" s="3"/>
      <c r="O337" s="3" t="str">
        <f ca="1">IFERROR(__xludf.DUMMYFUNCTION("""COMPUTED_VALUE"""),"640")</f>
        <v>640</v>
      </c>
      <c r="P337" s="3" t="str">
        <f ca="1">IFERROR(__xludf.DUMMYFUNCTION("""COMPUTED_VALUE"""),"335, 640")</f>
        <v>335, 640</v>
      </c>
      <c r="Q337" s="3" t="str">
        <f ca="1">IFERROR(__xludf.DUMMYFUNCTION("""COMPUTED_VALUE"""),"640x640 a 640x335 + text + logo")</f>
        <v>640x640 a 640x335 + text + logo</v>
      </c>
      <c r="R337" s="3"/>
      <c r="S337" s="3" t="str">
        <f ca="1">IFERROR(__xludf.DUMMYFUNCTION("""COMPUTED_VALUE"""),"45")</f>
        <v>45</v>
      </c>
      <c r="T337" s="3"/>
      <c r="U337" s="3" t="str">
        <f ca="1">IFERROR(__xludf.DUMMYFUNCTION("""COMPUTED_VALUE"""),"nativní reklama")</f>
        <v>nativní reklama</v>
      </c>
      <c r="V337" s="3"/>
      <c r="W337" s="4" t="str">
        <f ca="1">IFERROR(__xludf.DUMMYFUNCTION("""COMPUTED_VALUE"""),"https://reklama.cncenter.cz/Online/nativni-rectangle-cross-device")</f>
        <v>https://reklama.cncenter.cz/Online/nativni-rectangle-cross-device</v>
      </c>
      <c r="X337" s="3"/>
      <c r="Y337" s="3"/>
      <c r="Z337" s="3" t="str">
        <f ca="1">IFERROR(__xludf.DUMMYFUNCTION("""COMPUTED_VALUE"""),"podklady@cncenter.cz")</f>
        <v>podklady@cncenter.cz</v>
      </c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 t="str">
        <f ca="1">IFERROR(__xludf.DUMMYFUNCTION("""COMPUTED_VALUE"""),"cross-device")</f>
        <v>cross-device</v>
      </c>
      <c r="AO337" s="3"/>
      <c r="AP337" s="3"/>
      <c r="AQ337" s="3"/>
      <c r="AR337" s="3"/>
      <c r="AS337" s="3"/>
      <c r="AT337" s="3"/>
      <c r="AU337" s="3" t="str">
        <f ca="1">IFERROR(__xludf.DUMMYFUNCTION("""COMPUTED_VALUE"""),"cílený nativní rectangle cross-device")</f>
        <v>cílený nativní rectangle cross-device</v>
      </c>
    </row>
    <row r="338" spans="1:47" x14ac:dyDescent="0.3">
      <c r="A338" s="3">
        <f ca="1"/>
        <v>2346826</v>
      </c>
      <c r="B338" s="3" t="str">
        <f ca="1"/>
        <v>CZECH NEWS CENTER a. s.</v>
      </c>
      <c r="C338" s="3" t="str">
        <f ca="1">IFERROR(__xludf.DUMMYFUNCTION("""COMPUTED_VALUE"""),"CNC muži pack")</f>
        <v>CNC muži pack</v>
      </c>
      <c r="D338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8" s="3" t="str">
        <f ca="1">IFERROR(__xludf.DUMMYFUNCTION("""COMPUTED_VALUE"""),"celý web")</f>
        <v>celý web</v>
      </c>
      <c r="F338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8" s="3" t="str">
        <f ca="1">IFERROR(__xludf.DUMMYFUNCTION("""COMPUTED_VALUE"""),"cílený outstream high season")</f>
        <v>cílený outstream high season</v>
      </c>
      <c r="H338" s="3">
        <f ca="1">IFERROR(__xludf.DUMMYFUNCTION("""COMPUTED_VALUE"""),7)</f>
        <v>7</v>
      </c>
      <c r="I338" s="5">
        <f ca="1">IFERROR(__xludf.DUMMYFUNCTION("""COMPUTED_VALUE"""),1000)</f>
        <v>1000</v>
      </c>
      <c r="J338" s="5">
        <f ca="1">IFERROR(__xludf.DUMMYFUNCTION("""COMPUTED_VALUE"""),504)</f>
        <v>504</v>
      </c>
      <c r="K338" s="3"/>
      <c r="L338" s="3" t="str">
        <f ca="1">IFERROR(__xludf.DUMMYFUNCTION("""COMPUTED_VALUE"""),"Cost per period")</f>
        <v>Cost per period</v>
      </c>
      <c r="M338" s="3"/>
      <c r="N338" s="3"/>
      <c r="O338" s="3" t="str">
        <f ca="1">IFERROR(__xludf.DUMMYFUNCTION("""COMPUTED_VALUE"""),"1280")</f>
        <v>1280</v>
      </c>
      <c r="P338" s="3" t="str">
        <f ca="1">IFERROR(__xludf.DUMMYFUNCTION("""COMPUTED_VALUE"""),"720")</f>
        <v>720</v>
      </c>
      <c r="Q338" s="3" t="str">
        <f ca="1">IFERROR(__xludf.DUMMYFUNCTION("""COMPUTED_VALUE"""),"16:9")</f>
        <v>16:9</v>
      </c>
      <c r="R338" s="3"/>
      <c r="S338" s="3" t="str">
        <f ca="1">IFERROR(__xludf.DUMMYFUNCTION("""COMPUTED_VALUE"""),"100")</f>
        <v>100</v>
      </c>
      <c r="T338" s="3"/>
      <c r="U338" s="3" t="str">
        <f ca="1">IFERROR(__xludf.DUMMYFUNCTION("""COMPUTED_VALUE"""),"videospot")</f>
        <v>videospot</v>
      </c>
      <c r="V338" s="3"/>
      <c r="W338" s="4" t="str">
        <f ca="1">IFERROR(__xludf.DUMMYFUNCTION("""COMPUTED_VALUE"""),"https://reklama.cncenter.cz/Online/Outstream")</f>
        <v>https://reklama.cncenter.cz/Online/Outstream</v>
      </c>
      <c r="X338" s="3"/>
      <c r="Y338" s="3"/>
      <c r="Z338" s="3" t="str">
        <f ca="1">IFERROR(__xludf.DUMMYFUNCTION("""COMPUTED_VALUE"""),"podklady@cncenter.cz")</f>
        <v>podklady@cncenter.cz</v>
      </c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 t="str">
        <f ca="1">IFERROR(__xludf.DUMMYFUNCTION("""COMPUTED_VALUE"""),"cross-device")</f>
        <v>cross-device</v>
      </c>
      <c r="AO338" s="3"/>
      <c r="AP338" s="3"/>
      <c r="AQ338" s="3"/>
      <c r="AR338" s="3"/>
      <c r="AS338" s="3"/>
      <c r="AT338" s="3"/>
      <c r="AU338" s="3" t="str">
        <f ca="1">IFERROR(__xludf.DUMMYFUNCTION("""COMPUTED_VALUE"""),"cílený outstream")</f>
        <v>cílený outstream</v>
      </c>
    </row>
    <row r="339" spans="1:47" x14ac:dyDescent="0.3">
      <c r="A339" s="3">
        <f ca="1"/>
        <v>2346826</v>
      </c>
      <c r="B339" s="3" t="str">
        <f ca="1"/>
        <v>CZECH NEWS CENTER a. s.</v>
      </c>
      <c r="C339" s="3" t="str">
        <f ca="1">IFERROR(__xludf.DUMMYFUNCTION("""COMPUTED_VALUE"""),"CNC muži pack")</f>
        <v>CNC muži pack</v>
      </c>
      <c r="D339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39" s="3" t="str">
        <f ca="1">IFERROR(__xludf.DUMMYFUNCTION("""COMPUTED_VALUE"""),"celý web")</f>
        <v>celý web</v>
      </c>
      <c r="F339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39" s="3" t="str">
        <f ca="1">IFERROR(__xludf.DUMMYFUNCTION("""COMPUTED_VALUE"""),"cílený Smarticle high season")</f>
        <v>cílený Smarticle high season</v>
      </c>
      <c r="H339" s="3">
        <f ca="1">IFERROR(__xludf.DUMMYFUNCTION("""COMPUTED_VALUE"""),7)</f>
        <v>7</v>
      </c>
      <c r="I339" s="5">
        <f ca="1">IFERROR(__xludf.DUMMYFUNCTION("""COMPUTED_VALUE"""),1000)</f>
        <v>1000</v>
      </c>
      <c r="J339" s="5">
        <f ca="1">IFERROR(__xludf.DUMMYFUNCTION("""COMPUTED_VALUE"""),240)</f>
        <v>240</v>
      </c>
      <c r="K339" s="3"/>
      <c r="L339" s="3" t="str">
        <f ca="1">IFERROR(__xludf.DUMMYFUNCTION("""COMPUTED_VALUE"""),"Cost per period")</f>
        <v>Cost per period</v>
      </c>
      <c r="M339" s="3"/>
      <c r="N339" s="3" t="str">
        <f ca="1">IFERROR(__xludf.DUMMYFUNCTION("""COMPUTED_VALUE"""),"A4")</f>
        <v>A4</v>
      </c>
      <c r="O339" s="3"/>
      <c r="P339" s="3"/>
      <c r="Q339" s="3" t="str">
        <f ca="1">IFERROR(__xludf.DUMMYFUNCTION("""COMPUTED_VALUE"""),"viz. tech.specifikace; HP + sekce")</f>
        <v>viz. tech.specifikace; HP + sekce</v>
      </c>
      <c r="R339" s="3" t="str">
        <f ca="1">IFERROR(__xludf.DUMMYFUNCTION("""COMPUTED_VALUE"""),"HP + sekce")</f>
        <v>HP + sekce</v>
      </c>
      <c r="S339" s="3" t="str">
        <f ca="1">IFERROR(__xludf.DUMMYFUNCTION("""COMPUTED_VALUE"""),"100")</f>
        <v>100</v>
      </c>
      <c r="T339" s="3"/>
      <c r="U339" s="3" t="str">
        <f ca="1">IFERROR(__xludf.DUMMYFUNCTION("""COMPUTED_VALUE"""),"pr článek")</f>
        <v>pr článek</v>
      </c>
      <c r="V339" s="3"/>
      <c r="W339" s="4" t="str">
        <f ca="1">IFERROR(__xludf.DUMMYFUNCTION("""COMPUTED_VALUE"""),"https://reklama.cncenter.cz/Online/Smarticle")</f>
        <v>https://reklama.cncenter.cz/Online/Smarticle</v>
      </c>
      <c r="X339" s="3"/>
      <c r="Y339" s="3"/>
      <c r="Z339" s="3" t="str">
        <f ca="1">IFERROR(__xludf.DUMMYFUNCTION("""COMPUTED_VALUE"""),"podklady@cncenter.cz")</f>
        <v>podklady@cncenter.cz</v>
      </c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 t="str">
        <f ca="1">IFERROR(__xludf.DUMMYFUNCTION("""COMPUTED_VALUE"""),"cross-device")</f>
        <v>cross-device</v>
      </c>
      <c r="AO339" s="3"/>
      <c r="AP339" s="3"/>
      <c r="AQ339" s="3"/>
      <c r="AR339" s="3"/>
      <c r="AS339" s="3"/>
      <c r="AT339" s="3"/>
      <c r="AU339" s="3" t="str">
        <f ca="1">IFERROR(__xludf.DUMMYFUNCTION("""COMPUTED_VALUE"""),"cílený Smarticle")</f>
        <v>cílený Smarticle</v>
      </c>
    </row>
    <row r="340" spans="1:47" x14ac:dyDescent="0.3">
      <c r="A340" s="3">
        <f ca="1"/>
        <v>2346826</v>
      </c>
      <c r="B340" s="3" t="str">
        <f ca="1"/>
        <v>CZECH NEWS CENTER a. s.</v>
      </c>
      <c r="C340" s="3" t="str">
        <f ca="1">IFERROR(__xludf.DUMMYFUNCTION("""COMPUTED_VALUE"""),"CNC muži pack")</f>
        <v>CNC muži pack</v>
      </c>
      <c r="D340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0" s="3" t="str">
        <f ca="1">IFERROR(__xludf.DUMMYFUNCTION("""COMPUTED_VALUE"""),"celý web")</f>
        <v>celý web</v>
      </c>
      <c r="F340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0" s="3" t="str">
        <f ca="1">IFERROR(__xludf.DUMMYFUNCTION("""COMPUTED_VALUE"""),"cílený videospot - max. 30 sec. / bumper high season")</f>
        <v>cílený videospot - max. 30 sec. / bumper high season</v>
      </c>
      <c r="H340" s="3">
        <f ca="1">IFERROR(__xludf.DUMMYFUNCTION("""COMPUTED_VALUE"""),7)</f>
        <v>7</v>
      </c>
      <c r="I340" s="5">
        <f ca="1">IFERROR(__xludf.DUMMYFUNCTION("""COMPUTED_VALUE"""),1000)</f>
        <v>1000</v>
      </c>
      <c r="J340" s="5">
        <f ca="1">IFERROR(__xludf.DUMMYFUNCTION("""COMPUTED_VALUE"""),1476)</f>
        <v>1476</v>
      </c>
      <c r="K340" s="3"/>
      <c r="L340" s="3" t="str">
        <f ca="1">IFERROR(__xludf.DUMMYFUNCTION("""COMPUTED_VALUE"""),"Cost per period")</f>
        <v>Cost per period</v>
      </c>
      <c r="M340" s="3"/>
      <c r="N340" s="3"/>
      <c r="O340" s="3" t="str">
        <f ca="1">IFERROR(__xludf.DUMMYFUNCTION("""COMPUTED_VALUE"""),"1280")</f>
        <v>1280</v>
      </c>
      <c r="P340" s="3" t="str">
        <f ca="1">IFERROR(__xludf.DUMMYFUNCTION("""COMPUTED_VALUE"""),"720")</f>
        <v>720</v>
      </c>
      <c r="Q340" s="3" t="str">
        <f ca="1">IFERROR(__xludf.DUMMYFUNCTION("""COMPUTED_VALUE"""),"16:9 / umístění po domluvě dle možností")</f>
        <v>16:9 / umístění po domluvě dle možností</v>
      </c>
      <c r="R340" s="3" t="str">
        <f ca="1">IFERROR(__xludf.DUMMYFUNCTION("""COMPUTED_VALUE"""),"přeskočení po 7 sekundách")</f>
        <v>přeskočení po 7 sekundách</v>
      </c>
      <c r="S340" s="3" t="str">
        <f ca="1">IFERROR(__xludf.DUMMYFUNCTION("""COMPUTED_VALUE"""),"100")</f>
        <v>100</v>
      </c>
      <c r="T340" s="3"/>
      <c r="U340" s="3" t="str">
        <f ca="1">IFERROR(__xludf.DUMMYFUNCTION("""COMPUTED_VALUE"""),"videospot")</f>
        <v>videospot</v>
      </c>
      <c r="V340" s="3"/>
      <c r="W340" s="4" t="str">
        <f ca="1">IFERROR(__xludf.DUMMYFUNCTION("""COMPUTED_VALUE"""),"https://reklama.cncenter.cz/Online/Bumper")</f>
        <v>https://reklama.cncenter.cz/Online/Bumper</v>
      </c>
      <c r="X340" s="3"/>
      <c r="Y340" s="3"/>
      <c r="Z340" s="3" t="str">
        <f ca="1">IFERROR(__xludf.DUMMYFUNCTION("""COMPUTED_VALUE"""),"podklady@cncenter.cz")</f>
        <v>podklady@cncenter.cz</v>
      </c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 t="str">
        <f ca="1">IFERROR(__xludf.DUMMYFUNCTION("""COMPUTED_VALUE"""),"cross-device")</f>
        <v>cross-device</v>
      </c>
      <c r="AO340" s="3"/>
      <c r="AP340" s="3"/>
      <c r="AQ340" s="3"/>
      <c r="AR340" s="3"/>
      <c r="AS340" s="3"/>
      <c r="AT340" s="3"/>
      <c r="AU340" s="3" t="str">
        <f ca="1">IFERROR(__xludf.DUMMYFUNCTION("""COMPUTED_VALUE"""),"cílený videospot - max. 30 sec. / bumper")</f>
        <v>cílený videospot - max. 30 sec. / bumper</v>
      </c>
    </row>
    <row r="341" spans="1:47" x14ac:dyDescent="0.3">
      <c r="A341" s="3">
        <f ca="1"/>
        <v>2346826</v>
      </c>
      <c r="B341" s="3" t="str">
        <f ca="1"/>
        <v>CZECH NEWS CENTER a. s.</v>
      </c>
      <c r="C341" s="3" t="str">
        <f ca="1">IFERROR(__xludf.DUMMYFUNCTION("""COMPUTED_VALUE"""),"CNC muži pack")</f>
        <v>CNC muži pack</v>
      </c>
      <c r="D341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1" s="3" t="str">
        <f ca="1">IFERROR(__xludf.DUMMYFUNCTION("""COMPUTED_VALUE"""),"celý web")</f>
        <v>celý web</v>
      </c>
      <c r="F341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1" s="3" t="str">
        <f ca="1">IFERROR(__xludf.DUMMYFUNCTION("""COMPUTED_VALUE"""),"double skyscraper high season")</f>
        <v>double skyscraper high season</v>
      </c>
      <c r="H341" s="3">
        <f ca="1">IFERROR(__xludf.DUMMYFUNCTION("""COMPUTED_VALUE"""),7)</f>
        <v>7</v>
      </c>
      <c r="I341" s="5">
        <f ca="1">IFERROR(__xludf.DUMMYFUNCTION("""COMPUTED_VALUE"""),1000)</f>
        <v>1000</v>
      </c>
      <c r="J341" s="5">
        <f ca="1">IFERROR(__xludf.DUMMYFUNCTION("""COMPUTED_VALUE"""),270)</f>
        <v>270</v>
      </c>
      <c r="K341" s="3"/>
      <c r="L341" s="3" t="str">
        <f ca="1">IFERROR(__xludf.DUMMYFUNCTION("""COMPUTED_VALUE"""),"Cost per period")</f>
        <v>Cost per period</v>
      </c>
      <c r="M341" s="3"/>
      <c r="N341" s="3"/>
      <c r="O341" s="3" t="str">
        <f ca="1">IFERROR(__xludf.DUMMYFUNCTION("""COMPUTED_VALUE"""),"300")</f>
        <v>300</v>
      </c>
      <c r="P341" s="3" t="str">
        <f ca="1">IFERROR(__xludf.DUMMYFUNCTION("""COMPUTED_VALUE"""),"600")</f>
        <v>600</v>
      </c>
      <c r="Q341" s="3" t="str">
        <f ca="1">IFERROR(__xludf.DUMMYFUNCTION("""COMPUTED_VALUE"""),"300x600")</f>
        <v>300x600</v>
      </c>
      <c r="R341" s="3"/>
      <c r="S341" s="3" t="str">
        <f ca="1">IFERROR(__xludf.DUMMYFUNCTION("""COMPUTED_VALUE"""),"100 (200 - HTML5)")</f>
        <v>100 (200 - HTML5)</v>
      </c>
      <c r="T341" s="3"/>
      <c r="U341" s="3" t="str">
        <f ca="1">IFERROR(__xludf.DUMMYFUNCTION("""COMPUTED_VALUE"""),"banner standard")</f>
        <v>banner standard</v>
      </c>
      <c r="V341" s="3"/>
      <c r="W341" s="4" t="str">
        <f ca="1">IFERROR(__xludf.DUMMYFUNCTION("""COMPUTED_VALUE"""),"https://reklama.cncenter.cz/Online/double-skyscraper")</f>
        <v>https://reklama.cncenter.cz/Online/double-skyscraper</v>
      </c>
      <c r="X341" s="3"/>
      <c r="Y341" s="3"/>
      <c r="Z341" s="3" t="str">
        <f ca="1">IFERROR(__xludf.DUMMYFUNCTION("""COMPUTED_VALUE"""),"podklady@cncenter.cz")</f>
        <v>podklady@cncenter.cz</v>
      </c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 t="str">
        <f ca="1">IFERROR(__xludf.DUMMYFUNCTION("""COMPUTED_VALUE"""),"desktop")</f>
        <v>desktop</v>
      </c>
      <c r="AO341" s="3"/>
      <c r="AP341" s="3"/>
      <c r="AQ341" s="3"/>
      <c r="AR341" s="3"/>
      <c r="AS341" s="3"/>
      <c r="AT341" s="3"/>
      <c r="AU341" s="3" t="str">
        <f ca="1">IFERROR(__xludf.DUMMYFUNCTION("""COMPUTED_VALUE"""),"double skyscraper")</f>
        <v>double skyscraper</v>
      </c>
    </row>
    <row r="342" spans="1:47" x14ac:dyDescent="0.3">
      <c r="A342" s="3">
        <f ca="1"/>
        <v>2346826</v>
      </c>
      <c r="B342" s="3" t="str">
        <f ca="1"/>
        <v>CZECH NEWS CENTER a. s.</v>
      </c>
      <c r="C342" s="3" t="str">
        <f ca="1">IFERROR(__xludf.DUMMYFUNCTION("""COMPUTED_VALUE"""),"CNC muži pack")</f>
        <v>CNC muži pack</v>
      </c>
      <c r="D342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2" s="3" t="str">
        <f ca="1">IFERROR(__xludf.DUMMYFUNCTION("""COMPUTED_VALUE"""),"celý web")</f>
        <v>celý web</v>
      </c>
      <c r="F342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2" s="3" t="str">
        <f ca="1">IFERROR(__xludf.DUMMYFUNCTION("""COMPUTED_VALUE"""),"mini videospot - max. 30 sec. high season")</f>
        <v>mini videospot - max. 30 sec. high season</v>
      </c>
      <c r="H342" s="3">
        <f ca="1">IFERROR(__xludf.DUMMYFUNCTION("""COMPUTED_VALUE"""),7)</f>
        <v>7</v>
      </c>
      <c r="I342" s="5">
        <f ca="1">IFERROR(__xludf.DUMMYFUNCTION("""COMPUTED_VALUE"""),1000)</f>
        <v>1000</v>
      </c>
      <c r="J342" s="5">
        <f ca="1">IFERROR(__xludf.DUMMYFUNCTION("""COMPUTED_VALUE"""),270)</f>
        <v>270</v>
      </c>
      <c r="K342" s="3"/>
      <c r="L342" s="3" t="str">
        <f ca="1">IFERROR(__xludf.DUMMYFUNCTION("""COMPUTED_VALUE"""),"Cost per period")</f>
        <v>Cost per period</v>
      </c>
      <c r="M342" s="3"/>
      <c r="N342" s="3"/>
      <c r="O342" s="3"/>
      <c r="P342" s="3"/>
      <c r="Q342" s="3" t="str">
        <f ca="1">IFERROR(__xludf.DUMMYFUNCTION("""COMPUTED_VALUE"""),"16:9 / umístění po domluvě dle možností")</f>
        <v>16:9 / umístění po domluvě dle možností</v>
      </c>
      <c r="R342" s="3" t="str">
        <f ca="1">IFERROR(__xludf.DUMMYFUNCTION("""COMPUTED_VALUE"""),"přeskočení po 7 sekundách")</f>
        <v>přeskočení po 7 sekundách</v>
      </c>
      <c r="S342" s="3" t="str">
        <f ca="1">IFERROR(__xludf.DUMMYFUNCTION("""COMPUTED_VALUE"""),"100")</f>
        <v>100</v>
      </c>
      <c r="T342" s="3"/>
      <c r="U342" s="3" t="str">
        <f ca="1">IFERROR(__xludf.DUMMYFUNCTION("""COMPUTED_VALUE"""),"videospot")</f>
        <v>videospot</v>
      </c>
      <c r="V342" s="3"/>
      <c r="W342" s="4" t="str">
        <f ca="1">IFERROR(__xludf.DUMMYFUNCTION("""COMPUTED_VALUE"""),"https://reklama.cncenter.cz/Online/Videospot")</f>
        <v>https://reklama.cncenter.cz/Online/Videospot</v>
      </c>
      <c r="X342" s="3"/>
      <c r="Y342" s="3"/>
      <c r="Z342" s="3" t="str">
        <f ca="1">IFERROR(__xludf.DUMMYFUNCTION("""COMPUTED_VALUE"""),"podklady@cncenter.cz")</f>
        <v>podklady@cncenter.cz</v>
      </c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 t="str">
        <f ca="1">IFERROR(__xludf.DUMMYFUNCTION("""COMPUTED_VALUE"""),"desktop")</f>
        <v>desktop</v>
      </c>
      <c r="AO342" s="3"/>
      <c r="AP342" s="3"/>
      <c r="AQ342" s="3"/>
      <c r="AR342" s="3"/>
      <c r="AS342" s="3"/>
      <c r="AT342" s="3"/>
      <c r="AU342" s="3" t="str">
        <f ca="1">IFERROR(__xludf.DUMMYFUNCTION("""COMPUTED_VALUE"""),"mini videospot - max. 30 sec.")</f>
        <v>mini videospot - max. 30 sec.</v>
      </c>
    </row>
    <row r="343" spans="1:47" x14ac:dyDescent="0.3">
      <c r="A343" s="3">
        <f ca="1"/>
        <v>2346826</v>
      </c>
      <c r="B343" s="3" t="str">
        <f ca="1"/>
        <v>CZECH NEWS CENTER a. s.</v>
      </c>
      <c r="C343" s="3" t="str">
        <f ca="1">IFERROR(__xludf.DUMMYFUNCTION("""COMPUTED_VALUE"""),"CNC muži pack")</f>
        <v>CNC muži pack</v>
      </c>
      <c r="D343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3" s="3" t="str">
        <f ca="1">IFERROR(__xludf.DUMMYFUNCTION("""COMPUTED_VALUE"""),"celý web")</f>
        <v>celý web</v>
      </c>
      <c r="F343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3" s="3" t="str">
        <f ca="1">IFERROR(__xludf.DUMMYFUNCTION("""COMPUTED_VALUE"""),"mobilní interscroller high season")</f>
        <v>mobilní interscroller high season</v>
      </c>
      <c r="H343" s="3">
        <f ca="1">IFERROR(__xludf.DUMMYFUNCTION("""COMPUTED_VALUE"""),7)</f>
        <v>7</v>
      </c>
      <c r="I343" s="5">
        <f ca="1">IFERROR(__xludf.DUMMYFUNCTION("""COMPUTED_VALUE"""),1000)</f>
        <v>1000</v>
      </c>
      <c r="J343" s="5">
        <f ca="1">IFERROR(__xludf.DUMMYFUNCTION("""COMPUTED_VALUE"""),360)</f>
        <v>360</v>
      </c>
      <c r="K343" s="3"/>
      <c r="L343" s="3" t="str">
        <f ca="1">IFERROR(__xludf.DUMMYFUNCTION("""COMPUTED_VALUE"""),"Cost per period")</f>
        <v>Cost per period</v>
      </c>
      <c r="M343" s="3"/>
      <c r="N343" s="3"/>
      <c r="O343" s="3" t="str">
        <f ca="1">IFERROR(__xludf.DUMMYFUNCTION("""COMPUTED_VALUE"""),"600")</f>
        <v>600</v>
      </c>
      <c r="P343" s="3" t="str">
        <f ca="1">IFERROR(__xludf.DUMMYFUNCTION("""COMPUTED_VALUE"""),"1080")</f>
        <v>1080</v>
      </c>
      <c r="Q343" s="3" t="str">
        <f ca="1">IFERROR(__xludf.DUMMYFUNCTION("""COMPUTED_VALUE"""),"600x1080")</f>
        <v>600x1080</v>
      </c>
      <c r="R343" s="3"/>
      <c r="S343" s="3" t="str">
        <f ca="1">IFERROR(__xludf.DUMMYFUNCTION("""COMPUTED_VALUE"""),"200")</f>
        <v>200</v>
      </c>
      <c r="T343" s="3"/>
      <c r="U343" s="3" t="str">
        <f ca="1">IFERROR(__xludf.DUMMYFUNCTION("""COMPUTED_VALUE"""),"banner standard")</f>
        <v>banner standard</v>
      </c>
      <c r="V343" s="3"/>
      <c r="W343" s="4" t="str">
        <f ca="1">IFERROR(__xludf.DUMMYFUNCTION("""COMPUTED_VALUE"""),"https://reklama.cncenter.cz/Online/mobilni-interscroller")</f>
        <v>https://reklama.cncenter.cz/Online/mobilni-interscroller</v>
      </c>
      <c r="X343" s="3"/>
      <c r="Y343" s="3"/>
      <c r="Z343" s="3" t="str">
        <f ca="1">IFERROR(__xludf.DUMMYFUNCTION("""COMPUTED_VALUE"""),"podklady@cncenter.cz")</f>
        <v>podklady@cncenter.cz</v>
      </c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 t="str">
        <f ca="1">IFERROR(__xludf.DUMMYFUNCTION("""COMPUTED_VALUE"""),"mobile")</f>
        <v>mobile</v>
      </c>
      <c r="AO343" s="3"/>
      <c r="AP343" s="3"/>
      <c r="AQ343" s="3"/>
      <c r="AR343" s="3"/>
      <c r="AS343" s="3"/>
      <c r="AT343" s="3"/>
      <c r="AU343" s="3" t="str">
        <f ca="1">IFERROR(__xludf.DUMMYFUNCTION("""COMPUTED_VALUE"""),"mobilní interscroller")</f>
        <v>mobilní interscroller</v>
      </c>
    </row>
    <row r="344" spans="1:47" x14ac:dyDescent="0.3">
      <c r="A344" s="3">
        <f ca="1"/>
        <v>2346826</v>
      </c>
      <c r="B344" s="3" t="str">
        <f ca="1"/>
        <v>CZECH NEWS CENTER a. s.</v>
      </c>
      <c r="C344" s="3" t="str">
        <f ca="1">IFERROR(__xludf.DUMMYFUNCTION("""COMPUTED_VALUE"""),"CNC muži pack")</f>
        <v>CNC muži pack</v>
      </c>
      <c r="D344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4" s="3" t="str">
        <f ca="1">IFERROR(__xludf.DUMMYFUNCTION("""COMPUTED_VALUE"""),"celý web")</f>
        <v>celý web</v>
      </c>
      <c r="F344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4" s="3" t="str">
        <f ca="1">IFERROR(__xludf.DUMMYFUNCTION("""COMPUTED_VALUE"""),"mobilní slide-up high season")</f>
        <v>mobilní slide-up high season</v>
      </c>
      <c r="H344" s="3">
        <f ca="1">IFERROR(__xludf.DUMMYFUNCTION("""COMPUTED_VALUE"""),7)</f>
        <v>7</v>
      </c>
      <c r="I344" s="5">
        <f ca="1">IFERROR(__xludf.DUMMYFUNCTION("""COMPUTED_VALUE"""),1000)</f>
        <v>1000</v>
      </c>
      <c r="J344" s="5">
        <f ca="1">IFERROR(__xludf.DUMMYFUNCTION("""COMPUTED_VALUE"""),720)</f>
        <v>720</v>
      </c>
      <c r="K344" s="3"/>
      <c r="L344" s="3" t="str">
        <f ca="1">IFERROR(__xludf.DUMMYFUNCTION("""COMPUTED_VALUE"""),"Cost per period")</f>
        <v>Cost per period</v>
      </c>
      <c r="M344" s="3"/>
      <c r="N344" s="3"/>
      <c r="O344" s="3" t="str">
        <f ca="1">IFERROR(__xludf.DUMMYFUNCTION("""COMPUTED_VALUE"""),"300")</f>
        <v>300</v>
      </c>
      <c r="P344" s="3" t="str">
        <f ca="1">IFERROR(__xludf.DUMMYFUNCTION("""COMPUTED_VALUE"""),"120")</f>
        <v>120</v>
      </c>
      <c r="Q344" s="3" t="str">
        <f ca="1">IFERROR(__xludf.DUMMYFUNCTION("""COMPUTED_VALUE"""),"300x120")</f>
        <v>300x120</v>
      </c>
      <c r="R344" s="3"/>
      <c r="S344" s="3" t="str">
        <f ca="1">IFERROR(__xludf.DUMMYFUNCTION("""COMPUTED_VALUE"""),"100")</f>
        <v>100</v>
      </c>
      <c r="T344" s="3"/>
      <c r="U344" s="3" t="str">
        <f ca="1">IFERROR(__xludf.DUMMYFUNCTION("""COMPUTED_VALUE"""),"banner standard")</f>
        <v>banner standard</v>
      </c>
      <c r="V344" s="3"/>
      <c r="W344" s="4" t="str">
        <f ca="1">IFERROR(__xludf.DUMMYFUNCTION("""COMPUTED_VALUE"""),"https://reklama.cncenter.cz/Online/mobilni-slide-up")</f>
        <v>https://reklama.cncenter.cz/Online/mobilni-slide-up</v>
      </c>
      <c r="X344" s="3"/>
      <c r="Y344" s="3"/>
      <c r="Z344" s="3" t="str">
        <f ca="1">IFERROR(__xludf.DUMMYFUNCTION("""COMPUTED_VALUE"""),"podklady@cncenter.cz")</f>
        <v>podklady@cncenter.cz</v>
      </c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 t="str">
        <f ca="1">IFERROR(__xludf.DUMMYFUNCTION("""COMPUTED_VALUE"""),"mobile")</f>
        <v>mobile</v>
      </c>
      <c r="AO344" s="3"/>
      <c r="AP344" s="3"/>
      <c r="AQ344" s="3"/>
      <c r="AR344" s="3"/>
      <c r="AS344" s="3"/>
      <c r="AT344" s="3"/>
      <c r="AU344" s="3" t="str">
        <f ca="1">IFERROR(__xludf.DUMMYFUNCTION("""COMPUTED_VALUE"""),"mobilní slide-up")</f>
        <v>mobilní slide-up</v>
      </c>
    </row>
    <row r="345" spans="1:47" x14ac:dyDescent="0.3">
      <c r="A345" s="3">
        <f ca="1"/>
        <v>2346826</v>
      </c>
      <c r="B345" s="3" t="str">
        <f ca="1"/>
        <v>CZECH NEWS CENTER a. s.</v>
      </c>
      <c r="C345" s="3" t="str">
        <f ca="1">IFERROR(__xludf.DUMMYFUNCTION("""COMPUTED_VALUE"""),"CNC muži pack")</f>
        <v>CNC muži pack</v>
      </c>
      <c r="D345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5" s="3" t="str">
        <f ca="1">IFERROR(__xludf.DUMMYFUNCTION("""COMPUTED_VALUE"""),"celý web")</f>
        <v>celý web</v>
      </c>
      <c r="F345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5" s="3" t="str">
        <f ca="1">IFERROR(__xludf.DUMMYFUNCTION("""COMPUTED_VALUE"""),"mobilní viněta high season")</f>
        <v>mobilní viněta high season</v>
      </c>
      <c r="H345" s="3">
        <f ca="1">IFERROR(__xludf.DUMMYFUNCTION("""COMPUTED_VALUE"""),7)</f>
        <v>7</v>
      </c>
      <c r="I345" s="5">
        <f ca="1">IFERROR(__xludf.DUMMYFUNCTION("""COMPUTED_VALUE"""),1000)</f>
        <v>1000</v>
      </c>
      <c r="J345" s="5">
        <f ca="1">IFERROR(__xludf.DUMMYFUNCTION("""COMPUTED_VALUE"""),1010)</f>
        <v>1010</v>
      </c>
      <c r="K345" s="3"/>
      <c r="L345" s="3" t="str">
        <f ca="1">IFERROR(__xludf.DUMMYFUNCTION("""COMPUTED_VALUE"""),"Cost per period")</f>
        <v>Cost per period</v>
      </c>
      <c r="M345" s="3"/>
      <c r="N345" s="3"/>
      <c r="O345" s="3" t="str">
        <f ca="1">IFERROR(__xludf.DUMMYFUNCTION("""COMPUTED_VALUE"""),"600")</f>
        <v>600</v>
      </c>
      <c r="P345" s="3" t="str">
        <f ca="1">IFERROR(__xludf.DUMMYFUNCTION("""COMPUTED_VALUE"""),"800")</f>
        <v>800</v>
      </c>
      <c r="Q345" s="3" t="str">
        <f ca="1">IFERROR(__xludf.DUMMYFUNCTION("""COMPUTED_VALUE"""),"300x250 nebo 600x800")</f>
        <v>300x250 nebo 600x800</v>
      </c>
      <c r="R345" s="3"/>
      <c r="S345" s="3" t="str">
        <f ca="1">IFERROR(__xludf.DUMMYFUNCTION("""COMPUTED_VALUE"""),"100")</f>
        <v>100</v>
      </c>
      <c r="T345" s="3"/>
      <c r="U345" s="3" t="str">
        <f ca="1">IFERROR(__xludf.DUMMYFUNCTION("""COMPUTED_VALUE"""),"banner standard")</f>
        <v>banner standard</v>
      </c>
      <c r="V345" s="3"/>
      <c r="W345" s="4" t="str">
        <f ca="1">IFERROR(__xludf.DUMMYFUNCTION("""COMPUTED_VALUE"""),"https://reklama.cncenter.cz/Online/mobilni-vineta")</f>
        <v>https://reklama.cncenter.cz/Online/mobilni-vineta</v>
      </c>
      <c r="X345" s="3"/>
      <c r="Y345" s="3"/>
      <c r="Z345" s="3" t="str">
        <f ca="1">IFERROR(__xludf.DUMMYFUNCTION("""COMPUTED_VALUE"""),"podklady@cncenter.cz")</f>
        <v>podklady@cncenter.cz</v>
      </c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 t="str">
        <f ca="1">IFERROR(__xludf.DUMMYFUNCTION("""COMPUTED_VALUE"""),"mobile")</f>
        <v>mobile</v>
      </c>
      <c r="AO345" s="3"/>
      <c r="AP345" s="3"/>
      <c r="AQ345" s="3"/>
      <c r="AR345" s="3"/>
      <c r="AS345" s="3"/>
      <c r="AT345" s="3"/>
      <c r="AU345" s="3" t="str">
        <f ca="1">IFERROR(__xludf.DUMMYFUNCTION("""COMPUTED_VALUE"""),"mobilní viněta")</f>
        <v>mobilní viněta</v>
      </c>
    </row>
    <row r="346" spans="1:47" x14ac:dyDescent="0.3">
      <c r="A346" s="3">
        <f ca="1"/>
        <v>2346826</v>
      </c>
      <c r="B346" s="3" t="str">
        <f ca="1"/>
        <v>CZECH NEWS CENTER a. s.</v>
      </c>
      <c r="C346" s="3" t="str">
        <f ca="1">IFERROR(__xludf.DUMMYFUNCTION("""COMPUTED_VALUE"""),"CNC muži pack")</f>
        <v>CNC muži pack</v>
      </c>
      <c r="D346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6" s="3" t="str">
        <f ca="1">IFERROR(__xludf.DUMMYFUNCTION("""COMPUTED_VALUE"""),"celý web")</f>
        <v>celý web</v>
      </c>
      <c r="F346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6" s="3" t="str">
        <f ca="1">IFERROR(__xludf.DUMMYFUNCTION("""COMPUTED_VALUE"""),"nativní rectangle cross-device high season")</f>
        <v>nativní rectangle cross-device high season</v>
      </c>
      <c r="H346" s="3">
        <f ca="1">IFERROR(__xludf.DUMMYFUNCTION("""COMPUTED_VALUE"""),7)</f>
        <v>7</v>
      </c>
      <c r="I346" s="5">
        <f ca="1">IFERROR(__xludf.DUMMYFUNCTION("""COMPUTED_VALUE"""),1000)</f>
        <v>1000</v>
      </c>
      <c r="J346" s="5">
        <f ca="1">IFERROR(__xludf.DUMMYFUNCTION("""COMPUTED_VALUE"""),270)</f>
        <v>270</v>
      </c>
      <c r="K346" s="3"/>
      <c r="L346" s="3" t="str">
        <f ca="1">IFERROR(__xludf.DUMMYFUNCTION("""COMPUTED_VALUE"""),"Cost per period")</f>
        <v>Cost per period</v>
      </c>
      <c r="M346" s="3"/>
      <c r="N346" s="3"/>
      <c r="O346" s="3" t="str">
        <f ca="1">IFERROR(__xludf.DUMMYFUNCTION("""COMPUTED_VALUE"""),"640")</f>
        <v>640</v>
      </c>
      <c r="P346" s="3" t="str">
        <f ca="1">IFERROR(__xludf.DUMMYFUNCTION("""COMPUTED_VALUE"""),"335, 640")</f>
        <v>335, 640</v>
      </c>
      <c r="Q346" s="3" t="str">
        <f ca="1">IFERROR(__xludf.DUMMYFUNCTION("""COMPUTED_VALUE"""),"640x640 a 640x335 + text + logo")</f>
        <v>640x640 a 640x335 + text + logo</v>
      </c>
      <c r="R346" s="3"/>
      <c r="S346" s="3" t="str">
        <f ca="1">IFERROR(__xludf.DUMMYFUNCTION("""COMPUTED_VALUE"""),"45")</f>
        <v>45</v>
      </c>
      <c r="T346" s="3"/>
      <c r="U346" s="3" t="str">
        <f ca="1">IFERROR(__xludf.DUMMYFUNCTION("""COMPUTED_VALUE"""),"nativní reklama")</f>
        <v>nativní reklama</v>
      </c>
      <c r="V346" s="3"/>
      <c r="W346" s="4" t="str">
        <f ca="1">IFERROR(__xludf.DUMMYFUNCTION("""COMPUTED_VALUE"""),"https://reklama.cncenter.cz/Online/nativni-rectangle-cross-device")</f>
        <v>https://reklama.cncenter.cz/Online/nativni-rectangle-cross-device</v>
      </c>
      <c r="X346" s="3"/>
      <c r="Y346" s="3"/>
      <c r="Z346" s="3" t="str">
        <f ca="1">IFERROR(__xludf.DUMMYFUNCTION("""COMPUTED_VALUE"""),"podklady@cncenter.cz")</f>
        <v>podklady@cncenter.cz</v>
      </c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 t="str">
        <f ca="1">IFERROR(__xludf.DUMMYFUNCTION("""COMPUTED_VALUE"""),"cross-device")</f>
        <v>cross-device</v>
      </c>
      <c r="AO346" s="3"/>
      <c r="AP346" s="3"/>
      <c r="AQ346" s="3"/>
      <c r="AR346" s="3"/>
      <c r="AS346" s="3"/>
      <c r="AT346" s="3"/>
      <c r="AU346" s="3" t="str">
        <f ca="1">IFERROR(__xludf.DUMMYFUNCTION("""COMPUTED_VALUE"""),"nativní rectangle cross-device")</f>
        <v>nativní rectangle cross-device</v>
      </c>
    </row>
    <row r="347" spans="1:47" x14ac:dyDescent="0.3">
      <c r="A347" s="3">
        <f ca="1"/>
        <v>2346826</v>
      </c>
      <c r="B347" s="3" t="str">
        <f ca="1"/>
        <v>CZECH NEWS CENTER a. s.</v>
      </c>
      <c r="C347" s="3" t="str">
        <f ca="1">IFERROR(__xludf.DUMMYFUNCTION("""COMPUTED_VALUE"""),"CNC muži pack")</f>
        <v>CNC muži pack</v>
      </c>
      <c r="D347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7" s="3" t="str">
        <f ca="1">IFERROR(__xludf.DUMMYFUNCTION("""COMPUTED_VALUE"""),"celý web")</f>
        <v>celý web</v>
      </c>
      <c r="F347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7" s="3" t="str">
        <f ca="1">IFERROR(__xludf.DUMMYFUNCTION("""COMPUTED_VALUE"""),"outstream high season")</f>
        <v>outstream high season</v>
      </c>
      <c r="H347" s="3">
        <f ca="1">IFERROR(__xludf.DUMMYFUNCTION("""COMPUTED_VALUE"""),7)</f>
        <v>7</v>
      </c>
      <c r="I347" s="5">
        <f ca="1">IFERROR(__xludf.DUMMYFUNCTION("""COMPUTED_VALUE"""),1000)</f>
        <v>1000</v>
      </c>
      <c r="J347" s="5">
        <f ca="1">IFERROR(__xludf.DUMMYFUNCTION("""COMPUTED_VALUE"""),420)</f>
        <v>420</v>
      </c>
      <c r="K347" s="3"/>
      <c r="L347" s="3" t="str">
        <f ca="1">IFERROR(__xludf.DUMMYFUNCTION("""COMPUTED_VALUE"""),"Cost per period")</f>
        <v>Cost per period</v>
      </c>
      <c r="M347" s="3"/>
      <c r="N347" s="3"/>
      <c r="O347" s="3" t="str">
        <f ca="1">IFERROR(__xludf.DUMMYFUNCTION("""COMPUTED_VALUE"""),"1280")</f>
        <v>1280</v>
      </c>
      <c r="P347" s="3" t="str">
        <f ca="1">IFERROR(__xludf.DUMMYFUNCTION("""COMPUTED_VALUE"""),"720")</f>
        <v>720</v>
      </c>
      <c r="Q347" s="3" t="str">
        <f ca="1">IFERROR(__xludf.DUMMYFUNCTION("""COMPUTED_VALUE"""),"16:9")</f>
        <v>16:9</v>
      </c>
      <c r="R347" s="3"/>
      <c r="S347" s="3" t="str">
        <f ca="1">IFERROR(__xludf.DUMMYFUNCTION("""COMPUTED_VALUE"""),"100")</f>
        <v>100</v>
      </c>
      <c r="T347" s="3"/>
      <c r="U347" s="3" t="str">
        <f ca="1">IFERROR(__xludf.DUMMYFUNCTION("""COMPUTED_VALUE"""),"videospot")</f>
        <v>videospot</v>
      </c>
      <c r="V347" s="3"/>
      <c r="W347" s="4" t="str">
        <f ca="1">IFERROR(__xludf.DUMMYFUNCTION("""COMPUTED_VALUE"""),"https://reklama.cncenter.cz/Online/Outstream")</f>
        <v>https://reklama.cncenter.cz/Online/Outstream</v>
      </c>
      <c r="X347" s="3"/>
      <c r="Y347" s="3"/>
      <c r="Z347" s="3" t="str">
        <f ca="1">IFERROR(__xludf.DUMMYFUNCTION("""COMPUTED_VALUE"""),"podklady@cncenter.cz")</f>
        <v>podklady@cncenter.cz</v>
      </c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 t="str">
        <f ca="1">IFERROR(__xludf.DUMMYFUNCTION("""COMPUTED_VALUE"""),"cross-device")</f>
        <v>cross-device</v>
      </c>
      <c r="AO347" s="3"/>
      <c r="AP347" s="3"/>
      <c r="AQ347" s="3"/>
      <c r="AR347" s="3"/>
      <c r="AS347" s="3"/>
      <c r="AT347" s="3"/>
      <c r="AU347" s="3" t="str">
        <f ca="1">IFERROR(__xludf.DUMMYFUNCTION("""COMPUTED_VALUE"""),"outstream")</f>
        <v>outstream</v>
      </c>
    </row>
    <row r="348" spans="1:47" x14ac:dyDescent="0.3">
      <c r="A348" s="3">
        <f ca="1"/>
        <v>2346826</v>
      </c>
      <c r="B348" s="3" t="str">
        <f ca="1"/>
        <v>CZECH NEWS CENTER a. s.</v>
      </c>
      <c r="C348" s="3" t="str">
        <f ca="1">IFERROR(__xludf.DUMMYFUNCTION("""COMPUTED_VALUE"""),"CNC muži pack")</f>
        <v>CNC muži pack</v>
      </c>
      <c r="D348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8" s="3" t="str">
        <f ca="1">IFERROR(__xludf.DUMMYFUNCTION("""COMPUTED_VALUE"""),"celý web")</f>
        <v>celý web</v>
      </c>
      <c r="F348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8" s="3" t="str">
        <f ca="1">IFERROR(__xludf.DUMMYFUNCTION("""COMPUTED_VALUE"""),"Smarticle high season")</f>
        <v>Smarticle high season</v>
      </c>
      <c r="H348" s="3">
        <f ca="1">IFERROR(__xludf.DUMMYFUNCTION("""COMPUTED_VALUE"""),7)</f>
        <v>7</v>
      </c>
      <c r="I348" s="5">
        <f ca="1">IFERROR(__xludf.DUMMYFUNCTION("""COMPUTED_VALUE"""),1000)</f>
        <v>1000</v>
      </c>
      <c r="J348" s="5">
        <f ca="1">IFERROR(__xludf.DUMMYFUNCTION("""COMPUTED_VALUE"""),200)</f>
        <v>200</v>
      </c>
      <c r="K348" s="3"/>
      <c r="L348" s="3" t="str">
        <f ca="1">IFERROR(__xludf.DUMMYFUNCTION("""COMPUTED_VALUE"""),"Cost per period")</f>
        <v>Cost per period</v>
      </c>
      <c r="M348" s="3"/>
      <c r="N348" s="3" t="str">
        <f ca="1">IFERROR(__xludf.DUMMYFUNCTION("""COMPUTED_VALUE"""),"A4")</f>
        <v>A4</v>
      </c>
      <c r="O348" s="3"/>
      <c r="P348" s="3"/>
      <c r="Q348" s="3" t="str">
        <f ca="1">IFERROR(__xludf.DUMMYFUNCTION("""COMPUTED_VALUE"""),"viz. tech.specifikace; HP + sekce")</f>
        <v>viz. tech.specifikace; HP + sekce</v>
      </c>
      <c r="R348" s="3" t="str">
        <f ca="1">IFERROR(__xludf.DUMMYFUNCTION("""COMPUTED_VALUE"""),"HP + sekce")</f>
        <v>HP + sekce</v>
      </c>
      <c r="S348" s="3" t="str">
        <f ca="1">IFERROR(__xludf.DUMMYFUNCTION("""COMPUTED_VALUE"""),"100")</f>
        <v>100</v>
      </c>
      <c r="T348" s="3"/>
      <c r="U348" s="3" t="str">
        <f ca="1">IFERROR(__xludf.DUMMYFUNCTION("""COMPUTED_VALUE"""),"pr článek")</f>
        <v>pr článek</v>
      </c>
      <c r="V348" s="3"/>
      <c r="W348" s="4" t="str">
        <f ca="1">IFERROR(__xludf.DUMMYFUNCTION("""COMPUTED_VALUE"""),"https://reklama.cncenter.cz/Online/Smarticle")</f>
        <v>https://reklama.cncenter.cz/Online/Smarticle</v>
      </c>
      <c r="X348" s="3"/>
      <c r="Y348" s="3"/>
      <c r="Z348" s="3" t="str">
        <f ca="1">IFERROR(__xludf.DUMMYFUNCTION("""COMPUTED_VALUE"""),"podklady@cncenter.cz")</f>
        <v>podklady@cncenter.cz</v>
      </c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 t="str">
        <f ca="1">IFERROR(__xludf.DUMMYFUNCTION("""COMPUTED_VALUE"""),"cross-device")</f>
        <v>cross-device</v>
      </c>
      <c r="AO348" s="3"/>
      <c r="AP348" s="3"/>
      <c r="AQ348" s="3"/>
      <c r="AR348" s="3"/>
      <c r="AS348" s="3"/>
      <c r="AT348" s="3"/>
      <c r="AU348" s="3" t="str">
        <f ca="1">IFERROR(__xludf.DUMMYFUNCTION("""COMPUTED_VALUE"""),"Smarticle")</f>
        <v>Smarticle</v>
      </c>
    </row>
    <row r="349" spans="1:47" x14ac:dyDescent="0.3">
      <c r="A349" s="3">
        <f ca="1"/>
        <v>2346826</v>
      </c>
      <c r="B349" s="3" t="str">
        <f ca="1"/>
        <v>CZECH NEWS CENTER a. s.</v>
      </c>
      <c r="C349" s="3" t="str">
        <f ca="1">IFERROR(__xludf.DUMMYFUNCTION("""COMPUTED_VALUE"""),"CNC muži pack")</f>
        <v>CNC muži pack</v>
      </c>
      <c r="D349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E349" s="3" t="str">
        <f ca="1">IFERROR(__xludf.DUMMYFUNCTION("""COMPUTED_VALUE"""),"celý web")</f>
        <v>celý web</v>
      </c>
      <c r="F349" s="3" t="str">
        <f ca="1">IFERROR(__xludf.DUMMYFUNCTION("""COMPUTED_VALUE"""),"https://auto.cz, https://autorevue.cz, https://bleskpromuze.blesk.cz, https://isport.cz, https://reflex.cz, https://sportrevue.cz, https://doupe.zive.cz")</f>
        <v>https://auto.cz, https://autorevue.cz, https://bleskpromuze.blesk.cz, https://isport.cz, https://reflex.cz, https://sportrevue.cz, https://doupe.zive.cz</v>
      </c>
      <c r="G349" s="3" t="str">
        <f ca="1">IFERROR(__xludf.DUMMYFUNCTION("""COMPUTED_VALUE"""),"videospot - max. 30 sec. / bumper high season")</f>
        <v>videospot - max. 30 sec. / bumper high season</v>
      </c>
      <c r="H349" s="3">
        <f ca="1">IFERROR(__xludf.DUMMYFUNCTION("""COMPUTED_VALUE"""),7)</f>
        <v>7</v>
      </c>
      <c r="I349" s="5">
        <f ca="1">IFERROR(__xludf.DUMMYFUNCTION("""COMPUTED_VALUE"""),1000)</f>
        <v>1000</v>
      </c>
      <c r="J349" s="5">
        <f ca="1">IFERROR(__xludf.DUMMYFUNCTION("""COMPUTED_VALUE"""),1230)</f>
        <v>1230</v>
      </c>
      <c r="K349" s="3"/>
      <c r="L349" s="3" t="str">
        <f ca="1">IFERROR(__xludf.DUMMYFUNCTION("""COMPUTED_VALUE"""),"Cost per period")</f>
        <v>Cost per period</v>
      </c>
      <c r="M349" s="3"/>
      <c r="N349" s="3"/>
      <c r="O349" s="3" t="str">
        <f ca="1">IFERROR(__xludf.DUMMYFUNCTION("""COMPUTED_VALUE"""),"1280")</f>
        <v>1280</v>
      </c>
      <c r="P349" s="3" t="str">
        <f ca="1">IFERROR(__xludf.DUMMYFUNCTION("""COMPUTED_VALUE"""),"720")</f>
        <v>720</v>
      </c>
      <c r="Q349" s="3" t="str">
        <f ca="1">IFERROR(__xludf.DUMMYFUNCTION("""COMPUTED_VALUE"""),"16:9 / umístění po domluvě dle možností")</f>
        <v>16:9 / umístění po domluvě dle možností</v>
      </c>
      <c r="R349" s="3" t="str">
        <f ca="1">IFERROR(__xludf.DUMMYFUNCTION("""COMPUTED_VALUE"""),"přeskočení po 7 sekundách")</f>
        <v>přeskočení po 7 sekundách</v>
      </c>
      <c r="S349" s="3" t="str">
        <f ca="1">IFERROR(__xludf.DUMMYFUNCTION("""COMPUTED_VALUE"""),"100")</f>
        <v>100</v>
      </c>
      <c r="T349" s="3"/>
      <c r="U349" s="3" t="str">
        <f ca="1">IFERROR(__xludf.DUMMYFUNCTION("""COMPUTED_VALUE"""),"videospot")</f>
        <v>videospot</v>
      </c>
      <c r="V349" s="3"/>
      <c r="W349" s="4" t="str">
        <f ca="1">IFERROR(__xludf.DUMMYFUNCTION("""COMPUTED_VALUE"""),"https://reklama.cncenter.cz/Online/Bumper")</f>
        <v>https://reklama.cncenter.cz/Online/Bumper</v>
      </c>
      <c r="X349" s="3"/>
      <c r="Y349" s="3"/>
      <c r="Z349" s="3" t="str">
        <f ca="1">IFERROR(__xludf.DUMMYFUNCTION("""COMPUTED_VALUE"""),"podklady@cncenter.cz")</f>
        <v>podklady@cncenter.cz</v>
      </c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 t="str">
        <f ca="1">IFERROR(__xludf.DUMMYFUNCTION("""COMPUTED_VALUE"""),"cross-device")</f>
        <v>cross-device</v>
      </c>
      <c r="AO349" s="3"/>
      <c r="AP349" s="3"/>
      <c r="AQ349" s="3"/>
      <c r="AR349" s="3"/>
      <c r="AS349" s="3"/>
      <c r="AT349" s="3"/>
      <c r="AU349" s="3" t="str">
        <f ca="1">IFERROR(__xludf.DUMMYFUNCTION("""COMPUTED_VALUE"""),"videospot - max. 30 sec. / bumper")</f>
        <v>videospot - max. 30 sec. / bumper</v>
      </c>
    </row>
    <row r="350" spans="1:47" x14ac:dyDescent="0.3">
      <c r="A350" s="3">
        <f ca="1"/>
        <v>2346826</v>
      </c>
      <c r="B350" s="3" t="str">
        <f ca="1"/>
        <v>CZECH NEWS CENTER a. s.</v>
      </c>
      <c r="C350" s="3" t="str">
        <f ca="1">IFERROR(__xludf.DUMMYFUNCTION("""COMPUTED_VALUE"""),"CNC zpravodajský pack")</f>
        <v>CNC zpravodajský pack</v>
      </c>
      <c r="D350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0" s="3" t="str">
        <f ca="1">IFERROR(__xludf.DUMMYFUNCTION("""COMPUTED_VALUE"""),"celý web")</f>
        <v>celý web</v>
      </c>
      <c r="F350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0" s="3" t="str">
        <f ca="1">IFERROR(__xludf.DUMMYFUNCTION("""COMPUTED_VALUE"""),"billboard bottom high season")</f>
        <v>billboard bottom high season</v>
      </c>
      <c r="H350" s="3">
        <f ca="1">IFERROR(__xludf.DUMMYFUNCTION("""COMPUTED_VALUE"""),7)</f>
        <v>7</v>
      </c>
      <c r="I350" s="5">
        <f ca="1">IFERROR(__xludf.DUMMYFUNCTION("""COMPUTED_VALUE"""),1000)</f>
        <v>1000</v>
      </c>
      <c r="J350" s="5">
        <f ca="1">IFERROR(__xludf.DUMMYFUNCTION("""COMPUTED_VALUE"""),450)</f>
        <v>450</v>
      </c>
      <c r="K350" s="3"/>
      <c r="L350" s="3" t="str">
        <f ca="1">IFERROR(__xludf.DUMMYFUNCTION("""COMPUTED_VALUE"""),"Cost per period")</f>
        <v>Cost per period</v>
      </c>
      <c r="M350" s="3"/>
      <c r="N350" s="3"/>
      <c r="O350" s="3" t="str">
        <f ca="1">IFERROR(__xludf.DUMMYFUNCTION("""COMPUTED_VALUE"""),"970")</f>
        <v>970</v>
      </c>
      <c r="P350" s="3" t="str">
        <f ca="1">IFERROR(__xludf.DUMMYFUNCTION("""COMPUTED_VALUE"""),"250")</f>
        <v>250</v>
      </c>
      <c r="Q350" s="3" t="str">
        <f ca="1">IFERROR(__xludf.DUMMYFUNCTION("""COMPUTED_VALUE"""),"970x250")</f>
        <v>970x250</v>
      </c>
      <c r="R350" s="3"/>
      <c r="S350" s="3" t="str">
        <f ca="1">IFERROR(__xludf.DUMMYFUNCTION("""COMPUTED_VALUE"""),"100 (200 - HTML5)")</f>
        <v>100 (200 - HTML5)</v>
      </c>
      <c r="T350" s="3"/>
      <c r="U350" s="3" t="str">
        <f ca="1">IFERROR(__xludf.DUMMYFUNCTION("""COMPUTED_VALUE"""),"banner standard")</f>
        <v>banner standard</v>
      </c>
      <c r="V350" s="3"/>
      <c r="W350" s="4" t="str">
        <f ca="1">IFERROR(__xludf.DUMMYFUNCTION("""COMPUTED_VALUE"""),"https://reklama.cncenter.cz/Online/billboard-bottom")</f>
        <v>https://reklama.cncenter.cz/Online/billboard-bottom</v>
      </c>
      <c r="X350" s="3"/>
      <c r="Y350" s="3"/>
      <c r="Z350" s="3" t="str">
        <f ca="1">IFERROR(__xludf.DUMMYFUNCTION("""COMPUTED_VALUE"""),"podklady@cncenter.cz")</f>
        <v>podklady@cncenter.cz</v>
      </c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 t="str">
        <f ca="1">IFERROR(__xludf.DUMMYFUNCTION("""COMPUTED_VALUE"""),"desktop")</f>
        <v>desktop</v>
      </c>
      <c r="AO350" s="3"/>
      <c r="AP350" s="3"/>
      <c r="AQ350" s="3"/>
      <c r="AR350" s="3"/>
      <c r="AS350" s="3"/>
      <c r="AT350" s="3"/>
      <c r="AU350" s="3" t="str">
        <f ca="1">IFERROR(__xludf.DUMMYFUNCTION("""COMPUTED_VALUE"""),"billboard bottom")</f>
        <v>billboard bottom</v>
      </c>
    </row>
    <row r="351" spans="1:47" x14ac:dyDescent="0.3">
      <c r="A351" s="3">
        <f ca="1"/>
        <v>2346826</v>
      </c>
      <c r="B351" s="3" t="str">
        <f ca="1"/>
        <v>CZECH NEWS CENTER a. s.</v>
      </c>
      <c r="C351" s="3" t="str">
        <f ca="1">IFERROR(__xludf.DUMMYFUNCTION("""COMPUTED_VALUE"""),"CNC zpravodajský pack")</f>
        <v>CNC zpravodajský pack</v>
      </c>
      <c r="D351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1" s="3" t="str">
        <f ca="1">IFERROR(__xludf.DUMMYFUNCTION("""COMPUTED_VALUE"""),"celý web")</f>
        <v>celý web</v>
      </c>
      <c r="F351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1" s="3" t="str">
        <f ca="1">IFERROR(__xludf.DUMMYFUNCTION("""COMPUTED_VALUE"""),"branding cross-device high season")</f>
        <v>branding cross-device high season</v>
      </c>
      <c r="H351" s="3">
        <f ca="1">IFERROR(__xludf.DUMMYFUNCTION("""COMPUTED_VALUE"""),7)</f>
        <v>7</v>
      </c>
      <c r="I351" s="5">
        <f ca="1">IFERROR(__xludf.DUMMYFUNCTION("""COMPUTED_VALUE"""),1000)</f>
        <v>1000</v>
      </c>
      <c r="J351" s="5">
        <f ca="1">IFERROR(__xludf.DUMMYFUNCTION("""COMPUTED_VALUE"""),580)</f>
        <v>580</v>
      </c>
      <c r="K351" s="3"/>
      <c r="L351" s="3" t="str">
        <f ca="1">IFERROR(__xludf.DUMMYFUNCTION("""COMPUTED_VALUE"""),"Cost per period")</f>
        <v>Cost per period</v>
      </c>
      <c r="M351" s="3"/>
      <c r="N351" s="3"/>
      <c r="O351" s="3" t="str">
        <f ca="1">IFERROR(__xludf.DUMMYFUNCTION("""COMPUTED_VALUE"""),"2000")</f>
        <v>2000</v>
      </c>
      <c r="P351" s="3" t="str">
        <f ca="1">IFERROR(__xludf.DUMMYFUNCTION("""COMPUTED_VALUE"""),"1400")</f>
        <v>1400</v>
      </c>
      <c r="Q351" s="3" t="str">
        <f ca="1">IFERROR(__xludf.DUMMYFUNCTION("""COMPUTED_VALUE"""),"2000x1400 + 600x1080")</f>
        <v>2000x1400 + 600x1080</v>
      </c>
      <c r="R351" s="3"/>
      <c r="S351" s="3" t="str">
        <f ca="1">IFERROR(__xludf.DUMMYFUNCTION("""COMPUTED_VALUE"""),"500 (600 - HTLM5)")</f>
        <v>500 (600 - HTLM5)</v>
      </c>
      <c r="T351" s="3"/>
      <c r="U351" s="3" t="str">
        <f ca="1">IFERROR(__xludf.DUMMYFUNCTION("""COMPUTED_VALUE"""),"banner standard")</f>
        <v>banner standard</v>
      </c>
      <c r="V351" s="3"/>
      <c r="W351" s="4" t="str">
        <f ca="1">IFERROR(__xludf.DUMMYFUNCTION("""COMPUTED_VALUE"""),"https://reklama.cncenter.cz/Online/branding-cross-device")</f>
        <v>https://reklama.cncenter.cz/Online/branding-cross-device</v>
      </c>
      <c r="X351" s="3"/>
      <c r="Y351" s="3"/>
      <c r="Z351" s="3" t="str">
        <f ca="1">IFERROR(__xludf.DUMMYFUNCTION("""COMPUTED_VALUE"""),"podklady@cncenter.cz")</f>
        <v>podklady@cncenter.cz</v>
      </c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 t="str">
        <f ca="1">IFERROR(__xludf.DUMMYFUNCTION("""COMPUTED_VALUE"""),"cross-device")</f>
        <v>cross-device</v>
      </c>
      <c r="AO351" s="3"/>
      <c r="AP351" s="3"/>
      <c r="AQ351" s="3"/>
      <c r="AR351" s="3"/>
      <c r="AS351" s="3"/>
      <c r="AT351" s="3"/>
      <c r="AU351" s="3" t="str">
        <f ca="1">IFERROR(__xludf.DUMMYFUNCTION("""COMPUTED_VALUE"""),"branding cross-device")</f>
        <v>branding cross-device</v>
      </c>
    </row>
    <row r="352" spans="1:47" x14ac:dyDescent="0.3">
      <c r="A352" s="3">
        <f ca="1"/>
        <v>2346826</v>
      </c>
      <c r="B352" s="3" t="str">
        <f ca="1"/>
        <v>CZECH NEWS CENTER a. s.</v>
      </c>
      <c r="C352" s="3" t="str">
        <f ca="1">IFERROR(__xludf.DUMMYFUNCTION("""COMPUTED_VALUE"""),"CNC zpravodajský pack")</f>
        <v>CNC zpravodajský pack</v>
      </c>
      <c r="D352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2" s="3" t="str">
        <f ca="1">IFERROR(__xludf.DUMMYFUNCTION("""COMPUTED_VALUE"""),"celý web")</f>
        <v>celý web</v>
      </c>
      <c r="F352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2" s="3" t="str">
        <f ca="1">IFERROR(__xludf.DUMMYFUNCTION("""COMPUTED_VALUE"""),"branding high season")</f>
        <v>branding high season</v>
      </c>
      <c r="H352" s="3">
        <f ca="1">IFERROR(__xludf.DUMMYFUNCTION("""COMPUTED_VALUE"""),7)</f>
        <v>7</v>
      </c>
      <c r="I352" s="5">
        <f ca="1">IFERROR(__xludf.DUMMYFUNCTION("""COMPUTED_VALUE"""),1000)</f>
        <v>1000</v>
      </c>
      <c r="J352" s="5">
        <f ca="1">IFERROR(__xludf.DUMMYFUNCTION("""COMPUTED_VALUE"""),900)</f>
        <v>900</v>
      </c>
      <c r="K352" s="3"/>
      <c r="L352" s="3" t="str">
        <f ca="1">IFERROR(__xludf.DUMMYFUNCTION("""COMPUTED_VALUE"""),"Cost per period")</f>
        <v>Cost per period</v>
      </c>
      <c r="M352" s="3"/>
      <c r="N352" s="3"/>
      <c r="O352" s="3" t="str">
        <f ca="1">IFERROR(__xludf.DUMMYFUNCTION("""COMPUTED_VALUE"""),"2000")</f>
        <v>2000</v>
      </c>
      <c r="P352" s="3" t="str">
        <f ca="1">IFERROR(__xludf.DUMMYFUNCTION("""COMPUTED_VALUE"""),"1400")</f>
        <v>1400</v>
      </c>
      <c r="Q352" s="3" t="str">
        <f ca="1">IFERROR(__xludf.DUMMYFUNCTION("""COMPUTED_VALUE"""),"2000x1400")</f>
        <v>2000x1400</v>
      </c>
      <c r="R352" s="3"/>
      <c r="S352" s="3" t="str">
        <f ca="1">IFERROR(__xludf.DUMMYFUNCTION("""COMPUTED_VALUE"""),"500 + 200 (600+200 HTML5)")</f>
        <v>500 + 200 (600+200 HTML5)</v>
      </c>
      <c r="T352" s="3"/>
      <c r="U352" s="3" t="str">
        <f ca="1">IFERROR(__xludf.DUMMYFUNCTION("""COMPUTED_VALUE"""),"banner standard")</f>
        <v>banner standard</v>
      </c>
      <c r="V352" s="3"/>
      <c r="W352" s="4" t="str">
        <f ca="1">IFERROR(__xludf.DUMMYFUNCTION("""COMPUTED_VALUE"""),"https://reklama.cncenter.cz/Online/branding")</f>
        <v>https://reklama.cncenter.cz/Online/branding</v>
      </c>
      <c r="X352" s="3"/>
      <c r="Y352" s="3"/>
      <c r="Z352" s="3" t="str">
        <f ca="1">IFERROR(__xludf.DUMMYFUNCTION("""COMPUTED_VALUE"""),"podklady@cncenter.cz")</f>
        <v>podklady@cncenter.cz</v>
      </c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 t="str">
        <f ca="1">IFERROR(__xludf.DUMMYFUNCTION("""COMPUTED_VALUE"""),"desktop")</f>
        <v>desktop</v>
      </c>
      <c r="AO352" s="3"/>
      <c r="AP352" s="3"/>
      <c r="AQ352" s="3"/>
      <c r="AR352" s="3"/>
      <c r="AS352" s="3"/>
      <c r="AT352" s="3"/>
      <c r="AU352" s="3" t="str">
        <f ca="1">IFERROR(__xludf.DUMMYFUNCTION("""COMPUTED_VALUE"""),"branding")</f>
        <v>branding</v>
      </c>
    </row>
    <row r="353" spans="1:47" x14ac:dyDescent="0.3">
      <c r="A353" s="3">
        <f ca="1"/>
        <v>2346826</v>
      </c>
      <c r="B353" s="3" t="str">
        <f ca="1"/>
        <v>CZECH NEWS CENTER a. s.</v>
      </c>
      <c r="C353" s="3" t="str">
        <f ca="1">IFERROR(__xludf.DUMMYFUNCTION("""COMPUTED_VALUE"""),"CNC zpravodajský pack")</f>
        <v>CNC zpravodajský pack</v>
      </c>
      <c r="D353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3" s="3" t="str">
        <f ca="1">IFERROR(__xludf.DUMMYFUNCTION("""COMPUTED_VALUE"""),"celý web")</f>
        <v>celý web</v>
      </c>
      <c r="F353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3" s="3" t="str">
        <f ca="1">IFERROR(__xludf.DUMMYFUNCTION("""COMPUTED_VALUE"""),"cílený billboard bottom high season")</f>
        <v>cílený billboard bottom high season</v>
      </c>
      <c r="H353" s="3">
        <f ca="1">IFERROR(__xludf.DUMMYFUNCTION("""COMPUTED_VALUE"""),7)</f>
        <v>7</v>
      </c>
      <c r="I353" s="5">
        <f ca="1">IFERROR(__xludf.DUMMYFUNCTION("""COMPUTED_VALUE"""),1000)</f>
        <v>1000</v>
      </c>
      <c r="J353" s="5">
        <f ca="1">IFERROR(__xludf.DUMMYFUNCTION("""COMPUTED_VALUE"""),540)</f>
        <v>540</v>
      </c>
      <c r="K353" s="3"/>
      <c r="L353" s="3" t="str">
        <f ca="1">IFERROR(__xludf.DUMMYFUNCTION("""COMPUTED_VALUE"""),"Cost per period")</f>
        <v>Cost per period</v>
      </c>
      <c r="M353" s="3"/>
      <c r="N353" s="3"/>
      <c r="O353" s="3" t="str">
        <f ca="1">IFERROR(__xludf.DUMMYFUNCTION("""COMPUTED_VALUE"""),"970")</f>
        <v>970</v>
      </c>
      <c r="P353" s="3" t="str">
        <f ca="1">IFERROR(__xludf.DUMMYFUNCTION("""COMPUTED_VALUE"""),"250")</f>
        <v>250</v>
      </c>
      <c r="Q353" s="3" t="str">
        <f ca="1">IFERROR(__xludf.DUMMYFUNCTION("""COMPUTED_VALUE"""),"970x250")</f>
        <v>970x250</v>
      </c>
      <c r="R353" s="3"/>
      <c r="S353" s="3" t="str">
        <f ca="1">IFERROR(__xludf.DUMMYFUNCTION("""COMPUTED_VALUE"""),"100 (200 - HTML5)")</f>
        <v>100 (200 - HTML5)</v>
      </c>
      <c r="T353" s="3"/>
      <c r="U353" s="3" t="str">
        <f ca="1">IFERROR(__xludf.DUMMYFUNCTION("""COMPUTED_VALUE"""),"banner standard")</f>
        <v>banner standard</v>
      </c>
      <c r="V353" s="3"/>
      <c r="W353" s="4" t="str">
        <f ca="1">IFERROR(__xludf.DUMMYFUNCTION("""COMPUTED_VALUE"""),"https://reklama.cncenter.cz/Online/billboard-bottom")</f>
        <v>https://reklama.cncenter.cz/Online/billboard-bottom</v>
      </c>
      <c r="X353" s="3"/>
      <c r="Y353" s="3"/>
      <c r="Z353" s="3" t="str">
        <f ca="1">IFERROR(__xludf.DUMMYFUNCTION("""COMPUTED_VALUE"""),"podklady@cncenter.cz")</f>
        <v>podklady@cncenter.cz</v>
      </c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 t="str">
        <f ca="1">IFERROR(__xludf.DUMMYFUNCTION("""COMPUTED_VALUE"""),"desktop")</f>
        <v>desktop</v>
      </c>
      <c r="AO353" s="3"/>
      <c r="AP353" s="3"/>
      <c r="AQ353" s="3"/>
      <c r="AR353" s="3"/>
      <c r="AS353" s="3"/>
      <c r="AT353" s="3"/>
      <c r="AU353" s="3" t="str">
        <f ca="1">IFERROR(__xludf.DUMMYFUNCTION("""COMPUTED_VALUE"""),"cílený billboard bottom")</f>
        <v>cílený billboard bottom</v>
      </c>
    </row>
    <row r="354" spans="1:47" x14ac:dyDescent="0.3">
      <c r="A354" s="3">
        <f ca="1"/>
        <v>2346826</v>
      </c>
      <c r="B354" s="3" t="str">
        <f ca="1"/>
        <v>CZECH NEWS CENTER a. s.</v>
      </c>
      <c r="C354" s="3" t="str">
        <f ca="1">IFERROR(__xludf.DUMMYFUNCTION("""COMPUTED_VALUE"""),"CNC zpravodajský pack")</f>
        <v>CNC zpravodajský pack</v>
      </c>
      <c r="D354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4" s="3" t="str">
        <f ca="1">IFERROR(__xludf.DUMMYFUNCTION("""COMPUTED_VALUE"""),"celý web")</f>
        <v>celý web</v>
      </c>
      <c r="F354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4" s="3" t="str">
        <f ca="1">IFERROR(__xludf.DUMMYFUNCTION("""COMPUTED_VALUE"""),"cílený branding cross-device high season")</f>
        <v>cílený branding cross-device high season</v>
      </c>
      <c r="H354" s="3">
        <f ca="1">IFERROR(__xludf.DUMMYFUNCTION("""COMPUTED_VALUE"""),7)</f>
        <v>7</v>
      </c>
      <c r="I354" s="5">
        <f ca="1">IFERROR(__xludf.DUMMYFUNCTION("""COMPUTED_VALUE"""),1000)</f>
        <v>1000</v>
      </c>
      <c r="J354" s="5">
        <f ca="1">IFERROR(__xludf.DUMMYFUNCTION("""COMPUTED_VALUE"""),696)</f>
        <v>696</v>
      </c>
      <c r="K354" s="3"/>
      <c r="L354" s="3" t="str">
        <f ca="1">IFERROR(__xludf.DUMMYFUNCTION("""COMPUTED_VALUE"""),"Cost per period")</f>
        <v>Cost per period</v>
      </c>
      <c r="M354" s="3"/>
      <c r="N354" s="3"/>
      <c r="O354" s="3" t="str">
        <f ca="1">IFERROR(__xludf.DUMMYFUNCTION("""COMPUTED_VALUE"""),"2000")</f>
        <v>2000</v>
      </c>
      <c r="P354" s="3" t="str">
        <f ca="1">IFERROR(__xludf.DUMMYFUNCTION("""COMPUTED_VALUE"""),"1400")</f>
        <v>1400</v>
      </c>
      <c r="Q354" s="3" t="str">
        <f ca="1">IFERROR(__xludf.DUMMYFUNCTION("""COMPUTED_VALUE"""),"2000x1400 + 600x1080")</f>
        <v>2000x1400 + 600x1080</v>
      </c>
      <c r="R354" s="3"/>
      <c r="S354" s="3" t="str">
        <f ca="1">IFERROR(__xludf.DUMMYFUNCTION("""COMPUTED_VALUE"""),"500 (600 - HTLM5)")</f>
        <v>500 (600 - HTLM5)</v>
      </c>
      <c r="T354" s="3"/>
      <c r="U354" s="3" t="str">
        <f ca="1">IFERROR(__xludf.DUMMYFUNCTION("""COMPUTED_VALUE"""),"banner standard")</f>
        <v>banner standard</v>
      </c>
      <c r="V354" s="3"/>
      <c r="W354" s="4" t="str">
        <f ca="1">IFERROR(__xludf.DUMMYFUNCTION("""COMPUTED_VALUE"""),"https://reklama.cncenter.cz/Online/branding-cross-device")</f>
        <v>https://reklama.cncenter.cz/Online/branding-cross-device</v>
      </c>
      <c r="X354" s="3"/>
      <c r="Y354" s="3"/>
      <c r="Z354" s="3" t="str">
        <f ca="1">IFERROR(__xludf.DUMMYFUNCTION("""COMPUTED_VALUE"""),"podklady@cncenter.cz")</f>
        <v>podklady@cncenter.cz</v>
      </c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 t="str">
        <f ca="1">IFERROR(__xludf.DUMMYFUNCTION("""COMPUTED_VALUE"""),"cross-device")</f>
        <v>cross-device</v>
      </c>
      <c r="AO354" s="3"/>
      <c r="AP354" s="3"/>
      <c r="AQ354" s="3"/>
      <c r="AR354" s="3"/>
      <c r="AS354" s="3"/>
      <c r="AT354" s="3"/>
      <c r="AU354" s="3" t="str">
        <f ca="1">IFERROR(__xludf.DUMMYFUNCTION("""COMPUTED_VALUE"""),"cílený branding cross-device")</f>
        <v>cílený branding cross-device</v>
      </c>
    </row>
    <row r="355" spans="1:47" x14ac:dyDescent="0.3">
      <c r="A355" s="3">
        <f ca="1"/>
        <v>2346826</v>
      </c>
      <c r="B355" s="3" t="str">
        <f ca="1"/>
        <v>CZECH NEWS CENTER a. s.</v>
      </c>
      <c r="C355" s="3" t="str">
        <f ca="1">IFERROR(__xludf.DUMMYFUNCTION("""COMPUTED_VALUE"""),"CNC zpravodajský pack")</f>
        <v>CNC zpravodajský pack</v>
      </c>
      <c r="D355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5" s="3" t="str">
        <f ca="1">IFERROR(__xludf.DUMMYFUNCTION("""COMPUTED_VALUE"""),"celý web")</f>
        <v>celý web</v>
      </c>
      <c r="F355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5" s="3" t="str">
        <f ca="1">IFERROR(__xludf.DUMMYFUNCTION("""COMPUTED_VALUE"""),"cílený branding high season")</f>
        <v>cílený branding high season</v>
      </c>
      <c r="H355" s="3">
        <f ca="1">IFERROR(__xludf.DUMMYFUNCTION("""COMPUTED_VALUE"""),7)</f>
        <v>7</v>
      </c>
      <c r="I355" s="5">
        <f ca="1">IFERROR(__xludf.DUMMYFUNCTION("""COMPUTED_VALUE"""),1000)</f>
        <v>1000</v>
      </c>
      <c r="J355" s="5">
        <f ca="1">IFERROR(__xludf.DUMMYFUNCTION("""COMPUTED_VALUE"""),1080)</f>
        <v>1080</v>
      </c>
      <c r="K355" s="3"/>
      <c r="L355" s="3" t="str">
        <f ca="1">IFERROR(__xludf.DUMMYFUNCTION("""COMPUTED_VALUE"""),"Cost per period")</f>
        <v>Cost per period</v>
      </c>
      <c r="M355" s="3"/>
      <c r="N355" s="3"/>
      <c r="O355" s="3" t="str">
        <f ca="1">IFERROR(__xludf.DUMMYFUNCTION("""COMPUTED_VALUE"""),"2000")</f>
        <v>2000</v>
      </c>
      <c r="P355" s="3" t="str">
        <f ca="1">IFERROR(__xludf.DUMMYFUNCTION("""COMPUTED_VALUE"""),"1400")</f>
        <v>1400</v>
      </c>
      <c r="Q355" s="3" t="str">
        <f ca="1">IFERROR(__xludf.DUMMYFUNCTION("""COMPUTED_VALUE"""),"2000x1400")</f>
        <v>2000x1400</v>
      </c>
      <c r="R355" s="3"/>
      <c r="S355" s="3" t="str">
        <f ca="1">IFERROR(__xludf.DUMMYFUNCTION("""COMPUTED_VALUE"""),"500 + 200 (600+200 HTML5)")</f>
        <v>500 + 200 (600+200 HTML5)</v>
      </c>
      <c r="T355" s="3"/>
      <c r="U355" s="3" t="str">
        <f ca="1">IFERROR(__xludf.DUMMYFUNCTION("""COMPUTED_VALUE"""),"banner standard")</f>
        <v>banner standard</v>
      </c>
      <c r="V355" s="3"/>
      <c r="W355" s="4" t="str">
        <f ca="1">IFERROR(__xludf.DUMMYFUNCTION("""COMPUTED_VALUE"""),"https://reklama.cncenter.cz/Online/branding")</f>
        <v>https://reklama.cncenter.cz/Online/branding</v>
      </c>
      <c r="X355" s="3"/>
      <c r="Y355" s="3"/>
      <c r="Z355" s="3" t="str">
        <f ca="1">IFERROR(__xludf.DUMMYFUNCTION("""COMPUTED_VALUE"""),"podklady@cncenter.cz")</f>
        <v>podklady@cncenter.cz</v>
      </c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 t="str">
        <f ca="1">IFERROR(__xludf.DUMMYFUNCTION("""COMPUTED_VALUE"""),"desktop")</f>
        <v>desktop</v>
      </c>
      <c r="AO355" s="3"/>
      <c r="AP355" s="3"/>
      <c r="AQ355" s="3"/>
      <c r="AR355" s="3"/>
      <c r="AS355" s="3"/>
      <c r="AT355" s="3"/>
      <c r="AU355" s="3" t="str">
        <f ca="1">IFERROR(__xludf.DUMMYFUNCTION("""COMPUTED_VALUE"""),"cílený branding")</f>
        <v>cílený branding</v>
      </c>
    </row>
    <row r="356" spans="1:47" x14ac:dyDescent="0.3">
      <c r="A356" s="3">
        <f ca="1"/>
        <v>2346826</v>
      </c>
      <c r="B356" s="3" t="str">
        <f ca="1"/>
        <v>CZECH NEWS CENTER a. s.</v>
      </c>
      <c r="C356" s="3" t="str">
        <f ca="1">IFERROR(__xludf.DUMMYFUNCTION("""COMPUTED_VALUE"""),"CNC zpravodajský pack")</f>
        <v>CNC zpravodajský pack</v>
      </c>
      <c r="D356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6" s="3" t="str">
        <f ca="1">IFERROR(__xludf.DUMMYFUNCTION("""COMPUTED_VALUE"""),"celý web")</f>
        <v>celý web</v>
      </c>
      <c r="F356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6" s="3" t="str">
        <f ca="1">IFERROR(__xludf.DUMMYFUNCTION("""COMPUTED_VALUE"""),"cílený double skyscraper high season")</f>
        <v>cílený double skyscraper high season</v>
      </c>
      <c r="H356" s="3">
        <f ca="1">IFERROR(__xludf.DUMMYFUNCTION("""COMPUTED_VALUE"""),7)</f>
        <v>7</v>
      </c>
      <c r="I356" s="5">
        <f ca="1">IFERROR(__xludf.DUMMYFUNCTION("""COMPUTED_VALUE"""),1000)</f>
        <v>1000</v>
      </c>
      <c r="J356" s="5">
        <f ca="1">IFERROR(__xludf.DUMMYFUNCTION("""COMPUTED_VALUE"""),372)</f>
        <v>372</v>
      </c>
      <c r="K356" s="3"/>
      <c r="L356" s="3" t="str">
        <f ca="1">IFERROR(__xludf.DUMMYFUNCTION("""COMPUTED_VALUE"""),"Cost per period")</f>
        <v>Cost per period</v>
      </c>
      <c r="M356" s="3"/>
      <c r="N356" s="3"/>
      <c r="O356" s="3" t="str">
        <f ca="1">IFERROR(__xludf.DUMMYFUNCTION("""COMPUTED_VALUE"""),"300")</f>
        <v>300</v>
      </c>
      <c r="P356" s="3" t="str">
        <f ca="1">IFERROR(__xludf.DUMMYFUNCTION("""COMPUTED_VALUE"""),"600")</f>
        <v>600</v>
      </c>
      <c r="Q356" s="3" t="str">
        <f ca="1">IFERROR(__xludf.DUMMYFUNCTION("""COMPUTED_VALUE"""),"300x600")</f>
        <v>300x600</v>
      </c>
      <c r="R356" s="3"/>
      <c r="S356" s="3" t="str">
        <f ca="1">IFERROR(__xludf.DUMMYFUNCTION("""COMPUTED_VALUE"""),"100 (200 - HTML5)")</f>
        <v>100 (200 - HTML5)</v>
      </c>
      <c r="T356" s="3"/>
      <c r="U356" s="3" t="str">
        <f ca="1">IFERROR(__xludf.DUMMYFUNCTION("""COMPUTED_VALUE"""),"banner standard")</f>
        <v>banner standard</v>
      </c>
      <c r="V356" s="3"/>
      <c r="W356" s="4" t="str">
        <f ca="1">IFERROR(__xludf.DUMMYFUNCTION("""COMPUTED_VALUE"""),"https://reklama.cncenter.cz/Online/double-skyscraper")</f>
        <v>https://reklama.cncenter.cz/Online/double-skyscraper</v>
      </c>
      <c r="X356" s="3"/>
      <c r="Y356" s="3"/>
      <c r="Z356" s="3" t="str">
        <f ca="1">IFERROR(__xludf.DUMMYFUNCTION("""COMPUTED_VALUE"""),"podklady@cncenter.cz")</f>
        <v>podklady@cncenter.cz</v>
      </c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 t="str">
        <f ca="1">IFERROR(__xludf.DUMMYFUNCTION("""COMPUTED_VALUE"""),"desktop")</f>
        <v>desktop</v>
      </c>
      <c r="AO356" s="3"/>
      <c r="AP356" s="3"/>
      <c r="AQ356" s="3"/>
      <c r="AR356" s="3"/>
      <c r="AS356" s="3"/>
      <c r="AT356" s="3"/>
      <c r="AU356" s="3" t="str">
        <f ca="1">IFERROR(__xludf.DUMMYFUNCTION("""COMPUTED_VALUE"""),"cílený double skyscraper")</f>
        <v>cílený double skyscraper</v>
      </c>
    </row>
    <row r="357" spans="1:47" x14ac:dyDescent="0.3">
      <c r="A357" s="3">
        <f ca="1"/>
        <v>2346826</v>
      </c>
      <c r="B357" s="3" t="str">
        <f ca="1"/>
        <v>CZECH NEWS CENTER a. s.</v>
      </c>
      <c r="C357" s="3" t="str">
        <f ca="1">IFERROR(__xludf.DUMMYFUNCTION("""COMPUTED_VALUE"""),"CNC zpravodajský pack")</f>
        <v>CNC zpravodajský pack</v>
      </c>
      <c r="D357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7" s="3" t="str">
        <f ca="1">IFERROR(__xludf.DUMMYFUNCTION("""COMPUTED_VALUE"""),"celý web")</f>
        <v>celý web</v>
      </c>
      <c r="F357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7" s="3" t="str">
        <f ca="1">IFERROR(__xludf.DUMMYFUNCTION("""COMPUTED_VALUE"""),"cílený mini videospot - max. 30 sec. high season")</f>
        <v>cílený mini videospot - max. 30 sec. high season</v>
      </c>
      <c r="H357" s="3">
        <f ca="1">IFERROR(__xludf.DUMMYFUNCTION("""COMPUTED_VALUE"""),7)</f>
        <v>7</v>
      </c>
      <c r="I357" s="5">
        <f ca="1">IFERROR(__xludf.DUMMYFUNCTION("""COMPUTED_VALUE"""),1000)</f>
        <v>1000</v>
      </c>
      <c r="J357" s="5">
        <f ca="1">IFERROR(__xludf.DUMMYFUNCTION("""COMPUTED_VALUE"""),396)</f>
        <v>396</v>
      </c>
      <c r="K357" s="3"/>
      <c r="L357" s="3" t="str">
        <f ca="1">IFERROR(__xludf.DUMMYFUNCTION("""COMPUTED_VALUE"""),"Cost per period")</f>
        <v>Cost per period</v>
      </c>
      <c r="M357" s="3"/>
      <c r="N357" s="3"/>
      <c r="O357" s="3"/>
      <c r="P357" s="3"/>
      <c r="Q357" s="3" t="str">
        <f ca="1">IFERROR(__xludf.DUMMYFUNCTION("""COMPUTED_VALUE"""),"16:9 / umístění po domluvě dle možností")</f>
        <v>16:9 / umístění po domluvě dle možností</v>
      </c>
      <c r="R357" s="3" t="str">
        <f ca="1">IFERROR(__xludf.DUMMYFUNCTION("""COMPUTED_VALUE"""),"přeskočení po 7 sekundách")</f>
        <v>přeskočení po 7 sekundách</v>
      </c>
      <c r="S357" s="3" t="str">
        <f ca="1">IFERROR(__xludf.DUMMYFUNCTION("""COMPUTED_VALUE"""),"100")</f>
        <v>100</v>
      </c>
      <c r="T357" s="3"/>
      <c r="U357" s="3" t="str">
        <f ca="1">IFERROR(__xludf.DUMMYFUNCTION("""COMPUTED_VALUE"""),"videospot")</f>
        <v>videospot</v>
      </c>
      <c r="V357" s="3"/>
      <c r="W357" s="4" t="str">
        <f ca="1">IFERROR(__xludf.DUMMYFUNCTION("""COMPUTED_VALUE"""),"https://reklama.cncenter.cz/Online/Videospot")</f>
        <v>https://reklama.cncenter.cz/Online/Videospot</v>
      </c>
      <c r="X357" s="3"/>
      <c r="Y357" s="3"/>
      <c r="Z357" s="3" t="str">
        <f ca="1">IFERROR(__xludf.DUMMYFUNCTION("""COMPUTED_VALUE"""),"podklady@cncenter.cz")</f>
        <v>podklady@cncenter.cz</v>
      </c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 t="str">
        <f ca="1">IFERROR(__xludf.DUMMYFUNCTION("""COMPUTED_VALUE"""),"desktop")</f>
        <v>desktop</v>
      </c>
      <c r="AO357" s="3"/>
      <c r="AP357" s="3"/>
      <c r="AQ357" s="3"/>
      <c r="AR357" s="3"/>
      <c r="AS357" s="3"/>
      <c r="AT357" s="3"/>
      <c r="AU357" s="3" t="str">
        <f ca="1">IFERROR(__xludf.DUMMYFUNCTION("""COMPUTED_VALUE"""),"cílený mini videospot - max. 30 sec.")</f>
        <v>cílený mini videospot - max. 30 sec.</v>
      </c>
    </row>
    <row r="358" spans="1:47" x14ac:dyDescent="0.3">
      <c r="A358" s="3">
        <f ca="1"/>
        <v>2346826</v>
      </c>
      <c r="B358" s="3" t="str">
        <f ca="1"/>
        <v>CZECH NEWS CENTER a. s.</v>
      </c>
      <c r="C358" s="3" t="str">
        <f ca="1">IFERROR(__xludf.DUMMYFUNCTION("""COMPUTED_VALUE"""),"CNC zpravodajský pack")</f>
        <v>CNC zpravodajský pack</v>
      </c>
      <c r="D358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8" s="3" t="str">
        <f ca="1">IFERROR(__xludf.DUMMYFUNCTION("""COMPUTED_VALUE"""),"celý web")</f>
        <v>celý web</v>
      </c>
      <c r="F358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8" s="3" t="str">
        <f ca="1">IFERROR(__xludf.DUMMYFUNCTION("""COMPUTED_VALUE"""),"cílený mobilní interscroller high season")</f>
        <v>cílený mobilní interscroller high season</v>
      </c>
      <c r="H358" s="3">
        <f ca="1">IFERROR(__xludf.DUMMYFUNCTION("""COMPUTED_VALUE"""),7)</f>
        <v>7</v>
      </c>
      <c r="I358" s="5">
        <f ca="1">IFERROR(__xludf.DUMMYFUNCTION("""COMPUTED_VALUE"""),1000)</f>
        <v>1000</v>
      </c>
      <c r="J358" s="5">
        <f ca="1">IFERROR(__xludf.DUMMYFUNCTION("""COMPUTED_VALUE"""),432)</f>
        <v>432</v>
      </c>
      <c r="K358" s="3"/>
      <c r="L358" s="3" t="str">
        <f ca="1">IFERROR(__xludf.DUMMYFUNCTION("""COMPUTED_VALUE"""),"Cost per period")</f>
        <v>Cost per period</v>
      </c>
      <c r="M358" s="3"/>
      <c r="N358" s="3"/>
      <c r="O358" s="3" t="str">
        <f ca="1">IFERROR(__xludf.DUMMYFUNCTION("""COMPUTED_VALUE"""),"600")</f>
        <v>600</v>
      </c>
      <c r="P358" s="3" t="str">
        <f ca="1">IFERROR(__xludf.DUMMYFUNCTION("""COMPUTED_VALUE"""),"1080")</f>
        <v>1080</v>
      </c>
      <c r="Q358" s="3" t="str">
        <f ca="1">IFERROR(__xludf.DUMMYFUNCTION("""COMPUTED_VALUE"""),"600x1080")</f>
        <v>600x1080</v>
      </c>
      <c r="R358" s="3"/>
      <c r="S358" s="3" t="str">
        <f ca="1">IFERROR(__xludf.DUMMYFUNCTION("""COMPUTED_VALUE"""),"200")</f>
        <v>200</v>
      </c>
      <c r="T358" s="3"/>
      <c r="U358" s="3" t="str">
        <f ca="1">IFERROR(__xludf.DUMMYFUNCTION("""COMPUTED_VALUE"""),"banner standard")</f>
        <v>banner standard</v>
      </c>
      <c r="V358" s="3"/>
      <c r="W358" s="4" t="str">
        <f ca="1">IFERROR(__xludf.DUMMYFUNCTION("""COMPUTED_VALUE"""),"https://reklama.cncenter.cz/Online/mobilni-interscroller")</f>
        <v>https://reklama.cncenter.cz/Online/mobilni-interscroller</v>
      </c>
      <c r="X358" s="3"/>
      <c r="Y358" s="3"/>
      <c r="Z358" s="3" t="str">
        <f ca="1">IFERROR(__xludf.DUMMYFUNCTION("""COMPUTED_VALUE"""),"podklady@cncenter.cz")</f>
        <v>podklady@cncenter.cz</v>
      </c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 t="str">
        <f ca="1">IFERROR(__xludf.DUMMYFUNCTION("""COMPUTED_VALUE"""),"mobile")</f>
        <v>mobile</v>
      </c>
      <c r="AO358" s="3"/>
      <c r="AP358" s="3"/>
      <c r="AQ358" s="3"/>
      <c r="AR358" s="3"/>
      <c r="AS358" s="3"/>
      <c r="AT358" s="3"/>
      <c r="AU358" s="3" t="str">
        <f ca="1">IFERROR(__xludf.DUMMYFUNCTION("""COMPUTED_VALUE"""),"cílený mobilní interscroller")</f>
        <v>cílený mobilní interscroller</v>
      </c>
    </row>
    <row r="359" spans="1:47" x14ac:dyDescent="0.3">
      <c r="A359" s="3">
        <f ca="1"/>
        <v>2346826</v>
      </c>
      <c r="B359" s="3" t="str">
        <f ca="1"/>
        <v>CZECH NEWS CENTER a. s.</v>
      </c>
      <c r="C359" s="3" t="str">
        <f ca="1">IFERROR(__xludf.DUMMYFUNCTION("""COMPUTED_VALUE"""),"CNC zpravodajský pack")</f>
        <v>CNC zpravodajský pack</v>
      </c>
      <c r="D359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59" s="3" t="str">
        <f ca="1">IFERROR(__xludf.DUMMYFUNCTION("""COMPUTED_VALUE"""),"celý web")</f>
        <v>celý web</v>
      </c>
      <c r="F359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59" s="3" t="str">
        <f ca="1">IFERROR(__xludf.DUMMYFUNCTION("""COMPUTED_VALUE"""),"cílený mobilní slide-up high season")</f>
        <v>cílený mobilní slide-up high season</v>
      </c>
      <c r="H359" s="3">
        <f ca="1">IFERROR(__xludf.DUMMYFUNCTION("""COMPUTED_VALUE"""),7)</f>
        <v>7</v>
      </c>
      <c r="I359" s="5">
        <f ca="1">IFERROR(__xludf.DUMMYFUNCTION("""COMPUTED_VALUE"""),1000)</f>
        <v>1000</v>
      </c>
      <c r="J359" s="5">
        <f ca="1">IFERROR(__xludf.DUMMYFUNCTION("""COMPUTED_VALUE"""),912)</f>
        <v>912</v>
      </c>
      <c r="K359" s="3"/>
      <c r="L359" s="3" t="str">
        <f ca="1">IFERROR(__xludf.DUMMYFUNCTION("""COMPUTED_VALUE"""),"Cost per period")</f>
        <v>Cost per period</v>
      </c>
      <c r="M359" s="3"/>
      <c r="N359" s="3"/>
      <c r="O359" s="3" t="str">
        <f ca="1">IFERROR(__xludf.DUMMYFUNCTION("""COMPUTED_VALUE"""),"300")</f>
        <v>300</v>
      </c>
      <c r="P359" s="3" t="str">
        <f ca="1">IFERROR(__xludf.DUMMYFUNCTION("""COMPUTED_VALUE"""),"120")</f>
        <v>120</v>
      </c>
      <c r="Q359" s="3" t="str">
        <f ca="1">IFERROR(__xludf.DUMMYFUNCTION("""COMPUTED_VALUE"""),"300x120")</f>
        <v>300x120</v>
      </c>
      <c r="R359" s="3"/>
      <c r="S359" s="3" t="str">
        <f ca="1">IFERROR(__xludf.DUMMYFUNCTION("""COMPUTED_VALUE"""),"100")</f>
        <v>100</v>
      </c>
      <c r="T359" s="3"/>
      <c r="U359" s="3" t="str">
        <f ca="1">IFERROR(__xludf.DUMMYFUNCTION("""COMPUTED_VALUE"""),"banner standard")</f>
        <v>banner standard</v>
      </c>
      <c r="V359" s="3"/>
      <c r="W359" s="4" t="str">
        <f ca="1">IFERROR(__xludf.DUMMYFUNCTION("""COMPUTED_VALUE"""),"https://reklama.cncenter.cz/Online/mobilni-slide-up")</f>
        <v>https://reklama.cncenter.cz/Online/mobilni-slide-up</v>
      </c>
      <c r="X359" s="3"/>
      <c r="Y359" s="3"/>
      <c r="Z359" s="3" t="str">
        <f ca="1">IFERROR(__xludf.DUMMYFUNCTION("""COMPUTED_VALUE"""),"podklady@cncenter.cz")</f>
        <v>podklady@cncenter.cz</v>
      </c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 t="str">
        <f ca="1">IFERROR(__xludf.DUMMYFUNCTION("""COMPUTED_VALUE"""),"mobile")</f>
        <v>mobile</v>
      </c>
      <c r="AO359" s="3"/>
      <c r="AP359" s="3"/>
      <c r="AQ359" s="3"/>
      <c r="AR359" s="3"/>
      <c r="AS359" s="3"/>
      <c r="AT359" s="3"/>
      <c r="AU359" s="3" t="str">
        <f ca="1">IFERROR(__xludf.DUMMYFUNCTION("""COMPUTED_VALUE"""),"cílený mobilní slide-up")</f>
        <v>cílený mobilní slide-up</v>
      </c>
    </row>
    <row r="360" spans="1:47" x14ac:dyDescent="0.3">
      <c r="A360" s="3">
        <f ca="1"/>
        <v>2346826</v>
      </c>
      <c r="B360" s="3" t="str">
        <f ca="1"/>
        <v>CZECH NEWS CENTER a. s.</v>
      </c>
      <c r="C360" s="3" t="str">
        <f ca="1">IFERROR(__xludf.DUMMYFUNCTION("""COMPUTED_VALUE"""),"CNC zpravodajský pack")</f>
        <v>CNC zpravodajský pack</v>
      </c>
      <c r="D360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0" s="3" t="str">
        <f ca="1">IFERROR(__xludf.DUMMYFUNCTION("""COMPUTED_VALUE"""),"celý web")</f>
        <v>celý web</v>
      </c>
      <c r="F360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0" s="3" t="str">
        <f ca="1">IFERROR(__xludf.DUMMYFUNCTION("""COMPUTED_VALUE"""),"cílený mobilní viněta high season")</f>
        <v>cílený mobilní viněta high season</v>
      </c>
      <c r="H360" s="3">
        <f ca="1">IFERROR(__xludf.DUMMYFUNCTION("""COMPUTED_VALUE"""),7)</f>
        <v>7</v>
      </c>
      <c r="I360" s="5">
        <f ca="1">IFERROR(__xludf.DUMMYFUNCTION("""COMPUTED_VALUE"""),1000)</f>
        <v>1000</v>
      </c>
      <c r="J360" s="5">
        <f ca="1">IFERROR(__xludf.DUMMYFUNCTION("""COMPUTED_VALUE"""),1392)</f>
        <v>1392</v>
      </c>
      <c r="K360" s="3"/>
      <c r="L360" s="3" t="str">
        <f ca="1">IFERROR(__xludf.DUMMYFUNCTION("""COMPUTED_VALUE"""),"Cost per period")</f>
        <v>Cost per period</v>
      </c>
      <c r="M360" s="3"/>
      <c r="N360" s="3"/>
      <c r="O360" s="3" t="str">
        <f ca="1">IFERROR(__xludf.DUMMYFUNCTION("""COMPUTED_VALUE"""),"600")</f>
        <v>600</v>
      </c>
      <c r="P360" s="3" t="str">
        <f ca="1">IFERROR(__xludf.DUMMYFUNCTION("""COMPUTED_VALUE"""),"800")</f>
        <v>800</v>
      </c>
      <c r="Q360" s="3" t="str">
        <f ca="1">IFERROR(__xludf.DUMMYFUNCTION("""COMPUTED_VALUE"""),"300x250 nebo 600x800")</f>
        <v>300x250 nebo 600x800</v>
      </c>
      <c r="R360" s="3"/>
      <c r="S360" s="3" t="str">
        <f ca="1">IFERROR(__xludf.DUMMYFUNCTION("""COMPUTED_VALUE"""),"100")</f>
        <v>100</v>
      </c>
      <c r="T360" s="3"/>
      <c r="U360" s="3" t="str">
        <f ca="1">IFERROR(__xludf.DUMMYFUNCTION("""COMPUTED_VALUE"""),"banner standard")</f>
        <v>banner standard</v>
      </c>
      <c r="V360" s="3"/>
      <c r="W360" s="4" t="str">
        <f ca="1">IFERROR(__xludf.DUMMYFUNCTION("""COMPUTED_VALUE"""),"https://reklama.cncenter.cz/Online/mobilni-vineta")</f>
        <v>https://reklama.cncenter.cz/Online/mobilni-vineta</v>
      </c>
      <c r="X360" s="3"/>
      <c r="Y360" s="3"/>
      <c r="Z360" s="3" t="str">
        <f ca="1">IFERROR(__xludf.DUMMYFUNCTION("""COMPUTED_VALUE"""),"podklady@cncenter.cz")</f>
        <v>podklady@cncenter.cz</v>
      </c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 t="str">
        <f ca="1">IFERROR(__xludf.DUMMYFUNCTION("""COMPUTED_VALUE"""),"mobile")</f>
        <v>mobile</v>
      </c>
      <c r="AO360" s="3"/>
      <c r="AP360" s="3"/>
      <c r="AQ360" s="3"/>
      <c r="AR360" s="3"/>
      <c r="AS360" s="3"/>
      <c r="AT360" s="3"/>
      <c r="AU360" s="3" t="str">
        <f ca="1">IFERROR(__xludf.DUMMYFUNCTION("""COMPUTED_VALUE"""),"cílený mobilní viněta")</f>
        <v>cílený mobilní viněta</v>
      </c>
    </row>
    <row r="361" spans="1:47" x14ac:dyDescent="0.3">
      <c r="A361" s="3">
        <f ca="1"/>
        <v>2346826</v>
      </c>
      <c r="B361" s="3" t="str">
        <f ca="1"/>
        <v>CZECH NEWS CENTER a. s.</v>
      </c>
      <c r="C361" s="3" t="str">
        <f ca="1">IFERROR(__xludf.DUMMYFUNCTION("""COMPUTED_VALUE"""),"CNC zpravodajský pack")</f>
        <v>CNC zpravodajský pack</v>
      </c>
      <c r="D361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1" s="3" t="str">
        <f ca="1">IFERROR(__xludf.DUMMYFUNCTION("""COMPUTED_VALUE"""),"celý web")</f>
        <v>celý web</v>
      </c>
      <c r="F361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1" s="3" t="str">
        <f ca="1">IFERROR(__xludf.DUMMYFUNCTION("""COMPUTED_VALUE"""),"cílený nativní rectangle cross-device high season")</f>
        <v>cílený nativní rectangle cross-device high season</v>
      </c>
      <c r="H361" s="3">
        <f ca="1">IFERROR(__xludf.DUMMYFUNCTION("""COMPUTED_VALUE"""),7)</f>
        <v>7</v>
      </c>
      <c r="I361" s="5">
        <f ca="1">IFERROR(__xludf.DUMMYFUNCTION("""COMPUTED_VALUE"""),1000)</f>
        <v>1000</v>
      </c>
      <c r="J361" s="5">
        <f ca="1">IFERROR(__xludf.DUMMYFUNCTION("""COMPUTED_VALUE"""),372)</f>
        <v>372</v>
      </c>
      <c r="K361" s="3"/>
      <c r="L361" s="3" t="str">
        <f ca="1">IFERROR(__xludf.DUMMYFUNCTION("""COMPUTED_VALUE"""),"Cost per period")</f>
        <v>Cost per period</v>
      </c>
      <c r="M361" s="3"/>
      <c r="N361" s="3"/>
      <c r="O361" s="3" t="str">
        <f ca="1">IFERROR(__xludf.DUMMYFUNCTION("""COMPUTED_VALUE"""),"640")</f>
        <v>640</v>
      </c>
      <c r="P361" s="3" t="str">
        <f ca="1">IFERROR(__xludf.DUMMYFUNCTION("""COMPUTED_VALUE"""),"335, 640")</f>
        <v>335, 640</v>
      </c>
      <c r="Q361" s="3" t="str">
        <f ca="1">IFERROR(__xludf.DUMMYFUNCTION("""COMPUTED_VALUE"""),"640x640 a 640x335 + text + logo")</f>
        <v>640x640 a 640x335 + text + logo</v>
      </c>
      <c r="R361" s="3"/>
      <c r="S361" s="3" t="str">
        <f ca="1">IFERROR(__xludf.DUMMYFUNCTION("""COMPUTED_VALUE"""),"45")</f>
        <v>45</v>
      </c>
      <c r="T361" s="3"/>
      <c r="U361" s="3" t="str">
        <f ca="1">IFERROR(__xludf.DUMMYFUNCTION("""COMPUTED_VALUE"""),"nativní reklama")</f>
        <v>nativní reklama</v>
      </c>
      <c r="V361" s="3"/>
      <c r="W361" s="4" t="str">
        <f ca="1">IFERROR(__xludf.DUMMYFUNCTION("""COMPUTED_VALUE"""),"https://reklama.cncenter.cz/Online/nativni-rectangle-cross-device")</f>
        <v>https://reklama.cncenter.cz/Online/nativni-rectangle-cross-device</v>
      </c>
      <c r="X361" s="3"/>
      <c r="Y361" s="3"/>
      <c r="Z361" s="3" t="str">
        <f ca="1">IFERROR(__xludf.DUMMYFUNCTION("""COMPUTED_VALUE"""),"podklady@cncenter.cz")</f>
        <v>podklady@cncenter.cz</v>
      </c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 t="str">
        <f ca="1">IFERROR(__xludf.DUMMYFUNCTION("""COMPUTED_VALUE"""),"cross-device")</f>
        <v>cross-device</v>
      </c>
      <c r="AO361" s="3"/>
      <c r="AP361" s="3"/>
      <c r="AQ361" s="3"/>
      <c r="AR361" s="3"/>
      <c r="AS361" s="3"/>
      <c r="AT361" s="3"/>
      <c r="AU361" s="3" t="str">
        <f ca="1">IFERROR(__xludf.DUMMYFUNCTION("""COMPUTED_VALUE"""),"cílený nativní rectangle cross-device")</f>
        <v>cílený nativní rectangle cross-device</v>
      </c>
    </row>
    <row r="362" spans="1:47" x14ac:dyDescent="0.3">
      <c r="A362" s="3">
        <f ca="1"/>
        <v>2346826</v>
      </c>
      <c r="B362" s="3" t="str">
        <f ca="1"/>
        <v>CZECH NEWS CENTER a. s.</v>
      </c>
      <c r="C362" s="3" t="str">
        <f ca="1">IFERROR(__xludf.DUMMYFUNCTION("""COMPUTED_VALUE"""),"CNC zpravodajský pack")</f>
        <v>CNC zpravodajský pack</v>
      </c>
      <c r="D362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2" s="3" t="str">
        <f ca="1">IFERROR(__xludf.DUMMYFUNCTION("""COMPUTED_VALUE"""),"celý web")</f>
        <v>celý web</v>
      </c>
      <c r="F362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2" s="3" t="str">
        <f ca="1">IFERROR(__xludf.DUMMYFUNCTION("""COMPUTED_VALUE"""),"cílený outstream high season")</f>
        <v>cílený outstream high season</v>
      </c>
      <c r="H362" s="3">
        <f ca="1">IFERROR(__xludf.DUMMYFUNCTION("""COMPUTED_VALUE"""),7)</f>
        <v>7</v>
      </c>
      <c r="I362" s="5">
        <f ca="1">IFERROR(__xludf.DUMMYFUNCTION("""COMPUTED_VALUE"""),1000)</f>
        <v>1000</v>
      </c>
      <c r="J362" s="5">
        <f ca="1">IFERROR(__xludf.DUMMYFUNCTION("""COMPUTED_VALUE"""),504)</f>
        <v>504</v>
      </c>
      <c r="K362" s="3"/>
      <c r="L362" s="3" t="str">
        <f ca="1">IFERROR(__xludf.DUMMYFUNCTION("""COMPUTED_VALUE"""),"Cost per period")</f>
        <v>Cost per period</v>
      </c>
      <c r="M362" s="3"/>
      <c r="N362" s="3"/>
      <c r="O362" s="3" t="str">
        <f ca="1">IFERROR(__xludf.DUMMYFUNCTION("""COMPUTED_VALUE"""),"1280")</f>
        <v>1280</v>
      </c>
      <c r="P362" s="3" t="str">
        <f ca="1">IFERROR(__xludf.DUMMYFUNCTION("""COMPUTED_VALUE"""),"720")</f>
        <v>720</v>
      </c>
      <c r="Q362" s="3" t="str">
        <f ca="1">IFERROR(__xludf.DUMMYFUNCTION("""COMPUTED_VALUE"""),"16:9")</f>
        <v>16:9</v>
      </c>
      <c r="R362" s="3"/>
      <c r="S362" s="3" t="str">
        <f ca="1">IFERROR(__xludf.DUMMYFUNCTION("""COMPUTED_VALUE"""),"100")</f>
        <v>100</v>
      </c>
      <c r="T362" s="3"/>
      <c r="U362" s="3" t="str">
        <f ca="1">IFERROR(__xludf.DUMMYFUNCTION("""COMPUTED_VALUE"""),"videospot")</f>
        <v>videospot</v>
      </c>
      <c r="V362" s="3"/>
      <c r="W362" s="4" t="str">
        <f ca="1">IFERROR(__xludf.DUMMYFUNCTION("""COMPUTED_VALUE"""),"https://reklama.cncenter.cz/Online/Outstream")</f>
        <v>https://reklama.cncenter.cz/Online/Outstream</v>
      </c>
      <c r="X362" s="3"/>
      <c r="Y362" s="3"/>
      <c r="Z362" s="3" t="str">
        <f ca="1">IFERROR(__xludf.DUMMYFUNCTION("""COMPUTED_VALUE"""),"podklady@cncenter.cz")</f>
        <v>podklady@cncenter.cz</v>
      </c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 t="str">
        <f ca="1">IFERROR(__xludf.DUMMYFUNCTION("""COMPUTED_VALUE"""),"cross-device")</f>
        <v>cross-device</v>
      </c>
      <c r="AO362" s="3"/>
      <c r="AP362" s="3"/>
      <c r="AQ362" s="3"/>
      <c r="AR362" s="3"/>
      <c r="AS362" s="3"/>
      <c r="AT362" s="3"/>
      <c r="AU362" s="3" t="str">
        <f ca="1">IFERROR(__xludf.DUMMYFUNCTION("""COMPUTED_VALUE"""),"cílený outstream")</f>
        <v>cílený outstream</v>
      </c>
    </row>
    <row r="363" spans="1:47" x14ac:dyDescent="0.3">
      <c r="A363" s="3">
        <f ca="1"/>
        <v>2346826</v>
      </c>
      <c r="B363" s="3" t="str">
        <f ca="1"/>
        <v>CZECH NEWS CENTER a. s.</v>
      </c>
      <c r="C363" s="3" t="str">
        <f ca="1">IFERROR(__xludf.DUMMYFUNCTION("""COMPUTED_VALUE"""),"CNC zpravodajský pack")</f>
        <v>CNC zpravodajský pack</v>
      </c>
      <c r="D363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3" s="3" t="str">
        <f ca="1">IFERROR(__xludf.DUMMYFUNCTION("""COMPUTED_VALUE"""),"celý web")</f>
        <v>celý web</v>
      </c>
      <c r="F363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3" s="3" t="str">
        <f ca="1">IFERROR(__xludf.DUMMYFUNCTION("""COMPUTED_VALUE"""),"cílený Smarticle high season")</f>
        <v>cílený Smarticle high season</v>
      </c>
      <c r="H363" s="3">
        <f ca="1">IFERROR(__xludf.DUMMYFUNCTION("""COMPUTED_VALUE"""),7)</f>
        <v>7</v>
      </c>
      <c r="I363" s="5">
        <f ca="1">IFERROR(__xludf.DUMMYFUNCTION("""COMPUTED_VALUE"""),1000)</f>
        <v>1000</v>
      </c>
      <c r="J363" s="5">
        <f ca="1">IFERROR(__xludf.DUMMYFUNCTION("""COMPUTED_VALUE"""),240)</f>
        <v>240</v>
      </c>
      <c r="K363" s="3"/>
      <c r="L363" s="3" t="str">
        <f ca="1">IFERROR(__xludf.DUMMYFUNCTION("""COMPUTED_VALUE"""),"Cost per period")</f>
        <v>Cost per period</v>
      </c>
      <c r="M363" s="3"/>
      <c r="N363" s="3" t="str">
        <f ca="1">IFERROR(__xludf.DUMMYFUNCTION("""COMPUTED_VALUE"""),"A4")</f>
        <v>A4</v>
      </c>
      <c r="O363" s="3"/>
      <c r="P363" s="3"/>
      <c r="Q363" s="3" t="str">
        <f ca="1">IFERROR(__xludf.DUMMYFUNCTION("""COMPUTED_VALUE"""),"viz. tech.specifikace; HP + sekce")</f>
        <v>viz. tech.specifikace; HP + sekce</v>
      </c>
      <c r="R363" s="3" t="str">
        <f ca="1">IFERROR(__xludf.DUMMYFUNCTION("""COMPUTED_VALUE"""),"HP + sekce")</f>
        <v>HP + sekce</v>
      </c>
      <c r="S363" s="3" t="str">
        <f ca="1">IFERROR(__xludf.DUMMYFUNCTION("""COMPUTED_VALUE"""),"100")</f>
        <v>100</v>
      </c>
      <c r="T363" s="3"/>
      <c r="U363" s="3" t="str">
        <f ca="1">IFERROR(__xludf.DUMMYFUNCTION("""COMPUTED_VALUE"""),"pr článek")</f>
        <v>pr článek</v>
      </c>
      <c r="V363" s="3"/>
      <c r="W363" s="4" t="str">
        <f ca="1">IFERROR(__xludf.DUMMYFUNCTION("""COMPUTED_VALUE"""),"https://reklama.cncenter.cz/Online/Smarticle")</f>
        <v>https://reklama.cncenter.cz/Online/Smarticle</v>
      </c>
      <c r="X363" s="3"/>
      <c r="Y363" s="3"/>
      <c r="Z363" s="3" t="str">
        <f ca="1">IFERROR(__xludf.DUMMYFUNCTION("""COMPUTED_VALUE"""),"podklady@cncenter.cz")</f>
        <v>podklady@cncenter.cz</v>
      </c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 t="str">
        <f ca="1">IFERROR(__xludf.DUMMYFUNCTION("""COMPUTED_VALUE"""),"cross-device")</f>
        <v>cross-device</v>
      </c>
      <c r="AO363" s="3"/>
      <c r="AP363" s="3"/>
      <c r="AQ363" s="3"/>
      <c r="AR363" s="3"/>
      <c r="AS363" s="3"/>
      <c r="AT363" s="3"/>
      <c r="AU363" s="3" t="str">
        <f ca="1">IFERROR(__xludf.DUMMYFUNCTION("""COMPUTED_VALUE"""),"cílený Smarticle")</f>
        <v>cílený Smarticle</v>
      </c>
    </row>
    <row r="364" spans="1:47" x14ac:dyDescent="0.3">
      <c r="A364" s="3">
        <f ca="1"/>
        <v>2346826</v>
      </c>
      <c r="B364" s="3" t="str">
        <f ca="1"/>
        <v>CZECH NEWS CENTER a. s.</v>
      </c>
      <c r="C364" s="3" t="str">
        <f ca="1">IFERROR(__xludf.DUMMYFUNCTION("""COMPUTED_VALUE"""),"CNC zpravodajský pack")</f>
        <v>CNC zpravodajský pack</v>
      </c>
      <c r="D364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4" s="3" t="str">
        <f ca="1">IFERROR(__xludf.DUMMYFUNCTION("""COMPUTED_VALUE"""),"celý web")</f>
        <v>celý web</v>
      </c>
      <c r="F364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4" s="3" t="str">
        <f ca="1">IFERROR(__xludf.DUMMYFUNCTION("""COMPUTED_VALUE"""),"cílený videospot - max. 30 sec. / bumper high season")</f>
        <v>cílený videospot - max. 30 sec. / bumper high season</v>
      </c>
      <c r="H364" s="3">
        <f ca="1">IFERROR(__xludf.DUMMYFUNCTION("""COMPUTED_VALUE"""),7)</f>
        <v>7</v>
      </c>
      <c r="I364" s="5">
        <f ca="1">IFERROR(__xludf.DUMMYFUNCTION("""COMPUTED_VALUE"""),1000)</f>
        <v>1000</v>
      </c>
      <c r="J364" s="5">
        <f ca="1">IFERROR(__xludf.DUMMYFUNCTION("""COMPUTED_VALUE"""),2040)</f>
        <v>2040</v>
      </c>
      <c r="K364" s="3"/>
      <c r="L364" s="3" t="str">
        <f ca="1">IFERROR(__xludf.DUMMYFUNCTION("""COMPUTED_VALUE"""),"Cost per period")</f>
        <v>Cost per period</v>
      </c>
      <c r="M364" s="3"/>
      <c r="N364" s="3"/>
      <c r="O364" s="3" t="str">
        <f ca="1">IFERROR(__xludf.DUMMYFUNCTION("""COMPUTED_VALUE"""),"1280")</f>
        <v>1280</v>
      </c>
      <c r="P364" s="3" t="str">
        <f ca="1">IFERROR(__xludf.DUMMYFUNCTION("""COMPUTED_VALUE"""),"720")</f>
        <v>720</v>
      </c>
      <c r="Q364" s="3" t="str">
        <f ca="1">IFERROR(__xludf.DUMMYFUNCTION("""COMPUTED_VALUE"""),"16:9 / umístění po domluvě dle možností")</f>
        <v>16:9 / umístění po domluvě dle možností</v>
      </c>
      <c r="R364" s="3" t="str">
        <f ca="1">IFERROR(__xludf.DUMMYFUNCTION("""COMPUTED_VALUE"""),"přeskočení po 7 sekundách")</f>
        <v>přeskočení po 7 sekundách</v>
      </c>
      <c r="S364" s="3" t="str">
        <f ca="1">IFERROR(__xludf.DUMMYFUNCTION("""COMPUTED_VALUE"""),"100")</f>
        <v>100</v>
      </c>
      <c r="T364" s="3"/>
      <c r="U364" s="3" t="str">
        <f ca="1">IFERROR(__xludf.DUMMYFUNCTION("""COMPUTED_VALUE"""),"videospot")</f>
        <v>videospot</v>
      </c>
      <c r="V364" s="3"/>
      <c r="W364" s="4" t="str">
        <f ca="1">IFERROR(__xludf.DUMMYFUNCTION("""COMPUTED_VALUE"""),"https://reklama.cncenter.cz/Online/Bumper")</f>
        <v>https://reklama.cncenter.cz/Online/Bumper</v>
      </c>
      <c r="X364" s="3"/>
      <c r="Y364" s="3"/>
      <c r="Z364" s="3" t="str">
        <f ca="1">IFERROR(__xludf.DUMMYFUNCTION("""COMPUTED_VALUE"""),"podklady@cncenter.cz")</f>
        <v>podklady@cncenter.cz</v>
      </c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 t="str">
        <f ca="1">IFERROR(__xludf.DUMMYFUNCTION("""COMPUTED_VALUE"""),"cross-device")</f>
        <v>cross-device</v>
      </c>
      <c r="AO364" s="3"/>
      <c r="AP364" s="3"/>
      <c r="AQ364" s="3"/>
      <c r="AR364" s="3"/>
      <c r="AS364" s="3"/>
      <c r="AT364" s="3"/>
      <c r="AU364" s="3" t="str">
        <f ca="1">IFERROR(__xludf.DUMMYFUNCTION("""COMPUTED_VALUE"""),"cílený videospot - max. 30 sec. / bumper")</f>
        <v>cílený videospot - max. 30 sec. / bumper</v>
      </c>
    </row>
    <row r="365" spans="1:47" x14ac:dyDescent="0.3">
      <c r="A365" s="3">
        <f ca="1"/>
        <v>2346826</v>
      </c>
      <c r="B365" s="3" t="str">
        <f ca="1"/>
        <v>CZECH NEWS CENTER a. s.</v>
      </c>
      <c r="C365" s="3" t="str">
        <f ca="1">IFERROR(__xludf.DUMMYFUNCTION("""COMPUTED_VALUE"""),"CNC zpravodajský pack")</f>
        <v>CNC zpravodajský pack</v>
      </c>
      <c r="D365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5" s="3" t="str">
        <f ca="1">IFERROR(__xludf.DUMMYFUNCTION("""COMPUTED_VALUE"""),"celý web")</f>
        <v>celý web</v>
      </c>
      <c r="F365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5" s="3" t="str">
        <f ca="1">IFERROR(__xludf.DUMMYFUNCTION("""COMPUTED_VALUE"""),"double skyscraper high season")</f>
        <v>double skyscraper high season</v>
      </c>
      <c r="H365" s="3">
        <f ca="1">IFERROR(__xludf.DUMMYFUNCTION("""COMPUTED_VALUE"""),7)</f>
        <v>7</v>
      </c>
      <c r="I365" s="5">
        <f ca="1">IFERROR(__xludf.DUMMYFUNCTION("""COMPUTED_VALUE"""),1000)</f>
        <v>1000</v>
      </c>
      <c r="J365" s="5">
        <f ca="1">IFERROR(__xludf.DUMMYFUNCTION("""COMPUTED_VALUE"""),310)</f>
        <v>310</v>
      </c>
      <c r="K365" s="3"/>
      <c r="L365" s="3" t="str">
        <f ca="1">IFERROR(__xludf.DUMMYFUNCTION("""COMPUTED_VALUE"""),"Cost per period")</f>
        <v>Cost per period</v>
      </c>
      <c r="M365" s="3"/>
      <c r="N365" s="3"/>
      <c r="O365" s="3" t="str">
        <f ca="1">IFERROR(__xludf.DUMMYFUNCTION("""COMPUTED_VALUE"""),"300")</f>
        <v>300</v>
      </c>
      <c r="P365" s="3" t="str">
        <f ca="1">IFERROR(__xludf.DUMMYFUNCTION("""COMPUTED_VALUE"""),"600")</f>
        <v>600</v>
      </c>
      <c r="Q365" s="3" t="str">
        <f ca="1">IFERROR(__xludf.DUMMYFUNCTION("""COMPUTED_VALUE"""),"300x600")</f>
        <v>300x600</v>
      </c>
      <c r="R365" s="3"/>
      <c r="S365" s="3" t="str">
        <f ca="1">IFERROR(__xludf.DUMMYFUNCTION("""COMPUTED_VALUE"""),"100 (200 - HTML5)")</f>
        <v>100 (200 - HTML5)</v>
      </c>
      <c r="T365" s="3"/>
      <c r="U365" s="3" t="str">
        <f ca="1">IFERROR(__xludf.DUMMYFUNCTION("""COMPUTED_VALUE"""),"banner standard")</f>
        <v>banner standard</v>
      </c>
      <c r="V365" s="3"/>
      <c r="W365" s="4" t="str">
        <f ca="1">IFERROR(__xludf.DUMMYFUNCTION("""COMPUTED_VALUE"""),"https://reklama.cncenter.cz/Online/double-skyscraper")</f>
        <v>https://reklama.cncenter.cz/Online/double-skyscraper</v>
      </c>
      <c r="X365" s="3"/>
      <c r="Y365" s="3"/>
      <c r="Z365" s="3" t="str">
        <f ca="1">IFERROR(__xludf.DUMMYFUNCTION("""COMPUTED_VALUE"""),"podklady@cncenter.cz")</f>
        <v>podklady@cncenter.cz</v>
      </c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 t="str">
        <f ca="1">IFERROR(__xludf.DUMMYFUNCTION("""COMPUTED_VALUE"""),"desktop")</f>
        <v>desktop</v>
      </c>
      <c r="AO365" s="3"/>
      <c r="AP365" s="3"/>
      <c r="AQ365" s="3"/>
      <c r="AR365" s="3"/>
      <c r="AS365" s="3"/>
      <c r="AT365" s="3"/>
      <c r="AU365" s="3" t="str">
        <f ca="1">IFERROR(__xludf.DUMMYFUNCTION("""COMPUTED_VALUE"""),"double skyscraper")</f>
        <v>double skyscraper</v>
      </c>
    </row>
    <row r="366" spans="1:47" x14ac:dyDescent="0.3">
      <c r="A366" s="3">
        <f ca="1"/>
        <v>2346826</v>
      </c>
      <c r="B366" s="3" t="str">
        <f ca="1"/>
        <v>CZECH NEWS CENTER a. s.</v>
      </c>
      <c r="C366" s="3" t="str">
        <f ca="1">IFERROR(__xludf.DUMMYFUNCTION("""COMPUTED_VALUE"""),"CNC zpravodajský pack")</f>
        <v>CNC zpravodajský pack</v>
      </c>
      <c r="D366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6" s="3" t="str">
        <f ca="1">IFERROR(__xludf.DUMMYFUNCTION("""COMPUTED_VALUE"""),"celý web")</f>
        <v>celý web</v>
      </c>
      <c r="F366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6" s="3" t="str">
        <f ca="1">IFERROR(__xludf.DUMMYFUNCTION("""COMPUTED_VALUE"""),"mini videospot - max. 30 sec. high season")</f>
        <v>mini videospot - max. 30 sec. high season</v>
      </c>
      <c r="H366" s="3">
        <f ca="1">IFERROR(__xludf.DUMMYFUNCTION("""COMPUTED_VALUE"""),7)</f>
        <v>7</v>
      </c>
      <c r="I366" s="5">
        <f ca="1">IFERROR(__xludf.DUMMYFUNCTION("""COMPUTED_VALUE"""),1000)</f>
        <v>1000</v>
      </c>
      <c r="J366" s="5">
        <f ca="1">IFERROR(__xludf.DUMMYFUNCTION("""COMPUTED_VALUE"""),330)</f>
        <v>330</v>
      </c>
      <c r="K366" s="3"/>
      <c r="L366" s="3" t="str">
        <f ca="1">IFERROR(__xludf.DUMMYFUNCTION("""COMPUTED_VALUE"""),"Cost per period")</f>
        <v>Cost per period</v>
      </c>
      <c r="M366" s="3"/>
      <c r="N366" s="3"/>
      <c r="O366" s="3"/>
      <c r="P366" s="3"/>
      <c r="Q366" s="3" t="str">
        <f ca="1">IFERROR(__xludf.DUMMYFUNCTION("""COMPUTED_VALUE"""),"16:9 / umístění po domluvě dle možností")</f>
        <v>16:9 / umístění po domluvě dle možností</v>
      </c>
      <c r="R366" s="3" t="str">
        <f ca="1">IFERROR(__xludf.DUMMYFUNCTION("""COMPUTED_VALUE"""),"přeskočení po 7 sekundách")</f>
        <v>přeskočení po 7 sekundách</v>
      </c>
      <c r="S366" s="3" t="str">
        <f ca="1">IFERROR(__xludf.DUMMYFUNCTION("""COMPUTED_VALUE"""),"100")</f>
        <v>100</v>
      </c>
      <c r="T366" s="3"/>
      <c r="U366" s="3" t="str">
        <f ca="1">IFERROR(__xludf.DUMMYFUNCTION("""COMPUTED_VALUE"""),"videospot")</f>
        <v>videospot</v>
      </c>
      <c r="V366" s="3"/>
      <c r="W366" s="4" t="str">
        <f ca="1">IFERROR(__xludf.DUMMYFUNCTION("""COMPUTED_VALUE"""),"https://reklama.cncenter.cz/Online/Videospot")</f>
        <v>https://reklama.cncenter.cz/Online/Videospot</v>
      </c>
      <c r="X366" s="3"/>
      <c r="Y366" s="3"/>
      <c r="Z366" s="3" t="str">
        <f ca="1">IFERROR(__xludf.DUMMYFUNCTION("""COMPUTED_VALUE"""),"podklady@cncenter.cz")</f>
        <v>podklady@cncenter.cz</v>
      </c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 t="str">
        <f ca="1">IFERROR(__xludf.DUMMYFUNCTION("""COMPUTED_VALUE"""),"desktop")</f>
        <v>desktop</v>
      </c>
      <c r="AO366" s="3"/>
      <c r="AP366" s="3"/>
      <c r="AQ366" s="3"/>
      <c r="AR366" s="3"/>
      <c r="AS366" s="3"/>
      <c r="AT366" s="3"/>
      <c r="AU366" s="3" t="str">
        <f ca="1">IFERROR(__xludf.DUMMYFUNCTION("""COMPUTED_VALUE"""),"mini videospot - max. 30 sec.")</f>
        <v>mini videospot - max. 30 sec.</v>
      </c>
    </row>
    <row r="367" spans="1:47" x14ac:dyDescent="0.3">
      <c r="A367" s="3">
        <f ca="1"/>
        <v>2346826</v>
      </c>
      <c r="B367" s="3" t="str">
        <f ca="1"/>
        <v>CZECH NEWS CENTER a. s.</v>
      </c>
      <c r="C367" s="3" t="str">
        <f ca="1">IFERROR(__xludf.DUMMYFUNCTION("""COMPUTED_VALUE"""),"CNC zpravodajský pack")</f>
        <v>CNC zpravodajský pack</v>
      </c>
      <c r="D367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7" s="3" t="str">
        <f ca="1">IFERROR(__xludf.DUMMYFUNCTION("""COMPUTED_VALUE"""),"celý web")</f>
        <v>celý web</v>
      </c>
      <c r="F367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7" s="3" t="str">
        <f ca="1">IFERROR(__xludf.DUMMYFUNCTION("""COMPUTED_VALUE"""),"mobilní interscroller high season")</f>
        <v>mobilní interscroller high season</v>
      </c>
      <c r="H367" s="3">
        <f ca="1">IFERROR(__xludf.DUMMYFUNCTION("""COMPUTED_VALUE"""),7)</f>
        <v>7</v>
      </c>
      <c r="I367" s="5">
        <f ca="1">IFERROR(__xludf.DUMMYFUNCTION("""COMPUTED_VALUE"""),1000)</f>
        <v>1000</v>
      </c>
      <c r="J367" s="5">
        <f ca="1">IFERROR(__xludf.DUMMYFUNCTION("""COMPUTED_VALUE"""),360)</f>
        <v>360</v>
      </c>
      <c r="K367" s="3"/>
      <c r="L367" s="3" t="str">
        <f ca="1">IFERROR(__xludf.DUMMYFUNCTION("""COMPUTED_VALUE"""),"Cost per period")</f>
        <v>Cost per period</v>
      </c>
      <c r="M367" s="3"/>
      <c r="N367" s="3"/>
      <c r="O367" s="3" t="str">
        <f ca="1">IFERROR(__xludf.DUMMYFUNCTION("""COMPUTED_VALUE"""),"600")</f>
        <v>600</v>
      </c>
      <c r="P367" s="3" t="str">
        <f ca="1">IFERROR(__xludf.DUMMYFUNCTION("""COMPUTED_VALUE"""),"1080")</f>
        <v>1080</v>
      </c>
      <c r="Q367" s="3" t="str">
        <f ca="1">IFERROR(__xludf.DUMMYFUNCTION("""COMPUTED_VALUE"""),"600x1080")</f>
        <v>600x1080</v>
      </c>
      <c r="R367" s="3"/>
      <c r="S367" s="3" t="str">
        <f ca="1">IFERROR(__xludf.DUMMYFUNCTION("""COMPUTED_VALUE"""),"200")</f>
        <v>200</v>
      </c>
      <c r="T367" s="3"/>
      <c r="U367" s="3" t="str">
        <f ca="1">IFERROR(__xludf.DUMMYFUNCTION("""COMPUTED_VALUE"""),"banner standard")</f>
        <v>banner standard</v>
      </c>
      <c r="V367" s="3"/>
      <c r="W367" s="4" t="str">
        <f ca="1">IFERROR(__xludf.DUMMYFUNCTION("""COMPUTED_VALUE"""),"https://reklama.cncenter.cz/Online/mobilni-interscroller")</f>
        <v>https://reklama.cncenter.cz/Online/mobilni-interscroller</v>
      </c>
      <c r="X367" s="3"/>
      <c r="Y367" s="3"/>
      <c r="Z367" s="3" t="str">
        <f ca="1">IFERROR(__xludf.DUMMYFUNCTION("""COMPUTED_VALUE"""),"podklady@cncenter.cz")</f>
        <v>podklady@cncenter.cz</v>
      </c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 t="str">
        <f ca="1">IFERROR(__xludf.DUMMYFUNCTION("""COMPUTED_VALUE"""),"mobile")</f>
        <v>mobile</v>
      </c>
      <c r="AO367" s="3"/>
      <c r="AP367" s="3"/>
      <c r="AQ367" s="3"/>
      <c r="AR367" s="3"/>
      <c r="AS367" s="3"/>
      <c r="AT367" s="3"/>
      <c r="AU367" s="3" t="str">
        <f ca="1">IFERROR(__xludf.DUMMYFUNCTION("""COMPUTED_VALUE"""),"mobilní interscroller")</f>
        <v>mobilní interscroller</v>
      </c>
    </row>
    <row r="368" spans="1:47" x14ac:dyDescent="0.3">
      <c r="A368" s="3">
        <f ca="1"/>
        <v>2346826</v>
      </c>
      <c r="B368" s="3" t="str">
        <f ca="1"/>
        <v>CZECH NEWS CENTER a. s.</v>
      </c>
      <c r="C368" s="3" t="str">
        <f ca="1">IFERROR(__xludf.DUMMYFUNCTION("""COMPUTED_VALUE"""),"CNC zpravodajský pack")</f>
        <v>CNC zpravodajský pack</v>
      </c>
      <c r="D368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8" s="3" t="str">
        <f ca="1">IFERROR(__xludf.DUMMYFUNCTION("""COMPUTED_VALUE"""),"celý web")</f>
        <v>celý web</v>
      </c>
      <c r="F368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8" s="3" t="str">
        <f ca="1">IFERROR(__xludf.DUMMYFUNCTION("""COMPUTED_VALUE"""),"mobilní slide-up high season")</f>
        <v>mobilní slide-up high season</v>
      </c>
      <c r="H368" s="3">
        <f ca="1">IFERROR(__xludf.DUMMYFUNCTION("""COMPUTED_VALUE"""),7)</f>
        <v>7</v>
      </c>
      <c r="I368" s="5">
        <f ca="1">IFERROR(__xludf.DUMMYFUNCTION("""COMPUTED_VALUE"""),1000)</f>
        <v>1000</v>
      </c>
      <c r="J368" s="5">
        <f ca="1">IFERROR(__xludf.DUMMYFUNCTION("""COMPUTED_VALUE"""),760)</f>
        <v>760</v>
      </c>
      <c r="K368" s="3"/>
      <c r="L368" s="3" t="str">
        <f ca="1">IFERROR(__xludf.DUMMYFUNCTION("""COMPUTED_VALUE"""),"Cost per period")</f>
        <v>Cost per period</v>
      </c>
      <c r="M368" s="3"/>
      <c r="N368" s="3"/>
      <c r="O368" s="3" t="str">
        <f ca="1">IFERROR(__xludf.DUMMYFUNCTION("""COMPUTED_VALUE"""),"300")</f>
        <v>300</v>
      </c>
      <c r="P368" s="3" t="str">
        <f ca="1">IFERROR(__xludf.DUMMYFUNCTION("""COMPUTED_VALUE"""),"120")</f>
        <v>120</v>
      </c>
      <c r="Q368" s="3" t="str">
        <f ca="1">IFERROR(__xludf.DUMMYFUNCTION("""COMPUTED_VALUE"""),"300x120")</f>
        <v>300x120</v>
      </c>
      <c r="R368" s="3"/>
      <c r="S368" s="3" t="str">
        <f ca="1">IFERROR(__xludf.DUMMYFUNCTION("""COMPUTED_VALUE"""),"100")</f>
        <v>100</v>
      </c>
      <c r="T368" s="3"/>
      <c r="U368" s="3" t="str">
        <f ca="1">IFERROR(__xludf.DUMMYFUNCTION("""COMPUTED_VALUE"""),"banner standard")</f>
        <v>banner standard</v>
      </c>
      <c r="V368" s="3"/>
      <c r="W368" s="4" t="str">
        <f ca="1">IFERROR(__xludf.DUMMYFUNCTION("""COMPUTED_VALUE"""),"https://reklama.cncenter.cz/Online/mobilni-slide-up")</f>
        <v>https://reklama.cncenter.cz/Online/mobilni-slide-up</v>
      </c>
      <c r="X368" s="3"/>
      <c r="Y368" s="3"/>
      <c r="Z368" s="3" t="str">
        <f ca="1">IFERROR(__xludf.DUMMYFUNCTION("""COMPUTED_VALUE"""),"podklady@cncenter.cz")</f>
        <v>podklady@cncenter.cz</v>
      </c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 t="str">
        <f ca="1">IFERROR(__xludf.DUMMYFUNCTION("""COMPUTED_VALUE"""),"mobile")</f>
        <v>mobile</v>
      </c>
      <c r="AO368" s="3"/>
      <c r="AP368" s="3"/>
      <c r="AQ368" s="3"/>
      <c r="AR368" s="3"/>
      <c r="AS368" s="3"/>
      <c r="AT368" s="3"/>
      <c r="AU368" s="3" t="str">
        <f ca="1">IFERROR(__xludf.DUMMYFUNCTION("""COMPUTED_VALUE"""),"mobilní slide-up")</f>
        <v>mobilní slide-up</v>
      </c>
    </row>
    <row r="369" spans="1:47" x14ac:dyDescent="0.3">
      <c r="A369" s="3">
        <f ca="1"/>
        <v>2346826</v>
      </c>
      <c r="B369" s="3" t="str">
        <f ca="1"/>
        <v>CZECH NEWS CENTER a. s.</v>
      </c>
      <c r="C369" s="3" t="str">
        <f ca="1">IFERROR(__xludf.DUMMYFUNCTION("""COMPUTED_VALUE"""),"CNC zpravodajský pack")</f>
        <v>CNC zpravodajský pack</v>
      </c>
      <c r="D369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69" s="3" t="str">
        <f ca="1">IFERROR(__xludf.DUMMYFUNCTION("""COMPUTED_VALUE"""),"celý web")</f>
        <v>celý web</v>
      </c>
      <c r="F369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69" s="3" t="str">
        <f ca="1">IFERROR(__xludf.DUMMYFUNCTION("""COMPUTED_VALUE"""),"mobilní viněta high season")</f>
        <v>mobilní viněta high season</v>
      </c>
      <c r="H369" s="3">
        <f ca="1">IFERROR(__xludf.DUMMYFUNCTION("""COMPUTED_VALUE"""),7)</f>
        <v>7</v>
      </c>
      <c r="I369" s="5">
        <f ca="1">IFERROR(__xludf.DUMMYFUNCTION("""COMPUTED_VALUE"""),1000)</f>
        <v>1000</v>
      </c>
      <c r="J369" s="5">
        <f ca="1">IFERROR(__xludf.DUMMYFUNCTION("""COMPUTED_VALUE"""),1160)</f>
        <v>1160</v>
      </c>
      <c r="K369" s="3"/>
      <c r="L369" s="3" t="str">
        <f ca="1">IFERROR(__xludf.DUMMYFUNCTION("""COMPUTED_VALUE"""),"Cost per period")</f>
        <v>Cost per period</v>
      </c>
      <c r="M369" s="3"/>
      <c r="N369" s="3"/>
      <c r="O369" s="3" t="str">
        <f ca="1">IFERROR(__xludf.DUMMYFUNCTION("""COMPUTED_VALUE"""),"600")</f>
        <v>600</v>
      </c>
      <c r="P369" s="3" t="str">
        <f ca="1">IFERROR(__xludf.DUMMYFUNCTION("""COMPUTED_VALUE"""),"800")</f>
        <v>800</v>
      </c>
      <c r="Q369" s="3" t="str">
        <f ca="1">IFERROR(__xludf.DUMMYFUNCTION("""COMPUTED_VALUE"""),"300x250 nebo 600x800")</f>
        <v>300x250 nebo 600x800</v>
      </c>
      <c r="R369" s="3"/>
      <c r="S369" s="3" t="str">
        <f ca="1">IFERROR(__xludf.DUMMYFUNCTION("""COMPUTED_VALUE"""),"100")</f>
        <v>100</v>
      </c>
      <c r="T369" s="3"/>
      <c r="U369" s="3" t="str">
        <f ca="1">IFERROR(__xludf.DUMMYFUNCTION("""COMPUTED_VALUE"""),"banner standard")</f>
        <v>banner standard</v>
      </c>
      <c r="V369" s="3"/>
      <c r="W369" s="4" t="str">
        <f ca="1">IFERROR(__xludf.DUMMYFUNCTION("""COMPUTED_VALUE"""),"https://reklama.cncenter.cz/Online/mobilni-vineta")</f>
        <v>https://reklama.cncenter.cz/Online/mobilni-vineta</v>
      </c>
      <c r="X369" s="3"/>
      <c r="Y369" s="3"/>
      <c r="Z369" s="3" t="str">
        <f ca="1">IFERROR(__xludf.DUMMYFUNCTION("""COMPUTED_VALUE"""),"podklady@cncenter.cz")</f>
        <v>podklady@cncenter.cz</v>
      </c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 t="str">
        <f ca="1">IFERROR(__xludf.DUMMYFUNCTION("""COMPUTED_VALUE"""),"mobile")</f>
        <v>mobile</v>
      </c>
      <c r="AO369" s="3"/>
      <c r="AP369" s="3"/>
      <c r="AQ369" s="3"/>
      <c r="AR369" s="3"/>
      <c r="AS369" s="3"/>
      <c r="AT369" s="3"/>
      <c r="AU369" s="3" t="str">
        <f ca="1">IFERROR(__xludf.DUMMYFUNCTION("""COMPUTED_VALUE"""),"mobilní viněta")</f>
        <v>mobilní viněta</v>
      </c>
    </row>
    <row r="370" spans="1:47" x14ac:dyDescent="0.3">
      <c r="A370" s="3">
        <f ca="1"/>
        <v>2346826</v>
      </c>
      <c r="B370" s="3" t="str">
        <f ca="1"/>
        <v>CZECH NEWS CENTER a. s.</v>
      </c>
      <c r="C370" s="3" t="str">
        <f ca="1">IFERROR(__xludf.DUMMYFUNCTION("""COMPUTED_VALUE"""),"CNC zpravodajský pack")</f>
        <v>CNC zpravodajský pack</v>
      </c>
      <c r="D370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70" s="3" t="str">
        <f ca="1">IFERROR(__xludf.DUMMYFUNCTION("""COMPUTED_VALUE"""),"celý web")</f>
        <v>celý web</v>
      </c>
      <c r="F370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70" s="3" t="str">
        <f ca="1">IFERROR(__xludf.DUMMYFUNCTION("""COMPUTED_VALUE"""),"nativní rectangle cross-device high season")</f>
        <v>nativní rectangle cross-device high season</v>
      </c>
      <c r="H370" s="3">
        <f ca="1">IFERROR(__xludf.DUMMYFUNCTION("""COMPUTED_VALUE"""),7)</f>
        <v>7</v>
      </c>
      <c r="I370" s="5">
        <f ca="1">IFERROR(__xludf.DUMMYFUNCTION("""COMPUTED_VALUE"""),1000)</f>
        <v>1000</v>
      </c>
      <c r="J370" s="5">
        <f ca="1">IFERROR(__xludf.DUMMYFUNCTION("""COMPUTED_VALUE"""),310)</f>
        <v>310</v>
      </c>
      <c r="K370" s="3"/>
      <c r="L370" s="3" t="str">
        <f ca="1">IFERROR(__xludf.DUMMYFUNCTION("""COMPUTED_VALUE"""),"Cost per period")</f>
        <v>Cost per period</v>
      </c>
      <c r="M370" s="3"/>
      <c r="N370" s="3"/>
      <c r="O370" s="3" t="str">
        <f ca="1">IFERROR(__xludf.DUMMYFUNCTION("""COMPUTED_VALUE"""),"640")</f>
        <v>640</v>
      </c>
      <c r="P370" s="3" t="str">
        <f ca="1">IFERROR(__xludf.DUMMYFUNCTION("""COMPUTED_VALUE"""),"335, 640")</f>
        <v>335, 640</v>
      </c>
      <c r="Q370" s="3" t="str">
        <f ca="1">IFERROR(__xludf.DUMMYFUNCTION("""COMPUTED_VALUE"""),"640x640 a 640x335 + text + logo")</f>
        <v>640x640 a 640x335 + text + logo</v>
      </c>
      <c r="R370" s="3"/>
      <c r="S370" s="3" t="str">
        <f ca="1">IFERROR(__xludf.DUMMYFUNCTION("""COMPUTED_VALUE"""),"45")</f>
        <v>45</v>
      </c>
      <c r="T370" s="3"/>
      <c r="U370" s="3" t="str">
        <f ca="1">IFERROR(__xludf.DUMMYFUNCTION("""COMPUTED_VALUE"""),"nativní reklama")</f>
        <v>nativní reklama</v>
      </c>
      <c r="V370" s="3"/>
      <c r="W370" s="4" t="str">
        <f ca="1">IFERROR(__xludf.DUMMYFUNCTION("""COMPUTED_VALUE"""),"https://reklama.cncenter.cz/Online/nativni-rectangle-cross-device")</f>
        <v>https://reklama.cncenter.cz/Online/nativni-rectangle-cross-device</v>
      </c>
      <c r="X370" s="3"/>
      <c r="Y370" s="3"/>
      <c r="Z370" s="3" t="str">
        <f ca="1">IFERROR(__xludf.DUMMYFUNCTION("""COMPUTED_VALUE"""),"podklady@cncenter.cz")</f>
        <v>podklady@cncenter.cz</v>
      </c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 t="str">
        <f ca="1">IFERROR(__xludf.DUMMYFUNCTION("""COMPUTED_VALUE"""),"cross-device")</f>
        <v>cross-device</v>
      </c>
      <c r="AO370" s="3"/>
      <c r="AP370" s="3"/>
      <c r="AQ370" s="3"/>
      <c r="AR370" s="3"/>
      <c r="AS370" s="3"/>
      <c r="AT370" s="3"/>
      <c r="AU370" s="3" t="str">
        <f ca="1">IFERROR(__xludf.DUMMYFUNCTION("""COMPUTED_VALUE"""),"nativní rectangle cross-device")</f>
        <v>nativní rectangle cross-device</v>
      </c>
    </row>
    <row r="371" spans="1:47" x14ac:dyDescent="0.3">
      <c r="A371" s="3">
        <f ca="1"/>
        <v>2346826</v>
      </c>
      <c r="B371" s="3" t="str">
        <f ca="1"/>
        <v>CZECH NEWS CENTER a. s.</v>
      </c>
      <c r="C371" s="3" t="str">
        <f ca="1">IFERROR(__xludf.DUMMYFUNCTION("""COMPUTED_VALUE"""),"CNC zpravodajský pack")</f>
        <v>CNC zpravodajský pack</v>
      </c>
      <c r="D371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71" s="3" t="str">
        <f ca="1">IFERROR(__xludf.DUMMYFUNCTION("""COMPUTED_VALUE"""),"celý web")</f>
        <v>celý web</v>
      </c>
      <c r="F371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71" s="3" t="str">
        <f ca="1">IFERROR(__xludf.DUMMYFUNCTION("""COMPUTED_VALUE"""),"outstream high season")</f>
        <v>outstream high season</v>
      </c>
      <c r="H371" s="3">
        <f ca="1">IFERROR(__xludf.DUMMYFUNCTION("""COMPUTED_VALUE"""),7)</f>
        <v>7</v>
      </c>
      <c r="I371" s="5">
        <f ca="1">IFERROR(__xludf.DUMMYFUNCTION("""COMPUTED_VALUE"""),1000)</f>
        <v>1000</v>
      </c>
      <c r="J371" s="5">
        <f ca="1">IFERROR(__xludf.DUMMYFUNCTION("""COMPUTED_VALUE"""),420)</f>
        <v>420</v>
      </c>
      <c r="K371" s="3"/>
      <c r="L371" s="3" t="str">
        <f ca="1">IFERROR(__xludf.DUMMYFUNCTION("""COMPUTED_VALUE"""),"Cost per period")</f>
        <v>Cost per period</v>
      </c>
      <c r="M371" s="3"/>
      <c r="N371" s="3"/>
      <c r="O371" s="3" t="str">
        <f ca="1">IFERROR(__xludf.DUMMYFUNCTION("""COMPUTED_VALUE"""),"1280")</f>
        <v>1280</v>
      </c>
      <c r="P371" s="3" t="str">
        <f ca="1">IFERROR(__xludf.DUMMYFUNCTION("""COMPUTED_VALUE"""),"720")</f>
        <v>720</v>
      </c>
      <c r="Q371" s="3" t="str">
        <f ca="1">IFERROR(__xludf.DUMMYFUNCTION("""COMPUTED_VALUE"""),"16:9")</f>
        <v>16:9</v>
      </c>
      <c r="R371" s="3"/>
      <c r="S371" s="3" t="str">
        <f ca="1">IFERROR(__xludf.DUMMYFUNCTION("""COMPUTED_VALUE"""),"100")</f>
        <v>100</v>
      </c>
      <c r="T371" s="3"/>
      <c r="U371" s="3" t="str">
        <f ca="1">IFERROR(__xludf.DUMMYFUNCTION("""COMPUTED_VALUE"""),"videospot")</f>
        <v>videospot</v>
      </c>
      <c r="V371" s="3"/>
      <c r="W371" s="4" t="str">
        <f ca="1">IFERROR(__xludf.DUMMYFUNCTION("""COMPUTED_VALUE"""),"https://reklama.cncenter.cz/Online/Outstream")</f>
        <v>https://reklama.cncenter.cz/Online/Outstream</v>
      </c>
      <c r="X371" s="3"/>
      <c r="Y371" s="3"/>
      <c r="Z371" s="3" t="str">
        <f ca="1">IFERROR(__xludf.DUMMYFUNCTION("""COMPUTED_VALUE"""),"podklady@cncenter.cz")</f>
        <v>podklady@cncenter.cz</v>
      </c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 t="str">
        <f ca="1">IFERROR(__xludf.DUMMYFUNCTION("""COMPUTED_VALUE"""),"cross-device")</f>
        <v>cross-device</v>
      </c>
      <c r="AO371" s="3"/>
      <c r="AP371" s="3"/>
      <c r="AQ371" s="3"/>
      <c r="AR371" s="3"/>
      <c r="AS371" s="3"/>
      <c r="AT371" s="3"/>
      <c r="AU371" s="3" t="str">
        <f ca="1">IFERROR(__xludf.DUMMYFUNCTION("""COMPUTED_VALUE"""),"outstream")</f>
        <v>outstream</v>
      </c>
    </row>
    <row r="372" spans="1:47" x14ac:dyDescent="0.3">
      <c r="A372" s="3">
        <f ca="1"/>
        <v>2346826</v>
      </c>
      <c r="B372" s="3" t="str">
        <f ca="1"/>
        <v>CZECH NEWS CENTER a. s.</v>
      </c>
      <c r="C372" s="3" t="str">
        <f ca="1">IFERROR(__xludf.DUMMYFUNCTION("""COMPUTED_VALUE"""),"CNC zpravodajský pack")</f>
        <v>CNC zpravodajský pack</v>
      </c>
      <c r="D372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72" s="3" t="str">
        <f ca="1">IFERROR(__xludf.DUMMYFUNCTION("""COMPUTED_VALUE"""),"celý web")</f>
        <v>celý web</v>
      </c>
      <c r="F372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72" s="3" t="str">
        <f ca="1">IFERROR(__xludf.DUMMYFUNCTION("""COMPUTED_VALUE"""),"Smarticle high season")</f>
        <v>Smarticle high season</v>
      </c>
      <c r="H372" s="3">
        <f ca="1">IFERROR(__xludf.DUMMYFUNCTION("""COMPUTED_VALUE"""),7)</f>
        <v>7</v>
      </c>
      <c r="I372" s="5">
        <f ca="1">IFERROR(__xludf.DUMMYFUNCTION("""COMPUTED_VALUE"""),1000)</f>
        <v>1000</v>
      </c>
      <c r="J372" s="5">
        <f ca="1">IFERROR(__xludf.DUMMYFUNCTION("""COMPUTED_VALUE"""),200)</f>
        <v>200</v>
      </c>
      <c r="K372" s="3"/>
      <c r="L372" s="3" t="str">
        <f ca="1">IFERROR(__xludf.DUMMYFUNCTION("""COMPUTED_VALUE"""),"Cost per period")</f>
        <v>Cost per period</v>
      </c>
      <c r="M372" s="3"/>
      <c r="N372" s="3" t="str">
        <f ca="1">IFERROR(__xludf.DUMMYFUNCTION("""COMPUTED_VALUE"""),"A4")</f>
        <v>A4</v>
      </c>
      <c r="O372" s="3"/>
      <c r="P372" s="3"/>
      <c r="Q372" s="3" t="str">
        <f ca="1">IFERROR(__xludf.DUMMYFUNCTION("""COMPUTED_VALUE"""),"viz. tech.specifikace; HP + sekce")</f>
        <v>viz. tech.specifikace; HP + sekce</v>
      </c>
      <c r="R372" s="3" t="str">
        <f ca="1">IFERROR(__xludf.DUMMYFUNCTION("""COMPUTED_VALUE"""),"HP + sekce")</f>
        <v>HP + sekce</v>
      </c>
      <c r="S372" s="3" t="str">
        <f ca="1">IFERROR(__xludf.DUMMYFUNCTION("""COMPUTED_VALUE"""),"100")</f>
        <v>100</v>
      </c>
      <c r="T372" s="3"/>
      <c r="U372" s="3" t="str">
        <f ca="1">IFERROR(__xludf.DUMMYFUNCTION("""COMPUTED_VALUE"""),"pr článek")</f>
        <v>pr článek</v>
      </c>
      <c r="V372" s="3"/>
      <c r="W372" s="4" t="str">
        <f ca="1">IFERROR(__xludf.DUMMYFUNCTION("""COMPUTED_VALUE"""),"https://reklama.cncenter.cz/Online/Smarticle")</f>
        <v>https://reklama.cncenter.cz/Online/Smarticle</v>
      </c>
      <c r="X372" s="3"/>
      <c r="Y372" s="3"/>
      <c r="Z372" s="3" t="str">
        <f ca="1">IFERROR(__xludf.DUMMYFUNCTION("""COMPUTED_VALUE"""),"podklady@cncenter.cz")</f>
        <v>podklady@cncenter.cz</v>
      </c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 t="str">
        <f ca="1">IFERROR(__xludf.DUMMYFUNCTION("""COMPUTED_VALUE"""),"cross-device")</f>
        <v>cross-device</v>
      </c>
      <c r="AO372" s="3"/>
      <c r="AP372" s="3"/>
      <c r="AQ372" s="3"/>
      <c r="AR372" s="3"/>
      <c r="AS372" s="3"/>
      <c r="AT372" s="3"/>
      <c r="AU372" s="3" t="str">
        <f ca="1">IFERROR(__xludf.DUMMYFUNCTION("""COMPUTED_VALUE"""),"Smarticle")</f>
        <v>Smarticle</v>
      </c>
    </row>
    <row r="373" spans="1:47" x14ac:dyDescent="0.3">
      <c r="A373" s="3">
        <f ca="1"/>
        <v>2346826</v>
      </c>
      <c r="B373" s="3" t="str">
        <f ca="1"/>
        <v>CZECH NEWS CENTER a. s.</v>
      </c>
      <c r="C373" s="3" t="str">
        <f ca="1">IFERROR(__xludf.DUMMYFUNCTION("""COMPUTED_VALUE"""),"CNC zpravodajský pack")</f>
        <v>CNC zpravodajský pack</v>
      </c>
      <c r="D373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E373" s="3" t="str">
        <f ca="1">IFERROR(__xludf.DUMMYFUNCTION("""COMPUTED_VALUE"""),"celý web")</f>
        <v>celý web</v>
      </c>
      <c r="F373" s="3" t="str">
        <f ca="1">IFERROR(__xludf.DUMMYFUNCTION("""COMPUTED_VALUE"""),"https://blesk.cz/zpravy, https://e15.cz, https://reflex.cz, https://zive.cz")</f>
        <v>https://blesk.cz/zpravy, https://e15.cz, https://reflex.cz, https://zive.cz</v>
      </c>
      <c r="G373" s="3" t="str">
        <f ca="1">IFERROR(__xludf.DUMMYFUNCTION("""COMPUTED_VALUE"""),"videospot - max. 30 sec. / bumper high season")</f>
        <v>videospot - max. 30 sec. / bumper high season</v>
      </c>
      <c r="H373" s="3">
        <f ca="1">IFERROR(__xludf.DUMMYFUNCTION("""COMPUTED_VALUE"""),7)</f>
        <v>7</v>
      </c>
      <c r="I373" s="5">
        <f ca="1">IFERROR(__xludf.DUMMYFUNCTION("""COMPUTED_VALUE"""),1000)</f>
        <v>1000</v>
      </c>
      <c r="J373" s="5">
        <f ca="1">IFERROR(__xludf.DUMMYFUNCTION("""COMPUTED_VALUE"""),1700)</f>
        <v>1700</v>
      </c>
      <c r="K373" s="3"/>
      <c r="L373" s="3" t="str">
        <f ca="1">IFERROR(__xludf.DUMMYFUNCTION("""COMPUTED_VALUE"""),"Cost per period")</f>
        <v>Cost per period</v>
      </c>
      <c r="M373" s="3"/>
      <c r="N373" s="3"/>
      <c r="O373" s="3" t="str">
        <f ca="1">IFERROR(__xludf.DUMMYFUNCTION("""COMPUTED_VALUE"""),"1280")</f>
        <v>1280</v>
      </c>
      <c r="P373" s="3" t="str">
        <f ca="1">IFERROR(__xludf.DUMMYFUNCTION("""COMPUTED_VALUE"""),"720")</f>
        <v>720</v>
      </c>
      <c r="Q373" s="3" t="str">
        <f ca="1">IFERROR(__xludf.DUMMYFUNCTION("""COMPUTED_VALUE"""),"16:9 / umístění po domluvě dle možností")</f>
        <v>16:9 / umístění po domluvě dle možností</v>
      </c>
      <c r="R373" s="3" t="str">
        <f ca="1">IFERROR(__xludf.DUMMYFUNCTION("""COMPUTED_VALUE"""),"přeskočení po 7 sekundách")</f>
        <v>přeskočení po 7 sekundách</v>
      </c>
      <c r="S373" s="3" t="str">
        <f ca="1">IFERROR(__xludf.DUMMYFUNCTION("""COMPUTED_VALUE"""),"100")</f>
        <v>100</v>
      </c>
      <c r="T373" s="3"/>
      <c r="U373" s="3" t="str">
        <f ca="1">IFERROR(__xludf.DUMMYFUNCTION("""COMPUTED_VALUE"""),"videospot")</f>
        <v>videospot</v>
      </c>
      <c r="V373" s="3"/>
      <c r="W373" s="4" t="str">
        <f ca="1">IFERROR(__xludf.DUMMYFUNCTION("""COMPUTED_VALUE"""),"https://reklama.cncenter.cz/Online/Bumper")</f>
        <v>https://reklama.cncenter.cz/Online/Bumper</v>
      </c>
      <c r="X373" s="3"/>
      <c r="Y373" s="3"/>
      <c r="Z373" s="3" t="str">
        <f ca="1">IFERROR(__xludf.DUMMYFUNCTION("""COMPUTED_VALUE"""),"podklady@cncenter.cz")</f>
        <v>podklady@cncenter.cz</v>
      </c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 t="str">
        <f ca="1">IFERROR(__xludf.DUMMYFUNCTION("""COMPUTED_VALUE"""),"cross-device")</f>
        <v>cross-device</v>
      </c>
      <c r="AO373" s="3"/>
      <c r="AP373" s="3"/>
      <c r="AQ373" s="3"/>
      <c r="AR373" s="3"/>
      <c r="AS373" s="3"/>
      <c r="AT373" s="3"/>
      <c r="AU373" s="3" t="str">
        <f ca="1">IFERROR(__xludf.DUMMYFUNCTION("""COMPUTED_VALUE"""),"videospot - max. 30 sec. / bumper")</f>
        <v>videospot - max. 30 sec. / bumper</v>
      </c>
    </row>
    <row r="374" spans="1:47" x14ac:dyDescent="0.3">
      <c r="A374" s="3">
        <f ca="1"/>
        <v>2346826</v>
      </c>
      <c r="B374" s="3" t="str">
        <f ca="1"/>
        <v>CZECH NEWS CENTER a. s.</v>
      </c>
      <c r="C374" s="3" t="str">
        <f ca="1">IFERROR(__xludf.DUMMYFUNCTION("""COMPUTED_VALUE"""),"CNC ženy pack")</f>
        <v>CNC ženy pack</v>
      </c>
      <c r="D374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74" s="3" t="str">
        <f ca="1">IFERROR(__xludf.DUMMYFUNCTION("""COMPUTED_VALUE"""),"celý web")</f>
        <v>celý web</v>
      </c>
      <c r="F374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74" s="3" t="str">
        <f ca="1">IFERROR(__xludf.DUMMYFUNCTION("""COMPUTED_VALUE"""),"billboard bottom high season")</f>
        <v>billboard bottom high season</v>
      </c>
      <c r="H374" s="3">
        <f ca="1">IFERROR(__xludf.DUMMYFUNCTION("""COMPUTED_VALUE"""),7)</f>
        <v>7</v>
      </c>
      <c r="I374" s="5">
        <f ca="1">IFERROR(__xludf.DUMMYFUNCTION("""COMPUTED_VALUE"""),1000)</f>
        <v>1000</v>
      </c>
      <c r="J374" s="5">
        <f ca="1">IFERROR(__xludf.DUMMYFUNCTION("""COMPUTED_VALUE"""),380)</f>
        <v>380</v>
      </c>
      <c r="K374" s="3"/>
      <c r="L374" s="3" t="str">
        <f ca="1">IFERROR(__xludf.DUMMYFUNCTION("""COMPUTED_VALUE"""),"Cost per period")</f>
        <v>Cost per period</v>
      </c>
      <c r="M374" s="3"/>
      <c r="N374" s="3"/>
      <c r="O374" s="3" t="str">
        <f ca="1">IFERROR(__xludf.DUMMYFUNCTION("""COMPUTED_VALUE"""),"970")</f>
        <v>970</v>
      </c>
      <c r="P374" s="3" t="str">
        <f ca="1">IFERROR(__xludf.DUMMYFUNCTION("""COMPUTED_VALUE"""),"250")</f>
        <v>250</v>
      </c>
      <c r="Q374" s="3" t="str">
        <f ca="1">IFERROR(__xludf.DUMMYFUNCTION("""COMPUTED_VALUE"""),"970x250")</f>
        <v>970x250</v>
      </c>
      <c r="R374" s="3"/>
      <c r="S374" s="3" t="str">
        <f ca="1">IFERROR(__xludf.DUMMYFUNCTION("""COMPUTED_VALUE"""),"100 (200 - HTML5)")</f>
        <v>100 (200 - HTML5)</v>
      </c>
      <c r="T374" s="3"/>
      <c r="U374" s="3" t="str">
        <f ca="1">IFERROR(__xludf.DUMMYFUNCTION("""COMPUTED_VALUE"""),"banner standard")</f>
        <v>banner standard</v>
      </c>
      <c r="V374" s="3"/>
      <c r="W374" s="4" t="str">
        <f ca="1">IFERROR(__xludf.DUMMYFUNCTION("""COMPUTED_VALUE"""),"https://reklama.cncenter.cz/Online/billboard-bottom")</f>
        <v>https://reklama.cncenter.cz/Online/billboard-bottom</v>
      </c>
      <c r="X374" s="3"/>
      <c r="Y374" s="3"/>
      <c r="Z374" s="3" t="str">
        <f ca="1">IFERROR(__xludf.DUMMYFUNCTION("""COMPUTED_VALUE"""),"podklady@cncenter.cz")</f>
        <v>podklady@cncenter.cz</v>
      </c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 t="str">
        <f ca="1">IFERROR(__xludf.DUMMYFUNCTION("""COMPUTED_VALUE"""),"desktop")</f>
        <v>desktop</v>
      </c>
      <c r="AO374" s="3"/>
      <c r="AP374" s="3"/>
      <c r="AQ374" s="3"/>
      <c r="AR374" s="3"/>
      <c r="AS374" s="3"/>
      <c r="AT374" s="3"/>
      <c r="AU374" s="3" t="str">
        <f ca="1">IFERROR(__xludf.DUMMYFUNCTION("""COMPUTED_VALUE"""),"billboard bottom")</f>
        <v>billboard bottom</v>
      </c>
    </row>
    <row r="375" spans="1:47" x14ac:dyDescent="0.3">
      <c r="A375" s="3">
        <f ca="1"/>
        <v>2346826</v>
      </c>
      <c r="B375" s="3" t="str">
        <f ca="1"/>
        <v>CZECH NEWS CENTER a. s.</v>
      </c>
      <c r="C375" s="3" t="str">
        <f ca="1">IFERROR(__xludf.DUMMYFUNCTION("""COMPUTED_VALUE"""),"CNC ženy pack")</f>
        <v>CNC ženy pack</v>
      </c>
      <c r="D375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75" s="3" t="str">
        <f ca="1">IFERROR(__xludf.DUMMYFUNCTION("""COMPUTED_VALUE"""),"celý web")</f>
        <v>celý web</v>
      </c>
      <c r="F375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75" s="3" t="str">
        <f ca="1">IFERROR(__xludf.DUMMYFUNCTION("""COMPUTED_VALUE"""),"branding cross-device high season")</f>
        <v>branding cross-device high season</v>
      </c>
      <c r="H375" s="3">
        <f ca="1">IFERROR(__xludf.DUMMYFUNCTION("""COMPUTED_VALUE"""),7)</f>
        <v>7</v>
      </c>
      <c r="I375" s="5">
        <f ca="1">IFERROR(__xludf.DUMMYFUNCTION("""COMPUTED_VALUE"""),1000)</f>
        <v>1000</v>
      </c>
      <c r="J375" s="5">
        <f ca="1">IFERROR(__xludf.DUMMYFUNCTION("""COMPUTED_VALUE"""),490)</f>
        <v>490</v>
      </c>
      <c r="K375" s="3"/>
      <c r="L375" s="3" t="str">
        <f ca="1">IFERROR(__xludf.DUMMYFUNCTION("""COMPUTED_VALUE"""),"Cost per period")</f>
        <v>Cost per period</v>
      </c>
      <c r="M375" s="3"/>
      <c r="N375" s="3"/>
      <c r="O375" s="3" t="str">
        <f ca="1">IFERROR(__xludf.DUMMYFUNCTION("""COMPUTED_VALUE"""),"2000")</f>
        <v>2000</v>
      </c>
      <c r="P375" s="3" t="str">
        <f ca="1">IFERROR(__xludf.DUMMYFUNCTION("""COMPUTED_VALUE"""),"1400")</f>
        <v>1400</v>
      </c>
      <c r="Q375" s="3" t="str">
        <f ca="1">IFERROR(__xludf.DUMMYFUNCTION("""COMPUTED_VALUE"""),"2000x1400 + 600x1080")</f>
        <v>2000x1400 + 600x1080</v>
      </c>
      <c r="R375" s="3"/>
      <c r="S375" s="3" t="str">
        <f ca="1">IFERROR(__xludf.DUMMYFUNCTION("""COMPUTED_VALUE"""),"500 (600 - HTLM5)")</f>
        <v>500 (600 - HTLM5)</v>
      </c>
      <c r="T375" s="3"/>
      <c r="U375" s="3" t="str">
        <f ca="1">IFERROR(__xludf.DUMMYFUNCTION("""COMPUTED_VALUE"""),"banner standard")</f>
        <v>banner standard</v>
      </c>
      <c r="V375" s="3"/>
      <c r="W375" s="4" t="str">
        <f ca="1">IFERROR(__xludf.DUMMYFUNCTION("""COMPUTED_VALUE"""),"https://reklama.cncenter.cz/Online/branding-cross-device")</f>
        <v>https://reklama.cncenter.cz/Online/branding-cross-device</v>
      </c>
      <c r="X375" s="3"/>
      <c r="Y375" s="3"/>
      <c r="Z375" s="3" t="str">
        <f ca="1">IFERROR(__xludf.DUMMYFUNCTION("""COMPUTED_VALUE"""),"podklady@cncenter.cz")</f>
        <v>podklady@cncenter.cz</v>
      </c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 t="str">
        <f ca="1">IFERROR(__xludf.DUMMYFUNCTION("""COMPUTED_VALUE"""),"cross-device")</f>
        <v>cross-device</v>
      </c>
      <c r="AO375" s="3"/>
      <c r="AP375" s="3"/>
      <c r="AQ375" s="3"/>
      <c r="AR375" s="3"/>
      <c r="AS375" s="3"/>
      <c r="AT375" s="3"/>
      <c r="AU375" s="3" t="str">
        <f ca="1">IFERROR(__xludf.DUMMYFUNCTION("""COMPUTED_VALUE"""),"branding cross-device")</f>
        <v>branding cross-device</v>
      </c>
    </row>
    <row r="376" spans="1:47" x14ac:dyDescent="0.3">
      <c r="A376" s="3">
        <f ca="1"/>
        <v>2346826</v>
      </c>
      <c r="B376" s="3" t="str">
        <f ca="1"/>
        <v>CZECH NEWS CENTER a. s.</v>
      </c>
      <c r="C376" s="3" t="str">
        <f ca="1">IFERROR(__xludf.DUMMYFUNCTION("""COMPUTED_VALUE"""),"CNC ženy pack")</f>
        <v>CNC ženy pack</v>
      </c>
      <c r="D376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76" s="3" t="str">
        <f ca="1">IFERROR(__xludf.DUMMYFUNCTION("""COMPUTED_VALUE"""),"celý web")</f>
        <v>celý web</v>
      </c>
      <c r="F376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76" s="3" t="str">
        <f ca="1">IFERROR(__xludf.DUMMYFUNCTION("""COMPUTED_VALUE"""),"branding high season")</f>
        <v>branding high season</v>
      </c>
      <c r="H376" s="3">
        <f ca="1">IFERROR(__xludf.DUMMYFUNCTION("""COMPUTED_VALUE"""),7)</f>
        <v>7</v>
      </c>
      <c r="I376" s="5">
        <f ca="1">IFERROR(__xludf.DUMMYFUNCTION("""COMPUTED_VALUE"""),1000)</f>
        <v>1000</v>
      </c>
      <c r="J376" s="5">
        <f ca="1">IFERROR(__xludf.DUMMYFUNCTION("""COMPUTED_VALUE"""),720)</f>
        <v>720</v>
      </c>
      <c r="K376" s="3"/>
      <c r="L376" s="3" t="str">
        <f ca="1">IFERROR(__xludf.DUMMYFUNCTION("""COMPUTED_VALUE"""),"Cost per period")</f>
        <v>Cost per period</v>
      </c>
      <c r="M376" s="3"/>
      <c r="N376" s="3"/>
      <c r="O376" s="3" t="str">
        <f ca="1">IFERROR(__xludf.DUMMYFUNCTION("""COMPUTED_VALUE"""),"2000")</f>
        <v>2000</v>
      </c>
      <c r="P376" s="3" t="str">
        <f ca="1">IFERROR(__xludf.DUMMYFUNCTION("""COMPUTED_VALUE"""),"1400")</f>
        <v>1400</v>
      </c>
      <c r="Q376" s="3" t="str">
        <f ca="1">IFERROR(__xludf.DUMMYFUNCTION("""COMPUTED_VALUE"""),"2000x1400")</f>
        <v>2000x1400</v>
      </c>
      <c r="R376" s="3"/>
      <c r="S376" s="3" t="str">
        <f ca="1">IFERROR(__xludf.DUMMYFUNCTION("""COMPUTED_VALUE"""),"500 + 200 (600+200 HTML5)")</f>
        <v>500 + 200 (600+200 HTML5)</v>
      </c>
      <c r="T376" s="3"/>
      <c r="U376" s="3" t="str">
        <f ca="1">IFERROR(__xludf.DUMMYFUNCTION("""COMPUTED_VALUE"""),"banner standard")</f>
        <v>banner standard</v>
      </c>
      <c r="V376" s="3"/>
      <c r="W376" s="4" t="str">
        <f ca="1">IFERROR(__xludf.DUMMYFUNCTION("""COMPUTED_VALUE"""),"https://reklama.cncenter.cz/Online/branding")</f>
        <v>https://reklama.cncenter.cz/Online/branding</v>
      </c>
      <c r="X376" s="3"/>
      <c r="Y376" s="3"/>
      <c r="Z376" s="3" t="str">
        <f ca="1">IFERROR(__xludf.DUMMYFUNCTION("""COMPUTED_VALUE"""),"podklady@cncenter.cz")</f>
        <v>podklady@cncenter.cz</v>
      </c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 t="str">
        <f ca="1">IFERROR(__xludf.DUMMYFUNCTION("""COMPUTED_VALUE"""),"desktop")</f>
        <v>desktop</v>
      </c>
      <c r="AO376" s="3"/>
      <c r="AP376" s="3"/>
      <c r="AQ376" s="3"/>
      <c r="AR376" s="3"/>
      <c r="AS376" s="3"/>
      <c r="AT376" s="3"/>
      <c r="AU376" s="3" t="str">
        <f ca="1">IFERROR(__xludf.DUMMYFUNCTION("""COMPUTED_VALUE"""),"branding")</f>
        <v>branding</v>
      </c>
    </row>
    <row r="377" spans="1:47" x14ac:dyDescent="0.3">
      <c r="A377" s="3">
        <f ca="1"/>
        <v>2346826</v>
      </c>
      <c r="B377" s="3" t="str">
        <f ca="1"/>
        <v>CZECH NEWS CENTER a. s.</v>
      </c>
      <c r="C377" s="3" t="str">
        <f ca="1">IFERROR(__xludf.DUMMYFUNCTION("""COMPUTED_VALUE"""),"CNC ženy pack")</f>
        <v>CNC ženy pack</v>
      </c>
      <c r="D377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77" s="3" t="str">
        <f ca="1">IFERROR(__xludf.DUMMYFUNCTION("""COMPUTED_VALUE"""),"celý web")</f>
        <v>celý web</v>
      </c>
      <c r="F377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77" s="3" t="str">
        <f ca="1">IFERROR(__xludf.DUMMYFUNCTION("""COMPUTED_VALUE"""),"cílený billboard bottom high season")</f>
        <v>cílený billboard bottom high season</v>
      </c>
      <c r="H377" s="3">
        <f ca="1">IFERROR(__xludf.DUMMYFUNCTION("""COMPUTED_VALUE"""),7)</f>
        <v>7</v>
      </c>
      <c r="I377" s="5">
        <f ca="1">IFERROR(__xludf.DUMMYFUNCTION("""COMPUTED_VALUE"""),1000)</f>
        <v>1000</v>
      </c>
      <c r="J377" s="5">
        <f ca="1">IFERROR(__xludf.DUMMYFUNCTION("""COMPUTED_VALUE"""),456)</f>
        <v>456</v>
      </c>
      <c r="K377" s="3"/>
      <c r="L377" s="3" t="str">
        <f ca="1">IFERROR(__xludf.DUMMYFUNCTION("""COMPUTED_VALUE"""),"Cost per period")</f>
        <v>Cost per period</v>
      </c>
      <c r="M377" s="3"/>
      <c r="N377" s="3"/>
      <c r="O377" s="3" t="str">
        <f ca="1">IFERROR(__xludf.DUMMYFUNCTION("""COMPUTED_VALUE"""),"970")</f>
        <v>970</v>
      </c>
      <c r="P377" s="3" t="str">
        <f ca="1">IFERROR(__xludf.DUMMYFUNCTION("""COMPUTED_VALUE"""),"250")</f>
        <v>250</v>
      </c>
      <c r="Q377" s="3" t="str">
        <f ca="1">IFERROR(__xludf.DUMMYFUNCTION("""COMPUTED_VALUE"""),"970x250")</f>
        <v>970x250</v>
      </c>
      <c r="R377" s="3"/>
      <c r="S377" s="3" t="str">
        <f ca="1">IFERROR(__xludf.DUMMYFUNCTION("""COMPUTED_VALUE"""),"100 (200 - HTML5)")</f>
        <v>100 (200 - HTML5)</v>
      </c>
      <c r="T377" s="3"/>
      <c r="U377" s="3" t="str">
        <f ca="1">IFERROR(__xludf.DUMMYFUNCTION("""COMPUTED_VALUE"""),"banner standard")</f>
        <v>banner standard</v>
      </c>
      <c r="V377" s="3"/>
      <c r="W377" s="4" t="str">
        <f ca="1">IFERROR(__xludf.DUMMYFUNCTION("""COMPUTED_VALUE"""),"https://reklama.cncenter.cz/Online/billboard-bottom")</f>
        <v>https://reklama.cncenter.cz/Online/billboard-bottom</v>
      </c>
      <c r="X377" s="3"/>
      <c r="Y377" s="3"/>
      <c r="Z377" s="3" t="str">
        <f ca="1">IFERROR(__xludf.DUMMYFUNCTION("""COMPUTED_VALUE"""),"podklady@cncenter.cz")</f>
        <v>podklady@cncenter.cz</v>
      </c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 t="str">
        <f ca="1">IFERROR(__xludf.DUMMYFUNCTION("""COMPUTED_VALUE"""),"desktop")</f>
        <v>desktop</v>
      </c>
      <c r="AO377" s="3"/>
      <c r="AP377" s="3"/>
      <c r="AQ377" s="3"/>
      <c r="AR377" s="3"/>
      <c r="AS377" s="3"/>
      <c r="AT377" s="3"/>
      <c r="AU377" s="3" t="str">
        <f ca="1">IFERROR(__xludf.DUMMYFUNCTION("""COMPUTED_VALUE"""),"cílený billboard bottom")</f>
        <v>cílený billboard bottom</v>
      </c>
    </row>
    <row r="378" spans="1:47" x14ac:dyDescent="0.3">
      <c r="A378" s="3">
        <f ca="1"/>
        <v>2346826</v>
      </c>
      <c r="B378" s="3" t="str">
        <f ca="1"/>
        <v>CZECH NEWS CENTER a. s.</v>
      </c>
      <c r="C378" s="3" t="str">
        <f ca="1">IFERROR(__xludf.DUMMYFUNCTION("""COMPUTED_VALUE"""),"CNC ženy pack")</f>
        <v>CNC ženy pack</v>
      </c>
      <c r="D378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78" s="3" t="str">
        <f ca="1">IFERROR(__xludf.DUMMYFUNCTION("""COMPUTED_VALUE"""),"celý web")</f>
        <v>celý web</v>
      </c>
      <c r="F378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78" s="3" t="str">
        <f ca="1">IFERROR(__xludf.DUMMYFUNCTION("""COMPUTED_VALUE"""),"cílený branding cross-device high season")</f>
        <v>cílený branding cross-device high season</v>
      </c>
      <c r="H378" s="3">
        <f ca="1">IFERROR(__xludf.DUMMYFUNCTION("""COMPUTED_VALUE"""),7)</f>
        <v>7</v>
      </c>
      <c r="I378" s="5">
        <f ca="1">IFERROR(__xludf.DUMMYFUNCTION("""COMPUTED_VALUE"""),1000)</f>
        <v>1000</v>
      </c>
      <c r="J378" s="5">
        <f ca="1">IFERROR(__xludf.DUMMYFUNCTION("""COMPUTED_VALUE"""),588)</f>
        <v>588</v>
      </c>
      <c r="K378" s="3"/>
      <c r="L378" s="3" t="str">
        <f ca="1">IFERROR(__xludf.DUMMYFUNCTION("""COMPUTED_VALUE"""),"Cost per period")</f>
        <v>Cost per period</v>
      </c>
      <c r="M378" s="3"/>
      <c r="N378" s="3"/>
      <c r="O378" s="3" t="str">
        <f ca="1">IFERROR(__xludf.DUMMYFUNCTION("""COMPUTED_VALUE"""),"2000")</f>
        <v>2000</v>
      </c>
      <c r="P378" s="3" t="str">
        <f ca="1">IFERROR(__xludf.DUMMYFUNCTION("""COMPUTED_VALUE"""),"1400")</f>
        <v>1400</v>
      </c>
      <c r="Q378" s="3" t="str">
        <f ca="1">IFERROR(__xludf.DUMMYFUNCTION("""COMPUTED_VALUE"""),"2000x1400 + 600x1080")</f>
        <v>2000x1400 + 600x1080</v>
      </c>
      <c r="R378" s="3"/>
      <c r="S378" s="3" t="str">
        <f ca="1">IFERROR(__xludf.DUMMYFUNCTION("""COMPUTED_VALUE"""),"500 (600 - HTLM5)")</f>
        <v>500 (600 - HTLM5)</v>
      </c>
      <c r="T378" s="3"/>
      <c r="U378" s="3" t="str">
        <f ca="1">IFERROR(__xludf.DUMMYFUNCTION("""COMPUTED_VALUE"""),"banner standard")</f>
        <v>banner standard</v>
      </c>
      <c r="V378" s="3"/>
      <c r="W378" s="4" t="str">
        <f ca="1">IFERROR(__xludf.DUMMYFUNCTION("""COMPUTED_VALUE"""),"https://reklama.cncenter.cz/Online/branding-cross-device")</f>
        <v>https://reklama.cncenter.cz/Online/branding-cross-device</v>
      </c>
      <c r="X378" s="3"/>
      <c r="Y378" s="3"/>
      <c r="Z378" s="3" t="str">
        <f ca="1">IFERROR(__xludf.DUMMYFUNCTION("""COMPUTED_VALUE"""),"podklady@cncenter.cz")</f>
        <v>podklady@cncenter.cz</v>
      </c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 t="str">
        <f ca="1">IFERROR(__xludf.DUMMYFUNCTION("""COMPUTED_VALUE"""),"cross-device")</f>
        <v>cross-device</v>
      </c>
      <c r="AO378" s="3"/>
      <c r="AP378" s="3"/>
      <c r="AQ378" s="3"/>
      <c r="AR378" s="3"/>
      <c r="AS378" s="3"/>
      <c r="AT378" s="3"/>
      <c r="AU378" s="3" t="str">
        <f ca="1">IFERROR(__xludf.DUMMYFUNCTION("""COMPUTED_VALUE"""),"cílený branding cross-device")</f>
        <v>cílený branding cross-device</v>
      </c>
    </row>
    <row r="379" spans="1:47" x14ac:dyDescent="0.3">
      <c r="A379" s="3">
        <f ca="1"/>
        <v>2346826</v>
      </c>
      <c r="B379" s="3" t="str">
        <f ca="1"/>
        <v>CZECH NEWS CENTER a. s.</v>
      </c>
      <c r="C379" s="3" t="str">
        <f ca="1">IFERROR(__xludf.DUMMYFUNCTION("""COMPUTED_VALUE"""),"CNC ženy pack")</f>
        <v>CNC ženy pack</v>
      </c>
      <c r="D379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79" s="3" t="str">
        <f ca="1">IFERROR(__xludf.DUMMYFUNCTION("""COMPUTED_VALUE"""),"celý web")</f>
        <v>celý web</v>
      </c>
      <c r="F379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79" s="3" t="str">
        <f ca="1">IFERROR(__xludf.DUMMYFUNCTION("""COMPUTED_VALUE"""),"cílený branding high season")</f>
        <v>cílený branding high season</v>
      </c>
      <c r="H379" s="3">
        <f ca="1">IFERROR(__xludf.DUMMYFUNCTION("""COMPUTED_VALUE"""),7)</f>
        <v>7</v>
      </c>
      <c r="I379" s="5">
        <f ca="1">IFERROR(__xludf.DUMMYFUNCTION("""COMPUTED_VALUE"""),1000)</f>
        <v>1000</v>
      </c>
      <c r="J379" s="5">
        <f ca="1">IFERROR(__xludf.DUMMYFUNCTION("""COMPUTED_VALUE"""),864)</f>
        <v>864</v>
      </c>
      <c r="K379" s="3"/>
      <c r="L379" s="3" t="str">
        <f ca="1">IFERROR(__xludf.DUMMYFUNCTION("""COMPUTED_VALUE"""),"Cost per period")</f>
        <v>Cost per period</v>
      </c>
      <c r="M379" s="3"/>
      <c r="N379" s="3"/>
      <c r="O379" s="3" t="str">
        <f ca="1">IFERROR(__xludf.DUMMYFUNCTION("""COMPUTED_VALUE"""),"2000")</f>
        <v>2000</v>
      </c>
      <c r="P379" s="3" t="str">
        <f ca="1">IFERROR(__xludf.DUMMYFUNCTION("""COMPUTED_VALUE"""),"1400")</f>
        <v>1400</v>
      </c>
      <c r="Q379" s="3" t="str">
        <f ca="1">IFERROR(__xludf.DUMMYFUNCTION("""COMPUTED_VALUE"""),"2000x1400")</f>
        <v>2000x1400</v>
      </c>
      <c r="R379" s="3"/>
      <c r="S379" s="3" t="str">
        <f ca="1">IFERROR(__xludf.DUMMYFUNCTION("""COMPUTED_VALUE"""),"500 + 200 (600+200 HTML5)")</f>
        <v>500 + 200 (600+200 HTML5)</v>
      </c>
      <c r="T379" s="3"/>
      <c r="U379" s="3" t="str">
        <f ca="1">IFERROR(__xludf.DUMMYFUNCTION("""COMPUTED_VALUE"""),"banner standard")</f>
        <v>banner standard</v>
      </c>
      <c r="V379" s="3"/>
      <c r="W379" s="4" t="str">
        <f ca="1">IFERROR(__xludf.DUMMYFUNCTION("""COMPUTED_VALUE"""),"https://reklama.cncenter.cz/Online/branding")</f>
        <v>https://reklama.cncenter.cz/Online/branding</v>
      </c>
      <c r="X379" s="3"/>
      <c r="Y379" s="3"/>
      <c r="Z379" s="3" t="str">
        <f ca="1">IFERROR(__xludf.DUMMYFUNCTION("""COMPUTED_VALUE"""),"podklady@cncenter.cz")</f>
        <v>podklady@cncenter.cz</v>
      </c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 t="str">
        <f ca="1">IFERROR(__xludf.DUMMYFUNCTION("""COMPUTED_VALUE"""),"desktop")</f>
        <v>desktop</v>
      </c>
      <c r="AO379" s="3"/>
      <c r="AP379" s="3"/>
      <c r="AQ379" s="3"/>
      <c r="AR379" s="3"/>
      <c r="AS379" s="3"/>
      <c r="AT379" s="3"/>
      <c r="AU379" s="3" t="str">
        <f ca="1">IFERROR(__xludf.DUMMYFUNCTION("""COMPUTED_VALUE"""),"cílený branding")</f>
        <v>cílený branding</v>
      </c>
    </row>
    <row r="380" spans="1:47" x14ac:dyDescent="0.3">
      <c r="A380" s="3">
        <f ca="1"/>
        <v>2346826</v>
      </c>
      <c r="B380" s="3" t="str">
        <f ca="1"/>
        <v>CZECH NEWS CENTER a. s.</v>
      </c>
      <c r="C380" s="3" t="str">
        <f ca="1">IFERROR(__xludf.DUMMYFUNCTION("""COMPUTED_VALUE"""),"CNC ženy pack")</f>
        <v>CNC ženy pack</v>
      </c>
      <c r="D380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0" s="3" t="str">
        <f ca="1">IFERROR(__xludf.DUMMYFUNCTION("""COMPUTED_VALUE"""),"celý web")</f>
        <v>celý web</v>
      </c>
      <c r="F380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0" s="3" t="str">
        <f ca="1">IFERROR(__xludf.DUMMYFUNCTION("""COMPUTED_VALUE"""),"cílený double skyscraper high season")</f>
        <v>cílený double skyscraper high season</v>
      </c>
      <c r="H380" s="3">
        <f ca="1">IFERROR(__xludf.DUMMYFUNCTION("""COMPUTED_VALUE"""),7)</f>
        <v>7</v>
      </c>
      <c r="I380" s="5">
        <f ca="1">IFERROR(__xludf.DUMMYFUNCTION("""COMPUTED_VALUE"""),1000)</f>
        <v>1000</v>
      </c>
      <c r="J380" s="5">
        <f ca="1">IFERROR(__xludf.DUMMYFUNCTION("""COMPUTED_VALUE"""),324)</f>
        <v>324</v>
      </c>
      <c r="K380" s="3"/>
      <c r="L380" s="3" t="str">
        <f ca="1">IFERROR(__xludf.DUMMYFUNCTION("""COMPUTED_VALUE"""),"Cost per period")</f>
        <v>Cost per period</v>
      </c>
      <c r="M380" s="3"/>
      <c r="N380" s="3"/>
      <c r="O380" s="3" t="str">
        <f ca="1">IFERROR(__xludf.DUMMYFUNCTION("""COMPUTED_VALUE"""),"300")</f>
        <v>300</v>
      </c>
      <c r="P380" s="3" t="str">
        <f ca="1">IFERROR(__xludf.DUMMYFUNCTION("""COMPUTED_VALUE"""),"600")</f>
        <v>600</v>
      </c>
      <c r="Q380" s="3" t="str">
        <f ca="1">IFERROR(__xludf.DUMMYFUNCTION("""COMPUTED_VALUE"""),"300x600")</f>
        <v>300x600</v>
      </c>
      <c r="R380" s="3"/>
      <c r="S380" s="3" t="str">
        <f ca="1">IFERROR(__xludf.DUMMYFUNCTION("""COMPUTED_VALUE"""),"100 (200 - HTML5)")</f>
        <v>100 (200 - HTML5)</v>
      </c>
      <c r="T380" s="3"/>
      <c r="U380" s="3" t="str">
        <f ca="1">IFERROR(__xludf.DUMMYFUNCTION("""COMPUTED_VALUE"""),"banner standard")</f>
        <v>banner standard</v>
      </c>
      <c r="V380" s="3"/>
      <c r="W380" s="4" t="str">
        <f ca="1">IFERROR(__xludf.DUMMYFUNCTION("""COMPUTED_VALUE"""),"https://reklama.cncenter.cz/Online/double-skyscraper")</f>
        <v>https://reklama.cncenter.cz/Online/double-skyscraper</v>
      </c>
      <c r="X380" s="3"/>
      <c r="Y380" s="3"/>
      <c r="Z380" s="3" t="str">
        <f ca="1">IFERROR(__xludf.DUMMYFUNCTION("""COMPUTED_VALUE"""),"podklady@cncenter.cz")</f>
        <v>podklady@cncenter.cz</v>
      </c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 t="str">
        <f ca="1">IFERROR(__xludf.DUMMYFUNCTION("""COMPUTED_VALUE"""),"desktop")</f>
        <v>desktop</v>
      </c>
      <c r="AO380" s="3"/>
      <c r="AP380" s="3"/>
      <c r="AQ380" s="3"/>
      <c r="AR380" s="3"/>
      <c r="AS380" s="3"/>
      <c r="AT380" s="3"/>
      <c r="AU380" s="3" t="str">
        <f ca="1">IFERROR(__xludf.DUMMYFUNCTION("""COMPUTED_VALUE"""),"cílený double skyscraper")</f>
        <v>cílený double skyscraper</v>
      </c>
    </row>
    <row r="381" spans="1:47" x14ac:dyDescent="0.3">
      <c r="A381" s="3">
        <f ca="1"/>
        <v>2346826</v>
      </c>
      <c r="B381" s="3" t="str">
        <f ca="1"/>
        <v>CZECH NEWS CENTER a. s.</v>
      </c>
      <c r="C381" s="3" t="str">
        <f ca="1">IFERROR(__xludf.DUMMYFUNCTION("""COMPUTED_VALUE"""),"CNC ženy pack")</f>
        <v>CNC ženy pack</v>
      </c>
      <c r="D381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1" s="3" t="str">
        <f ca="1">IFERROR(__xludf.DUMMYFUNCTION("""COMPUTED_VALUE"""),"celý web")</f>
        <v>celý web</v>
      </c>
      <c r="F381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1" s="3" t="str">
        <f ca="1">IFERROR(__xludf.DUMMYFUNCTION("""COMPUTED_VALUE"""),"cílený mini videospot - max. 30 sec. high season")</f>
        <v>cílený mini videospot - max. 30 sec. high season</v>
      </c>
      <c r="H381" s="3">
        <f ca="1">IFERROR(__xludf.DUMMYFUNCTION("""COMPUTED_VALUE"""),7)</f>
        <v>7</v>
      </c>
      <c r="I381" s="5">
        <f ca="1">IFERROR(__xludf.DUMMYFUNCTION("""COMPUTED_VALUE"""),1000)</f>
        <v>1000</v>
      </c>
      <c r="J381" s="5">
        <f ca="1">IFERROR(__xludf.DUMMYFUNCTION("""COMPUTED_VALUE"""),324)</f>
        <v>324</v>
      </c>
      <c r="K381" s="3"/>
      <c r="L381" s="3" t="str">
        <f ca="1">IFERROR(__xludf.DUMMYFUNCTION("""COMPUTED_VALUE"""),"Cost per period")</f>
        <v>Cost per period</v>
      </c>
      <c r="M381" s="3"/>
      <c r="N381" s="3"/>
      <c r="O381" s="3"/>
      <c r="P381" s="3"/>
      <c r="Q381" s="3" t="str">
        <f ca="1">IFERROR(__xludf.DUMMYFUNCTION("""COMPUTED_VALUE"""),"16:9 / umístění po domluvě dle možností")</f>
        <v>16:9 / umístění po domluvě dle možností</v>
      </c>
      <c r="R381" s="3" t="str">
        <f ca="1">IFERROR(__xludf.DUMMYFUNCTION("""COMPUTED_VALUE"""),"přeskočení po 7 sekundách")</f>
        <v>přeskočení po 7 sekundách</v>
      </c>
      <c r="S381" s="3" t="str">
        <f ca="1">IFERROR(__xludf.DUMMYFUNCTION("""COMPUTED_VALUE"""),"100")</f>
        <v>100</v>
      </c>
      <c r="T381" s="3"/>
      <c r="U381" s="3" t="str">
        <f ca="1">IFERROR(__xludf.DUMMYFUNCTION("""COMPUTED_VALUE"""),"videospot")</f>
        <v>videospot</v>
      </c>
      <c r="V381" s="3"/>
      <c r="W381" s="4" t="str">
        <f ca="1">IFERROR(__xludf.DUMMYFUNCTION("""COMPUTED_VALUE"""),"https://reklama.cncenter.cz/Online/Videospot")</f>
        <v>https://reklama.cncenter.cz/Online/Videospot</v>
      </c>
      <c r="X381" s="3"/>
      <c r="Y381" s="3"/>
      <c r="Z381" s="3" t="str">
        <f ca="1">IFERROR(__xludf.DUMMYFUNCTION("""COMPUTED_VALUE"""),"podklady@cncenter.cz")</f>
        <v>podklady@cncenter.cz</v>
      </c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 t="str">
        <f ca="1">IFERROR(__xludf.DUMMYFUNCTION("""COMPUTED_VALUE"""),"desktop")</f>
        <v>desktop</v>
      </c>
      <c r="AO381" s="3"/>
      <c r="AP381" s="3"/>
      <c r="AQ381" s="3"/>
      <c r="AR381" s="3"/>
      <c r="AS381" s="3"/>
      <c r="AT381" s="3"/>
      <c r="AU381" s="3" t="str">
        <f ca="1">IFERROR(__xludf.DUMMYFUNCTION("""COMPUTED_VALUE"""),"cílený mini videospot - max. 30 sec.")</f>
        <v>cílený mini videospot - max. 30 sec.</v>
      </c>
    </row>
    <row r="382" spans="1:47" x14ac:dyDescent="0.3">
      <c r="A382" s="3">
        <f ca="1"/>
        <v>2346826</v>
      </c>
      <c r="B382" s="3" t="str">
        <f ca="1"/>
        <v>CZECH NEWS CENTER a. s.</v>
      </c>
      <c r="C382" s="3" t="str">
        <f ca="1">IFERROR(__xludf.DUMMYFUNCTION("""COMPUTED_VALUE"""),"CNC ženy pack")</f>
        <v>CNC ženy pack</v>
      </c>
      <c r="D382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2" s="3" t="str">
        <f ca="1">IFERROR(__xludf.DUMMYFUNCTION("""COMPUTED_VALUE"""),"celý web")</f>
        <v>celý web</v>
      </c>
      <c r="F382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2" s="3" t="str">
        <f ca="1">IFERROR(__xludf.DUMMYFUNCTION("""COMPUTED_VALUE"""),"cílený mobilní interscroller high season")</f>
        <v>cílený mobilní interscroller high season</v>
      </c>
      <c r="H382" s="3">
        <f ca="1">IFERROR(__xludf.DUMMYFUNCTION("""COMPUTED_VALUE"""),7)</f>
        <v>7</v>
      </c>
      <c r="I382" s="5">
        <f ca="1">IFERROR(__xludf.DUMMYFUNCTION("""COMPUTED_VALUE"""),1000)</f>
        <v>1000</v>
      </c>
      <c r="J382" s="5">
        <f ca="1">IFERROR(__xludf.DUMMYFUNCTION("""COMPUTED_VALUE"""),432)</f>
        <v>432</v>
      </c>
      <c r="K382" s="3"/>
      <c r="L382" s="3" t="str">
        <f ca="1">IFERROR(__xludf.DUMMYFUNCTION("""COMPUTED_VALUE"""),"Cost per period")</f>
        <v>Cost per period</v>
      </c>
      <c r="M382" s="3"/>
      <c r="N382" s="3"/>
      <c r="O382" s="3" t="str">
        <f ca="1">IFERROR(__xludf.DUMMYFUNCTION("""COMPUTED_VALUE"""),"600")</f>
        <v>600</v>
      </c>
      <c r="P382" s="3" t="str">
        <f ca="1">IFERROR(__xludf.DUMMYFUNCTION("""COMPUTED_VALUE"""),"1080")</f>
        <v>1080</v>
      </c>
      <c r="Q382" s="3" t="str">
        <f ca="1">IFERROR(__xludf.DUMMYFUNCTION("""COMPUTED_VALUE"""),"600x1080")</f>
        <v>600x1080</v>
      </c>
      <c r="R382" s="3"/>
      <c r="S382" s="3" t="str">
        <f ca="1">IFERROR(__xludf.DUMMYFUNCTION("""COMPUTED_VALUE"""),"200")</f>
        <v>200</v>
      </c>
      <c r="T382" s="3"/>
      <c r="U382" s="3" t="str">
        <f ca="1">IFERROR(__xludf.DUMMYFUNCTION("""COMPUTED_VALUE"""),"banner standard")</f>
        <v>banner standard</v>
      </c>
      <c r="V382" s="3"/>
      <c r="W382" s="4" t="str">
        <f ca="1">IFERROR(__xludf.DUMMYFUNCTION("""COMPUTED_VALUE"""),"https://reklama.cncenter.cz/Online/mobilni-interscroller")</f>
        <v>https://reklama.cncenter.cz/Online/mobilni-interscroller</v>
      </c>
      <c r="X382" s="3"/>
      <c r="Y382" s="3"/>
      <c r="Z382" s="3" t="str">
        <f ca="1">IFERROR(__xludf.DUMMYFUNCTION("""COMPUTED_VALUE"""),"podklady@cncenter.cz")</f>
        <v>podklady@cncenter.cz</v>
      </c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 t="str">
        <f ca="1">IFERROR(__xludf.DUMMYFUNCTION("""COMPUTED_VALUE"""),"mobile")</f>
        <v>mobile</v>
      </c>
      <c r="AO382" s="3"/>
      <c r="AP382" s="3"/>
      <c r="AQ382" s="3"/>
      <c r="AR382" s="3"/>
      <c r="AS382" s="3"/>
      <c r="AT382" s="3"/>
      <c r="AU382" s="3" t="str">
        <f ca="1">IFERROR(__xludf.DUMMYFUNCTION("""COMPUTED_VALUE"""),"cílený mobilní interscroller")</f>
        <v>cílený mobilní interscroller</v>
      </c>
    </row>
    <row r="383" spans="1:47" x14ac:dyDescent="0.3">
      <c r="A383" s="3">
        <f ca="1"/>
        <v>2346826</v>
      </c>
      <c r="B383" s="3" t="str">
        <f ca="1"/>
        <v>CZECH NEWS CENTER a. s.</v>
      </c>
      <c r="C383" s="3" t="str">
        <f ca="1">IFERROR(__xludf.DUMMYFUNCTION("""COMPUTED_VALUE"""),"CNC ženy pack")</f>
        <v>CNC ženy pack</v>
      </c>
      <c r="D383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3" s="3" t="str">
        <f ca="1">IFERROR(__xludf.DUMMYFUNCTION("""COMPUTED_VALUE"""),"celý web")</f>
        <v>celý web</v>
      </c>
      <c r="F383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3" s="3" t="str">
        <f ca="1">IFERROR(__xludf.DUMMYFUNCTION("""COMPUTED_VALUE"""),"cílený mobilní slide-up high season")</f>
        <v>cílený mobilní slide-up high season</v>
      </c>
      <c r="H383" s="3">
        <f ca="1">IFERROR(__xludf.DUMMYFUNCTION("""COMPUTED_VALUE"""),7)</f>
        <v>7</v>
      </c>
      <c r="I383" s="5">
        <f ca="1">IFERROR(__xludf.DUMMYFUNCTION("""COMPUTED_VALUE"""),1000)</f>
        <v>1000</v>
      </c>
      <c r="J383" s="5">
        <f ca="1">IFERROR(__xludf.DUMMYFUNCTION("""COMPUTED_VALUE"""),864)</f>
        <v>864</v>
      </c>
      <c r="K383" s="3"/>
      <c r="L383" s="3" t="str">
        <f ca="1">IFERROR(__xludf.DUMMYFUNCTION("""COMPUTED_VALUE"""),"Cost per period")</f>
        <v>Cost per period</v>
      </c>
      <c r="M383" s="3"/>
      <c r="N383" s="3"/>
      <c r="O383" s="3" t="str">
        <f ca="1">IFERROR(__xludf.DUMMYFUNCTION("""COMPUTED_VALUE"""),"300")</f>
        <v>300</v>
      </c>
      <c r="P383" s="3" t="str">
        <f ca="1">IFERROR(__xludf.DUMMYFUNCTION("""COMPUTED_VALUE"""),"120")</f>
        <v>120</v>
      </c>
      <c r="Q383" s="3" t="str">
        <f ca="1">IFERROR(__xludf.DUMMYFUNCTION("""COMPUTED_VALUE"""),"300x120")</f>
        <v>300x120</v>
      </c>
      <c r="R383" s="3"/>
      <c r="S383" s="3" t="str">
        <f ca="1">IFERROR(__xludf.DUMMYFUNCTION("""COMPUTED_VALUE"""),"100")</f>
        <v>100</v>
      </c>
      <c r="T383" s="3"/>
      <c r="U383" s="3" t="str">
        <f ca="1">IFERROR(__xludf.DUMMYFUNCTION("""COMPUTED_VALUE"""),"banner standard")</f>
        <v>banner standard</v>
      </c>
      <c r="V383" s="3"/>
      <c r="W383" s="4" t="str">
        <f ca="1">IFERROR(__xludf.DUMMYFUNCTION("""COMPUTED_VALUE"""),"https://reklama.cncenter.cz/Online/mobilni-slide-up")</f>
        <v>https://reklama.cncenter.cz/Online/mobilni-slide-up</v>
      </c>
      <c r="X383" s="3"/>
      <c r="Y383" s="3"/>
      <c r="Z383" s="3" t="str">
        <f ca="1">IFERROR(__xludf.DUMMYFUNCTION("""COMPUTED_VALUE"""),"podklady@cncenter.cz")</f>
        <v>podklady@cncenter.cz</v>
      </c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 t="str">
        <f ca="1">IFERROR(__xludf.DUMMYFUNCTION("""COMPUTED_VALUE"""),"mobile")</f>
        <v>mobile</v>
      </c>
      <c r="AO383" s="3"/>
      <c r="AP383" s="3"/>
      <c r="AQ383" s="3"/>
      <c r="AR383" s="3"/>
      <c r="AS383" s="3"/>
      <c r="AT383" s="3"/>
      <c r="AU383" s="3" t="str">
        <f ca="1">IFERROR(__xludf.DUMMYFUNCTION("""COMPUTED_VALUE"""),"cílený mobilní slide-up")</f>
        <v>cílený mobilní slide-up</v>
      </c>
    </row>
    <row r="384" spans="1:47" x14ac:dyDescent="0.3">
      <c r="A384" s="3">
        <f ca="1"/>
        <v>2346826</v>
      </c>
      <c r="B384" s="3" t="str">
        <f ca="1"/>
        <v>CZECH NEWS CENTER a. s.</v>
      </c>
      <c r="C384" s="3" t="str">
        <f ca="1">IFERROR(__xludf.DUMMYFUNCTION("""COMPUTED_VALUE"""),"CNC ženy pack")</f>
        <v>CNC ženy pack</v>
      </c>
      <c r="D384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4" s="3" t="str">
        <f ca="1">IFERROR(__xludf.DUMMYFUNCTION("""COMPUTED_VALUE"""),"celý web")</f>
        <v>celý web</v>
      </c>
      <c r="F384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4" s="3" t="str">
        <f ca="1">IFERROR(__xludf.DUMMYFUNCTION("""COMPUTED_VALUE"""),"cílený mobilní viněta high season")</f>
        <v>cílený mobilní viněta high season</v>
      </c>
      <c r="H384" s="3">
        <f ca="1">IFERROR(__xludf.DUMMYFUNCTION("""COMPUTED_VALUE"""),7)</f>
        <v>7</v>
      </c>
      <c r="I384" s="5">
        <f ca="1">IFERROR(__xludf.DUMMYFUNCTION("""COMPUTED_VALUE"""),1000)</f>
        <v>1000</v>
      </c>
      <c r="J384" s="5">
        <f ca="1">IFERROR(__xludf.DUMMYFUNCTION("""COMPUTED_VALUE"""),1212)</f>
        <v>1212</v>
      </c>
      <c r="K384" s="3"/>
      <c r="L384" s="3" t="str">
        <f ca="1">IFERROR(__xludf.DUMMYFUNCTION("""COMPUTED_VALUE"""),"Cost per period")</f>
        <v>Cost per period</v>
      </c>
      <c r="M384" s="3"/>
      <c r="N384" s="3"/>
      <c r="O384" s="3" t="str">
        <f ca="1">IFERROR(__xludf.DUMMYFUNCTION("""COMPUTED_VALUE"""),"600")</f>
        <v>600</v>
      </c>
      <c r="P384" s="3" t="str">
        <f ca="1">IFERROR(__xludf.DUMMYFUNCTION("""COMPUTED_VALUE"""),"800")</f>
        <v>800</v>
      </c>
      <c r="Q384" s="3" t="str">
        <f ca="1">IFERROR(__xludf.DUMMYFUNCTION("""COMPUTED_VALUE"""),"300x250 nebo 600x800")</f>
        <v>300x250 nebo 600x800</v>
      </c>
      <c r="R384" s="3"/>
      <c r="S384" s="3" t="str">
        <f ca="1">IFERROR(__xludf.DUMMYFUNCTION("""COMPUTED_VALUE"""),"100")</f>
        <v>100</v>
      </c>
      <c r="T384" s="3"/>
      <c r="U384" s="3" t="str">
        <f ca="1">IFERROR(__xludf.DUMMYFUNCTION("""COMPUTED_VALUE"""),"banner standard")</f>
        <v>banner standard</v>
      </c>
      <c r="V384" s="3"/>
      <c r="W384" s="4" t="str">
        <f ca="1">IFERROR(__xludf.DUMMYFUNCTION("""COMPUTED_VALUE"""),"https://reklama.cncenter.cz/Online/mobilni-vineta")</f>
        <v>https://reklama.cncenter.cz/Online/mobilni-vineta</v>
      </c>
      <c r="X384" s="3"/>
      <c r="Y384" s="3"/>
      <c r="Z384" s="3" t="str">
        <f ca="1">IFERROR(__xludf.DUMMYFUNCTION("""COMPUTED_VALUE"""),"podklady@cncenter.cz")</f>
        <v>podklady@cncenter.cz</v>
      </c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 t="str">
        <f ca="1">IFERROR(__xludf.DUMMYFUNCTION("""COMPUTED_VALUE"""),"mobile")</f>
        <v>mobile</v>
      </c>
      <c r="AO384" s="3"/>
      <c r="AP384" s="3"/>
      <c r="AQ384" s="3"/>
      <c r="AR384" s="3"/>
      <c r="AS384" s="3"/>
      <c r="AT384" s="3"/>
      <c r="AU384" s="3" t="str">
        <f ca="1">IFERROR(__xludf.DUMMYFUNCTION("""COMPUTED_VALUE"""),"cílený mobilní viněta")</f>
        <v>cílený mobilní viněta</v>
      </c>
    </row>
    <row r="385" spans="1:47" x14ac:dyDescent="0.3">
      <c r="A385" s="3">
        <f ca="1"/>
        <v>2346826</v>
      </c>
      <c r="B385" s="3" t="str">
        <f ca="1"/>
        <v>CZECH NEWS CENTER a. s.</v>
      </c>
      <c r="C385" s="3" t="str">
        <f ca="1">IFERROR(__xludf.DUMMYFUNCTION("""COMPUTED_VALUE"""),"CNC ženy pack")</f>
        <v>CNC ženy pack</v>
      </c>
      <c r="D385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5" s="3" t="str">
        <f ca="1">IFERROR(__xludf.DUMMYFUNCTION("""COMPUTED_VALUE"""),"celý web")</f>
        <v>celý web</v>
      </c>
      <c r="F385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5" s="3" t="str">
        <f ca="1">IFERROR(__xludf.DUMMYFUNCTION("""COMPUTED_VALUE"""),"cílený nativní rectangle cross-device high season")</f>
        <v>cílený nativní rectangle cross-device high season</v>
      </c>
      <c r="H385" s="3">
        <f ca="1">IFERROR(__xludf.DUMMYFUNCTION("""COMPUTED_VALUE"""),7)</f>
        <v>7</v>
      </c>
      <c r="I385" s="5">
        <f ca="1">IFERROR(__xludf.DUMMYFUNCTION("""COMPUTED_VALUE"""),1000)</f>
        <v>1000</v>
      </c>
      <c r="J385" s="5">
        <f ca="1">IFERROR(__xludf.DUMMYFUNCTION("""COMPUTED_VALUE"""),324)</f>
        <v>324</v>
      </c>
      <c r="K385" s="3"/>
      <c r="L385" s="3" t="str">
        <f ca="1">IFERROR(__xludf.DUMMYFUNCTION("""COMPUTED_VALUE"""),"Cost per period")</f>
        <v>Cost per period</v>
      </c>
      <c r="M385" s="3"/>
      <c r="N385" s="3"/>
      <c r="O385" s="3" t="str">
        <f ca="1">IFERROR(__xludf.DUMMYFUNCTION("""COMPUTED_VALUE"""),"640")</f>
        <v>640</v>
      </c>
      <c r="P385" s="3" t="str">
        <f ca="1">IFERROR(__xludf.DUMMYFUNCTION("""COMPUTED_VALUE"""),"335, 640")</f>
        <v>335, 640</v>
      </c>
      <c r="Q385" s="3" t="str">
        <f ca="1">IFERROR(__xludf.DUMMYFUNCTION("""COMPUTED_VALUE"""),"640x640 a 640x335 + text + logo")</f>
        <v>640x640 a 640x335 + text + logo</v>
      </c>
      <c r="R385" s="3"/>
      <c r="S385" s="3" t="str">
        <f ca="1">IFERROR(__xludf.DUMMYFUNCTION("""COMPUTED_VALUE"""),"45")</f>
        <v>45</v>
      </c>
      <c r="T385" s="3"/>
      <c r="U385" s="3" t="str">
        <f ca="1">IFERROR(__xludf.DUMMYFUNCTION("""COMPUTED_VALUE"""),"nativní reklama")</f>
        <v>nativní reklama</v>
      </c>
      <c r="V385" s="3"/>
      <c r="W385" s="4" t="str">
        <f ca="1">IFERROR(__xludf.DUMMYFUNCTION("""COMPUTED_VALUE"""),"https://reklama.cncenter.cz/Online/nativni-rectangle-cross-device")</f>
        <v>https://reklama.cncenter.cz/Online/nativni-rectangle-cross-device</v>
      </c>
      <c r="X385" s="3"/>
      <c r="Y385" s="3"/>
      <c r="Z385" s="3" t="str">
        <f ca="1">IFERROR(__xludf.DUMMYFUNCTION("""COMPUTED_VALUE"""),"podklady@cncenter.cz")</f>
        <v>podklady@cncenter.cz</v>
      </c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 t="str">
        <f ca="1">IFERROR(__xludf.DUMMYFUNCTION("""COMPUTED_VALUE"""),"cross-device")</f>
        <v>cross-device</v>
      </c>
      <c r="AO385" s="3"/>
      <c r="AP385" s="3"/>
      <c r="AQ385" s="3"/>
      <c r="AR385" s="3"/>
      <c r="AS385" s="3"/>
      <c r="AT385" s="3"/>
      <c r="AU385" s="3" t="str">
        <f ca="1">IFERROR(__xludf.DUMMYFUNCTION("""COMPUTED_VALUE"""),"cílený nativní rectangle cross-device")</f>
        <v>cílený nativní rectangle cross-device</v>
      </c>
    </row>
    <row r="386" spans="1:47" x14ac:dyDescent="0.3">
      <c r="A386" s="3">
        <f ca="1"/>
        <v>2346826</v>
      </c>
      <c r="B386" s="3" t="str">
        <f ca="1"/>
        <v>CZECH NEWS CENTER a. s.</v>
      </c>
      <c r="C386" s="3" t="str">
        <f ca="1">IFERROR(__xludf.DUMMYFUNCTION("""COMPUTED_VALUE"""),"CNC ženy pack")</f>
        <v>CNC ženy pack</v>
      </c>
      <c r="D386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6" s="3" t="str">
        <f ca="1">IFERROR(__xludf.DUMMYFUNCTION("""COMPUTED_VALUE"""),"celý web")</f>
        <v>celý web</v>
      </c>
      <c r="F386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6" s="3" t="str">
        <f ca="1">IFERROR(__xludf.DUMMYFUNCTION("""COMPUTED_VALUE"""),"cílený outstream high season")</f>
        <v>cílený outstream high season</v>
      </c>
      <c r="H386" s="3">
        <f ca="1">IFERROR(__xludf.DUMMYFUNCTION("""COMPUTED_VALUE"""),7)</f>
        <v>7</v>
      </c>
      <c r="I386" s="5">
        <f ca="1">IFERROR(__xludf.DUMMYFUNCTION("""COMPUTED_VALUE"""),1000)</f>
        <v>1000</v>
      </c>
      <c r="J386" s="5">
        <f ca="1">IFERROR(__xludf.DUMMYFUNCTION("""COMPUTED_VALUE"""),504)</f>
        <v>504</v>
      </c>
      <c r="K386" s="3"/>
      <c r="L386" s="3" t="str">
        <f ca="1">IFERROR(__xludf.DUMMYFUNCTION("""COMPUTED_VALUE"""),"Cost per period")</f>
        <v>Cost per period</v>
      </c>
      <c r="M386" s="3"/>
      <c r="N386" s="3"/>
      <c r="O386" s="3" t="str">
        <f ca="1">IFERROR(__xludf.DUMMYFUNCTION("""COMPUTED_VALUE"""),"1280")</f>
        <v>1280</v>
      </c>
      <c r="P386" s="3" t="str">
        <f ca="1">IFERROR(__xludf.DUMMYFUNCTION("""COMPUTED_VALUE"""),"720")</f>
        <v>720</v>
      </c>
      <c r="Q386" s="3" t="str">
        <f ca="1">IFERROR(__xludf.DUMMYFUNCTION("""COMPUTED_VALUE"""),"16:9")</f>
        <v>16:9</v>
      </c>
      <c r="R386" s="3"/>
      <c r="S386" s="3" t="str">
        <f ca="1">IFERROR(__xludf.DUMMYFUNCTION("""COMPUTED_VALUE"""),"100")</f>
        <v>100</v>
      </c>
      <c r="T386" s="3"/>
      <c r="U386" s="3" t="str">
        <f ca="1">IFERROR(__xludf.DUMMYFUNCTION("""COMPUTED_VALUE"""),"videospot")</f>
        <v>videospot</v>
      </c>
      <c r="V386" s="3"/>
      <c r="W386" s="4" t="str">
        <f ca="1">IFERROR(__xludf.DUMMYFUNCTION("""COMPUTED_VALUE"""),"https://reklama.cncenter.cz/Online/Outstream")</f>
        <v>https://reklama.cncenter.cz/Online/Outstream</v>
      </c>
      <c r="X386" s="3"/>
      <c r="Y386" s="3"/>
      <c r="Z386" s="3" t="str">
        <f ca="1">IFERROR(__xludf.DUMMYFUNCTION("""COMPUTED_VALUE"""),"podklady@cncenter.cz")</f>
        <v>podklady@cncenter.cz</v>
      </c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 t="str">
        <f ca="1">IFERROR(__xludf.DUMMYFUNCTION("""COMPUTED_VALUE"""),"cross-device")</f>
        <v>cross-device</v>
      </c>
      <c r="AO386" s="3"/>
      <c r="AP386" s="3"/>
      <c r="AQ386" s="3"/>
      <c r="AR386" s="3"/>
      <c r="AS386" s="3"/>
      <c r="AT386" s="3"/>
      <c r="AU386" s="3" t="str">
        <f ca="1">IFERROR(__xludf.DUMMYFUNCTION("""COMPUTED_VALUE"""),"cílený outstream")</f>
        <v>cílený outstream</v>
      </c>
    </row>
    <row r="387" spans="1:47" x14ac:dyDescent="0.3">
      <c r="A387" s="3">
        <f ca="1"/>
        <v>2346826</v>
      </c>
      <c r="B387" s="3" t="str">
        <f ca="1"/>
        <v>CZECH NEWS CENTER a. s.</v>
      </c>
      <c r="C387" s="3" t="str">
        <f ca="1">IFERROR(__xludf.DUMMYFUNCTION("""COMPUTED_VALUE"""),"CNC ženy pack")</f>
        <v>CNC ženy pack</v>
      </c>
      <c r="D387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7" s="3" t="str">
        <f ca="1">IFERROR(__xludf.DUMMYFUNCTION("""COMPUTED_VALUE"""),"celý web")</f>
        <v>celý web</v>
      </c>
      <c r="F387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7" s="3" t="str">
        <f ca="1">IFERROR(__xludf.DUMMYFUNCTION("""COMPUTED_VALUE"""),"cílený Smarticle high season")</f>
        <v>cílený Smarticle high season</v>
      </c>
      <c r="H387" s="3">
        <f ca="1">IFERROR(__xludf.DUMMYFUNCTION("""COMPUTED_VALUE"""),7)</f>
        <v>7</v>
      </c>
      <c r="I387" s="5">
        <f ca="1">IFERROR(__xludf.DUMMYFUNCTION("""COMPUTED_VALUE"""),1000)</f>
        <v>1000</v>
      </c>
      <c r="J387" s="5">
        <f ca="1">IFERROR(__xludf.DUMMYFUNCTION("""COMPUTED_VALUE"""),240)</f>
        <v>240</v>
      </c>
      <c r="K387" s="3"/>
      <c r="L387" s="3" t="str">
        <f ca="1">IFERROR(__xludf.DUMMYFUNCTION("""COMPUTED_VALUE"""),"Cost per period")</f>
        <v>Cost per period</v>
      </c>
      <c r="M387" s="3"/>
      <c r="N387" s="3" t="str">
        <f ca="1">IFERROR(__xludf.DUMMYFUNCTION("""COMPUTED_VALUE"""),"A4")</f>
        <v>A4</v>
      </c>
      <c r="O387" s="3"/>
      <c r="P387" s="3"/>
      <c r="Q387" s="3" t="str">
        <f ca="1">IFERROR(__xludf.DUMMYFUNCTION("""COMPUTED_VALUE"""),"viz. tech.specifikace; HP + sekce")</f>
        <v>viz. tech.specifikace; HP + sekce</v>
      </c>
      <c r="R387" s="3" t="str">
        <f ca="1">IFERROR(__xludf.DUMMYFUNCTION("""COMPUTED_VALUE"""),"HP + sekce")</f>
        <v>HP + sekce</v>
      </c>
      <c r="S387" s="3" t="str">
        <f ca="1">IFERROR(__xludf.DUMMYFUNCTION("""COMPUTED_VALUE"""),"100")</f>
        <v>100</v>
      </c>
      <c r="T387" s="3"/>
      <c r="U387" s="3" t="str">
        <f ca="1">IFERROR(__xludf.DUMMYFUNCTION("""COMPUTED_VALUE"""),"pr článek")</f>
        <v>pr článek</v>
      </c>
      <c r="V387" s="3"/>
      <c r="W387" s="4" t="str">
        <f ca="1">IFERROR(__xludf.DUMMYFUNCTION("""COMPUTED_VALUE"""),"https://reklama.cncenter.cz/Online/Smarticle")</f>
        <v>https://reklama.cncenter.cz/Online/Smarticle</v>
      </c>
      <c r="X387" s="3"/>
      <c r="Y387" s="3"/>
      <c r="Z387" s="3" t="str">
        <f ca="1">IFERROR(__xludf.DUMMYFUNCTION("""COMPUTED_VALUE"""),"podklady@cncenter.cz")</f>
        <v>podklady@cncenter.cz</v>
      </c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 t="str">
        <f ca="1">IFERROR(__xludf.DUMMYFUNCTION("""COMPUTED_VALUE"""),"cross-device")</f>
        <v>cross-device</v>
      </c>
      <c r="AO387" s="3"/>
      <c r="AP387" s="3"/>
      <c r="AQ387" s="3"/>
      <c r="AR387" s="3"/>
      <c r="AS387" s="3"/>
      <c r="AT387" s="3"/>
      <c r="AU387" s="3" t="str">
        <f ca="1">IFERROR(__xludf.DUMMYFUNCTION("""COMPUTED_VALUE"""),"cílený Smarticle")</f>
        <v>cílený Smarticle</v>
      </c>
    </row>
    <row r="388" spans="1:47" x14ac:dyDescent="0.3">
      <c r="A388" s="3">
        <f ca="1"/>
        <v>2346826</v>
      </c>
      <c r="B388" s="3" t="str">
        <f ca="1"/>
        <v>CZECH NEWS CENTER a. s.</v>
      </c>
      <c r="C388" s="3" t="str">
        <f ca="1">IFERROR(__xludf.DUMMYFUNCTION("""COMPUTED_VALUE"""),"CNC ženy pack")</f>
        <v>CNC ženy pack</v>
      </c>
      <c r="D388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8" s="3" t="str">
        <f ca="1">IFERROR(__xludf.DUMMYFUNCTION("""COMPUTED_VALUE"""),"celý web")</f>
        <v>celý web</v>
      </c>
      <c r="F388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8" s="3" t="str">
        <f ca="1">IFERROR(__xludf.DUMMYFUNCTION("""COMPUTED_VALUE"""),"cílený videospot - max. 30 sec. / bumper high season")</f>
        <v>cílený videospot - max. 30 sec. / bumper high season</v>
      </c>
      <c r="H388" s="3">
        <f ca="1">IFERROR(__xludf.DUMMYFUNCTION("""COMPUTED_VALUE"""),7)</f>
        <v>7</v>
      </c>
      <c r="I388" s="5">
        <f ca="1">IFERROR(__xludf.DUMMYFUNCTION("""COMPUTED_VALUE"""),1000)</f>
        <v>1000</v>
      </c>
      <c r="J388" s="5">
        <f ca="1">IFERROR(__xludf.DUMMYFUNCTION("""COMPUTED_VALUE"""),1476)</f>
        <v>1476</v>
      </c>
      <c r="K388" s="3"/>
      <c r="L388" s="3" t="str">
        <f ca="1">IFERROR(__xludf.DUMMYFUNCTION("""COMPUTED_VALUE"""),"Cost per period")</f>
        <v>Cost per period</v>
      </c>
      <c r="M388" s="3"/>
      <c r="N388" s="3"/>
      <c r="O388" s="3" t="str">
        <f ca="1">IFERROR(__xludf.DUMMYFUNCTION("""COMPUTED_VALUE"""),"1280")</f>
        <v>1280</v>
      </c>
      <c r="P388" s="3" t="str">
        <f ca="1">IFERROR(__xludf.DUMMYFUNCTION("""COMPUTED_VALUE"""),"720")</f>
        <v>720</v>
      </c>
      <c r="Q388" s="3" t="str">
        <f ca="1">IFERROR(__xludf.DUMMYFUNCTION("""COMPUTED_VALUE"""),"16:9 / umístění po domluvě dle možností")</f>
        <v>16:9 / umístění po domluvě dle možností</v>
      </c>
      <c r="R388" s="3" t="str">
        <f ca="1">IFERROR(__xludf.DUMMYFUNCTION("""COMPUTED_VALUE"""),"přeskočení po 7 sekundách")</f>
        <v>přeskočení po 7 sekundách</v>
      </c>
      <c r="S388" s="3" t="str">
        <f ca="1">IFERROR(__xludf.DUMMYFUNCTION("""COMPUTED_VALUE"""),"100")</f>
        <v>100</v>
      </c>
      <c r="T388" s="3"/>
      <c r="U388" s="3" t="str">
        <f ca="1">IFERROR(__xludf.DUMMYFUNCTION("""COMPUTED_VALUE"""),"videospot")</f>
        <v>videospot</v>
      </c>
      <c r="V388" s="3"/>
      <c r="W388" s="4" t="str">
        <f ca="1">IFERROR(__xludf.DUMMYFUNCTION("""COMPUTED_VALUE"""),"https://reklama.cncenter.cz/Online/Bumper")</f>
        <v>https://reklama.cncenter.cz/Online/Bumper</v>
      </c>
      <c r="X388" s="3"/>
      <c r="Y388" s="3"/>
      <c r="Z388" s="3" t="str">
        <f ca="1">IFERROR(__xludf.DUMMYFUNCTION("""COMPUTED_VALUE"""),"podklady@cncenter.cz")</f>
        <v>podklady@cncenter.cz</v>
      </c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 t="str">
        <f ca="1">IFERROR(__xludf.DUMMYFUNCTION("""COMPUTED_VALUE"""),"cross-device")</f>
        <v>cross-device</v>
      </c>
      <c r="AO388" s="3"/>
      <c r="AP388" s="3"/>
      <c r="AQ388" s="3"/>
      <c r="AR388" s="3"/>
      <c r="AS388" s="3"/>
      <c r="AT388" s="3"/>
      <c r="AU388" s="3" t="str">
        <f ca="1">IFERROR(__xludf.DUMMYFUNCTION("""COMPUTED_VALUE"""),"cílený videospot - max. 30 sec. / bumper")</f>
        <v>cílený videospot - max. 30 sec. / bumper</v>
      </c>
    </row>
    <row r="389" spans="1:47" x14ac:dyDescent="0.3">
      <c r="A389" s="3">
        <f ca="1"/>
        <v>2346826</v>
      </c>
      <c r="B389" s="3" t="str">
        <f ca="1"/>
        <v>CZECH NEWS CENTER a. s.</v>
      </c>
      <c r="C389" s="3" t="str">
        <f ca="1">IFERROR(__xludf.DUMMYFUNCTION("""COMPUTED_VALUE"""),"CNC ženy pack")</f>
        <v>CNC ženy pack</v>
      </c>
      <c r="D389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89" s="3" t="str">
        <f ca="1">IFERROR(__xludf.DUMMYFUNCTION("""COMPUTED_VALUE"""),"celý web")</f>
        <v>celý web</v>
      </c>
      <c r="F389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89" s="3" t="str">
        <f ca="1">IFERROR(__xludf.DUMMYFUNCTION("""COMPUTED_VALUE"""),"double skyscraper high season")</f>
        <v>double skyscraper high season</v>
      </c>
      <c r="H389" s="3">
        <f ca="1">IFERROR(__xludf.DUMMYFUNCTION("""COMPUTED_VALUE"""),7)</f>
        <v>7</v>
      </c>
      <c r="I389" s="5">
        <f ca="1">IFERROR(__xludf.DUMMYFUNCTION("""COMPUTED_VALUE"""),1000)</f>
        <v>1000</v>
      </c>
      <c r="J389" s="5">
        <f ca="1">IFERROR(__xludf.DUMMYFUNCTION("""COMPUTED_VALUE"""),270)</f>
        <v>270</v>
      </c>
      <c r="K389" s="3"/>
      <c r="L389" s="3" t="str">
        <f ca="1">IFERROR(__xludf.DUMMYFUNCTION("""COMPUTED_VALUE"""),"Cost per period")</f>
        <v>Cost per period</v>
      </c>
      <c r="M389" s="3"/>
      <c r="N389" s="3"/>
      <c r="O389" s="3" t="str">
        <f ca="1">IFERROR(__xludf.DUMMYFUNCTION("""COMPUTED_VALUE"""),"300")</f>
        <v>300</v>
      </c>
      <c r="P389" s="3" t="str">
        <f ca="1">IFERROR(__xludf.DUMMYFUNCTION("""COMPUTED_VALUE"""),"600")</f>
        <v>600</v>
      </c>
      <c r="Q389" s="3" t="str">
        <f ca="1">IFERROR(__xludf.DUMMYFUNCTION("""COMPUTED_VALUE"""),"300x600")</f>
        <v>300x600</v>
      </c>
      <c r="R389" s="3"/>
      <c r="S389" s="3" t="str">
        <f ca="1">IFERROR(__xludf.DUMMYFUNCTION("""COMPUTED_VALUE"""),"100 (200 - HTML5)")</f>
        <v>100 (200 - HTML5)</v>
      </c>
      <c r="T389" s="3"/>
      <c r="U389" s="3" t="str">
        <f ca="1">IFERROR(__xludf.DUMMYFUNCTION("""COMPUTED_VALUE"""),"banner standard")</f>
        <v>banner standard</v>
      </c>
      <c r="V389" s="3"/>
      <c r="W389" s="4" t="str">
        <f ca="1">IFERROR(__xludf.DUMMYFUNCTION("""COMPUTED_VALUE"""),"https://reklama.cncenter.cz/Online/double-skyscraper")</f>
        <v>https://reklama.cncenter.cz/Online/double-skyscraper</v>
      </c>
      <c r="X389" s="3"/>
      <c r="Y389" s="3"/>
      <c r="Z389" s="3" t="str">
        <f ca="1">IFERROR(__xludf.DUMMYFUNCTION("""COMPUTED_VALUE"""),"podklady@cncenter.cz")</f>
        <v>podklady@cncenter.cz</v>
      </c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 t="str">
        <f ca="1">IFERROR(__xludf.DUMMYFUNCTION("""COMPUTED_VALUE"""),"desktop")</f>
        <v>desktop</v>
      </c>
      <c r="AO389" s="3"/>
      <c r="AP389" s="3"/>
      <c r="AQ389" s="3"/>
      <c r="AR389" s="3"/>
      <c r="AS389" s="3"/>
      <c r="AT389" s="3"/>
      <c r="AU389" s="3" t="str">
        <f ca="1">IFERROR(__xludf.DUMMYFUNCTION("""COMPUTED_VALUE"""),"double skyscraper")</f>
        <v>double skyscraper</v>
      </c>
    </row>
    <row r="390" spans="1:47" x14ac:dyDescent="0.3">
      <c r="A390" s="3">
        <f ca="1"/>
        <v>2346826</v>
      </c>
      <c r="B390" s="3" t="str">
        <f ca="1"/>
        <v>CZECH NEWS CENTER a. s.</v>
      </c>
      <c r="C390" s="3" t="str">
        <f ca="1">IFERROR(__xludf.DUMMYFUNCTION("""COMPUTED_VALUE"""),"CNC ženy pack")</f>
        <v>CNC ženy pack</v>
      </c>
      <c r="D390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0" s="3" t="str">
        <f ca="1">IFERROR(__xludf.DUMMYFUNCTION("""COMPUTED_VALUE"""),"celý web")</f>
        <v>celý web</v>
      </c>
      <c r="F390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0" s="3" t="str">
        <f ca="1">IFERROR(__xludf.DUMMYFUNCTION("""COMPUTED_VALUE"""),"mini videospot - max. 30 sec. high season")</f>
        <v>mini videospot - max. 30 sec. high season</v>
      </c>
      <c r="H390" s="3">
        <f ca="1">IFERROR(__xludf.DUMMYFUNCTION("""COMPUTED_VALUE"""),7)</f>
        <v>7</v>
      </c>
      <c r="I390" s="5">
        <f ca="1">IFERROR(__xludf.DUMMYFUNCTION("""COMPUTED_VALUE"""),1000)</f>
        <v>1000</v>
      </c>
      <c r="J390" s="5">
        <f ca="1">IFERROR(__xludf.DUMMYFUNCTION("""COMPUTED_VALUE"""),270)</f>
        <v>270</v>
      </c>
      <c r="K390" s="3"/>
      <c r="L390" s="3" t="str">
        <f ca="1">IFERROR(__xludf.DUMMYFUNCTION("""COMPUTED_VALUE"""),"Cost per period")</f>
        <v>Cost per period</v>
      </c>
      <c r="M390" s="3"/>
      <c r="N390" s="3"/>
      <c r="O390" s="3"/>
      <c r="P390" s="3"/>
      <c r="Q390" s="3" t="str">
        <f ca="1">IFERROR(__xludf.DUMMYFUNCTION("""COMPUTED_VALUE"""),"16:9 / umístění po domluvě dle možností")</f>
        <v>16:9 / umístění po domluvě dle možností</v>
      </c>
      <c r="R390" s="3" t="str">
        <f ca="1">IFERROR(__xludf.DUMMYFUNCTION("""COMPUTED_VALUE"""),"přeskočení po 7 sekundách")</f>
        <v>přeskočení po 7 sekundách</v>
      </c>
      <c r="S390" s="3" t="str">
        <f ca="1">IFERROR(__xludf.DUMMYFUNCTION("""COMPUTED_VALUE"""),"100")</f>
        <v>100</v>
      </c>
      <c r="T390" s="3"/>
      <c r="U390" s="3" t="str">
        <f ca="1">IFERROR(__xludf.DUMMYFUNCTION("""COMPUTED_VALUE"""),"videospot")</f>
        <v>videospot</v>
      </c>
      <c r="V390" s="3"/>
      <c r="W390" s="4" t="str">
        <f ca="1">IFERROR(__xludf.DUMMYFUNCTION("""COMPUTED_VALUE"""),"https://reklama.cncenter.cz/Online/Videospot")</f>
        <v>https://reklama.cncenter.cz/Online/Videospot</v>
      </c>
      <c r="X390" s="3"/>
      <c r="Y390" s="3"/>
      <c r="Z390" s="3" t="str">
        <f ca="1">IFERROR(__xludf.DUMMYFUNCTION("""COMPUTED_VALUE"""),"podklady@cncenter.cz")</f>
        <v>podklady@cncenter.cz</v>
      </c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 t="str">
        <f ca="1">IFERROR(__xludf.DUMMYFUNCTION("""COMPUTED_VALUE"""),"desktop")</f>
        <v>desktop</v>
      </c>
      <c r="AO390" s="3"/>
      <c r="AP390" s="3"/>
      <c r="AQ390" s="3"/>
      <c r="AR390" s="3"/>
      <c r="AS390" s="3"/>
      <c r="AT390" s="3"/>
      <c r="AU390" s="3" t="str">
        <f ca="1">IFERROR(__xludf.DUMMYFUNCTION("""COMPUTED_VALUE"""),"mini videospot - max. 30 sec.")</f>
        <v>mini videospot - max. 30 sec.</v>
      </c>
    </row>
    <row r="391" spans="1:47" x14ac:dyDescent="0.3">
      <c r="A391" s="3">
        <f ca="1"/>
        <v>2346826</v>
      </c>
      <c r="B391" s="3" t="str">
        <f ca="1"/>
        <v>CZECH NEWS CENTER a. s.</v>
      </c>
      <c r="C391" s="3" t="str">
        <f ca="1">IFERROR(__xludf.DUMMYFUNCTION("""COMPUTED_VALUE"""),"CNC ženy pack")</f>
        <v>CNC ženy pack</v>
      </c>
      <c r="D391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1" s="3" t="str">
        <f ca="1">IFERROR(__xludf.DUMMYFUNCTION("""COMPUTED_VALUE"""),"celý web")</f>
        <v>celý web</v>
      </c>
      <c r="F391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1" s="3" t="str">
        <f ca="1">IFERROR(__xludf.DUMMYFUNCTION("""COMPUTED_VALUE"""),"mobilní interscroller high season")</f>
        <v>mobilní interscroller high season</v>
      </c>
      <c r="H391" s="3">
        <f ca="1">IFERROR(__xludf.DUMMYFUNCTION("""COMPUTED_VALUE"""),7)</f>
        <v>7</v>
      </c>
      <c r="I391" s="5">
        <f ca="1">IFERROR(__xludf.DUMMYFUNCTION("""COMPUTED_VALUE"""),1000)</f>
        <v>1000</v>
      </c>
      <c r="J391" s="5">
        <f ca="1">IFERROR(__xludf.DUMMYFUNCTION("""COMPUTED_VALUE"""),360)</f>
        <v>360</v>
      </c>
      <c r="K391" s="3"/>
      <c r="L391" s="3" t="str">
        <f ca="1">IFERROR(__xludf.DUMMYFUNCTION("""COMPUTED_VALUE"""),"Cost per period")</f>
        <v>Cost per period</v>
      </c>
      <c r="M391" s="3"/>
      <c r="N391" s="3"/>
      <c r="O391" s="3" t="str">
        <f ca="1">IFERROR(__xludf.DUMMYFUNCTION("""COMPUTED_VALUE"""),"600")</f>
        <v>600</v>
      </c>
      <c r="P391" s="3" t="str">
        <f ca="1">IFERROR(__xludf.DUMMYFUNCTION("""COMPUTED_VALUE"""),"1080")</f>
        <v>1080</v>
      </c>
      <c r="Q391" s="3" t="str">
        <f ca="1">IFERROR(__xludf.DUMMYFUNCTION("""COMPUTED_VALUE"""),"600x1080")</f>
        <v>600x1080</v>
      </c>
      <c r="R391" s="3"/>
      <c r="S391" s="3" t="str">
        <f ca="1">IFERROR(__xludf.DUMMYFUNCTION("""COMPUTED_VALUE"""),"200")</f>
        <v>200</v>
      </c>
      <c r="T391" s="3"/>
      <c r="U391" s="3" t="str">
        <f ca="1">IFERROR(__xludf.DUMMYFUNCTION("""COMPUTED_VALUE"""),"banner standard")</f>
        <v>banner standard</v>
      </c>
      <c r="V391" s="3"/>
      <c r="W391" s="4" t="str">
        <f ca="1">IFERROR(__xludf.DUMMYFUNCTION("""COMPUTED_VALUE"""),"https://reklama.cncenter.cz/Online/mobilni-interscroller")</f>
        <v>https://reklama.cncenter.cz/Online/mobilni-interscroller</v>
      </c>
      <c r="X391" s="3"/>
      <c r="Y391" s="3"/>
      <c r="Z391" s="3" t="str">
        <f ca="1">IFERROR(__xludf.DUMMYFUNCTION("""COMPUTED_VALUE"""),"podklady@cncenter.cz")</f>
        <v>podklady@cncenter.cz</v>
      </c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 t="str">
        <f ca="1">IFERROR(__xludf.DUMMYFUNCTION("""COMPUTED_VALUE"""),"mobile")</f>
        <v>mobile</v>
      </c>
      <c r="AO391" s="3"/>
      <c r="AP391" s="3"/>
      <c r="AQ391" s="3"/>
      <c r="AR391" s="3"/>
      <c r="AS391" s="3"/>
      <c r="AT391" s="3"/>
      <c r="AU391" s="3" t="str">
        <f ca="1">IFERROR(__xludf.DUMMYFUNCTION("""COMPUTED_VALUE"""),"mobilní interscroller")</f>
        <v>mobilní interscroller</v>
      </c>
    </row>
    <row r="392" spans="1:47" x14ac:dyDescent="0.3">
      <c r="A392" s="3">
        <f ca="1"/>
        <v>2346826</v>
      </c>
      <c r="B392" s="3" t="str">
        <f ca="1"/>
        <v>CZECH NEWS CENTER a. s.</v>
      </c>
      <c r="C392" s="3" t="str">
        <f ca="1">IFERROR(__xludf.DUMMYFUNCTION("""COMPUTED_VALUE"""),"CNC ženy pack")</f>
        <v>CNC ženy pack</v>
      </c>
      <c r="D392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2" s="3" t="str">
        <f ca="1">IFERROR(__xludf.DUMMYFUNCTION("""COMPUTED_VALUE"""),"celý web")</f>
        <v>celý web</v>
      </c>
      <c r="F392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2" s="3" t="str">
        <f ca="1">IFERROR(__xludf.DUMMYFUNCTION("""COMPUTED_VALUE"""),"mobilní slide-up high season")</f>
        <v>mobilní slide-up high season</v>
      </c>
      <c r="H392" s="3">
        <f ca="1">IFERROR(__xludf.DUMMYFUNCTION("""COMPUTED_VALUE"""),7)</f>
        <v>7</v>
      </c>
      <c r="I392" s="5">
        <f ca="1">IFERROR(__xludf.DUMMYFUNCTION("""COMPUTED_VALUE"""),1000)</f>
        <v>1000</v>
      </c>
      <c r="J392" s="5">
        <f ca="1">IFERROR(__xludf.DUMMYFUNCTION("""COMPUTED_VALUE"""),720)</f>
        <v>720</v>
      </c>
      <c r="K392" s="3"/>
      <c r="L392" s="3" t="str">
        <f ca="1">IFERROR(__xludf.DUMMYFUNCTION("""COMPUTED_VALUE"""),"Cost per period")</f>
        <v>Cost per period</v>
      </c>
      <c r="M392" s="3"/>
      <c r="N392" s="3"/>
      <c r="O392" s="3" t="str">
        <f ca="1">IFERROR(__xludf.DUMMYFUNCTION("""COMPUTED_VALUE"""),"300")</f>
        <v>300</v>
      </c>
      <c r="P392" s="3" t="str">
        <f ca="1">IFERROR(__xludf.DUMMYFUNCTION("""COMPUTED_VALUE"""),"120")</f>
        <v>120</v>
      </c>
      <c r="Q392" s="3" t="str">
        <f ca="1">IFERROR(__xludf.DUMMYFUNCTION("""COMPUTED_VALUE"""),"300x120")</f>
        <v>300x120</v>
      </c>
      <c r="R392" s="3"/>
      <c r="S392" s="3" t="str">
        <f ca="1">IFERROR(__xludf.DUMMYFUNCTION("""COMPUTED_VALUE"""),"100")</f>
        <v>100</v>
      </c>
      <c r="T392" s="3"/>
      <c r="U392" s="3" t="str">
        <f ca="1">IFERROR(__xludf.DUMMYFUNCTION("""COMPUTED_VALUE"""),"banner standard")</f>
        <v>banner standard</v>
      </c>
      <c r="V392" s="3"/>
      <c r="W392" s="4" t="str">
        <f ca="1">IFERROR(__xludf.DUMMYFUNCTION("""COMPUTED_VALUE"""),"https://reklama.cncenter.cz/Online/mobilni-slide-up")</f>
        <v>https://reklama.cncenter.cz/Online/mobilni-slide-up</v>
      </c>
      <c r="X392" s="3"/>
      <c r="Y392" s="3"/>
      <c r="Z392" s="3" t="str">
        <f ca="1">IFERROR(__xludf.DUMMYFUNCTION("""COMPUTED_VALUE"""),"podklady@cncenter.cz")</f>
        <v>podklady@cncenter.cz</v>
      </c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 t="str">
        <f ca="1">IFERROR(__xludf.DUMMYFUNCTION("""COMPUTED_VALUE"""),"mobile")</f>
        <v>mobile</v>
      </c>
      <c r="AO392" s="3"/>
      <c r="AP392" s="3"/>
      <c r="AQ392" s="3"/>
      <c r="AR392" s="3"/>
      <c r="AS392" s="3"/>
      <c r="AT392" s="3"/>
      <c r="AU392" s="3" t="str">
        <f ca="1">IFERROR(__xludf.DUMMYFUNCTION("""COMPUTED_VALUE"""),"mobilní slide-up")</f>
        <v>mobilní slide-up</v>
      </c>
    </row>
    <row r="393" spans="1:47" x14ac:dyDescent="0.3">
      <c r="A393" s="3">
        <f ca="1"/>
        <v>2346826</v>
      </c>
      <c r="B393" s="3" t="str">
        <f ca="1"/>
        <v>CZECH NEWS CENTER a. s.</v>
      </c>
      <c r="C393" s="3" t="str">
        <f ca="1">IFERROR(__xludf.DUMMYFUNCTION("""COMPUTED_VALUE"""),"CNC ženy pack")</f>
        <v>CNC ženy pack</v>
      </c>
      <c r="D393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3" s="3" t="str">
        <f ca="1">IFERROR(__xludf.DUMMYFUNCTION("""COMPUTED_VALUE"""),"celý web")</f>
        <v>celý web</v>
      </c>
      <c r="F393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3" s="3" t="str">
        <f ca="1">IFERROR(__xludf.DUMMYFUNCTION("""COMPUTED_VALUE"""),"mobilní viněta high season")</f>
        <v>mobilní viněta high season</v>
      </c>
      <c r="H393" s="3">
        <f ca="1">IFERROR(__xludf.DUMMYFUNCTION("""COMPUTED_VALUE"""),7)</f>
        <v>7</v>
      </c>
      <c r="I393" s="5">
        <f ca="1">IFERROR(__xludf.DUMMYFUNCTION("""COMPUTED_VALUE"""),1000)</f>
        <v>1000</v>
      </c>
      <c r="J393" s="5">
        <f ca="1">IFERROR(__xludf.DUMMYFUNCTION("""COMPUTED_VALUE"""),1010)</f>
        <v>1010</v>
      </c>
      <c r="K393" s="3"/>
      <c r="L393" s="3" t="str">
        <f ca="1">IFERROR(__xludf.DUMMYFUNCTION("""COMPUTED_VALUE"""),"Cost per period")</f>
        <v>Cost per period</v>
      </c>
      <c r="M393" s="3"/>
      <c r="N393" s="3"/>
      <c r="O393" s="3" t="str">
        <f ca="1">IFERROR(__xludf.DUMMYFUNCTION("""COMPUTED_VALUE"""),"600")</f>
        <v>600</v>
      </c>
      <c r="P393" s="3" t="str">
        <f ca="1">IFERROR(__xludf.DUMMYFUNCTION("""COMPUTED_VALUE"""),"800")</f>
        <v>800</v>
      </c>
      <c r="Q393" s="3" t="str">
        <f ca="1">IFERROR(__xludf.DUMMYFUNCTION("""COMPUTED_VALUE"""),"300x250 nebo 600x800")</f>
        <v>300x250 nebo 600x800</v>
      </c>
      <c r="R393" s="3"/>
      <c r="S393" s="3" t="str">
        <f ca="1">IFERROR(__xludf.DUMMYFUNCTION("""COMPUTED_VALUE"""),"100")</f>
        <v>100</v>
      </c>
      <c r="T393" s="3"/>
      <c r="U393" s="3" t="str">
        <f ca="1">IFERROR(__xludf.DUMMYFUNCTION("""COMPUTED_VALUE"""),"banner standard")</f>
        <v>banner standard</v>
      </c>
      <c r="V393" s="3"/>
      <c r="W393" s="4" t="str">
        <f ca="1">IFERROR(__xludf.DUMMYFUNCTION("""COMPUTED_VALUE"""),"https://reklama.cncenter.cz/Online/mobilni-vineta")</f>
        <v>https://reklama.cncenter.cz/Online/mobilni-vineta</v>
      </c>
      <c r="X393" s="3"/>
      <c r="Y393" s="3"/>
      <c r="Z393" s="3" t="str">
        <f ca="1">IFERROR(__xludf.DUMMYFUNCTION("""COMPUTED_VALUE"""),"podklady@cncenter.cz")</f>
        <v>podklady@cncenter.cz</v>
      </c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 t="str">
        <f ca="1">IFERROR(__xludf.DUMMYFUNCTION("""COMPUTED_VALUE"""),"mobile")</f>
        <v>mobile</v>
      </c>
      <c r="AO393" s="3"/>
      <c r="AP393" s="3"/>
      <c r="AQ393" s="3"/>
      <c r="AR393" s="3"/>
      <c r="AS393" s="3"/>
      <c r="AT393" s="3"/>
      <c r="AU393" s="3" t="str">
        <f ca="1">IFERROR(__xludf.DUMMYFUNCTION("""COMPUTED_VALUE"""),"mobilní viněta")</f>
        <v>mobilní viněta</v>
      </c>
    </row>
    <row r="394" spans="1:47" x14ac:dyDescent="0.3">
      <c r="A394" s="3">
        <f ca="1"/>
        <v>2346826</v>
      </c>
      <c r="B394" s="3" t="str">
        <f ca="1"/>
        <v>CZECH NEWS CENTER a. s.</v>
      </c>
      <c r="C394" s="3" t="str">
        <f ca="1">IFERROR(__xludf.DUMMYFUNCTION("""COMPUTED_VALUE"""),"CNC ženy pack")</f>
        <v>CNC ženy pack</v>
      </c>
      <c r="D394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4" s="3" t="str">
        <f ca="1">IFERROR(__xludf.DUMMYFUNCTION("""COMPUTED_VALUE"""),"celý web")</f>
        <v>celý web</v>
      </c>
      <c r="F394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4" s="3" t="str">
        <f ca="1">IFERROR(__xludf.DUMMYFUNCTION("""COMPUTED_VALUE"""),"nativní rectangle cross-device high season")</f>
        <v>nativní rectangle cross-device high season</v>
      </c>
      <c r="H394" s="3">
        <f ca="1">IFERROR(__xludf.DUMMYFUNCTION("""COMPUTED_VALUE"""),7)</f>
        <v>7</v>
      </c>
      <c r="I394" s="5">
        <f ca="1">IFERROR(__xludf.DUMMYFUNCTION("""COMPUTED_VALUE"""),1000)</f>
        <v>1000</v>
      </c>
      <c r="J394" s="5">
        <f ca="1">IFERROR(__xludf.DUMMYFUNCTION("""COMPUTED_VALUE"""),270)</f>
        <v>270</v>
      </c>
      <c r="K394" s="3"/>
      <c r="L394" s="3" t="str">
        <f ca="1">IFERROR(__xludf.DUMMYFUNCTION("""COMPUTED_VALUE"""),"Cost per period")</f>
        <v>Cost per period</v>
      </c>
      <c r="M394" s="3"/>
      <c r="N394" s="3"/>
      <c r="O394" s="3" t="str">
        <f ca="1">IFERROR(__xludf.DUMMYFUNCTION("""COMPUTED_VALUE"""),"640")</f>
        <v>640</v>
      </c>
      <c r="P394" s="3" t="str">
        <f ca="1">IFERROR(__xludf.DUMMYFUNCTION("""COMPUTED_VALUE"""),"335, 640")</f>
        <v>335, 640</v>
      </c>
      <c r="Q394" s="3" t="str">
        <f ca="1">IFERROR(__xludf.DUMMYFUNCTION("""COMPUTED_VALUE"""),"640x640 a 640x335 + text + logo")</f>
        <v>640x640 a 640x335 + text + logo</v>
      </c>
      <c r="R394" s="3"/>
      <c r="S394" s="3" t="str">
        <f ca="1">IFERROR(__xludf.DUMMYFUNCTION("""COMPUTED_VALUE"""),"45")</f>
        <v>45</v>
      </c>
      <c r="T394" s="3"/>
      <c r="U394" s="3" t="str">
        <f ca="1">IFERROR(__xludf.DUMMYFUNCTION("""COMPUTED_VALUE"""),"nativní reklama")</f>
        <v>nativní reklama</v>
      </c>
      <c r="V394" s="3"/>
      <c r="W394" s="4" t="str">
        <f ca="1">IFERROR(__xludf.DUMMYFUNCTION("""COMPUTED_VALUE"""),"https://reklama.cncenter.cz/Online/nativni-rectangle-cross-device")</f>
        <v>https://reklama.cncenter.cz/Online/nativni-rectangle-cross-device</v>
      </c>
      <c r="X394" s="3"/>
      <c r="Y394" s="3"/>
      <c r="Z394" s="3" t="str">
        <f ca="1">IFERROR(__xludf.DUMMYFUNCTION("""COMPUTED_VALUE"""),"podklady@cncenter.cz")</f>
        <v>podklady@cncenter.cz</v>
      </c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 t="str">
        <f ca="1">IFERROR(__xludf.DUMMYFUNCTION("""COMPUTED_VALUE"""),"cross-device")</f>
        <v>cross-device</v>
      </c>
      <c r="AO394" s="3"/>
      <c r="AP394" s="3"/>
      <c r="AQ394" s="3"/>
      <c r="AR394" s="3"/>
      <c r="AS394" s="3"/>
      <c r="AT394" s="3"/>
      <c r="AU394" s="3" t="str">
        <f ca="1">IFERROR(__xludf.DUMMYFUNCTION("""COMPUTED_VALUE"""),"nativní rectangle cross-device")</f>
        <v>nativní rectangle cross-device</v>
      </c>
    </row>
    <row r="395" spans="1:47" x14ac:dyDescent="0.3">
      <c r="A395" s="3">
        <f ca="1"/>
        <v>2346826</v>
      </c>
      <c r="B395" s="3" t="str">
        <f ca="1"/>
        <v>CZECH NEWS CENTER a. s.</v>
      </c>
      <c r="C395" s="3" t="str">
        <f ca="1">IFERROR(__xludf.DUMMYFUNCTION("""COMPUTED_VALUE"""),"CNC ženy pack")</f>
        <v>CNC ženy pack</v>
      </c>
      <c r="D395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5" s="3" t="str">
        <f ca="1">IFERROR(__xludf.DUMMYFUNCTION("""COMPUTED_VALUE"""),"celý web")</f>
        <v>celý web</v>
      </c>
      <c r="F395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5" s="3" t="str">
        <f ca="1">IFERROR(__xludf.DUMMYFUNCTION("""COMPUTED_VALUE"""),"outstream high season")</f>
        <v>outstream high season</v>
      </c>
      <c r="H395" s="3">
        <f ca="1">IFERROR(__xludf.DUMMYFUNCTION("""COMPUTED_VALUE"""),7)</f>
        <v>7</v>
      </c>
      <c r="I395" s="5">
        <f ca="1">IFERROR(__xludf.DUMMYFUNCTION("""COMPUTED_VALUE"""),1000)</f>
        <v>1000</v>
      </c>
      <c r="J395" s="5">
        <f ca="1">IFERROR(__xludf.DUMMYFUNCTION("""COMPUTED_VALUE"""),420)</f>
        <v>420</v>
      </c>
      <c r="K395" s="3"/>
      <c r="L395" s="3" t="str">
        <f ca="1">IFERROR(__xludf.DUMMYFUNCTION("""COMPUTED_VALUE"""),"Cost per period")</f>
        <v>Cost per period</v>
      </c>
      <c r="M395" s="3"/>
      <c r="N395" s="3"/>
      <c r="O395" s="3" t="str">
        <f ca="1">IFERROR(__xludf.DUMMYFUNCTION("""COMPUTED_VALUE"""),"1280")</f>
        <v>1280</v>
      </c>
      <c r="P395" s="3" t="str">
        <f ca="1">IFERROR(__xludf.DUMMYFUNCTION("""COMPUTED_VALUE"""),"720")</f>
        <v>720</v>
      </c>
      <c r="Q395" s="3" t="str">
        <f ca="1">IFERROR(__xludf.DUMMYFUNCTION("""COMPUTED_VALUE"""),"16:9")</f>
        <v>16:9</v>
      </c>
      <c r="R395" s="3"/>
      <c r="S395" s="3" t="str">
        <f ca="1">IFERROR(__xludf.DUMMYFUNCTION("""COMPUTED_VALUE"""),"100")</f>
        <v>100</v>
      </c>
      <c r="T395" s="3"/>
      <c r="U395" s="3" t="str">
        <f ca="1">IFERROR(__xludf.DUMMYFUNCTION("""COMPUTED_VALUE"""),"videospot")</f>
        <v>videospot</v>
      </c>
      <c r="V395" s="3"/>
      <c r="W395" s="4" t="str">
        <f ca="1">IFERROR(__xludf.DUMMYFUNCTION("""COMPUTED_VALUE"""),"https://reklama.cncenter.cz/Online/Outstream")</f>
        <v>https://reklama.cncenter.cz/Online/Outstream</v>
      </c>
      <c r="X395" s="3"/>
      <c r="Y395" s="3"/>
      <c r="Z395" s="3" t="str">
        <f ca="1">IFERROR(__xludf.DUMMYFUNCTION("""COMPUTED_VALUE"""),"podklady@cncenter.cz")</f>
        <v>podklady@cncenter.cz</v>
      </c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 t="str">
        <f ca="1">IFERROR(__xludf.DUMMYFUNCTION("""COMPUTED_VALUE"""),"cross-device")</f>
        <v>cross-device</v>
      </c>
      <c r="AO395" s="3"/>
      <c r="AP395" s="3"/>
      <c r="AQ395" s="3"/>
      <c r="AR395" s="3"/>
      <c r="AS395" s="3"/>
      <c r="AT395" s="3"/>
      <c r="AU395" s="3" t="str">
        <f ca="1">IFERROR(__xludf.DUMMYFUNCTION("""COMPUTED_VALUE"""),"outstream")</f>
        <v>outstream</v>
      </c>
    </row>
    <row r="396" spans="1:47" x14ac:dyDescent="0.3">
      <c r="A396" s="3">
        <f ca="1"/>
        <v>2346826</v>
      </c>
      <c r="B396" s="3" t="str">
        <f ca="1"/>
        <v>CZECH NEWS CENTER a. s.</v>
      </c>
      <c r="C396" s="3" t="str">
        <f ca="1">IFERROR(__xludf.DUMMYFUNCTION("""COMPUTED_VALUE"""),"CNC ženy pack")</f>
        <v>CNC ženy pack</v>
      </c>
      <c r="D396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6" s="3" t="str">
        <f ca="1">IFERROR(__xludf.DUMMYFUNCTION("""COMPUTED_VALUE"""),"celý web")</f>
        <v>celý web</v>
      </c>
      <c r="F396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6" s="3" t="str">
        <f ca="1">IFERROR(__xludf.DUMMYFUNCTION("""COMPUTED_VALUE"""),"Smarticle high season")</f>
        <v>Smarticle high season</v>
      </c>
      <c r="H396" s="3">
        <f ca="1">IFERROR(__xludf.DUMMYFUNCTION("""COMPUTED_VALUE"""),7)</f>
        <v>7</v>
      </c>
      <c r="I396" s="5">
        <f ca="1">IFERROR(__xludf.DUMMYFUNCTION("""COMPUTED_VALUE"""),1000)</f>
        <v>1000</v>
      </c>
      <c r="J396" s="5">
        <f ca="1">IFERROR(__xludf.DUMMYFUNCTION("""COMPUTED_VALUE"""),200)</f>
        <v>200</v>
      </c>
      <c r="K396" s="3"/>
      <c r="L396" s="3" t="str">
        <f ca="1">IFERROR(__xludf.DUMMYFUNCTION("""COMPUTED_VALUE"""),"Cost per period")</f>
        <v>Cost per period</v>
      </c>
      <c r="M396" s="3"/>
      <c r="N396" s="3" t="str">
        <f ca="1">IFERROR(__xludf.DUMMYFUNCTION("""COMPUTED_VALUE"""),"A4")</f>
        <v>A4</v>
      </c>
      <c r="O396" s="3"/>
      <c r="P396" s="3"/>
      <c r="Q396" s="3" t="str">
        <f ca="1">IFERROR(__xludf.DUMMYFUNCTION("""COMPUTED_VALUE"""),"viz. tech.specifikace; HP + sekce")</f>
        <v>viz. tech.specifikace; HP + sekce</v>
      </c>
      <c r="R396" s="3" t="str">
        <f ca="1">IFERROR(__xludf.DUMMYFUNCTION("""COMPUTED_VALUE"""),"HP + sekce")</f>
        <v>HP + sekce</v>
      </c>
      <c r="S396" s="3" t="str">
        <f ca="1">IFERROR(__xludf.DUMMYFUNCTION("""COMPUTED_VALUE"""),"100")</f>
        <v>100</v>
      </c>
      <c r="T396" s="3"/>
      <c r="U396" s="3" t="str">
        <f ca="1">IFERROR(__xludf.DUMMYFUNCTION("""COMPUTED_VALUE"""),"pr článek")</f>
        <v>pr článek</v>
      </c>
      <c r="V396" s="3"/>
      <c r="W396" s="4" t="str">
        <f ca="1">IFERROR(__xludf.DUMMYFUNCTION("""COMPUTED_VALUE"""),"https://reklama.cncenter.cz/Online/Smarticle")</f>
        <v>https://reklama.cncenter.cz/Online/Smarticle</v>
      </c>
      <c r="X396" s="3"/>
      <c r="Y396" s="3"/>
      <c r="Z396" s="3" t="str">
        <f ca="1">IFERROR(__xludf.DUMMYFUNCTION("""COMPUTED_VALUE"""),"podklady@cncenter.cz")</f>
        <v>podklady@cncenter.cz</v>
      </c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 t="str">
        <f ca="1">IFERROR(__xludf.DUMMYFUNCTION("""COMPUTED_VALUE"""),"cross-device")</f>
        <v>cross-device</v>
      </c>
      <c r="AO396" s="3"/>
      <c r="AP396" s="3"/>
      <c r="AQ396" s="3"/>
      <c r="AR396" s="3"/>
      <c r="AS396" s="3"/>
      <c r="AT396" s="3"/>
      <c r="AU396" s="3" t="str">
        <f ca="1">IFERROR(__xludf.DUMMYFUNCTION("""COMPUTED_VALUE"""),"Smarticle")</f>
        <v>Smarticle</v>
      </c>
    </row>
    <row r="397" spans="1:47" x14ac:dyDescent="0.3">
      <c r="A397" s="3">
        <f ca="1"/>
        <v>2346826</v>
      </c>
      <c r="B397" s="3" t="str">
        <f ca="1"/>
        <v>CZECH NEWS CENTER a. s.</v>
      </c>
      <c r="C397" s="3" t="str">
        <f ca="1">IFERROR(__xludf.DUMMYFUNCTION("""COMPUTED_VALUE"""),"CNC ženy pack")</f>
        <v>CNC ženy pack</v>
      </c>
      <c r="D397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E397" s="3" t="str">
        <f ca="1">IFERROR(__xludf.DUMMYFUNCTION("""COMPUTED_VALUE"""),"celý web")</f>
        <v>celý web</v>
      </c>
      <c r="F397" s="3" t="str">
        <f ca="1">IFERROR(__xludf.DUMMYFUNCTION("""COMPUTED_VALUE"""),"https://ahaonline.cz, https://blesk.cz/celebrity, https://bleskprozeny.cz, https://dama.cz, https://maminka.cz, https://mimibazar.cz, https://mojezdravi.cz, https://recepty.cz, https://zeny.cz, https://fitweb.cz, https://mojepsychologie.cz")</f>
        <v>https://ahaonline.cz, https://blesk.cz/celebrity, https://bleskprozeny.cz, https://dama.cz, https://maminka.cz, https://mimibazar.cz, https://mojezdravi.cz, https://recepty.cz, https://zeny.cz, https://fitweb.cz, https://mojepsychologie.cz</v>
      </c>
      <c r="G397" s="3" t="str">
        <f ca="1">IFERROR(__xludf.DUMMYFUNCTION("""COMPUTED_VALUE"""),"videospot - max. 30 sec. / bumper high season")</f>
        <v>videospot - max. 30 sec. / bumper high season</v>
      </c>
      <c r="H397" s="3">
        <f ca="1">IFERROR(__xludf.DUMMYFUNCTION("""COMPUTED_VALUE"""),7)</f>
        <v>7</v>
      </c>
      <c r="I397" s="5">
        <f ca="1">IFERROR(__xludf.DUMMYFUNCTION("""COMPUTED_VALUE"""),1000)</f>
        <v>1000</v>
      </c>
      <c r="J397" s="5">
        <f ca="1">IFERROR(__xludf.DUMMYFUNCTION("""COMPUTED_VALUE"""),1230)</f>
        <v>1230</v>
      </c>
      <c r="K397" s="3"/>
      <c r="L397" s="3" t="str">
        <f ca="1">IFERROR(__xludf.DUMMYFUNCTION("""COMPUTED_VALUE"""),"Cost per period")</f>
        <v>Cost per period</v>
      </c>
      <c r="M397" s="3"/>
      <c r="N397" s="3"/>
      <c r="O397" s="3" t="str">
        <f ca="1">IFERROR(__xludf.DUMMYFUNCTION("""COMPUTED_VALUE"""),"1280")</f>
        <v>1280</v>
      </c>
      <c r="P397" s="3" t="str">
        <f ca="1">IFERROR(__xludf.DUMMYFUNCTION("""COMPUTED_VALUE"""),"720")</f>
        <v>720</v>
      </c>
      <c r="Q397" s="3" t="str">
        <f ca="1">IFERROR(__xludf.DUMMYFUNCTION("""COMPUTED_VALUE"""),"16:9 / umístění po domluvě dle možností")</f>
        <v>16:9 / umístění po domluvě dle možností</v>
      </c>
      <c r="R397" s="3" t="str">
        <f ca="1">IFERROR(__xludf.DUMMYFUNCTION("""COMPUTED_VALUE"""),"přeskočení po 7 sekundách")</f>
        <v>přeskočení po 7 sekundách</v>
      </c>
      <c r="S397" s="3" t="str">
        <f ca="1">IFERROR(__xludf.DUMMYFUNCTION("""COMPUTED_VALUE"""),"100")</f>
        <v>100</v>
      </c>
      <c r="T397" s="3"/>
      <c r="U397" s="3" t="str">
        <f ca="1">IFERROR(__xludf.DUMMYFUNCTION("""COMPUTED_VALUE"""),"videospot")</f>
        <v>videospot</v>
      </c>
      <c r="V397" s="3"/>
      <c r="W397" s="4" t="str">
        <f ca="1">IFERROR(__xludf.DUMMYFUNCTION("""COMPUTED_VALUE"""),"https://reklama.cncenter.cz/Online/Bumper")</f>
        <v>https://reklama.cncenter.cz/Online/Bumper</v>
      </c>
      <c r="X397" s="3"/>
      <c r="Y397" s="3"/>
      <c r="Z397" s="3" t="str">
        <f ca="1">IFERROR(__xludf.DUMMYFUNCTION("""COMPUTED_VALUE"""),"podklady@cncenter.cz")</f>
        <v>podklady@cncenter.cz</v>
      </c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 t="str">
        <f ca="1">IFERROR(__xludf.DUMMYFUNCTION("""COMPUTED_VALUE"""),"cross-device")</f>
        <v>cross-device</v>
      </c>
      <c r="AO397" s="3"/>
      <c r="AP397" s="3"/>
      <c r="AQ397" s="3"/>
      <c r="AR397" s="3"/>
      <c r="AS397" s="3"/>
      <c r="AT397" s="3"/>
      <c r="AU397" s="3" t="str">
        <f ca="1">IFERROR(__xludf.DUMMYFUNCTION("""COMPUTED_VALUE"""),"videospot - max. 30 sec. / bumper")</f>
        <v>videospot - max. 30 sec. / bumper</v>
      </c>
    </row>
    <row r="398" spans="1:47" x14ac:dyDescent="0.3">
      <c r="A398" s="3">
        <f ca="1"/>
        <v>2346826</v>
      </c>
      <c r="B398" s="3" t="str">
        <f ca="1"/>
        <v>CZECH NEWS CENTER a. s.</v>
      </c>
      <c r="C398" s="3" t="str">
        <f ca="1">IFERROR(__xludf.DUMMYFUNCTION("""COMPUTED_VALUE"""),"DIGIarena")</f>
        <v>DIGIarena</v>
      </c>
      <c r="D398" s="4" t="str">
        <f ca="1">IFERROR(__xludf.DUMMYFUNCTION("""COMPUTED_VALUE"""),"https://digiarena.zive.cz")</f>
        <v>https://digiarena.zive.cz</v>
      </c>
      <c r="E398" s="3" t="str">
        <f ca="1">IFERROR(__xludf.DUMMYFUNCTION("""COMPUTED_VALUE"""),"celý web")</f>
        <v>celý web</v>
      </c>
      <c r="F398" s="4" t="str">
        <f ca="1">IFERROR(__xludf.DUMMYFUNCTION("""COMPUTED_VALUE"""),"https://digiarena.zive.cz")</f>
        <v>https://digiarena.zive.cz</v>
      </c>
      <c r="G398" s="3" t="str">
        <f ca="1">IFERROR(__xludf.DUMMYFUNCTION("""COMPUTED_VALUE"""),"Advertorial high season")</f>
        <v>Advertorial high season</v>
      </c>
      <c r="H398" s="3">
        <f ca="1">IFERROR(__xludf.DUMMYFUNCTION("""COMPUTED_VALUE"""),1)</f>
        <v>1</v>
      </c>
      <c r="I398" s="5">
        <f ca="1">IFERROR(__xludf.DUMMYFUNCTION("""COMPUTED_VALUE"""),1)</f>
        <v>1</v>
      </c>
      <c r="J398" s="5">
        <f ca="1">IFERROR(__xludf.DUMMYFUNCTION("""COMPUTED_VALUE"""),90000)</f>
        <v>90000</v>
      </c>
      <c r="K398" s="3"/>
      <c r="L398" s="3" t="str">
        <f ca="1">IFERROR(__xludf.DUMMYFUNCTION("""COMPUTED_VALUE"""),"Cost per instance")</f>
        <v>Cost per instance</v>
      </c>
      <c r="M398" s="3"/>
      <c r="N398" s="3"/>
      <c r="O398" s="3"/>
      <c r="P398" s="3"/>
      <c r="Q398" s="3"/>
      <c r="R398" s="3"/>
      <c r="S398" s="3" t="str">
        <f ca="1">IFERROR(__xludf.DUMMYFUNCTION("""COMPUTED_VALUE"""),"100")</f>
        <v>100</v>
      </c>
      <c r="T398" s="3"/>
      <c r="U398" s="3" t="str">
        <f ca="1">IFERROR(__xludf.DUMMYFUNCTION("""COMPUTED_VALUE"""),"pr článek")</f>
        <v>pr článek</v>
      </c>
      <c r="V398" s="3"/>
      <c r="W398" s="3"/>
      <c r="X398" s="3"/>
      <c r="Y398" s="3"/>
      <c r="Z398" s="3" t="str">
        <f ca="1">IFERROR(__xludf.DUMMYFUNCTION("""COMPUTED_VALUE"""),"podklady@cncenter.cz")</f>
        <v>podklady@cncenter.cz</v>
      </c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 t="str">
        <f ca="1">IFERROR(__xludf.DUMMYFUNCTION("""COMPUTED_VALUE"""),"cross-device")</f>
        <v>cross-device</v>
      </c>
      <c r="AO398" s="3"/>
      <c r="AP398" s="3"/>
      <c r="AQ398" s="3"/>
      <c r="AR398" s="3"/>
      <c r="AS398" s="3"/>
      <c r="AT398" s="3"/>
      <c r="AU398" s="3" t="str">
        <f ca="1">IFERROR(__xludf.DUMMYFUNCTION("""COMPUTED_VALUE"""),"Advertorial")</f>
        <v>Advertorial</v>
      </c>
    </row>
    <row r="399" spans="1:47" x14ac:dyDescent="0.3">
      <c r="A399" s="3">
        <f ca="1"/>
        <v>2346826</v>
      </c>
      <c r="B399" s="3" t="str">
        <f ca="1"/>
        <v>CZECH NEWS CENTER a. s.</v>
      </c>
      <c r="C399" s="3" t="str">
        <f ca="1">IFERROR(__xludf.DUMMYFUNCTION("""COMPUTED_VALUE"""),"Digiarena")</f>
        <v>Digiarena</v>
      </c>
      <c r="D399" s="4" t="str">
        <f ca="1">IFERROR(__xludf.DUMMYFUNCTION("""COMPUTED_VALUE"""),"https://digiarena.zive.cz")</f>
        <v>https://digiarena.zive.cz</v>
      </c>
      <c r="E399" s="3" t="str">
        <f ca="1">IFERROR(__xludf.DUMMYFUNCTION("""COMPUTED_VALUE"""),"celý web")</f>
        <v>celý web</v>
      </c>
      <c r="F399" s="4" t="str">
        <f ca="1">IFERROR(__xludf.DUMMYFUNCTION("""COMPUTED_VALUE"""),"https://digiarena.zive.cz")</f>
        <v>https://digiarena.zive.cz</v>
      </c>
      <c r="G399" s="3" t="str">
        <f ca="1">IFERROR(__xludf.DUMMYFUNCTION("""COMPUTED_VALUE"""),"billboard bottom high season")</f>
        <v>billboard bottom high season</v>
      </c>
      <c r="H399" s="3">
        <f ca="1">IFERROR(__xludf.DUMMYFUNCTION("""COMPUTED_VALUE"""),7)</f>
        <v>7</v>
      </c>
      <c r="I399" s="5">
        <f ca="1">IFERROR(__xludf.DUMMYFUNCTION("""COMPUTED_VALUE"""),1000)</f>
        <v>1000</v>
      </c>
      <c r="J399" s="5">
        <f ca="1">IFERROR(__xludf.DUMMYFUNCTION("""COMPUTED_VALUE"""),440)</f>
        <v>440</v>
      </c>
      <c r="K399" s="3"/>
      <c r="L399" s="3" t="str">
        <f ca="1">IFERROR(__xludf.DUMMYFUNCTION("""COMPUTED_VALUE"""),"Cost per period")</f>
        <v>Cost per period</v>
      </c>
      <c r="M399" s="3"/>
      <c r="N399" s="3"/>
      <c r="O399" s="3" t="str">
        <f ca="1">IFERROR(__xludf.DUMMYFUNCTION("""COMPUTED_VALUE"""),"970")</f>
        <v>970</v>
      </c>
      <c r="P399" s="3" t="str">
        <f ca="1">IFERROR(__xludf.DUMMYFUNCTION("""COMPUTED_VALUE"""),"250")</f>
        <v>250</v>
      </c>
      <c r="Q399" s="3" t="str">
        <f ca="1">IFERROR(__xludf.DUMMYFUNCTION("""COMPUTED_VALUE"""),"970x250")</f>
        <v>970x250</v>
      </c>
      <c r="R399" s="3"/>
      <c r="S399" s="3" t="str">
        <f ca="1">IFERROR(__xludf.DUMMYFUNCTION("""COMPUTED_VALUE"""),"100 (200 - HTML5)")</f>
        <v>100 (200 - HTML5)</v>
      </c>
      <c r="T399" s="3"/>
      <c r="U399" s="3" t="str">
        <f ca="1">IFERROR(__xludf.DUMMYFUNCTION("""COMPUTED_VALUE"""),"banner standard")</f>
        <v>banner standard</v>
      </c>
      <c r="V399" s="3"/>
      <c r="W399" s="4" t="str">
        <f ca="1">IFERROR(__xludf.DUMMYFUNCTION("""COMPUTED_VALUE"""),"https://reklama.cncenter.cz/Online/billboard-bottom")</f>
        <v>https://reklama.cncenter.cz/Online/billboard-bottom</v>
      </c>
      <c r="X399" s="3"/>
      <c r="Y399" s="3"/>
      <c r="Z399" s="3" t="str">
        <f ca="1">IFERROR(__xludf.DUMMYFUNCTION("""COMPUTED_VALUE"""),"podklady@cncenter.cz")</f>
        <v>podklady@cncenter.cz</v>
      </c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 t="str">
        <f ca="1">IFERROR(__xludf.DUMMYFUNCTION("""COMPUTED_VALUE"""),"desktop")</f>
        <v>desktop</v>
      </c>
      <c r="AO399" s="3"/>
      <c r="AP399" s="3"/>
      <c r="AQ399" s="3"/>
      <c r="AR399" s="3"/>
      <c r="AS399" s="3"/>
      <c r="AT399" s="3"/>
      <c r="AU399" s="3" t="str">
        <f ca="1">IFERROR(__xludf.DUMMYFUNCTION("""COMPUTED_VALUE"""),"billboard bottom")</f>
        <v>billboard bottom</v>
      </c>
    </row>
    <row r="400" spans="1:47" x14ac:dyDescent="0.3">
      <c r="A400" s="3">
        <f ca="1"/>
        <v>2346826</v>
      </c>
      <c r="B400" s="3" t="str">
        <f ca="1"/>
        <v>CZECH NEWS CENTER a. s.</v>
      </c>
      <c r="C400" s="3" t="str">
        <f ca="1">IFERROR(__xludf.DUMMYFUNCTION("""COMPUTED_VALUE"""),"Digiarena")</f>
        <v>Digiarena</v>
      </c>
      <c r="D400" s="4" t="str">
        <f ca="1">IFERROR(__xludf.DUMMYFUNCTION("""COMPUTED_VALUE"""),"https://digiarena.zive.cz")</f>
        <v>https://digiarena.zive.cz</v>
      </c>
      <c r="E400" s="3" t="str">
        <f ca="1">IFERROR(__xludf.DUMMYFUNCTION("""COMPUTED_VALUE"""),"celý web")</f>
        <v>celý web</v>
      </c>
      <c r="F400" s="4" t="str">
        <f ca="1">IFERROR(__xludf.DUMMYFUNCTION("""COMPUTED_VALUE"""),"https://digiarena.zive.cz")</f>
        <v>https://digiarena.zive.cz</v>
      </c>
      <c r="G400" s="3" t="str">
        <f ca="1">IFERROR(__xludf.DUMMYFUNCTION("""COMPUTED_VALUE"""),"branding cross-device high season")</f>
        <v>branding cross-device high season</v>
      </c>
      <c r="H400" s="3">
        <f ca="1">IFERROR(__xludf.DUMMYFUNCTION("""COMPUTED_VALUE"""),7)</f>
        <v>7</v>
      </c>
      <c r="I400" s="5">
        <f ca="1">IFERROR(__xludf.DUMMYFUNCTION("""COMPUTED_VALUE"""),1000)</f>
        <v>1000</v>
      </c>
      <c r="J400" s="5">
        <f ca="1">IFERROR(__xludf.DUMMYFUNCTION("""COMPUTED_VALUE"""),540)</f>
        <v>540</v>
      </c>
      <c r="K400" s="3"/>
      <c r="L400" s="3" t="str">
        <f ca="1">IFERROR(__xludf.DUMMYFUNCTION("""COMPUTED_VALUE"""),"Cost per period")</f>
        <v>Cost per period</v>
      </c>
      <c r="M400" s="3"/>
      <c r="N400" s="3"/>
      <c r="O400" s="3" t="str">
        <f ca="1">IFERROR(__xludf.DUMMYFUNCTION("""COMPUTED_VALUE"""),"2000")</f>
        <v>2000</v>
      </c>
      <c r="P400" s="3" t="str">
        <f ca="1">IFERROR(__xludf.DUMMYFUNCTION("""COMPUTED_VALUE"""),"1400")</f>
        <v>1400</v>
      </c>
      <c r="Q400" s="3" t="str">
        <f ca="1">IFERROR(__xludf.DUMMYFUNCTION("""COMPUTED_VALUE"""),"2000x1400 + 600x1080")</f>
        <v>2000x1400 + 600x1080</v>
      </c>
      <c r="R400" s="3"/>
      <c r="S400" s="3" t="str">
        <f ca="1">IFERROR(__xludf.DUMMYFUNCTION("""COMPUTED_VALUE"""),"500 (600 - HTLM5)")</f>
        <v>500 (600 - HTLM5)</v>
      </c>
      <c r="T400" s="3"/>
      <c r="U400" s="3" t="str">
        <f ca="1">IFERROR(__xludf.DUMMYFUNCTION("""COMPUTED_VALUE"""),"banner standard")</f>
        <v>banner standard</v>
      </c>
      <c r="V400" s="3"/>
      <c r="W400" s="4" t="str">
        <f ca="1">IFERROR(__xludf.DUMMYFUNCTION("""COMPUTED_VALUE"""),"https://reklama.cncenter.cz/Online/branding-cross-device")</f>
        <v>https://reklama.cncenter.cz/Online/branding-cross-device</v>
      </c>
      <c r="X400" s="3"/>
      <c r="Y400" s="3"/>
      <c r="Z400" s="3" t="str">
        <f ca="1">IFERROR(__xludf.DUMMYFUNCTION("""COMPUTED_VALUE"""),"podklady@cncenter.cz")</f>
        <v>podklady@cncenter.cz</v>
      </c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 t="str">
        <f ca="1">IFERROR(__xludf.DUMMYFUNCTION("""COMPUTED_VALUE"""),"cross-device")</f>
        <v>cross-device</v>
      </c>
      <c r="AO400" s="3"/>
      <c r="AP400" s="3"/>
      <c r="AQ400" s="3"/>
      <c r="AR400" s="3"/>
      <c r="AS400" s="3"/>
      <c r="AT400" s="3"/>
      <c r="AU400" s="3" t="str">
        <f ca="1">IFERROR(__xludf.DUMMYFUNCTION("""COMPUTED_VALUE"""),"branding cross-device")</f>
        <v>branding cross-device</v>
      </c>
    </row>
    <row r="401" spans="1:47" x14ac:dyDescent="0.3">
      <c r="A401" s="3">
        <f ca="1"/>
        <v>2346826</v>
      </c>
      <c r="B401" s="3" t="str">
        <f ca="1"/>
        <v>CZECH NEWS CENTER a. s.</v>
      </c>
      <c r="C401" s="3" t="str">
        <f ca="1">IFERROR(__xludf.DUMMYFUNCTION("""COMPUTED_VALUE"""),"Digiarena")</f>
        <v>Digiarena</v>
      </c>
      <c r="D401" s="4" t="str">
        <f ca="1">IFERROR(__xludf.DUMMYFUNCTION("""COMPUTED_VALUE"""),"https://digiarena.zive.cz")</f>
        <v>https://digiarena.zive.cz</v>
      </c>
      <c r="E401" s="3" t="str">
        <f ca="1">IFERROR(__xludf.DUMMYFUNCTION("""COMPUTED_VALUE"""),"celý web")</f>
        <v>celý web</v>
      </c>
      <c r="F401" s="4" t="str">
        <f ca="1">IFERROR(__xludf.DUMMYFUNCTION("""COMPUTED_VALUE"""),"https://digiarena.zive.cz")</f>
        <v>https://digiarena.zive.cz</v>
      </c>
      <c r="G401" s="3" t="str">
        <f ca="1">IFERROR(__xludf.DUMMYFUNCTION("""COMPUTED_VALUE"""),"branding high season")</f>
        <v>branding high season</v>
      </c>
      <c r="H401" s="3">
        <f ca="1">IFERROR(__xludf.DUMMYFUNCTION("""COMPUTED_VALUE"""),7)</f>
        <v>7</v>
      </c>
      <c r="I401" s="5">
        <f ca="1">IFERROR(__xludf.DUMMYFUNCTION("""COMPUTED_VALUE"""),1000)</f>
        <v>1000</v>
      </c>
      <c r="J401" s="5">
        <f ca="1">IFERROR(__xludf.DUMMYFUNCTION("""COMPUTED_VALUE"""),890)</f>
        <v>890</v>
      </c>
      <c r="K401" s="3"/>
      <c r="L401" s="3" t="str">
        <f ca="1">IFERROR(__xludf.DUMMYFUNCTION("""COMPUTED_VALUE"""),"Cost per period")</f>
        <v>Cost per period</v>
      </c>
      <c r="M401" s="3"/>
      <c r="N401" s="3"/>
      <c r="O401" s="3" t="str">
        <f ca="1">IFERROR(__xludf.DUMMYFUNCTION("""COMPUTED_VALUE"""),"2000")</f>
        <v>2000</v>
      </c>
      <c r="P401" s="3" t="str">
        <f ca="1">IFERROR(__xludf.DUMMYFUNCTION("""COMPUTED_VALUE"""),"1400")</f>
        <v>1400</v>
      </c>
      <c r="Q401" s="3" t="str">
        <f ca="1">IFERROR(__xludf.DUMMYFUNCTION("""COMPUTED_VALUE"""),"2000x1400")</f>
        <v>2000x1400</v>
      </c>
      <c r="R401" s="3"/>
      <c r="S401" s="3" t="str">
        <f ca="1">IFERROR(__xludf.DUMMYFUNCTION("""COMPUTED_VALUE"""),"500 + 200 (600+200 HTML5)")</f>
        <v>500 + 200 (600+200 HTML5)</v>
      </c>
      <c r="T401" s="3"/>
      <c r="U401" s="3" t="str">
        <f ca="1">IFERROR(__xludf.DUMMYFUNCTION("""COMPUTED_VALUE"""),"banner standard")</f>
        <v>banner standard</v>
      </c>
      <c r="V401" s="3"/>
      <c r="W401" s="4" t="str">
        <f ca="1">IFERROR(__xludf.DUMMYFUNCTION("""COMPUTED_VALUE"""),"https://reklama.cncenter.cz/Online/branding")</f>
        <v>https://reklama.cncenter.cz/Online/branding</v>
      </c>
      <c r="X401" s="3"/>
      <c r="Y401" s="3"/>
      <c r="Z401" s="3" t="str">
        <f ca="1">IFERROR(__xludf.DUMMYFUNCTION("""COMPUTED_VALUE"""),"podklady@cncenter.cz")</f>
        <v>podklady@cncenter.cz</v>
      </c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 t="str">
        <f ca="1">IFERROR(__xludf.DUMMYFUNCTION("""COMPUTED_VALUE"""),"desktop")</f>
        <v>desktop</v>
      </c>
      <c r="AO401" s="3"/>
      <c r="AP401" s="3"/>
      <c r="AQ401" s="3"/>
      <c r="AR401" s="3"/>
      <c r="AS401" s="3"/>
      <c r="AT401" s="3"/>
      <c r="AU401" s="3" t="str">
        <f ca="1">IFERROR(__xludf.DUMMYFUNCTION("""COMPUTED_VALUE"""),"branding")</f>
        <v>branding</v>
      </c>
    </row>
    <row r="402" spans="1:47" x14ac:dyDescent="0.3">
      <c r="A402" s="3">
        <f ca="1"/>
        <v>2346826</v>
      </c>
      <c r="B402" s="3" t="str">
        <f ca="1"/>
        <v>CZECH NEWS CENTER a. s.</v>
      </c>
      <c r="C402" s="3" t="str">
        <f ca="1">IFERROR(__xludf.DUMMYFUNCTION("""COMPUTED_VALUE"""),"Digiarena")</f>
        <v>Digiarena</v>
      </c>
      <c r="D402" s="4" t="str">
        <f ca="1">IFERROR(__xludf.DUMMYFUNCTION("""COMPUTED_VALUE"""),"https://digiarena.zive.cz")</f>
        <v>https://digiarena.zive.cz</v>
      </c>
      <c r="E402" s="3" t="str">
        <f ca="1">IFERROR(__xludf.DUMMYFUNCTION("""COMPUTED_VALUE"""),"celý web")</f>
        <v>celý web</v>
      </c>
      <c r="F402" s="4" t="str">
        <f ca="1">IFERROR(__xludf.DUMMYFUNCTION("""COMPUTED_VALUE"""),"https://digiarena.zive.cz")</f>
        <v>https://digiarena.zive.cz</v>
      </c>
      <c r="G402" s="3" t="str">
        <f ca="1">IFERROR(__xludf.DUMMYFUNCTION("""COMPUTED_VALUE"""),"cílený billboard bottom high season")</f>
        <v>cílený billboard bottom high season</v>
      </c>
      <c r="H402" s="3">
        <f ca="1">IFERROR(__xludf.DUMMYFUNCTION("""COMPUTED_VALUE"""),7)</f>
        <v>7</v>
      </c>
      <c r="I402" s="5">
        <f ca="1">IFERROR(__xludf.DUMMYFUNCTION("""COMPUTED_VALUE"""),1000)</f>
        <v>1000</v>
      </c>
      <c r="J402" s="5">
        <f ca="1">IFERROR(__xludf.DUMMYFUNCTION("""COMPUTED_VALUE"""),528)</f>
        <v>528</v>
      </c>
      <c r="K402" s="3"/>
      <c r="L402" s="3" t="str">
        <f ca="1">IFERROR(__xludf.DUMMYFUNCTION("""COMPUTED_VALUE"""),"Cost per period")</f>
        <v>Cost per period</v>
      </c>
      <c r="M402" s="3"/>
      <c r="N402" s="3"/>
      <c r="O402" s="3" t="str">
        <f ca="1">IFERROR(__xludf.DUMMYFUNCTION("""COMPUTED_VALUE"""),"970")</f>
        <v>970</v>
      </c>
      <c r="P402" s="3" t="str">
        <f ca="1">IFERROR(__xludf.DUMMYFUNCTION("""COMPUTED_VALUE"""),"250")</f>
        <v>250</v>
      </c>
      <c r="Q402" s="3" t="str">
        <f ca="1">IFERROR(__xludf.DUMMYFUNCTION("""COMPUTED_VALUE"""),"970x250")</f>
        <v>970x250</v>
      </c>
      <c r="R402" s="3"/>
      <c r="S402" s="3" t="str">
        <f ca="1">IFERROR(__xludf.DUMMYFUNCTION("""COMPUTED_VALUE"""),"100 (200 - HTML5)")</f>
        <v>100 (200 - HTML5)</v>
      </c>
      <c r="T402" s="3"/>
      <c r="U402" s="3" t="str">
        <f ca="1">IFERROR(__xludf.DUMMYFUNCTION("""COMPUTED_VALUE"""),"banner standard")</f>
        <v>banner standard</v>
      </c>
      <c r="V402" s="3"/>
      <c r="W402" s="4" t="str">
        <f ca="1">IFERROR(__xludf.DUMMYFUNCTION("""COMPUTED_VALUE"""),"https://reklama.cncenter.cz/Online/billboard-bottom")</f>
        <v>https://reklama.cncenter.cz/Online/billboard-bottom</v>
      </c>
      <c r="X402" s="3"/>
      <c r="Y402" s="3"/>
      <c r="Z402" s="3" t="str">
        <f ca="1">IFERROR(__xludf.DUMMYFUNCTION("""COMPUTED_VALUE"""),"podklady@cncenter.cz")</f>
        <v>podklady@cncenter.cz</v>
      </c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 t="str">
        <f ca="1">IFERROR(__xludf.DUMMYFUNCTION("""COMPUTED_VALUE"""),"desktop")</f>
        <v>desktop</v>
      </c>
      <c r="AO402" s="3"/>
      <c r="AP402" s="3"/>
      <c r="AQ402" s="3"/>
      <c r="AR402" s="3"/>
      <c r="AS402" s="3"/>
      <c r="AT402" s="3"/>
      <c r="AU402" s="3" t="str">
        <f ca="1">IFERROR(__xludf.DUMMYFUNCTION("""COMPUTED_VALUE"""),"cílený billboard bottom")</f>
        <v>cílený billboard bottom</v>
      </c>
    </row>
    <row r="403" spans="1:47" x14ac:dyDescent="0.3">
      <c r="A403" s="3">
        <f ca="1"/>
        <v>2346826</v>
      </c>
      <c r="B403" s="3" t="str">
        <f ca="1"/>
        <v>CZECH NEWS CENTER a. s.</v>
      </c>
      <c r="C403" s="3" t="str">
        <f ca="1">IFERROR(__xludf.DUMMYFUNCTION("""COMPUTED_VALUE"""),"Digiarena")</f>
        <v>Digiarena</v>
      </c>
      <c r="D403" s="4" t="str">
        <f ca="1">IFERROR(__xludf.DUMMYFUNCTION("""COMPUTED_VALUE"""),"https://digiarena.zive.cz")</f>
        <v>https://digiarena.zive.cz</v>
      </c>
      <c r="E403" s="3" t="str">
        <f ca="1">IFERROR(__xludf.DUMMYFUNCTION("""COMPUTED_VALUE"""),"celý web")</f>
        <v>celý web</v>
      </c>
      <c r="F403" s="4" t="str">
        <f ca="1">IFERROR(__xludf.DUMMYFUNCTION("""COMPUTED_VALUE"""),"https://digiarena.zive.cz")</f>
        <v>https://digiarena.zive.cz</v>
      </c>
      <c r="G403" s="3" t="str">
        <f ca="1">IFERROR(__xludf.DUMMYFUNCTION("""COMPUTED_VALUE"""),"cílený branding cross-device high season")</f>
        <v>cílený branding cross-device high season</v>
      </c>
      <c r="H403" s="3">
        <f ca="1">IFERROR(__xludf.DUMMYFUNCTION("""COMPUTED_VALUE"""),7)</f>
        <v>7</v>
      </c>
      <c r="I403" s="5">
        <f ca="1">IFERROR(__xludf.DUMMYFUNCTION("""COMPUTED_VALUE"""),1000)</f>
        <v>1000</v>
      </c>
      <c r="J403" s="5">
        <f ca="1">IFERROR(__xludf.DUMMYFUNCTION("""COMPUTED_VALUE"""),648)</f>
        <v>648</v>
      </c>
      <c r="K403" s="3"/>
      <c r="L403" s="3" t="str">
        <f ca="1">IFERROR(__xludf.DUMMYFUNCTION("""COMPUTED_VALUE"""),"Cost per period")</f>
        <v>Cost per period</v>
      </c>
      <c r="M403" s="3"/>
      <c r="N403" s="3"/>
      <c r="O403" s="3" t="str">
        <f ca="1">IFERROR(__xludf.DUMMYFUNCTION("""COMPUTED_VALUE"""),"2000")</f>
        <v>2000</v>
      </c>
      <c r="P403" s="3" t="str">
        <f ca="1">IFERROR(__xludf.DUMMYFUNCTION("""COMPUTED_VALUE"""),"1400")</f>
        <v>1400</v>
      </c>
      <c r="Q403" s="3" t="str">
        <f ca="1">IFERROR(__xludf.DUMMYFUNCTION("""COMPUTED_VALUE"""),"2000x1400 + 600x1080")</f>
        <v>2000x1400 + 600x1080</v>
      </c>
      <c r="R403" s="3"/>
      <c r="S403" s="3" t="str">
        <f ca="1">IFERROR(__xludf.DUMMYFUNCTION("""COMPUTED_VALUE"""),"500 (600 - HTLM5)")</f>
        <v>500 (600 - HTLM5)</v>
      </c>
      <c r="T403" s="3"/>
      <c r="U403" s="3" t="str">
        <f ca="1">IFERROR(__xludf.DUMMYFUNCTION("""COMPUTED_VALUE"""),"banner standard")</f>
        <v>banner standard</v>
      </c>
      <c r="V403" s="3"/>
      <c r="W403" s="4" t="str">
        <f ca="1">IFERROR(__xludf.DUMMYFUNCTION("""COMPUTED_VALUE"""),"https://reklama.cncenter.cz/Online/branding-cross-device")</f>
        <v>https://reklama.cncenter.cz/Online/branding-cross-device</v>
      </c>
      <c r="X403" s="3"/>
      <c r="Y403" s="3"/>
      <c r="Z403" s="3" t="str">
        <f ca="1">IFERROR(__xludf.DUMMYFUNCTION("""COMPUTED_VALUE"""),"podklady@cncenter.cz")</f>
        <v>podklady@cncenter.cz</v>
      </c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 t="str">
        <f ca="1">IFERROR(__xludf.DUMMYFUNCTION("""COMPUTED_VALUE"""),"cross-device")</f>
        <v>cross-device</v>
      </c>
      <c r="AO403" s="3"/>
      <c r="AP403" s="3"/>
      <c r="AQ403" s="3"/>
      <c r="AR403" s="3"/>
      <c r="AS403" s="3"/>
      <c r="AT403" s="3"/>
      <c r="AU403" s="3" t="str">
        <f ca="1">IFERROR(__xludf.DUMMYFUNCTION("""COMPUTED_VALUE"""),"cílený branding cross-device")</f>
        <v>cílený branding cross-device</v>
      </c>
    </row>
    <row r="404" spans="1:47" x14ac:dyDescent="0.3">
      <c r="A404" s="3">
        <f ca="1"/>
        <v>2346826</v>
      </c>
      <c r="B404" s="3" t="str">
        <f ca="1"/>
        <v>CZECH NEWS CENTER a. s.</v>
      </c>
      <c r="C404" s="3" t="str">
        <f ca="1">IFERROR(__xludf.DUMMYFUNCTION("""COMPUTED_VALUE"""),"Digiarena")</f>
        <v>Digiarena</v>
      </c>
      <c r="D404" s="4" t="str">
        <f ca="1">IFERROR(__xludf.DUMMYFUNCTION("""COMPUTED_VALUE"""),"https://digiarena.zive.cz")</f>
        <v>https://digiarena.zive.cz</v>
      </c>
      <c r="E404" s="3" t="str">
        <f ca="1">IFERROR(__xludf.DUMMYFUNCTION("""COMPUTED_VALUE"""),"celý web")</f>
        <v>celý web</v>
      </c>
      <c r="F404" s="4" t="str">
        <f ca="1">IFERROR(__xludf.DUMMYFUNCTION("""COMPUTED_VALUE"""),"https://digiarena.zive.cz")</f>
        <v>https://digiarena.zive.cz</v>
      </c>
      <c r="G404" s="3" t="str">
        <f ca="1">IFERROR(__xludf.DUMMYFUNCTION("""COMPUTED_VALUE"""),"cílený branding high season")</f>
        <v>cílený branding high season</v>
      </c>
      <c r="H404" s="3">
        <f ca="1">IFERROR(__xludf.DUMMYFUNCTION("""COMPUTED_VALUE"""),7)</f>
        <v>7</v>
      </c>
      <c r="I404" s="5">
        <f ca="1">IFERROR(__xludf.DUMMYFUNCTION("""COMPUTED_VALUE"""),1000)</f>
        <v>1000</v>
      </c>
      <c r="J404" s="5">
        <f ca="1">IFERROR(__xludf.DUMMYFUNCTION("""COMPUTED_VALUE"""),1068)</f>
        <v>1068</v>
      </c>
      <c r="K404" s="3"/>
      <c r="L404" s="3" t="str">
        <f ca="1">IFERROR(__xludf.DUMMYFUNCTION("""COMPUTED_VALUE"""),"Cost per period")</f>
        <v>Cost per period</v>
      </c>
      <c r="M404" s="3"/>
      <c r="N404" s="3"/>
      <c r="O404" s="3" t="str">
        <f ca="1">IFERROR(__xludf.DUMMYFUNCTION("""COMPUTED_VALUE"""),"2000")</f>
        <v>2000</v>
      </c>
      <c r="P404" s="3" t="str">
        <f ca="1">IFERROR(__xludf.DUMMYFUNCTION("""COMPUTED_VALUE"""),"1400")</f>
        <v>1400</v>
      </c>
      <c r="Q404" s="3" t="str">
        <f ca="1">IFERROR(__xludf.DUMMYFUNCTION("""COMPUTED_VALUE"""),"2000x1400")</f>
        <v>2000x1400</v>
      </c>
      <c r="R404" s="3"/>
      <c r="S404" s="3" t="str">
        <f ca="1">IFERROR(__xludf.DUMMYFUNCTION("""COMPUTED_VALUE"""),"500 + 200 (600+200 HTML5)")</f>
        <v>500 + 200 (600+200 HTML5)</v>
      </c>
      <c r="T404" s="3"/>
      <c r="U404" s="3" t="str">
        <f ca="1">IFERROR(__xludf.DUMMYFUNCTION("""COMPUTED_VALUE"""),"banner standard")</f>
        <v>banner standard</v>
      </c>
      <c r="V404" s="3"/>
      <c r="W404" s="4" t="str">
        <f ca="1">IFERROR(__xludf.DUMMYFUNCTION("""COMPUTED_VALUE"""),"https://reklama.cncenter.cz/Online/branding")</f>
        <v>https://reklama.cncenter.cz/Online/branding</v>
      </c>
      <c r="X404" s="3"/>
      <c r="Y404" s="3"/>
      <c r="Z404" s="3" t="str">
        <f ca="1">IFERROR(__xludf.DUMMYFUNCTION("""COMPUTED_VALUE"""),"podklady@cncenter.cz")</f>
        <v>podklady@cncenter.cz</v>
      </c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 t="str">
        <f ca="1">IFERROR(__xludf.DUMMYFUNCTION("""COMPUTED_VALUE"""),"desktop")</f>
        <v>desktop</v>
      </c>
      <c r="AO404" s="3"/>
      <c r="AP404" s="3"/>
      <c r="AQ404" s="3"/>
      <c r="AR404" s="3"/>
      <c r="AS404" s="3"/>
      <c r="AT404" s="3"/>
      <c r="AU404" s="3" t="str">
        <f ca="1">IFERROR(__xludf.DUMMYFUNCTION("""COMPUTED_VALUE"""),"cílený branding")</f>
        <v>cílený branding</v>
      </c>
    </row>
    <row r="405" spans="1:47" x14ac:dyDescent="0.3">
      <c r="A405" s="3">
        <f ca="1"/>
        <v>2346826</v>
      </c>
      <c r="B405" s="3" t="str">
        <f ca="1"/>
        <v>CZECH NEWS CENTER a. s.</v>
      </c>
      <c r="C405" s="3" t="str">
        <f ca="1">IFERROR(__xludf.DUMMYFUNCTION("""COMPUTED_VALUE"""),"Digiarena")</f>
        <v>Digiarena</v>
      </c>
      <c r="D405" s="4" t="str">
        <f ca="1">IFERROR(__xludf.DUMMYFUNCTION("""COMPUTED_VALUE"""),"https://digiarena.zive.cz")</f>
        <v>https://digiarena.zive.cz</v>
      </c>
      <c r="E405" s="3" t="str">
        <f ca="1">IFERROR(__xludf.DUMMYFUNCTION("""COMPUTED_VALUE"""),"celý web")</f>
        <v>celý web</v>
      </c>
      <c r="F405" s="4" t="str">
        <f ca="1">IFERROR(__xludf.DUMMYFUNCTION("""COMPUTED_VALUE"""),"https://digiarena.zive.cz")</f>
        <v>https://digiarena.zive.cz</v>
      </c>
      <c r="G405" s="3" t="str">
        <f ca="1">IFERROR(__xludf.DUMMYFUNCTION("""COMPUTED_VALUE"""),"cílený double skyscraper high season")</f>
        <v>cílený double skyscraper high season</v>
      </c>
      <c r="H405" s="3">
        <f ca="1">IFERROR(__xludf.DUMMYFUNCTION("""COMPUTED_VALUE"""),7)</f>
        <v>7</v>
      </c>
      <c r="I405" s="5">
        <f ca="1">IFERROR(__xludf.DUMMYFUNCTION("""COMPUTED_VALUE"""),1000)</f>
        <v>1000</v>
      </c>
      <c r="J405" s="5">
        <f ca="1">IFERROR(__xludf.DUMMYFUNCTION("""COMPUTED_VALUE"""),420)</f>
        <v>420</v>
      </c>
      <c r="K405" s="3"/>
      <c r="L405" s="3" t="str">
        <f ca="1">IFERROR(__xludf.DUMMYFUNCTION("""COMPUTED_VALUE"""),"Cost per period")</f>
        <v>Cost per period</v>
      </c>
      <c r="M405" s="3"/>
      <c r="N405" s="3"/>
      <c r="O405" s="3" t="str">
        <f ca="1">IFERROR(__xludf.DUMMYFUNCTION("""COMPUTED_VALUE"""),"300")</f>
        <v>300</v>
      </c>
      <c r="P405" s="3" t="str">
        <f ca="1">IFERROR(__xludf.DUMMYFUNCTION("""COMPUTED_VALUE"""),"600")</f>
        <v>600</v>
      </c>
      <c r="Q405" s="3" t="str">
        <f ca="1">IFERROR(__xludf.DUMMYFUNCTION("""COMPUTED_VALUE"""),"300x600")</f>
        <v>300x600</v>
      </c>
      <c r="R405" s="3"/>
      <c r="S405" s="3" t="str">
        <f ca="1">IFERROR(__xludf.DUMMYFUNCTION("""COMPUTED_VALUE"""),"100 (200 - HTML5)")</f>
        <v>100 (200 - HTML5)</v>
      </c>
      <c r="T405" s="3"/>
      <c r="U405" s="3" t="str">
        <f ca="1">IFERROR(__xludf.DUMMYFUNCTION("""COMPUTED_VALUE"""),"banner standard")</f>
        <v>banner standard</v>
      </c>
      <c r="V405" s="3"/>
      <c r="W405" s="4" t="str">
        <f ca="1">IFERROR(__xludf.DUMMYFUNCTION("""COMPUTED_VALUE"""),"https://reklama.cncenter.cz/Online/double-skyscraper")</f>
        <v>https://reklama.cncenter.cz/Online/double-skyscraper</v>
      </c>
      <c r="X405" s="3"/>
      <c r="Y405" s="3"/>
      <c r="Z405" s="3" t="str">
        <f ca="1">IFERROR(__xludf.DUMMYFUNCTION("""COMPUTED_VALUE"""),"podklady@cncenter.cz")</f>
        <v>podklady@cncenter.cz</v>
      </c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 t="str">
        <f ca="1">IFERROR(__xludf.DUMMYFUNCTION("""COMPUTED_VALUE"""),"desktop")</f>
        <v>desktop</v>
      </c>
      <c r="AO405" s="3"/>
      <c r="AP405" s="3"/>
      <c r="AQ405" s="3"/>
      <c r="AR405" s="3"/>
      <c r="AS405" s="3"/>
      <c r="AT405" s="3"/>
      <c r="AU405" s="3" t="str">
        <f ca="1">IFERROR(__xludf.DUMMYFUNCTION("""COMPUTED_VALUE"""),"cílený double skyscraper")</f>
        <v>cílený double skyscraper</v>
      </c>
    </row>
    <row r="406" spans="1:47" x14ac:dyDescent="0.3">
      <c r="A406" s="3">
        <f ca="1"/>
        <v>2346826</v>
      </c>
      <c r="B406" s="3" t="str">
        <f ca="1"/>
        <v>CZECH NEWS CENTER a. s.</v>
      </c>
      <c r="C406" s="3" t="str">
        <f ca="1">IFERROR(__xludf.DUMMYFUNCTION("""COMPUTED_VALUE"""),"Digiarena")</f>
        <v>Digiarena</v>
      </c>
      <c r="D406" s="4" t="str">
        <f ca="1">IFERROR(__xludf.DUMMYFUNCTION("""COMPUTED_VALUE"""),"https://digiarena.zive.cz")</f>
        <v>https://digiarena.zive.cz</v>
      </c>
      <c r="E406" s="3" t="str">
        <f ca="1">IFERROR(__xludf.DUMMYFUNCTION("""COMPUTED_VALUE"""),"celý web")</f>
        <v>celý web</v>
      </c>
      <c r="F406" s="4" t="str">
        <f ca="1">IFERROR(__xludf.DUMMYFUNCTION("""COMPUTED_VALUE"""),"https://digiarena.zive.cz")</f>
        <v>https://digiarena.zive.cz</v>
      </c>
      <c r="G406" s="3" t="str">
        <f ca="1">IFERROR(__xludf.DUMMYFUNCTION("""COMPUTED_VALUE"""),"cílený mobilní interscroller high season")</f>
        <v>cílený mobilní interscroller high season</v>
      </c>
      <c r="H406" s="3">
        <f ca="1">IFERROR(__xludf.DUMMYFUNCTION("""COMPUTED_VALUE"""),7)</f>
        <v>7</v>
      </c>
      <c r="I406" s="5">
        <f ca="1">IFERROR(__xludf.DUMMYFUNCTION("""COMPUTED_VALUE"""),1000)</f>
        <v>1000</v>
      </c>
      <c r="J406" s="5">
        <f ca="1">IFERROR(__xludf.DUMMYFUNCTION("""COMPUTED_VALUE"""),540)</f>
        <v>540</v>
      </c>
      <c r="K406" s="3"/>
      <c r="L406" s="3" t="str">
        <f ca="1">IFERROR(__xludf.DUMMYFUNCTION("""COMPUTED_VALUE"""),"Cost per period")</f>
        <v>Cost per period</v>
      </c>
      <c r="M406" s="3"/>
      <c r="N406" s="3"/>
      <c r="O406" s="3" t="str">
        <f ca="1">IFERROR(__xludf.DUMMYFUNCTION("""COMPUTED_VALUE"""),"600")</f>
        <v>600</v>
      </c>
      <c r="P406" s="3" t="str">
        <f ca="1">IFERROR(__xludf.DUMMYFUNCTION("""COMPUTED_VALUE"""),"1080")</f>
        <v>1080</v>
      </c>
      <c r="Q406" s="3" t="str">
        <f ca="1">IFERROR(__xludf.DUMMYFUNCTION("""COMPUTED_VALUE"""),"600x1080")</f>
        <v>600x1080</v>
      </c>
      <c r="R406" s="3"/>
      <c r="S406" s="3" t="str">
        <f ca="1">IFERROR(__xludf.DUMMYFUNCTION("""COMPUTED_VALUE"""),"200")</f>
        <v>200</v>
      </c>
      <c r="T406" s="3"/>
      <c r="U406" s="3" t="str">
        <f ca="1">IFERROR(__xludf.DUMMYFUNCTION("""COMPUTED_VALUE"""),"banner standard")</f>
        <v>banner standard</v>
      </c>
      <c r="V406" s="3"/>
      <c r="W406" s="4" t="str">
        <f ca="1">IFERROR(__xludf.DUMMYFUNCTION("""COMPUTED_VALUE"""),"https://reklama.cncenter.cz/Online/mobilni-interscroller")</f>
        <v>https://reklama.cncenter.cz/Online/mobilni-interscroller</v>
      </c>
      <c r="X406" s="3"/>
      <c r="Y406" s="3"/>
      <c r="Z406" s="3" t="str">
        <f ca="1">IFERROR(__xludf.DUMMYFUNCTION("""COMPUTED_VALUE"""),"podklady@cncenter.cz")</f>
        <v>podklady@cncenter.cz</v>
      </c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 t="str">
        <f ca="1">IFERROR(__xludf.DUMMYFUNCTION("""COMPUTED_VALUE"""),"mobile")</f>
        <v>mobile</v>
      </c>
      <c r="AO406" s="3"/>
      <c r="AP406" s="3"/>
      <c r="AQ406" s="3"/>
      <c r="AR406" s="3"/>
      <c r="AS406" s="3"/>
      <c r="AT406" s="3"/>
      <c r="AU406" s="3" t="str">
        <f ca="1">IFERROR(__xludf.DUMMYFUNCTION("""COMPUTED_VALUE"""),"cílený mobilní interscroller")</f>
        <v>cílený mobilní interscroller</v>
      </c>
    </row>
    <row r="407" spans="1:47" x14ac:dyDescent="0.3">
      <c r="A407" s="3">
        <f ca="1"/>
        <v>2346826</v>
      </c>
      <c r="B407" s="3" t="str">
        <f ca="1"/>
        <v>CZECH NEWS CENTER a. s.</v>
      </c>
      <c r="C407" s="3" t="str">
        <f ca="1">IFERROR(__xludf.DUMMYFUNCTION("""COMPUTED_VALUE"""),"Digiarena")</f>
        <v>Digiarena</v>
      </c>
      <c r="D407" s="4" t="str">
        <f ca="1">IFERROR(__xludf.DUMMYFUNCTION("""COMPUTED_VALUE"""),"https://digiarena.zive.cz")</f>
        <v>https://digiarena.zive.cz</v>
      </c>
      <c r="E407" s="3" t="str">
        <f ca="1">IFERROR(__xludf.DUMMYFUNCTION("""COMPUTED_VALUE"""),"celý web")</f>
        <v>celý web</v>
      </c>
      <c r="F407" s="4" t="str">
        <f ca="1">IFERROR(__xludf.DUMMYFUNCTION("""COMPUTED_VALUE"""),"https://digiarena.zive.cz")</f>
        <v>https://digiarena.zive.cz</v>
      </c>
      <c r="G407" s="3" t="str">
        <f ca="1">IFERROR(__xludf.DUMMYFUNCTION("""COMPUTED_VALUE"""),"cílený mobilní slide-up high season")</f>
        <v>cílený mobilní slide-up high season</v>
      </c>
      <c r="H407" s="3">
        <f ca="1">IFERROR(__xludf.DUMMYFUNCTION("""COMPUTED_VALUE"""),7)</f>
        <v>7</v>
      </c>
      <c r="I407" s="5">
        <f ca="1">IFERROR(__xludf.DUMMYFUNCTION("""COMPUTED_VALUE"""),1000)</f>
        <v>1000</v>
      </c>
      <c r="J407" s="5">
        <f ca="1">IFERROR(__xludf.DUMMYFUNCTION("""COMPUTED_VALUE"""),1104)</f>
        <v>1104</v>
      </c>
      <c r="K407" s="3"/>
      <c r="L407" s="3" t="str">
        <f ca="1">IFERROR(__xludf.DUMMYFUNCTION("""COMPUTED_VALUE"""),"Cost per period")</f>
        <v>Cost per period</v>
      </c>
      <c r="M407" s="3"/>
      <c r="N407" s="3"/>
      <c r="O407" s="3" t="str">
        <f ca="1">IFERROR(__xludf.DUMMYFUNCTION("""COMPUTED_VALUE"""),"300")</f>
        <v>300</v>
      </c>
      <c r="P407" s="3" t="str">
        <f ca="1">IFERROR(__xludf.DUMMYFUNCTION("""COMPUTED_VALUE"""),"120")</f>
        <v>120</v>
      </c>
      <c r="Q407" s="3" t="str">
        <f ca="1">IFERROR(__xludf.DUMMYFUNCTION("""COMPUTED_VALUE"""),"300x120")</f>
        <v>300x120</v>
      </c>
      <c r="R407" s="3"/>
      <c r="S407" s="3" t="str">
        <f ca="1">IFERROR(__xludf.DUMMYFUNCTION("""COMPUTED_VALUE"""),"100")</f>
        <v>100</v>
      </c>
      <c r="T407" s="3"/>
      <c r="U407" s="3" t="str">
        <f ca="1">IFERROR(__xludf.DUMMYFUNCTION("""COMPUTED_VALUE"""),"banner standard")</f>
        <v>banner standard</v>
      </c>
      <c r="V407" s="3"/>
      <c r="W407" s="4" t="str">
        <f ca="1">IFERROR(__xludf.DUMMYFUNCTION("""COMPUTED_VALUE"""),"https://reklama.cncenter.cz/Online/mobilni-slide-up")</f>
        <v>https://reklama.cncenter.cz/Online/mobilni-slide-up</v>
      </c>
      <c r="X407" s="3"/>
      <c r="Y407" s="3"/>
      <c r="Z407" s="3" t="str">
        <f ca="1">IFERROR(__xludf.DUMMYFUNCTION("""COMPUTED_VALUE"""),"podklady@cncenter.cz")</f>
        <v>podklady@cncenter.cz</v>
      </c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 t="str">
        <f ca="1">IFERROR(__xludf.DUMMYFUNCTION("""COMPUTED_VALUE"""),"mobile")</f>
        <v>mobile</v>
      </c>
      <c r="AO407" s="3"/>
      <c r="AP407" s="3"/>
      <c r="AQ407" s="3"/>
      <c r="AR407" s="3"/>
      <c r="AS407" s="3"/>
      <c r="AT407" s="3"/>
      <c r="AU407" s="3" t="str">
        <f ca="1">IFERROR(__xludf.DUMMYFUNCTION("""COMPUTED_VALUE"""),"cílený mobilní slide-up")</f>
        <v>cílený mobilní slide-up</v>
      </c>
    </row>
    <row r="408" spans="1:47" x14ac:dyDescent="0.3">
      <c r="A408" s="3">
        <f ca="1"/>
        <v>2346826</v>
      </c>
      <c r="B408" s="3" t="str">
        <f ca="1"/>
        <v>CZECH NEWS CENTER a. s.</v>
      </c>
      <c r="C408" s="3" t="str">
        <f ca="1">IFERROR(__xludf.DUMMYFUNCTION("""COMPUTED_VALUE"""),"Digiarena")</f>
        <v>Digiarena</v>
      </c>
      <c r="D408" s="4" t="str">
        <f ca="1">IFERROR(__xludf.DUMMYFUNCTION("""COMPUTED_VALUE"""),"https://digiarena.zive.cz")</f>
        <v>https://digiarena.zive.cz</v>
      </c>
      <c r="E408" s="3" t="str">
        <f ca="1">IFERROR(__xludf.DUMMYFUNCTION("""COMPUTED_VALUE"""),"celý web")</f>
        <v>celý web</v>
      </c>
      <c r="F408" s="4" t="str">
        <f ca="1">IFERROR(__xludf.DUMMYFUNCTION("""COMPUTED_VALUE"""),"https://digiarena.zive.cz")</f>
        <v>https://digiarena.zive.cz</v>
      </c>
      <c r="G408" s="3" t="str">
        <f ca="1">IFERROR(__xludf.DUMMYFUNCTION("""COMPUTED_VALUE"""),"cílený mobilní viněta high season")</f>
        <v>cílený mobilní viněta high season</v>
      </c>
      <c r="H408" s="3">
        <f ca="1">IFERROR(__xludf.DUMMYFUNCTION("""COMPUTED_VALUE"""),7)</f>
        <v>7</v>
      </c>
      <c r="I408" s="5">
        <f ca="1">IFERROR(__xludf.DUMMYFUNCTION("""COMPUTED_VALUE"""),1000)</f>
        <v>1000</v>
      </c>
      <c r="J408" s="5">
        <f ca="1">IFERROR(__xludf.DUMMYFUNCTION("""COMPUTED_VALUE"""),1908)</f>
        <v>1908</v>
      </c>
      <c r="K408" s="3"/>
      <c r="L408" s="3" t="str">
        <f ca="1">IFERROR(__xludf.DUMMYFUNCTION("""COMPUTED_VALUE"""),"Cost per period")</f>
        <v>Cost per period</v>
      </c>
      <c r="M408" s="3"/>
      <c r="N408" s="3"/>
      <c r="O408" s="3" t="str">
        <f ca="1">IFERROR(__xludf.DUMMYFUNCTION("""COMPUTED_VALUE"""),"600")</f>
        <v>600</v>
      </c>
      <c r="P408" s="3" t="str">
        <f ca="1">IFERROR(__xludf.DUMMYFUNCTION("""COMPUTED_VALUE"""),"800")</f>
        <v>800</v>
      </c>
      <c r="Q408" s="3" t="str">
        <f ca="1">IFERROR(__xludf.DUMMYFUNCTION("""COMPUTED_VALUE"""),"300x250 nebo 600x800")</f>
        <v>300x250 nebo 600x800</v>
      </c>
      <c r="R408" s="3"/>
      <c r="S408" s="3" t="str">
        <f ca="1">IFERROR(__xludf.DUMMYFUNCTION("""COMPUTED_VALUE"""),"100")</f>
        <v>100</v>
      </c>
      <c r="T408" s="3"/>
      <c r="U408" s="3" t="str">
        <f ca="1">IFERROR(__xludf.DUMMYFUNCTION("""COMPUTED_VALUE"""),"banner standard")</f>
        <v>banner standard</v>
      </c>
      <c r="V408" s="3"/>
      <c r="W408" s="4" t="str">
        <f ca="1">IFERROR(__xludf.DUMMYFUNCTION("""COMPUTED_VALUE"""),"https://reklama.cncenter.cz/Online/mobilni-vineta")</f>
        <v>https://reklama.cncenter.cz/Online/mobilni-vineta</v>
      </c>
      <c r="X408" s="3"/>
      <c r="Y408" s="3"/>
      <c r="Z408" s="3" t="str">
        <f ca="1">IFERROR(__xludf.DUMMYFUNCTION("""COMPUTED_VALUE"""),"podklady@cncenter.cz")</f>
        <v>podklady@cncenter.cz</v>
      </c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 t="str">
        <f ca="1">IFERROR(__xludf.DUMMYFUNCTION("""COMPUTED_VALUE"""),"mobile")</f>
        <v>mobile</v>
      </c>
      <c r="AO408" s="3"/>
      <c r="AP408" s="3"/>
      <c r="AQ408" s="3"/>
      <c r="AR408" s="3"/>
      <c r="AS408" s="3"/>
      <c r="AT408" s="3"/>
      <c r="AU408" s="3" t="str">
        <f ca="1">IFERROR(__xludf.DUMMYFUNCTION("""COMPUTED_VALUE"""),"cílený mobilní viněta")</f>
        <v>cílený mobilní viněta</v>
      </c>
    </row>
    <row r="409" spans="1:47" x14ac:dyDescent="0.3">
      <c r="A409" s="3">
        <f ca="1"/>
        <v>2346826</v>
      </c>
      <c r="B409" s="3" t="str">
        <f ca="1"/>
        <v>CZECH NEWS CENTER a. s.</v>
      </c>
      <c r="C409" s="3" t="str">
        <f ca="1">IFERROR(__xludf.DUMMYFUNCTION("""COMPUTED_VALUE"""),"Digiarena")</f>
        <v>Digiarena</v>
      </c>
      <c r="D409" s="4" t="str">
        <f ca="1">IFERROR(__xludf.DUMMYFUNCTION("""COMPUTED_VALUE"""),"https://digiarena.zive.cz")</f>
        <v>https://digiarena.zive.cz</v>
      </c>
      <c r="E409" s="3" t="str">
        <f ca="1">IFERROR(__xludf.DUMMYFUNCTION("""COMPUTED_VALUE"""),"celý web")</f>
        <v>celý web</v>
      </c>
      <c r="F409" s="4" t="str">
        <f ca="1">IFERROR(__xludf.DUMMYFUNCTION("""COMPUTED_VALUE"""),"https://digiarena.zive.cz")</f>
        <v>https://digiarena.zive.cz</v>
      </c>
      <c r="G409" s="3" t="str">
        <f ca="1">IFERROR(__xludf.DUMMYFUNCTION("""COMPUTED_VALUE"""),"cílený nativní rectangle cross-device high season")</f>
        <v>cílený nativní rectangle cross-device high season</v>
      </c>
      <c r="H409" s="3">
        <f ca="1">IFERROR(__xludf.DUMMYFUNCTION("""COMPUTED_VALUE"""),7)</f>
        <v>7</v>
      </c>
      <c r="I409" s="5">
        <f ca="1">IFERROR(__xludf.DUMMYFUNCTION("""COMPUTED_VALUE"""),1000)</f>
        <v>1000</v>
      </c>
      <c r="J409" s="5">
        <f ca="1">IFERROR(__xludf.DUMMYFUNCTION("""COMPUTED_VALUE"""),432)</f>
        <v>432</v>
      </c>
      <c r="K409" s="3"/>
      <c r="L409" s="3" t="str">
        <f ca="1">IFERROR(__xludf.DUMMYFUNCTION("""COMPUTED_VALUE"""),"Cost per period")</f>
        <v>Cost per period</v>
      </c>
      <c r="M409" s="3"/>
      <c r="N409" s="3"/>
      <c r="O409" s="3" t="str">
        <f ca="1">IFERROR(__xludf.DUMMYFUNCTION("""COMPUTED_VALUE"""),"640")</f>
        <v>640</v>
      </c>
      <c r="P409" s="3" t="str">
        <f ca="1">IFERROR(__xludf.DUMMYFUNCTION("""COMPUTED_VALUE"""),"335, 640")</f>
        <v>335, 640</v>
      </c>
      <c r="Q409" s="3" t="str">
        <f ca="1">IFERROR(__xludf.DUMMYFUNCTION("""COMPUTED_VALUE"""),"640x640 a 640x335 + text + logo")</f>
        <v>640x640 a 640x335 + text + logo</v>
      </c>
      <c r="R409" s="3"/>
      <c r="S409" s="3" t="str">
        <f ca="1">IFERROR(__xludf.DUMMYFUNCTION("""COMPUTED_VALUE"""),"45")</f>
        <v>45</v>
      </c>
      <c r="T409" s="3"/>
      <c r="U409" s="3" t="str">
        <f ca="1">IFERROR(__xludf.DUMMYFUNCTION("""COMPUTED_VALUE"""),"nativní reklama")</f>
        <v>nativní reklama</v>
      </c>
      <c r="V409" s="3"/>
      <c r="W409" s="4" t="str">
        <f ca="1">IFERROR(__xludf.DUMMYFUNCTION("""COMPUTED_VALUE"""),"https://reklama.cncenter.cz/Online/nativni-rectangle-cross-device")</f>
        <v>https://reklama.cncenter.cz/Online/nativni-rectangle-cross-device</v>
      </c>
      <c r="X409" s="3"/>
      <c r="Y409" s="3"/>
      <c r="Z409" s="3" t="str">
        <f ca="1">IFERROR(__xludf.DUMMYFUNCTION("""COMPUTED_VALUE"""),"podklady@cncenter.cz")</f>
        <v>podklady@cncenter.cz</v>
      </c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 t="str">
        <f ca="1">IFERROR(__xludf.DUMMYFUNCTION("""COMPUTED_VALUE"""),"cross-device")</f>
        <v>cross-device</v>
      </c>
      <c r="AO409" s="3"/>
      <c r="AP409" s="3"/>
      <c r="AQ409" s="3"/>
      <c r="AR409" s="3"/>
      <c r="AS409" s="3"/>
      <c r="AT409" s="3"/>
      <c r="AU409" s="3" t="str">
        <f ca="1">IFERROR(__xludf.DUMMYFUNCTION("""COMPUTED_VALUE"""),"cílený nativní rectangle cross-device")</f>
        <v>cílený nativní rectangle cross-device</v>
      </c>
    </row>
    <row r="410" spans="1:47" x14ac:dyDescent="0.3">
      <c r="A410" s="3">
        <f ca="1"/>
        <v>2346826</v>
      </c>
      <c r="B410" s="3" t="str">
        <f ca="1"/>
        <v>CZECH NEWS CENTER a. s.</v>
      </c>
      <c r="C410" s="3" t="str">
        <f ca="1">IFERROR(__xludf.DUMMYFUNCTION("""COMPUTED_VALUE"""),"Digiarena")</f>
        <v>Digiarena</v>
      </c>
      <c r="D410" s="4" t="str">
        <f ca="1">IFERROR(__xludf.DUMMYFUNCTION("""COMPUTED_VALUE"""),"https://digiarena.zive.cz")</f>
        <v>https://digiarena.zive.cz</v>
      </c>
      <c r="E410" s="3" t="str">
        <f ca="1">IFERROR(__xludf.DUMMYFUNCTION("""COMPUTED_VALUE"""),"celý web")</f>
        <v>celý web</v>
      </c>
      <c r="F410" s="4" t="str">
        <f ca="1">IFERROR(__xludf.DUMMYFUNCTION("""COMPUTED_VALUE"""),"https://digiarena.zive.cz")</f>
        <v>https://digiarena.zive.cz</v>
      </c>
      <c r="G410" s="3" t="str">
        <f ca="1">IFERROR(__xludf.DUMMYFUNCTION("""COMPUTED_VALUE"""),"cílený outstream high season")</f>
        <v>cílený outstream high season</v>
      </c>
      <c r="H410" s="3">
        <f ca="1">IFERROR(__xludf.DUMMYFUNCTION("""COMPUTED_VALUE"""),7)</f>
        <v>7</v>
      </c>
      <c r="I410" s="5">
        <f ca="1">IFERROR(__xludf.DUMMYFUNCTION("""COMPUTED_VALUE"""),1000)</f>
        <v>1000</v>
      </c>
      <c r="J410" s="5">
        <f ca="1">IFERROR(__xludf.DUMMYFUNCTION("""COMPUTED_VALUE"""),540)</f>
        <v>540</v>
      </c>
      <c r="K410" s="3"/>
      <c r="L410" s="3" t="str">
        <f ca="1">IFERROR(__xludf.DUMMYFUNCTION("""COMPUTED_VALUE"""),"Cost per period")</f>
        <v>Cost per period</v>
      </c>
      <c r="M410" s="3"/>
      <c r="N410" s="3"/>
      <c r="O410" s="3" t="str">
        <f ca="1">IFERROR(__xludf.DUMMYFUNCTION("""COMPUTED_VALUE"""),"1280")</f>
        <v>1280</v>
      </c>
      <c r="P410" s="3" t="str">
        <f ca="1">IFERROR(__xludf.DUMMYFUNCTION("""COMPUTED_VALUE"""),"720")</f>
        <v>720</v>
      </c>
      <c r="Q410" s="3" t="str">
        <f ca="1">IFERROR(__xludf.DUMMYFUNCTION("""COMPUTED_VALUE"""),"16:9")</f>
        <v>16:9</v>
      </c>
      <c r="R410" s="3"/>
      <c r="S410" s="3" t="str">
        <f ca="1">IFERROR(__xludf.DUMMYFUNCTION("""COMPUTED_VALUE"""),"100")</f>
        <v>100</v>
      </c>
      <c r="T410" s="3"/>
      <c r="U410" s="3" t="str">
        <f ca="1">IFERROR(__xludf.DUMMYFUNCTION("""COMPUTED_VALUE"""),"videospot")</f>
        <v>videospot</v>
      </c>
      <c r="V410" s="3"/>
      <c r="W410" s="4" t="str">
        <f ca="1">IFERROR(__xludf.DUMMYFUNCTION("""COMPUTED_VALUE"""),"https://reklama.cncenter.cz/Online/Outstream")</f>
        <v>https://reklama.cncenter.cz/Online/Outstream</v>
      </c>
      <c r="X410" s="3"/>
      <c r="Y410" s="3"/>
      <c r="Z410" s="3" t="str">
        <f ca="1">IFERROR(__xludf.DUMMYFUNCTION("""COMPUTED_VALUE"""),"podklady@cncenter.cz")</f>
        <v>podklady@cncenter.cz</v>
      </c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 t="str">
        <f ca="1">IFERROR(__xludf.DUMMYFUNCTION("""COMPUTED_VALUE"""),"cross-device")</f>
        <v>cross-device</v>
      </c>
      <c r="AO410" s="3"/>
      <c r="AP410" s="3"/>
      <c r="AQ410" s="3"/>
      <c r="AR410" s="3"/>
      <c r="AS410" s="3"/>
      <c r="AT410" s="3"/>
      <c r="AU410" s="3" t="str">
        <f ca="1">IFERROR(__xludf.DUMMYFUNCTION("""COMPUTED_VALUE"""),"cílený outstream")</f>
        <v>cílený outstream</v>
      </c>
    </row>
    <row r="411" spans="1:47" x14ac:dyDescent="0.3">
      <c r="A411" s="3">
        <f ca="1"/>
        <v>2346826</v>
      </c>
      <c r="B411" s="3" t="str">
        <f ca="1"/>
        <v>CZECH NEWS CENTER a. s.</v>
      </c>
      <c r="C411" s="3" t="str">
        <f ca="1">IFERROR(__xludf.DUMMYFUNCTION("""COMPUTED_VALUE"""),"DIGIarena")</f>
        <v>DIGIarena</v>
      </c>
      <c r="D411" s="4" t="str">
        <f ca="1">IFERROR(__xludf.DUMMYFUNCTION("""COMPUTED_VALUE"""),"https://digiarena.zive.cz")</f>
        <v>https://digiarena.zive.cz</v>
      </c>
      <c r="E411" s="3" t="str">
        <f ca="1">IFERROR(__xludf.DUMMYFUNCTION("""COMPUTED_VALUE"""),"celý web")</f>
        <v>celý web</v>
      </c>
      <c r="F411" s="4" t="str">
        <f ca="1">IFERROR(__xludf.DUMMYFUNCTION("""COMPUTED_VALUE"""),"https://digiarena.zive.cz")</f>
        <v>https://digiarena.zive.cz</v>
      </c>
      <c r="G411" s="3" t="str">
        <f ca="1">IFERROR(__xludf.DUMMYFUNCTION("""COMPUTED_VALUE"""),"dokoupení proma o 2 týdny - 10 000 PV *** high season")</f>
        <v>dokoupení proma o 2 týdny - 10 000 PV *** high season</v>
      </c>
      <c r="H411" s="3">
        <f ca="1">IFERROR(__xludf.DUMMYFUNCTION("""COMPUTED_VALUE"""),1)</f>
        <v>1</v>
      </c>
      <c r="I411" s="5">
        <f ca="1">IFERROR(__xludf.DUMMYFUNCTION("""COMPUTED_VALUE"""),1)</f>
        <v>1</v>
      </c>
      <c r="J411" s="5">
        <f ca="1">IFERROR(__xludf.DUMMYFUNCTION("""COMPUTED_VALUE"""),60000)</f>
        <v>60000</v>
      </c>
      <c r="K411" s="3"/>
      <c r="L411" s="3" t="str">
        <f ca="1">IFERROR(__xludf.DUMMYFUNCTION("""COMPUTED_VALUE"""),"Cost per instance")</f>
        <v>Cost per instance</v>
      </c>
      <c r="M411" s="3"/>
      <c r="N411" s="3"/>
      <c r="O411" s="3"/>
      <c r="P411" s="3"/>
      <c r="Q411" s="3"/>
      <c r="R411" s="3"/>
      <c r="S411" s="3" t="str">
        <f ca="1">IFERROR(__xludf.DUMMYFUNCTION("""COMPUTED_VALUE"""),"100")</f>
        <v>100</v>
      </c>
      <c r="T411" s="3"/>
      <c r="U411" s="3" t="str">
        <f ca="1">IFERROR(__xludf.DUMMYFUNCTION("""COMPUTED_VALUE"""),"microsite")</f>
        <v>microsite</v>
      </c>
      <c r="V411" s="3"/>
      <c r="W411" s="3"/>
      <c r="X411" s="3"/>
      <c r="Y411" s="3"/>
      <c r="Z411" s="3" t="str">
        <f ca="1">IFERROR(__xludf.DUMMYFUNCTION("""COMPUTED_VALUE"""),"podklady@cncenter.cz")</f>
        <v>podklady@cncenter.cz</v>
      </c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 t="str">
        <f ca="1">IFERROR(__xludf.DUMMYFUNCTION("""COMPUTED_VALUE"""),"cross-device")</f>
        <v>cross-device</v>
      </c>
      <c r="AO411" s="3"/>
      <c r="AP411" s="3"/>
      <c r="AQ411" s="3"/>
      <c r="AR411" s="3"/>
      <c r="AS411" s="3"/>
      <c r="AT411" s="3"/>
      <c r="AU411" s="3" t="str">
        <f ca="1">IFERROR(__xludf.DUMMYFUNCTION("""COMPUTED_VALUE"""),"dokoupení proma o 2 týdny - 10 000 PV ***")</f>
        <v>dokoupení proma o 2 týdny - 10 000 PV ***</v>
      </c>
    </row>
    <row r="412" spans="1:47" x14ac:dyDescent="0.3">
      <c r="A412" s="3">
        <f ca="1"/>
        <v>2346826</v>
      </c>
      <c r="B412" s="3" t="str">
        <f ca="1"/>
        <v>CZECH NEWS CENTER a. s.</v>
      </c>
      <c r="C412" s="3" t="str">
        <f ca="1">IFERROR(__xludf.DUMMYFUNCTION("""COMPUTED_VALUE"""),"Digiarena")</f>
        <v>Digiarena</v>
      </c>
      <c r="D412" s="4" t="str">
        <f ca="1">IFERROR(__xludf.DUMMYFUNCTION("""COMPUTED_VALUE"""),"https://digiarena.zive.cz")</f>
        <v>https://digiarena.zive.cz</v>
      </c>
      <c r="E412" s="3" t="str">
        <f ca="1">IFERROR(__xludf.DUMMYFUNCTION("""COMPUTED_VALUE"""),"celý web")</f>
        <v>celý web</v>
      </c>
      <c r="F412" s="4" t="str">
        <f ca="1">IFERROR(__xludf.DUMMYFUNCTION("""COMPUTED_VALUE"""),"https://digiarena.zive.cz")</f>
        <v>https://digiarena.zive.cz</v>
      </c>
      <c r="G412" s="3" t="str">
        <f ca="1">IFERROR(__xludf.DUMMYFUNCTION("""COMPUTED_VALUE"""),"double skyscraper high season")</f>
        <v>double skyscraper high season</v>
      </c>
      <c r="H412" s="3">
        <f ca="1">IFERROR(__xludf.DUMMYFUNCTION("""COMPUTED_VALUE"""),7)</f>
        <v>7</v>
      </c>
      <c r="I412" s="5">
        <f ca="1">IFERROR(__xludf.DUMMYFUNCTION("""COMPUTED_VALUE"""),1000)</f>
        <v>1000</v>
      </c>
      <c r="J412" s="5">
        <f ca="1">IFERROR(__xludf.DUMMYFUNCTION("""COMPUTED_VALUE"""),350)</f>
        <v>350</v>
      </c>
      <c r="K412" s="3"/>
      <c r="L412" s="3" t="str">
        <f ca="1">IFERROR(__xludf.DUMMYFUNCTION("""COMPUTED_VALUE"""),"Cost per period")</f>
        <v>Cost per period</v>
      </c>
      <c r="M412" s="3"/>
      <c r="N412" s="3"/>
      <c r="O412" s="3" t="str">
        <f ca="1">IFERROR(__xludf.DUMMYFUNCTION("""COMPUTED_VALUE"""),"300")</f>
        <v>300</v>
      </c>
      <c r="P412" s="3" t="str">
        <f ca="1">IFERROR(__xludf.DUMMYFUNCTION("""COMPUTED_VALUE"""),"600")</f>
        <v>600</v>
      </c>
      <c r="Q412" s="3" t="str">
        <f ca="1">IFERROR(__xludf.DUMMYFUNCTION("""COMPUTED_VALUE"""),"300x600")</f>
        <v>300x600</v>
      </c>
      <c r="R412" s="3"/>
      <c r="S412" s="3" t="str">
        <f ca="1">IFERROR(__xludf.DUMMYFUNCTION("""COMPUTED_VALUE"""),"100 (200 - HTML5)")</f>
        <v>100 (200 - HTML5)</v>
      </c>
      <c r="T412" s="3"/>
      <c r="U412" s="3" t="str">
        <f ca="1">IFERROR(__xludf.DUMMYFUNCTION("""COMPUTED_VALUE"""),"banner standard")</f>
        <v>banner standard</v>
      </c>
      <c r="V412" s="3"/>
      <c r="W412" s="4" t="str">
        <f ca="1">IFERROR(__xludf.DUMMYFUNCTION("""COMPUTED_VALUE"""),"https://reklama.cncenter.cz/Online/double-skyscraper")</f>
        <v>https://reklama.cncenter.cz/Online/double-skyscraper</v>
      </c>
      <c r="X412" s="3"/>
      <c r="Y412" s="3"/>
      <c r="Z412" s="3" t="str">
        <f ca="1">IFERROR(__xludf.DUMMYFUNCTION("""COMPUTED_VALUE"""),"podklady@cncenter.cz")</f>
        <v>podklady@cncenter.cz</v>
      </c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 t="str">
        <f ca="1">IFERROR(__xludf.DUMMYFUNCTION("""COMPUTED_VALUE"""),"desktop")</f>
        <v>desktop</v>
      </c>
      <c r="AO412" s="3"/>
      <c r="AP412" s="3"/>
      <c r="AQ412" s="3"/>
      <c r="AR412" s="3"/>
      <c r="AS412" s="3"/>
      <c r="AT412" s="3"/>
      <c r="AU412" s="3" t="str">
        <f ca="1">IFERROR(__xludf.DUMMYFUNCTION("""COMPUTED_VALUE"""),"double skyscraper")</f>
        <v>double skyscraper</v>
      </c>
    </row>
    <row r="413" spans="1:47" x14ac:dyDescent="0.3">
      <c r="A413" s="3">
        <f ca="1"/>
        <v>2346826</v>
      </c>
      <c r="B413" s="3" t="str">
        <f ca="1"/>
        <v>CZECH NEWS CENTER a. s.</v>
      </c>
      <c r="C413" s="3" t="str">
        <f ca="1">IFERROR(__xludf.DUMMYFUNCTION("""COMPUTED_VALUE"""),"Digiarena")</f>
        <v>Digiarena</v>
      </c>
      <c r="D413" s="4" t="str">
        <f ca="1">IFERROR(__xludf.DUMMYFUNCTION("""COMPUTED_VALUE"""),"https://digiarena.zive.cz")</f>
        <v>https://digiarena.zive.cz</v>
      </c>
      <c r="E413" s="3" t="str">
        <f ca="1">IFERROR(__xludf.DUMMYFUNCTION("""COMPUTED_VALUE"""),"celý web")</f>
        <v>celý web</v>
      </c>
      <c r="F413" s="4" t="str">
        <f ca="1">IFERROR(__xludf.DUMMYFUNCTION("""COMPUTED_VALUE"""),"https://digiarena.zive.cz")</f>
        <v>https://digiarena.zive.cz</v>
      </c>
      <c r="G413" s="3" t="str">
        <f ca="1">IFERROR(__xludf.DUMMYFUNCTION("""COMPUTED_VALUE"""),"mobilní interscroller high season")</f>
        <v>mobilní interscroller high season</v>
      </c>
      <c r="H413" s="3">
        <f ca="1">IFERROR(__xludf.DUMMYFUNCTION("""COMPUTED_VALUE"""),7)</f>
        <v>7</v>
      </c>
      <c r="I413" s="5">
        <f ca="1">IFERROR(__xludf.DUMMYFUNCTION("""COMPUTED_VALUE"""),1000)</f>
        <v>1000</v>
      </c>
      <c r="J413" s="5">
        <f ca="1">IFERROR(__xludf.DUMMYFUNCTION("""COMPUTED_VALUE"""),450)</f>
        <v>450</v>
      </c>
      <c r="K413" s="3"/>
      <c r="L413" s="3" t="str">
        <f ca="1">IFERROR(__xludf.DUMMYFUNCTION("""COMPUTED_VALUE"""),"Cost per period")</f>
        <v>Cost per period</v>
      </c>
      <c r="M413" s="3"/>
      <c r="N413" s="3"/>
      <c r="O413" s="3" t="str">
        <f ca="1">IFERROR(__xludf.DUMMYFUNCTION("""COMPUTED_VALUE"""),"600")</f>
        <v>600</v>
      </c>
      <c r="P413" s="3" t="str">
        <f ca="1">IFERROR(__xludf.DUMMYFUNCTION("""COMPUTED_VALUE"""),"1080")</f>
        <v>1080</v>
      </c>
      <c r="Q413" s="3" t="str">
        <f ca="1">IFERROR(__xludf.DUMMYFUNCTION("""COMPUTED_VALUE"""),"600x1080")</f>
        <v>600x1080</v>
      </c>
      <c r="R413" s="3"/>
      <c r="S413" s="3" t="str">
        <f ca="1">IFERROR(__xludf.DUMMYFUNCTION("""COMPUTED_VALUE"""),"200")</f>
        <v>200</v>
      </c>
      <c r="T413" s="3"/>
      <c r="U413" s="3" t="str">
        <f ca="1">IFERROR(__xludf.DUMMYFUNCTION("""COMPUTED_VALUE"""),"banner standard")</f>
        <v>banner standard</v>
      </c>
      <c r="V413" s="3"/>
      <c r="W413" s="4" t="str">
        <f ca="1">IFERROR(__xludf.DUMMYFUNCTION("""COMPUTED_VALUE"""),"https://reklama.cncenter.cz/Online/mobilni-interscroller")</f>
        <v>https://reklama.cncenter.cz/Online/mobilni-interscroller</v>
      </c>
      <c r="X413" s="3"/>
      <c r="Y413" s="3"/>
      <c r="Z413" s="3" t="str">
        <f ca="1">IFERROR(__xludf.DUMMYFUNCTION("""COMPUTED_VALUE"""),"podklady@cncenter.cz")</f>
        <v>podklady@cncenter.cz</v>
      </c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 t="str">
        <f ca="1">IFERROR(__xludf.DUMMYFUNCTION("""COMPUTED_VALUE"""),"mobile")</f>
        <v>mobile</v>
      </c>
      <c r="AO413" s="3"/>
      <c r="AP413" s="3"/>
      <c r="AQ413" s="3"/>
      <c r="AR413" s="3"/>
      <c r="AS413" s="3"/>
      <c r="AT413" s="3"/>
      <c r="AU413" s="3" t="str">
        <f ca="1">IFERROR(__xludf.DUMMYFUNCTION("""COMPUTED_VALUE"""),"mobilní interscroller")</f>
        <v>mobilní interscroller</v>
      </c>
    </row>
    <row r="414" spans="1:47" x14ac:dyDescent="0.3">
      <c r="A414" s="3">
        <f ca="1"/>
        <v>2346826</v>
      </c>
      <c r="B414" s="3" t="str">
        <f ca="1"/>
        <v>CZECH NEWS CENTER a. s.</v>
      </c>
      <c r="C414" s="3" t="str">
        <f ca="1">IFERROR(__xludf.DUMMYFUNCTION("""COMPUTED_VALUE"""),"Digiarena")</f>
        <v>Digiarena</v>
      </c>
      <c r="D414" s="4" t="str">
        <f ca="1">IFERROR(__xludf.DUMMYFUNCTION("""COMPUTED_VALUE"""),"https://digiarena.zive.cz")</f>
        <v>https://digiarena.zive.cz</v>
      </c>
      <c r="E414" s="3" t="str">
        <f ca="1">IFERROR(__xludf.DUMMYFUNCTION("""COMPUTED_VALUE"""),"celý web")</f>
        <v>celý web</v>
      </c>
      <c r="F414" s="4" t="str">
        <f ca="1">IFERROR(__xludf.DUMMYFUNCTION("""COMPUTED_VALUE"""),"https://digiarena.zive.cz")</f>
        <v>https://digiarena.zive.cz</v>
      </c>
      <c r="G414" s="3" t="str">
        <f ca="1">IFERROR(__xludf.DUMMYFUNCTION("""COMPUTED_VALUE"""),"mobilní slide-up high season")</f>
        <v>mobilní slide-up high season</v>
      </c>
      <c r="H414" s="3">
        <f ca="1">IFERROR(__xludf.DUMMYFUNCTION("""COMPUTED_VALUE"""),7)</f>
        <v>7</v>
      </c>
      <c r="I414" s="5">
        <f ca="1">IFERROR(__xludf.DUMMYFUNCTION("""COMPUTED_VALUE"""),1000)</f>
        <v>1000</v>
      </c>
      <c r="J414" s="5">
        <f ca="1">IFERROR(__xludf.DUMMYFUNCTION("""COMPUTED_VALUE"""),920)</f>
        <v>920</v>
      </c>
      <c r="K414" s="3"/>
      <c r="L414" s="3" t="str">
        <f ca="1">IFERROR(__xludf.DUMMYFUNCTION("""COMPUTED_VALUE"""),"Cost per period")</f>
        <v>Cost per period</v>
      </c>
      <c r="M414" s="3"/>
      <c r="N414" s="3"/>
      <c r="O414" s="3" t="str">
        <f ca="1">IFERROR(__xludf.DUMMYFUNCTION("""COMPUTED_VALUE"""),"300")</f>
        <v>300</v>
      </c>
      <c r="P414" s="3" t="str">
        <f ca="1">IFERROR(__xludf.DUMMYFUNCTION("""COMPUTED_VALUE"""),"120")</f>
        <v>120</v>
      </c>
      <c r="Q414" s="3" t="str">
        <f ca="1">IFERROR(__xludf.DUMMYFUNCTION("""COMPUTED_VALUE"""),"300x120")</f>
        <v>300x120</v>
      </c>
      <c r="R414" s="3"/>
      <c r="S414" s="3" t="str">
        <f ca="1">IFERROR(__xludf.DUMMYFUNCTION("""COMPUTED_VALUE"""),"100")</f>
        <v>100</v>
      </c>
      <c r="T414" s="3"/>
      <c r="U414" s="3" t="str">
        <f ca="1">IFERROR(__xludf.DUMMYFUNCTION("""COMPUTED_VALUE"""),"banner standard")</f>
        <v>banner standard</v>
      </c>
      <c r="V414" s="3"/>
      <c r="W414" s="4" t="str">
        <f ca="1">IFERROR(__xludf.DUMMYFUNCTION("""COMPUTED_VALUE"""),"https://reklama.cncenter.cz/Online/mobilni-slide-up")</f>
        <v>https://reklama.cncenter.cz/Online/mobilni-slide-up</v>
      </c>
      <c r="X414" s="3"/>
      <c r="Y414" s="3"/>
      <c r="Z414" s="3" t="str">
        <f ca="1">IFERROR(__xludf.DUMMYFUNCTION("""COMPUTED_VALUE"""),"podklady@cncenter.cz")</f>
        <v>podklady@cncenter.cz</v>
      </c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 t="str">
        <f ca="1">IFERROR(__xludf.DUMMYFUNCTION("""COMPUTED_VALUE"""),"mobile")</f>
        <v>mobile</v>
      </c>
      <c r="AO414" s="3"/>
      <c r="AP414" s="3"/>
      <c r="AQ414" s="3"/>
      <c r="AR414" s="3"/>
      <c r="AS414" s="3"/>
      <c r="AT414" s="3"/>
      <c r="AU414" s="3" t="str">
        <f ca="1">IFERROR(__xludf.DUMMYFUNCTION("""COMPUTED_VALUE"""),"mobilní slide-up")</f>
        <v>mobilní slide-up</v>
      </c>
    </row>
    <row r="415" spans="1:47" x14ac:dyDescent="0.3">
      <c r="A415" s="3">
        <f ca="1"/>
        <v>2346826</v>
      </c>
      <c r="B415" s="3" t="str">
        <f ca="1"/>
        <v>CZECH NEWS CENTER a. s.</v>
      </c>
      <c r="C415" s="3" t="str">
        <f ca="1">IFERROR(__xludf.DUMMYFUNCTION("""COMPUTED_VALUE"""),"Digiarena")</f>
        <v>Digiarena</v>
      </c>
      <c r="D415" s="4" t="str">
        <f ca="1">IFERROR(__xludf.DUMMYFUNCTION("""COMPUTED_VALUE"""),"https://digiarena.zive.cz")</f>
        <v>https://digiarena.zive.cz</v>
      </c>
      <c r="E415" s="3" t="str">
        <f ca="1">IFERROR(__xludf.DUMMYFUNCTION("""COMPUTED_VALUE"""),"celý web")</f>
        <v>celý web</v>
      </c>
      <c r="F415" s="4" t="str">
        <f ca="1">IFERROR(__xludf.DUMMYFUNCTION("""COMPUTED_VALUE"""),"https://digiarena.zive.cz")</f>
        <v>https://digiarena.zive.cz</v>
      </c>
      <c r="G415" s="3" t="str">
        <f ca="1">IFERROR(__xludf.DUMMYFUNCTION("""COMPUTED_VALUE"""),"mobilní viněta high season")</f>
        <v>mobilní viněta high season</v>
      </c>
      <c r="H415" s="3">
        <f ca="1">IFERROR(__xludf.DUMMYFUNCTION("""COMPUTED_VALUE"""),7)</f>
        <v>7</v>
      </c>
      <c r="I415" s="5">
        <f ca="1">IFERROR(__xludf.DUMMYFUNCTION("""COMPUTED_VALUE"""),1000)</f>
        <v>1000</v>
      </c>
      <c r="J415" s="5">
        <f ca="1">IFERROR(__xludf.DUMMYFUNCTION("""COMPUTED_VALUE"""),1590)</f>
        <v>1590</v>
      </c>
      <c r="K415" s="3"/>
      <c r="L415" s="3" t="str">
        <f ca="1">IFERROR(__xludf.DUMMYFUNCTION("""COMPUTED_VALUE"""),"Cost per period")</f>
        <v>Cost per period</v>
      </c>
      <c r="M415" s="3"/>
      <c r="N415" s="3"/>
      <c r="O415" s="3" t="str">
        <f ca="1">IFERROR(__xludf.DUMMYFUNCTION("""COMPUTED_VALUE"""),"600")</f>
        <v>600</v>
      </c>
      <c r="P415" s="3" t="str">
        <f ca="1">IFERROR(__xludf.DUMMYFUNCTION("""COMPUTED_VALUE"""),"800")</f>
        <v>800</v>
      </c>
      <c r="Q415" s="3" t="str">
        <f ca="1">IFERROR(__xludf.DUMMYFUNCTION("""COMPUTED_VALUE"""),"300x250 nebo 600x800")</f>
        <v>300x250 nebo 600x800</v>
      </c>
      <c r="R415" s="3"/>
      <c r="S415" s="3" t="str">
        <f ca="1">IFERROR(__xludf.DUMMYFUNCTION("""COMPUTED_VALUE"""),"100")</f>
        <v>100</v>
      </c>
      <c r="T415" s="3"/>
      <c r="U415" s="3" t="str">
        <f ca="1">IFERROR(__xludf.DUMMYFUNCTION("""COMPUTED_VALUE"""),"banner standard")</f>
        <v>banner standard</v>
      </c>
      <c r="V415" s="3"/>
      <c r="W415" s="4" t="str">
        <f ca="1">IFERROR(__xludf.DUMMYFUNCTION("""COMPUTED_VALUE"""),"https://reklama.cncenter.cz/Online/mobilni-vineta")</f>
        <v>https://reklama.cncenter.cz/Online/mobilni-vineta</v>
      </c>
      <c r="X415" s="3"/>
      <c r="Y415" s="3"/>
      <c r="Z415" s="3" t="str">
        <f ca="1">IFERROR(__xludf.DUMMYFUNCTION("""COMPUTED_VALUE"""),"podklady@cncenter.cz")</f>
        <v>podklady@cncenter.cz</v>
      </c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 t="str">
        <f ca="1">IFERROR(__xludf.DUMMYFUNCTION("""COMPUTED_VALUE"""),"mobile")</f>
        <v>mobile</v>
      </c>
      <c r="AO415" s="3"/>
      <c r="AP415" s="3"/>
      <c r="AQ415" s="3"/>
      <c r="AR415" s="3"/>
      <c r="AS415" s="3"/>
      <c r="AT415" s="3"/>
      <c r="AU415" s="3" t="str">
        <f ca="1">IFERROR(__xludf.DUMMYFUNCTION("""COMPUTED_VALUE"""),"mobilní viněta")</f>
        <v>mobilní viněta</v>
      </c>
    </row>
    <row r="416" spans="1:47" x14ac:dyDescent="0.3">
      <c r="A416" s="3">
        <f ca="1"/>
        <v>2346826</v>
      </c>
      <c r="B416" s="3" t="str">
        <f ca="1"/>
        <v>CZECH NEWS CENTER a. s.</v>
      </c>
      <c r="C416" s="3" t="str">
        <f ca="1">IFERROR(__xludf.DUMMYFUNCTION("""COMPUTED_VALUE"""),"DIGIarena")</f>
        <v>DIGIarena</v>
      </c>
      <c r="D416" s="4" t="str">
        <f ca="1">IFERROR(__xludf.DUMMYFUNCTION("""COMPUTED_VALUE"""),"https://digiarena.zive.cz")</f>
        <v>https://digiarena.zive.cz</v>
      </c>
      <c r="E416" s="3" t="str">
        <f ca="1">IFERROR(__xludf.DUMMYFUNCTION("""COMPUTED_VALUE"""),"celý web")</f>
        <v>celý web</v>
      </c>
      <c r="F416" s="4" t="str">
        <f ca="1">IFERROR(__xludf.DUMMYFUNCTION("""COMPUTED_VALUE"""),"https://digiarena.zive.cz")</f>
        <v>https://digiarena.zive.cz</v>
      </c>
      <c r="G416" s="3" t="str">
        <f ca="1">IFERROR(__xludf.DUMMYFUNCTION("""COMPUTED_VALUE"""),"Native Standard high season")</f>
        <v>Native Standard high season</v>
      </c>
      <c r="H416" s="3">
        <f ca="1">IFERROR(__xludf.DUMMYFUNCTION("""COMPUTED_VALUE"""),1)</f>
        <v>1</v>
      </c>
      <c r="I416" s="5">
        <f ca="1">IFERROR(__xludf.DUMMYFUNCTION("""COMPUTED_VALUE"""),1)</f>
        <v>1</v>
      </c>
      <c r="J416" s="5">
        <f ca="1">IFERROR(__xludf.DUMMYFUNCTION("""COMPUTED_VALUE"""),330000)</f>
        <v>330000</v>
      </c>
      <c r="K416" s="3"/>
      <c r="L416" s="3" t="str">
        <f ca="1">IFERROR(__xludf.DUMMYFUNCTION("""COMPUTED_VALUE"""),"Cost per instance")</f>
        <v>Cost per instance</v>
      </c>
      <c r="M416" s="3"/>
      <c r="N416" s="3"/>
      <c r="O416" s="3"/>
      <c r="P416" s="3"/>
      <c r="Q416" s="3"/>
      <c r="R416" s="3"/>
      <c r="S416" s="3" t="str">
        <f ca="1">IFERROR(__xludf.DUMMYFUNCTION("""COMPUTED_VALUE"""),"100")</f>
        <v>100</v>
      </c>
      <c r="T416" s="3"/>
      <c r="U416" s="3" t="str">
        <f ca="1">IFERROR(__xludf.DUMMYFUNCTION("""COMPUTED_VALUE"""),"microsite")</f>
        <v>microsite</v>
      </c>
      <c r="V416" s="3"/>
      <c r="W416" s="3"/>
      <c r="X416" s="3"/>
      <c r="Y416" s="3"/>
      <c r="Z416" s="3" t="str">
        <f ca="1">IFERROR(__xludf.DUMMYFUNCTION("""COMPUTED_VALUE"""),"podklady@cncenter.cz")</f>
        <v>podklady@cncenter.cz</v>
      </c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 t="str">
        <f ca="1">IFERROR(__xludf.DUMMYFUNCTION("""COMPUTED_VALUE"""),"cross-device")</f>
        <v>cross-device</v>
      </c>
      <c r="AO416" s="3"/>
      <c r="AP416" s="3"/>
      <c r="AQ416" s="3"/>
      <c r="AR416" s="3"/>
      <c r="AS416" s="3"/>
      <c r="AT416" s="3"/>
      <c r="AU416" s="3" t="str">
        <f ca="1">IFERROR(__xludf.DUMMYFUNCTION("""COMPUTED_VALUE"""),"Native Standard")</f>
        <v>Native Standard</v>
      </c>
    </row>
    <row r="417" spans="1:47" x14ac:dyDescent="0.3">
      <c r="A417" s="3">
        <f ca="1"/>
        <v>2346826</v>
      </c>
      <c r="B417" s="3" t="str">
        <f ca="1"/>
        <v>CZECH NEWS CENTER a. s.</v>
      </c>
      <c r="C417" s="3" t="str">
        <f ca="1">IFERROR(__xludf.DUMMYFUNCTION("""COMPUTED_VALUE"""),"Digiarena")</f>
        <v>Digiarena</v>
      </c>
      <c r="D417" s="4" t="str">
        <f ca="1">IFERROR(__xludf.DUMMYFUNCTION("""COMPUTED_VALUE"""),"https://digiarena.zive.cz")</f>
        <v>https://digiarena.zive.cz</v>
      </c>
      <c r="E417" s="3" t="str">
        <f ca="1">IFERROR(__xludf.DUMMYFUNCTION("""COMPUTED_VALUE"""),"celý web")</f>
        <v>celý web</v>
      </c>
      <c r="F417" s="4" t="str">
        <f ca="1">IFERROR(__xludf.DUMMYFUNCTION("""COMPUTED_VALUE"""),"https://digiarena.zive.cz")</f>
        <v>https://digiarena.zive.cz</v>
      </c>
      <c r="G417" s="3" t="str">
        <f ca="1">IFERROR(__xludf.DUMMYFUNCTION("""COMPUTED_VALUE"""),"nativní rectangle cross-device high season")</f>
        <v>nativní rectangle cross-device high season</v>
      </c>
      <c r="H417" s="3">
        <f ca="1">IFERROR(__xludf.DUMMYFUNCTION("""COMPUTED_VALUE"""),7)</f>
        <v>7</v>
      </c>
      <c r="I417" s="5">
        <f ca="1">IFERROR(__xludf.DUMMYFUNCTION("""COMPUTED_VALUE"""),1000)</f>
        <v>1000</v>
      </c>
      <c r="J417" s="5">
        <f ca="1">IFERROR(__xludf.DUMMYFUNCTION("""COMPUTED_VALUE"""),360)</f>
        <v>360</v>
      </c>
      <c r="K417" s="3"/>
      <c r="L417" s="3" t="str">
        <f ca="1">IFERROR(__xludf.DUMMYFUNCTION("""COMPUTED_VALUE"""),"Cost per period")</f>
        <v>Cost per period</v>
      </c>
      <c r="M417" s="3"/>
      <c r="N417" s="3"/>
      <c r="O417" s="3" t="str">
        <f ca="1">IFERROR(__xludf.DUMMYFUNCTION("""COMPUTED_VALUE"""),"640")</f>
        <v>640</v>
      </c>
      <c r="P417" s="3" t="str">
        <f ca="1">IFERROR(__xludf.DUMMYFUNCTION("""COMPUTED_VALUE"""),"335, 640")</f>
        <v>335, 640</v>
      </c>
      <c r="Q417" s="3" t="str">
        <f ca="1">IFERROR(__xludf.DUMMYFUNCTION("""COMPUTED_VALUE"""),"640x640 a 640x335 + text + logo")</f>
        <v>640x640 a 640x335 + text + logo</v>
      </c>
      <c r="R417" s="3"/>
      <c r="S417" s="3" t="str">
        <f ca="1">IFERROR(__xludf.DUMMYFUNCTION("""COMPUTED_VALUE"""),"45")</f>
        <v>45</v>
      </c>
      <c r="T417" s="3"/>
      <c r="U417" s="3" t="str">
        <f ca="1">IFERROR(__xludf.DUMMYFUNCTION("""COMPUTED_VALUE"""),"nativní reklama")</f>
        <v>nativní reklama</v>
      </c>
      <c r="V417" s="3"/>
      <c r="W417" s="4" t="str">
        <f ca="1">IFERROR(__xludf.DUMMYFUNCTION("""COMPUTED_VALUE"""),"https://reklama.cncenter.cz/Online/nativni-rectangle-cross-device")</f>
        <v>https://reklama.cncenter.cz/Online/nativni-rectangle-cross-device</v>
      </c>
      <c r="X417" s="3"/>
      <c r="Y417" s="3"/>
      <c r="Z417" s="3" t="str">
        <f ca="1">IFERROR(__xludf.DUMMYFUNCTION("""COMPUTED_VALUE"""),"podklady@cncenter.cz")</f>
        <v>podklady@cncenter.cz</v>
      </c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 t="str">
        <f ca="1">IFERROR(__xludf.DUMMYFUNCTION("""COMPUTED_VALUE"""),"cross-device")</f>
        <v>cross-device</v>
      </c>
      <c r="AO417" s="3"/>
      <c r="AP417" s="3"/>
      <c r="AQ417" s="3"/>
      <c r="AR417" s="3"/>
      <c r="AS417" s="3"/>
      <c r="AT417" s="3"/>
      <c r="AU417" s="3" t="str">
        <f ca="1">IFERROR(__xludf.DUMMYFUNCTION("""COMPUTED_VALUE"""),"nativní rectangle cross-device")</f>
        <v>nativní rectangle cross-device</v>
      </c>
    </row>
    <row r="418" spans="1:47" x14ac:dyDescent="0.3">
      <c r="A418" s="3">
        <f ca="1"/>
        <v>2346826</v>
      </c>
      <c r="B418" s="3" t="str">
        <f ca="1"/>
        <v>CZECH NEWS CENTER a. s.</v>
      </c>
      <c r="C418" s="3" t="str">
        <f ca="1">IFERROR(__xludf.DUMMYFUNCTION("""COMPUTED_VALUE"""),"Digiarena")</f>
        <v>Digiarena</v>
      </c>
      <c r="D418" s="4" t="str">
        <f ca="1">IFERROR(__xludf.DUMMYFUNCTION("""COMPUTED_VALUE"""),"https://digiarena.zive.cz")</f>
        <v>https://digiarena.zive.cz</v>
      </c>
      <c r="E418" s="3" t="str">
        <f ca="1">IFERROR(__xludf.DUMMYFUNCTION("""COMPUTED_VALUE"""),"celý web")</f>
        <v>celý web</v>
      </c>
      <c r="F418" s="4" t="str">
        <f ca="1">IFERROR(__xludf.DUMMYFUNCTION("""COMPUTED_VALUE"""),"https://digiarena.zive.cz")</f>
        <v>https://digiarena.zive.cz</v>
      </c>
      <c r="G418" s="3" t="str">
        <f ca="1">IFERROR(__xludf.DUMMYFUNCTION("""COMPUTED_VALUE"""),"outstream high season")</f>
        <v>outstream high season</v>
      </c>
      <c r="H418" s="3">
        <f ca="1">IFERROR(__xludf.DUMMYFUNCTION("""COMPUTED_VALUE"""),7)</f>
        <v>7</v>
      </c>
      <c r="I418" s="5">
        <f ca="1">IFERROR(__xludf.DUMMYFUNCTION("""COMPUTED_VALUE"""),1000)</f>
        <v>1000</v>
      </c>
      <c r="J418" s="5">
        <f ca="1">IFERROR(__xludf.DUMMYFUNCTION("""COMPUTED_VALUE"""),450)</f>
        <v>450</v>
      </c>
      <c r="K418" s="3"/>
      <c r="L418" s="3" t="str">
        <f ca="1">IFERROR(__xludf.DUMMYFUNCTION("""COMPUTED_VALUE"""),"Cost per period")</f>
        <v>Cost per period</v>
      </c>
      <c r="M418" s="3"/>
      <c r="N418" s="3"/>
      <c r="O418" s="3" t="str">
        <f ca="1">IFERROR(__xludf.DUMMYFUNCTION("""COMPUTED_VALUE"""),"1280")</f>
        <v>1280</v>
      </c>
      <c r="P418" s="3" t="str">
        <f ca="1">IFERROR(__xludf.DUMMYFUNCTION("""COMPUTED_VALUE"""),"720")</f>
        <v>720</v>
      </c>
      <c r="Q418" s="3" t="str">
        <f ca="1">IFERROR(__xludf.DUMMYFUNCTION("""COMPUTED_VALUE"""),"16:9")</f>
        <v>16:9</v>
      </c>
      <c r="R418" s="3"/>
      <c r="S418" s="3" t="str">
        <f ca="1">IFERROR(__xludf.DUMMYFUNCTION("""COMPUTED_VALUE"""),"100")</f>
        <v>100</v>
      </c>
      <c r="T418" s="3"/>
      <c r="U418" s="3" t="str">
        <f ca="1">IFERROR(__xludf.DUMMYFUNCTION("""COMPUTED_VALUE"""),"videospot")</f>
        <v>videospot</v>
      </c>
      <c r="V418" s="3"/>
      <c r="W418" s="4" t="str">
        <f ca="1">IFERROR(__xludf.DUMMYFUNCTION("""COMPUTED_VALUE"""),"https://reklama.cncenter.cz/Online/Outstream")</f>
        <v>https://reklama.cncenter.cz/Online/Outstream</v>
      </c>
      <c r="X418" s="3"/>
      <c r="Y418" s="3"/>
      <c r="Z418" s="3" t="str">
        <f ca="1">IFERROR(__xludf.DUMMYFUNCTION("""COMPUTED_VALUE"""),"podklady@cncenter.cz")</f>
        <v>podklady@cncenter.cz</v>
      </c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 t="str">
        <f ca="1">IFERROR(__xludf.DUMMYFUNCTION("""COMPUTED_VALUE"""),"cross-device")</f>
        <v>cross-device</v>
      </c>
      <c r="AO418" s="3"/>
      <c r="AP418" s="3"/>
      <c r="AQ418" s="3"/>
      <c r="AR418" s="3"/>
      <c r="AS418" s="3"/>
      <c r="AT418" s="3"/>
      <c r="AU418" s="3" t="str">
        <f ca="1">IFERROR(__xludf.DUMMYFUNCTION("""COMPUTED_VALUE"""),"outstream")</f>
        <v>outstream</v>
      </c>
    </row>
    <row r="419" spans="1:47" x14ac:dyDescent="0.3">
      <c r="A419" s="3">
        <f ca="1"/>
        <v>2346826</v>
      </c>
      <c r="B419" s="3" t="str">
        <f ca="1"/>
        <v>CZECH NEWS CENTER a. s.</v>
      </c>
      <c r="C419" s="3" t="str">
        <f ca="1">IFERROR(__xludf.DUMMYFUNCTION("""COMPUTED_VALUE"""),"DIGIarena")</f>
        <v>DIGIarena</v>
      </c>
      <c r="D419" s="4" t="str">
        <f ca="1">IFERROR(__xludf.DUMMYFUNCTION("""COMPUTED_VALUE"""),"https://digiarena.zive.cz")</f>
        <v>https://digiarena.zive.cz</v>
      </c>
      <c r="E419" s="3" t="str">
        <f ca="1">IFERROR(__xludf.DUMMYFUNCTION("""COMPUTED_VALUE"""),"celý web")</f>
        <v>celý web</v>
      </c>
      <c r="F419" s="4" t="str">
        <f ca="1">IFERROR(__xludf.DUMMYFUNCTION("""COMPUTED_VALUE"""),"https://digiarena.zive.cz")</f>
        <v>https://digiarena.zive.cz</v>
      </c>
      <c r="G419" s="3" t="str">
        <f ca="1">IFERROR(__xludf.DUMMYFUNCTION("""COMPUTED_VALUE"""),"PR článek high season")</f>
        <v>PR článek high season</v>
      </c>
      <c r="H419" s="3">
        <f ca="1">IFERROR(__xludf.DUMMYFUNCTION("""COMPUTED_VALUE"""),1)</f>
        <v>1</v>
      </c>
      <c r="I419" s="5">
        <f ca="1">IFERROR(__xludf.DUMMYFUNCTION("""COMPUTED_VALUE"""),1)</f>
        <v>1</v>
      </c>
      <c r="J419" s="5">
        <f ca="1">IFERROR(__xludf.DUMMYFUNCTION("""COMPUTED_VALUE"""),20000)</f>
        <v>20000</v>
      </c>
      <c r="K419" s="3"/>
      <c r="L419" s="3" t="str">
        <f ca="1">IFERROR(__xludf.DUMMYFUNCTION("""COMPUTED_VALUE"""),"Cost per instance")</f>
        <v>Cost per instance</v>
      </c>
      <c r="M419" s="3"/>
      <c r="N419" s="3"/>
      <c r="O419" s="3"/>
      <c r="P419" s="3"/>
      <c r="Q419" s="3"/>
      <c r="R419" s="3"/>
      <c r="S419" s="3" t="str">
        <f ca="1">IFERROR(__xludf.DUMMYFUNCTION("""COMPUTED_VALUE"""),"100")</f>
        <v>100</v>
      </c>
      <c r="T419" s="3"/>
      <c r="U419" s="3" t="str">
        <f ca="1">IFERROR(__xludf.DUMMYFUNCTION("""COMPUTED_VALUE"""),"pr článek")</f>
        <v>pr článek</v>
      </c>
      <c r="V419" s="3"/>
      <c r="W419" s="4" t="str">
        <f ca="1">IFERROR(__xludf.DUMMYFUNCTION("""COMPUTED_VALUE"""),"https://reklama.cncenter.cz/?ads=PR%2520%25C4%258Dl%25C3%25A1nky")</f>
        <v>https://reklama.cncenter.cz/?ads=PR%2520%25C4%258Dl%25C3%25A1nky</v>
      </c>
      <c r="X419" s="3"/>
      <c r="Y419" s="3"/>
      <c r="Z419" s="3" t="str">
        <f ca="1">IFERROR(__xludf.DUMMYFUNCTION("""COMPUTED_VALUE"""),"podklady@cncenter.cz")</f>
        <v>podklady@cncenter.cz</v>
      </c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 t="str">
        <f ca="1">IFERROR(__xludf.DUMMYFUNCTION("""COMPUTED_VALUE"""),"cross-device")</f>
        <v>cross-device</v>
      </c>
      <c r="AO419" s="3"/>
      <c r="AP419" s="3"/>
      <c r="AQ419" s="3"/>
      <c r="AR419" s="3"/>
      <c r="AS419" s="3"/>
      <c r="AT419" s="3"/>
      <c r="AU419" s="3" t="str">
        <f ca="1">IFERROR(__xludf.DUMMYFUNCTION("""COMPUTED_VALUE"""),"PR článek")</f>
        <v>PR článek</v>
      </c>
    </row>
    <row r="420" spans="1:47" x14ac:dyDescent="0.3">
      <c r="A420" s="3">
        <f ca="1"/>
        <v>2346826</v>
      </c>
      <c r="B420" s="3" t="str">
        <f ca="1"/>
        <v>CZECH NEWS CENTER a. s.</v>
      </c>
      <c r="C420" s="3" t="str">
        <f ca="1">IFERROR(__xludf.DUMMYFUNCTION("""COMPUTED_VALUE"""),"DIGIarena")</f>
        <v>DIGIarena</v>
      </c>
      <c r="D420" s="4" t="str">
        <f ca="1">IFERROR(__xludf.DUMMYFUNCTION("""COMPUTED_VALUE"""),"https://digiarena.zive.cz")</f>
        <v>https://digiarena.zive.cz</v>
      </c>
      <c r="E420" s="3" t="str">
        <f ca="1">IFERROR(__xludf.DUMMYFUNCTION("""COMPUTED_VALUE"""),"celý web")</f>
        <v>celý web</v>
      </c>
      <c r="F420" s="4" t="str">
        <f ca="1">IFERROR(__xludf.DUMMYFUNCTION("""COMPUTED_VALUE"""),"https://digiarena.zive.cz")</f>
        <v>https://digiarena.zive.cz</v>
      </c>
      <c r="G420" s="3" t="str">
        <f ca="1">IFERROR(__xludf.DUMMYFUNCTION("""COMPUTED_VALUE"""),"Prodloužení existující microsite, bez úprav high season")</f>
        <v>Prodloužení existující microsite, bez úprav high season</v>
      </c>
      <c r="H420" s="3">
        <f ca="1">IFERROR(__xludf.DUMMYFUNCTION("""COMPUTED_VALUE"""),1)</f>
        <v>1</v>
      </c>
      <c r="I420" s="5">
        <f ca="1">IFERROR(__xludf.DUMMYFUNCTION("""COMPUTED_VALUE"""),1)</f>
        <v>1</v>
      </c>
      <c r="J420" s="5">
        <f ca="1">IFERROR(__xludf.DUMMYFUNCTION("""COMPUTED_VALUE"""),15000)</f>
        <v>15000</v>
      </c>
      <c r="K420" s="3"/>
      <c r="L420" s="3" t="str">
        <f ca="1">IFERROR(__xludf.DUMMYFUNCTION("""COMPUTED_VALUE"""),"Cost per instance")</f>
        <v>Cost per instance</v>
      </c>
      <c r="M420" s="3"/>
      <c r="N420" s="3"/>
      <c r="O420" s="3"/>
      <c r="P420" s="3"/>
      <c r="Q420" s="3"/>
      <c r="R420" s="3"/>
      <c r="S420" s="3" t="str">
        <f ca="1">IFERROR(__xludf.DUMMYFUNCTION("""COMPUTED_VALUE"""),"100")</f>
        <v>100</v>
      </c>
      <c r="T420" s="3"/>
      <c r="U420" s="3" t="str">
        <f ca="1">IFERROR(__xludf.DUMMYFUNCTION("""COMPUTED_VALUE"""),"microsite")</f>
        <v>microsite</v>
      </c>
      <c r="V420" s="3"/>
      <c r="W420" s="3"/>
      <c r="X420" s="3"/>
      <c r="Y420" s="3"/>
      <c r="Z420" s="3" t="str">
        <f ca="1">IFERROR(__xludf.DUMMYFUNCTION("""COMPUTED_VALUE"""),"podklady@cncenter.cz")</f>
        <v>podklady@cncenter.cz</v>
      </c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 t="str">
        <f ca="1">IFERROR(__xludf.DUMMYFUNCTION("""COMPUTED_VALUE"""),"cross-device")</f>
        <v>cross-device</v>
      </c>
      <c r="AO420" s="3"/>
      <c r="AP420" s="3"/>
      <c r="AQ420" s="3"/>
      <c r="AR420" s="3"/>
      <c r="AS420" s="3"/>
      <c r="AT420" s="3"/>
      <c r="AU420" s="3" t="str">
        <f ca="1">IFERROR(__xludf.DUMMYFUNCTION("""COMPUTED_VALUE"""),"Prodloužení existující microsite, bez úprav")</f>
        <v>Prodloužení existující microsite, bez úprav</v>
      </c>
    </row>
    <row r="421" spans="1:47" x14ac:dyDescent="0.3">
      <c r="A421" s="3">
        <f ca="1"/>
        <v>2346826</v>
      </c>
      <c r="B421" s="3" t="str">
        <f ca="1"/>
        <v>CZECH NEWS CENTER a. s.</v>
      </c>
      <c r="C421" s="3" t="str">
        <f ca="1">IFERROR(__xludf.DUMMYFUNCTION("""COMPUTED_VALUE"""),"DIGIarena")</f>
        <v>DIGIarena</v>
      </c>
      <c r="D421" s="4" t="str">
        <f ca="1">IFERROR(__xludf.DUMMYFUNCTION("""COMPUTED_VALUE"""),"https://digiarena.zive.cz")</f>
        <v>https://digiarena.zive.cz</v>
      </c>
      <c r="E421" s="3" t="str">
        <f ca="1">IFERROR(__xludf.DUMMYFUNCTION("""COMPUTED_VALUE"""),"celý web")</f>
        <v>celý web</v>
      </c>
      <c r="F421" s="4" t="str">
        <f ca="1">IFERROR(__xludf.DUMMYFUNCTION("""COMPUTED_VALUE"""),"https://digiarena.zive.cz")</f>
        <v>https://digiarena.zive.cz</v>
      </c>
      <c r="G421" s="3" t="str">
        <f ca="1">IFERROR(__xludf.DUMMYFUNCTION("""COMPUTED_VALUE"""),"Prodloužení existující microsite, bez úprav high season")</f>
        <v>Prodloužení existující microsite, bez úprav high season</v>
      </c>
      <c r="H421" s="3">
        <f ca="1">IFERROR(__xludf.DUMMYFUNCTION("""COMPUTED_VALUE"""),1)</f>
        <v>1</v>
      </c>
      <c r="I421" s="5">
        <f ca="1">IFERROR(__xludf.DUMMYFUNCTION("""COMPUTED_VALUE"""),1)</f>
        <v>1</v>
      </c>
      <c r="J421" s="5">
        <f ca="1">IFERROR(__xludf.DUMMYFUNCTION("""COMPUTED_VALUE"""),15000)</f>
        <v>15000</v>
      </c>
      <c r="K421" s="3"/>
      <c r="L421" s="3" t="str">
        <f ca="1">IFERROR(__xludf.DUMMYFUNCTION("""COMPUTED_VALUE"""),"Cost per instance")</f>
        <v>Cost per instance</v>
      </c>
      <c r="M421" s="3"/>
      <c r="N421" s="3"/>
      <c r="O421" s="3"/>
      <c r="P421" s="3"/>
      <c r="Q421" s="3"/>
      <c r="R421" s="3"/>
      <c r="S421" s="3" t="str">
        <f ca="1">IFERROR(__xludf.DUMMYFUNCTION("""COMPUTED_VALUE"""),"100")</f>
        <v>100</v>
      </c>
      <c r="T421" s="3"/>
      <c r="U421" s="3" t="str">
        <f ca="1">IFERROR(__xludf.DUMMYFUNCTION("""COMPUTED_VALUE"""),"microsite")</f>
        <v>microsite</v>
      </c>
      <c r="V421" s="3"/>
      <c r="W421" s="3"/>
      <c r="X421" s="3"/>
      <c r="Y421" s="3"/>
      <c r="Z421" s="3" t="str">
        <f ca="1">IFERROR(__xludf.DUMMYFUNCTION("""COMPUTED_VALUE"""),"podklady@cncenter.cz")</f>
        <v>podklady@cncenter.cz</v>
      </c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 t="str">
        <f ca="1">IFERROR(__xludf.DUMMYFUNCTION("""COMPUTED_VALUE"""),"cross-device")</f>
        <v>cross-device</v>
      </c>
      <c r="AO421" s="3"/>
      <c r="AP421" s="3"/>
      <c r="AQ421" s="3"/>
      <c r="AR421" s="3"/>
      <c r="AS421" s="3"/>
      <c r="AT421" s="3"/>
      <c r="AU421" s="3" t="str">
        <f ca="1">IFERROR(__xludf.DUMMYFUNCTION("""COMPUTED_VALUE"""),"Prodloužení existující microsite, bez úprav")</f>
        <v>Prodloužení existující microsite, bez úprav</v>
      </c>
    </row>
    <row r="422" spans="1:47" x14ac:dyDescent="0.3">
      <c r="A422" s="3">
        <f ca="1"/>
        <v>2346826</v>
      </c>
      <c r="B422" s="3" t="str">
        <f ca="1"/>
        <v>CZECH NEWS CENTER a. s.</v>
      </c>
      <c r="C422" s="3" t="str">
        <f ca="1">IFERROR(__xludf.DUMMYFUNCTION("""COMPUTED_VALUE"""),"DIGIarena")</f>
        <v>DIGIarena</v>
      </c>
      <c r="D422" s="4" t="str">
        <f ca="1">IFERROR(__xludf.DUMMYFUNCTION("""COMPUTED_VALUE"""),"https://digiarena.zive.cz")</f>
        <v>https://digiarena.zive.cz</v>
      </c>
      <c r="E422" s="3" t="str">
        <f ca="1">IFERROR(__xludf.DUMMYFUNCTION("""COMPUTED_VALUE"""),"celý web")</f>
        <v>celý web</v>
      </c>
      <c r="F422" s="4" t="str">
        <f ca="1">IFERROR(__xludf.DUMMYFUNCTION("""COMPUTED_VALUE"""),"https://digiarena.zive.cz")</f>
        <v>https://digiarena.zive.cz</v>
      </c>
      <c r="G422" s="3" t="str">
        <f ca="1">IFERROR(__xludf.DUMMYFUNCTION("""COMPUTED_VALUE"""),"Prodloužení existující microsite, bez úprav high season")</f>
        <v>Prodloužení existující microsite, bez úprav high season</v>
      </c>
      <c r="H422" s="3">
        <f ca="1">IFERROR(__xludf.DUMMYFUNCTION("""COMPUTED_VALUE"""),1)</f>
        <v>1</v>
      </c>
      <c r="I422" s="5">
        <f ca="1">IFERROR(__xludf.DUMMYFUNCTION("""COMPUTED_VALUE"""),1)</f>
        <v>1</v>
      </c>
      <c r="J422" s="5">
        <f ca="1">IFERROR(__xludf.DUMMYFUNCTION("""COMPUTED_VALUE"""),15000)</f>
        <v>15000</v>
      </c>
      <c r="K422" s="3"/>
      <c r="L422" s="3" t="str">
        <f ca="1">IFERROR(__xludf.DUMMYFUNCTION("""COMPUTED_VALUE"""),"Cost per instance")</f>
        <v>Cost per instance</v>
      </c>
      <c r="M422" s="3"/>
      <c r="N422" s="3"/>
      <c r="O422" s="3"/>
      <c r="P422" s="3"/>
      <c r="Q422" s="3"/>
      <c r="R422" s="3"/>
      <c r="S422" s="3" t="str">
        <f ca="1">IFERROR(__xludf.DUMMYFUNCTION("""COMPUTED_VALUE"""),"100")</f>
        <v>100</v>
      </c>
      <c r="T422" s="3"/>
      <c r="U422" s="3" t="str">
        <f ca="1">IFERROR(__xludf.DUMMYFUNCTION("""COMPUTED_VALUE"""),"microsite")</f>
        <v>microsite</v>
      </c>
      <c r="V422" s="3"/>
      <c r="W422" s="3"/>
      <c r="X422" s="3"/>
      <c r="Y422" s="3"/>
      <c r="Z422" s="3" t="str">
        <f ca="1">IFERROR(__xludf.DUMMYFUNCTION("""COMPUTED_VALUE"""),"podklady@cncenter.cz")</f>
        <v>podklady@cncenter.cz</v>
      </c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 t="str">
        <f ca="1">IFERROR(__xludf.DUMMYFUNCTION("""COMPUTED_VALUE"""),"cross-device")</f>
        <v>cross-device</v>
      </c>
      <c r="AO422" s="3"/>
      <c r="AP422" s="3"/>
      <c r="AQ422" s="3"/>
      <c r="AR422" s="3"/>
      <c r="AS422" s="3"/>
      <c r="AT422" s="3"/>
      <c r="AU422" s="3" t="str">
        <f ca="1">IFERROR(__xludf.DUMMYFUNCTION("""COMPUTED_VALUE"""),"Prodloužení existující microsite, bez úprav")</f>
        <v>Prodloužení existující microsite, bez úprav</v>
      </c>
    </row>
    <row r="423" spans="1:47" x14ac:dyDescent="0.3">
      <c r="A423" s="3">
        <f ca="1"/>
        <v>2346826</v>
      </c>
      <c r="B423" s="3" t="str">
        <f ca="1"/>
        <v>CZECH NEWS CENTER a. s.</v>
      </c>
      <c r="C423" s="3" t="str">
        <f ca="1">IFERROR(__xludf.DUMMYFUNCTION("""COMPUTED_VALUE"""),"Doupě")</f>
        <v>Doupě</v>
      </c>
      <c r="D423" s="4" t="str">
        <f ca="1">IFERROR(__xludf.DUMMYFUNCTION("""COMPUTED_VALUE"""),"https://doupe.zive.cz")</f>
        <v>https://doupe.zive.cz</v>
      </c>
      <c r="E423" s="3" t="str">
        <f ca="1">IFERROR(__xludf.DUMMYFUNCTION("""COMPUTED_VALUE"""),"celý web")</f>
        <v>celý web</v>
      </c>
      <c r="F423" s="4" t="str">
        <f ca="1">IFERROR(__xludf.DUMMYFUNCTION("""COMPUTED_VALUE"""),"https://doupe.zive.cz")</f>
        <v>https://doupe.zive.cz</v>
      </c>
      <c r="G423" s="3" t="str">
        <f ca="1">IFERROR(__xludf.DUMMYFUNCTION("""COMPUTED_VALUE"""),"Advertorial high season")</f>
        <v>Advertorial high season</v>
      </c>
      <c r="H423" s="3">
        <f ca="1">IFERROR(__xludf.DUMMYFUNCTION("""COMPUTED_VALUE"""),1)</f>
        <v>1</v>
      </c>
      <c r="I423" s="5">
        <f ca="1">IFERROR(__xludf.DUMMYFUNCTION("""COMPUTED_VALUE"""),1)</f>
        <v>1</v>
      </c>
      <c r="J423" s="5">
        <f ca="1">IFERROR(__xludf.DUMMYFUNCTION("""COMPUTED_VALUE"""),90000)</f>
        <v>90000</v>
      </c>
      <c r="K423" s="3"/>
      <c r="L423" s="3" t="str">
        <f ca="1">IFERROR(__xludf.DUMMYFUNCTION("""COMPUTED_VALUE"""),"Cost per instance")</f>
        <v>Cost per instance</v>
      </c>
      <c r="M423" s="3"/>
      <c r="N423" s="3"/>
      <c r="O423" s="3"/>
      <c r="P423" s="3"/>
      <c r="Q423" s="3"/>
      <c r="R423" s="3"/>
      <c r="S423" s="3" t="str">
        <f ca="1">IFERROR(__xludf.DUMMYFUNCTION("""COMPUTED_VALUE"""),"100")</f>
        <v>100</v>
      </c>
      <c r="T423" s="3"/>
      <c r="U423" s="3" t="str">
        <f ca="1">IFERROR(__xludf.DUMMYFUNCTION("""COMPUTED_VALUE"""),"pr článek")</f>
        <v>pr článek</v>
      </c>
      <c r="V423" s="3"/>
      <c r="W423" s="3"/>
      <c r="X423" s="3"/>
      <c r="Y423" s="3"/>
      <c r="Z423" s="3" t="str">
        <f ca="1">IFERROR(__xludf.DUMMYFUNCTION("""COMPUTED_VALUE"""),"podklady@cncenter.cz")</f>
        <v>podklady@cncenter.cz</v>
      </c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 t="str">
        <f ca="1">IFERROR(__xludf.DUMMYFUNCTION("""COMPUTED_VALUE"""),"cross-device")</f>
        <v>cross-device</v>
      </c>
      <c r="AO423" s="3"/>
      <c r="AP423" s="3"/>
      <c r="AQ423" s="3"/>
      <c r="AR423" s="3"/>
      <c r="AS423" s="3"/>
      <c r="AT423" s="3"/>
      <c r="AU423" s="3" t="str">
        <f ca="1">IFERROR(__xludf.DUMMYFUNCTION("""COMPUTED_VALUE"""),"Advertorial")</f>
        <v>Advertorial</v>
      </c>
    </row>
    <row r="424" spans="1:47" x14ac:dyDescent="0.3">
      <c r="A424" s="3">
        <f ca="1"/>
        <v>2346826</v>
      </c>
      <c r="B424" s="3" t="str">
        <f ca="1"/>
        <v>CZECH NEWS CENTER a. s.</v>
      </c>
      <c r="C424" s="3" t="str">
        <f ca="1">IFERROR(__xludf.DUMMYFUNCTION("""COMPUTED_VALUE"""),"Doupě")</f>
        <v>Doupě</v>
      </c>
      <c r="D424" s="4" t="str">
        <f ca="1">IFERROR(__xludf.DUMMYFUNCTION("""COMPUTED_VALUE"""),"https://doupe.zive.cz")</f>
        <v>https://doupe.zive.cz</v>
      </c>
      <c r="E424" s="3" t="str">
        <f ca="1">IFERROR(__xludf.DUMMYFUNCTION("""COMPUTED_VALUE"""),"celý web")</f>
        <v>celý web</v>
      </c>
      <c r="F424" s="4" t="str">
        <f ca="1">IFERROR(__xludf.DUMMYFUNCTION("""COMPUTED_VALUE"""),"https://doupe.zive.cz")</f>
        <v>https://doupe.zive.cz</v>
      </c>
      <c r="G424" s="3" t="str">
        <f ca="1">IFERROR(__xludf.DUMMYFUNCTION("""COMPUTED_VALUE"""),"billboard bottom high season")</f>
        <v>billboard bottom high season</v>
      </c>
      <c r="H424" s="3">
        <f ca="1">IFERROR(__xludf.DUMMYFUNCTION("""COMPUTED_VALUE"""),7)</f>
        <v>7</v>
      </c>
      <c r="I424" s="5">
        <f ca="1">IFERROR(__xludf.DUMMYFUNCTION("""COMPUTED_VALUE"""),1000)</f>
        <v>1000</v>
      </c>
      <c r="J424" s="5">
        <f ca="1">IFERROR(__xludf.DUMMYFUNCTION("""COMPUTED_VALUE"""),440)</f>
        <v>440</v>
      </c>
      <c r="K424" s="3"/>
      <c r="L424" s="3" t="str">
        <f ca="1">IFERROR(__xludf.DUMMYFUNCTION("""COMPUTED_VALUE"""),"Cost per period")</f>
        <v>Cost per period</v>
      </c>
      <c r="M424" s="3"/>
      <c r="N424" s="3"/>
      <c r="O424" s="3" t="str">
        <f ca="1">IFERROR(__xludf.DUMMYFUNCTION("""COMPUTED_VALUE"""),"970")</f>
        <v>970</v>
      </c>
      <c r="P424" s="3" t="str">
        <f ca="1">IFERROR(__xludf.DUMMYFUNCTION("""COMPUTED_VALUE"""),"250")</f>
        <v>250</v>
      </c>
      <c r="Q424" s="3" t="str">
        <f ca="1">IFERROR(__xludf.DUMMYFUNCTION("""COMPUTED_VALUE"""),"970x250")</f>
        <v>970x250</v>
      </c>
      <c r="R424" s="3"/>
      <c r="S424" s="3" t="str">
        <f ca="1">IFERROR(__xludf.DUMMYFUNCTION("""COMPUTED_VALUE"""),"100 (200 - HTML5)")</f>
        <v>100 (200 - HTML5)</v>
      </c>
      <c r="T424" s="3"/>
      <c r="U424" s="3" t="str">
        <f ca="1">IFERROR(__xludf.DUMMYFUNCTION("""COMPUTED_VALUE"""),"banner standard")</f>
        <v>banner standard</v>
      </c>
      <c r="V424" s="3"/>
      <c r="W424" s="4" t="str">
        <f ca="1">IFERROR(__xludf.DUMMYFUNCTION("""COMPUTED_VALUE"""),"https://reklama.cncenter.cz/Online/billboard-bottom")</f>
        <v>https://reklama.cncenter.cz/Online/billboard-bottom</v>
      </c>
      <c r="X424" s="3"/>
      <c r="Y424" s="3"/>
      <c r="Z424" s="3" t="str">
        <f ca="1">IFERROR(__xludf.DUMMYFUNCTION("""COMPUTED_VALUE"""),"podklady@cncenter.cz")</f>
        <v>podklady@cncenter.cz</v>
      </c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 t="str">
        <f ca="1">IFERROR(__xludf.DUMMYFUNCTION("""COMPUTED_VALUE"""),"desktop")</f>
        <v>desktop</v>
      </c>
      <c r="AO424" s="3"/>
      <c r="AP424" s="3"/>
      <c r="AQ424" s="3"/>
      <c r="AR424" s="3"/>
      <c r="AS424" s="3"/>
      <c r="AT424" s="3"/>
      <c r="AU424" s="3" t="str">
        <f ca="1">IFERROR(__xludf.DUMMYFUNCTION("""COMPUTED_VALUE"""),"billboard bottom")</f>
        <v>billboard bottom</v>
      </c>
    </row>
    <row r="425" spans="1:47" x14ac:dyDescent="0.3">
      <c r="A425" s="3">
        <f ca="1"/>
        <v>2346826</v>
      </c>
      <c r="B425" s="3" t="str">
        <f ca="1"/>
        <v>CZECH NEWS CENTER a. s.</v>
      </c>
      <c r="C425" s="3" t="str">
        <f ca="1">IFERROR(__xludf.DUMMYFUNCTION("""COMPUTED_VALUE"""),"Doupě")</f>
        <v>Doupě</v>
      </c>
      <c r="D425" s="4" t="str">
        <f ca="1">IFERROR(__xludf.DUMMYFUNCTION("""COMPUTED_VALUE"""),"https://doupe.zive.cz")</f>
        <v>https://doupe.zive.cz</v>
      </c>
      <c r="E425" s="3" t="str">
        <f ca="1">IFERROR(__xludf.DUMMYFUNCTION("""COMPUTED_VALUE"""),"celý web")</f>
        <v>celý web</v>
      </c>
      <c r="F425" s="4" t="str">
        <f ca="1">IFERROR(__xludf.DUMMYFUNCTION("""COMPUTED_VALUE"""),"https://doupe.zive.cz")</f>
        <v>https://doupe.zive.cz</v>
      </c>
      <c r="G425" s="3" t="str">
        <f ca="1">IFERROR(__xludf.DUMMYFUNCTION("""COMPUTED_VALUE"""),"branding cross-device high season")</f>
        <v>branding cross-device high season</v>
      </c>
      <c r="H425" s="3">
        <f ca="1">IFERROR(__xludf.DUMMYFUNCTION("""COMPUTED_VALUE"""),7)</f>
        <v>7</v>
      </c>
      <c r="I425" s="5">
        <f ca="1">IFERROR(__xludf.DUMMYFUNCTION("""COMPUTED_VALUE"""),1000)</f>
        <v>1000</v>
      </c>
      <c r="J425" s="5">
        <f ca="1">IFERROR(__xludf.DUMMYFUNCTION("""COMPUTED_VALUE"""),540)</f>
        <v>540</v>
      </c>
      <c r="K425" s="3"/>
      <c r="L425" s="3" t="str">
        <f ca="1">IFERROR(__xludf.DUMMYFUNCTION("""COMPUTED_VALUE"""),"Cost per period")</f>
        <v>Cost per period</v>
      </c>
      <c r="M425" s="3"/>
      <c r="N425" s="3"/>
      <c r="O425" s="3" t="str">
        <f ca="1">IFERROR(__xludf.DUMMYFUNCTION("""COMPUTED_VALUE"""),"2000")</f>
        <v>2000</v>
      </c>
      <c r="P425" s="3" t="str">
        <f ca="1">IFERROR(__xludf.DUMMYFUNCTION("""COMPUTED_VALUE"""),"1400")</f>
        <v>1400</v>
      </c>
      <c r="Q425" s="3" t="str">
        <f ca="1">IFERROR(__xludf.DUMMYFUNCTION("""COMPUTED_VALUE"""),"2000x1400 + 600x1080")</f>
        <v>2000x1400 + 600x1080</v>
      </c>
      <c r="R425" s="3"/>
      <c r="S425" s="3" t="str">
        <f ca="1">IFERROR(__xludf.DUMMYFUNCTION("""COMPUTED_VALUE"""),"500 (600 - HTLM5)")</f>
        <v>500 (600 - HTLM5)</v>
      </c>
      <c r="T425" s="3"/>
      <c r="U425" s="3" t="str">
        <f ca="1">IFERROR(__xludf.DUMMYFUNCTION("""COMPUTED_VALUE"""),"banner standard")</f>
        <v>banner standard</v>
      </c>
      <c r="V425" s="3"/>
      <c r="W425" s="4" t="str">
        <f ca="1">IFERROR(__xludf.DUMMYFUNCTION("""COMPUTED_VALUE"""),"https://reklama.cncenter.cz/Online/branding-cross-device")</f>
        <v>https://reklama.cncenter.cz/Online/branding-cross-device</v>
      </c>
      <c r="X425" s="3"/>
      <c r="Y425" s="3"/>
      <c r="Z425" s="3" t="str">
        <f ca="1">IFERROR(__xludf.DUMMYFUNCTION("""COMPUTED_VALUE"""),"podklady@cncenter.cz")</f>
        <v>podklady@cncenter.cz</v>
      </c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 t="str">
        <f ca="1">IFERROR(__xludf.DUMMYFUNCTION("""COMPUTED_VALUE"""),"cross-device")</f>
        <v>cross-device</v>
      </c>
      <c r="AO425" s="3"/>
      <c r="AP425" s="3"/>
      <c r="AQ425" s="3"/>
      <c r="AR425" s="3"/>
      <c r="AS425" s="3"/>
      <c r="AT425" s="3"/>
      <c r="AU425" s="3" t="str">
        <f ca="1">IFERROR(__xludf.DUMMYFUNCTION("""COMPUTED_VALUE"""),"branding cross-device")</f>
        <v>branding cross-device</v>
      </c>
    </row>
    <row r="426" spans="1:47" x14ac:dyDescent="0.3">
      <c r="A426" s="3">
        <f ca="1"/>
        <v>2346826</v>
      </c>
      <c r="B426" s="3" t="str">
        <f ca="1"/>
        <v>CZECH NEWS CENTER a. s.</v>
      </c>
      <c r="C426" s="3" t="str">
        <f ca="1">IFERROR(__xludf.DUMMYFUNCTION("""COMPUTED_VALUE"""),"Doupě")</f>
        <v>Doupě</v>
      </c>
      <c r="D426" s="4" t="str">
        <f ca="1">IFERROR(__xludf.DUMMYFUNCTION("""COMPUTED_VALUE"""),"https://doupe.zive.cz")</f>
        <v>https://doupe.zive.cz</v>
      </c>
      <c r="E426" s="3" t="str">
        <f ca="1">IFERROR(__xludf.DUMMYFUNCTION("""COMPUTED_VALUE"""),"celý web")</f>
        <v>celý web</v>
      </c>
      <c r="F426" s="4" t="str">
        <f ca="1">IFERROR(__xludf.DUMMYFUNCTION("""COMPUTED_VALUE"""),"https://doupe.zive.cz")</f>
        <v>https://doupe.zive.cz</v>
      </c>
      <c r="G426" s="3" t="str">
        <f ca="1">IFERROR(__xludf.DUMMYFUNCTION("""COMPUTED_VALUE"""),"branding high season")</f>
        <v>branding high season</v>
      </c>
      <c r="H426" s="3">
        <f ca="1">IFERROR(__xludf.DUMMYFUNCTION("""COMPUTED_VALUE"""),7)</f>
        <v>7</v>
      </c>
      <c r="I426" s="5">
        <f ca="1">IFERROR(__xludf.DUMMYFUNCTION("""COMPUTED_VALUE"""),1000)</f>
        <v>1000</v>
      </c>
      <c r="J426" s="5">
        <f ca="1">IFERROR(__xludf.DUMMYFUNCTION("""COMPUTED_VALUE"""),890)</f>
        <v>890</v>
      </c>
      <c r="K426" s="3"/>
      <c r="L426" s="3" t="str">
        <f ca="1">IFERROR(__xludf.DUMMYFUNCTION("""COMPUTED_VALUE"""),"Cost per period")</f>
        <v>Cost per period</v>
      </c>
      <c r="M426" s="3"/>
      <c r="N426" s="3"/>
      <c r="O426" s="3" t="str">
        <f ca="1">IFERROR(__xludf.DUMMYFUNCTION("""COMPUTED_VALUE"""),"2000")</f>
        <v>2000</v>
      </c>
      <c r="P426" s="3" t="str">
        <f ca="1">IFERROR(__xludf.DUMMYFUNCTION("""COMPUTED_VALUE"""),"1400")</f>
        <v>1400</v>
      </c>
      <c r="Q426" s="3" t="str">
        <f ca="1">IFERROR(__xludf.DUMMYFUNCTION("""COMPUTED_VALUE"""),"2000x1400")</f>
        <v>2000x1400</v>
      </c>
      <c r="R426" s="3"/>
      <c r="S426" s="3" t="str">
        <f ca="1">IFERROR(__xludf.DUMMYFUNCTION("""COMPUTED_VALUE"""),"500 + 200 (600+200 HTML5)")</f>
        <v>500 + 200 (600+200 HTML5)</v>
      </c>
      <c r="T426" s="3"/>
      <c r="U426" s="3" t="str">
        <f ca="1">IFERROR(__xludf.DUMMYFUNCTION("""COMPUTED_VALUE"""),"banner standard")</f>
        <v>banner standard</v>
      </c>
      <c r="V426" s="3"/>
      <c r="W426" s="4" t="str">
        <f ca="1">IFERROR(__xludf.DUMMYFUNCTION("""COMPUTED_VALUE"""),"https://reklama.cncenter.cz/Online/branding")</f>
        <v>https://reklama.cncenter.cz/Online/branding</v>
      </c>
      <c r="X426" s="3"/>
      <c r="Y426" s="3"/>
      <c r="Z426" s="3" t="str">
        <f ca="1">IFERROR(__xludf.DUMMYFUNCTION("""COMPUTED_VALUE"""),"podklady@cncenter.cz")</f>
        <v>podklady@cncenter.cz</v>
      </c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 t="str">
        <f ca="1">IFERROR(__xludf.DUMMYFUNCTION("""COMPUTED_VALUE"""),"desktop")</f>
        <v>desktop</v>
      </c>
      <c r="AO426" s="3"/>
      <c r="AP426" s="3"/>
      <c r="AQ426" s="3"/>
      <c r="AR426" s="3"/>
      <c r="AS426" s="3"/>
      <c r="AT426" s="3"/>
      <c r="AU426" s="3" t="str">
        <f ca="1">IFERROR(__xludf.DUMMYFUNCTION("""COMPUTED_VALUE"""),"branding")</f>
        <v>branding</v>
      </c>
    </row>
    <row r="427" spans="1:47" x14ac:dyDescent="0.3">
      <c r="A427" s="3">
        <f ca="1"/>
        <v>2346826</v>
      </c>
      <c r="B427" s="3" t="str">
        <f ca="1"/>
        <v>CZECH NEWS CENTER a. s.</v>
      </c>
      <c r="C427" s="3" t="str">
        <f ca="1">IFERROR(__xludf.DUMMYFUNCTION("""COMPUTED_VALUE"""),"Doupě")</f>
        <v>Doupě</v>
      </c>
      <c r="D427" s="4" t="str">
        <f ca="1">IFERROR(__xludf.DUMMYFUNCTION("""COMPUTED_VALUE"""),"https://doupe.zive.cz")</f>
        <v>https://doupe.zive.cz</v>
      </c>
      <c r="E427" s="3" t="str">
        <f ca="1">IFERROR(__xludf.DUMMYFUNCTION("""COMPUTED_VALUE"""),"celý web")</f>
        <v>celý web</v>
      </c>
      <c r="F427" s="4" t="str">
        <f ca="1">IFERROR(__xludf.DUMMYFUNCTION("""COMPUTED_VALUE"""),"https://doupe.zive.cz")</f>
        <v>https://doupe.zive.cz</v>
      </c>
      <c r="G427" s="3" t="str">
        <f ca="1">IFERROR(__xludf.DUMMYFUNCTION("""COMPUTED_VALUE"""),"cílený billboard bottom high season")</f>
        <v>cílený billboard bottom high season</v>
      </c>
      <c r="H427" s="3">
        <f ca="1">IFERROR(__xludf.DUMMYFUNCTION("""COMPUTED_VALUE"""),7)</f>
        <v>7</v>
      </c>
      <c r="I427" s="5">
        <f ca="1">IFERROR(__xludf.DUMMYFUNCTION("""COMPUTED_VALUE"""),1000)</f>
        <v>1000</v>
      </c>
      <c r="J427" s="5">
        <f ca="1">IFERROR(__xludf.DUMMYFUNCTION("""COMPUTED_VALUE"""),528)</f>
        <v>528</v>
      </c>
      <c r="K427" s="3"/>
      <c r="L427" s="3" t="str">
        <f ca="1">IFERROR(__xludf.DUMMYFUNCTION("""COMPUTED_VALUE"""),"Cost per period")</f>
        <v>Cost per period</v>
      </c>
      <c r="M427" s="3"/>
      <c r="N427" s="3"/>
      <c r="O427" s="3" t="str">
        <f ca="1">IFERROR(__xludf.DUMMYFUNCTION("""COMPUTED_VALUE"""),"970")</f>
        <v>970</v>
      </c>
      <c r="P427" s="3" t="str">
        <f ca="1">IFERROR(__xludf.DUMMYFUNCTION("""COMPUTED_VALUE"""),"250")</f>
        <v>250</v>
      </c>
      <c r="Q427" s="3" t="str">
        <f ca="1">IFERROR(__xludf.DUMMYFUNCTION("""COMPUTED_VALUE"""),"970x250")</f>
        <v>970x250</v>
      </c>
      <c r="R427" s="3"/>
      <c r="S427" s="3" t="str">
        <f ca="1">IFERROR(__xludf.DUMMYFUNCTION("""COMPUTED_VALUE"""),"100 (200 - HTML5)")</f>
        <v>100 (200 - HTML5)</v>
      </c>
      <c r="T427" s="3"/>
      <c r="U427" s="3" t="str">
        <f ca="1">IFERROR(__xludf.DUMMYFUNCTION("""COMPUTED_VALUE"""),"banner standard")</f>
        <v>banner standard</v>
      </c>
      <c r="V427" s="3"/>
      <c r="W427" s="4" t="str">
        <f ca="1">IFERROR(__xludf.DUMMYFUNCTION("""COMPUTED_VALUE"""),"https://reklama.cncenter.cz/Online/billboard-bottom")</f>
        <v>https://reklama.cncenter.cz/Online/billboard-bottom</v>
      </c>
      <c r="X427" s="3"/>
      <c r="Y427" s="3"/>
      <c r="Z427" s="3" t="str">
        <f ca="1">IFERROR(__xludf.DUMMYFUNCTION("""COMPUTED_VALUE"""),"podklady@cncenter.cz")</f>
        <v>podklady@cncenter.cz</v>
      </c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 t="str">
        <f ca="1">IFERROR(__xludf.DUMMYFUNCTION("""COMPUTED_VALUE"""),"desktop")</f>
        <v>desktop</v>
      </c>
      <c r="AO427" s="3"/>
      <c r="AP427" s="3"/>
      <c r="AQ427" s="3"/>
      <c r="AR427" s="3"/>
      <c r="AS427" s="3"/>
      <c r="AT427" s="3"/>
      <c r="AU427" s="3" t="str">
        <f ca="1">IFERROR(__xludf.DUMMYFUNCTION("""COMPUTED_VALUE"""),"cílený billboard bottom")</f>
        <v>cílený billboard bottom</v>
      </c>
    </row>
    <row r="428" spans="1:47" x14ac:dyDescent="0.3">
      <c r="A428" s="3">
        <f ca="1"/>
        <v>2346826</v>
      </c>
      <c r="B428" s="3" t="str">
        <f ca="1"/>
        <v>CZECH NEWS CENTER a. s.</v>
      </c>
      <c r="C428" s="3" t="str">
        <f ca="1">IFERROR(__xludf.DUMMYFUNCTION("""COMPUTED_VALUE"""),"Doupě")</f>
        <v>Doupě</v>
      </c>
      <c r="D428" s="4" t="str">
        <f ca="1">IFERROR(__xludf.DUMMYFUNCTION("""COMPUTED_VALUE"""),"https://doupe.zive.cz")</f>
        <v>https://doupe.zive.cz</v>
      </c>
      <c r="E428" s="3" t="str">
        <f ca="1">IFERROR(__xludf.DUMMYFUNCTION("""COMPUTED_VALUE"""),"celý web")</f>
        <v>celý web</v>
      </c>
      <c r="F428" s="4" t="str">
        <f ca="1">IFERROR(__xludf.DUMMYFUNCTION("""COMPUTED_VALUE"""),"https://doupe.zive.cz")</f>
        <v>https://doupe.zive.cz</v>
      </c>
      <c r="G428" s="3" t="str">
        <f ca="1">IFERROR(__xludf.DUMMYFUNCTION("""COMPUTED_VALUE"""),"cílený branding cross-device high season")</f>
        <v>cílený branding cross-device high season</v>
      </c>
      <c r="H428" s="3">
        <f ca="1">IFERROR(__xludf.DUMMYFUNCTION("""COMPUTED_VALUE"""),7)</f>
        <v>7</v>
      </c>
      <c r="I428" s="5">
        <f ca="1">IFERROR(__xludf.DUMMYFUNCTION("""COMPUTED_VALUE"""),1000)</f>
        <v>1000</v>
      </c>
      <c r="J428" s="5">
        <f ca="1">IFERROR(__xludf.DUMMYFUNCTION("""COMPUTED_VALUE"""),648)</f>
        <v>648</v>
      </c>
      <c r="K428" s="3"/>
      <c r="L428" s="3" t="str">
        <f ca="1">IFERROR(__xludf.DUMMYFUNCTION("""COMPUTED_VALUE"""),"Cost per period")</f>
        <v>Cost per period</v>
      </c>
      <c r="M428" s="3"/>
      <c r="N428" s="3"/>
      <c r="O428" s="3" t="str">
        <f ca="1">IFERROR(__xludf.DUMMYFUNCTION("""COMPUTED_VALUE"""),"2000")</f>
        <v>2000</v>
      </c>
      <c r="P428" s="3" t="str">
        <f ca="1">IFERROR(__xludf.DUMMYFUNCTION("""COMPUTED_VALUE"""),"1400")</f>
        <v>1400</v>
      </c>
      <c r="Q428" s="3" t="str">
        <f ca="1">IFERROR(__xludf.DUMMYFUNCTION("""COMPUTED_VALUE"""),"2000x1400 + 600x1080")</f>
        <v>2000x1400 + 600x1080</v>
      </c>
      <c r="R428" s="3"/>
      <c r="S428" s="3" t="str">
        <f ca="1">IFERROR(__xludf.DUMMYFUNCTION("""COMPUTED_VALUE"""),"500 (600 - HTLM5)")</f>
        <v>500 (600 - HTLM5)</v>
      </c>
      <c r="T428" s="3"/>
      <c r="U428" s="3" t="str">
        <f ca="1">IFERROR(__xludf.DUMMYFUNCTION("""COMPUTED_VALUE"""),"banner standard")</f>
        <v>banner standard</v>
      </c>
      <c r="V428" s="3"/>
      <c r="W428" s="4" t="str">
        <f ca="1">IFERROR(__xludf.DUMMYFUNCTION("""COMPUTED_VALUE"""),"https://reklama.cncenter.cz/Online/branding-cross-device")</f>
        <v>https://reklama.cncenter.cz/Online/branding-cross-device</v>
      </c>
      <c r="X428" s="3"/>
      <c r="Y428" s="3"/>
      <c r="Z428" s="3" t="str">
        <f ca="1">IFERROR(__xludf.DUMMYFUNCTION("""COMPUTED_VALUE"""),"podklady@cncenter.cz")</f>
        <v>podklady@cncenter.cz</v>
      </c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 t="str">
        <f ca="1">IFERROR(__xludf.DUMMYFUNCTION("""COMPUTED_VALUE"""),"cross-device")</f>
        <v>cross-device</v>
      </c>
      <c r="AO428" s="3"/>
      <c r="AP428" s="3"/>
      <c r="AQ428" s="3"/>
      <c r="AR428" s="3"/>
      <c r="AS428" s="3"/>
      <c r="AT428" s="3"/>
      <c r="AU428" s="3" t="str">
        <f ca="1">IFERROR(__xludf.DUMMYFUNCTION("""COMPUTED_VALUE"""),"cílený branding cross-device")</f>
        <v>cílený branding cross-device</v>
      </c>
    </row>
    <row r="429" spans="1:47" x14ac:dyDescent="0.3">
      <c r="A429" s="3">
        <f ca="1"/>
        <v>2346826</v>
      </c>
      <c r="B429" s="3" t="str">
        <f ca="1"/>
        <v>CZECH NEWS CENTER a. s.</v>
      </c>
      <c r="C429" s="3" t="str">
        <f ca="1">IFERROR(__xludf.DUMMYFUNCTION("""COMPUTED_VALUE"""),"Doupě")</f>
        <v>Doupě</v>
      </c>
      <c r="D429" s="4" t="str">
        <f ca="1">IFERROR(__xludf.DUMMYFUNCTION("""COMPUTED_VALUE"""),"https://doupe.zive.cz")</f>
        <v>https://doupe.zive.cz</v>
      </c>
      <c r="E429" s="3" t="str">
        <f ca="1">IFERROR(__xludf.DUMMYFUNCTION("""COMPUTED_VALUE"""),"celý web")</f>
        <v>celý web</v>
      </c>
      <c r="F429" s="4" t="str">
        <f ca="1">IFERROR(__xludf.DUMMYFUNCTION("""COMPUTED_VALUE"""),"https://doupe.zive.cz")</f>
        <v>https://doupe.zive.cz</v>
      </c>
      <c r="G429" s="3" t="str">
        <f ca="1">IFERROR(__xludf.DUMMYFUNCTION("""COMPUTED_VALUE"""),"cílený branding high season")</f>
        <v>cílený branding high season</v>
      </c>
      <c r="H429" s="3">
        <f ca="1">IFERROR(__xludf.DUMMYFUNCTION("""COMPUTED_VALUE"""),7)</f>
        <v>7</v>
      </c>
      <c r="I429" s="5">
        <f ca="1">IFERROR(__xludf.DUMMYFUNCTION("""COMPUTED_VALUE"""),1000)</f>
        <v>1000</v>
      </c>
      <c r="J429" s="5">
        <f ca="1">IFERROR(__xludf.DUMMYFUNCTION("""COMPUTED_VALUE"""),1068)</f>
        <v>1068</v>
      </c>
      <c r="K429" s="3"/>
      <c r="L429" s="3" t="str">
        <f ca="1">IFERROR(__xludf.DUMMYFUNCTION("""COMPUTED_VALUE"""),"Cost per period")</f>
        <v>Cost per period</v>
      </c>
      <c r="M429" s="3"/>
      <c r="N429" s="3"/>
      <c r="O429" s="3" t="str">
        <f ca="1">IFERROR(__xludf.DUMMYFUNCTION("""COMPUTED_VALUE"""),"2000")</f>
        <v>2000</v>
      </c>
      <c r="P429" s="3" t="str">
        <f ca="1">IFERROR(__xludf.DUMMYFUNCTION("""COMPUTED_VALUE"""),"1400")</f>
        <v>1400</v>
      </c>
      <c r="Q429" s="3" t="str">
        <f ca="1">IFERROR(__xludf.DUMMYFUNCTION("""COMPUTED_VALUE"""),"2000x1400")</f>
        <v>2000x1400</v>
      </c>
      <c r="R429" s="3"/>
      <c r="S429" s="3" t="str">
        <f ca="1">IFERROR(__xludf.DUMMYFUNCTION("""COMPUTED_VALUE"""),"500 + 200 (600+200 HTML5)")</f>
        <v>500 + 200 (600+200 HTML5)</v>
      </c>
      <c r="T429" s="3"/>
      <c r="U429" s="3" t="str">
        <f ca="1">IFERROR(__xludf.DUMMYFUNCTION("""COMPUTED_VALUE"""),"banner standard")</f>
        <v>banner standard</v>
      </c>
      <c r="V429" s="3"/>
      <c r="W429" s="4" t="str">
        <f ca="1">IFERROR(__xludf.DUMMYFUNCTION("""COMPUTED_VALUE"""),"https://reklama.cncenter.cz/Online/branding")</f>
        <v>https://reklama.cncenter.cz/Online/branding</v>
      </c>
      <c r="X429" s="3"/>
      <c r="Y429" s="3"/>
      <c r="Z429" s="3" t="str">
        <f ca="1">IFERROR(__xludf.DUMMYFUNCTION("""COMPUTED_VALUE"""),"podklady@cncenter.cz")</f>
        <v>podklady@cncenter.cz</v>
      </c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 t="str">
        <f ca="1">IFERROR(__xludf.DUMMYFUNCTION("""COMPUTED_VALUE"""),"desktop")</f>
        <v>desktop</v>
      </c>
      <c r="AO429" s="3"/>
      <c r="AP429" s="3"/>
      <c r="AQ429" s="3"/>
      <c r="AR429" s="3"/>
      <c r="AS429" s="3"/>
      <c r="AT429" s="3"/>
      <c r="AU429" s="3" t="str">
        <f ca="1">IFERROR(__xludf.DUMMYFUNCTION("""COMPUTED_VALUE"""),"cílený branding")</f>
        <v>cílený branding</v>
      </c>
    </row>
    <row r="430" spans="1:47" x14ac:dyDescent="0.3">
      <c r="A430" s="3">
        <f ca="1"/>
        <v>2346826</v>
      </c>
      <c r="B430" s="3" t="str">
        <f ca="1"/>
        <v>CZECH NEWS CENTER a. s.</v>
      </c>
      <c r="C430" s="3" t="str">
        <f ca="1">IFERROR(__xludf.DUMMYFUNCTION("""COMPUTED_VALUE"""),"Doupě")</f>
        <v>Doupě</v>
      </c>
      <c r="D430" s="4" t="str">
        <f ca="1">IFERROR(__xludf.DUMMYFUNCTION("""COMPUTED_VALUE"""),"https://doupe.zive.cz")</f>
        <v>https://doupe.zive.cz</v>
      </c>
      <c r="E430" s="3" t="str">
        <f ca="1">IFERROR(__xludf.DUMMYFUNCTION("""COMPUTED_VALUE"""),"celý web")</f>
        <v>celý web</v>
      </c>
      <c r="F430" s="4" t="str">
        <f ca="1">IFERROR(__xludf.DUMMYFUNCTION("""COMPUTED_VALUE"""),"https://doupe.zive.cz")</f>
        <v>https://doupe.zive.cz</v>
      </c>
      <c r="G430" s="3" t="str">
        <f ca="1">IFERROR(__xludf.DUMMYFUNCTION("""COMPUTED_VALUE"""),"cílený double skyscraper high season")</f>
        <v>cílený double skyscraper high season</v>
      </c>
      <c r="H430" s="3">
        <f ca="1">IFERROR(__xludf.DUMMYFUNCTION("""COMPUTED_VALUE"""),7)</f>
        <v>7</v>
      </c>
      <c r="I430" s="5">
        <f ca="1">IFERROR(__xludf.DUMMYFUNCTION("""COMPUTED_VALUE"""),1000)</f>
        <v>1000</v>
      </c>
      <c r="J430" s="5">
        <f ca="1">IFERROR(__xludf.DUMMYFUNCTION("""COMPUTED_VALUE"""),420)</f>
        <v>420</v>
      </c>
      <c r="K430" s="3"/>
      <c r="L430" s="3" t="str">
        <f ca="1">IFERROR(__xludf.DUMMYFUNCTION("""COMPUTED_VALUE"""),"Cost per period")</f>
        <v>Cost per period</v>
      </c>
      <c r="M430" s="3"/>
      <c r="N430" s="3"/>
      <c r="O430" s="3" t="str">
        <f ca="1">IFERROR(__xludf.DUMMYFUNCTION("""COMPUTED_VALUE"""),"300")</f>
        <v>300</v>
      </c>
      <c r="P430" s="3" t="str">
        <f ca="1">IFERROR(__xludf.DUMMYFUNCTION("""COMPUTED_VALUE"""),"600")</f>
        <v>600</v>
      </c>
      <c r="Q430" s="3" t="str">
        <f ca="1">IFERROR(__xludf.DUMMYFUNCTION("""COMPUTED_VALUE"""),"300x600")</f>
        <v>300x600</v>
      </c>
      <c r="R430" s="3"/>
      <c r="S430" s="3" t="str">
        <f ca="1">IFERROR(__xludf.DUMMYFUNCTION("""COMPUTED_VALUE"""),"100 (200 - HTML5)")</f>
        <v>100 (200 - HTML5)</v>
      </c>
      <c r="T430" s="3"/>
      <c r="U430" s="3" t="str">
        <f ca="1">IFERROR(__xludf.DUMMYFUNCTION("""COMPUTED_VALUE"""),"banner standard")</f>
        <v>banner standard</v>
      </c>
      <c r="V430" s="3"/>
      <c r="W430" s="4" t="str">
        <f ca="1">IFERROR(__xludf.DUMMYFUNCTION("""COMPUTED_VALUE"""),"https://reklama.cncenter.cz/Online/double-skyscraper")</f>
        <v>https://reklama.cncenter.cz/Online/double-skyscraper</v>
      </c>
      <c r="X430" s="3"/>
      <c r="Y430" s="3"/>
      <c r="Z430" s="3" t="str">
        <f ca="1">IFERROR(__xludf.DUMMYFUNCTION("""COMPUTED_VALUE"""),"podklady@cncenter.cz")</f>
        <v>podklady@cncenter.cz</v>
      </c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 t="str">
        <f ca="1">IFERROR(__xludf.DUMMYFUNCTION("""COMPUTED_VALUE"""),"desktop")</f>
        <v>desktop</v>
      </c>
      <c r="AO430" s="3"/>
      <c r="AP430" s="3"/>
      <c r="AQ430" s="3"/>
      <c r="AR430" s="3"/>
      <c r="AS430" s="3"/>
      <c r="AT430" s="3"/>
      <c r="AU430" s="3" t="str">
        <f ca="1">IFERROR(__xludf.DUMMYFUNCTION("""COMPUTED_VALUE"""),"cílený double skyscraper")</f>
        <v>cílený double skyscraper</v>
      </c>
    </row>
    <row r="431" spans="1:47" x14ac:dyDescent="0.3">
      <c r="A431" s="3">
        <f ca="1"/>
        <v>2346826</v>
      </c>
      <c r="B431" s="3" t="str">
        <f ca="1"/>
        <v>CZECH NEWS CENTER a. s.</v>
      </c>
      <c r="C431" s="3" t="str">
        <f ca="1">IFERROR(__xludf.DUMMYFUNCTION("""COMPUTED_VALUE"""),"Doupě")</f>
        <v>Doupě</v>
      </c>
      <c r="D431" s="4" t="str">
        <f ca="1">IFERROR(__xludf.DUMMYFUNCTION("""COMPUTED_VALUE"""),"https://doupe.zive.cz")</f>
        <v>https://doupe.zive.cz</v>
      </c>
      <c r="E431" s="3" t="str">
        <f ca="1">IFERROR(__xludf.DUMMYFUNCTION("""COMPUTED_VALUE"""),"celý web")</f>
        <v>celý web</v>
      </c>
      <c r="F431" s="4" t="str">
        <f ca="1">IFERROR(__xludf.DUMMYFUNCTION("""COMPUTED_VALUE"""),"https://doupe.zive.cz")</f>
        <v>https://doupe.zive.cz</v>
      </c>
      <c r="G431" s="3" t="str">
        <f ca="1">IFERROR(__xludf.DUMMYFUNCTION("""COMPUTED_VALUE"""),"cílený mobilní interscroller high season")</f>
        <v>cílený mobilní interscroller high season</v>
      </c>
      <c r="H431" s="3">
        <f ca="1">IFERROR(__xludf.DUMMYFUNCTION("""COMPUTED_VALUE"""),7)</f>
        <v>7</v>
      </c>
      <c r="I431" s="5">
        <f ca="1">IFERROR(__xludf.DUMMYFUNCTION("""COMPUTED_VALUE"""),1000)</f>
        <v>1000</v>
      </c>
      <c r="J431" s="5">
        <f ca="1">IFERROR(__xludf.DUMMYFUNCTION("""COMPUTED_VALUE"""),540)</f>
        <v>540</v>
      </c>
      <c r="K431" s="3"/>
      <c r="L431" s="3" t="str">
        <f ca="1">IFERROR(__xludf.DUMMYFUNCTION("""COMPUTED_VALUE"""),"Cost per period")</f>
        <v>Cost per period</v>
      </c>
      <c r="M431" s="3"/>
      <c r="N431" s="3"/>
      <c r="O431" s="3" t="str">
        <f ca="1">IFERROR(__xludf.DUMMYFUNCTION("""COMPUTED_VALUE"""),"600")</f>
        <v>600</v>
      </c>
      <c r="P431" s="3" t="str">
        <f ca="1">IFERROR(__xludf.DUMMYFUNCTION("""COMPUTED_VALUE"""),"1080")</f>
        <v>1080</v>
      </c>
      <c r="Q431" s="3" t="str">
        <f ca="1">IFERROR(__xludf.DUMMYFUNCTION("""COMPUTED_VALUE"""),"600x1080")</f>
        <v>600x1080</v>
      </c>
      <c r="R431" s="3"/>
      <c r="S431" s="3" t="str">
        <f ca="1">IFERROR(__xludf.DUMMYFUNCTION("""COMPUTED_VALUE"""),"200")</f>
        <v>200</v>
      </c>
      <c r="T431" s="3"/>
      <c r="U431" s="3" t="str">
        <f ca="1">IFERROR(__xludf.DUMMYFUNCTION("""COMPUTED_VALUE"""),"banner standard")</f>
        <v>banner standard</v>
      </c>
      <c r="V431" s="3"/>
      <c r="W431" s="4" t="str">
        <f ca="1">IFERROR(__xludf.DUMMYFUNCTION("""COMPUTED_VALUE"""),"https://reklama.cncenter.cz/Online/mobilni-interscroller")</f>
        <v>https://reklama.cncenter.cz/Online/mobilni-interscroller</v>
      </c>
      <c r="X431" s="3"/>
      <c r="Y431" s="3"/>
      <c r="Z431" s="3" t="str">
        <f ca="1">IFERROR(__xludf.DUMMYFUNCTION("""COMPUTED_VALUE"""),"podklady@cncenter.cz")</f>
        <v>podklady@cncenter.cz</v>
      </c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 t="str">
        <f ca="1">IFERROR(__xludf.DUMMYFUNCTION("""COMPUTED_VALUE"""),"mobile")</f>
        <v>mobile</v>
      </c>
      <c r="AO431" s="3"/>
      <c r="AP431" s="3"/>
      <c r="AQ431" s="3"/>
      <c r="AR431" s="3"/>
      <c r="AS431" s="3"/>
      <c r="AT431" s="3"/>
      <c r="AU431" s="3" t="str">
        <f ca="1">IFERROR(__xludf.DUMMYFUNCTION("""COMPUTED_VALUE"""),"cílený mobilní interscroller")</f>
        <v>cílený mobilní interscroller</v>
      </c>
    </row>
    <row r="432" spans="1:47" x14ac:dyDescent="0.3">
      <c r="A432" s="3">
        <f ca="1"/>
        <v>2346826</v>
      </c>
      <c r="B432" s="3" t="str">
        <f ca="1"/>
        <v>CZECH NEWS CENTER a. s.</v>
      </c>
      <c r="C432" s="3" t="str">
        <f ca="1">IFERROR(__xludf.DUMMYFUNCTION("""COMPUTED_VALUE"""),"Doupě")</f>
        <v>Doupě</v>
      </c>
      <c r="D432" s="4" t="str">
        <f ca="1">IFERROR(__xludf.DUMMYFUNCTION("""COMPUTED_VALUE"""),"https://doupe.zive.cz")</f>
        <v>https://doupe.zive.cz</v>
      </c>
      <c r="E432" s="3" t="str">
        <f ca="1">IFERROR(__xludf.DUMMYFUNCTION("""COMPUTED_VALUE"""),"celý web")</f>
        <v>celý web</v>
      </c>
      <c r="F432" s="4" t="str">
        <f ca="1">IFERROR(__xludf.DUMMYFUNCTION("""COMPUTED_VALUE"""),"https://doupe.zive.cz")</f>
        <v>https://doupe.zive.cz</v>
      </c>
      <c r="G432" s="3" t="str">
        <f ca="1">IFERROR(__xludf.DUMMYFUNCTION("""COMPUTED_VALUE"""),"cílený mobilní slide-up high season")</f>
        <v>cílený mobilní slide-up high season</v>
      </c>
      <c r="H432" s="3">
        <f ca="1">IFERROR(__xludf.DUMMYFUNCTION("""COMPUTED_VALUE"""),7)</f>
        <v>7</v>
      </c>
      <c r="I432" s="5">
        <f ca="1">IFERROR(__xludf.DUMMYFUNCTION("""COMPUTED_VALUE"""),1000)</f>
        <v>1000</v>
      </c>
      <c r="J432" s="5">
        <f ca="1">IFERROR(__xludf.DUMMYFUNCTION("""COMPUTED_VALUE"""),1104)</f>
        <v>1104</v>
      </c>
      <c r="K432" s="3"/>
      <c r="L432" s="3" t="str">
        <f ca="1">IFERROR(__xludf.DUMMYFUNCTION("""COMPUTED_VALUE"""),"Cost per period")</f>
        <v>Cost per period</v>
      </c>
      <c r="M432" s="3"/>
      <c r="N432" s="3"/>
      <c r="O432" s="3" t="str">
        <f ca="1">IFERROR(__xludf.DUMMYFUNCTION("""COMPUTED_VALUE"""),"300")</f>
        <v>300</v>
      </c>
      <c r="P432" s="3" t="str">
        <f ca="1">IFERROR(__xludf.DUMMYFUNCTION("""COMPUTED_VALUE"""),"120")</f>
        <v>120</v>
      </c>
      <c r="Q432" s="3" t="str">
        <f ca="1">IFERROR(__xludf.DUMMYFUNCTION("""COMPUTED_VALUE"""),"300x120")</f>
        <v>300x120</v>
      </c>
      <c r="R432" s="3"/>
      <c r="S432" s="3" t="str">
        <f ca="1">IFERROR(__xludf.DUMMYFUNCTION("""COMPUTED_VALUE"""),"100")</f>
        <v>100</v>
      </c>
      <c r="T432" s="3"/>
      <c r="U432" s="3" t="str">
        <f ca="1">IFERROR(__xludf.DUMMYFUNCTION("""COMPUTED_VALUE"""),"banner standard")</f>
        <v>banner standard</v>
      </c>
      <c r="V432" s="3"/>
      <c r="W432" s="4" t="str">
        <f ca="1">IFERROR(__xludf.DUMMYFUNCTION("""COMPUTED_VALUE"""),"https://reklama.cncenter.cz/Online/mobilni-slide-up")</f>
        <v>https://reklama.cncenter.cz/Online/mobilni-slide-up</v>
      </c>
      <c r="X432" s="3"/>
      <c r="Y432" s="3"/>
      <c r="Z432" s="3" t="str">
        <f ca="1">IFERROR(__xludf.DUMMYFUNCTION("""COMPUTED_VALUE"""),"podklady@cncenter.cz")</f>
        <v>podklady@cncenter.cz</v>
      </c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 t="str">
        <f ca="1">IFERROR(__xludf.DUMMYFUNCTION("""COMPUTED_VALUE"""),"mobile")</f>
        <v>mobile</v>
      </c>
      <c r="AO432" s="3"/>
      <c r="AP432" s="3"/>
      <c r="AQ432" s="3"/>
      <c r="AR432" s="3"/>
      <c r="AS432" s="3"/>
      <c r="AT432" s="3"/>
      <c r="AU432" s="3" t="str">
        <f ca="1">IFERROR(__xludf.DUMMYFUNCTION("""COMPUTED_VALUE"""),"cílený mobilní slide-up")</f>
        <v>cílený mobilní slide-up</v>
      </c>
    </row>
    <row r="433" spans="1:47" x14ac:dyDescent="0.3">
      <c r="A433" s="3">
        <f ca="1"/>
        <v>2346826</v>
      </c>
      <c r="B433" s="3" t="str">
        <f ca="1"/>
        <v>CZECH NEWS CENTER a. s.</v>
      </c>
      <c r="C433" s="3" t="str">
        <f ca="1">IFERROR(__xludf.DUMMYFUNCTION("""COMPUTED_VALUE"""),"Doupě")</f>
        <v>Doupě</v>
      </c>
      <c r="D433" s="4" t="str">
        <f ca="1">IFERROR(__xludf.DUMMYFUNCTION("""COMPUTED_VALUE"""),"https://doupe.zive.cz")</f>
        <v>https://doupe.zive.cz</v>
      </c>
      <c r="E433" s="3" t="str">
        <f ca="1">IFERROR(__xludf.DUMMYFUNCTION("""COMPUTED_VALUE"""),"celý web")</f>
        <v>celý web</v>
      </c>
      <c r="F433" s="4" t="str">
        <f ca="1">IFERROR(__xludf.DUMMYFUNCTION("""COMPUTED_VALUE"""),"https://doupe.zive.cz")</f>
        <v>https://doupe.zive.cz</v>
      </c>
      <c r="G433" s="3" t="str">
        <f ca="1">IFERROR(__xludf.DUMMYFUNCTION("""COMPUTED_VALUE"""),"cílený mobilní viněta high season")</f>
        <v>cílený mobilní viněta high season</v>
      </c>
      <c r="H433" s="3">
        <f ca="1">IFERROR(__xludf.DUMMYFUNCTION("""COMPUTED_VALUE"""),7)</f>
        <v>7</v>
      </c>
      <c r="I433" s="5">
        <f ca="1">IFERROR(__xludf.DUMMYFUNCTION("""COMPUTED_VALUE"""),1000)</f>
        <v>1000</v>
      </c>
      <c r="J433" s="5">
        <f ca="1">IFERROR(__xludf.DUMMYFUNCTION("""COMPUTED_VALUE"""),1908)</f>
        <v>1908</v>
      </c>
      <c r="K433" s="3"/>
      <c r="L433" s="3" t="str">
        <f ca="1">IFERROR(__xludf.DUMMYFUNCTION("""COMPUTED_VALUE"""),"Cost per period")</f>
        <v>Cost per period</v>
      </c>
      <c r="M433" s="3"/>
      <c r="N433" s="3"/>
      <c r="O433" s="3" t="str">
        <f ca="1">IFERROR(__xludf.DUMMYFUNCTION("""COMPUTED_VALUE"""),"600")</f>
        <v>600</v>
      </c>
      <c r="P433" s="3" t="str">
        <f ca="1">IFERROR(__xludf.DUMMYFUNCTION("""COMPUTED_VALUE"""),"800")</f>
        <v>800</v>
      </c>
      <c r="Q433" s="3" t="str">
        <f ca="1">IFERROR(__xludf.DUMMYFUNCTION("""COMPUTED_VALUE"""),"300x250 nebo 600x800")</f>
        <v>300x250 nebo 600x800</v>
      </c>
      <c r="R433" s="3"/>
      <c r="S433" s="3" t="str">
        <f ca="1">IFERROR(__xludf.DUMMYFUNCTION("""COMPUTED_VALUE"""),"100")</f>
        <v>100</v>
      </c>
      <c r="T433" s="3"/>
      <c r="U433" s="3" t="str">
        <f ca="1">IFERROR(__xludf.DUMMYFUNCTION("""COMPUTED_VALUE"""),"banner standard")</f>
        <v>banner standard</v>
      </c>
      <c r="V433" s="3"/>
      <c r="W433" s="4" t="str">
        <f ca="1">IFERROR(__xludf.DUMMYFUNCTION("""COMPUTED_VALUE"""),"https://reklama.cncenter.cz/Online/mobilni-vineta")</f>
        <v>https://reklama.cncenter.cz/Online/mobilni-vineta</v>
      </c>
      <c r="X433" s="3"/>
      <c r="Y433" s="3"/>
      <c r="Z433" s="3" t="str">
        <f ca="1">IFERROR(__xludf.DUMMYFUNCTION("""COMPUTED_VALUE"""),"podklady@cncenter.cz")</f>
        <v>podklady@cncenter.cz</v>
      </c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 t="str">
        <f ca="1">IFERROR(__xludf.DUMMYFUNCTION("""COMPUTED_VALUE"""),"mobile")</f>
        <v>mobile</v>
      </c>
      <c r="AO433" s="3"/>
      <c r="AP433" s="3"/>
      <c r="AQ433" s="3"/>
      <c r="AR433" s="3"/>
      <c r="AS433" s="3"/>
      <c r="AT433" s="3"/>
      <c r="AU433" s="3" t="str">
        <f ca="1">IFERROR(__xludf.DUMMYFUNCTION("""COMPUTED_VALUE"""),"cílený mobilní viněta")</f>
        <v>cílený mobilní viněta</v>
      </c>
    </row>
    <row r="434" spans="1:47" x14ac:dyDescent="0.3">
      <c r="A434" s="3">
        <f ca="1"/>
        <v>2346826</v>
      </c>
      <c r="B434" s="3" t="str">
        <f ca="1"/>
        <v>CZECH NEWS CENTER a. s.</v>
      </c>
      <c r="C434" s="3" t="str">
        <f ca="1">IFERROR(__xludf.DUMMYFUNCTION("""COMPUTED_VALUE"""),"Doupě")</f>
        <v>Doupě</v>
      </c>
      <c r="D434" s="4" t="str">
        <f ca="1">IFERROR(__xludf.DUMMYFUNCTION("""COMPUTED_VALUE"""),"https://doupe.zive.cz")</f>
        <v>https://doupe.zive.cz</v>
      </c>
      <c r="E434" s="3" t="str">
        <f ca="1">IFERROR(__xludf.DUMMYFUNCTION("""COMPUTED_VALUE"""),"celý web")</f>
        <v>celý web</v>
      </c>
      <c r="F434" s="4" t="str">
        <f ca="1">IFERROR(__xludf.DUMMYFUNCTION("""COMPUTED_VALUE"""),"https://doupe.zive.cz")</f>
        <v>https://doupe.zive.cz</v>
      </c>
      <c r="G434" s="3" t="str">
        <f ca="1">IFERROR(__xludf.DUMMYFUNCTION("""COMPUTED_VALUE"""),"cílený nativní rectangle cross-device high season")</f>
        <v>cílený nativní rectangle cross-device high season</v>
      </c>
      <c r="H434" s="3">
        <f ca="1">IFERROR(__xludf.DUMMYFUNCTION("""COMPUTED_VALUE"""),7)</f>
        <v>7</v>
      </c>
      <c r="I434" s="5">
        <f ca="1">IFERROR(__xludf.DUMMYFUNCTION("""COMPUTED_VALUE"""),1000)</f>
        <v>1000</v>
      </c>
      <c r="J434" s="5">
        <f ca="1">IFERROR(__xludf.DUMMYFUNCTION("""COMPUTED_VALUE"""),432)</f>
        <v>432</v>
      </c>
      <c r="K434" s="3"/>
      <c r="L434" s="3" t="str">
        <f ca="1">IFERROR(__xludf.DUMMYFUNCTION("""COMPUTED_VALUE"""),"Cost per period")</f>
        <v>Cost per period</v>
      </c>
      <c r="M434" s="3"/>
      <c r="N434" s="3"/>
      <c r="O434" s="3" t="str">
        <f ca="1">IFERROR(__xludf.DUMMYFUNCTION("""COMPUTED_VALUE"""),"640")</f>
        <v>640</v>
      </c>
      <c r="P434" s="3" t="str">
        <f ca="1">IFERROR(__xludf.DUMMYFUNCTION("""COMPUTED_VALUE"""),"335, 640")</f>
        <v>335, 640</v>
      </c>
      <c r="Q434" s="3" t="str">
        <f ca="1">IFERROR(__xludf.DUMMYFUNCTION("""COMPUTED_VALUE"""),"640x640 a 640x335 + text + logo")</f>
        <v>640x640 a 640x335 + text + logo</v>
      </c>
      <c r="R434" s="3"/>
      <c r="S434" s="3" t="str">
        <f ca="1">IFERROR(__xludf.DUMMYFUNCTION("""COMPUTED_VALUE"""),"45")</f>
        <v>45</v>
      </c>
      <c r="T434" s="3"/>
      <c r="U434" s="3" t="str">
        <f ca="1">IFERROR(__xludf.DUMMYFUNCTION("""COMPUTED_VALUE"""),"nativní reklama")</f>
        <v>nativní reklama</v>
      </c>
      <c r="V434" s="3"/>
      <c r="W434" s="4" t="str">
        <f ca="1">IFERROR(__xludf.DUMMYFUNCTION("""COMPUTED_VALUE"""),"https://reklama.cncenter.cz/Online/nativni-rectangle-cross-device")</f>
        <v>https://reklama.cncenter.cz/Online/nativni-rectangle-cross-device</v>
      </c>
      <c r="X434" s="3"/>
      <c r="Y434" s="3"/>
      <c r="Z434" s="3" t="str">
        <f ca="1">IFERROR(__xludf.DUMMYFUNCTION("""COMPUTED_VALUE"""),"podklady@cncenter.cz")</f>
        <v>podklady@cncenter.cz</v>
      </c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 t="str">
        <f ca="1">IFERROR(__xludf.DUMMYFUNCTION("""COMPUTED_VALUE"""),"cross-device")</f>
        <v>cross-device</v>
      </c>
      <c r="AO434" s="3"/>
      <c r="AP434" s="3"/>
      <c r="AQ434" s="3"/>
      <c r="AR434" s="3"/>
      <c r="AS434" s="3"/>
      <c r="AT434" s="3"/>
      <c r="AU434" s="3" t="str">
        <f ca="1">IFERROR(__xludf.DUMMYFUNCTION("""COMPUTED_VALUE"""),"cílený nativní rectangle cross-device")</f>
        <v>cílený nativní rectangle cross-device</v>
      </c>
    </row>
    <row r="435" spans="1:47" x14ac:dyDescent="0.3">
      <c r="A435" s="3">
        <f ca="1"/>
        <v>2346826</v>
      </c>
      <c r="B435" s="3" t="str">
        <f ca="1"/>
        <v>CZECH NEWS CENTER a. s.</v>
      </c>
      <c r="C435" s="3" t="str">
        <f ca="1">IFERROR(__xludf.DUMMYFUNCTION("""COMPUTED_VALUE"""),"Doupě")</f>
        <v>Doupě</v>
      </c>
      <c r="D435" s="4" t="str">
        <f ca="1">IFERROR(__xludf.DUMMYFUNCTION("""COMPUTED_VALUE"""),"https://doupe.zive.cz")</f>
        <v>https://doupe.zive.cz</v>
      </c>
      <c r="E435" s="3" t="str">
        <f ca="1">IFERROR(__xludf.DUMMYFUNCTION("""COMPUTED_VALUE"""),"celý web")</f>
        <v>celý web</v>
      </c>
      <c r="F435" s="4" t="str">
        <f ca="1">IFERROR(__xludf.DUMMYFUNCTION("""COMPUTED_VALUE"""),"https://doupe.zive.cz")</f>
        <v>https://doupe.zive.cz</v>
      </c>
      <c r="G435" s="3" t="str">
        <f ca="1">IFERROR(__xludf.DUMMYFUNCTION("""COMPUTED_VALUE"""),"cílený outstream high season")</f>
        <v>cílený outstream high season</v>
      </c>
      <c r="H435" s="3">
        <f ca="1">IFERROR(__xludf.DUMMYFUNCTION("""COMPUTED_VALUE"""),7)</f>
        <v>7</v>
      </c>
      <c r="I435" s="5">
        <f ca="1">IFERROR(__xludf.DUMMYFUNCTION("""COMPUTED_VALUE"""),1000)</f>
        <v>1000</v>
      </c>
      <c r="J435" s="5">
        <f ca="1">IFERROR(__xludf.DUMMYFUNCTION("""COMPUTED_VALUE"""),540)</f>
        <v>540</v>
      </c>
      <c r="K435" s="3"/>
      <c r="L435" s="3" t="str">
        <f ca="1">IFERROR(__xludf.DUMMYFUNCTION("""COMPUTED_VALUE"""),"Cost per period")</f>
        <v>Cost per period</v>
      </c>
      <c r="M435" s="3"/>
      <c r="N435" s="3"/>
      <c r="O435" s="3" t="str">
        <f ca="1">IFERROR(__xludf.DUMMYFUNCTION("""COMPUTED_VALUE"""),"1280")</f>
        <v>1280</v>
      </c>
      <c r="P435" s="3" t="str">
        <f ca="1">IFERROR(__xludf.DUMMYFUNCTION("""COMPUTED_VALUE"""),"720")</f>
        <v>720</v>
      </c>
      <c r="Q435" s="3" t="str">
        <f ca="1">IFERROR(__xludf.DUMMYFUNCTION("""COMPUTED_VALUE"""),"16:9")</f>
        <v>16:9</v>
      </c>
      <c r="R435" s="3"/>
      <c r="S435" s="3" t="str">
        <f ca="1">IFERROR(__xludf.DUMMYFUNCTION("""COMPUTED_VALUE"""),"100")</f>
        <v>100</v>
      </c>
      <c r="T435" s="3"/>
      <c r="U435" s="3" t="str">
        <f ca="1">IFERROR(__xludf.DUMMYFUNCTION("""COMPUTED_VALUE"""),"videospot")</f>
        <v>videospot</v>
      </c>
      <c r="V435" s="3"/>
      <c r="W435" s="4" t="str">
        <f ca="1">IFERROR(__xludf.DUMMYFUNCTION("""COMPUTED_VALUE"""),"https://reklama.cncenter.cz/Online/Outstream")</f>
        <v>https://reklama.cncenter.cz/Online/Outstream</v>
      </c>
      <c r="X435" s="3"/>
      <c r="Y435" s="3"/>
      <c r="Z435" s="3" t="str">
        <f ca="1">IFERROR(__xludf.DUMMYFUNCTION("""COMPUTED_VALUE"""),"podklady@cncenter.cz")</f>
        <v>podklady@cncenter.cz</v>
      </c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 t="str">
        <f ca="1">IFERROR(__xludf.DUMMYFUNCTION("""COMPUTED_VALUE"""),"cross-device")</f>
        <v>cross-device</v>
      </c>
      <c r="AO435" s="3"/>
      <c r="AP435" s="3"/>
      <c r="AQ435" s="3"/>
      <c r="AR435" s="3"/>
      <c r="AS435" s="3"/>
      <c r="AT435" s="3"/>
      <c r="AU435" s="3" t="str">
        <f ca="1">IFERROR(__xludf.DUMMYFUNCTION("""COMPUTED_VALUE"""),"cílený outstream")</f>
        <v>cílený outstream</v>
      </c>
    </row>
    <row r="436" spans="1:47" x14ac:dyDescent="0.3">
      <c r="A436" s="3">
        <f ca="1"/>
        <v>2346826</v>
      </c>
      <c r="B436" s="3" t="str">
        <f ca="1"/>
        <v>CZECH NEWS CENTER a. s.</v>
      </c>
      <c r="C436" s="3" t="str">
        <f ca="1">IFERROR(__xludf.DUMMYFUNCTION("""COMPUTED_VALUE"""),"Doupě")</f>
        <v>Doupě</v>
      </c>
      <c r="D436" s="4" t="str">
        <f ca="1">IFERROR(__xludf.DUMMYFUNCTION("""COMPUTED_VALUE"""),"https://doupe.zive.cz")</f>
        <v>https://doupe.zive.cz</v>
      </c>
      <c r="E436" s="3" t="str">
        <f ca="1">IFERROR(__xludf.DUMMYFUNCTION("""COMPUTED_VALUE"""),"celý web")</f>
        <v>celý web</v>
      </c>
      <c r="F436" s="4" t="str">
        <f ca="1">IFERROR(__xludf.DUMMYFUNCTION("""COMPUTED_VALUE"""),"https://doupe.zive.cz")</f>
        <v>https://doupe.zive.cz</v>
      </c>
      <c r="G436" s="3" t="str">
        <f ca="1">IFERROR(__xludf.DUMMYFUNCTION("""COMPUTED_VALUE"""),"dokoupení proma o 2 týdny - 10 000 PV *** high season")</f>
        <v>dokoupení proma o 2 týdny - 10 000 PV *** high season</v>
      </c>
      <c r="H436" s="3">
        <f ca="1">IFERROR(__xludf.DUMMYFUNCTION("""COMPUTED_VALUE"""),1)</f>
        <v>1</v>
      </c>
      <c r="I436" s="5">
        <f ca="1">IFERROR(__xludf.DUMMYFUNCTION("""COMPUTED_VALUE"""),1)</f>
        <v>1</v>
      </c>
      <c r="J436" s="5">
        <f ca="1">IFERROR(__xludf.DUMMYFUNCTION("""COMPUTED_VALUE"""),60000)</f>
        <v>60000</v>
      </c>
      <c r="K436" s="3"/>
      <c r="L436" s="3" t="str">
        <f ca="1">IFERROR(__xludf.DUMMYFUNCTION("""COMPUTED_VALUE"""),"Cost per instance")</f>
        <v>Cost per instance</v>
      </c>
      <c r="M436" s="3"/>
      <c r="N436" s="3"/>
      <c r="O436" s="3"/>
      <c r="P436" s="3"/>
      <c r="Q436" s="3"/>
      <c r="R436" s="3"/>
      <c r="S436" s="3" t="str">
        <f ca="1">IFERROR(__xludf.DUMMYFUNCTION("""COMPUTED_VALUE"""),"100")</f>
        <v>100</v>
      </c>
      <c r="T436" s="3"/>
      <c r="U436" s="3" t="str">
        <f ca="1">IFERROR(__xludf.DUMMYFUNCTION("""COMPUTED_VALUE"""),"microsite")</f>
        <v>microsite</v>
      </c>
      <c r="V436" s="3"/>
      <c r="W436" s="3"/>
      <c r="X436" s="3"/>
      <c r="Y436" s="3"/>
      <c r="Z436" s="3" t="str">
        <f ca="1">IFERROR(__xludf.DUMMYFUNCTION("""COMPUTED_VALUE"""),"podklady@cncenter.cz")</f>
        <v>podklady@cncenter.cz</v>
      </c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 t="str">
        <f ca="1">IFERROR(__xludf.DUMMYFUNCTION("""COMPUTED_VALUE"""),"cross-device")</f>
        <v>cross-device</v>
      </c>
      <c r="AO436" s="3"/>
      <c r="AP436" s="3"/>
      <c r="AQ436" s="3"/>
      <c r="AR436" s="3"/>
      <c r="AS436" s="3"/>
      <c r="AT436" s="3"/>
      <c r="AU436" s="3" t="str">
        <f ca="1">IFERROR(__xludf.DUMMYFUNCTION("""COMPUTED_VALUE"""),"dokoupení proma o 2 týdny - 10 000 PV ***")</f>
        <v>dokoupení proma o 2 týdny - 10 000 PV ***</v>
      </c>
    </row>
    <row r="437" spans="1:47" x14ac:dyDescent="0.3">
      <c r="A437" s="3">
        <f ca="1"/>
        <v>2346826</v>
      </c>
      <c r="B437" s="3" t="str">
        <f ca="1"/>
        <v>CZECH NEWS CENTER a. s.</v>
      </c>
      <c r="C437" s="3" t="str">
        <f ca="1">IFERROR(__xludf.DUMMYFUNCTION("""COMPUTED_VALUE"""),"Doupě")</f>
        <v>Doupě</v>
      </c>
      <c r="D437" s="4" t="str">
        <f ca="1">IFERROR(__xludf.DUMMYFUNCTION("""COMPUTED_VALUE"""),"https://doupe.zive.cz")</f>
        <v>https://doupe.zive.cz</v>
      </c>
      <c r="E437" s="3" t="str">
        <f ca="1">IFERROR(__xludf.DUMMYFUNCTION("""COMPUTED_VALUE"""),"celý web")</f>
        <v>celý web</v>
      </c>
      <c r="F437" s="4" t="str">
        <f ca="1">IFERROR(__xludf.DUMMYFUNCTION("""COMPUTED_VALUE"""),"https://doupe.zive.cz")</f>
        <v>https://doupe.zive.cz</v>
      </c>
      <c r="G437" s="3" t="str">
        <f ca="1">IFERROR(__xludf.DUMMYFUNCTION("""COMPUTED_VALUE"""),"double skyscraper high season")</f>
        <v>double skyscraper high season</v>
      </c>
      <c r="H437" s="3">
        <f ca="1">IFERROR(__xludf.DUMMYFUNCTION("""COMPUTED_VALUE"""),7)</f>
        <v>7</v>
      </c>
      <c r="I437" s="5">
        <f ca="1">IFERROR(__xludf.DUMMYFUNCTION("""COMPUTED_VALUE"""),1000)</f>
        <v>1000</v>
      </c>
      <c r="J437" s="5">
        <f ca="1">IFERROR(__xludf.DUMMYFUNCTION("""COMPUTED_VALUE"""),350)</f>
        <v>350</v>
      </c>
      <c r="K437" s="3"/>
      <c r="L437" s="3" t="str">
        <f ca="1">IFERROR(__xludf.DUMMYFUNCTION("""COMPUTED_VALUE"""),"Cost per period")</f>
        <v>Cost per period</v>
      </c>
      <c r="M437" s="3"/>
      <c r="N437" s="3"/>
      <c r="O437" s="3" t="str">
        <f ca="1">IFERROR(__xludf.DUMMYFUNCTION("""COMPUTED_VALUE"""),"300")</f>
        <v>300</v>
      </c>
      <c r="P437" s="3" t="str">
        <f ca="1">IFERROR(__xludf.DUMMYFUNCTION("""COMPUTED_VALUE"""),"600")</f>
        <v>600</v>
      </c>
      <c r="Q437" s="3" t="str">
        <f ca="1">IFERROR(__xludf.DUMMYFUNCTION("""COMPUTED_VALUE"""),"300x600")</f>
        <v>300x600</v>
      </c>
      <c r="R437" s="3"/>
      <c r="S437" s="3" t="str">
        <f ca="1">IFERROR(__xludf.DUMMYFUNCTION("""COMPUTED_VALUE"""),"100 (200 - HTML5)")</f>
        <v>100 (200 - HTML5)</v>
      </c>
      <c r="T437" s="3"/>
      <c r="U437" s="3" t="str">
        <f ca="1">IFERROR(__xludf.DUMMYFUNCTION("""COMPUTED_VALUE"""),"banner standard")</f>
        <v>banner standard</v>
      </c>
      <c r="V437" s="3"/>
      <c r="W437" s="4" t="str">
        <f ca="1">IFERROR(__xludf.DUMMYFUNCTION("""COMPUTED_VALUE"""),"https://reklama.cncenter.cz/Online/double-skyscraper")</f>
        <v>https://reklama.cncenter.cz/Online/double-skyscraper</v>
      </c>
      <c r="X437" s="3"/>
      <c r="Y437" s="3"/>
      <c r="Z437" s="3" t="str">
        <f ca="1">IFERROR(__xludf.DUMMYFUNCTION("""COMPUTED_VALUE"""),"podklady@cncenter.cz")</f>
        <v>podklady@cncenter.cz</v>
      </c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 t="str">
        <f ca="1">IFERROR(__xludf.DUMMYFUNCTION("""COMPUTED_VALUE"""),"desktop")</f>
        <v>desktop</v>
      </c>
      <c r="AO437" s="3"/>
      <c r="AP437" s="3"/>
      <c r="AQ437" s="3"/>
      <c r="AR437" s="3"/>
      <c r="AS437" s="3"/>
      <c r="AT437" s="3"/>
      <c r="AU437" s="3" t="str">
        <f ca="1">IFERROR(__xludf.DUMMYFUNCTION("""COMPUTED_VALUE"""),"double skyscraper")</f>
        <v>double skyscraper</v>
      </c>
    </row>
    <row r="438" spans="1:47" x14ac:dyDescent="0.3">
      <c r="A438" s="3">
        <f ca="1"/>
        <v>2346826</v>
      </c>
      <c r="B438" s="3" t="str">
        <f ca="1"/>
        <v>CZECH NEWS CENTER a. s.</v>
      </c>
      <c r="C438" s="3" t="str">
        <f ca="1">IFERROR(__xludf.DUMMYFUNCTION("""COMPUTED_VALUE"""),"Doupě")</f>
        <v>Doupě</v>
      </c>
      <c r="D438" s="4" t="str">
        <f ca="1">IFERROR(__xludf.DUMMYFUNCTION("""COMPUTED_VALUE"""),"https://doupe.zive.cz")</f>
        <v>https://doupe.zive.cz</v>
      </c>
      <c r="E438" s="3" t="str">
        <f ca="1">IFERROR(__xludf.DUMMYFUNCTION("""COMPUTED_VALUE"""),"celý web")</f>
        <v>celý web</v>
      </c>
      <c r="F438" s="4" t="str">
        <f ca="1">IFERROR(__xludf.DUMMYFUNCTION("""COMPUTED_VALUE"""),"https://doupe.zive.cz")</f>
        <v>https://doupe.zive.cz</v>
      </c>
      <c r="G438" s="3" t="str">
        <f ca="1">IFERROR(__xludf.DUMMYFUNCTION("""COMPUTED_VALUE"""),"mobilní interscroller high season")</f>
        <v>mobilní interscroller high season</v>
      </c>
      <c r="H438" s="3">
        <f ca="1">IFERROR(__xludf.DUMMYFUNCTION("""COMPUTED_VALUE"""),7)</f>
        <v>7</v>
      </c>
      <c r="I438" s="5">
        <f ca="1">IFERROR(__xludf.DUMMYFUNCTION("""COMPUTED_VALUE"""),1000)</f>
        <v>1000</v>
      </c>
      <c r="J438" s="5">
        <f ca="1">IFERROR(__xludf.DUMMYFUNCTION("""COMPUTED_VALUE"""),450)</f>
        <v>450</v>
      </c>
      <c r="K438" s="3"/>
      <c r="L438" s="3" t="str">
        <f ca="1">IFERROR(__xludf.DUMMYFUNCTION("""COMPUTED_VALUE"""),"Cost per period")</f>
        <v>Cost per period</v>
      </c>
      <c r="M438" s="3"/>
      <c r="N438" s="3"/>
      <c r="O438" s="3" t="str">
        <f ca="1">IFERROR(__xludf.DUMMYFUNCTION("""COMPUTED_VALUE"""),"600")</f>
        <v>600</v>
      </c>
      <c r="P438" s="3" t="str">
        <f ca="1">IFERROR(__xludf.DUMMYFUNCTION("""COMPUTED_VALUE"""),"1080")</f>
        <v>1080</v>
      </c>
      <c r="Q438" s="3" t="str">
        <f ca="1">IFERROR(__xludf.DUMMYFUNCTION("""COMPUTED_VALUE"""),"600x1080")</f>
        <v>600x1080</v>
      </c>
      <c r="R438" s="3"/>
      <c r="S438" s="3" t="str">
        <f ca="1">IFERROR(__xludf.DUMMYFUNCTION("""COMPUTED_VALUE"""),"200")</f>
        <v>200</v>
      </c>
      <c r="T438" s="3"/>
      <c r="U438" s="3" t="str">
        <f ca="1">IFERROR(__xludf.DUMMYFUNCTION("""COMPUTED_VALUE"""),"banner standard")</f>
        <v>banner standard</v>
      </c>
      <c r="V438" s="3"/>
      <c r="W438" s="4" t="str">
        <f ca="1">IFERROR(__xludf.DUMMYFUNCTION("""COMPUTED_VALUE"""),"https://reklama.cncenter.cz/Online/mobilni-interscroller")</f>
        <v>https://reklama.cncenter.cz/Online/mobilni-interscroller</v>
      </c>
      <c r="X438" s="3"/>
      <c r="Y438" s="3"/>
      <c r="Z438" s="3" t="str">
        <f ca="1">IFERROR(__xludf.DUMMYFUNCTION("""COMPUTED_VALUE"""),"podklady@cncenter.cz")</f>
        <v>podklady@cncenter.cz</v>
      </c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 t="str">
        <f ca="1">IFERROR(__xludf.DUMMYFUNCTION("""COMPUTED_VALUE"""),"mobile")</f>
        <v>mobile</v>
      </c>
      <c r="AO438" s="3"/>
      <c r="AP438" s="3"/>
      <c r="AQ438" s="3"/>
      <c r="AR438" s="3"/>
      <c r="AS438" s="3"/>
      <c r="AT438" s="3"/>
      <c r="AU438" s="3" t="str">
        <f ca="1">IFERROR(__xludf.DUMMYFUNCTION("""COMPUTED_VALUE"""),"mobilní interscroller")</f>
        <v>mobilní interscroller</v>
      </c>
    </row>
    <row r="439" spans="1:47" x14ac:dyDescent="0.3">
      <c r="A439" s="3">
        <f ca="1"/>
        <v>2346826</v>
      </c>
      <c r="B439" s="3" t="str">
        <f ca="1"/>
        <v>CZECH NEWS CENTER a. s.</v>
      </c>
      <c r="C439" s="3" t="str">
        <f ca="1">IFERROR(__xludf.DUMMYFUNCTION("""COMPUTED_VALUE"""),"Doupě")</f>
        <v>Doupě</v>
      </c>
      <c r="D439" s="4" t="str">
        <f ca="1">IFERROR(__xludf.DUMMYFUNCTION("""COMPUTED_VALUE"""),"https://doupe.zive.cz")</f>
        <v>https://doupe.zive.cz</v>
      </c>
      <c r="E439" s="3" t="str">
        <f ca="1">IFERROR(__xludf.DUMMYFUNCTION("""COMPUTED_VALUE"""),"celý web")</f>
        <v>celý web</v>
      </c>
      <c r="F439" s="4" t="str">
        <f ca="1">IFERROR(__xludf.DUMMYFUNCTION("""COMPUTED_VALUE"""),"https://doupe.zive.cz")</f>
        <v>https://doupe.zive.cz</v>
      </c>
      <c r="G439" s="3" t="str">
        <f ca="1">IFERROR(__xludf.DUMMYFUNCTION("""COMPUTED_VALUE"""),"mobilní slide-up high season")</f>
        <v>mobilní slide-up high season</v>
      </c>
      <c r="H439" s="3">
        <f ca="1">IFERROR(__xludf.DUMMYFUNCTION("""COMPUTED_VALUE"""),7)</f>
        <v>7</v>
      </c>
      <c r="I439" s="5">
        <f ca="1">IFERROR(__xludf.DUMMYFUNCTION("""COMPUTED_VALUE"""),1000)</f>
        <v>1000</v>
      </c>
      <c r="J439" s="5">
        <f ca="1">IFERROR(__xludf.DUMMYFUNCTION("""COMPUTED_VALUE"""),920)</f>
        <v>920</v>
      </c>
      <c r="K439" s="3"/>
      <c r="L439" s="3" t="str">
        <f ca="1">IFERROR(__xludf.DUMMYFUNCTION("""COMPUTED_VALUE"""),"Cost per period")</f>
        <v>Cost per period</v>
      </c>
      <c r="M439" s="3"/>
      <c r="N439" s="3"/>
      <c r="O439" s="3" t="str">
        <f ca="1">IFERROR(__xludf.DUMMYFUNCTION("""COMPUTED_VALUE"""),"300")</f>
        <v>300</v>
      </c>
      <c r="P439" s="3" t="str">
        <f ca="1">IFERROR(__xludf.DUMMYFUNCTION("""COMPUTED_VALUE"""),"120")</f>
        <v>120</v>
      </c>
      <c r="Q439" s="3" t="str">
        <f ca="1">IFERROR(__xludf.DUMMYFUNCTION("""COMPUTED_VALUE"""),"300x120")</f>
        <v>300x120</v>
      </c>
      <c r="R439" s="3"/>
      <c r="S439" s="3" t="str">
        <f ca="1">IFERROR(__xludf.DUMMYFUNCTION("""COMPUTED_VALUE"""),"100")</f>
        <v>100</v>
      </c>
      <c r="T439" s="3"/>
      <c r="U439" s="3" t="str">
        <f ca="1">IFERROR(__xludf.DUMMYFUNCTION("""COMPUTED_VALUE"""),"banner standard")</f>
        <v>banner standard</v>
      </c>
      <c r="V439" s="3"/>
      <c r="W439" s="4" t="str">
        <f ca="1">IFERROR(__xludf.DUMMYFUNCTION("""COMPUTED_VALUE"""),"https://reklama.cncenter.cz/Online/mobilni-slide-up")</f>
        <v>https://reklama.cncenter.cz/Online/mobilni-slide-up</v>
      </c>
      <c r="X439" s="3"/>
      <c r="Y439" s="3"/>
      <c r="Z439" s="3" t="str">
        <f ca="1">IFERROR(__xludf.DUMMYFUNCTION("""COMPUTED_VALUE"""),"podklady@cncenter.cz")</f>
        <v>podklady@cncenter.cz</v>
      </c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 t="str">
        <f ca="1">IFERROR(__xludf.DUMMYFUNCTION("""COMPUTED_VALUE"""),"mobile")</f>
        <v>mobile</v>
      </c>
      <c r="AO439" s="3"/>
      <c r="AP439" s="3"/>
      <c r="AQ439" s="3"/>
      <c r="AR439" s="3"/>
      <c r="AS439" s="3"/>
      <c r="AT439" s="3"/>
      <c r="AU439" s="3" t="str">
        <f ca="1">IFERROR(__xludf.DUMMYFUNCTION("""COMPUTED_VALUE"""),"mobilní slide-up")</f>
        <v>mobilní slide-up</v>
      </c>
    </row>
    <row r="440" spans="1:47" x14ac:dyDescent="0.3">
      <c r="A440" s="3">
        <f ca="1"/>
        <v>2346826</v>
      </c>
      <c r="B440" s="3" t="str">
        <f ca="1"/>
        <v>CZECH NEWS CENTER a. s.</v>
      </c>
      <c r="C440" s="3" t="str">
        <f ca="1">IFERROR(__xludf.DUMMYFUNCTION("""COMPUTED_VALUE"""),"Doupě")</f>
        <v>Doupě</v>
      </c>
      <c r="D440" s="4" t="str">
        <f ca="1">IFERROR(__xludf.DUMMYFUNCTION("""COMPUTED_VALUE"""),"https://doupe.zive.cz")</f>
        <v>https://doupe.zive.cz</v>
      </c>
      <c r="E440" s="3" t="str">
        <f ca="1">IFERROR(__xludf.DUMMYFUNCTION("""COMPUTED_VALUE"""),"celý web")</f>
        <v>celý web</v>
      </c>
      <c r="F440" s="4" t="str">
        <f ca="1">IFERROR(__xludf.DUMMYFUNCTION("""COMPUTED_VALUE"""),"https://doupe.zive.cz")</f>
        <v>https://doupe.zive.cz</v>
      </c>
      <c r="G440" s="3" t="str">
        <f ca="1">IFERROR(__xludf.DUMMYFUNCTION("""COMPUTED_VALUE"""),"mobilní viněta high season")</f>
        <v>mobilní viněta high season</v>
      </c>
      <c r="H440" s="3">
        <f ca="1">IFERROR(__xludf.DUMMYFUNCTION("""COMPUTED_VALUE"""),7)</f>
        <v>7</v>
      </c>
      <c r="I440" s="5">
        <f ca="1">IFERROR(__xludf.DUMMYFUNCTION("""COMPUTED_VALUE"""),1000)</f>
        <v>1000</v>
      </c>
      <c r="J440" s="5">
        <f ca="1">IFERROR(__xludf.DUMMYFUNCTION("""COMPUTED_VALUE"""),1590)</f>
        <v>1590</v>
      </c>
      <c r="K440" s="3"/>
      <c r="L440" s="3" t="str">
        <f ca="1">IFERROR(__xludf.DUMMYFUNCTION("""COMPUTED_VALUE"""),"Cost per period")</f>
        <v>Cost per period</v>
      </c>
      <c r="M440" s="3"/>
      <c r="N440" s="3"/>
      <c r="O440" s="3" t="str">
        <f ca="1">IFERROR(__xludf.DUMMYFUNCTION("""COMPUTED_VALUE"""),"600")</f>
        <v>600</v>
      </c>
      <c r="P440" s="3" t="str">
        <f ca="1">IFERROR(__xludf.DUMMYFUNCTION("""COMPUTED_VALUE"""),"800")</f>
        <v>800</v>
      </c>
      <c r="Q440" s="3" t="str">
        <f ca="1">IFERROR(__xludf.DUMMYFUNCTION("""COMPUTED_VALUE"""),"300x250 nebo 600x800")</f>
        <v>300x250 nebo 600x800</v>
      </c>
      <c r="R440" s="3"/>
      <c r="S440" s="3" t="str">
        <f ca="1">IFERROR(__xludf.DUMMYFUNCTION("""COMPUTED_VALUE"""),"100")</f>
        <v>100</v>
      </c>
      <c r="T440" s="3"/>
      <c r="U440" s="3" t="str">
        <f ca="1">IFERROR(__xludf.DUMMYFUNCTION("""COMPUTED_VALUE"""),"banner standard")</f>
        <v>banner standard</v>
      </c>
      <c r="V440" s="3"/>
      <c r="W440" s="4" t="str">
        <f ca="1">IFERROR(__xludf.DUMMYFUNCTION("""COMPUTED_VALUE"""),"https://reklama.cncenter.cz/Online/mobilni-vineta")</f>
        <v>https://reklama.cncenter.cz/Online/mobilni-vineta</v>
      </c>
      <c r="X440" s="3"/>
      <c r="Y440" s="3"/>
      <c r="Z440" s="3" t="str">
        <f ca="1">IFERROR(__xludf.DUMMYFUNCTION("""COMPUTED_VALUE"""),"podklady@cncenter.cz")</f>
        <v>podklady@cncenter.cz</v>
      </c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 t="str">
        <f ca="1">IFERROR(__xludf.DUMMYFUNCTION("""COMPUTED_VALUE"""),"mobile")</f>
        <v>mobile</v>
      </c>
      <c r="AO440" s="3"/>
      <c r="AP440" s="3"/>
      <c r="AQ440" s="3"/>
      <c r="AR440" s="3"/>
      <c r="AS440" s="3"/>
      <c r="AT440" s="3"/>
      <c r="AU440" s="3" t="str">
        <f ca="1">IFERROR(__xludf.DUMMYFUNCTION("""COMPUTED_VALUE"""),"mobilní viněta")</f>
        <v>mobilní viněta</v>
      </c>
    </row>
    <row r="441" spans="1:47" x14ac:dyDescent="0.3">
      <c r="A441" s="3">
        <f ca="1"/>
        <v>2346826</v>
      </c>
      <c r="B441" s="3" t="str">
        <f ca="1"/>
        <v>CZECH NEWS CENTER a. s.</v>
      </c>
      <c r="C441" s="3" t="str">
        <f ca="1">IFERROR(__xludf.DUMMYFUNCTION("""COMPUTED_VALUE"""),"Doupě")</f>
        <v>Doupě</v>
      </c>
      <c r="D441" s="4" t="str">
        <f ca="1">IFERROR(__xludf.DUMMYFUNCTION("""COMPUTED_VALUE"""),"https://doupe.zive.cz")</f>
        <v>https://doupe.zive.cz</v>
      </c>
      <c r="E441" s="3" t="str">
        <f ca="1">IFERROR(__xludf.DUMMYFUNCTION("""COMPUTED_VALUE"""),"celý web")</f>
        <v>celý web</v>
      </c>
      <c r="F441" s="4" t="str">
        <f ca="1">IFERROR(__xludf.DUMMYFUNCTION("""COMPUTED_VALUE"""),"https://doupe.zive.cz")</f>
        <v>https://doupe.zive.cz</v>
      </c>
      <c r="G441" s="3" t="str">
        <f ca="1">IFERROR(__xludf.DUMMYFUNCTION("""COMPUTED_VALUE"""),"Native Standard high season")</f>
        <v>Native Standard high season</v>
      </c>
      <c r="H441" s="3">
        <f ca="1">IFERROR(__xludf.DUMMYFUNCTION("""COMPUTED_VALUE"""),1)</f>
        <v>1</v>
      </c>
      <c r="I441" s="5">
        <f ca="1">IFERROR(__xludf.DUMMYFUNCTION("""COMPUTED_VALUE"""),1)</f>
        <v>1</v>
      </c>
      <c r="J441" s="5">
        <f ca="1">IFERROR(__xludf.DUMMYFUNCTION("""COMPUTED_VALUE"""),330000)</f>
        <v>330000</v>
      </c>
      <c r="K441" s="3"/>
      <c r="L441" s="3" t="str">
        <f ca="1">IFERROR(__xludf.DUMMYFUNCTION("""COMPUTED_VALUE"""),"Cost per instance")</f>
        <v>Cost per instance</v>
      </c>
      <c r="M441" s="3"/>
      <c r="N441" s="3"/>
      <c r="O441" s="3"/>
      <c r="P441" s="3"/>
      <c r="Q441" s="3"/>
      <c r="R441" s="3"/>
      <c r="S441" s="3" t="str">
        <f ca="1">IFERROR(__xludf.DUMMYFUNCTION("""COMPUTED_VALUE"""),"100")</f>
        <v>100</v>
      </c>
      <c r="T441" s="3"/>
      <c r="U441" s="3" t="str">
        <f ca="1">IFERROR(__xludf.DUMMYFUNCTION("""COMPUTED_VALUE"""),"microsite")</f>
        <v>microsite</v>
      </c>
      <c r="V441" s="3"/>
      <c r="W441" s="3"/>
      <c r="X441" s="3"/>
      <c r="Y441" s="3"/>
      <c r="Z441" s="3" t="str">
        <f ca="1">IFERROR(__xludf.DUMMYFUNCTION("""COMPUTED_VALUE"""),"podklady@cncenter.cz")</f>
        <v>podklady@cncenter.cz</v>
      </c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 t="str">
        <f ca="1">IFERROR(__xludf.DUMMYFUNCTION("""COMPUTED_VALUE"""),"cross-device")</f>
        <v>cross-device</v>
      </c>
      <c r="AO441" s="3"/>
      <c r="AP441" s="3"/>
      <c r="AQ441" s="3"/>
      <c r="AR441" s="3"/>
      <c r="AS441" s="3"/>
      <c r="AT441" s="3"/>
      <c r="AU441" s="3" t="str">
        <f ca="1">IFERROR(__xludf.DUMMYFUNCTION("""COMPUTED_VALUE"""),"Native Standard")</f>
        <v>Native Standard</v>
      </c>
    </row>
    <row r="442" spans="1:47" x14ac:dyDescent="0.3">
      <c r="A442" s="3">
        <f ca="1"/>
        <v>2346826</v>
      </c>
      <c r="B442" s="3" t="str">
        <f ca="1"/>
        <v>CZECH NEWS CENTER a. s.</v>
      </c>
      <c r="C442" s="3" t="str">
        <f ca="1">IFERROR(__xludf.DUMMYFUNCTION("""COMPUTED_VALUE"""),"Doupě")</f>
        <v>Doupě</v>
      </c>
      <c r="D442" s="4" t="str">
        <f ca="1">IFERROR(__xludf.DUMMYFUNCTION("""COMPUTED_VALUE"""),"https://doupe.zive.cz")</f>
        <v>https://doupe.zive.cz</v>
      </c>
      <c r="E442" s="3" t="str">
        <f ca="1">IFERROR(__xludf.DUMMYFUNCTION("""COMPUTED_VALUE"""),"celý web")</f>
        <v>celý web</v>
      </c>
      <c r="F442" s="4" t="str">
        <f ca="1">IFERROR(__xludf.DUMMYFUNCTION("""COMPUTED_VALUE"""),"https://doupe.zive.cz")</f>
        <v>https://doupe.zive.cz</v>
      </c>
      <c r="G442" s="3" t="str">
        <f ca="1">IFERROR(__xludf.DUMMYFUNCTION("""COMPUTED_VALUE"""),"nativní rectangle cross-device high season")</f>
        <v>nativní rectangle cross-device high season</v>
      </c>
      <c r="H442" s="3">
        <f ca="1">IFERROR(__xludf.DUMMYFUNCTION("""COMPUTED_VALUE"""),7)</f>
        <v>7</v>
      </c>
      <c r="I442" s="5">
        <f ca="1">IFERROR(__xludf.DUMMYFUNCTION("""COMPUTED_VALUE"""),1000)</f>
        <v>1000</v>
      </c>
      <c r="J442" s="5">
        <f ca="1">IFERROR(__xludf.DUMMYFUNCTION("""COMPUTED_VALUE"""),360)</f>
        <v>360</v>
      </c>
      <c r="K442" s="3"/>
      <c r="L442" s="3" t="str">
        <f ca="1">IFERROR(__xludf.DUMMYFUNCTION("""COMPUTED_VALUE"""),"Cost per period")</f>
        <v>Cost per period</v>
      </c>
      <c r="M442" s="3"/>
      <c r="N442" s="3"/>
      <c r="O442" s="3" t="str">
        <f ca="1">IFERROR(__xludf.DUMMYFUNCTION("""COMPUTED_VALUE"""),"640")</f>
        <v>640</v>
      </c>
      <c r="P442" s="3" t="str">
        <f ca="1">IFERROR(__xludf.DUMMYFUNCTION("""COMPUTED_VALUE"""),"335, 640")</f>
        <v>335, 640</v>
      </c>
      <c r="Q442" s="3" t="str">
        <f ca="1">IFERROR(__xludf.DUMMYFUNCTION("""COMPUTED_VALUE"""),"640x640 a 640x335 + text + logo")</f>
        <v>640x640 a 640x335 + text + logo</v>
      </c>
      <c r="R442" s="3"/>
      <c r="S442" s="3" t="str">
        <f ca="1">IFERROR(__xludf.DUMMYFUNCTION("""COMPUTED_VALUE"""),"45")</f>
        <v>45</v>
      </c>
      <c r="T442" s="3"/>
      <c r="U442" s="3" t="str">
        <f ca="1">IFERROR(__xludf.DUMMYFUNCTION("""COMPUTED_VALUE"""),"nativní reklama")</f>
        <v>nativní reklama</v>
      </c>
      <c r="V442" s="3"/>
      <c r="W442" s="4" t="str">
        <f ca="1">IFERROR(__xludf.DUMMYFUNCTION("""COMPUTED_VALUE"""),"https://reklama.cncenter.cz/Online/nativni-rectangle-cross-device")</f>
        <v>https://reklama.cncenter.cz/Online/nativni-rectangle-cross-device</v>
      </c>
      <c r="X442" s="3"/>
      <c r="Y442" s="3"/>
      <c r="Z442" s="3" t="str">
        <f ca="1">IFERROR(__xludf.DUMMYFUNCTION("""COMPUTED_VALUE"""),"podklady@cncenter.cz")</f>
        <v>podklady@cncenter.cz</v>
      </c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 t="str">
        <f ca="1">IFERROR(__xludf.DUMMYFUNCTION("""COMPUTED_VALUE"""),"cross-device")</f>
        <v>cross-device</v>
      </c>
      <c r="AO442" s="3"/>
      <c r="AP442" s="3"/>
      <c r="AQ442" s="3"/>
      <c r="AR442" s="3"/>
      <c r="AS442" s="3"/>
      <c r="AT442" s="3"/>
      <c r="AU442" s="3" t="str">
        <f ca="1">IFERROR(__xludf.DUMMYFUNCTION("""COMPUTED_VALUE"""),"nativní rectangle cross-device")</f>
        <v>nativní rectangle cross-device</v>
      </c>
    </row>
    <row r="443" spans="1:47" x14ac:dyDescent="0.3">
      <c r="A443" s="3">
        <f ca="1"/>
        <v>2346826</v>
      </c>
      <c r="B443" s="3" t="str">
        <f ca="1"/>
        <v>CZECH NEWS CENTER a. s.</v>
      </c>
      <c r="C443" s="3" t="str">
        <f ca="1">IFERROR(__xludf.DUMMYFUNCTION("""COMPUTED_VALUE"""),"Doupě")</f>
        <v>Doupě</v>
      </c>
      <c r="D443" s="4" t="str">
        <f ca="1">IFERROR(__xludf.DUMMYFUNCTION("""COMPUTED_VALUE"""),"https://doupe.zive.cz")</f>
        <v>https://doupe.zive.cz</v>
      </c>
      <c r="E443" s="3" t="str">
        <f ca="1">IFERROR(__xludf.DUMMYFUNCTION("""COMPUTED_VALUE"""),"celý web")</f>
        <v>celý web</v>
      </c>
      <c r="F443" s="4" t="str">
        <f ca="1">IFERROR(__xludf.DUMMYFUNCTION("""COMPUTED_VALUE"""),"https://doupe.zive.cz")</f>
        <v>https://doupe.zive.cz</v>
      </c>
      <c r="G443" s="3" t="str">
        <f ca="1">IFERROR(__xludf.DUMMYFUNCTION("""COMPUTED_VALUE"""),"outstream high season")</f>
        <v>outstream high season</v>
      </c>
      <c r="H443" s="3">
        <f ca="1">IFERROR(__xludf.DUMMYFUNCTION("""COMPUTED_VALUE"""),7)</f>
        <v>7</v>
      </c>
      <c r="I443" s="5">
        <f ca="1">IFERROR(__xludf.DUMMYFUNCTION("""COMPUTED_VALUE"""),1000)</f>
        <v>1000</v>
      </c>
      <c r="J443" s="5">
        <f ca="1">IFERROR(__xludf.DUMMYFUNCTION("""COMPUTED_VALUE"""),450)</f>
        <v>450</v>
      </c>
      <c r="K443" s="3"/>
      <c r="L443" s="3" t="str">
        <f ca="1">IFERROR(__xludf.DUMMYFUNCTION("""COMPUTED_VALUE"""),"Cost per period")</f>
        <v>Cost per period</v>
      </c>
      <c r="M443" s="3"/>
      <c r="N443" s="3"/>
      <c r="O443" s="3" t="str">
        <f ca="1">IFERROR(__xludf.DUMMYFUNCTION("""COMPUTED_VALUE"""),"1280")</f>
        <v>1280</v>
      </c>
      <c r="P443" s="3" t="str">
        <f ca="1">IFERROR(__xludf.DUMMYFUNCTION("""COMPUTED_VALUE"""),"720")</f>
        <v>720</v>
      </c>
      <c r="Q443" s="3" t="str">
        <f ca="1">IFERROR(__xludf.DUMMYFUNCTION("""COMPUTED_VALUE"""),"16:9")</f>
        <v>16:9</v>
      </c>
      <c r="R443" s="3"/>
      <c r="S443" s="3" t="str">
        <f ca="1">IFERROR(__xludf.DUMMYFUNCTION("""COMPUTED_VALUE"""),"100")</f>
        <v>100</v>
      </c>
      <c r="T443" s="3"/>
      <c r="U443" s="3" t="str">
        <f ca="1">IFERROR(__xludf.DUMMYFUNCTION("""COMPUTED_VALUE"""),"videospot")</f>
        <v>videospot</v>
      </c>
      <c r="V443" s="3"/>
      <c r="W443" s="4" t="str">
        <f ca="1">IFERROR(__xludf.DUMMYFUNCTION("""COMPUTED_VALUE"""),"https://reklama.cncenter.cz/Online/Outstream")</f>
        <v>https://reklama.cncenter.cz/Online/Outstream</v>
      </c>
      <c r="X443" s="3"/>
      <c r="Y443" s="3"/>
      <c r="Z443" s="3" t="str">
        <f ca="1">IFERROR(__xludf.DUMMYFUNCTION("""COMPUTED_VALUE"""),"podklady@cncenter.cz")</f>
        <v>podklady@cncenter.cz</v>
      </c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 t="str">
        <f ca="1">IFERROR(__xludf.DUMMYFUNCTION("""COMPUTED_VALUE"""),"cross-device")</f>
        <v>cross-device</v>
      </c>
      <c r="AO443" s="3"/>
      <c r="AP443" s="3"/>
      <c r="AQ443" s="3"/>
      <c r="AR443" s="3"/>
      <c r="AS443" s="3"/>
      <c r="AT443" s="3"/>
      <c r="AU443" s="3" t="str">
        <f ca="1">IFERROR(__xludf.DUMMYFUNCTION("""COMPUTED_VALUE"""),"outstream")</f>
        <v>outstream</v>
      </c>
    </row>
    <row r="444" spans="1:47" x14ac:dyDescent="0.3">
      <c r="A444" s="3">
        <f ca="1"/>
        <v>2346826</v>
      </c>
      <c r="B444" s="3" t="str">
        <f ca="1"/>
        <v>CZECH NEWS CENTER a. s.</v>
      </c>
      <c r="C444" s="3" t="str">
        <f ca="1">IFERROR(__xludf.DUMMYFUNCTION("""COMPUTED_VALUE"""),"Doupě")</f>
        <v>Doupě</v>
      </c>
      <c r="D444" s="4" t="str">
        <f ca="1">IFERROR(__xludf.DUMMYFUNCTION("""COMPUTED_VALUE"""),"https://doupe.zive.cz")</f>
        <v>https://doupe.zive.cz</v>
      </c>
      <c r="E444" s="3" t="str">
        <f ca="1">IFERROR(__xludf.DUMMYFUNCTION("""COMPUTED_VALUE"""),"celý web")</f>
        <v>celý web</v>
      </c>
      <c r="F444" s="4" t="str">
        <f ca="1">IFERROR(__xludf.DUMMYFUNCTION("""COMPUTED_VALUE"""),"https://doupe.zive.cz")</f>
        <v>https://doupe.zive.cz</v>
      </c>
      <c r="G444" s="3" t="str">
        <f ca="1">IFERROR(__xludf.DUMMYFUNCTION("""COMPUTED_VALUE"""),"PR článek high season")</f>
        <v>PR článek high season</v>
      </c>
      <c r="H444" s="3">
        <f ca="1">IFERROR(__xludf.DUMMYFUNCTION("""COMPUTED_VALUE"""),1)</f>
        <v>1</v>
      </c>
      <c r="I444" s="5">
        <f ca="1">IFERROR(__xludf.DUMMYFUNCTION("""COMPUTED_VALUE"""),1)</f>
        <v>1</v>
      </c>
      <c r="J444" s="5">
        <f ca="1">IFERROR(__xludf.DUMMYFUNCTION("""COMPUTED_VALUE"""),20000)</f>
        <v>20000</v>
      </c>
      <c r="K444" s="3"/>
      <c r="L444" s="3" t="str">
        <f ca="1">IFERROR(__xludf.DUMMYFUNCTION("""COMPUTED_VALUE"""),"Cost per instance")</f>
        <v>Cost per instance</v>
      </c>
      <c r="M444" s="3"/>
      <c r="N444" s="3"/>
      <c r="O444" s="3"/>
      <c r="P444" s="3"/>
      <c r="Q444" s="3"/>
      <c r="R444" s="3"/>
      <c r="S444" s="3" t="str">
        <f ca="1">IFERROR(__xludf.DUMMYFUNCTION("""COMPUTED_VALUE"""),"100")</f>
        <v>100</v>
      </c>
      <c r="T444" s="3"/>
      <c r="U444" s="3" t="str">
        <f ca="1">IFERROR(__xludf.DUMMYFUNCTION("""COMPUTED_VALUE"""),"pr článek")</f>
        <v>pr článek</v>
      </c>
      <c r="V444" s="3"/>
      <c r="W444" s="4" t="str">
        <f ca="1">IFERROR(__xludf.DUMMYFUNCTION("""COMPUTED_VALUE"""),"https://reklama.cncenter.cz/?ads=PR%2520%25C4%258Dl%25C3%25A1nky")</f>
        <v>https://reklama.cncenter.cz/?ads=PR%2520%25C4%258Dl%25C3%25A1nky</v>
      </c>
      <c r="X444" s="3"/>
      <c r="Y444" s="3"/>
      <c r="Z444" s="3" t="str">
        <f ca="1">IFERROR(__xludf.DUMMYFUNCTION("""COMPUTED_VALUE"""),"podklady@cncenter.cz")</f>
        <v>podklady@cncenter.cz</v>
      </c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 t="str">
        <f ca="1">IFERROR(__xludf.DUMMYFUNCTION("""COMPUTED_VALUE"""),"cross-device")</f>
        <v>cross-device</v>
      </c>
      <c r="AO444" s="3"/>
      <c r="AP444" s="3"/>
      <c r="AQ444" s="3"/>
      <c r="AR444" s="3"/>
      <c r="AS444" s="3"/>
      <c r="AT444" s="3"/>
      <c r="AU444" s="3" t="str">
        <f ca="1">IFERROR(__xludf.DUMMYFUNCTION("""COMPUTED_VALUE"""),"PR článek")</f>
        <v>PR článek</v>
      </c>
    </row>
    <row r="445" spans="1:47" x14ac:dyDescent="0.3">
      <c r="A445" s="3">
        <f ca="1"/>
        <v>2346826</v>
      </c>
      <c r="B445" s="3" t="str">
        <f ca="1"/>
        <v>CZECH NEWS CENTER a. s.</v>
      </c>
      <c r="C445" s="3" t="str">
        <f ca="1">IFERROR(__xludf.DUMMYFUNCTION("""COMPUTED_VALUE"""),"Doupě")</f>
        <v>Doupě</v>
      </c>
      <c r="D445" s="4" t="str">
        <f ca="1">IFERROR(__xludf.DUMMYFUNCTION("""COMPUTED_VALUE"""),"https://doupe.zive.cz")</f>
        <v>https://doupe.zive.cz</v>
      </c>
      <c r="E445" s="3" t="str">
        <f ca="1">IFERROR(__xludf.DUMMYFUNCTION("""COMPUTED_VALUE"""),"celý web")</f>
        <v>celý web</v>
      </c>
      <c r="F445" s="4" t="str">
        <f ca="1">IFERROR(__xludf.DUMMYFUNCTION("""COMPUTED_VALUE"""),"https://doupe.zive.cz")</f>
        <v>https://doupe.zive.cz</v>
      </c>
      <c r="G445" s="3" t="str">
        <f ca="1">IFERROR(__xludf.DUMMYFUNCTION("""COMPUTED_VALUE"""),"Prodloužení existující microsite, bez úprav high season")</f>
        <v>Prodloužení existující microsite, bez úprav high season</v>
      </c>
      <c r="H445" s="3">
        <f ca="1">IFERROR(__xludf.DUMMYFUNCTION("""COMPUTED_VALUE"""),1)</f>
        <v>1</v>
      </c>
      <c r="I445" s="5">
        <f ca="1">IFERROR(__xludf.DUMMYFUNCTION("""COMPUTED_VALUE"""),1)</f>
        <v>1</v>
      </c>
      <c r="J445" s="5">
        <f ca="1">IFERROR(__xludf.DUMMYFUNCTION("""COMPUTED_VALUE"""),15000)</f>
        <v>15000</v>
      </c>
      <c r="K445" s="3"/>
      <c r="L445" s="3" t="str">
        <f ca="1">IFERROR(__xludf.DUMMYFUNCTION("""COMPUTED_VALUE"""),"Cost per instance")</f>
        <v>Cost per instance</v>
      </c>
      <c r="M445" s="3"/>
      <c r="N445" s="3"/>
      <c r="O445" s="3"/>
      <c r="P445" s="3"/>
      <c r="Q445" s="3"/>
      <c r="R445" s="3"/>
      <c r="S445" s="3" t="str">
        <f ca="1">IFERROR(__xludf.DUMMYFUNCTION("""COMPUTED_VALUE"""),"100")</f>
        <v>100</v>
      </c>
      <c r="T445" s="3"/>
      <c r="U445" s="3" t="str">
        <f ca="1">IFERROR(__xludf.DUMMYFUNCTION("""COMPUTED_VALUE"""),"microsite")</f>
        <v>microsite</v>
      </c>
      <c r="V445" s="3"/>
      <c r="W445" s="3"/>
      <c r="X445" s="3"/>
      <c r="Y445" s="3"/>
      <c r="Z445" s="3" t="str">
        <f ca="1">IFERROR(__xludf.DUMMYFUNCTION("""COMPUTED_VALUE"""),"podklady@cncenter.cz")</f>
        <v>podklady@cncenter.cz</v>
      </c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 t="str">
        <f ca="1">IFERROR(__xludf.DUMMYFUNCTION("""COMPUTED_VALUE"""),"cross-device")</f>
        <v>cross-device</v>
      </c>
      <c r="AO445" s="3"/>
      <c r="AP445" s="3"/>
      <c r="AQ445" s="3"/>
      <c r="AR445" s="3"/>
      <c r="AS445" s="3"/>
      <c r="AT445" s="3"/>
      <c r="AU445" s="3" t="str">
        <f ca="1">IFERROR(__xludf.DUMMYFUNCTION("""COMPUTED_VALUE"""),"Prodloužení existující microsite, bez úprav")</f>
        <v>Prodloužení existující microsite, bez úprav</v>
      </c>
    </row>
    <row r="446" spans="1:47" x14ac:dyDescent="0.3">
      <c r="A446" s="3">
        <f ca="1"/>
        <v>2346826</v>
      </c>
      <c r="B446" s="3" t="str">
        <f ca="1"/>
        <v>CZECH NEWS CENTER a. s.</v>
      </c>
      <c r="C446" s="3" t="str">
        <f ca="1">IFERROR(__xludf.DUMMYFUNCTION("""COMPUTED_VALUE"""),"Doupě")</f>
        <v>Doupě</v>
      </c>
      <c r="D446" s="4" t="str">
        <f ca="1">IFERROR(__xludf.DUMMYFUNCTION("""COMPUTED_VALUE"""),"https://doupe.zive.cz")</f>
        <v>https://doupe.zive.cz</v>
      </c>
      <c r="E446" s="3" t="str">
        <f ca="1">IFERROR(__xludf.DUMMYFUNCTION("""COMPUTED_VALUE"""),"celý web")</f>
        <v>celý web</v>
      </c>
      <c r="F446" s="4" t="str">
        <f ca="1">IFERROR(__xludf.DUMMYFUNCTION("""COMPUTED_VALUE"""),"https://doupe.zive.cz")</f>
        <v>https://doupe.zive.cz</v>
      </c>
      <c r="G446" s="3" t="str">
        <f ca="1">IFERROR(__xludf.DUMMYFUNCTION("""COMPUTED_VALUE"""),"Prodloužení existující microsite, bez úprav high season")</f>
        <v>Prodloužení existující microsite, bez úprav high season</v>
      </c>
      <c r="H446" s="3">
        <f ca="1">IFERROR(__xludf.DUMMYFUNCTION("""COMPUTED_VALUE"""),1)</f>
        <v>1</v>
      </c>
      <c r="I446" s="5">
        <f ca="1">IFERROR(__xludf.DUMMYFUNCTION("""COMPUTED_VALUE"""),1)</f>
        <v>1</v>
      </c>
      <c r="J446" s="5">
        <f ca="1">IFERROR(__xludf.DUMMYFUNCTION("""COMPUTED_VALUE"""),15000)</f>
        <v>15000</v>
      </c>
      <c r="K446" s="3"/>
      <c r="L446" s="3" t="str">
        <f ca="1">IFERROR(__xludf.DUMMYFUNCTION("""COMPUTED_VALUE"""),"Cost per instance")</f>
        <v>Cost per instance</v>
      </c>
      <c r="M446" s="3"/>
      <c r="N446" s="3"/>
      <c r="O446" s="3"/>
      <c r="P446" s="3"/>
      <c r="Q446" s="3"/>
      <c r="R446" s="3"/>
      <c r="S446" s="3" t="str">
        <f ca="1">IFERROR(__xludf.DUMMYFUNCTION("""COMPUTED_VALUE"""),"100")</f>
        <v>100</v>
      </c>
      <c r="T446" s="3"/>
      <c r="U446" s="3" t="str">
        <f ca="1">IFERROR(__xludf.DUMMYFUNCTION("""COMPUTED_VALUE"""),"microsite")</f>
        <v>microsite</v>
      </c>
      <c r="V446" s="3"/>
      <c r="W446" s="3"/>
      <c r="X446" s="3"/>
      <c r="Y446" s="3"/>
      <c r="Z446" s="3" t="str">
        <f ca="1">IFERROR(__xludf.DUMMYFUNCTION("""COMPUTED_VALUE"""),"podklady@cncenter.cz")</f>
        <v>podklady@cncenter.cz</v>
      </c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 t="str">
        <f ca="1">IFERROR(__xludf.DUMMYFUNCTION("""COMPUTED_VALUE"""),"cross-device")</f>
        <v>cross-device</v>
      </c>
      <c r="AO446" s="3"/>
      <c r="AP446" s="3"/>
      <c r="AQ446" s="3"/>
      <c r="AR446" s="3"/>
      <c r="AS446" s="3"/>
      <c r="AT446" s="3"/>
      <c r="AU446" s="3" t="str">
        <f ca="1">IFERROR(__xludf.DUMMYFUNCTION("""COMPUTED_VALUE"""),"Prodloužení existující microsite, bez úprav")</f>
        <v>Prodloužení existující microsite, bez úprav</v>
      </c>
    </row>
    <row r="447" spans="1:47" x14ac:dyDescent="0.3">
      <c r="A447" s="3">
        <f ca="1"/>
        <v>2346826</v>
      </c>
      <c r="B447" s="3" t="str">
        <f ca="1"/>
        <v>CZECH NEWS CENTER a. s.</v>
      </c>
      <c r="C447" s="3" t="str">
        <f ca="1">IFERROR(__xludf.DUMMYFUNCTION("""COMPUTED_VALUE"""),"Doupě")</f>
        <v>Doupě</v>
      </c>
      <c r="D447" s="4" t="str">
        <f ca="1">IFERROR(__xludf.DUMMYFUNCTION("""COMPUTED_VALUE"""),"https://doupe.zive.cz")</f>
        <v>https://doupe.zive.cz</v>
      </c>
      <c r="E447" s="3" t="str">
        <f ca="1">IFERROR(__xludf.DUMMYFUNCTION("""COMPUTED_VALUE"""),"celý web")</f>
        <v>celý web</v>
      </c>
      <c r="F447" s="4" t="str">
        <f ca="1">IFERROR(__xludf.DUMMYFUNCTION("""COMPUTED_VALUE"""),"https://doupe.zive.cz")</f>
        <v>https://doupe.zive.cz</v>
      </c>
      <c r="G447" s="3" t="str">
        <f ca="1">IFERROR(__xludf.DUMMYFUNCTION("""COMPUTED_VALUE"""),"Prodloužení existující microsite, bez úprav high season")</f>
        <v>Prodloužení existující microsite, bez úprav high season</v>
      </c>
      <c r="H447" s="3">
        <f ca="1">IFERROR(__xludf.DUMMYFUNCTION("""COMPUTED_VALUE"""),1)</f>
        <v>1</v>
      </c>
      <c r="I447" s="5">
        <f ca="1">IFERROR(__xludf.DUMMYFUNCTION("""COMPUTED_VALUE"""),1)</f>
        <v>1</v>
      </c>
      <c r="J447" s="5">
        <f ca="1">IFERROR(__xludf.DUMMYFUNCTION("""COMPUTED_VALUE"""),15000)</f>
        <v>15000</v>
      </c>
      <c r="K447" s="3"/>
      <c r="L447" s="3" t="str">
        <f ca="1">IFERROR(__xludf.DUMMYFUNCTION("""COMPUTED_VALUE"""),"Cost per instance")</f>
        <v>Cost per instance</v>
      </c>
      <c r="M447" s="3"/>
      <c r="N447" s="3"/>
      <c r="O447" s="3"/>
      <c r="P447" s="3"/>
      <c r="Q447" s="3"/>
      <c r="R447" s="3"/>
      <c r="S447" s="3" t="str">
        <f ca="1">IFERROR(__xludf.DUMMYFUNCTION("""COMPUTED_VALUE"""),"100")</f>
        <v>100</v>
      </c>
      <c r="T447" s="3"/>
      <c r="U447" s="3" t="str">
        <f ca="1">IFERROR(__xludf.DUMMYFUNCTION("""COMPUTED_VALUE"""),"microsite")</f>
        <v>microsite</v>
      </c>
      <c r="V447" s="3"/>
      <c r="W447" s="3"/>
      <c r="X447" s="3"/>
      <c r="Y447" s="3"/>
      <c r="Z447" s="3" t="str">
        <f ca="1">IFERROR(__xludf.DUMMYFUNCTION("""COMPUTED_VALUE"""),"podklady@cncenter.cz")</f>
        <v>podklady@cncenter.cz</v>
      </c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 t="str">
        <f ca="1">IFERROR(__xludf.DUMMYFUNCTION("""COMPUTED_VALUE"""),"cross-device")</f>
        <v>cross-device</v>
      </c>
      <c r="AO447" s="3"/>
      <c r="AP447" s="3"/>
      <c r="AQ447" s="3"/>
      <c r="AR447" s="3"/>
      <c r="AS447" s="3"/>
      <c r="AT447" s="3"/>
      <c r="AU447" s="3" t="str">
        <f ca="1">IFERROR(__xludf.DUMMYFUNCTION("""COMPUTED_VALUE"""),"Prodloužení existující microsite, bez úprav")</f>
        <v>Prodloužení existující microsite, bez úprav</v>
      </c>
    </row>
    <row r="448" spans="1:47" x14ac:dyDescent="0.3">
      <c r="A448" s="3">
        <f ca="1"/>
        <v>2346826</v>
      </c>
      <c r="B448" s="3" t="str">
        <f ca="1"/>
        <v>CZECH NEWS CENTER a. s.</v>
      </c>
      <c r="C448" s="3" t="str">
        <f ca="1">IFERROR(__xludf.DUMMYFUNCTION("""COMPUTED_VALUE"""),"Dáma")</f>
        <v>Dáma</v>
      </c>
      <c r="D448" s="4" t="str">
        <f ca="1">IFERROR(__xludf.DUMMYFUNCTION("""COMPUTED_VALUE"""),"https://dama.cz")</f>
        <v>https://dama.cz</v>
      </c>
      <c r="E448" s="3" t="str">
        <f ca="1">IFERROR(__xludf.DUMMYFUNCTION("""COMPUTED_VALUE"""),"celý web")</f>
        <v>celý web</v>
      </c>
      <c r="F448" s="4" t="str">
        <f ca="1">IFERROR(__xludf.DUMMYFUNCTION("""COMPUTED_VALUE"""),"https://dama.cz")</f>
        <v>https://dama.cz</v>
      </c>
      <c r="G448" s="3" t="str">
        <f ca="1">IFERROR(__xludf.DUMMYFUNCTION("""COMPUTED_VALUE"""),"Advertorial high season")</f>
        <v>Advertorial high season</v>
      </c>
      <c r="H448" s="3">
        <f ca="1">IFERROR(__xludf.DUMMYFUNCTION("""COMPUTED_VALUE"""),1)</f>
        <v>1</v>
      </c>
      <c r="I448" s="5">
        <f ca="1">IFERROR(__xludf.DUMMYFUNCTION("""COMPUTED_VALUE"""),1)</f>
        <v>1</v>
      </c>
      <c r="J448" s="5">
        <f ca="1">IFERROR(__xludf.DUMMYFUNCTION("""COMPUTED_VALUE"""),90000)</f>
        <v>90000</v>
      </c>
      <c r="K448" s="3"/>
      <c r="L448" s="3" t="str">
        <f ca="1">IFERROR(__xludf.DUMMYFUNCTION("""COMPUTED_VALUE"""),"Cost per instance")</f>
        <v>Cost per instance</v>
      </c>
      <c r="M448" s="3"/>
      <c r="N448" s="3"/>
      <c r="O448" s="3"/>
      <c r="P448" s="3"/>
      <c r="Q448" s="3"/>
      <c r="R448" s="3"/>
      <c r="S448" s="3" t="str">
        <f ca="1">IFERROR(__xludf.DUMMYFUNCTION("""COMPUTED_VALUE"""),"100")</f>
        <v>100</v>
      </c>
      <c r="T448" s="3"/>
      <c r="U448" s="3" t="str">
        <f ca="1">IFERROR(__xludf.DUMMYFUNCTION("""COMPUTED_VALUE"""),"pr článek")</f>
        <v>pr článek</v>
      </c>
      <c r="V448" s="3"/>
      <c r="W448" s="3"/>
      <c r="X448" s="3"/>
      <c r="Y448" s="3"/>
      <c r="Z448" s="3" t="str">
        <f ca="1">IFERROR(__xludf.DUMMYFUNCTION("""COMPUTED_VALUE"""),"podklady@cncenter.cz")</f>
        <v>podklady@cncenter.cz</v>
      </c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 t="str">
        <f ca="1">IFERROR(__xludf.DUMMYFUNCTION("""COMPUTED_VALUE"""),"cross-device")</f>
        <v>cross-device</v>
      </c>
      <c r="AO448" s="3"/>
      <c r="AP448" s="3"/>
      <c r="AQ448" s="3"/>
      <c r="AR448" s="3"/>
      <c r="AS448" s="3"/>
      <c r="AT448" s="3"/>
      <c r="AU448" s="3" t="str">
        <f ca="1">IFERROR(__xludf.DUMMYFUNCTION("""COMPUTED_VALUE"""),"Advertorial")</f>
        <v>Advertorial</v>
      </c>
    </row>
    <row r="449" spans="1:47" x14ac:dyDescent="0.3">
      <c r="A449" s="3">
        <f ca="1"/>
        <v>2346826</v>
      </c>
      <c r="B449" s="3" t="str">
        <f ca="1"/>
        <v>CZECH NEWS CENTER a. s.</v>
      </c>
      <c r="C449" s="3" t="str">
        <f ca="1">IFERROR(__xludf.DUMMYFUNCTION("""COMPUTED_VALUE"""),"Dáma")</f>
        <v>Dáma</v>
      </c>
      <c r="D449" s="4" t="str">
        <f ca="1">IFERROR(__xludf.DUMMYFUNCTION("""COMPUTED_VALUE"""),"https://dama.cz")</f>
        <v>https://dama.cz</v>
      </c>
      <c r="E449" s="3" t="str">
        <f ca="1">IFERROR(__xludf.DUMMYFUNCTION("""COMPUTED_VALUE"""),"celý web")</f>
        <v>celý web</v>
      </c>
      <c r="F449" s="4" t="str">
        <f ca="1">IFERROR(__xludf.DUMMYFUNCTION("""COMPUTED_VALUE"""),"https://dama.cz")</f>
        <v>https://dama.cz</v>
      </c>
      <c r="G449" s="3" t="str">
        <f ca="1">IFERROR(__xludf.DUMMYFUNCTION("""COMPUTED_VALUE"""),"billboard bottom high season")</f>
        <v>billboard bottom high season</v>
      </c>
      <c r="H449" s="3">
        <f ca="1">IFERROR(__xludf.DUMMYFUNCTION("""COMPUTED_VALUE"""),7)</f>
        <v>7</v>
      </c>
      <c r="I449" s="5">
        <f ca="1">IFERROR(__xludf.DUMMYFUNCTION("""COMPUTED_VALUE"""),1000)</f>
        <v>1000</v>
      </c>
      <c r="J449" s="5">
        <f ca="1">IFERROR(__xludf.DUMMYFUNCTION("""COMPUTED_VALUE"""),440)</f>
        <v>440</v>
      </c>
      <c r="K449" s="3"/>
      <c r="L449" s="3" t="str">
        <f ca="1">IFERROR(__xludf.DUMMYFUNCTION("""COMPUTED_VALUE"""),"Cost per period")</f>
        <v>Cost per period</v>
      </c>
      <c r="M449" s="3"/>
      <c r="N449" s="3"/>
      <c r="O449" s="3" t="str">
        <f ca="1">IFERROR(__xludf.DUMMYFUNCTION("""COMPUTED_VALUE"""),"970")</f>
        <v>970</v>
      </c>
      <c r="P449" s="3" t="str">
        <f ca="1">IFERROR(__xludf.DUMMYFUNCTION("""COMPUTED_VALUE"""),"250")</f>
        <v>250</v>
      </c>
      <c r="Q449" s="3" t="str">
        <f ca="1">IFERROR(__xludf.DUMMYFUNCTION("""COMPUTED_VALUE"""),"970x250")</f>
        <v>970x250</v>
      </c>
      <c r="R449" s="3"/>
      <c r="S449" s="3" t="str">
        <f ca="1">IFERROR(__xludf.DUMMYFUNCTION("""COMPUTED_VALUE"""),"100 (200 - HTML5)")</f>
        <v>100 (200 - HTML5)</v>
      </c>
      <c r="T449" s="3"/>
      <c r="U449" s="3" t="str">
        <f ca="1">IFERROR(__xludf.DUMMYFUNCTION("""COMPUTED_VALUE"""),"banner standard")</f>
        <v>banner standard</v>
      </c>
      <c r="V449" s="3"/>
      <c r="W449" s="4" t="str">
        <f ca="1">IFERROR(__xludf.DUMMYFUNCTION("""COMPUTED_VALUE"""),"https://reklama.cncenter.cz/Online/billboard-bottom")</f>
        <v>https://reklama.cncenter.cz/Online/billboard-bottom</v>
      </c>
      <c r="X449" s="3"/>
      <c r="Y449" s="3"/>
      <c r="Z449" s="3" t="str">
        <f ca="1">IFERROR(__xludf.DUMMYFUNCTION("""COMPUTED_VALUE"""),"podklady@cncenter.cz")</f>
        <v>podklady@cncenter.cz</v>
      </c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 t="str">
        <f ca="1">IFERROR(__xludf.DUMMYFUNCTION("""COMPUTED_VALUE"""),"desktop")</f>
        <v>desktop</v>
      </c>
      <c r="AO449" s="3"/>
      <c r="AP449" s="3"/>
      <c r="AQ449" s="3"/>
      <c r="AR449" s="3"/>
      <c r="AS449" s="3"/>
      <c r="AT449" s="3"/>
      <c r="AU449" s="3" t="str">
        <f ca="1">IFERROR(__xludf.DUMMYFUNCTION("""COMPUTED_VALUE"""),"billboard bottom")</f>
        <v>billboard bottom</v>
      </c>
    </row>
    <row r="450" spans="1:47" x14ac:dyDescent="0.3">
      <c r="A450" s="3">
        <f ca="1"/>
        <v>2346826</v>
      </c>
      <c r="B450" s="3" t="str">
        <f ca="1"/>
        <v>CZECH NEWS CENTER a. s.</v>
      </c>
      <c r="C450" s="3" t="str">
        <f ca="1">IFERROR(__xludf.DUMMYFUNCTION("""COMPUTED_VALUE"""),"Dáma")</f>
        <v>Dáma</v>
      </c>
      <c r="D450" s="4" t="str">
        <f ca="1">IFERROR(__xludf.DUMMYFUNCTION("""COMPUTED_VALUE"""),"https://dama.cz")</f>
        <v>https://dama.cz</v>
      </c>
      <c r="E450" s="3" t="str">
        <f ca="1">IFERROR(__xludf.DUMMYFUNCTION("""COMPUTED_VALUE"""),"celý web")</f>
        <v>celý web</v>
      </c>
      <c r="F450" s="4" t="str">
        <f ca="1">IFERROR(__xludf.DUMMYFUNCTION("""COMPUTED_VALUE"""),"https://dama.cz")</f>
        <v>https://dama.cz</v>
      </c>
      <c r="G450" s="3" t="str">
        <f ca="1">IFERROR(__xludf.DUMMYFUNCTION("""COMPUTED_VALUE"""),"branding cross-device high season")</f>
        <v>branding cross-device high season</v>
      </c>
      <c r="H450" s="3">
        <f ca="1">IFERROR(__xludf.DUMMYFUNCTION("""COMPUTED_VALUE"""),7)</f>
        <v>7</v>
      </c>
      <c r="I450" s="5">
        <f ca="1">IFERROR(__xludf.DUMMYFUNCTION("""COMPUTED_VALUE"""),1000)</f>
        <v>1000</v>
      </c>
      <c r="J450" s="5">
        <f ca="1">IFERROR(__xludf.DUMMYFUNCTION("""COMPUTED_VALUE"""),540)</f>
        <v>540</v>
      </c>
      <c r="K450" s="3"/>
      <c r="L450" s="3" t="str">
        <f ca="1">IFERROR(__xludf.DUMMYFUNCTION("""COMPUTED_VALUE"""),"Cost per period")</f>
        <v>Cost per period</v>
      </c>
      <c r="M450" s="3"/>
      <c r="N450" s="3"/>
      <c r="O450" s="3" t="str">
        <f ca="1">IFERROR(__xludf.DUMMYFUNCTION("""COMPUTED_VALUE"""),"2000")</f>
        <v>2000</v>
      </c>
      <c r="P450" s="3" t="str">
        <f ca="1">IFERROR(__xludf.DUMMYFUNCTION("""COMPUTED_VALUE"""),"1400")</f>
        <v>1400</v>
      </c>
      <c r="Q450" s="3" t="str">
        <f ca="1">IFERROR(__xludf.DUMMYFUNCTION("""COMPUTED_VALUE"""),"2000x1400 + 600x1080")</f>
        <v>2000x1400 + 600x1080</v>
      </c>
      <c r="R450" s="3"/>
      <c r="S450" s="3" t="str">
        <f ca="1">IFERROR(__xludf.DUMMYFUNCTION("""COMPUTED_VALUE"""),"500 (600 - HTLM5)")</f>
        <v>500 (600 - HTLM5)</v>
      </c>
      <c r="T450" s="3"/>
      <c r="U450" s="3" t="str">
        <f ca="1">IFERROR(__xludf.DUMMYFUNCTION("""COMPUTED_VALUE"""),"banner standard")</f>
        <v>banner standard</v>
      </c>
      <c r="V450" s="3"/>
      <c r="W450" s="4" t="str">
        <f ca="1">IFERROR(__xludf.DUMMYFUNCTION("""COMPUTED_VALUE"""),"https://reklama.cncenter.cz/Online/branding-cross-device")</f>
        <v>https://reklama.cncenter.cz/Online/branding-cross-device</v>
      </c>
      <c r="X450" s="3"/>
      <c r="Y450" s="3"/>
      <c r="Z450" s="3" t="str">
        <f ca="1">IFERROR(__xludf.DUMMYFUNCTION("""COMPUTED_VALUE"""),"podklady@cncenter.cz")</f>
        <v>podklady@cncenter.cz</v>
      </c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 t="str">
        <f ca="1">IFERROR(__xludf.DUMMYFUNCTION("""COMPUTED_VALUE"""),"cross-device")</f>
        <v>cross-device</v>
      </c>
      <c r="AO450" s="3"/>
      <c r="AP450" s="3"/>
      <c r="AQ450" s="3"/>
      <c r="AR450" s="3"/>
      <c r="AS450" s="3"/>
      <c r="AT450" s="3"/>
      <c r="AU450" s="3" t="str">
        <f ca="1">IFERROR(__xludf.DUMMYFUNCTION("""COMPUTED_VALUE"""),"branding cross-device")</f>
        <v>branding cross-device</v>
      </c>
    </row>
    <row r="451" spans="1:47" x14ac:dyDescent="0.3">
      <c r="A451" s="3">
        <f ca="1"/>
        <v>2346826</v>
      </c>
      <c r="B451" s="3" t="str">
        <f ca="1"/>
        <v>CZECH NEWS CENTER a. s.</v>
      </c>
      <c r="C451" s="3" t="str">
        <f ca="1">IFERROR(__xludf.DUMMYFUNCTION("""COMPUTED_VALUE"""),"Dáma")</f>
        <v>Dáma</v>
      </c>
      <c r="D451" s="4" t="str">
        <f ca="1">IFERROR(__xludf.DUMMYFUNCTION("""COMPUTED_VALUE"""),"https://dama.cz")</f>
        <v>https://dama.cz</v>
      </c>
      <c r="E451" s="3" t="str">
        <f ca="1">IFERROR(__xludf.DUMMYFUNCTION("""COMPUTED_VALUE"""),"celý web")</f>
        <v>celý web</v>
      </c>
      <c r="F451" s="4" t="str">
        <f ca="1">IFERROR(__xludf.DUMMYFUNCTION("""COMPUTED_VALUE"""),"https://dama.cz")</f>
        <v>https://dama.cz</v>
      </c>
      <c r="G451" s="3" t="str">
        <f ca="1">IFERROR(__xludf.DUMMYFUNCTION("""COMPUTED_VALUE"""),"branding high season")</f>
        <v>branding high season</v>
      </c>
      <c r="H451" s="3">
        <f ca="1">IFERROR(__xludf.DUMMYFUNCTION("""COMPUTED_VALUE"""),7)</f>
        <v>7</v>
      </c>
      <c r="I451" s="5">
        <f ca="1">IFERROR(__xludf.DUMMYFUNCTION("""COMPUTED_VALUE"""),1000)</f>
        <v>1000</v>
      </c>
      <c r="J451" s="5">
        <f ca="1">IFERROR(__xludf.DUMMYFUNCTION("""COMPUTED_VALUE"""),890)</f>
        <v>890</v>
      </c>
      <c r="K451" s="3"/>
      <c r="L451" s="3" t="str">
        <f ca="1">IFERROR(__xludf.DUMMYFUNCTION("""COMPUTED_VALUE"""),"Cost per period")</f>
        <v>Cost per period</v>
      </c>
      <c r="M451" s="3"/>
      <c r="N451" s="3"/>
      <c r="O451" s="3" t="str">
        <f ca="1">IFERROR(__xludf.DUMMYFUNCTION("""COMPUTED_VALUE"""),"2000")</f>
        <v>2000</v>
      </c>
      <c r="P451" s="3" t="str">
        <f ca="1">IFERROR(__xludf.DUMMYFUNCTION("""COMPUTED_VALUE"""),"1400")</f>
        <v>1400</v>
      </c>
      <c r="Q451" s="3" t="str">
        <f ca="1">IFERROR(__xludf.DUMMYFUNCTION("""COMPUTED_VALUE"""),"2000x1400")</f>
        <v>2000x1400</v>
      </c>
      <c r="R451" s="3"/>
      <c r="S451" s="3" t="str">
        <f ca="1">IFERROR(__xludf.DUMMYFUNCTION("""COMPUTED_VALUE"""),"500 + 200 (600+200 HTML5)")</f>
        <v>500 + 200 (600+200 HTML5)</v>
      </c>
      <c r="T451" s="3"/>
      <c r="U451" s="3" t="str">
        <f ca="1">IFERROR(__xludf.DUMMYFUNCTION("""COMPUTED_VALUE"""),"banner standard")</f>
        <v>banner standard</v>
      </c>
      <c r="V451" s="3"/>
      <c r="W451" s="4" t="str">
        <f ca="1">IFERROR(__xludf.DUMMYFUNCTION("""COMPUTED_VALUE"""),"https://reklama.cncenter.cz/Online/branding")</f>
        <v>https://reklama.cncenter.cz/Online/branding</v>
      </c>
      <c r="X451" s="3"/>
      <c r="Y451" s="3"/>
      <c r="Z451" s="3" t="str">
        <f ca="1">IFERROR(__xludf.DUMMYFUNCTION("""COMPUTED_VALUE"""),"podklady@cncenter.cz")</f>
        <v>podklady@cncenter.cz</v>
      </c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 t="str">
        <f ca="1">IFERROR(__xludf.DUMMYFUNCTION("""COMPUTED_VALUE"""),"desktop")</f>
        <v>desktop</v>
      </c>
      <c r="AO451" s="3"/>
      <c r="AP451" s="3"/>
      <c r="AQ451" s="3"/>
      <c r="AR451" s="3"/>
      <c r="AS451" s="3"/>
      <c r="AT451" s="3"/>
      <c r="AU451" s="3" t="str">
        <f ca="1">IFERROR(__xludf.DUMMYFUNCTION("""COMPUTED_VALUE"""),"branding")</f>
        <v>branding</v>
      </c>
    </row>
    <row r="452" spans="1:47" x14ac:dyDescent="0.3">
      <c r="A452" s="3">
        <f ca="1"/>
        <v>2346826</v>
      </c>
      <c r="B452" s="3" t="str">
        <f ca="1"/>
        <v>CZECH NEWS CENTER a. s.</v>
      </c>
      <c r="C452" s="3" t="str">
        <f ca="1">IFERROR(__xludf.DUMMYFUNCTION("""COMPUTED_VALUE"""),"Dáma")</f>
        <v>Dáma</v>
      </c>
      <c r="D452" s="4" t="str">
        <f ca="1">IFERROR(__xludf.DUMMYFUNCTION("""COMPUTED_VALUE"""),"https://dama.cz")</f>
        <v>https://dama.cz</v>
      </c>
      <c r="E452" s="3" t="str">
        <f ca="1">IFERROR(__xludf.DUMMYFUNCTION("""COMPUTED_VALUE"""),"celý web")</f>
        <v>celý web</v>
      </c>
      <c r="F452" s="4" t="str">
        <f ca="1">IFERROR(__xludf.DUMMYFUNCTION("""COMPUTED_VALUE"""),"https://dama.cz")</f>
        <v>https://dama.cz</v>
      </c>
      <c r="G452" s="3" t="str">
        <f ca="1">IFERROR(__xludf.DUMMYFUNCTION("""COMPUTED_VALUE"""),"cílený billboard bottom high season")</f>
        <v>cílený billboard bottom high season</v>
      </c>
      <c r="H452" s="3">
        <f ca="1">IFERROR(__xludf.DUMMYFUNCTION("""COMPUTED_VALUE"""),7)</f>
        <v>7</v>
      </c>
      <c r="I452" s="5">
        <f ca="1">IFERROR(__xludf.DUMMYFUNCTION("""COMPUTED_VALUE"""),1000)</f>
        <v>1000</v>
      </c>
      <c r="J452" s="5">
        <f ca="1">IFERROR(__xludf.DUMMYFUNCTION("""COMPUTED_VALUE"""),528)</f>
        <v>528</v>
      </c>
      <c r="K452" s="3"/>
      <c r="L452" s="3" t="str">
        <f ca="1">IFERROR(__xludf.DUMMYFUNCTION("""COMPUTED_VALUE"""),"Cost per period")</f>
        <v>Cost per period</v>
      </c>
      <c r="M452" s="3"/>
      <c r="N452" s="3"/>
      <c r="O452" s="3" t="str">
        <f ca="1">IFERROR(__xludf.DUMMYFUNCTION("""COMPUTED_VALUE"""),"970")</f>
        <v>970</v>
      </c>
      <c r="P452" s="3" t="str">
        <f ca="1">IFERROR(__xludf.DUMMYFUNCTION("""COMPUTED_VALUE"""),"250")</f>
        <v>250</v>
      </c>
      <c r="Q452" s="3" t="str">
        <f ca="1">IFERROR(__xludf.DUMMYFUNCTION("""COMPUTED_VALUE"""),"970x250")</f>
        <v>970x250</v>
      </c>
      <c r="R452" s="3"/>
      <c r="S452" s="3" t="str">
        <f ca="1">IFERROR(__xludf.DUMMYFUNCTION("""COMPUTED_VALUE"""),"100 (200 - HTML5)")</f>
        <v>100 (200 - HTML5)</v>
      </c>
      <c r="T452" s="3"/>
      <c r="U452" s="3" t="str">
        <f ca="1">IFERROR(__xludf.DUMMYFUNCTION("""COMPUTED_VALUE"""),"banner standard")</f>
        <v>banner standard</v>
      </c>
      <c r="V452" s="3"/>
      <c r="W452" s="4" t="str">
        <f ca="1">IFERROR(__xludf.DUMMYFUNCTION("""COMPUTED_VALUE"""),"https://reklama.cncenter.cz/Online/billboard-bottom")</f>
        <v>https://reklama.cncenter.cz/Online/billboard-bottom</v>
      </c>
      <c r="X452" s="3"/>
      <c r="Y452" s="3"/>
      <c r="Z452" s="3" t="str">
        <f ca="1">IFERROR(__xludf.DUMMYFUNCTION("""COMPUTED_VALUE"""),"podklady@cncenter.cz")</f>
        <v>podklady@cncenter.cz</v>
      </c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 t="str">
        <f ca="1">IFERROR(__xludf.DUMMYFUNCTION("""COMPUTED_VALUE"""),"desktop")</f>
        <v>desktop</v>
      </c>
      <c r="AO452" s="3"/>
      <c r="AP452" s="3"/>
      <c r="AQ452" s="3"/>
      <c r="AR452" s="3"/>
      <c r="AS452" s="3"/>
      <c r="AT452" s="3"/>
      <c r="AU452" s="3" t="str">
        <f ca="1">IFERROR(__xludf.DUMMYFUNCTION("""COMPUTED_VALUE"""),"cílený billboard bottom")</f>
        <v>cílený billboard bottom</v>
      </c>
    </row>
    <row r="453" spans="1:47" x14ac:dyDescent="0.3">
      <c r="A453" s="3">
        <f ca="1"/>
        <v>2346826</v>
      </c>
      <c r="B453" s="3" t="str">
        <f ca="1"/>
        <v>CZECH NEWS CENTER a. s.</v>
      </c>
      <c r="C453" s="3" t="str">
        <f ca="1">IFERROR(__xludf.DUMMYFUNCTION("""COMPUTED_VALUE"""),"Dáma")</f>
        <v>Dáma</v>
      </c>
      <c r="D453" s="4" t="str">
        <f ca="1">IFERROR(__xludf.DUMMYFUNCTION("""COMPUTED_VALUE"""),"https://dama.cz")</f>
        <v>https://dama.cz</v>
      </c>
      <c r="E453" s="3" t="str">
        <f ca="1">IFERROR(__xludf.DUMMYFUNCTION("""COMPUTED_VALUE"""),"celý web")</f>
        <v>celý web</v>
      </c>
      <c r="F453" s="4" t="str">
        <f ca="1">IFERROR(__xludf.DUMMYFUNCTION("""COMPUTED_VALUE"""),"https://dama.cz")</f>
        <v>https://dama.cz</v>
      </c>
      <c r="G453" s="3" t="str">
        <f ca="1">IFERROR(__xludf.DUMMYFUNCTION("""COMPUTED_VALUE"""),"cílený branding cross-device high season")</f>
        <v>cílený branding cross-device high season</v>
      </c>
      <c r="H453" s="3">
        <f ca="1">IFERROR(__xludf.DUMMYFUNCTION("""COMPUTED_VALUE"""),7)</f>
        <v>7</v>
      </c>
      <c r="I453" s="5">
        <f ca="1">IFERROR(__xludf.DUMMYFUNCTION("""COMPUTED_VALUE"""),1000)</f>
        <v>1000</v>
      </c>
      <c r="J453" s="5">
        <f ca="1">IFERROR(__xludf.DUMMYFUNCTION("""COMPUTED_VALUE"""),648)</f>
        <v>648</v>
      </c>
      <c r="K453" s="3"/>
      <c r="L453" s="3" t="str">
        <f ca="1">IFERROR(__xludf.DUMMYFUNCTION("""COMPUTED_VALUE"""),"Cost per period")</f>
        <v>Cost per period</v>
      </c>
      <c r="M453" s="3"/>
      <c r="N453" s="3"/>
      <c r="O453" s="3" t="str">
        <f ca="1">IFERROR(__xludf.DUMMYFUNCTION("""COMPUTED_VALUE"""),"2000")</f>
        <v>2000</v>
      </c>
      <c r="P453" s="3" t="str">
        <f ca="1">IFERROR(__xludf.DUMMYFUNCTION("""COMPUTED_VALUE"""),"1400")</f>
        <v>1400</v>
      </c>
      <c r="Q453" s="3" t="str">
        <f ca="1">IFERROR(__xludf.DUMMYFUNCTION("""COMPUTED_VALUE"""),"2000x1400 + 600x1080")</f>
        <v>2000x1400 + 600x1080</v>
      </c>
      <c r="R453" s="3"/>
      <c r="S453" s="3" t="str">
        <f ca="1">IFERROR(__xludf.DUMMYFUNCTION("""COMPUTED_VALUE"""),"500 (600 - HTLM5)")</f>
        <v>500 (600 - HTLM5)</v>
      </c>
      <c r="T453" s="3"/>
      <c r="U453" s="3" t="str">
        <f ca="1">IFERROR(__xludf.DUMMYFUNCTION("""COMPUTED_VALUE"""),"banner standard")</f>
        <v>banner standard</v>
      </c>
      <c r="V453" s="3"/>
      <c r="W453" s="4" t="str">
        <f ca="1">IFERROR(__xludf.DUMMYFUNCTION("""COMPUTED_VALUE"""),"https://reklama.cncenter.cz/Online/branding-cross-device")</f>
        <v>https://reklama.cncenter.cz/Online/branding-cross-device</v>
      </c>
      <c r="X453" s="3"/>
      <c r="Y453" s="3"/>
      <c r="Z453" s="3" t="str">
        <f ca="1">IFERROR(__xludf.DUMMYFUNCTION("""COMPUTED_VALUE"""),"podklady@cncenter.cz")</f>
        <v>podklady@cncenter.cz</v>
      </c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 t="str">
        <f ca="1">IFERROR(__xludf.DUMMYFUNCTION("""COMPUTED_VALUE"""),"cross-device")</f>
        <v>cross-device</v>
      </c>
      <c r="AO453" s="3"/>
      <c r="AP453" s="3"/>
      <c r="AQ453" s="3"/>
      <c r="AR453" s="3"/>
      <c r="AS453" s="3"/>
      <c r="AT453" s="3"/>
      <c r="AU453" s="3" t="str">
        <f ca="1">IFERROR(__xludf.DUMMYFUNCTION("""COMPUTED_VALUE"""),"cílený branding cross-device")</f>
        <v>cílený branding cross-device</v>
      </c>
    </row>
    <row r="454" spans="1:47" x14ac:dyDescent="0.3">
      <c r="A454" s="3">
        <f ca="1"/>
        <v>2346826</v>
      </c>
      <c r="B454" s="3" t="str">
        <f ca="1"/>
        <v>CZECH NEWS CENTER a. s.</v>
      </c>
      <c r="C454" s="3" t="str">
        <f ca="1">IFERROR(__xludf.DUMMYFUNCTION("""COMPUTED_VALUE"""),"Dáma")</f>
        <v>Dáma</v>
      </c>
      <c r="D454" s="4" t="str">
        <f ca="1">IFERROR(__xludf.DUMMYFUNCTION("""COMPUTED_VALUE"""),"https://dama.cz")</f>
        <v>https://dama.cz</v>
      </c>
      <c r="E454" s="3" t="str">
        <f ca="1">IFERROR(__xludf.DUMMYFUNCTION("""COMPUTED_VALUE"""),"celý web")</f>
        <v>celý web</v>
      </c>
      <c r="F454" s="4" t="str">
        <f ca="1">IFERROR(__xludf.DUMMYFUNCTION("""COMPUTED_VALUE"""),"https://dama.cz")</f>
        <v>https://dama.cz</v>
      </c>
      <c r="G454" s="3" t="str">
        <f ca="1">IFERROR(__xludf.DUMMYFUNCTION("""COMPUTED_VALUE"""),"cílený branding high season")</f>
        <v>cílený branding high season</v>
      </c>
      <c r="H454" s="3">
        <f ca="1">IFERROR(__xludf.DUMMYFUNCTION("""COMPUTED_VALUE"""),7)</f>
        <v>7</v>
      </c>
      <c r="I454" s="5">
        <f ca="1">IFERROR(__xludf.DUMMYFUNCTION("""COMPUTED_VALUE"""),1000)</f>
        <v>1000</v>
      </c>
      <c r="J454" s="5">
        <f ca="1">IFERROR(__xludf.DUMMYFUNCTION("""COMPUTED_VALUE"""),1068)</f>
        <v>1068</v>
      </c>
      <c r="K454" s="3"/>
      <c r="L454" s="3" t="str">
        <f ca="1">IFERROR(__xludf.DUMMYFUNCTION("""COMPUTED_VALUE"""),"Cost per period")</f>
        <v>Cost per period</v>
      </c>
      <c r="M454" s="3"/>
      <c r="N454" s="3"/>
      <c r="O454" s="3" t="str">
        <f ca="1">IFERROR(__xludf.DUMMYFUNCTION("""COMPUTED_VALUE"""),"2000")</f>
        <v>2000</v>
      </c>
      <c r="P454" s="3" t="str">
        <f ca="1">IFERROR(__xludf.DUMMYFUNCTION("""COMPUTED_VALUE"""),"1400")</f>
        <v>1400</v>
      </c>
      <c r="Q454" s="3" t="str">
        <f ca="1">IFERROR(__xludf.DUMMYFUNCTION("""COMPUTED_VALUE"""),"2000x1400")</f>
        <v>2000x1400</v>
      </c>
      <c r="R454" s="3"/>
      <c r="S454" s="3" t="str">
        <f ca="1">IFERROR(__xludf.DUMMYFUNCTION("""COMPUTED_VALUE"""),"500 + 200 (600+200 HTML5)")</f>
        <v>500 + 200 (600+200 HTML5)</v>
      </c>
      <c r="T454" s="3"/>
      <c r="U454" s="3" t="str">
        <f ca="1">IFERROR(__xludf.DUMMYFUNCTION("""COMPUTED_VALUE"""),"banner standard")</f>
        <v>banner standard</v>
      </c>
      <c r="V454" s="3"/>
      <c r="W454" s="4" t="str">
        <f ca="1">IFERROR(__xludf.DUMMYFUNCTION("""COMPUTED_VALUE"""),"https://reklama.cncenter.cz/Online/branding")</f>
        <v>https://reklama.cncenter.cz/Online/branding</v>
      </c>
      <c r="X454" s="3"/>
      <c r="Y454" s="3"/>
      <c r="Z454" s="3" t="str">
        <f ca="1">IFERROR(__xludf.DUMMYFUNCTION("""COMPUTED_VALUE"""),"podklady@cncenter.cz")</f>
        <v>podklady@cncenter.cz</v>
      </c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 t="str">
        <f ca="1">IFERROR(__xludf.DUMMYFUNCTION("""COMPUTED_VALUE"""),"desktop")</f>
        <v>desktop</v>
      </c>
      <c r="AO454" s="3"/>
      <c r="AP454" s="3"/>
      <c r="AQ454" s="3"/>
      <c r="AR454" s="3"/>
      <c r="AS454" s="3"/>
      <c r="AT454" s="3"/>
      <c r="AU454" s="3" t="str">
        <f ca="1">IFERROR(__xludf.DUMMYFUNCTION("""COMPUTED_VALUE"""),"cílený branding")</f>
        <v>cílený branding</v>
      </c>
    </row>
    <row r="455" spans="1:47" x14ac:dyDescent="0.3">
      <c r="A455" s="3">
        <f ca="1"/>
        <v>2346826</v>
      </c>
      <c r="B455" s="3" t="str">
        <f ca="1"/>
        <v>CZECH NEWS CENTER a. s.</v>
      </c>
      <c r="C455" s="3" t="str">
        <f ca="1">IFERROR(__xludf.DUMMYFUNCTION("""COMPUTED_VALUE"""),"Dáma")</f>
        <v>Dáma</v>
      </c>
      <c r="D455" s="4" t="str">
        <f ca="1">IFERROR(__xludf.DUMMYFUNCTION("""COMPUTED_VALUE"""),"https://dama.cz")</f>
        <v>https://dama.cz</v>
      </c>
      <c r="E455" s="3" t="str">
        <f ca="1">IFERROR(__xludf.DUMMYFUNCTION("""COMPUTED_VALUE"""),"celý web")</f>
        <v>celý web</v>
      </c>
      <c r="F455" s="4" t="str">
        <f ca="1">IFERROR(__xludf.DUMMYFUNCTION("""COMPUTED_VALUE"""),"https://dama.cz")</f>
        <v>https://dama.cz</v>
      </c>
      <c r="G455" s="3" t="str">
        <f ca="1">IFERROR(__xludf.DUMMYFUNCTION("""COMPUTED_VALUE"""),"cílený double skyscraper high season")</f>
        <v>cílený double skyscraper high season</v>
      </c>
      <c r="H455" s="3">
        <f ca="1">IFERROR(__xludf.DUMMYFUNCTION("""COMPUTED_VALUE"""),7)</f>
        <v>7</v>
      </c>
      <c r="I455" s="5">
        <f ca="1">IFERROR(__xludf.DUMMYFUNCTION("""COMPUTED_VALUE"""),1000)</f>
        <v>1000</v>
      </c>
      <c r="J455" s="5">
        <f ca="1">IFERROR(__xludf.DUMMYFUNCTION("""COMPUTED_VALUE"""),420)</f>
        <v>420</v>
      </c>
      <c r="K455" s="3"/>
      <c r="L455" s="3" t="str">
        <f ca="1">IFERROR(__xludf.DUMMYFUNCTION("""COMPUTED_VALUE"""),"Cost per period")</f>
        <v>Cost per period</v>
      </c>
      <c r="M455" s="3"/>
      <c r="N455" s="3"/>
      <c r="O455" s="3" t="str">
        <f ca="1">IFERROR(__xludf.DUMMYFUNCTION("""COMPUTED_VALUE"""),"300")</f>
        <v>300</v>
      </c>
      <c r="P455" s="3" t="str">
        <f ca="1">IFERROR(__xludf.DUMMYFUNCTION("""COMPUTED_VALUE"""),"600")</f>
        <v>600</v>
      </c>
      <c r="Q455" s="3" t="str">
        <f ca="1">IFERROR(__xludf.DUMMYFUNCTION("""COMPUTED_VALUE"""),"300x600")</f>
        <v>300x600</v>
      </c>
      <c r="R455" s="3"/>
      <c r="S455" s="3" t="str">
        <f ca="1">IFERROR(__xludf.DUMMYFUNCTION("""COMPUTED_VALUE"""),"100 (200 - HTML5)")</f>
        <v>100 (200 - HTML5)</v>
      </c>
      <c r="T455" s="3"/>
      <c r="U455" s="3" t="str">
        <f ca="1">IFERROR(__xludf.DUMMYFUNCTION("""COMPUTED_VALUE"""),"banner standard")</f>
        <v>banner standard</v>
      </c>
      <c r="V455" s="3"/>
      <c r="W455" s="4" t="str">
        <f ca="1">IFERROR(__xludf.DUMMYFUNCTION("""COMPUTED_VALUE"""),"https://reklama.cncenter.cz/Online/double-skyscraper")</f>
        <v>https://reklama.cncenter.cz/Online/double-skyscraper</v>
      </c>
      <c r="X455" s="3"/>
      <c r="Y455" s="3"/>
      <c r="Z455" s="3" t="str">
        <f ca="1">IFERROR(__xludf.DUMMYFUNCTION("""COMPUTED_VALUE"""),"podklady@cncenter.cz")</f>
        <v>podklady@cncenter.cz</v>
      </c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 t="str">
        <f ca="1">IFERROR(__xludf.DUMMYFUNCTION("""COMPUTED_VALUE"""),"desktop")</f>
        <v>desktop</v>
      </c>
      <c r="AO455" s="3"/>
      <c r="AP455" s="3"/>
      <c r="AQ455" s="3"/>
      <c r="AR455" s="3"/>
      <c r="AS455" s="3"/>
      <c r="AT455" s="3"/>
      <c r="AU455" s="3" t="str">
        <f ca="1">IFERROR(__xludf.DUMMYFUNCTION("""COMPUTED_VALUE"""),"cílený double skyscraper")</f>
        <v>cílený double skyscraper</v>
      </c>
    </row>
    <row r="456" spans="1:47" x14ac:dyDescent="0.3">
      <c r="A456" s="3">
        <f ca="1"/>
        <v>2346826</v>
      </c>
      <c r="B456" s="3" t="str">
        <f ca="1"/>
        <v>CZECH NEWS CENTER a. s.</v>
      </c>
      <c r="C456" s="3" t="str">
        <f ca="1">IFERROR(__xludf.DUMMYFUNCTION("""COMPUTED_VALUE"""),"Dáma")</f>
        <v>Dáma</v>
      </c>
      <c r="D456" s="4" t="str">
        <f ca="1">IFERROR(__xludf.DUMMYFUNCTION("""COMPUTED_VALUE"""),"https://dama.cz")</f>
        <v>https://dama.cz</v>
      </c>
      <c r="E456" s="3" t="str">
        <f ca="1">IFERROR(__xludf.DUMMYFUNCTION("""COMPUTED_VALUE"""),"celý web")</f>
        <v>celý web</v>
      </c>
      <c r="F456" s="4" t="str">
        <f ca="1">IFERROR(__xludf.DUMMYFUNCTION("""COMPUTED_VALUE"""),"https://dama.cz")</f>
        <v>https://dama.cz</v>
      </c>
      <c r="G456" s="3" t="str">
        <f ca="1">IFERROR(__xludf.DUMMYFUNCTION("""COMPUTED_VALUE"""),"cílený mini videospot - max. 30 sec. high season")</f>
        <v>cílený mini videospot - max. 30 sec. high season</v>
      </c>
      <c r="H456" s="3">
        <f ca="1">IFERROR(__xludf.DUMMYFUNCTION("""COMPUTED_VALUE"""),7)</f>
        <v>7</v>
      </c>
      <c r="I456" s="5">
        <f ca="1">IFERROR(__xludf.DUMMYFUNCTION("""COMPUTED_VALUE"""),1000)</f>
        <v>1000</v>
      </c>
      <c r="J456" s="5">
        <f ca="1">IFERROR(__xludf.DUMMYFUNCTION("""COMPUTED_VALUE"""),312)</f>
        <v>312</v>
      </c>
      <c r="K456" s="3"/>
      <c r="L456" s="3" t="str">
        <f ca="1">IFERROR(__xludf.DUMMYFUNCTION("""COMPUTED_VALUE"""),"Cost per period")</f>
        <v>Cost per period</v>
      </c>
      <c r="M456" s="3"/>
      <c r="N456" s="3"/>
      <c r="O456" s="3"/>
      <c r="P456" s="3"/>
      <c r="Q456" s="3" t="str">
        <f ca="1">IFERROR(__xludf.DUMMYFUNCTION("""COMPUTED_VALUE"""),"16:9 / umístění po domluvě dle možností")</f>
        <v>16:9 / umístění po domluvě dle možností</v>
      </c>
      <c r="R456" s="3" t="str">
        <f ca="1">IFERROR(__xludf.DUMMYFUNCTION("""COMPUTED_VALUE"""),"přeskočení po 7 sekundách")</f>
        <v>přeskočení po 7 sekundách</v>
      </c>
      <c r="S456" s="3" t="str">
        <f ca="1">IFERROR(__xludf.DUMMYFUNCTION("""COMPUTED_VALUE"""),"100")</f>
        <v>100</v>
      </c>
      <c r="T456" s="3"/>
      <c r="U456" s="3" t="str">
        <f ca="1">IFERROR(__xludf.DUMMYFUNCTION("""COMPUTED_VALUE"""),"videospot")</f>
        <v>videospot</v>
      </c>
      <c r="V456" s="3"/>
      <c r="W456" s="4" t="str">
        <f ca="1">IFERROR(__xludf.DUMMYFUNCTION("""COMPUTED_VALUE"""),"https://reklama.cncenter.cz/Online/Videospot")</f>
        <v>https://reklama.cncenter.cz/Online/Videospot</v>
      </c>
      <c r="X456" s="3"/>
      <c r="Y456" s="3"/>
      <c r="Z456" s="3" t="str">
        <f ca="1">IFERROR(__xludf.DUMMYFUNCTION("""COMPUTED_VALUE"""),"podklady@cncenter.cz")</f>
        <v>podklady@cncenter.cz</v>
      </c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 t="str">
        <f ca="1">IFERROR(__xludf.DUMMYFUNCTION("""COMPUTED_VALUE"""),"desktop")</f>
        <v>desktop</v>
      </c>
      <c r="AO456" s="3"/>
      <c r="AP456" s="3"/>
      <c r="AQ456" s="3"/>
      <c r="AR456" s="3"/>
      <c r="AS456" s="3"/>
      <c r="AT456" s="3"/>
      <c r="AU456" s="3" t="str">
        <f ca="1">IFERROR(__xludf.DUMMYFUNCTION("""COMPUTED_VALUE"""),"cílený mini videospot - max. 30 sec.")</f>
        <v>cílený mini videospot - max. 30 sec.</v>
      </c>
    </row>
    <row r="457" spans="1:47" x14ac:dyDescent="0.3">
      <c r="A457" s="3">
        <f ca="1"/>
        <v>2346826</v>
      </c>
      <c r="B457" s="3" t="str">
        <f ca="1"/>
        <v>CZECH NEWS CENTER a. s.</v>
      </c>
      <c r="C457" s="3" t="str">
        <f ca="1">IFERROR(__xludf.DUMMYFUNCTION("""COMPUTED_VALUE"""),"Dáma")</f>
        <v>Dáma</v>
      </c>
      <c r="D457" s="4" t="str">
        <f ca="1">IFERROR(__xludf.DUMMYFUNCTION("""COMPUTED_VALUE"""),"https://dama.cz")</f>
        <v>https://dama.cz</v>
      </c>
      <c r="E457" s="3" t="str">
        <f ca="1">IFERROR(__xludf.DUMMYFUNCTION("""COMPUTED_VALUE"""),"celý web")</f>
        <v>celý web</v>
      </c>
      <c r="F457" s="4" t="str">
        <f ca="1">IFERROR(__xludf.DUMMYFUNCTION("""COMPUTED_VALUE"""),"https://dama.cz")</f>
        <v>https://dama.cz</v>
      </c>
      <c r="G457" s="3" t="str">
        <f ca="1">IFERROR(__xludf.DUMMYFUNCTION("""COMPUTED_VALUE"""),"cílený mobilní interscroller high season")</f>
        <v>cílený mobilní interscroller high season</v>
      </c>
      <c r="H457" s="3">
        <f ca="1">IFERROR(__xludf.DUMMYFUNCTION("""COMPUTED_VALUE"""),7)</f>
        <v>7</v>
      </c>
      <c r="I457" s="5">
        <f ca="1">IFERROR(__xludf.DUMMYFUNCTION("""COMPUTED_VALUE"""),1000)</f>
        <v>1000</v>
      </c>
      <c r="J457" s="5">
        <f ca="1">IFERROR(__xludf.DUMMYFUNCTION("""COMPUTED_VALUE"""),540)</f>
        <v>540</v>
      </c>
      <c r="K457" s="3"/>
      <c r="L457" s="3" t="str">
        <f ca="1">IFERROR(__xludf.DUMMYFUNCTION("""COMPUTED_VALUE"""),"Cost per period")</f>
        <v>Cost per period</v>
      </c>
      <c r="M457" s="3"/>
      <c r="N457" s="3"/>
      <c r="O457" s="3" t="str">
        <f ca="1">IFERROR(__xludf.DUMMYFUNCTION("""COMPUTED_VALUE"""),"600")</f>
        <v>600</v>
      </c>
      <c r="P457" s="3" t="str">
        <f ca="1">IFERROR(__xludf.DUMMYFUNCTION("""COMPUTED_VALUE"""),"1080")</f>
        <v>1080</v>
      </c>
      <c r="Q457" s="3" t="str">
        <f ca="1">IFERROR(__xludf.DUMMYFUNCTION("""COMPUTED_VALUE"""),"600x1080")</f>
        <v>600x1080</v>
      </c>
      <c r="R457" s="3"/>
      <c r="S457" s="3" t="str">
        <f ca="1">IFERROR(__xludf.DUMMYFUNCTION("""COMPUTED_VALUE"""),"200")</f>
        <v>200</v>
      </c>
      <c r="T457" s="3"/>
      <c r="U457" s="3" t="str">
        <f ca="1">IFERROR(__xludf.DUMMYFUNCTION("""COMPUTED_VALUE"""),"banner standard")</f>
        <v>banner standard</v>
      </c>
      <c r="V457" s="3"/>
      <c r="W457" s="4" t="str">
        <f ca="1">IFERROR(__xludf.DUMMYFUNCTION("""COMPUTED_VALUE"""),"https://reklama.cncenter.cz/Online/mobilni-interscroller")</f>
        <v>https://reklama.cncenter.cz/Online/mobilni-interscroller</v>
      </c>
      <c r="X457" s="3"/>
      <c r="Y457" s="3"/>
      <c r="Z457" s="3" t="str">
        <f ca="1">IFERROR(__xludf.DUMMYFUNCTION("""COMPUTED_VALUE"""),"podklady@cncenter.cz")</f>
        <v>podklady@cncenter.cz</v>
      </c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 t="str">
        <f ca="1">IFERROR(__xludf.DUMMYFUNCTION("""COMPUTED_VALUE"""),"mobile")</f>
        <v>mobile</v>
      </c>
      <c r="AO457" s="3"/>
      <c r="AP457" s="3"/>
      <c r="AQ457" s="3"/>
      <c r="AR457" s="3"/>
      <c r="AS457" s="3"/>
      <c r="AT457" s="3"/>
      <c r="AU457" s="3" t="str">
        <f ca="1">IFERROR(__xludf.DUMMYFUNCTION("""COMPUTED_VALUE"""),"cílený mobilní interscroller")</f>
        <v>cílený mobilní interscroller</v>
      </c>
    </row>
    <row r="458" spans="1:47" x14ac:dyDescent="0.3">
      <c r="A458" s="3">
        <f ca="1"/>
        <v>2346826</v>
      </c>
      <c r="B458" s="3" t="str">
        <f ca="1"/>
        <v>CZECH NEWS CENTER a. s.</v>
      </c>
      <c r="C458" s="3" t="str">
        <f ca="1">IFERROR(__xludf.DUMMYFUNCTION("""COMPUTED_VALUE"""),"Dáma")</f>
        <v>Dáma</v>
      </c>
      <c r="D458" s="4" t="str">
        <f ca="1">IFERROR(__xludf.DUMMYFUNCTION("""COMPUTED_VALUE"""),"https://dama.cz")</f>
        <v>https://dama.cz</v>
      </c>
      <c r="E458" s="3" t="str">
        <f ca="1">IFERROR(__xludf.DUMMYFUNCTION("""COMPUTED_VALUE"""),"celý web")</f>
        <v>celý web</v>
      </c>
      <c r="F458" s="4" t="str">
        <f ca="1">IFERROR(__xludf.DUMMYFUNCTION("""COMPUTED_VALUE"""),"https://dama.cz")</f>
        <v>https://dama.cz</v>
      </c>
      <c r="G458" s="3" t="str">
        <f ca="1">IFERROR(__xludf.DUMMYFUNCTION("""COMPUTED_VALUE"""),"cílený mobilní slide-up high season")</f>
        <v>cílený mobilní slide-up high season</v>
      </c>
      <c r="H458" s="3">
        <f ca="1">IFERROR(__xludf.DUMMYFUNCTION("""COMPUTED_VALUE"""),7)</f>
        <v>7</v>
      </c>
      <c r="I458" s="5">
        <f ca="1">IFERROR(__xludf.DUMMYFUNCTION("""COMPUTED_VALUE"""),1000)</f>
        <v>1000</v>
      </c>
      <c r="J458" s="5">
        <f ca="1">IFERROR(__xludf.DUMMYFUNCTION("""COMPUTED_VALUE"""),1104)</f>
        <v>1104</v>
      </c>
      <c r="K458" s="3"/>
      <c r="L458" s="3" t="str">
        <f ca="1">IFERROR(__xludf.DUMMYFUNCTION("""COMPUTED_VALUE"""),"Cost per period")</f>
        <v>Cost per period</v>
      </c>
      <c r="M458" s="3"/>
      <c r="N458" s="3"/>
      <c r="O458" s="3" t="str">
        <f ca="1">IFERROR(__xludf.DUMMYFUNCTION("""COMPUTED_VALUE"""),"300")</f>
        <v>300</v>
      </c>
      <c r="P458" s="3" t="str">
        <f ca="1">IFERROR(__xludf.DUMMYFUNCTION("""COMPUTED_VALUE"""),"120")</f>
        <v>120</v>
      </c>
      <c r="Q458" s="3" t="str">
        <f ca="1">IFERROR(__xludf.DUMMYFUNCTION("""COMPUTED_VALUE"""),"300x120")</f>
        <v>300x120</v>
      </c>
      <c r="R458" s="3"/>
      <c r="S458" s="3" t="str">
        <f ca="1">IFERROR(__xludf.DUMMYFUNCTION("""COMPUTED_VALUE"""),"100")</f>
        <v>100</v>
      </c>
      <c r="T458" s="3"/>
      <c r="U458" s="3" t="str">
        <f ca="1">IFERROR(__xludf.DUMMYFUNCTION("""COMPUTED_VALUE"""),"banner standard")</f>
        <v>banner standard</v>
      </c>
      <c r="V458" s="3"/>
      <c r="W458" s="4" t="str">
        <f ca="1">IFERROR(__xludf.DUMMYFUNCTION("""COMPUTED_VALUE"""),"https://reklama.cncenter.cz/Online/mobilni-slide-up")</f>
        <v>https://reklama.cncenter.cz/Online/mobilni-slide-up</v>
      </c>
      <c r="X458" s="3"/>
      <c r="Y458" s="3"/>
      <c r="Z458" s="3" t="str">
        <f ca="1">IFERROR(__xludf.DUMMYFUNCTION("""COMPUTED_VALUE"""),"podklady@cncenter.cz")</f>
        <v>podklady@cncenter.cz</v>
      </c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 t="str">
        <f ca="1">IFERROR(__xludf.DUMMYFUNCTION("""COMPUTED_VALUE"""),"mobile")</f>
        <v>mobile</v>
      </c>
      <c r="AO458" s="3"/>
      <c r="AP458" s="3"/>
      <c r="AQ458" s="3"/>
      <c r="AR458" s="3"/>
      <c r="AS458" s="3"/>
      <c r="AT458" s="3"/>
      <c r="AU458" s="3" t="str">
        <f ca="1">IFERROR(__xludf.DUMMYFUNCTION("""COMPUTED_VALUE"""),"cílený mobilní slide-up")</f>
        <v>cílený mobilní slide-up</v>
      </c>
    </row>
    <row r="459" spans="1:47" x14ac:dyDescent="0.3">
      <c r="A459" s="3">
        <f ca="1"/>
        <v>2346826</v>
      </c>
      <c r="B459" s="3" t="str">
        <f ca="1"/>
        <v>CZECH NEWS CENTER a. s.</v>
      </c>
      <c r="C459" s="3" t="str">
        <f ca="1">IFERROR(__xludf.DUMMYFUNCTION("""COMPUTED_VALUE"""),"Dáma")</f>
        <v>Dáma</v>
      </c>
      <c r="D459" s="4" t="str">
        <f ca="1">IFERROR(__xludf.DUMMYFUNCTION("""COMPUTED_VALUE"""),"https://dama.cz")</f>
        <v>https://dama.cz</v>
      </c>
      <c r="E459" s="3" t="str">
        <f ca="1">IFERROR(__xludf.DUMMYFUNCTION("""COMPUTED_VALUE"""),"celý web")</f>
        <v>celý web</v>
      </c>
      <c r="F459" s="4" t="str">
        <f ca="1">IFERROR(__xludf.DUMMYFUNCTION("""COMPUTED_VALUE"""),"https://dama.cz")</f>
        <v>https://dama.cz</v>
      </c>
      <c r="G459" s="3" t="str">
        <f ca="1">IFERROR(__xludf.DUMMYFUNCTION("""COMPUTED_VALUE"""),"cílený mobilní viněta high season")</f>
        <v>cílený mobilní viněta high season</v>
      </c>
      <c r="H459" s="3">
        <f ca="1">IFERROR(__xludf.DUMMYFUNCTION("""COMPUTED_VALUE"""),7)</f>
        <v>7</v>
      </c>
      <c r="I459" s="5">
        <f ca="1">IFERROR(__xludf.DUMMYFUNCTION("""COMPUTED_VALUE"""),1000)</f>
        <v>1000</v>
      </c>
      <c r="J459" s="5">
        <f ca="1">IFERROR(__xludf.DUMMYFUNCTION("""COMPUTED_VALUE"""),1908)</f>
        <v>1908</v>
      </c>
      <c r="K459" s="3"/>
      <c r="L459" s="3" t="str">
        <f ca="1">IFERROR(__xludf.DUMMYFUNCTION("""COMPUTED_VALUE"""),"Cost per period")</f>
        <v>Cost per period</v>
      </c>
      <c r="M459" s="3"/>
      <c r="N459" s="3"/>
      <c r="O459" s="3" t="str">
        <f ca="1">IFERROR(__xludf.DUMMYFUNCTION("""COMPUTED_VALUE"""),"600")</f>
        <v>600</v>
      </c>
      <c r="P459" s="3" t="str">
        <f ca="1">IFERROR(__xludf.DUMMYFUNCTION("""COMPUTED_VALUE"""),"800")</f>
        <v>800</v>
      </c>
      <c r="Q459" s="3" t="str">
        <f ca="1">IFERROR(__xludf.DUMMYFUNCTION("""COMPUTED_VALUE"""),"300x250 nebo 600x800")</f>
        <v>300x250 nebo 600x800</v>
      </c>
      <c r="R459" s="3"/>
      <c r="S459" s="3" t="str">
        <f ca="1">IFERROR(__xludf.DUMMYFUNCTION("""COMPUTED_VALUE"""),"100")</f>
        <v>100</v>
      </c>
      <c r="T459" s="3"/>
      <c r="U459" s="3" t="str">
        <f ca="1">IFERROR(__xludf.DUMMYFUNCTION("""COMPUTED_VALUE"""),"banner standard")</f>
        <v>banner standard</v>
      </c>
      <c r="V459" s="3"/>
      <c r="W459" s="4" t="str">
        <f ca="1">IFERROR(__xludf.DUMMYFUNCTION("""COMPUTED_VALUE"""),"https://reklama.cncenter.cz/Online/mobilni-vineta")</f>
        <v>https://reklama.cncenter.cz/Online/mobilni-vineta</v>
      </c>
      <c r="X459" s="3"/>
      <c r="Y459" s="3"/>
      <c r="Z459" s="3" t="str">
        <f ca="1">IFERROR(__xludf.DUMMYFUNCTION("""COMPUTED_VALUE"""),"podklady@cncenter.cz")</f>
        <v>podklady@cncenter.cz</v>
      </c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 t="str">
        <f ca="1">IFERROR(__xludf.DUMMYFUNCTION("""COMPUTED_VALUE"""),"mobile")</f>
        <v>mobile</v>
      </c>
      <c r="AO459" s="3"/>
      <c r="AP459" s="3"/>
      <c r="AQ459" s="3"/>
      <c r="AR459" s="3"/>
      <c r="AS459" s="3"/>
      <c r="AT459" s="3"/>
      <c r="AU459" s="3" t="str">
        <f ca="1">IFERROR(__xludf.DUMMYFUNCTION("""COMPUTED_VALUE"""),"cílený mobilní viněta")</f>
        <v>cílený mobilní viněta</v>
      </c>
    </row>
    <row r="460" spans="1:47" x14ac:dyDescent="0.3">
      <c r="A460" s="3">
        <f ca="1"/>
        <v>2346826</v>
      </c>
      <c r="B460" s="3" t="str">
        <f ca="1"/>
        <v>CZECH NEWS CENTER a. s.</v>
      </c>
      <c r="C460" s="3" t="str">
        <f ca="1">IFERROR(__xludf.DUMMYFUNCTION("""COMPUTED_VALUE"""),"Dáma")</f>
        <v>Dáma</v>
      </c>
      <c r="D460" s="4" t="str">
        <f ca="1">IFERROR(__xludf.DUMMYFUNCTION("""COMPUTED_VALUE"""),"https://dama.cz")</f>
        <v>https://dama.cz</v>
      </c>
      <c r="E460" s="3" t="str">
        <f ca="1">IFERROR(__xludf.DUMMYFUNCTION("""COMPUTED_VALUE"""),"celý web")</f>
        <v>celý web</v>
      </c>
      <c r="F460" s="4" t="str">
        <f ca="1">IFERROR(__xludf.DUMMYFUNCTION("""COMPUTED_VALUE"""),"https://dama.cz")</f>
        <v>https://dama.cz</v>
      </c>
      <c r="G460" s="3" t="str">
        <f ca="1">IFERROR(__xludf.DUMMYFUNCTION("""COMPUTED_VALUE"""),"cílený nativní pr premium high season")</f>
        <v>cílený nativní pr premium high season</v>
      </c>
      <c r="H460" s="3">
        <f ca="1">IFERROR(__xludf.DUMMYFUNCTION("""COMPUTED_VALUE"""),7)</f>
        <v>7</v>
      </c>
      <c r="I460" s="5">
        <f ca="1">IFERROR(__xludf.DUMMYFUNCTION("""COMPUTED_VALUE"""),1000)</f>
        <v>1000</v>
      </c>
      <c r="J460" s="5">
        <f ca="1">IFERROR(__xludf.DUMMYFUNCTION("""COMPUTED_VALUE"""),216)</f>
        <v>216</v>
      </c>
      <c r="K460" s="3"/>
      <c r="L460" s="3" t="str">
        <f ca="1">IFERROR(__xludf.DUMMYFUNCTION("""COMPUTED_VALUE"""),"Cost per period")</f>
        <v>Cost per period</v>
      </c>
      <c r="M460" s="3"/>
      <c r="N460" s="3"/>
      <c r="O460" s="3" t="str">
        <f ca="1">IFERROR(__xludf.DUMMYFUNCTION("""COMPUTED_VALUE"""),"640")</f>
        <v>640</v>
      </c>
      <c r="P460" s="3" t="str">
        <f ca="1">IFERROR(__xludf.DUMMYFUNCTION("""COMPUTED_VALUE"""),"335, 640")</f>
        <v>335, 640</v>
      </c>
      <c r="Q460" s="3" t="str">
        <f ca="1">IFERROR(__xludf.DUMMYFUNCTION("""COMPUTED_VALUE"""),"640x640 a 640x335 + text + logo")</f>
        <v>640x640 a 640x335 + text + logo</v>
      </c>
      <c r="R460" s="3" t="str">
        <f ca="1">IFERROR(__xludf.DUMMYFUNCTION("""COMPUTED_VALUE"""),"detailní specifikace na URL odkaze")</f>
        <v>detailní specifikace na URL odkaze</v>
      </c>
      <c r="S460" s="3" t="str">
        <f ca="1">IFERROR(__xludf.DUMMYFUNCTION("""COMPUTED_VALUE"""),"100")</f>
        <v>100</v>
      </c>
      <c r="T460" s="3"/>
      <c r="U460" s="3" t="str">
        <f ca="1">IFERROR(__xludf.DUMMYFUNCTION("""COMPUTED_VALUE"""),"nativní reklama")</f>
        <v>nativní reklama</v>
      </c>
      <c r="V460" s="3"/>
      <c r="W460" s="4" t="str">
        <f ca="1">IFERROR(__xludf.DUMMYFUNCTION("""COMPUTED_VALUE"""),"https://reklama.cncenter.cz/Online/nativni-PR-premium")</f>
        <v>https://reklama.cncenter.cz/Online/nativni-PR-premium</v>
      </c>
      <c r="X460" s="3"/>
      <c r="Y460" s="3"/>
      <c r="Z460" s="3" t="str">
        <f ca="1">IFERROR(__xludf.DUMMYFUNCTION("""COMPUTED_VALUE"""),"podklady@cncenter.cz")</f>
        <v>podklady@cncenter.cz</v>
      </c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 t="str">
        <f ca="1">IFERROR(__xludf.DUMMYFUNCTION("""COMPUTED_VALUE"""),"cross-device")</f>
        <v>cross-device</v>
      </c>
      <c r="AO460" s="3"/>
      <c r="AP460" s="3"/>
      <c r="AQ460" s="3"/>
      <c r="AR460" s="3"/>
      <c r="AS460" s="3"/>
      <c r="AT460" s="3"/>
      <c r="AU460" s="3" t="str">
        <f ca="1">IFERROR(__xludf.DUMMYFUNCTION("""COMPUTED_VALUE"""),"cílený nativní pr premium")</f>
        <v>cílený nativní pr premium</v>
      </c>
    </row>
    <row r="461" spans="1:47" x14ac:dyDescent="0.3">
      <c r="A461" s="3">
        <f ca="1"/>
        <v>2346826</v>
      </c>
      <c r="B461" s="3" t="str">
        <f ca="1"/>
        <v>CZECH NEWS CENTER a. s.</v>
      </c>
      <c r="C461" s="3" t="str">
        <f ca="1">IFERROR(__xludf.DUMMYFUNCTION("""COMPUTED_VALUE"""),"Dáma")</f>
        <v>Dáma</v>
      </c>
      <c r="D461" s="4" t="str">
        <f ca="1">IFERROR(__xludf.DUMMYFUNCTION("""COMPUTED_VALUE"""),"https://dama.cz")</f>
        <v>https://dama.cz</v>
      </c>
      <c r="E461" s="3" t="str">
        <f ca="1">IFERROR(__xludf.DUMMYFUNCTION("""COMPUTED_VALUE"""),"celý web")</f>
        <v>celý web</v>
      </c>
      <c r="F461" s="4" t="str">
        <f ca="1">IFERROR(__xludf.DUMMYFUNCTION("""COMPUTED_VALUE"""),"https://dama.cz")</f>
        <v>https://dama.cz</v>
      </c>
      <c r="G461" s="3" t="str">
        <f ca="1">IFERROR(__xludf.DUMMYFUNCTION("""COMPUTED_VALUE"""),"cílený nativní rectangle cross-device high season")</f>
        <v>cílený nativní rectangle cross-device high season</v>
      </c>
      <c r="H461" s="3">
        <f ca="1">IFERROR(__xludf.DUMMYFUNCTION("""COMPUTED_VALUE"""),7)</f>
        <v>7</v>
      </c>
      <c r="I461" s="5">
        <f ca="1">IFERROR(__xludf.DUMMYFUNCTION("""COMPUTED_VALUE"""),1000)</f>
        <v>1000</v>
      </c>
      <c r="J461" s="5">
        <f ca="1">IFERROR(__xludf.DUMMYFUNCTION("""COMPUTED_VALUE"""),432)</f>
        <v>432</v>
      </c>
      <c r="K461" s="3"/>
      <c r="L461" s="3" t="str">
        <f ca="1">IFERROR(__xludf.DUMMYFUNCTION("""COMPUTED_VALUE"""),"Cost per period")</f>
        <v>Cost per period</v>
      </c>
      <c r="M461" s="3"/>
      <c r="N461" s="3"/>
      <c r="O461" s="3" t="str">
        <f ca="1">IFERROR(__xludf.DUMMYFUNCTION("""COMPUTED_VALUE"""),"640")</f>
        <v>640</v>
      </c>
      <c r="P461" s="3" t="str">
        <f ca="1">IFERROR(__xludf.DUMMYFUNCTION("""COMPUTED_VALUE"""),"335, 640")</f>
        <v>335, 640</v>
      </c>
      <c r="Q461" s="3" t="str">
        <f ca="1">IFERROR(__xludf.DUMMYFUNCTION("""COMPUTED_VALUE"""),"640x640 a 640x335 + text + logo")</f>
        <v>640x640 a 640x335 + text + logo</v>
      </c>
      <c r="R461" s="3"/>
      <c r="S461" s="3" t="str">
        <f ca="1">IFERROR(__xludf.DUMMYFUNCTION("""COMPUTED_VALUE"""),"45")</f>
        <v>45</v>
      </c>
      <c r="T461" s="3"/>
      <c r="U461" s="3" t="str">
        <f ca="1">IFERROR(__xludf.DUMMYFUNCTION("""COMPUTED_VALUE"""),"nativní reklama")</f>
        <v>nativní reklama</v>
      </c>
      <c r="V461" s="3"/>
      <c r="W461" s="4" t="str">
        <f ca="1">IFERROR(__xludf.DUMMYFUNCTION("""COMPUTED_VALUE"""),"https://reklama.cncenter.cz/Online/nativni-rectangle-cross-device")</f>
        <v>https://reklama.cncenter.cz/Online/nativni-rectangle-cross-device</v>
      </c>
      <c r="X461" s="3"/>
      <c r="Y461" s="3"/>
      <c r="Z461" s="3" t="str">
        <f ca="1">IFERROR(__xludf.DUMMYFUNCTION("""COMPUTED_VALUE"""),"podklady@cncenter.cz")</f>
        <v>podklady@cncenter.cz</v>
      </c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 t="str">
        <f ca="1">IFERROR(__xludf.DUMMYFUNCTION("""COMPUTED_VALUE"""),"cross-device")</f>
        <v>cross-device</v>
      </c>
      <c r="AO461" s="3"/>
      <c r="AP461" s="3"/>
      <c r="AQ461" s="3"/>
      <c r="AR461" s="3"/>
      <c r="AS461" s="3"/>
      <c r="AT461" s="3"/>
      <c r="AU461" s="3" t="str">
        <f ca="1">IFERROR(__xludf.DUMMYFUNCTION("""COMPUTED_VALUE"""),"cílený nativní rectangle cross-device")</f>
        <v>cílený nativní rectangle cross-device</v>
      </c>
    </row>
    <row r="462" spans="1:47" x14ac:dyDescent="0.3">
      <c r="A462" s="3">
        <f ca="1"/>
        <v>2346826</v>
      </c>
      <c r="B462" s="3" t="str">
        <f ca="1"/>
        <v>CZECH NEWS CENTER a. s.</v>
      </c>
      <c r="C462" s="3" t="str">
        <f ca="1">IFERROR(__xludf.DUMMYFUNCTION("""COMPUTED_VALUE"""),"Dáma")</f>
        <v>Dáma</v>
      </c>
      <c r="D462" s="4" t="str">
        <f ca="1">IFERROR(__xludf.DUMMYFUNCTION("""COMPUTED_VALUE"""),"https://dama.cz")</f>
        <v>https://dama.cz</v>
      </c>
      <c r="E462" s="3" t="str">
        <f ca="1">IFERROR(__xludf.DUMMYFUNCTION("""COMPUTED_VALUE"""),"celý web")</f>
        <v>celý web</v>
      </c>
      <c r="F462" s="4" t="str">
        <f ca="1">IFERROR(__xludf.DUMMYFUNCTION("""COMPUTED_VALUE"""),"https://dama.cz")</f>
        <v>https://dama.cz</v>
      </c>
      <c r="G462" s="3" t="str">
        <f ca="1">IFERROR(__xludf.DUMMYFUNCTION("""COMPUTED_VALUE"""),"cílený outstream high season")</f>
        <v>cílený outstream high season</v>
      </c>
      <c r="H462" s="3">
        <f ca="1">IFERROR(__xludf.DUMMYFUNCTION("""COMPUTED_VALUE"""),7)</f>
        <v>7</v>
      </c>
      <c r="I462" s="5">
        <f ca="1">IFERROR(__xludf.DUMMYFUNCTION("""COMPUTED_VALUE"""),1000)</f>
        <v>1000</v>
      </c>
      <c r="J462" s="5">
        <f ca="1">IFERROR(__xludf.DUMMYFUNCTION("""COMPUTED_VALUE"""),540)</f>
        <v>540</v>
      </c>
      <c r="K462" s="3"/>
      <c r="L462" s="3" t="str">
        <f ca="1">IFERROR(__xludf.DUMMYFUNCTION("""COMPUTED_VALUE"""),"Cost per period")</f>
        <v>Cost per period</v>
      </c>
      <c r="M462" s="3"/>
      <c r="N462" s="3"/>
      <c r="O462" s="3" t="str">
        <f ca="1">IFERROR(__xludf.DUMMYFUNCTION("""COMPUTED_VALUE"""),"1280")</f>
        <v>1280</v>
      </c>
      <c r="P462" s="3" t="str">
        <f ca="1">IFERROR(__xludf.DUMMYFUNCTION("""COMPUTED_VALUE"""),"720")</f>
        <v>720</v>
      </c>
      <c r="Q462" s="3" t="str">
        <f ca="1">IFERROR(__xludf.DUMMYFUNCTION("""COMPUTED_VALUE"""),"16:9")</f>
        <v>16:9</v>
      </c>
      <c r="R462" s="3"/>
      <c r="S462" s="3" t="str">
        <f ca="1">IFERROR(__xludf.DUMMYFUNCTION("""COMPUTED_VALUE"""),"100")</f>
        <v>100</v>
      </c>
      <c r="T462" s="3"/>
      <c r="U462" s="3" t="str">
        <f ca="1">IFERROR(__xludf.DUMMYFUNCTION("""COMPUTED_VALUE"""),"videospot")</f>
        <v>videospot</v>
      </c>
      <c r="V462" s="3"/>
      <c r="W462" s="4" t="str">
        <f ca="1">IFERROR(__xludf.DUMMYFUNCTION("""COMPUTED_VALUE"""),"https://reklama.cncenter.cz/Online/Outstream")</f>
        <v>https://reklama.cncenter.cz/Online/Outstream</v>
      </c>
      <c r="X462" s="3"/>
      <c r="Y462" s="3"/>
      <c r="Z462" s="3" t="str">
        <f ca="1">IFERROR(__xludf.DUMMYFUNCTION("""COMPUTED_VALUE"""),"podklady@cncenter.cz")</f>
        <v>podklady@cncenter.cz</v>
      </c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 t="str">
        <f ca="1">IFERROR(__xludf.DUMMYFUNCTION("""COMPUTED_VALUE"""),"cross-device")</f>
        <v>cross-device</v>
      </c>
      <c r="AO462" s="3"/>
      <c r="AP462" s="3"/>
      <c r="AQ462" s="3"/>
      <c r="AR462" s="3"/>
      <c r="AS462" s="3"/>
      <c r="AT462" s="3"/>
      <c r="AU462" s="3" t="str">
        <f ca="1">IFERROR(__xludf.DUMMYFUNCTION("""COMPUTED_VALUE"""),"cílený outstream")</f>
        <v>cílený outstream</v>
      </c>
    </row>
    <row r="463" spans="1:47" x14ac:dyDescent="0.3">
      <c r="A463" s="3">
        <f ca="1"/>
        <v>2346826</v>
      </c>
      <c r="B463" s="3" t="str">
        <f ca="1"/>
        <v>CZECH NEWS CENTER a. s.</v>
      </c>
      <c r="C463" s="3" t="str">
        <f ca="1">IFERROR(__xludf.DUMMYFUNCTION("""COMPUTED_VALUE"""),"Dáma")</f>
        <v>Dáma</v>
      </c>
      <c r="D463" s="4" t="str">
        <f ca="1">IFERROR(__xludf.DUMMYFUNCTION("""COMPUTED_VALUE"""),"https://dama.cz")</f>
        <v>https://dama.cz</v>
      </c>
      <c r="E463" s="3" t="str">
        <f ca="1">IFERROR(__xludf.DUMMYFUNCTION("""COMPUTED_VALUE"""),"celý web")</f>
        <v>celý web</v>
      </c>
      <c r="F463" s="4" t="str">
        <f ca="1">IFERROR(__xludf.DUMMYFUNCTION("""COMPUTED_VALUE"""),"https://dama.cz")</f>
        <v>https://dama.cz</v>
      </c>
      <c r="G463" s="3" t="str">
        <f ca="1">IFERROR(__xludf.DUMMYFUNCTION("""COMPUTED_VALUE"""),"cílený videospot - max. 30 sec. / bumper high season")</f>
        <v>cílený videospot - max. 30 sec. / bumper high season</v>
      </c>
      <c r="H463" s="3">
        <f ca="1">IFERROR(__xludf.DUMMYFUNCTION("""COMPUTED_VALUE"""),7)</f>
        <v>7</v>
      </c>
      <c r="I463" s="5">
        <f ca="1">IFERROR(__xludf.DUMMYFUNCTION("""COMPUTED_VALUE"""),1000)</f>
        <v>1000</v>
      </c>
      <c r="J463" s="5">
        <f ca="1">IFERROR(__xludf.DUMMYFUNCTION("""COMPUTED_VALUE"""),1608)</f>
        <v>1608</v>
      </c>
      <c r="K463" s="3"/>
      <c r="L463" s="3" t="str">
        <f ca="1">IFERROR(__xludf.DUMMYFUNCTION("""COMPUTED_VALUE"""),"Cost per period")</f>
        <v>Cost per period</v>
      </c>
      <c r="M463" s="3"/>
      <c r="N463" s="3"/>
      <c r="O463" s="3" t="str">
        <f ca="1">IFERROR(__xludf.DUMMYFUNCTION("""COMPUTED_VALUE"""),"1280")</f>
        <v>1280</v>
      </c>
      <c r="P463" s="3" t="str">
        <f ca="1">IFERROR(__xludf.DUMMYFUNCTION("""COMPUTED_VALUE"""),"720")</f>
        <v>720</v>
      </c>
      <c r="Q463" s="3" t="str">
        <f ca="1">IFERROR(__xludf.DUMMYFUNCTION("""COMPUTED_VALUE"""),"16:9 / umístění po domluvě dle možností")</f>
        <v>16:9 / umístění po domluvě dle možností</v>
      </c>
      <c r="R463" s="3" t="str">
        <f ca="1">IFERROR(__xludf.DUMMYFUNCTION("""COMPUTED_VALUE"""),"přeskočení po 7 sekundách")</f>
        <v>přeskočení po 7 sekundách</v>
      </c>
      <c r="S463" s="3" t="str">
        <f ca="1">IFERROR(__xludf.DUMMYFUNCTION("""COMPUTED_VALUE"""),"100")</f>
        <v>100</v>
      </c>
      <c r="T463" s="3"/>
      <c r="U463" s="3" t="str">
        <f ca="1">IFERROR(__xludf.DUMMYFUNCTION("""COMPUTED_VALUE"""),"videospot")</f>
        <v>videospot</v>
      </c>
      <c r="V463" s="3"/>
      <c r="W463" s="4" t="str">
        <f ca="1">IFERROR(__xludf.DUMMYFUNCTION("""COMPUTED_VALUE"""),"https://reklama.cncenter.cz/Online/Bumper")</f>
        <v>https://reklama.cncenter.cz/Online/Bumper</v>
      </c>
      <c r="X463" s="3"/>
      <c r="Y463" s="3"/>
      <c r="Z463" s="3" t="str">
        <f ca="1">IFERROR(__xludf.DUMMYFUNCTION("""COMPUTED_VALUE"""),"podklady@cncenter.cz")</f>
        <v>podklady@cncenter.cz</v>
      </c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 t="str">
        <f ca="1">IFERROR(__xludf.DUMMYFUNCTION("""COMPUTED_VALUE"""),"cross-device")</f>
        <v>cross-device</v>
      </c>
      <c r="AO463" s="3"/>
      <c r="AP463" s="3"/>
      <c r="AQ463" s="3"/>
      <c r="AR463" s="3"/>
      <c r="AS463" s="3"/>
      <c r="AT463" s="3"/>
      <c r="AU463" s="3" t="str">
        <f ca="1">IFERROR(__xludf.DUMMYFUNCTION("""COMPUTED_VALUE"""),"cílený videospot - max. 30 sec. / bumper")</f>
        <v>cílený videospot - max. 30 sec. / bumper</v>
      </c>
    </row>
    <row r="464" spans="1:47" x14ac:dyDescent="0.3">
      <c r="A464" s="3">
        <f ca="1"/>
        <v>2346826</v>
      </c>
      <c r="B464" s="3" t="str">
        <f ca="1"/>
        <v>CZECH NEWS CENTER a. s.</v>
      </c>
      <c r="C464" s="3" t="str">
        <f ca="1">IFERROR(__xludf.DUMMYFUNCTION("""COMPUTED_VALUE"""),"Dáma")</f>
        <v>Dáma</v>
      </c>
      <c r="D464" s="4" t="str">
        <f ca="1">IFERROR(__xludf.DUMMYFUNCTION("""COMPUTED_VALUE"""),"https://dama.cz")</f>
        <v>https://dama.cz</v>
      </c>
      <c r="E464" s="3" t="str">
        <f ca="1">IFERROR(__xludf.DUMMYFUNCTION("""COMPUTED_VALUE"""),"celý web")</f>
        <v>celý web</v>
      </c>
      <c r="F464" s="4" t="str">
        <f ca="1">IFERROR(__xludf.DUMMYFUNCTION("""COMPUTED_VALUE"""),"https://dama.cz")</f>
        <v>https://dama.cz</v>
      </c>
      <c r="G464" s="3" t="str">
        <f ca="1">IFERROR(__xludf.DUMMYFUNCTION("""COMPUTED_VALUE"""),"dokoupení proma o 2 týdny - 10 000 PV *** high season")</f>
        <v>dokoupení proma o 2 týdny - 10 000 PV *** high season</v>
      </c>
      <c r="H464" s="3">
        <f ca="1">IFERROR(__xludf.DUMMYFUNCTION("""COMPUTED_VALUE"""),1)</f>
        <v>1</v>
      </c>
      <c r="I464" s="5">
        <f ca="1">IFERROR(__xludf.DUMMYFUNCTION("""COMPUTED_VALUE"""),1)</f>
        <v>1</v>
      </c>
      <c r="J464" s="5">
        <f ca="1">IFERROR(__xludf.DUMMYFUNCTION("""COMPUTED_VALUE"""),60000)</f>
        <v>60000</v>
      </c>
      <c r="K464" s="3"/>
      <c r="L464" s="3" t="str">
        <f ca="1">IFERROR(__xludf.DUMMYFUNCTION("""COMPUTED_VALUE"""),"Cost per instance")</f>
        <v>Cost per instance</v>
      </c>
      <c r="M464" s="3"/>
      <c r="N464" s="3"/>
      <c r="O464" s="3"/>
      <c r="P464" s="3"/>
      <c r="Q464" s="3"/>
      <c r="R464" s="3"/>
      <c r="S464" s="3" t="str">
        <f ca="1">IFERROR(__xludf.DUMMYFUNCTION("""COMPUTED_VALUE"""),"100")</f>
        <v>100</v>
      </c>
      <c r="T464" s="3"/>
      <c r="U464" s="3" t="str">
        <f ca="1">IFERROR(__xludf.DUMMYFUNCTION("""COMPUTED_VALUE"""),"microsite")</f>
        <v>microsite</v>
      </c>
      <c r="V464" s="3"/>
      <c r="W464" s="3"/>
      <c r="X464" s="3"/>
      <c r="Y464" s="3"/>
      <c r="Z464" s="3" t="str">
        <f ca="1">IFERROR(__xludf.DUMMYFUNCTION("""COMPUTED_VALUE"""),"podklady@cncenter.cz")</f>
        <v>podklady@cncenter.cz</v>
      </c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 t="str">
        <f ca="1">IFERROR(__xludf.DUMMYFUNCTION("""COMPUTED_VALUE"""),"cross-device")</f>
        <v>cross-device</v>
      </c>
      <c r="AO464" s="3"/>
      <c r="AP464" s="3"/>
      <c r="AQ464" s="3"/>
      <c r="AR464" s="3"/>
      <c r="AS464" s="3"/>
      <c r="AT464" s="3"/>
      <c r="AU464" s="3" t="str">
        <f ca="1">IFERROR(__xludf.DUMMYFUNCTION("""COMPUTED_VALUE"""),"dokoupení proma o 2 týdny - 10 000 PV ***")</f>
        <v>dokoupení proma o 2 týdny - 10 000 PV ***</v>
      </c>
    </row>
    <row r="465" spans="1:47" x14ac:dyDescent="0.3">
      <c r="A465" s="3">
        <f ca="1"/>
        <v>2346826</v>
      </c>
      <c r="B465" s="3" t="str">
        <f ca="1"/>
        <v>CZECH NEWS CENTER a. s.</v>
      </c>
      <c r="C465" s="3" t="str">
        <f ca="1">IFERROR(__xludf.DUMMYFUNCTION("""COMPUTED_VALUE"""),"Dáma")</f>
        <v>Dáma</v>
      </c>
      <c r="D465" s="4" t="str">
        <f ca="1">IFERROR(__xludf.DUMMYFUNCTION("""COMPUTED_VALUE"""),"https://dama.cz")</f>
        <v>https://dama.cz</v>
      </c>
      <c r="E465" s="3" t="str">
        <f ca="1">IFERROR(__xludf.DUMMYFUNCTION("""COMPUTED_VALUE"""),"celý web")</f>
        <v>celý web</v>
      </c>
      <c r="F465" s="4" t="str">
        <f ca="1">IFERROR(__xludf.DUMMYFUNCTION("""COMPUTED_VALUE"""),"https://dama.cz")</f>
        <v>https://dama.cz</v>
      </c>
      <c r="G465" s="3" t="str">
        <f ca="1">IFERROR(__xludf.DUMMYFUNCTION("""COMPUTED_VALUE"""),"double skyscraper high season")</f>
        <v>double skyscraper high season</v>
      </c>
      <c r="H465" s="3">
        <f ca="1">IFERROR(__xludf.DUMMYFUNCTION("""COMPUTED_VALUE"""),7)</f>
        <v>7</v>
      </c>
      <c r="I465" s="5">
        <f ca="1">IFERROR(__xludf.DUMMYFUNCTION("""COMPUTED_VALUE"""),1000)</f>
        <v>1000</v>
      </c>
      <c r="J465" s="5">
        <f ca="1">IFERROR(__xludf.DUMMYFUNCTION("""COMPUTED_VALUE"""),350)</f>
        <v>350</v>
      </c>
      <c r="K465" s="3"/>
      <c r="L465" s="3" t="str">
        <f ca="1">IFERROR(__xludf.DUMMYFUNCTION("""COMPUTED_VALUE"""),"Cost per period")</f>
        <v>Cost per period</v>
      </c>
      <c r="M465" s="3"/>
      <c r="N465" s="3"/>
      <c r="O465" s="3" t="str">
        <f ca="1">IFERROR(__xludf.DUMMYFUNCTION("""COMPUTED_VALUE"""),"300")</f>
        <v>300</v>
      </c>
      <c r="P465" s="3" t="str">
        <f ca="1">IFERROR(__xludf.DUMMYFUNCTION("""COMPUTED_VALUE"""),"600")</f>
        <v>600</v>
      </c>
      <c r="Q465" s="3" t="str">
        <f ca="1">IFERROR(__xludf.DUMMYFUNCTION("""COMPUTED_VALUE"""),"300x600")</f>
        <v>300x600</v>
      </c>
      <c r="R465" s="3"/>
      <c r="S465" s="3" t="str">
        <f ca="1">IFERROR(__xludf.DUMMYFUNCTION("""COMPUTED_VALUE"""),"100 (200 - HTML5)")</f>
        <v>100 (200 - HTML5)</v>
      </c>
      <c r="T465" s="3"/>
      <c r="U465" s="3" t="str">
        <f ca="1">IFERROR(__xludf.DUMMYFUNCTION("""COMPUTED_VALUE"""),"banner standard")</f>
        <v>banner standard</v>
      </c>
      <c r="V465" s="3"/>
      <c r="W465" s="4" t="str">
        <f ca="1">IFERROR(__xludf.DUMMYFUNCTION("""COMPUTED_VALUE"""),"https://reklama.cncenter.cz/Online/double-skyscraper")</f>
        <v>https://reklama.cncenter.cz/Online/double-skyscraper</v>
      </c>
      <c r="X465" s="3"/>
      <c r="Y465" s="3"/>
      <c r="Z465" s="3" t="str">
        <f ca="1">IFERROR(__xludf.DUMMYFUNCTION("""COMPUTED_VALUE"""),"podklady@cncenter.cz")</f>
        <v>podklady@cncenter.cz</v>
      </c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 t="str">
        <f ca="1">IFERROR(__xludf.DUMMYFUNCTION("""COMPUTED_VALUE"""),"desktop")</f>
        <v>desktop</v>
      </c>
      <c r="AO465" s="3"/>
      <c r="AP465" s="3"/>
      <c r="AQ465" s="3"/>
      <c r="AR465" s="3"/>
      <c r="AS465" s="3"/>
      <c r="AT465" s="3"/>
      <c r="AU465" s="3" t="str">
        <f ca="1">IFERROR(__xludf.DUMMYFUNCTION("""COMPUTED_VALUE"""),"double skyscraper")</f>
        <v>double skyscraper</v>
      </c>
    </row>
    <row r="466" spans="1:47" x14ac:dyDescent="0.3">
      <c r="A466" s="3">
        <f ca="1"/>
        <v>2346826</v>
      </c>
      <c r="B466" s="3" t="str">
        <f ca="1"/>
        <v>CZECH NEWS CENTER a. s.</v>
      </c>
      <c r="C466" s="3" t="str">
        <f ca="1">IFERROR(__xludf.DUMMYFUNCTION("""COMPUTED_VALUE"""),"Dáma")</f>
        <v>Dáma</v>
      </c>
      <c r="D466" s="4" t="str">
        <f ca="1">IFERROR(__xludf.DUMMYFUNCTION("""COMPUTED_VALUE"""),"https://dama.cz")</f>
        <v>https://dama.cz</v>
      </c>
      <c r="E466" s="3" t="str">
        <f ca="1">IFERROR(__xludf.DUMMYFUNCTION("""COMPUTED_VALUE"""),"celý web")</f>
        <v>celý web</v>
      </c>
      <c r="F466" s="4" t="str">
        <f ca="1">IFERROR(__xludf.DUMMYFUNCTION("""COMPUTED_VALUE"""),"https://dama.cz")</f>
        <v>https://dama.cz</v>
      </c>
      <c r="G466" s="3" t="str">
        <f ca="1">IFERROR(__xludf.DUMMYFUNCTION("""COMPUTED_VALUE"""),"mini videospot - max. 30 sec. high season")</f>
        <v>mini videospot - max. 30 sec. high season</v>
      </c>
      <c r="H466" s="3">
        <f ca="1">IFERROR(__xludf.DUMMYFUNCTION("""COMPUTED_VALUE"""),7)</f>
        <v>7</v>
      </c>
      <c r="I466" s="5">
        <f ca="1">IFERROR(__xludf.DUMMYFUNCTION("""COMPUTED_VALUE"""),1000)</f>
        <v>1000</v>
      </c>
      <c r="J466" s="5">
        <f ca="1">IFERROR(__xludf.DUMMYFUNCTION("""COMPUTED_VALUE"""),260)</f>
        <v>260</v>
      </c>
      <c r="K466" s="3"/>
      <c r="L466" s="3" t="str">
        <f ca="1">IFERROR(__xludf.DUMMYFUNCTION("""COMPUTED_VALUE"""),"Cost per period")</f>
        <v>Cost per period</v>
      </c>
      <c r="M466" s="3"/>
      <c r="N466" s="3"/>
      <c r="O466" s="3"/>
      <c r="P466" s="3"/>
      <c r="Q466" s="3" t="str">
        <f ca="1">IFERROR(__xludf.DUMMYFUNCTION("""COMPUTED_VALUE"""),"16:9 / umístění po domluvě dle možností")</f>
        <v>16:9 / umístění po domluvě dle možností</v>
      </c>
      <c r="R466" s="3" t="str">
        <f ca="1">IFERROR(__xludf.DUMMYFUNCTION("""COMPUTED_VALUE"""),"přeskočení po 7 sekundách")</f>
        <v>přeskočení po 7 sekundách</v>
      </c>
      <c r="S466" s="3" t="str">
        <f ca="1">IFERROR(__xludf.DUMMYFUNCTION("""COMPUTED_VALUE"""),"100")</f>
        <v>100</v>
      </c>
      <c r="T466" s="3"/>
      <c r="U466" s="3" t="str">
        <f ca="1">IFERROR(__xludf.DUMMYFUNCTION("""COMPUTED_VALUE"""),"videospot")</f>
        <v>videospot</v>
      </c>
      <c r="V466" s="3"/>
      <c r="W466" s="4" t="str">
        <f ca="1">IFERROR(__xludf.DUMMYFUNCTION("""COMPUTED_VALUE"""),"https://reklama.cncenter.cz/Online/Videospot")</f>
        <v>https://reklama.cncenter.cz/Online/Videospot</v>
      </c>
      <c r="X466" s="3"/>
      <c r="Y466" s="3"/>
      <c r="Z466" s="3" t="str">
        <f ca="1">IFERROR(__xludf.DUMMYFUNCTION("""COMPUTED_VALUE"""),"podklady@cncenter.cz")</f>
        <v>podklady@cncenter.cz</v>
      </c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 t="str">
        <f ca="1">IFERROR(__xludf.DUMMYFUNCTION("""COMPUTED_VALUE"""),"desktop")</f>
        <v>desktop</v>
      </c>
      <c r="AO466" s="3"/>
      <c r="AP466" s="3"/>
      <c r="AQ466" s="3"/>
      <c r="AR466" s="3"/>
      <c r="AS466" s="3"/>
      <c r="AT466" s="3"/>
      <c r="AU466" s="3" t="str">
        <f ca="1">IFERROR(__xludf.DUMMYFUNCTION("""COMPUTED_VALUE"""),"mini videospot - max. 30 sec.")</f>
        <v>mini videospot - max. 30 sec.</v>
      </c>
    </row>
    <row r="467" spans="1:47" x14ac:dyDescent="0.3">
      <c r="A467" s="3">
        <f ca="1"/>
        <v>2346826</v>
      </c>
      <c r="B467" s="3" t="str">
        <f ca="1"/>
        <v>CZECH NEWS CENTER a. s.</v>
      </c>
      <c r="C467" s="3" t="str">
        <f ca="1">IFERROR(__xludf.DUMMYFUNCTION("""COMPUTED_VALUE"""),"Dáma")</f>
        <v>Dáma</v>
      </c>
      <c r="D467" s="4" t="str">
        <f ca="1">IFERROR(__xludf.DUMMYFUNCTION("""COMPUTED_VALUE"""),"https://dama.cz")</f>
        <v>https://dama.cz</v>
      </c>
      <c r="E467" s="3" t="str">
        <f ca="1">IFERROR(__xludf.DUMMYFUNCTION("""COMPUTED_VALUE"""),"celý web")</f>
        <v>celý web</v>
      </c>
      <c r="F467" s="4" t="str">
        <f ca="1">IFERROR(__xludf.DUMMYFUNCTION("""COMPUTED_VALUE"""),"https://dama.cz")</f>
        <v>https://dama.cz</v>
      </c>
      <c r="G467" s="3" t="str">
        <f ca="1">IFERROR(__xludf.DUMMYFUNCTION("""COMPUTED_VALUE"""),"mobilní interscroller high season")</f>
        <v>mobilní interscroller high season</v>
      </c>
      <c r="H467" s="3">
        <f ca="1">IFERROR(__xludf.DUMMYFUNCTION("""COMPUTED_VALUE"""),7)</f>
        <v>7</v>
      </c>
      <c r="I467" s="5">
        <f ca="1">IFERROR(__xludf.DUMMYFUNCTION("""COMPUTED_VALUE"""),1000)</f>
        <v>1000</v>
      </c>
      <c r="J467" s="5">
        <f ca="1">IFERROR(__xludf.DUMMYFUNCTION("""COMPUTED_VALUE"""),450)</f>
        <v>450</v>
      </c>
      <c r="K467" s="3"/>
      <c r="L467" s="3" t="str">
        <f ca="1">IFERROR(__xludf.DUMMYFUNCTION("""COMPUTED_VALUE"""),"Cost per period")</f>
        <v>Cost per period</v>
      </c>
      <c r="M467" s="3"/>
      <c r="N467" s="3"/>
      <c r="O467" s="3" t="str">
        <f ca="1">IFERROR(__xludf.DUMMYFUNCTION("""COMPUTED_VALUE"""),"600")</f>
        <v>600</v>
      </c>
      <c r="P467" s="3" t="str">
        <f ca="1">IFERROR(__xludf.DUMMYFUNCTION("""COMPUTED_VALUE"""),"1080")</f>
        <v>1080</v>
      </c>
      <c r="Q467" s="3" t="str">
        <f ca="1">IFERROR(__xludf.DUMMYFUNCTION("""COMPUTED_VALUE"""),"600x1080")</f>
        <v>600x1080</v>
      </c>
      <c r="R467" s="3"/>
      <c r="S467" s="3" t="str">
        <f ca="1">IFERROR(__xludf.DUMMYFUNCTION("""COMPUTED_VALUE"""),"200")</f>
        <v>200</v>
      </c>
      <c r="T467" s="3"/>
      <c r="U467" s="3" t="str">
        <f ca="1">IFERROR(__xludf.DUMMYFUNCTION("""COMPUTED_VALUE"""),"banner standard")</f>
        <v>banner standard</v>
      </c>
      <c r="V467" s="3"/>
      <c r="W467" s="4" t="str">
        <f ca="1">IFERROR(__xludf.DUMMYFUNCTION("""COMPUTED_VALUE"""),"https://reklama.cncenter.cz/Online/mobilni-interscroller")</f>
        <v>https://reklama.cncenter.cz/Online/mobilni-interscroller</v>
      </c>
      <c r="X467" s="3"/>
      <c r="Y467" s="3"/>
      <c r="Z467" s="3" t="str">
        <f ca="1">IFERROR(__xludf.DUMMYFUNCTION("""COMPUTED_VALUE"""),"podklady@cncenter.cz")</f>
        <v>podklady@cncenter.cz</v>
      </c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 t="str">
        <f ca="1">IFERROR(__xludf.DUMMYFUNCTION("""COMPUTED_VALUE"""),"mobile")</f>
        <v>mobile</v>
      </c>
      <c r="AO467" s="3"/>
      <c r="AP467" s="3"/>
      <c r="AQ467" s="3"/>
      <c r="AR467" s="3"/>
      <c r="AS467" s="3"/>
      <c r="AT467" s="3"/>
      <c r="AU467" s="3" t="str">
        <f ca="1">IFERROR(__xludf.DUMMYFUNCTION("""COMPUTED_VALUE"""),"mobilní interscroller")</f>
        <v>mobilní interscroller</v>
      </c>
    </row>
    <row r="468" spans="1:47" x14ac:dyDescent="0.3">
      <c r="A468" s="3">
        <f ca="1"/>
        <v>2346826</v>
      </c>
      <c r="B468" s="3" t="str">
        <f ca="1"/>
        <v>CZECH NEWS CENTER a. s.</v>
      </c>
      <c r="C468" s="3" t="str">
        <f ca="1">IFERROR(__xludf.DUMMYFUNCTION("""COMPUTED_VALUE"""),"Dáma")</f>
        <v>Dáma</v>
      </c>
      <c r="D468" s="4" t="str">
        <f ca="1">IFERROR(__xludf.DUMMYFUNCTION("""COMPUTED_VALUE"""),"https://dama.cz")</f>
        <v>https://dama.cz</v>
      </c>
      <c r="E468" s="3" t="str">
        <f ca="1">IFERROR(__xludf.DUMMYFUNCTION("""COMPUTED_VALUE"""),"celý web")</f>
        <v>celý web</v>
      </c>
      <c r="F468" s="4" t="str">
        <f ca="1">IFERROR(__xludf.DUMMYFUNCTION("""COMPUTED_VALUE"""),"https://dama.cz")</f>
        <v>https://dama.cz</v>
      </c>
      <c r="G468" s="3" t="str">
        <f ca="1">IFERROR(__xludf.DUMMYFUNCTION("""COMPUTED_VALUE"""),"mobilní slide-up high season")</f>
        <v>mobilní slide-up high season</v>
      </c>
      <c r="H468" s="3">
        <f ca="1">IFERROR(__xludf.DUMMYFUNCTION("""COMPUTED_VALUE"""),7)</f>
        <v>7</v>
      </c>
      <c r="I468" s="5">
        <f ca="1">IFERROR(__xludf.DUMMYFUNCTION("""COMPUTED_VALUE"""),1000)</f>
        <v>1000</v>
      </c>
      <c r="J468" s="5">
        <f ca="1">IFERROR(__xludf.DUMMYFUNCTION("""COMPUTED_VALUE"""),920)</f>
        <v>920</v>
      </c>
      <c r="K468" s="3"/>
      <c r="L468" s="3" t="str">
        <f ca="1">IFERROR(__xludf.DUMMYFUNCTION("""COMPUTED_VALUE"""),"Cost per period")</f>
        <v>Cost per period</v>
      </c>
      <c r="M468" s="3"/>
      <c r="N468" s="3"/>
      <c r="O468" s="3" t="str">
        <f ca="1">IFERROR(__xludf.DUMMYFUNCTION("""COMPUTED_VALUE"""),"300")</f>
        <v>300</v>
      </c>
      <c r="P468" s="3" t="str">
        <f ca="1">IFERROR(__xludf.DUMMYFUNCTION("""COMPUTED_VALUE"""),"120")</f>
        <v>120</v>
      </c>
      <c r="Q468" s="3" t="str">
        <f ca="1">IFERROR(__xludf.DUMMYFUNCTION("""COMPUTED_VALUE"""),"300x120")</f>
        <v>300x120</v>
      </c>
      <c r="R468" s="3"/>
      <c r="S468" s="3" t="str">
        <f ca="1">IFERROR(__xludf.DUMMYFUNCTION("""COMPUTED_VALUE"""),"100")</f>
        <v>100</v>
      </c>
      <c r="T468" s="3"/>
      <c r="U468" s="3" t="str">
        <f ca="1">IFERROR(__xludf.DUMMYFUNCTION("""COMPUTED_VALUE"""),"banner standard")</f>
        <v>banner standard</v>
      </c>
      <c r="V468" s="3"/>
      <c r="W468" s="4" t="str">
        <f ca="1">IFERROR(__xludf.DUMMYFUNCTION("""COMPUTED_VALUE"""),"https://reklama.cncenter.cz/Online/mobilni-slide-up")</f>
        <v>https://reklama.cncenter.cz/Online/mobilni-slide-up</v>
      </c>
      <c r="X468" s="3"/>
      <c r="Y468" s="3"/>
      <c r="Z468" s="3" t="str">
        <f ca="1">IFERROR(__xludf.DUMMYFUNCTION("""COMPUTED_VALUE"""),"podklady@cncenter.cz")</f>
        <v>podklady@cncenter.cz</v>
      </c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 t="str">
        <f ca="1">IFERROR(__xludf.DUMMYFUNCTION("""COMPUTED_VALUE"""),"mobile")</f>
        <v>mobile</v>
      </c>
      <c r="AO468" s="3"/>
      <c r="AP468" s="3"/>
      <c r="AQ468" s="3"/>
      <c r="AR468" s="3"/>
      <c r="AS468" s="3"/>
      <c r="AT468" s="3"/>
      <c r="AU468" s="3" t="str">
        <f ca="1">IFERROR(__xludf.DUMMYFUNCTION("""COMPUTED_VALUE"""),"mobilní slide-up")</f>
        <v>mobilní slide-up</v>
      </c>
    </row>
    <row r="469" spans="1:47" x14ac:dyDescent="0.3">
      <c r="A469" s="3">
        <f ca="1"/>
        <v>2346826</v>
      </c>
      <c r="B469" s="3" t="str">
        <f ca="1"/>
        <v>CZECH NEWS CENTER a. s.</v>
      </c>
      <c r="C469" s="3" t="str">
        <f ca="1">IFERROR(__xludf.DUMMYFUNCTION("""COMPUTED_VALUE"""),"Dáma")</f>
        <v>Dáma</v>
      </c>
      <c r="D469" s="4" t="str">
        <f ca="1">IFERROR(__xludf.DUMMYFUNCTION("""COMPUTED_VALUE"""),"https://dama.cz")</f>
        <v>https://dama.cz</v>
      </c>
      <c r="E469" s="3" t="str">
        <f ca="1">IFERROR(__xludf.DUMMYFUNCTION("""COMPUTED_VALUE"""),"celý web")</f>
        <v>celý web</v>
      </c>
      <c r="F469" s="4" t="str">
        <f ca="1">IFERROR(__xludf.DUMMYFUNCTION("""COMPUTED_VALUE"""),"https://dama.cz")</f>
        <v>https://dama.cz</v>
      </c>
      <c r="G469" s="3" t="str">
        <f ca="1">IFERROR(__xludf.DUMMYFUNCTION("""COMPUTED_VALUE"""),"mobilní viněta high season")</f>
        <v>mobilní viněta high season</v>
      </c>
      <c r="H469" s="3">
        <f ca="1">IFERROR(__xludf.DUMMYFUNCTION("""COMPUTED_VALUE"""),7)</f>
        <v>7</v>
      </c>
      <c r="I469" s="5">
        <f ca="1">IFERROR(__xludf.DUMMYFUNCTION("""COMPUTED_VALUE"""),1000)</f>
        <v>1000</v>
      </c>
      <c r="J469" s="5">
        <f ca="1">IFERROR(__xludf.DUMMYFUNCTION("""COMPUTED_VALUE"""),1590)</f>
        <v>1590</v>
      </c>
      <c r="K469" s="3"/>
      <c r="L469" s="3" t="str">
        <f ca="1">IFERROR(__xludf.DUMMYFUNCTION("""COMPUTED_VALUE"""),"Cost per period")</f>
        <v>Cost per period</v>
      </c>
      <c r="M469" s="3"/>
      <c r="N469" s="3"/>
      <c r="O469" s="3" t="str">
        <f ca="1">IFERROR(__xludf.DUMMYFUNCTION("""COMPUTED_VALUE"""),"600")</f>
        <v>600</v>
      </c>
      <c r="P469" s="3" t="str">
        <f ca="1">IFERROR(__xludf.DUMMYFUNCTION("""COMPUTED_VALUE"""),"800")</f>
        <v>800</v>
      </c>
      <c r="Q469" s="3" t="str">
        <f ca="1">IFERROR(__xludf.DUMMYFUNCTION("""COMPUTED_VALUE"""),"300x250 nebo 600x800")</f>
        <v>300x250 nebo 600x800</v>
      </c>
      <c r="R469" s="3"/>
      <c r="S469" s="3" t="str">
        <f ca="1">IFERROR(__xludf.DUMMYFUNCTION("""COMPUTED_VALUE"""),"100")</f>
        <v>100</v>
      </c>
      <c r="T469" s="3"/>
      <c r="U469" s="3" t="str">
        <f ca="1">IFERROR(__xludf.DUMMYFUNCTION("""COMPUTED_VALUE"""),"banner standard")</f>
        <v>banner standard</v>
      </c>
      <c r="V469" s="3"/>
      <c r="W469" s="4" t="str">
        <f ca="1">IFERROR(__xludf.DUMMYFUNCTION("""COMPUTED_VALUE"""),"https://reklama.cncenter.cz/Online/mobilni-vineta")</f>
        <v>https://reklama.cncenter.cz/Online/mobilni-vineta</v>
      </c>
      <c r="X469" s="3"/>
      <c r="Y469" s="3"/>
      <c r="Z469" s="3" t="str">
        <f ca="1">IFERROR(__xludf.DUMMYFUNCTION("""COMPUTED_VALUE"""),"podklady@cncenter.cz")</f>
        <v>podklady@cncenter.cz</v>
      </c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 t="str">
        <f ca="1">IFERROR(__xludf.DUMMYFUNCTION("""COMPUTED_VALUE"""),"mobile")</f>
        <v>mobile</v>
      </c>
      <c r="AO469" s="3"/>
      <c r="AP469" s="3"/>
      <c r="AQ469" s="3"/>
      <c r="AR469" s="3"/>
      <c r="AS469" s="3"/>
      <c r="AT469" s="3"/>
      <c r="AU469" s="3" t="str">
        <f ca="1">IFERROR(__xludf.DUMMYFUNCTION("""COMPUTED_VALUE"""),"mobilní viněta")</f>
        <v>mobilní viněta</v>
      </c>
    </row>
    <row r="470" spans="1:47" x14ac:dyDescent="0.3">
      <c r="A470" s="3">
        <f ca="1"/>
        <v>2346826</v>
      </c>
      <c r="B470" s="3" t="str">
        <f ca="1"/>
        <v>CZECH NEWS CENTER a. s.</v>
      </c>
      <c r="C470" s="3" t="str">
        <f ca="1">IFERROR(__xludf.DUMMYFUNCTION("""COMPUTED_VALUE"""),"Dáma")</f>
        <v>Dáma</v>
      </c>
      <c r="D470" s="4" t="str">
        <f ca="1">IFERROR(__xludf.DUMMYFUNCTION("""COMPUTED_VALUE"""),"https://dama.cz")</f>
        <v>https://dama.cz</v>
      </c>
      <c r="E470" s="3" t="str">
        <f ca="1">IFERROR(__xludf.DUMMYFUNCTION("""COMPUTED_VALUE"""),"celý web")</f>
        <v>celý web</v>
      </c>
      <c r="F470" s="4" t="str">
        <f ca="1">IFERROR(__xludf.DUMMYFUNCTION("""COMPUTED_VALUE"""),"https://dama.cz")</f>
        <v>https://dama.cz</v>
      </c>
      <c r="G470" s="3" t="str">
        <f ca="1">IFERROR(__xludf.DUMMYFUNCTION("""COMPUTED_VALUE"""),"Native Standard high season")</f>
        <v>Native Standard high season</v>
      </c>
      <c r="H470" s="3">
        <f ca="1">IFERROR(__xludf.DUMMYFUNCTION("""COMPUTED_VALUE"""),1)</f>
        <v>1</v>
      </c>
      <c r="I470" s="5">
        <f ca="1">IFERROR(__xludf.DUMMYFUNCTION("""COMPUTED_VALUE"""),1)</f>
        <v>1</v>
      </c>
      <c r="J470" s="5">
        <f ca="1">IFERROR(__xludf.DUMMYFUNCTION("""COMPUTED_VALUE"""),330000)</f>
        <v>330000</v>
      </c>
      <c r="K470" s="3"/>
      <c r="L470" s="3" t="str">
        <f ca="1">IFERROR(__xludf.DUMMYFUNCTION("""COMPUTED_VALUE"""),"Cost per instance")</f>
        <v>Cost per instance</v>
      </c>
      <c r="M470" s="3"/>
      <c r="N470" s="3"/>
      <c r="O470" s="3"/>
      <c r="P470" s="3"/>
      <c r="Q470" s="3"/>
      <c r="R470" s="3"/>
      <c r="S470" s="3" t="str">
        <f ca="1">IFERROR(__xludf.DUMMYFUNCTION("""COMPUTED_VALUE"""),"100")</f>
        <v>100</v>
      </c>
      <c r="T470" s="3"/>
      <c r="U470" s="3" t="str">
        <f ca="1">IFERROR(__xludf.DUMMYFUNCTION("""COMPUTED_VALUE"""),"microsite")</f>
        <v>microsite</v>
      </c>
      <c r="V470" s="3"/>
      <c r="W470" s="3"/>
      <c r="X470" s="3"/>
      <c r="Y470" s="3"/>
      <c r="Z470" s="3" t="str">
        <f ca="1">IFERROR(__xludf.DUMMYFUNCTION("""COMPUTED_VALUE"""),"podklady@cncenter.cz")</f>
        <v>podklady@cncenter.cz</v>
      </c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 t="str">
        <f ca="1">IFERROR(__xludf.DUMMYFUNCTION("""COMPUTED_VALUE"""),"cross-device")</f>
        <v>cross-device</v>
      </c>
      <c r="AO470" s="3"/>
      <c r="AP470" s="3"/>
      <c r="AQ470" s="3"/>
      <c r="AR470" s="3"/>
      <c r="AS470" s="3"/>
      <c r="AT470" s="3"/>
      <c r="AU470" s="3" t="str">
        <f ca="1">IFERROR(__xludf.DUMMYFUNCTION("""COMPUTED_VALUE"""),"Native Standard")</f>
        <v>Native Standard</v>
      </c>
    </row>
    <row r="471" spans="1:47" x14ac:dyDescent="0.3">
      <c r="A471" s="3">
        <f ca="1"/>
        <v>2346826</v>
      </c>
      <c r="B471" s="3" t="str">
        <f ca="1"/>
        <v>CZECH NEWS CENTER a. s.</v>
      </c>
      <c r="C471" s="3" t="str">
        <f ca="1">IFERROR(__xludf.DUMMYFUNCTION("""COMPUTED_VALUE"""),"Dáma")</f>
        <v>Dáma</v>
      </c>
      <c r="D471" s="4" t="str">
        <f ca="1">IFERROR(__xludf.DUMMYFUNCTION("""COMPUTED_VALUE"""),"https://dama.cz")</f>
        <v>https://dama.cz</v>
      </c>
      <c r="E471" s="3" t="str">
        <f ca="1">IFERROR(__xludf.DUMMYFUNCTION("""COMPUTED_VALUE"""),"celý web")</f>
        <v>celý web</v>
      </c>
      <c r="F471" s="4" t="str">
        <f ca="1">IFERROR(__xludf.DUMMYFUNCTION("""COMPUTED_VALUE"""),"https://dama.cz")</f>
        <v>https://dama.cz</v>
      </c>
      <c r="G471" s="3" t="str">
        <f ca="1">IFERROR(__xludf.DUMMYFUNCTION("""COMPUTED_VALUE"""),"nativní pr premium high season")</f>
        <v>nativní pr premium high season</v>
      </c>
      <c r="H471" s="3">
        <f ca="1">IFERROR(__xludf.DUMMYFUNCTION("""COMPUTED_VALUE"""),7)</f>
        <v>7</v>
      </c>
      <c r="I471" s="5">
        <f ca="1">IFERROR(__xludf.DUMMYFUNCTION("""COMPUTED_VALUE"""),1000)</f>
        <v>1000</v>
      </c>
      <c r="J471" s="5">
        <f ca="1">IFERROR(__xludf.DUMMYFUNCTION("""COMPUTED_VALUE"""),180)</f>
        <v>180</v>
      </c>
      <c r="K471" s="3"/>
      <c r="L471" s="3" t="str">
        <f ca="1">IFERROR(__xludf.DUMMYFUNCTION("""COMPUTED_VALUE"""),"Cost per period")</f>
        <v>Cost per period</v>
      </c>
      <c r="M471" s="3"/>
      <c r="N471" s="3"/>
      <c r="O471" s="3" t="str">
        <f ca="1">IFERROR(__xludf.DUMMYFUNCTION("""COMPUTED_VALUE"""),"640")</f>
        <v>640</v>
      </c>
      <c r="P471" s="3" t="str">
        <f ca="1">IFERROR(__xludf.DUMMYFUNCTION("""COMPUTED_VALUE"""),"335, 640")</f>
        <v>335, 640</v>
      </c>
      <c r="Q471" s="3" t="str">
        <f ca="1">IFERROR(__xludf.DUMMYFUNCTION("""COMPUTED_VALUE"""),"640x640 a 640x335 + text + logo")</f>
        <v>640x640 a 640x335 + text + logo</v>
      </c>
      <c r="R471" s="3" t="str">
        <f ca="1">IFERROR(__xludf.DUMMYFUNCTION("""COMPUTED_VALUE"""),"detailní specifikace na URL odkaze")</f>
        <v>detailní specifikace na URL odkaze</v>
      </c>
      <c r="S471" s="3" t="str">
        <f ca="1">IFERROR(__xludf.DUMMYFUNCTION("""COMPUTED_VALUE"""),"100")</f>
        <v>100</v>
      </c>
      <c r="T471" s="3"/>
      <c r="U471" s="3" t="str">
        <f ca="1">IFERROR(__xludf.DUMMYFUNCTION("""COMPUTED_VALUE"""),"nativní reklama")</f>
        <v>nativní reklama</v>
      </c>
      <c r="V471" s="3"/>
      <c r="W471" s="4" t="str">
        <f ca="1">IFERROR(__xludf.DUMMYFUNCTION("""COMPUTED_VALUE"""),"https://reklama.cncenter.cz/Online/nativni-PR-premium")</f>
        <v>https://reklama.cncenter.cz/Online/nativni-PR-premium</v>
      </c>
      <c r="X471" s="3"/>
      <c r="Y471" s="3"/>
      <c r="Z471" s="3" t="str">
        <f ca="1">IFERROR(__xludf.DUMMYFUNCTION("""COMPUTED_VALUE"""),"podklady@cncenter.cz")</f>
        <v>podklady@cncenter.cz</v>
      </c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 t="str">
        <f ca="1">IFERROR(__xludf.DUMMYFUNCTION("""COMPUTED_VALUE"""),"cross-device")</f>
        <v>cross-device</v>
      </c>
      <c r="AO471" s="3"/>
      <c r="AP471" s="3"/>
      <c r="AQ471" s="3"/>
      <c r="AR471" s="3"/>
      <c r="AS471" s="3"/>
      <c r="AT471" s="3"/>
      <c r="AU471" s="3" t="str">
        <f ca="1">IFERROR(__xludf.DUMMYFUNCTION("""COMPUTED_VALUE"""),"nativní pr premium")</f>
        <v>nativní pr premium</v>
      </c>
    </row>
    <row r="472" spans="1:47" x14ac:dyDescent="0.3">
      <c r="A472" s="3">
        <f ca="1"/>
        <v>2346826</v>
      </c>
      <c r="B472" s="3" t="str">
        <f ca="1"/>
        <v>CZECH NEWS CENTER a. s.</v>
      </c>
      <c r="C472" s="3" t="str">
        <f ca="1">IFERROR(__xludf.DUMMYFUNCTION("""COMPUTED_VALUE"""),"Dáma")</f>
        <v>Dáma</v>
      </c>
      <c r="D472" s="4" t="str">
        <f ca="1">IFERROR(__xludf.DUMMYFUNCTION("""COMPUTED_VALUE"""),"https://dama.cz")</f>
        <v>https://dama.cz</v>
      </c>
      <c r="E472" s="3" t="str">
        <f ca="1">IFERROR(__xludf.DUMMYFUNCTION("""COMPUTED_VALUE"""),"celý web")</f>
        <v>celý web</v>
      </c>
      <c r="F472" s="4" t="str">
        <f ca="1">IFERROR(__xludf.DUMMYFUNCTION("""COMPUTED_VALUE"""),"https://dama.cz")</f>
        <v>https://dama.cz</v>
      </c>
      <c r="G472" s="3" t="str">
        <f ca="1">IFERROR(__xludf.DUMMYFUNCTION("""COMPUTED_VALUE"""),"nativní rectangle cross-device high season")</f>
        <v>nativní rectangle cross-device high season</v>
      </c>
      <c r="H472" s="3">
        <f ca="1">IFERROR(__xludf.DUMMYFUNCTION("""COMPUTED_VALUE"""),7)</f>
        <v>7</v>
      </c>
      <c r="I472" s="5">
        <f ca="1">IFERROR(__xludf.DUMMYFUNCTION("""COMPUTED_VALUE"""),1000)</f>
        <v>1000</v>
      </c>
      <c r="J472" s="5">
        <f ca="1">IFERROR(__xludf.DUMMYFUNCTION("""COMPUTED_VALUE"""),360)</f>
        <v>360</v>
      </c>
      <c r="K472" s="3"/>
      <c r="L472" s="3" t="str">
        <f ca="1">IFERROR(__xludf.DUMMYFUNCTION("""COMPUTED_VALUE"""),"Cost per period")</f>
        <v>Cost per period</v>
      </c>
      <c r="M472" s="3"/>
      <c r="N472" s="3"/>
      <c r="O472" s="3" t="str">
        <f ca="1">IFERROR(__xludf.DUMMYFUNCTION("""COMPUTED_VALUE"""),"640")</f>
        <v>640</v>
      </c>
      <c r="P472" s="3" t="str">
        <f ca="1">IFERROR(__xludf.DUMMYFUNCTION("""COMPUTED_VALUE"""),"335, 640")</f>
        <v>335, 640</v>
      </c>
      <c r="Q472" s="3" t="str">
        <f ca="1">IFERROR(__xludf.DUMMYFUNCTION("""COMPUTED_VALUE"""),"640x640 a 640x335 + text + logo")</f>
        <v>640x640 a 640x335 + text + logo</v>
      </c>
      <c r="R472" s="3"/>
      <c r="S472" s="3" t="str">
        <f ca="1">IFERROR(__xludf.DUMMYFUNCTION("""COMPUTED_VALUE"""),"45")</f>
        <v>45</v>
      </c>
      <c r="T472" s="3"/>
      <c r="U472" s="3" t="str">
        <f ca="1">IFERROR(__xludf.DUMMYFUNCTION("""COMPUTED_VALUE"""),"nativní reklama")</f>
        <v>nativní reklama</v>
      </c>
      <c r="V472" s="3"/>
      <c r="W472" s="4" t="str">
        <f ca="1">IFERROR(__xludf.DUMMYFUNCTION("""COMPUTED_VALUE"""),"https://reklama.cncenter.cz/Online/nativni-rectangle-cross-device")</f>
        <v>https://reklama.cncenter.cz/Online/nativni-rectangle-cross-device</v>
      </c>
      <c r="X472" s="3"/>
      <c r="Y472" s="3"/>
      <c r="Z472" s="3" t="str">
        <f ca="1">IFERROR(__xludf.DUMMYFUNCTION("""COMPUTED_VALUE"""),"podklady@cncenter.cz")</f>
        <v>podklady@cncenter.cz</v>
      </c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 t="str">
        <f ca="1">IFERROR(__xludf.DUMMYFUNCTION("""COMPUTED_VALUE"""),"cross-device")</f>
        <v>cross-device</v>
      </c>
      <c r="AO472" s="3"/>
      <c r="AP472" s="3"/>
      <c r="AQ472" s="3"/>
      <c r="AR472" s="3"/>
      <c r="AS472" s="3"/>
      <c r="AT472" s="3"/>
      <c r="AU472" s="3" t="str">
        <f ca="1">IFERROR(__xludf.DUMMYFUNCTION("""COMPUTED_VALUE"""),"nativní rectangle cross-device")</f>
        <v>nativní rectangle cross-device</v>
      </c>
    </row>
    <row r="473" spans="1:47" x14ac:dyDescent="0.3">
      <c r="A473" s="3">
        <f ca="1"/>
        <v>2346826</v>
      </c>
      <c r="B473" s="3" t="str">
        <f ca="1"/>
        <v>CZECH NEWS CENTER a. s.</v>
      </c>
      <c r="C473" s="3" t="str">
        <f ca="1">IFERROR(__xludf.DUMMYFUNCTION("""COMPUTED_VALUE"""),"Dáma")</f>
        <v>Dáma</v>
      </c>
      <c r="D473" s="4" t="str">
        <f ca="1">IFERROR(__xludf.DUMMYFUNCTION("""COMPUTED_VALUE"""),"https://dama.cz")</f>
        <v>https://dama.cz</v>
      </c>
      <c r="E473" s="3" t="str">
        <f ca="1">IFERROR(__xludf.DUMMYFUNCTION("""COMPUTED_VALUE"""),"celý web")</f>
        <v>celý web</v>
      </c>
      <c r="F473" s="4" t="str">
        <f ca="1">IFERROR(__xludf.DUMMYFUNCTION("""COMPUTED_VALUE"""),"https://dama.cz")</f>
        <v>https://dama.cz</v>
      </c>
      <c r="G473" s="3" t="str">
        <f ca="1">IFERROR(__xludf.DUMMYFUNCTION("""COMPUTED_VALUE"""),"outstream high season")</f>
        <v>outstream high season</v>
      </c>
      <c r="H473" s="3">
        <f ca="1">IFERROR(__xludf.DUMMYFUNCTION("""COMPUTED_VALUE"""),7)</f>
        <v>7</v>
      </c>
      <c r="I473" s="5">
        <f ca="1">IFERROR(__xludf.DUMMYFUNCTION("""COMPUTED_VALUE"""),1000)</f>
        <v>1000</v>
      </c>
      <c r="J473" s="5">
        <f ca="1">IFERROR(__xludf.DUMMYFUNCTION("""COMPUTED_VALUE"""),450)</f>
        <v>450</v>
      </c>
      <c r="K473" s="3"/>
      <c r="L473" s="3" t="str">
        <f ca="1">IFERROR(__xludf.DUMMYFUNCTION("""COMPUTED_VALUE"""),"Cost per period")</f>
        <v>Cost per period</v>
      </c>
      <c r="M473" s="3"/>
      <c r="N473" s="3"/>
      <c r="O473" s="3" t="str">
        <f ca="1">IFERROR(__xludf.DUMMYFUNCTION("""COMPUTED_VALUE"""),"1280")</f>
        <v>1280</v>
      </c>
      <c r="P473" s="3" t="str">
        <f ca="1">IFERROR(__xludf.DUMMYFUNCTION("""COMPUTED_VALUE"""),"720")</f>
        <v>720</v>
      </c>
      <c r="Q473" s="3" t="str">
        <f ca="1">IFERROR(__xludf.DUMMYFUNCTION("""COMPUTED_VALUE"""),"16:9")</f>
        <v>16:9</v>
      </c>
      <c r="R473" s="3"/>
      <c r="S473" s="3" t="str">
        <f ca="1">IFERROR(__xludf.DUMMYFUNCTION("""COMPUTED_VALUE"""),"100")</f>
        <v>100</v>
      </c>
      <c r="T473" s="3"/>
      <c r="U473" s="3" t="str">
        <f ca="1">IFERROR(__xludf.DUMMYFUNCTION("""COMPUTED_VALUE"""),"videospot")</f>
        <v>videospot</v>
      </c>
      <c r="V473" s="3"/>
      <c r="W473" s="4" t="str">
        <f ca="1">IFERROR(__xludf.DUMMYFUNCTION("""COMPUTED_VALUE"""),"https://reklama.cncenter.cz/Online/Outstream")</f>
        <v>https://reklama.cncenter.cz/Online/Outstream</v>
      </c>
      <c r="X473" s="3"/>
      <c r="Y473" s="3"/>
      <c r="Z473" s="3" t="str">
        <f ca="1">IFERROR(__xludf.DUMMYFUNCTION("""COMPUTED_VALUE"""),"podklady@cncenter.cz")</f>
        <v>podklady@cncenter.cz</v>
      </c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 t="str">
        <f ca="1">IFERROR(__xludf.DUMMYFUNCTION("""COMPUTED_VALUE"""),"cross-device")</f>
        <v>cross-device</v>
      </c>
      <c r="AO473" s="3"/>
      <c r="AP473" s="3"/>
      <c r="AQ473" s="3"/>
      <c r="AR473" s="3"/>
      <c r="AS473" s="3"/>
      <c r="AT473" s="3"/>
      <c r="AU473" s="3" t="str">
        <f ca="1">IFERROR(__xludf.DUMMYFUNCTION("""COMPUTED_VALUE"""),"outstream")</f>
        <v>outstream</v>
      </c>
    </row>
    <row r="474" spans="1:47" x14ac:dyDescent="0.3">
      <c r="A474" s="3">
        <f ca="1"/>
        <v>2346826</v>
      </c>
      <c r="B474" s="3" t="str">
        <f ca="1"/>
        <v>CZECH NEWS CENTER a. s.</v>
      </c>
      <c r="C474" s="3" t="str">
        <f ca="1">IFERROR(__xludf.DUMMYFUNCTION("""COMPUTED_VALUE"""),"Dáma")</f>
        <v>Dáma</v>
      </c>
      <c r="D474" s="4" t="str">
        <f ca="1">IFERROR(__xludf.DUMMYFUNCTION("""COMPUTED_VALUE"""),"https://dama.cz")</f>
        <v>https://dama.cz</v>
      </c>
      <c r="E474" s="3" t="str">
        <f ca="1">IFERROR(__xludf.DUMMYFUNCTION("""COMPUTED_VALUE"""),"celý web")</f>
        <v>celý web</v>
      </c>
      <c r="F474" s="4" t="str">
        <f ca="1">IFERROR(__xludf.DUMMYFUNCTION("""COMPUTED_VALUE"""),"https://dama.cz")</f>
        <v>https://dama.cz</v>
      </c>
      <c r="G474" s="3" t="str">
        <f ca="1">IFERROR(__xludf.DUMMYFUNCTION("""COMPUTED_VALUE"""),"PR článek high season")</f>
        <v>PR článek high season</v>
      </c>
      <c r="H474" s="3">
        <f ca="1">IFERROR(__xludf.DUMMYFUNCTION("""COMPUTED_VALUE"""),1)</f>
        <v>1</v>
      </c>
      <c r="I474" s="5">
        <f ca="1">IFERROR(__xludf.DUMMYFUNCTION("""COMPUTED_VALUE"""),1)</f>
        <v>1</v>
      </c>
      <c r="J474" s="5">
        <f ca="1">IFERROR(__xludf.DUMMYFUNCTION("""COMPUTED_VALUE"""),20000)</f>
        <v>20000</v>
      </c>
      <c r="K474" s="3"/>
      <c r="L474" s="3" t="str">
        <f ca="1">IFERROR(__xludf.DUMMYFUNCTION("""COMPUTED_VALUE"""),"Cost per instance")</f>
        <v>Cost per instance</v>
      </c>
      <c r="M474" s="3"/>
      <c r="N474" s="3"/>
      <c r="O474" s="3"/>
      <c r="P474" s="3"/>
      <c r="Q474" s="3"/>
      <c r="R474" s="3"/>
      <c r="S474" s="3" t="str">
        <f ca="1">IFERROR(__xludf.DUMMYFUNCTION("""COMPUTED_VALUE"""),"100")</f>
        <v>100</v>
      </c>
      <c r="T474" s="3"/>
      <c r="U474" s="3" t="str">
        <f ca="1">IFERROR(__xludf.DUMMYFUNCTION("""COMPUTED_VALUE"""),"pr článek")</f>
        <v>pr článek</v>
      </c>
      <c r="V474" s="3"/>
      <c r="W474" s="4" t="str">
        <f ca="1">IFERROR(__xludf.DUMMYFUNCTION("""COMPUTED_VALUE"""),"https://reklama.cncenter.cz/?ads=PR%2520%25C4%258Dl%25C3%25A1nky")</f>
        <v>https://reklama.cncenter.cz/?ads=PR%2520%25C4%258Dl%25C3%25A1nky</v>
      </c>
      <c r="X474" s="3"/>
      <c r="Y474" s="3"/>
      <c r="Z474" s="3" t="str">
        <f ca="1">IFERROR(__xludf.DUMMYFUNCTION("""COMPUTED_VALUE"""),"podklady@cncenter.cz")</f>
        <v>podklady@cncenter.cz</v>
      </c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 t="str">
        <f ca="1">IFERROR(__xludf.DUMMYFUNCTION("""COMPUTED_VALUE"""),"cross-device")</f>
        <v>cross-device</v>
      </c>
      <c r="AO474" s="3"/>
      <c r="AP474" s="3"/>
      <c r="AQ474" s="3"/>
      <c r="AR474" s="3"/>
      <c r="AS474" s="3"/>
      <c r="AT474" s="3"/>
      <c r="AU474" s="3" t="str">
        <f ca="1">IFERROR(__xludf.DUMMYFUNCTION("""COMPUTED_VALUE"""),"PR článek")</f>
        <v>PR článek</v>
      </c>
    </row>
    <row r="475" spans="1:47" x14ac:dyDescent="0.3">
      <c r="A475" s="3">
        <f ca="1"/>
        <v>2346826</v>
      </c>
      <c r="B475" s="3" t="str">
        <f ca="1"/>
        <v>CZECH NEWS CENTER a. s.</v>
      </c>
      <c r="C475" s="3" t="str">
        <f ca="1">IFERROR(__xludf.DUMMYFUNCTION("""COMPUTED_VALUE"""),"Dáma")</f>
        <v>Dáma</v>
      </c>
      <c r="D475" s="4" t="str">
        <f ca="1">IFERROR(__xludf.DUMMYFUNCTION("""COMPUTED_VALUE"""),"https://dama.cz")</f>
        <v>https://dama.cz</v>
      </c>
      <c r="E475" s="3" t="str">
        <f ca="1">IFERROR(__xludf.DUMMYFUNCTION("""COMPUTED_VALUE"""),"celý web")</f>
        <v>celý web</v>
      </c>
      <c r="F475" s="4" t="str">
        <f ca="1">IFERROR(__xludf.DUMMYFUNCTION("""COMPUTED_VALUE"""),"https://dama.cz")</f>
        <v>https://dama.cz</v>
      </c>
      <c r="G475" s="3" t="str">
        <f ca="1">IFERROR(__xludf.DUMMYFUNCTION("""COMPUTED_VALUE"""),"Prodloužení existující microsite, bez úprav high season")</f>
        <v>Prodloužení existující microsite, bez úprav high season</v>
      </c>
      <c r="H475" s="3">
        <f ca="1">IFERROR(__xludf.DUMMYFUNCTION("""COMPUTED_VALUE"""),1)</f>
        <v>1</v>
      </c>
      <c r="I475" s="5">
        <f ca="1">IFERROR(__xludf.DUMMYFUNCTION("""COMPUTED_VALUE"""),1)</f>
        <v>1</v>
      </c>
      <c r="J475" s="5">
        <f ca="1">IFERROR(__xludf.DUMMYFUNCTION("""COMPUTED_VALUE"""),15000)</f>
        <v>15000</v>
      </c>
      <c r="K475" s="3"/>
      <c r="L475" s="3" t="str">
        <f ca="1">IFERROR(__xludf.DUMMYFUNCTION("""COMPUTED_VALUE"""),"Cost per instance")</f>
        <v>Cost per instance</v>
      </c>
      <c r="M475" s="3"/>
      <c r="N475" s="3"/>
      <c r="O475" s="3"/>
      <c r="P475" s="3"/>
      <c r="Q475" s="3"/>
      <c r="R475" s="3"/>
      <c r="S475" s="3" t="str">
        <f ca="1">IFERROR(__xludf.DUMMYFUNCTION("""COMPUTED_VALUE"""),"100")</f>
        <v>100</v>
      </c>
      <c r="T475" s="3"/>
      <c r="U475" s="3" t="str">
        <f ca="1">IFERROR(__xludf.DUMMYFUNCTION("""COMPUTED_VALUE"""),"microsite")</f>
        <v>microsite</v>
      </c>
      <c r="V475" s="3"/>
      <c r="W475" s="3"/>
      <c r="X475" s="3"/>
      <c r="Y475" s="3"/>
      <c r="Z475" s="3" t="str">
        <f ca="1">IFERROR(__xludf.DUMMYFUNCTION("""COMPUTED_VALUE"""),"podklady@cncenter.cz")</f>
        <v>podklady@cncenter.cz</v>
      </c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 t="str">
        <f ca="1">IFERROR(__xludf.DUMMYFUNCTION("""COMPUTED_VALUE"""),"cross-device")</f>
        <v>cross-device</v>
      </c>
      <c r="AO475" s="3"/>
      <c r="AP475" s="3"/>
      <c r="AQ475" s="3"/>
      <c r="AR475" s="3"/>
      <c r="AS475" s="3"/>
      <c r="AT475" s="3"/>
      <c r="AU475" s="3" t="str">
        <f ca="1">IFERROR(__xludf.DUMMYFUNCTION("""COMPUTED_VALUE"""),"Prodloužení existující microsite, bez úprav")</f>
        <v>Prodloužení existující microsite, bez úprav</v>
      </c>
    </row>
    <row r="476" spans="1:47" x14ac:dyDescent="0.3">
      <c r="A476" s="3">
        <f ca="1"/>
        <v>2346826</v>
      </c>
      <c r="B476" s="3" t="str">
        <f ca="1"/>
        <v>CZECH NEWS CENTER a. s.</v>
      </c>
      <c r="C476" s="3" t="str">
        <f ca="1">IFERROR(__xludf.DUMMYFUNCTION("""COMPUTED_VALUE"""),"Dáma")</f>
        <v>Dáma</v>
      </c>
      <c r="D476" s="4" t="str">
        <f ca="1">IFERROR(__xludf.DUMMYFUNCTION("""COMPUTED_VALUE"""),"https://dama.cz")</f>
        <v>https://dama.cz</v>
      </c>
      <c r="E476" s="3" t="str">
        <f ca="1">IFERROR(__xludf.DUMMYFUNCTION("""COMPUTED_VALUE"""),"celý web")</f>
        <v>celý web</v>
      </c>
      <c r="F476" s="4" t="str">
        <f ca="1">IFERROR(__xludf.DUMMYFUNCTION("""COMPUTED_VALUE"""),"https://dama.cz")</f>
        <v>https://dama.cz</v>
      </c>
      <c r="G476" s="3" t="str">
        <f ca="1">IFERROR(__xludf.DUMMYFUNCTION("""COMPUTED_VALUE"""),"Prodloužení existující microsite, bez úprav high season")</f>
        <v>Prodloužení existující microsite, bez úprav high season</v>
      </c>
      <c r="H476" s="3">
        <f ca="1">IFERROR(__xludf.DUMMYFUNCTION("""COMPUTED_VALUE"""),1)</f>
        <v>1</v>
      </c>
      <c r="I476" s="5">
        <f ca="1">IFERROR(__xludf.DUMMYFUNCTION("""COMPUTED_VALUE"""),1)</f>
        <v>1</v>
      </c>
      <c r="J476" s="5">
        <f ca="1">IFERROR(__xludf.DUMMYFUNCTION("""COMPUTED_VALUE"""),15000)</f>
        <v>15000</v>
      </c>
      <c r="K476" s="3"/>
      <c r="L476" s="3" t="str">
        <f ca="1">IFERROR(__xludf.DUMMYFUNCTION("""COMPUTED_VALUE"""),"Cost per instance")</f>
        <v>Cost per instance</v>
      </c>
      <c r="M476" s="3"/>
      <c r="N476" s="3"/>
      <c r="O476" s="3"/>
      <c r="P476" s="3"/>
      <c r="Q476" s="3"/>
      <c r="R476" s="3"/>
      <c r="S476" s="3" t="str">
        <f ca="1">IFERROR(__xludf.DUMMYFUNCTION("""COMPUTED_VALUE"""),"100")</f>
        <v>100</v>
      </c>
      <c r="T476" s="3"/>
      <c r="U476" s="3" t="str">
        <f ca="1">IFERROR(__xludf.DUMMYFUNCTION("""COMPUTED_VALUE"""),"microsite")</f>
        <v>microsite</v>
      </c>
      <c r="V476" s="3"/>
      <c r="W476" s="3"/>
      <c r="X476" s="3"/>
      <c r="Y476" s="3"/>
      <c r="Z476" s="3" t="str">
        <f ca="1">IFERROR(__xludf.DUMMYFUNCTION("""COMPUTED_VALUE"""),"podklady@cncenter.cz")</f>
        <v>podklady@cncenter.cz</v>
      </c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 t="str">
        <f ca="1">IFERROR(__xludf.DUMMYFUNCTION("""COMPUTED_VALUE"""),"cross-device")</f>
        <v>cross-device</v>
      </c>
      <c r="AO476" s="3"/>
      <c r="AP476" s="3"/>
      <c r="AQ476" s="3"/>
      <c r="AR476" s="3"/>
      <c r="AS476" s="3"/>
      <c r="AT476" s="3"/>
      <c r="AU476" s="3" t="str">
        <f ca="1">IFERROR(__xludf.DUMMYFUNCTION("""COMPUTED_VALUE"""),"Prodloužení existující microsite, bez úprav")</f>
        <v>Prodloužení existující microsite, bez úprav</v>
      </c>
    </row>
    <row r="477" spans="1:47" x14ac:dyDescent="0.3">
      <c r="A477" s="3">
        <f ca="1"/>
        <v>2346826</v>
      </c>
      <c r="B477" s="3" t="str">
        <f ca="1"/>
        <v>CZECH NEWS CENTER a. s.</v>
      </c>
      <c r="C477" s="3" t="str">
        <f ca="1">IFERROR(__xludf.DUMMYFUNCTION("""COMPUTED_VALUE"""),"Dáma")</f>
        <v>Dáma</v>
      </c>
      <c r="D477" s="4" t="str">
        <f ca="1">IFERROR(__xludf.DUMMYFUNCTION("""COMPUTED_VALUE"""),"https://dama.cz")</f>
        <v>https://dama.cz</v>
      </c>
      <c r="E477" s="3" t="str">
        <f ca="1">IFERROR(__xludf.DUMMYFUNCTION("""COMPUTED_VALUE"""),"celý web")</f>
        <v>celý web</v>
      </c>
      <c r="F477" s="4" t="str">
        <f ca="1">IFERROR(__xludf.DUMMYFUNCTION("""COMPUTED_VALUE"""),"https://dama.cz")</f>
        <v>https://dama.cz</v>
      </c>
      <c r="G477" s="3" t="str">
        <f ca="1">IFERROR(__xludf.DUMMYFUNCTION("""COMPUTED_VALUE"""),"Prodloužení existující microsite, bez úprav high season")</f>
        <v>Prodloužení existující microsite, bez úprav high season</v>
      </c>
      <c r="H477" s="3">
        <f ca="1">IFERROR(__xludf.DUMMYFUNCTION("""COMPUTED_VALUE"""),1)</f>
        <v>1</v>
      </c>
      <c r="I477" s="5">
        <f ca="1">IFERROR(__xludf.DUMMYFUNCTION("""COMPUTED_VALUE"""),1)</f>
        <v>1</v>
      </c>
      <c r="J477" s="5">
        <f ca="1">IFERROR(__xludf.DUMMYFUNCTION("""COMPUTED_VALUE"""),15000)</f>
        <v>15000</v>
      </c>
      <c r="K477" s="3"/>
      <c r="L477" s="3" t="str">
        <f ca="1">IFERROR(__xludf.DUMMYFUNCTION("""COMPUTED_VALUE"""),"Cost per instance")</f>
        <v>Cost per instance</v>
      </c>
      <c r="M477" s="3"/>
      <c r="N477" s="3"/>
      <c r="O477" s="3"/>
      <c r="P477" s="3"/>
      <c r="Q477" s="3"/>
      <c r="R477" s="3"/>
      <c r="S477" s="3" t="str">
        <f ca="1">IFERROR(__xludf.DUMMYFUNCTION("""COMPUTED_VALUE"""),"100")</f>
        <v>100</v>
      </c>
      <c r="T477" s="3"/>
      <c r="U477" s="3" t="str">
        <f ca="1">IFERROR(__xludf.DUMMYFUNCTION("""COMPUTED_VALUE"""),"microsite")</f>
        <v>microsite</v>
      </c>
      <c r="V477" s="3"/>
      <c r="W477" s="3"/>
      <c r="X477" s="3"/>
      <c r="Y477" s="3"/>
      <c r="Z477" s="3" t="str">
        <f ca="1">IFERROR(__xludf.DUMMYFUNCTION("""COMPUTED_VALUE"""),"podklady@cncenter.cz")</f>
        <v>podklady@cncenter.cz</v>
      </c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 t="str">
        <f ca="1">IFERROR(__xludf.DUMMYFUNCTION("""COMPUTED_VALUE"""),"cross-device")</f>
        <v>cross-device</v>
      </c>
      <c r="AO477" s="3"/>
      <c r="AP477" s="3"/>
      <c r="AQ477" s="3"/>
      <c r="AR477" s="3"/>
      <c r="AS477" s="3"/>
      <c r="AT477" s="3"/>
      <c r="AU477" s="3" t="str">
        <f ca="1">IFERROR(__xludf.DUMMYFUNCTION("""COMPUTED_VALUE"""),"Prodloužení existující microsite, bez úprav")</f>
        <v>Prodloužení existující microsite, bez úprav</v>
      </c>
    </row>
    <row r="478" spans="1:47" x14ac:dyDescent="0.3">
      <c r="A478" s="3">
        <f ca="1"/>
        <v>2346826</v>
      </c>
      <c r="B478" s="3" t="str">
        <f ca="1"/>
        <v>CZECH NEWS CENTER a. s.</v>
      </c>
      <c r="C478" s="3" t="str">
        <f ca="1">IFERROR(__xludf.DUMMYFUNCTION("""COMPUTED_VALUE"""),"Dáma")</f>
        <v>Dáma</v>
      </c>
      <c r="D478" s="4" t="str">
        <f ca="1">IFERROR(__xludf.DUMMYFUNCTION("""COMPUTED_VALUE"""),"https://dama.cz")</f>
        <v>https://dama.cz</v>
      </c>
      <c r="E478" s="3" t="str">
        <f ca="1">IFERROR(__xludf.DUMMYFUNCTION("""COMPUTED_VALUE"""),"celý web")</f>
        <v>celý web</v>
      </c>
      <c r="F478" s="4" t="str">
        <f ca="1">IFERROR(__xludf.DUMMYFUNCTION("""COMPUTED_VALUE"""),"https://dama.cz")</f>
        <v>https://dama.cz</v>
      </c>
      <c r="G478" s="3" t="str">
        <f ca="1">IFERROR(__xludf.DUMMYFUNCTION("""COMPUTED_VALUE"""),"videospot - max. 30 sec. / bumper high season")</f>
        <v>videospot - max. 30 sec. / bumper high season</v>
      </c>
      <c r="H478" s="3">
        <f ca="1">IFERROR(__xludf.DUMMYFUNCTION("""COMPUTED_VALUE"""),7)</f>
        <v>7</v>
      </c>
      <c r="I478" s="5">
        <f ca="1">IFERROR(__xludf.DUMMYFUNCTION("""COMPUTED_VALUE"""),1000)</f>
        <v>1000</v>
      </c>
      <c r="J478" s="5">
        <f ca="1">IFERROR(__xludf.DUMMYFUNCTION("""COMPUTED_VALUE"""),1340)</f>
        <v>1340</v>
      </c>
      <c r="K478" s="3"/>
      <c r="L478" s="3" t="str">
        <f ca="1">IFERROR(__xludf.DUMMYFUNCTION("""COMPUTED_VALUE"""),"Cost per period")</f>
        <v>Cost per period</v>
      </c>
      <c r="M478" s="3"/>
      <c r="N478" s="3"/>
      <c r="O478" s="3" t="str">
        <f ca="1">IFERROR(__xludf.DUMMYFUNCTION("""COMPUTED_VALUE"""),"1280")</f>
        <v>1280</v>
      </c>
      <c r="P478" s="3" t="str">
        <f ca="1">IFERROR(__xludf.DUMMYFUNCTION("""COMPUTED_VALUE"""),"720")</f>
        <v>720</v>
      </c>
      <c r="Q478" s="3" t="str">
        <f ca="1">IFERROR(__xludf.DUMMYFUNCTION("""COMPUTED_VALUE"""),"16:9 / umístění po domluvě dle možností")</f>
        <v>16:9 / umístění po domluvě dle možností</v>
      </c>
      <c r="R478" s="3" t="str">
        <f ca="1">IFERROR(__xludf.DUMMYFUNCTION("""COMPUTED_VALUE"""),"přeskočení po 7 sekundách")</f>
        <v>přeskočení po 7 sekundách</v>
      </c>
      <c r="S478" s="3" t="str">
        <f ca="1">IFERROR(__xludf.DUMMYFUNCTION("""COMPUTED_VALUE"""),"100")</f>
        <v>100</v>
      </c>
      <c r="T478" s="3"/>
      <c r="U478" s="3" t="str">
        <f ca="1">IFERROR(__xludf.DUMMYFUNCTION("""COMPUTED_VALUE"""),"videospot")</f>
        <v>videospot</v>
      </c>
      <c r="V478" s="3"/>
      <c r="W478" s="4" t="str">
        <f ca="1">IFERROR(__xludf.DUMMYFUNCTION("""COMPUTED_VALUE"""),"https://reklama.cncenter.cz/Online/Bumper")</f>
        <v>https://reklama.cncenter.cz/Online/Bumper</v>
      </c>
      <c r="X478" s="3"/>
      <c r="Y478" s="3"/>
      <c r="Z478" s="3" t="str">
        <f ca="1">IFERROR(__xludf.DUMMYFUNCTION("""COMPUTED_VALUE"""),"podklady@cncenter.cz")</f>
        <v>podklady@cncenter.cz</v>
      </c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 t="str">
        <f ca="1">IFERROR(__xludf.DUMMYFUNCTION("""COMPUTED_VALUE"""),"cross-device")</f>
        <v>cross-device</v>
      </c>
      <c r="AO478" s="3"/>
      <c r="AP478" s="3"/>
      <c r="AQ478" s="3"/>
      <c r="AR478" s="3"/>
      <c r="AS478" s="3"/>
      <c r="AT478" s="3"/>
      <c r="AU478" s="3" t="str">
        <f ca="1">IFERROR(__xludf.DUMMYFUNCTION("""COMPUTED_VALUE"""),"videospot - max. 30 sec. / bumper")</f>
        <v>videospot - max. 30 sec. / bumper</v>
      </c>
    </row>
    <row r="479" spans="1:47" x14ac:dyDescent="0.3">
      <c r="A479" s="3">
        <f ca="1"/>
        <v>2346826</v>
      </c>
      <c r="B479" s="3" t="str">
        <f ca="1"/>
        <v>CZECH NEWS CENTER a. s.</v>
      </c>
      <c r="C479" s="3" t="str">
        <f ca="1">IFERROR(__xludf.DUMMYFUNCTION("""COMPUTED_VALUE"""),"E15")</f>
        <v>E15</v>
      </c>
      <c r="D479" s="3" t="str">
        <f ca="1">IFERROR(__xludf.DUMMYFUNCTION("""COMPUTED_VALUE"""),"https://e15.cz, https://finexpert.cz, https://www.e15.cz/formen")</f>
        <v>https://e15.cz, https://finexpert.cz, https://www.e15.cz/formen</v>
      </c>
      <c r="E479" s="3" t="str">
        <f ca="1">IFERROR(__xludf.DUMMYFUNCTION("""COMPUTED_VALUE"""),"celý web")</f>
        <v>celý web</v>
      </c>
      <c r="F479" s="3" t="str">
        <f ca="1">IFERROR(__xludf.DUMMYFUNCTION("""COMPUTED_VALUE"""),"https://e15.cz, https://finexpert.cz, https://www.e15.cz/formen")</f>
        <v>https://e15.cz, https://finexpert.cz, https://www.e15.cz/formen</v>
      </c>
      <c r="G479" s="3" t="str">
        <f ca="1">IFERROR(__xludf.DUMMYFUNCTION("""COMPUTED_VALUE"""),"Advertorial high season")</f>
        <v>Advertorial high season</v>
      </c>
      <c r="H479" s="3">
        <f ca="1">IFERROR(__xludf.DUMMYFUNCTION("""COMPUTED_VALUE"""),1)</f>
        <v>1</v>
      </c>
      <c r="I479" s="5">
        <f ca="1">IFERROR(__xludf.DUMMYFUNCTION("""COMPUTED_VALUE"""),1)</f>
        <v>1</v>
      </c>
      <c r="J479" s="5">
        <f ca="1">IFERROR(__xludf.DUMMYFUNCTION("""COMPUTED_VALUE"""),90000)</f>
        <v>90000</v>
      </c>
      <c r="K479" s="3"/>
      <c r="L479" s="3" t="str">
        <f ca="1">IFERROR(__xludf.DUMMYFUNCTION("""COMPUTED_VALUE"""),"Cost per instance")</f>
        <v>Cost per instance</v>
      </c>
      <c r="M479" s="3"/>
      <c r="N479" s="3"/>
      <c r="O479" s="3"/>
      <c r="P479" s="3"/>
      <c r="Q479" s="3"/>
      <c r="R479" s="3"/>
      <c r="S479" s="3" t="str">
        <f ca="1">IFERROR(__xludf.DUMMYFUNCTION("""COMPUTED_VALUE"""),"100")</f>
        <v>100</v>
      </c>
      <c r="T479" s="3"/>
      <c r="U479" s="3" t="str">
        <f ca="1">IFERROR(__xludf.DUMMYFUNCTION("""COMPUTED_VALUE"""),"pr článek")</f>
        <v>pr článek</v>
      </c>
      <c r="V479" s="3"/>
      <c r="W479" s="3"/>
      <c r="X479" s="3"/>
      <c r="Y479" s="3"/>
      <c r="Z479" s="3" t="str">
        <f ca="1">IFERROR(__xludf.DUMMYFUNCTION("""COMPUTED_VALUE"""),"podklady@cncenter.cz")</f>
        <v>podklady@cncenter.cz</v>
      </c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 t="str">
        <f ca="1">IFERROR(__xludf.DUMMYFUNCTION("""COMPUTED_VALUE"""),"cross-device")</f>
        <v>cross-device</v>
      </c>
      <c r="AO479" s="3"/>
      <c r="AP479" s="3"/>
      <c r="AQ479" s="3"/>
      <c r="AR479" s="3"/>
      <c r="AS479" s="3"/>
      <c r="AT479" s="3"/>
      <c r="AU479" s="3" t="str">
        <f ca="1">IFERROR(__xludf.DUMMYFUNCTION("""COMPUTED_VALUE"""),"Advertorial")</f>
        <v>Advertorial</v>
      </c>
    </row>
    <row r="480" spans="1:47" x14ac:dyDescent="0.3">
      <c r="A480" s="3">
        <f ca="1"/>
        <v>2346826</v>
      </c>
      <c r="B480" s="3" t="str">
        <f ca="1"/>
        <v>CZECH NEWS CENTER a. s.</v>
      </c>
      <c r="C480" s="3" t="str">
        <f ca="1">IFERROR(__xludf.DUMMYFUNCTION("""COMPUTED_VALUE"""),"E15")</f>
        <v>E15</v>
      </c>
      <c r="D480" s="3" t="str">
        <f ca="1">IFERROR(__xludf.DUMMYFUNCTION("""COMPUTED_VALUE"""),"https://e15.cz, https://finexpert.cz, https://www.e15.cz/formen")</f>
        <v>https://e15.cz, https://finexpert.cz, https://www.e15.cz/formen</v>
      </c>
      <c r="E480" s="3" t="str">
        <f ca="1">IFERROR(__xludf.DUMMYFUNCTION("""COMPUTED_VALUE"""),"celý web")</f>
        <v>celý web</v>
      </c>
      <c r="F480" s="3" t="str">
        <f ca="1">IFERROR(__xludf.DUMMYFUNCTION("""COMPUTED_VALUE"""),"https://e15.cz, https://finexpert.cz, https://www.e15.cz/formen")</f>
        <v>https://e15.cz, https://finexpert.cz, https://www.e15.cz/formen</v>
      </c>
      <c r="G480" s="3" t="str">
        <f ca="1">IFERROR(__xludf.DUMMYFUNCTION("""COMPUTED_VALUE"""),"billboard bottom high season")</f>
        <v>billboard bottom high season</v>
      </c>
      <c r="H480" s="3">
        <f ca="1">IFERROR(__xludf.DUMMYFUNCTION("""COMPUTED_VALUE"""),7)</f>
        <v>7</v>
      </c>
      <c r="I480" s="5">
        <f ca="1">IFERROR(__xludf.DUMMYFUNCTION("""COMPUTED_VALUE"""),1000)</f>
        <v>1000</v>
      </c>
      <c r="J480" s="5">
        <f ca="1">IFERROR(__xludf.DUMMYFUNCTION("""COMPUTED_VALUE"""),620)</f>
        <v>620</v>
      </c>
      <c r="K480" s="3"/>
      <c r="L480" s="3" t="str">
        <f ca="1">IFERROR(__xludf.DUMMYFUNCTION("""COMPUTED_VALUE"""),"Cost per period")</f>
        <v>Cost per period</v>
      </c>
      <c r="M480" s="3"/>
      <c r="N480" s="3"/>
      <c r="O480" s="3" t="str">
        <f ca="1">IFERROR(__xludf.DUMMYFUNCTION("""COMPUTED_VALUE"""),"970")</f>
        <v>970</v>
      </c>
      <c r="P480" s="3" t="str">
        <f ca="1">IFERROR(__xludf.DUMMYFUNCTION("""COMPUTED_VALUE"""),"250")</f>
        <v>250</v>
      </c>
      <c r="Q480" s="3" t="str">
        <f ca="1">IFERROR(__xludf.DUMMYFUNCTION("""COMPUTED_VALUE"""),"970x250")</f>
        <v>970x250</v>
      </c>
      <c r="R480" s="3"/>
      <c r="S480" s="3" t="str">
        <f ca="1">IFERROR(__xludf.DUMMYFUNCTION("""COMPUTED_VALUE"""),"100 (200 - HTML5)")</f>
        <v>100 (200 - HTML5)</v>
      </c>
      <c r="T480" s="3"/>
      <c r="U480" s="3" t="str">
        <f ca="1">IFERROR(__xludf.DUMMYFUNCTION("""COMPUTED_VALUE"""),"banner standard")</f>
        <v>banner standard</v>
      </c>
      <c r="V480" s="3"/>
      <c r="W480" s="4" t="str">
        <f ca="1">IFERROR(__xludf.DUMMYFUNCTION("""COMPUTED_VALUE"""),"https://reklama.cncenter.cz/Online/billboard-bottom")</f>
        <v>https://reklama.cncenter.cz/Online/billboard-bottom</v>
      </c>
      <c r="X480" s="3"/>
      <c r="Y480" s="3"/>
      <c r="Z480" s="3" t="str">
        <f ca="1">IFERROR(__xludf.DUMMYFUNCTION("""COMPUTED_VALUE"""),"podklady@cncenter.cz")</f>
        <v>podklady@cncenter.cz</v>
      </c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 t="str">
        <f ca="1">IFERROR(__xludf.DUMMYFUNCTION("""COMPUTED_VALUE"""),"desktop")</f>
        <v>desktop</v>
      </c>
      <c r="AO480" s="3"/>
      <c r="AP480" s="3"/>
      <c r="AQ480" s="3"/>
      <c r="AR480" s="3"/>
      <c r="AS480" s="3"/>
      <c r="AT480" s="3"/>
      <c r="AU480" s="3" t="str">
        <f ca="1">IFERROR(__xludf.DUMMYFUNCTION("""COMPUTED_VALUE"""),"billboard bottom")</f>
        <v>billboard bottom</v>
      </c>
    </row>
    <row r="481" spans="1:47" x14ac:dyDescent="0.3">
      <c r="A481" s="3">
        <f ca="1"/>
        <v>2346826</v>
      </c>
      <c r="B481" s="3" t="str">
        <f ca="1"/>
        <v>CZECH NEWS CENTER a. s.</v>
      </c>
      <c r="C481" s="3" t="str">
        <f ca="1">IFERROR(__xludf.DUMMYFUNCTION("""COMPUTED_VALUE"""),"E15")</f>
        <v>E15</v>
      </c>
      <c r="D481" s="3" t="str">
        <f ca="1">IFERROR(__xludf.DUMMYFUNCTION("""COMPUTED_VALUE"""),"https://e15.cz, https://finexpert.cz, https://www.e15.cz/formen")</f>
        <v>https://e15.cz, https://finexpert.cz, https://www.e15.cz/formen</v>
      </c>
      <c r="E481" s="3" t="str">
        <f ca="1">IFERROR(__xludf.DUMMYFUNCTION("""COMPUTED_VALUE"""),"celý web")</f>
        <v>celý web</v>
      </c>
      <c r="F481" s="3" t="str">
        <f ca="1">IFERROR(__xludf.DUMMYFUNCTION("""COMPUTED_VALUE"""),"https://e15.cz, https://finexpert.cz, https://www.e15.cz/formen")</f>
        <v>https://e15.cz, https://finexpert.cz, https://www.e15.cz/formen</v>
      </c>
      <c r="G481" s="3" t="str">
        <f ca="1">IFERROR(__xludf.DUMMYFUNCTION("""COMPUTED_VALUE"""),"branding cross-device high season")</f>
        <v>branding cross-device high season</v>
      </c>
      <c r="H481" s="3">
        <f ca="1">IFERROR(__xludf.DUMMYFUNCTION("""COMPUTED_VALUE"""),7)</f>
        <v>7</v>
      </c>
      <c r="I481" s="5">
        <f ca="1">IFERROR(__xludf.DUMMYFUNCTION("""COMPUTED_VALUE"""),1000)</f>
        <v>1000</v>
      </c>
      <c r="J481" s="5">
        <f ca="1">IFERROR(__xludf.DUMMYFUNCTION("""COMPUTED_VALUE"""),720)</f>
        <v>720</v>
      </c>
      <c r="K481" s="3"/>
      <c r="L481" s="3" t="str">
        <f ca="1">IFERROR(__xludf.DUMMYFUNCTION("""COMPUTED_VALUE"""),"Cost per period")</f>
        <v>Cost per period</v>
      </c>
      <c r="M481" s="3"/>
      <c r="N481" s="3"/>
      <c r="O481" s="3" t="str">
        <f ca="1">IFERROR(__xludf.DUMMYFUNCTION("""COMPUTED_VALUE"""),"2000")</f>
        <v>2000</v>
      </c>
      <c r="P481" s="3" t="str">
        <f ca="1">IFERROR(__xludf.DUMMYFUNCTION("""COMPUTED_VALUE"""),"1400")</f>
        <v>1400</v>
      </c>
      <c r="Q481" s="3" t="str">
        <f ca="1">IFERROR(__xludf.DUMMYFUNCTION("""COMPUTED_VALUE"""),"2000x1400 + 600x1080")</f>
        <v>2000x1400 + 600x1080</v>
      </c>
      <c r="R481" s="3"/>
      <c r="S481" s="3" t="str">
        <f ca="1">IFERROR(__xludf.DUMMYFUNCTION("""COMPUTED_VALUE"""),"500 (600 - HTLM5)")</f>
        <v>500 (600 - HTLM5)</v>
      </c>
      <c r="T481" s="3"/>
      <c r="U481" s="3" t="str">
        <f ca="1">IFERROR(__xludf.DUMMYFUNCTION("""COMPUTED_VALUE"""),"banner standard")</f>
        <v>banner standard</v>
      </c>
      <c r="V481" s="3"/>
      <c r="W481" s="4" t="str">
        <f ca="1">IFERROR(__xludf.DUMMYFUNCTION("""COMPUTED_VALUE"""),"https://reklama.cncenter.cz/Online/branding-cross-device")</f>
        <v>https://reklama.cncenter.cz/Online/branding-cross-device</v>
      </c>
      <c r="X481" s="3"/>
      <c r="Y481" s="3"/>
      <c r="Z481" s="3" t="str">
        <f ca="1">IFERROR(__xludf.DUMMYFUNCTION("""COMPUTED_VALUE"""),"podklady@cncenter.cz")</f>
        <v>podklady@cncenter.cz</v>
      </c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 t="str">
        <f ca="1">IFERROR(__xludf.DUMMYFUNCTION("""COMPUTED_VALUE"""),"cross-device")</f>
        <v>cross-device</v>
      </c>
      <c r="AO481" s="3"/>
      <c r="AP481" s="3"/>
      <c r="AQ481" s="3"/>
      <c r="AR481" s="3"/>
      <c r="AS481" s="3"/>
      <c r="AT481" s="3"/>
      <c r="AU481" s="3" t="str">
        <f ca="1">IFERROR(__xludf.DUMMYFUNCTION("""COMPUTED_VALUE"""),"branding cross-device")</f>
        <v>branding cross-device</v>
      </c>
    </row>
    <row r="482" spans="1:47" x14ac:dyDescent="0.3">
      <c r="A482" s="3">
        <f ca="1"/>
        <v>2346826</v>
      </c>
      <c r="B482" s="3" t="str">
        <f ca="1"/>
        <v>CZECH NEWS CENTER a. s.</v>
      </c>
      <c r="C482" s="3" t="str">
        <f ca="1">IFERROR(__xludf.DUMMYFUNCTION("""COMPUTED_VALUE"""),"E15")</f>
        <v>E15</v>
      </c>
      <c r="D482" s="3" t="str">
        <f ca="1">IFERROR(__xludf.DUMMYFUNCTION("""COMPUTED_VALUE"""),"https://e15.cz, https://finexpert.cz, https://www.e15.cz/formen")</f>
        <v>https://e15.cz, https://finexpert.cz, https://www.e15.cz/formen</v>
      </c>
      <c r="E482" s="3" t="str">
        <f ca="1">IFERROR(__xludf.DUMMYFUNCTION("""COMPUTED_VALUE"""),"celý web")</f>
        <v>celý web</v>
      </c>
      <c r="F482" s="3" t="str">
        <f ca="1">IFERROR(__xludf.DUMMYFUNCTION("""COMPUTED_VALUE"""),"https://e15.cz, https://finexpert.cz, https://www.e15.cz/formen")</f>
        <v>https://e15.cz, https://finexpert.cz, https://www.e15.cz/formen</v>
      </c>
      <c r="G482" s="3" t="str">
        <f ca="1">IFERROR(__xludf.DUMMYFUNCTION("""COMPUTED_VALUE"""),"branding high season")</f>
        <v>branding high season</v>
      </c>
      <c r="H482" s="3">
        <f ca="1">IFERROR(__xludf.DUMMYFUNCTION("""COMPUTED_VALUE"""),7)</f>
        <v>7</v>
      </c>
      <c r="I482" s="5">
        <f ca="1">IFERROR(__xludf.DUMMYFUNCTION("""COMPUTED_VALUE"""),1000)</f>
        <v>1000</v>
      </c>
      <c r="J482" s="5">
        <f ca="1">IFERROR(__xludf.DUMMYFUNCTION("""COMPUTED_VALUE"""),1080)</f>
        <v>1080</v>
      </c>
      <c r="K482" s="3"/>
      <c r="L482" s="3" t="str">
        <f ca="1">IFERROR(__xludf.DUMMYFUNCTION("""COMPUTED_VALUE"""),"Cost per period")</f>
        <v>Cost per period</v>
      </c>
      <c r="M482" s="3"/>
      <c r="N482" s="3"/>
      <c r="O482" s="3" t="str">
        <f ca="1">IFERROR(__xludf.DUMMYFUNCTION("""COMPUTED_VALUE"""),"2000")</f>
        <v>2000</v>
      </c>
      <c r="P482" s="3" t="str">
        <f ca="1">IFERROR(__xludf.DUMMYFUNCTION("""COMPUTED_VALUE"""),"1400")</f>
        <v>1400</v>
      </c>
      <c r="Q482" s="3" t="str">
        <f ca="1">IFERROR(__xludf.DUMMYFUNCTION("""COMPUTED_VALUE"""),"2000x1400")</f>
        <v>2000x1400</v>
      </c>
      <c r="R482" s="3"/>
      <c r="S482" s="3" t="str">
        <f ca="1">IFERROR(__xludf.DUMMYFUNCTION("""COMPUTED_VALUE"""),"500 + 200 (600+200 HTML5)")</f>
        <v>500 + 200 (600+200 HTML5)</v>
      </c>
      <c r="T482" s="3"/>
      <c r="U482" s="3" t="str">
        <f ca="1">IFERROR(__xludf.DUMMYFUNCTION("""COMPUTED_VALUE"""),"banner standard")</f>
        <v>banner standard</v>
      </c>
      <c r="V482" s="3"/>
      <c r="W482" s="4" t="str">
        <f ca="1">IFERROR(__xludf.DUMMYFUNCTION("""COMPUTED_VALUE"""),"https://reklama.cncenter.cz/Online/branding")</f>
        <v>https://reklama.cncenter.cz/Online/branding</v>
      </c>
      <c r="X482" s="3"/>
      <c r="Y482" s="3"/>
      <c r="Z482" s="3" t="str">
        <f ca="1">IFERROR(__xludf.DUMMYFUNCTION("""COMPUTED_VALUE"""),"podklady@cncenter.cz")</f>
        <v>podklady@cncenter.cz</v>
      </c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 t="str">
        <f ca="1">IFERROR(__xludf.DUMMYFUNCTION("""COMPUTED_VALUE"""),"desktop")</f>
        <v>desktop</v>
      </c>
      <c r="AO482" s="3"/>
      <c r="AP482" s="3"/>
      <c r="AQ482" s="3"/>
      <c r="AR482" s="3"/>
      <c r="AS482" s="3"/>
      <c r="AT482" s="3"/>
      <c r="AU482" s="3" t="str">
        <f ca="1">IFERROR(__xludf.DUMMYFUNCTION("""COMPUTED_VALUE"""),"branding")</f>
        <v>branding</v>
      </c>
    </row>
    <row r="483" spans="1:47" x14ac:dyDescent="0.3">
      <c r="A483" s="3">
        <f ca="1"/>
        <v>2346826</v>
      </c>
      <c r="B483" s="3" t="str">
        <f ca="1"/>
        <v>CZECH NEWS CENTER a. s.</v>
      </c>
      <c r="C483" s="3" t="str">
        <f ca="1">IFERROR(__xludf.DUMMYFUNCTION("""COMPUTED_VALUE"""),"E15")</f>
        <v>E15</v>
      </c>
      <c r="D483" s="3" t="str">
        <f ca="1">IFERROR(__xludf.DUMMYFUNCTION("""COMPUTED_VALUE"""),"https://e15.cz, https://finexpert.cz, https://www.e15.cz/formen")</f>
        <v>https://e15.cz, https://finexpert.cz, https://www.e15.cz/formen</v>
      </c>
      <c r="E483" s="3" t="str">
        <f ca="1">IFERROR(__xludf.DUMMYFUNCTION("""COMPUTED_VALUE"""),"celý web")</f>
        <v>celý web</v>
      </c>
      <c r="F483" s="3" t="str">
        <f ca="1">IFERROR(__xludf.DUMMYFUNCTION("""COMPUTED_VALUE"""),"https://e15.cz, https://finexpert.cz, https://www.e15.cz/formen")</f>
        <v>https://e15.cz, https://finexpert.cz, https://www.e15.cz/formen</v>
      </c>
      <c r="G483" s="3" t="str">
        <f ca="1">IFERROR(__xludf.DUMMYFUNCTION("""COMPUTED_VALUE"""),"cílený billboard bottom high season")</f>
        <v>cílený billboard bottom high season</v>
      </c>
      <c r="H483" s="3">
        <f ca="1">IFERROR(__xludf.DUMMYFUNCTION("""COMPUTED_VALUE"""),7)</f>
        <v>7</v>
      </c>
      <c r="I483" s="5">
        <f ca="1">IFERROR(__xludf.DUMMYFUNCTION("""COMPUTED_VALUE"""),1000)</f>
        <v>1000</v>
      </c>
      <c r="J483" s="5">
        <f ca="1">IFERROR(__xludf.DUMMYFUNCTION("""COMPUTED_VALUE"""),744)</f>
        <v>744</v>
      </c>
      <c r="K483" s="3"/>
      <c r="L483" s="3" t="str">
        <f ca="1">IFERROR(__xludf.DUMMYFUNCTION("""COMPUTED_VALUE"""),"Cost per period")</f>
        <v>Cost per period</v>
      </c>
      <c r="M483" s="3"/>
      <c r="N483" s="3"/>
      <c r="O483" s="3" t="str">
        <f ca="1">IFERROR(__xludf.DUMMYFUNCTION("""COMPUTED_VALUE"""),"970")</f>
        <v>970</v>
      </c>
      <c r="P483" s="3" t="str">
        <f ca="1">IFERROR(__xludf.DUMMYFUNCTION("""COMPUTED_VALUE"""),"250")</f>
        <v>250</v>
      </c>
      <c r="Q483" s="3" t="str">
        <f ca="1">IFERROR(__xludf.DUMMYFUNCTION("""COMPUTED_VALUE"""),"970x250")</f>
        <v>970x250</v>
      </c>
      <c r="R483" s="3"/>
      <c r="S483" s="3" t="str">
        <f ca="1">IFERROR(__xludf.DUMMYFUNCTION("""COMPUTED_VALUE"""),"100 (200 - HTML5)")</f>
        <v>100 (200 - HTML5)</v>
      </c>
      <c r="T483" s="3"/>
      <c r="U483" s="3" t="str">
        <f ca="1">IFERROR(__xludf.DUMMYFUNCTION("""COMPUTED_VALUE"""),"banner standard")</f>
        <v>banner standard</v>
      </c>
      <c r="V483" s="3"/>
      <c r="W483" s="4" t="str">
        <f ca="1">IFERROR(__xludf.DUMMYFUNCTION("""COMPUTED_VALUE"""),"https://reklama.cncenter.cz/Online/billboard-bottom")</f>
        <v>https://reklama.cncenter.cz/Online/billboard-bottom</v>
      </c>
      <c r="X483" s="3"/>
      <c r="Y483" s="3"/>
      <c r="Z483" s="3" t="str">
        <f ca="1">IFERROR(__xludf.DUMMYFUNCTION("""COMPUTED_VALUE"""),"podklady@cncenter.cz")</f>
        <v>podklady@cncenter.cz</v>
      </c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 t="str">
        <f ca="1">IFERROR(__xludf.DUMMYFUNCTION("""COMPUTED_VALUE"""),"desktop")</f>
        <v>desktop</v>
      </c>
      <c r="AO483" s="3"/>
      <c r="AP483" s="3"/>
      <c r="AQ483" s="3"/>
      <c r="AR483" s="3"/>
      <c r="AS483" s="3"/>
      <c r="AT483" s="3"/>
      <c r="AU483" s="3" t="str">
        <f ca="1">IFERROR(__xludf.DUMMYFUNCTION("""COMPUTED_VALUE"""),"cílený billboard bottom")</f>
        <v>cílený billboard bottom</v>
      </c>
    </row>
    <row r="484" spans="1:47" x14ac:dyDescent="0.3">
      <c r="A484" s="3">
        <f ca="1"/>
        <v>2346826</v>
      </c>
      <c r="B484" s="3" t="str">
        <f ca="1"/>
        <v>CZECH NEWS CENTER a. s.</v>
      </c>
      <c r="C484" s="3" t="str">
        <f ca="1">IFERROR(__xludf.DUMMYFUNCTION("""COMPUTED_VALUE"""),"E15")</f>
        <v>E15</v>
      </c>
      <c r="D484" s="3" t="str">
        <f ca="1">IFERROR(__xludf.DUMMYFUNCTION("""COMPUTED_VALUE"""),"https://e15.cz, https://finexpert.cz, https://www.e15.cz/formen")</f>
        <v>https://e15.cz, https://finexpert.cz, https://www.e15.cz/formen</v>
      </c>
      <c r="E484" s="3" t="str">
        <f ca="1">IFERROR(__xludf.DUMMYFUNCTION("""COMPUTED_VALUE"""),"celý web")</f>
        <v>celý web</v>
      </c>
      <c r="F484" s="3" t="str">
        <f ca="1">IFERROR(__xludf.DUMMYFUNCTION("""COMPUTED_VALUE"""),"https://e15.cz, https://finexpert.cz, https://www.e15.cz/formen")</f>
        <v>https://e15.cz, https://finexpert.cz, https://www.e15.cz/formen</v>
      </c>
      <c r="G484" s="3" t="str">
        <f ca="1">IFERROR(__xludf.DUMMYFUNCTION("""COMPUTED_VALUE"""),"cílený branding cross-device high season")</f>
        <v>cílený branding cross-device high season</v>
      </c>
      <c r="H484" s="3">
        <f ca="1">IFERROR(__xludf.DUMMYFUNCTION("""COMPUTED_VALUE"""),7)</f>
        <v>7</v>
      </c>
      <c r="I484" s="5">
        <f ca="1">IFERROR(__xludf.DUMMYFUNCTION("""COMPUTED_VALUE"""),1000)</f>
        <v>1000</v>
      </c>
      <c r="J484" s="5">
        <f ca="1">IFERROR(__xludf.DUMMYFUNCTION("""COMPUTED_VALUE"""),864)</f>
        <v>864</v>
      </c>
      <c r="K484" s="3"/>
      <c r="L484" s="3" t="str">
        <f ca="1">IFERROR(__xludf.DUMMYFUNCTION("""COMPUTED_VALUE"""),"Cost per period")</f>
        <v>Cost per period</v>
      </c>
      <c r="M484" s="3"/>
      <c r="N484" s="3"/>
      <c r="O484" s="3" t="str">
        <f ca="1">IFERROR(__xludf.DUMMYFUNCTION("""COMPUTED_VALUE"""),"2000")</f>
        <v>2000</v>
      </c>
      <c r="P484" s="3" t="str">
        <f ca="1">IFERROR(__xludf.DUMMYFUNCTION("""COMPUTED_VALUE"""),"1400")</f>
        <v>1400</v>
      </c>
      <c r="Q484" s="3" t="str">
        <f ca="1">IFERROR(__xludf.DUMMYFUNCTION("""COMPUTED_VALUE"""),"2000x1400 + 600x1080")</f>
        <v>2000x1400 + 600x1080</v>
      </c>
      <c r="R484" s="3"/>
      <c r="S484" s="3" t="str">
        <f ca="1">IFERROR(__xludf.DUMMYFUNCTION("""COMPUTED_VALUE"""),"500 (600 - HTLM5)")</f>
        <v>500 (600 - HTLM5)</v>
      </c>
      <c r="T484" s="3"/>
      <c r="U484" s="3" t="str">
        <f ca="1">IFERROR(__xludf.DUMMYFUNCTION("""COMPUTED_VALUE"""),"banner standard")</f>
        <v>banner standard</v>
      </c>
      <c r="V484" s="3"/>
      <c r="W484" s="4" t="str">
        <f ca="1">IFERROR(__xludf.DUMMYFUNCTION("""COMPUTED_VALUE"""),"https://reklama.cncenter.cz/Online/branding-cross-device")</f>
        <v>https://reklama.cncenter.cz/Online/branding-cross-device</v>
      </c>
      <c r="X484" s="3"/>
      <c r="Y484" s="3"/>
      <c r="Z484" s="3" t="str">
        <f ca="1">IFERROR(__xludf.DUMMYFUNCTION("""COMPUTED_VALUE"""),"podklady@cncenter.cz")</f>
        <v>podklady@cncenter.cz</v>
      </c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 t="str">
        <f ca="1">IFERROR(__xludf.DUMMYFUNCTION("""COMPUTED_VALUE"""),"cross-device")</f>
        <v>cross-device</v>
      </c>
      <c r="AO484" s="3"/>
      <c r="AP484" s="3"/>
      <c r="AQ484" s="3"/>
      <c r="AR484" s="3"/>
      <c r="AS484" s="3"/>
      <c r="AT484" s="3"/>
      <c r="AU484" s="3" t="str">
        <f ca="1">IFERROR(__xludf.DUMMYFUNCTION("""COMPUTED_VALUE"""),"cílený branding cross-device")</f>
        <v>cílený branding cross-device</v>
      </c>
    </row>
    <row r="485" spans="1:47" x14ac:dyDescent="0.3">
      <c r="A485" s="3">
        <f ca="1"/>
        <v>2346826</v>
      </c>
      <c r="B485" s="3" t="str">
        <f ca="1"/>
        <v>CZECH NEWS CENTER a. s.</v>
      </c>
      <c r="C485" s="3" t="str">
        <f ca="1">IFERROR(__xludf.DUMMYFUNCTION("""COMPUTED_VALUE"""),"E15")</f>
        <v>E15</v>
      </c>
      <c r="D485" s="3" t="str">
        <f ca="1">IFERROR(__xludf.DUMMYFUNCTION("""COMPUTED_VALUE"""),"https://e15.cz, https://finexpert.cz, https://www.e15.cz/formen")</f>
        <v>https://e15.cz, https://finexpert.cz, https://www.e15.cz/formen</v>
      </c>
      <c r="E485" s="3" t="str">
        <f ca="1">IFERROR(__xludf.DUMMYFUNCTION("""COMPUTED_VALUE"""),"celý web")</f>
        <v>celý web</v>
      </c>
      <c r="F485" s="3" t="str">
        <f ca="1">IFERROR(__xludf.DUMMYFUNCTION("""COMPUTED_VALUE"""),"https://e15.cz, https://finexpert.cz, https://www.e15.cz/formen")</f>
        <v>https://e15.cz, https://finexpert.cz, https://www.e15.cz/formen</v>
      </c>
      <c r="G485" s="3" t="str">
        <f ca="1">IFERROR(__xludf.DUMMYFUNCTION("""COMPUTED_VALUE"""),"cílený branding high season")</f>
        <v>cílený branding high season</v>
      </c>
      <c r="H485" s="3">
        <f ca="1">IFERROR(__xludf.DUMMYFUNCTION("""COMPUTED_VALUE"""),7)</f>
        <v>7</v>
      </c>
      <c r="I485" s="5">
        <f ca="1">IFERROR(__xludf.DUMMYFUNCTION("""COMPUTED_VALUE"""),1000)</f>
        <v>1000</v>
      </c>
      <c r="J485" s="5">
        <f ca="1">IFERROR(__xludf.DUMMYFUNCTION("""COMPUTED_VALUE"""),1296)</f>
        <v>1296</v>
      </c>
      <c r="K485" s="3"/>
      <c r="L485" s="3" t="str">
        <f ca="1">IFERROR(__xludf.DUMMYFUNCTION("""COMPUTED_VALUE"""),"Cost per period")</f>
        <v>Cost per period</v>
      </c>
      <c r="M485" s="3"/>
      <c r="N485" s="3"/>
      <c r="O485" s="3" t="str">
        <f ca="1">IFERROR(__xludf.DUMMYFUNCTION("""COMPUTED_VALUE"""),"2000")</f>
        <v>2000</v>
      </c>
      <c r="P485" s="3" t="str">
        <f ca="1">IFERROR(__xludf.DUMMYFUNCTION("""COMPUTED_VALUE"""),"1400")</f>
        <v>1400</v>
      </c>
      <c r="Q485" s="3" t="str">
        <f ca="1">IFERROR(__xludf.DUMMYFUNCTION("""COMPUTED_VALUE"""),"2000x1400")</f>
        <v>2000x1400</v>
      </c>
      <c r="R485" s="3"/>
      <c r="S485" s="3" t="str">
        <f ca="1">IFERROR(__xludf.DUMMYFUNCTION("""COMPUTED_VALUE"""),"500 + 200 (600+200 HTML5)")</f>
        <v>500 + 200 (600+200 HTML5)</v>
      </c>
      <c r="T485" s="3"/>
      <c r="U485" s="3" t="str">
        <f ca="1">IFERROR(__xludf.DUMMYFUNCTION("""COMPUTED_VALUE"""),"banner standard")</f>
        <v>banner standard</v>
      </c>
      <c r="V485" s="3"/>
      <c r="W485" s="4" t="str">
        <f ca="1">IFERROR(__xludf.DUMMYFUNCTION("""COMPUTED_VALUE"""),"https://reklama.cncenter.cz/Online/branding")</f>
        <v>https://reklama.cncenter.cz/Online/branding</v>
      </c>
      <c r="X485" s="3"/>
      <c r="Y485" s="3"/>
      <c r="Z485" s="3" t="str">
        <f ca="1">IFERROR(__xludf.DUMMYFUNCTION("""COMPUTED_VALUE"""),"podklady@cncenter.cz")</f>
        <v>podklady@cncenter.cz</v>
      </c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 t="str">
        <f ca="1">IFERROR(__xludf.DUMMYFUNCTION("""COMPUTED_VALUE"""),"desktop")</f>
        <v>desktop</v>
      </c>
      <c r="AO485" s="3"/>
      <c r="AP485" s="3"/>
      <c r="AQ485" s="3"/>
      <c r="AR485" s="3"/>
      <c r="AS485" s="3"/>
      <c r="AT485" s="3"/>
      <c r="AU485" s="3" t="str">
        <f ca="1">IFERROR(__xludf.DUMMYFUNCTION("""COMPUTED_VALUE"""),"cílený branding")</f>
        <v>cílený branding</v>
      </c>
    </row>
    <row r="486" spans="1:47" x14ac:dyDescent="0.3">
      <c r="A486" s="3">
        <f ca="1"/>
        <v>2346826</v>
      </c>
      <c r="B486" s="3" t="str">
        <f ca="1"/>
        <v>CZECH NEWS CENTER a. s.</v>
      </c>
      <c r="C486" s="3" t="str">
        <f ca="1">IFERROR(__xludf.DUMMYFUNCTION("""COMPUTED_VALUE"""),"E15")</f>
        <v>E15</v>
      </c>
      <c r="D486" s="3" t="str">
        <f ca="1">IFERROR(__xludf.DUMMYFUNCTION("""COMPUTED_VALUE"""),"https://e15.cz, https://finexpert.cz, https://www.e15.cz/formen")</f>
        <v>https://e15.cz, https://finexpert.cz, https://www.e15.cz/formen</v>
      </c>
      <c r="E486" s="3" t="str">
        <f ca="1">IFERROR(__xludf.DUMMYFUNCTION("""COMPUTED_VALUE"""),"celý web")</f>
        <v>celý web</v>
      </c>
      <c r="F486" s="3" t="str">
        <f ca="1">IFERROR(__xludf.DUMMYFUNCTION("""COMPUTED_VALUE"""),"https://e15.cz, https://finexpert.cz, https://www.e15.cz/formen")</f>
        <v>https://e15.cz, https://finexpert.cz, https://www.e15.cz/formen</v>
      </c>
      <c r="G486" s="3" t="str">
        <f ca="1">IFERROR(__xludf.DUMMYFUNCTION("""COMPUTED_VALUE"""),"cílený double skyscraper high season")</f>
        <v>cílený double skyscraper high season</v>
      </c>
      <c r="H486" s="3">
        <f ca="1">IFERROR(__xludf.DUMMYFUNCTION("""COMPUTED_VALUE"""),7)</f>
        <v>7</v>
      </c>
      <c r="I486" s="5">
        <f ca="1">IFERROR(__xludf.DUMMYFUNCTION("""COMPUTED_VALUE"""),1000)</f>
        <v>1000</v>
      </c>
      <c r="J486" s="5">
        <f ca="1">IFERROR(__xludf.DUMMYFUNCTION("""COMPUTED_VALUE"""),540)</f>
        <v>540</v>
      </c>
      <c r="K486" s="3"/>
      <c r="L486" s="3" t="str">
        <f ca="1">IFERROR(__xludf.DUMMYFUNCTION("""COMPUTED_VALUE"""),"Cost per period")</f>
        <v>Cost per period</v>
      </c>
      <c r="M486" s="3"/>
      <c r="N486" s="3"/>
      <c r="O486" s="3" t="str">
        <f ca="1">IFERROR(__xludf.DUMMYFUNCTION("""COMPUTED_VALUE"""),"300")</f>
        <v>300</v>
      </c>
      <c r="P486" s="3" t="str">
        <f ca="1">IFERROR(__xludf.DUMMYFUNCTION("""COMPUTED_VALUE"""),"600")</f>
        <v>600</v>
      </c>
      <c r="Q486" s="3" t="str">
        <f ca="1">IFERROR(__xludf.DUMMYFUNCTION("""COMPUTED_VALUE"""),"300x600")</f>
        <v>300x600</v>
      </c>
      <c r="R486" s="3"/>
      <c r="S486" s="3" t="str">
        <f ca="1">IFERROR(__xludf.DUMMYFUNCTION("""COMPUTED_VALUE"""),"100 (200 - HTML5)")</f>
        <v>100 (200 - HTML5)</v>
      </c>
      <c r="T486" s="3"/>
      <c r="U486" s="3" t="str">
        <f ca="1">IFERROR(__xludf.DUMMYFUNCTION("""COMPUTED_VALUE"""),"banner standard")</f>
        <v>banner standard</v>
      </c>
      <c r="V486" s="3"/>
      <c r="W486" s="4" t="str">
        <f ca="1">IFERROR(__xludf.DUMMYFUNCTION("""COMPUTED_VALUE"""),"https://reklama.cncenter.cz/Online/double-skyscraper")</f>
        <v>https://reklama.cncenter.cz/Online/double-skyscraper</v>
      </c>
      <c r="X486" s="3"/>
      <c r="Y486" s="3"/>
      <c r="Z486" s="3" t="str">
        <f ca="1">IFERROR(__xludf.DUMMYFUNCTION("""COMPUTED_VALUE"""),"podklady@cncenter.cz")</f>
        <v>podklady@cncenter.cz</v>
      </c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 t="str">
        <f ca="1">IFERROR(__xludf.DUMMYFUNCTION("""COMPUTED_VALUE"""),"desktop")</f>
        <v>desktop</v>
      </c>
      <c r="AO486" s="3"/>
      <c r="AP486" s="3"/>
      <c r="AQ486" s="3"/>
      <c r="AR486" s="3"/>
      <c r="AS486" s="3"/>
      <c r="AT486" s="3"/>
      <c r="AU486" s="3" t="str">
        <f ca="1">IFERROR(__xludf.DUMMYFUNCTION("""COMPUTED_VALUE"""),"cílený double skyscraper")</f>
        <v>cílený double skyscraper</v>
      </c>
    </row>
    <row r="487" spans="1:47" x14ac:dyDescent="0.3">
      <c r="A487" s="3">
        <f ca="1"/>
        <v>2346826</v>
      </c>
      <c r="B487" s="3" t="str">
        <f ca="1"/>
        <v>CZECH NEWS CENTER a. s.</v>
      </c>
      <c r="C487" s="3" t="str">
        <f ca="1">IFERROR(__xludf.DUMMYFUNCTION("""COMPUTED_VALUE"""),"E15")</f>
        <v>E15</v>
      </c>
      <c r="D487" s="3" t="str">
        <f ca="1">IFERROR(__xludf.DUMMYFUNCTION("""COMPUTED_VALUE"""),"https://e15.cz, https://finexpert.cz, https://www.e15.cz/formen")</f>
        <v>https://e15.cz, https://finexpert.cz, https://www.e15.cz/formen</v>
      </c>
      <c r="E487" s="3" t="str">
        <f ca="1">IFERROR(__xludf.DUMMYFUNCTION("""COMPUTED_VALUE"""),"celý web")</f>
        <v>celý web</v>
      </c>
      <c r="F487" s="3" t="str">
        <f ca="1">IFERROR(__xludf.DUMMYFUNCTION("""COMPUTED_VALUE"""),"https://e15.cz, https://finexpert.cz, https://www.e15.cz/formen")</f>
        <v>https://e15.cz, https://finexpert.cz, https://www.e15.cz/formen</v>
      </c>
      <c r="G487" s="3" t="str">
        <f ca="1">IFERROR(__xludf.DUMMYFUNCTION("""COMPUTED_VALUE"""),"cílený mini videospot - max. 30 sec. high season")</f>
        <v>cílený mini videospot - max. 30 sec. high season</v>
      </c>
      <c r="H487" s="3">
        <f ca="1">IFERROR(__xludf.DUMMYFUNCTION("""COMPUTED_VALUE"""),7)</f>
        <v>7</v>
      </c>
      <c r="I487" s="5">
        <f ca="1">IFERROR(__xludf.DUMMYFUNCTION("""COMPUTED_VALUE"""),1000)</f>
        <v>1000</v>
      </c>
      <c r="J487" s="5">
        <f ca="1">IFERROR(__xludf.DUMMYFUNCTION("""COMPUTED_VALUE"""),528)</f>
        <v>528</v>
      </c>
      <c r="K487" s="3"/>
      <c r="L487" s="3" t="str">
        <f ca="1">IFERROR(__xludf.DUMMYFUNCTION("""COMPUTED_VALUE"""),"Cost per period")</f>
        <v>Cost per period</v>
      </c>
      <c r="M487" s="3"/>
      <c r="N487" s="3"/>
      <c r="O487" s="3"/>
      <c r="P487" s="3"/>
      <c r="Q487" s="3" t="str">
        <f ca="1">IFERROR(__xludf.DUMMYFUNCTION("""COMPUTED_VALUE"""),"16:9 / umístění po domluvě dle možností")</f>
        <v>16:9 / umístění po domluvě dle možností</v>
      </c>
      <c r="R487" s="3" t="str">
        <f ca="1">IFERROR(__xludf.DUMMYFUNCTION("""COMPUTED_VALUE"""),"přeskočení po 7 sekundách")</f>
        <v>přeskočení po 7 sekundách</v>
      </c>
      <c r="S487" s="3" t="str">
        <f ca="1">IFERROR(__xludf.DUMMYFUNCTION("""COMPUTED_VALUE"""),"100")</f>
        <v>100</v>
      </c>
      <c r="T487" s="3"/>
      <c r="U487" s="3" t="str">
        <f ca="1">IFERROR(__xludf.DUMMYFUNCTION("""COMPUTED_VALUE"""),"videospot")</f>
        <v>videospot</v>
      </c>
      <c r="V487" s="3"/>
      <c r="W487" s="4" t="str">
        <f ca="1">IFERROR(__xludf.DUMMYFUNCTION("""COMPUTED_VALUE"""),"https://reklama.cncenter.cz/Online/Videospot")</f>
        <v>https://reklama.cncenter.cz/Online/Videospot</v>
      </c>
      <c r="X487" s="3"/>
      <c r="Y487" s="3"/>
      <c r="Z487" s="3" t="str">
        <f ca="1">IFERROR(__xludf.DUMMYFUNCTION("""COMPUTED_VALUE"""),"podklady@cncenter.cz")</f>
        <v>podklady@cncenter.cz</v>
      </c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 t="str">
        <f ca="1">IFERROR(__xludf.DUMMYFUNCTION("""COMPUTED_VALUE"""),"desktop")</f>
        <v>desktop</v>
      </c>
      <c r="AO487" s="3"/>
      <c r="AP487" s="3"/>
      <c r="AQ487" s="3"/>
      <c r="AR487" s="3"/>
      <c r="AS487" s="3"/>
      <c r="AT487" s="3"/>
      <c r="AU487" s="3" t="str">
        <f ca="1">IFERROR(__xludf.DUMMYFUNCTION("""COMPUTED_VALUE"""),"cílený mini videospot - max. 30 sec.")</f>
        <v>cílený mini videospot - max. 30 sec.</v>
      </c>
    </row>
    <row r="488" spans="1:47" x14ac:dyDescent="0.3">
      <c r="A488" s="3">
        <f ca="1"/>
        <v>2346826</v>
      </c>
      <c r="B488" s="3" t="str">
        <f ca="1"/>
        <v>CZECH NEWS CENTER a. s.</v>
      </c>
      <c r="C488" s="3" t="str">
        <f ca="1">IFERROR(__xludf.DUMMYFUNCTION("""COMPUTED_VALUE"""),"E15")</f>
        <v>E15</v>
      </c>
      <c r="D488" s="3" t="str">
        <f ca="1">IFERROR(__xludf.DUMMYFUNCTION("""COMPUTED_VALUE"""),"https://e15.cz, https://finexpert.cz, https://www.e15.cz/formen")</f>
        <v>https://e15.cz, https://finexpert.cz, https://www.e15.cz/formen</v>
      </c>
      <c r="E488" s="3" t="str">
        <f ca="1">IFERROR(__xludf.DUMMYFUNCTION("""COMPUTED_VALUE"""),"celý web")</f>
        <v>celý web</v>
      </c>
      <c r="F488" s="3" t="str">
        <f ca="1">IFERROR(__xludf.DUMMYFUNCTION("""COMPUTED_VALUE"""),"https://e15.cz, https://finexpert.cz, https://www.e15.cz/formen")</f>
        <v>https://e15.cz, https://finexpert.cz, https://www.e15.cz/formen</v>
      </c>
      <c r="G488" s="3" t="str">
        <f ca="1">IFERROR(__xludf.DUMMYFUNCTION("""COMPUTED_VALUE"""),"cílený mobilní interscroller high season")</f>
        <v>cílený mobilní interscroller high season</v>
      </c>
      <c r="H488" s="3">
        <f ca="1">IFERROR(__xludf.DUMMYFUNCTION("""COMPUTED_VALUE"""),7)</f>
        <v>7</v>
      </c>
      <c r="I488" s="5">
        <f ca="1">IFERROR(__xludf.DUMMYFUNCTION("""COMPUTED_VALUE"""),1000)</f>
        <v>1000</v>
      </c>
      <c r="J488" s="5">
        <f ca="1">IFERROR(__xludf.DUMMYFUNCTION("""COMPUTED_VALUE"""),648)</f>
        <v>648</v>
      </c>
      <c r="K488" s="3"/>
      <c r="L488" s="3" t="str">
        <f ca="1">IFERROR(__xludf.DUMMYFUNCTION("""COMPUTED_VALUE"""),"Cost per period")</f>
        <v>Cost per period</v>
      </c>
      <c r="M488" s="3"/>
      <c r="N488" s="3"/>
      <c r="O488" s="3" t="str">
        <f ca="1">IFERROR(__xludf.DUMMYFUNCTION("""COMPUTED_VALUE"""),"600")</f>
        <v>600</v>
      </c>
      <c r="P488" s="3" t="str">
        <f ca="1">IFERROR(__xludf.DUMMYFUNCTION("""COMPUTED_VALUE"""),"1080")</f>
        <v>1080</v>
      </c>
      <c r="Q488" s="3" t="str">
        <f ca="1">IFERROR(__xludf.DUMMYFUNCTION("""COMPUTED_VALUE"""),"600x1080")</f>
        <v>600x1080</v>
      </c>
      <c r="R488" s="3"/>
      <c r="S488" s="3" t="str">
        <f ca="1">IFERROR(__xludf.DUMMYFUNCTION("""COMPUTED_VALUE"""),"200")</f>
        <v>200</v>
      </c>
      <c r="T488" s="3"/>
      <c r="U488" s="3" t="str">
        <f ca="1">IFERROR(__xludf.DUMMYFUNCTION("""COMPUTED_VALUE"""),"banner standard")</f>
        <v>banner standard</v>
      </c>
      <c r="V488" s="3"/>
      <c r="W488" s="4" t="str">
        <f ca="1">IFERROR(__xludf.DUMMYFUNCTION("""COMPUTED_VALUE"""),"https://reklama.cncenter.cz/Online/mobilni-interscroller")</f>
        <v>https://reklama.cncenter.cz/Online/mobilni-interscroller</v>
      </c>
      <c r="X488" s="3"/>
      <c r="Y488" s="3"/>
      <c r="Z488" s="3" t="str">
        <f ca="1">IFERROR(__xludf.DUMMYFUNCTION("""COMPUTED_VALUE"""),"podklady@cncenter.cz")</f>
        <v>podklady@cncenter.cz</v>
      </c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 t="str">
        <f ca="1">IFERROR(__xludf.DUMMYFUNCTION("""COMPUTED_VALUE"""),"mobile")</f>
        <v>mobile</v>
      </c>
      <c r="AO488" s="3"/>
      <c r="AP488" s="3"/>
      <c r="AQ488" s="3"/>
      <c r="AR488" s="3"/>
      <c r="AS488" s="3"/>
      <c r="AT488" s="3"/>
      <c r="AU488" s="3" t="str">
        <f ca="1">IFERROR(__xludf.DUMMYFUNCTION("""COMPUTED_VALUE"""),"cílený mobilní interscroller")</f>
        <v>cílený mobilní interscroller</v>
      </c>
    </row>
    <row r="489" spans="1:47" x14ac:dyDescent="0.3">
      <c r="A489" s="3">
        <f ca="1"/>
        <v>2346826</v>
      </c>
      <c r="B489" s="3" t="str">
        <f ca="1"/>
        <v>CZECH NEWS CENTER a. s.</v>
      </c>
      <c r="C489" s="3" t="str">
        <f ca="1">IFERROR(__xludf.DUMMYFUNCTION("""COMPUTED_VALUE"""),"E15")</f>
        <v>E15</v>
      </c>
      <c r="D489" s="3" t="str">
        <f ca="1">IFERROR(__xludf.DUMMYFUNCTION("""COMPUTED_VALUE"""),"https://e15.cz, https://finexpert.cz, https://www.e15.cz/formen")</f>
        <v>https://e15.cz, https://finexpert.cz, https://www.e15.cz/formen</v>
      </c>
      <c r="E489" s="3" t="str">
        <f ca="1">IFERROR(__xludf.DUMMYFUNCTION("""COMPUTED_VALUE"""),"celý web")</f>
        <v>celý web</v>
      </c>
      <c r="F489" s="3" t="str">
        <f ca="1">IFERROR(__xludf.DUMMYFUNCTION("""COMPUTED_VALUE"""),"https://e15.cz, https://finexpert.cz, https://www.e15.cz/formen")</f>
        <v>https://e15.cz, https://finexpert.cz, https://www.e15.cz/formen</v>
      </c>
      <c r="G489" s="3" t="str">
        <f ca="1">IFERROR(__xludf.DUMMYFUNCTION("""COMPUTED_VALUE"""),"cílený mobilní slide-up high season")</f>
        <v>cílený mobilní slide-up high season</v>
      </c>
      <c r="H489" s="3">
        <f ca="1">IFERROR(__xludf.DUMMYFUNCTION("""COMPUTED_VALUE"""),7)</f>
        <v>7</v>
      </c>
      <c r="I489" s="5">
        <f ca="1">IFERROR(__xludf.DUMMYFUNCTION("""COMPUTED_VALUE"""),1000)</f>
        <v>1000</v>
      </c>
      <c r="J489" s="5">
        <f ca="1">IFERROR(__xludf.DUMMYFUNCTION("""COMPUTED_VALUE"""),1500)</f>
        <v>1500</v>
      </c>
      <c r="K489" s="3"/>
      <c r="L489" s="3" t="str">
        <f ca="1">IFERROR(__xludf.DUMMYFUNCTION("""COMPUTED_VALUE"""),"Cost per period")</f>
        <v>Cost per period</v>
      </c>
      <c r="M489" s="3"/>
      <c r="N489" s="3"/>
      <c r="O489" s="3" t="str">
        <f ca="1">IFERROR(__xludf.DUMMYFUNCTION("""COMPUTED_VALUE"""),"300")</f>
        <v>300</v>
      </c>
      <c r="P489" s="3" t="str">
        <f ca="1">IFERROR(__xludf.DUMMYFUNCTION("""COMPUTED_VALUE"""),"120")</f>
        <v>120</v>
      </c>
      <c r="Q489" s="3" t="str">
        <f ca="1">IFERROR(__xludf.DUMMYFUNCTION("""COMPUTED_VALUE"""),"300x120")</f>
        <v>300x120</v>
      </c>
      <c r="R489" s="3"/>
      <c r="S489" s="3" t="str">
        <f ca="1">IFERROR(__xludf.DUMMYFUNCTION("""COMPUTED_VALUE"""),"100")</f>
        <v>100</v>
      </c>
      <c r="T489" s="3"/>
      <c r="U489" s="3" t="str">
        <f ca="1">IFERROR(__xludf.DUMMYFUNCTION("""COMPUTED_VALUE"""),"banner standard")</f>
        <v>banner standard</v>
      </c>
      <c r="V489" s="3"/>
      <c r="W489" s="4" t="str">
        <f ca="1">IFERROR(__xludf.DUMMYFUNCTION("""COMPUTED_VALUE"""),"https://reklama.cncenter.cz/Online/mobilni-slide-up")</f>
        <v>https://reklama.cncenter.cz/Online/mobilni-slide-up</v>
      </c>
      <c r="X489" s="3"/>
      <c r="Y489" s="3"/>
      <c r="Z489" s="3" t="str">
        <f ca="1">IFERROR(__xludf.DUMMYFUNCTION("""COMPUTED_VALUE"""),"podklady@cncenter.cz")</f>
        <v>podklady@cncenter.cz</v>
      </c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 t="str">
        <f ca="1">IFERROR(__xludf.DUMMYFUNCTION("""COMPUTED_VALUE"""),"mobile")</f>
        <v>mobile</v>
      </c>
      <c r="AO489" s="3"/>
      <c r="AP489" s="3"/>
      <c r="AQ489" s="3"/>
      <c r="AR489" s="3"/>
      <c r="AS489" s="3"/>
      <c r="AT489" s="3"/>
      <c r="AU489" s="3" t="str">
        <f ca="1">IFERROR(__xludf.DUMMYFUNCTION("""COMPUTED_VALUE"""),"cílený mobilní slide-up")</f>
        <v>cílený mobilní slide-up</v>
      </c>
    </row>
    <row r="490" spans="1:47" x14ac:dyDescent="0.3">
      <c r="A490" s="3">
        <f ca="1"/>
        <v>2346826</v>
      </c>
      <c r="B490" s="3" t="str">
        <f ca="1"/>
        <v>CZECH NEWS CENTER a. s.</v>
      </c>
      <c r="C490" s="3" t="str">
        <f ca="1">IFERROR(__xludf.DUMMYFUNCTION("""COMPUTED_VALUE"""),"E15")</f>
        <v>E15</v>
      </c>
      <c r="D490" s="3" t="str">
        <f ca="1">IFERROR(__xludf.DUMMYFUNCTION("""COMPUTED_VALUE"""),"https://e15.cz, https://finexpert.cz, https://www.e15.cz/formen")</f>
        <v>https://e15.cz, https://finexpert.cz, https://www.e15.cz/formen</v>
      </c>
      <c r="E490" s="3" t="str">
        <f ca="1">IFERROR(__xludf.DUMMYFUNCTION("""COMPUTED_VALUE"""),"celý web")</f>
        <v>celý web</v>
      </c>
      <c r="F490" s="3" t="str">
        <f ca="1">IFERROR(__xludf.DUMMYFUNCTION("""COMPUTED_VALUE"""),"https://e15.cz, https://finexpert.cz, https://www.e15.cz/formen")</f>
        <v>https://e15.cz, https://finexpert.cz, https://www.e15.cz/formen</v>
      </c>
      <c r="G490" s="3" t="str">
        <f ca="1">IFERROR(__xludf.DUMMYFUNCTION("""COMPUTED_VALUE"""),"cílený mobilní viněta high season")</f>
        <v>cílený mobilní viněta high season</v>
      </c>
      <c r="H490" s="3">
        <f ca="1">IFERROR(__xludf.DUMMYFUNCTION("""COMPUTED_VALUE"""),7)</f>
        <v>7</v>
      </c>
      <c r="I490" s="5">
        <f ca="1">IFERROR(__xludf.DUMMYFUNCTION("""COMPUTED_VALUE"""),1000)</f>
        <v>1000</v>
      </c>
      <c r="J490" s="5">
        <f ca="1">IFERROR(__xludf.DUMMYFUNCTION("""COMPUTED_VALUE"""),1560)</f>
        <v>1560</v>
      </c>
      <c r="K490" s="3"/>
      <c r="L490" s="3" t="str">
        <f ca="1">IFERROR(__xludf.DUMMYFUNCTION("""COMPUTED_VALUE"""),"Cost per period")</f>
        <v>Cost per period</v>
      </c>
      <c r="M490" s="3"/>
      <c r="N490" s="3"/>
      <c r="O490" s="3" t="str">
        <f ca="1">IFERROR(__xludf.DUMMYFUNCTION("""COMPUTED_VALUE"""),"600")</f>
        <v>600</v>
      </c>
      <c r="P490" s="3" t="str">
        <f ca="1">IFERROR(__xludf.DUMMYFUNCTION("""COMPUTED_VALUE"""),"800")</f>
        <v>800</v>
      </c>
      <c r="Q490" s="3" t="str">
        <f ca="1">IFERROR(__xludf.DUMMYFUNCTION("""COMPUTED_VALUE"""),"300x250 nebo 600x800")</f>
        <v>300x250 nebo 600x800</v>
      </c>
      <c r="R490" s="3"/>
      <c r="S490" s="3" t="str">
        <f ca="1">IFERROR(__xludf.DUMMYFUNCTION("""COMPUTED_VALUE"""),"100")</f>
        <v>100</v>
      </c>
      <c r="T490" s="3"/>
      <c r="U490" s="3" t="str">
        <f ca="1">IFERROR(__xludf.DUMMYFUNCTION("""COMPUTED_VALUE"""),"banner standard")</f>
        <v>banner standard</v>
      </c>
      <c r="V490" s="3"/>
      <c r="W490" s="4" t="str">
        <f ca="1">IFERROR(__xludf.DUMMYFUNCTION("""COMPUTED_VALUE"""),"https://reklama.cncenter.cz/Online/mobilni-vineta")</f>
        <v>https://reklama.cncenter.cz/Online/mobilni-vineta</v>
      </c>
      <c r="X490" s="3"/>
      <c r="Y490" s="3"/>
      <c r="Z490" s="3" t="str">
        <f ca="1">IFERROR(__xludf.DUMMYFUNCTION("""COMPUTED_VALUE"""),"podklady@cncenter.cz")</f>
        <v>podklady@cncenter.cz</v>
      </c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 t="str">
        <f ca="1">IFERROR(__xludf.DUMMYFUNCTION("""COMPUTED_VALUE"""),"mobile")</f>
        <v>mobile</v>
      </c>
      <c r="AO490" s="3"/>
      <c r="AP490" s="3"/>
      <c r="AQ490" s="3"/>
      <c r="AR490" s="3"/>
      <c r="AS490" s="3"/>
      <c r="AT490" s="3"/>
      <c r="AU490" s="3" t="str">
        <f ca="1">IFERROR(__xludf.DUMMYFUNCTION("""COMPUTED_VALUE"""),"cílený mobilní viněta")</f>
        <v>cílený mobilní viněta</v>
      </c>
    </row>
    <row r="491" spans="1:47" x14ac:dyDescent="0.3">
      <c r="A491" s="3">
        <f ca="1"/>
        <v>2346826</v>
      </c>
      <c r="B491" s="3" t="str">
        <f ca="1"/>
        <v>CZECH NEWS CENTER a. s.</v>
      </c>
      <c r="C491" s="3" t="str">
        <f ca="1">IFERROR(__xludf.DUMMYFUNCTION("""COMPUTED_VALUE"""),"E15")</f>
        <v>E15</v>
      </c>
      <c r="D491" s="3" t="str">
        <f ca="1">IFERROR(__xludf.DUMMYFUNCTION("""COMPUTED_VALUE"""),"https://e15.cz, https://finexpert.cz, https://www.e15.cz/formen")</f>
        <v>https://e15.cz, https://finexpert.cz, https://www.e15.cz/formen</v>
      </c>
      <c r="E491" s="3" t="str">
        <f ca="1">IFERROR(__xludf.DUMMYFUNCTION("""COMPUTED_VALUE"""),"celý web")</f>
        <v>celý web</v>
      </c>
      <c r="F491" s="3" t="str">
        <f ca="1">IFERROR(__xludf.DUMMYFUNCTION("""COMPUTED_VALUE"""),"https://e15.cz, https://finexpert.cz, https://www.e15.cz/formen")</f>
        <v>https://e15.cz, https://finexpert.cz, https://www.e15.cz/formen</v>
      </c>
      <c r="G491" s="3" t="str">
        <f ca="1">IFERROR(__xludf.DUMMYFUNCTION("""COMPUTED_VALUE"""),"cílený nativní rectangle cross-device high season")</f>
        <v>cílený nativní rectangle cross-device high season</v>
      </c>
      <c r="H491" s="3">
        <f ca="1">IFERROR(__xludf.DUMMYFUNCTION("""COMPUTED_VALUE"""),7)</f>
        <v>7</v>
      </c>
      <c r="I491" s="5">
        <f ca="1">IFERROR(__xludf.DUMMYFUNCTION("""COMPUTED_VALUE"""),1000)</f>
        <v>1000</v>
      </c>
      <c r="J491" s="5">
        <f ca="1">IFERROR(__xludf.DUMMYFUNCTION("""COMPUTED_VALUE"""),564)</f>
        <v>564</v>
      </c>
      <c r="K491" s="3"/>
      <c r="L491" s="3" t="str">
        <f ca="1">IFERROR(__xludf.DUMMYFUNCTION("""COMPUTED_VALUE"""),"Cost per period")</f>
        <v>Cost per period</v>
      </c>
      <c r="M491" s="3"/>
      <c r="N491" s="3"/>
      <c r="O491" s="3" t="str">
        <f ca="1">IFERROR(__xludf.DUMMYFUNCTION("""COMPUTED_VALUE"""),"640")</f>
        <v>640</v>
      </c>
      <c r="P491" s="3" t="str">
        <f ca="1">IFERROR(__xludf.DUMMYFUNCTION("""COMPUTED_VALUE"""),"335, 640")</f>
        <v>335, 640</v>
      </c>
      <c r="Q491" s="3" t="str">
        <f ca="1">IFERROR(__xludf.DUMMYFUNCTION("""COMPUTED_VALUE"""),"640x640 a 640x335 + text + logo")</f>
        <v>640x640 a 640x335 + text + logo</v>
      </c>
      <c r="R491" s="3"/>
      <c r="S491" s="3" t="str">
        <f ca="1">IFERROR(__xludf.DUMMYFUNCTION("""COMPUTED_VALUE"""),"45")</f>
        <v>45</v>
      </c>
      <c r="T491" s="3"/>
      <c r="U491" s="3" t="str">
        <f ca="1">IFERROR(__xludf.DUMMYFUNCTION("""COMPUTED_VALUE"""),"nativní reklama")</f>
        <v>nativní reklama</v>
      </c>
      <c r="V491" s="3"/>
      <c r="W491" s="4" t="str">
        <f ca="1">IFERROR(__xludf.DUMMYFUNCTION("""COMPUTED_VALUE"""),"https://reklama.cncenter.cz/Online/nativni-rectangle-cross-device")</f>
        <v>https://reklama.cncenter.cz/Online/nativni-rectangle-cross-device</v>
      </c>
      <c r="X491" s="3"/>
      <c r="Y491" s="3"/>
      <c r="Z491" s="3" t="str">
        <f ca="1">IFERROR(__xludf.DUMMYFUNCTION("""COMPUTED_VALUE"""),"podklady@cncenter.cz")</f>
        <v>podklady@cncenter.cz</v>
      </c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 t="str">
        <f ca="1">IFERROR(__xludf.DUMMYFUNCTION("""COMPUTED_VALUE"""),"cross-device")</f>
        <v>cross-device</v>
      </c>
      <c r="AO491" s="3"/>
      <c r="AP491" s="3"/>
      <c r="AQ491" s="3"/>
      <c r="AR491" s="3"/>
      <c r="AS491" s="3"/>
      <c r="AT491" s="3"/>
      <c r="AU491" s="3" t="str">
        <f ca="1">IFERROR(__xludf.DUMMYFUNCTION("""COMPUTED_VALUE"""),"cílený nativní rectangle cross-device")</f>
        <v>cílený nativní rectangle cross-device</v>
      </c>
    </row>
    <row r="492" spans="1:47" x14ac:dyDescent="0.3">
      <c r="A492" s="3">
        <f ca="1"/>
        <v>2346826</v>
      </c>
      <c r="B492" s="3" t="str">
        <f ca="1"/>
        <v>CZECH NEWS CENTER a. s.</v>
      </c>
      <c r="C492" s="3" t="str">
        <f ca="1">IFERROR(__xludf.DUMMYFUNCTION("""COMPUTED_VALUE"""),"E15")</f>
        <v>E15</v>
      </c>
      <c r="D492" s="3" t="str">
        <f ca="1">IFERROR(__xludf.DUMMYFUNCTION("""COMPUTED_VALUE"""),"https://e15.cz, https://finexpert.cz, https://www.e15.cz/formen")</f>
        <v>https://e15.cz, https://finexpert.cz, https://www.e15.cz/formen</v>
      </c>
      <c r="E492" s="3" t="str">
        <f ca="1">IFERROR(__xludf.DUMMYFUNCTION("""COMPUTED_VALUE"""),"celý web")</f>
        <v>celý web</v>
      </c>
      <c r="F492" s="3" t="str">
        <f ca="1">IFERROR(__xludf.DUMMYFUNCTION("""COMPUTED_VALUE"""),"https://e15.cz, https://finexpert.cz, https://www.e15.cz/formen")</f>
        <v>https://e15.cz, https://finexpert.cz, https://www.e15.cz/formen</v>
      </c>
      <c r="G492" s="3" t="str">
        <f ca="1">IFERROR(__xludf.DUMMYFUNCTION("""COMPUTED_VALUE"""),"cílený outstream high season")</f>
        <v>cílený outstream high season</v>
      </c>
      <c r="H492" s="3">
        <f ca="1">IFERROR(__xludf.DUMMYFUNCTION("""COMPUTED_VALUE"""),7)</f>
        <v>7</v>
      </c>
      <c r="I492" s="5">
        <f ca="1">IFERROR(__xludf.DUMMYFUNCTION("""COMPUTED_VALUE"""),1000)</f>
        <v>1000</v>
      </c>
      <c r="J492" s="5">
        <f ca="1">IFERROR(__xludf.DUMMYFUNCTION("""COMPUTED_VALUE"""),648)</f>
        <v>648</v>
      </c>
      <c r="K492" s="3"/>
      <c r="L492" s="3" t="str">
        <f ca="1">IFERROR(__xludf.DUMMYFUNCTION("""COMPUTED_VALUE"""),"Cost per period")</f>
        <v>Cost per period</v>
      </c>
      <c r="M492" s="3"/>
      <c r="N492" s="3"/>
      <c r="O492" s="3" t="str">
        <f ca="1">IFERROR(__xludf.DUMMYFUNCTION("""COMPUTED_VALUE"""),"1280")</f>
        <v>1280</v>
      </c>
      <c r="P492" s="3" t="str">
        <f ca="1">IFERROR(__xludf.DUMMYFUNCTION("""COMPUTED_VALUE"""),"720")</f>
        <v>720</v>
      </c>
      <c r="Q492" s="3" t="str">
        <f ca="1">IFERROR(__xludf.DUMMYFUNCTION("""COMPUTED_VALUE"""),"16:9")</f>
        <v>16:9</v>
      </c>
      <c r="R492" s="3"/>
      <c r="S492" s="3" t="str">
        <f ca="1">IFERROR(__xludf.DUMMYFUNCTION("""COMPUTED_VALUE"""),"100")</f>
        <v>100</v>
      </c>
      <c r="T492" s="3"/>
      <c r="U492" s="3" t="str">
        <f ca="1">IFERROR(__xludf.DUMMYFUNCTION("""COMPUTED_VALUE"""),"videospot")</f>
        <v>videospot</v>
      </c>
      <c r="V492" s="3"/>
      <c r="W492" s="4" t="str">
        <f ca="1">IFERROR(__xludf.DUMMYFUNCTION("""COMPUTED_VALUE"""),"https://reklama.cncenter.cz/Online/Outstream")</f>
        <v>https://reklama.cncenter.cz/Online/Outstream</v>
      </c>
      <c r="X492" s="3"/>
      <c r="Y492" s="3"/>
      <c r="Z492" s="3" t="str">
        <f ca="1">IFERROR(__xludf.DUMMYFUNCTION("""COMPUTED_VALUE"""),"podklady@cncenter.cz")</f>
        <v>podklady@cncenter.cz</v>
      </c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 t="str">
        <f ca="1">IFERROR(__xludf.DUMMYFUNCTION("""COMPUTED_VALUE"""),"cross-device")</f>
        <v>cross-device</v>
      </c>
      <c r="AO492" s="3"/>
      <c r="AP492" s="3"/>
      <c r="AQ492" s="3"/>
      <c r="AR492" s="3"/>
      <c r="AS492" s="3"/>
      <c r="AT492" s="3"/>
      <c r="AU492" s="3" t="str">
        <f ca="1">IFERROR(__xludf.DUMMYFUNCTION("""COMPUTED_VALUE"""),"cílený outstream")</f>
        <v>cílený outstream</v>
      </c>
    </row>
    <row r="493" spans="1:47" x14ac:dyDescent="0.3">
      <c r="A493" s="3">
        <f ca="1"/>
        <v>2346826</v>
      </c>
      <c r="B493" s="3" t="str">
        <f ca="1"/>
        <v>CZECH NEWS CENTER a. s.</v>
      </c>
      <c r="C493" s="3" t="str">
        <f ca="1">IFERROR(__xludf.DUMMYFUNCTION("""COMPUTED_VALUE"""),"E15")</f>
        <v>E15</v>
      </c>
      <c r="D493" s="3" t="str">
        <f ca="1">IFERROR(__xludf.DUMMYFUNCTION("""COMPUTED_VALUE"""),"https://e15.cz, https://finexpert.cz, https://www.e15.cz/formen")</f>
        <v>https://e15.cz, https://finexpert.cz, https://www.e15.cz/formen</v>
      </c>
      <c r="E493" s="3" t="str">
        <f ca="1">IFERROR(__xludf.DUMMYFUNCTION("""COMPUTED_VALUE"""),"celý web")</f>
        <v>celý web</v>
      </c>
      <c r="F493" s="3" t="str">
        <f ca="1">IFERROR(__xludf.DUMMYFUNCTION("""COMPUTED_VALUE"""),"https://e15.cz, https://finexpert.cz, https://www.e15.cz/formen")</f>
        <v>https://e15.cz, https://finexpert.cz, https://www.e15.cz/formen</v>
      </c>
      <c r="G493" s="3" t="str">
        <f ca="1">IFERROR(__xludf.DUMMYFUNCTION("""COMPUTED_VALUE"""),"cílený videospot - max. 30 sec. / bumper high season")</f>
        <v>cílený videospot - max. 30 sec. / bumper high season</v>
      </c>
      <c r="H493" s="3">
        <f ca="1">IFERROR(__xludf.DUMMYFUNCTION("""COMPUTED_VALUE"""),7)</f>
        <v>7</v>
      </c>
      <c r="I493" s="5">
        <f ca="1">IFERROR(__xludf.DUMMYFUNCTION("""COMPUTED_VALUE"""),1000)</f>
        <v>1000</v>
      </c>
      <c r="J493" s="5">
        <f ca="1">IFERROR(__xludf.DUMMYFUNCTION("""COMPUTED_VALUE"""),2292)</f>
        <v>2292</v>
      </c>
      <c r="K493" s="3"/>
      <c r="L493" s="3" t="str">
        <f ca="1">IFERROR(__xludf.DUMMYFUNCTION("""COMPUTED_VALUE"""),"Cost per period")</f>
        <v>Cost per period</v>
      </c>
      <c r="M493" s="3"/>
      <c r="N493" s="3"/>
      <c r="O493" s="3" t="str">
        <f ca="1">IFERROR(__xludf.DUMMYFUNCTION("""COMPUTED_VALUE"""),"1280")</f>
        <v>1280</v>
      </c>
      <c r="P493" s="3" t="str">
        <f ca="1">IFERROR(__xludf.DUMMYFUNCTION("""COMPUTED_VALUE"""),"720")</f>
        <v>720</v>
      </c>
      <c r="Q493" s="3" t="str">
        <f ca="1">IFERROR(__xludf.DUMMYFUNCTION("""COMPUTED_VALUE"""),"16:9 / umístění po domluvě dle možností")</f>
        <v>16:9 / umístění po domluvě dle možností</v>
      </c>
      <c r="R493" s="3" t="str">
        <f ca="1">IFERROR(__xludf.DUMMYFUNCTION("""COMPUTED_VALUE"""),"přeskočení po 7 sekundách")</f>
        <v>přeskočení po 7 sekundách</v>
      </c>
      <c r="S493" s="3" t="str">
        <f ca="1">IFERROR(__xludf.DUMMYFUNCTION("""COMPUTED_VALUE"""),"100")</f>
        <v>100</v>
      </c>
      <c r="T493" s="3"/>
      <c r="U493" s="3" t="str">
        <f ca="1">IFERROR(__xludf.DUMMYFUNCTION("""COMPUTED_VALUE"""),"videospot")</f>
        <v>videospot</v>
      </c>
      <c r="V493" s="3"/>
      <c r="W493" s="4" t="str">
        <f ca="1">IFERROR(__xludf.DUMMYFUNCTION("""COMPUTED_VALUE"""),"https://reklama.cncenter.cz/Online/Bumper")</f>
        <v>https://reklama.cncenter.cz/Online/Bumper</v>
      </c>
      <c r="X493" s="3"/>
      <c r="Y493" s="3"/>
      <c r="Z493" s="3" t="str">
        <f ca="1">IFERROR(__xludf.DUMMYFUNCTION("""COMPUTED_VALUE"""),"podklady@cncenter.cz")</f>
        <v>podklady@cncenter.cz</v>
      </c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 t="str">
        <f ca="1">IFERROR(__xludf.DUMMYFUNCTION("""COMPUTED_VALUE"""),"cross-device")</f>
        <v>cross-device</v>
      </c>
      <c r="AO493" s="3"/>
      <c r="AP493" s="3"/>
      <c r="AQ493" s="3"/>
      <c r="AR493" s="3"/>
      <c r="AS493" s="3"/>
      <c r="AT493" s="3"/>
      <c r="AU493" s="3" t="str">
        <f ca="1">IFERROR(__xludf.DUMMYFUNCTION("""COMPUTED_VALUE"""),"cílený videospot - max. 30 sec. / bumper")</f>
        <v>cílený videospot - max. 30 sec. / bumper</v>
      </c>
    </row>
    <row r="494" spans="1:47" x14ac:dyDescent="0.3">
      <c r="A494" s="3">
        <f ca="1"/>
        <v>2346826</v>
      </c>
      <c r="B494" s="3" t="str">
        <f ca="1"/>
        <v>CZECH NEWS CENTER a. s.</v>
      </c>
      <c r="C494" s="3" t="str">
        <f ca="1">IFERROR(__xludf.DUMMYFUNCTION("""COMPUTED_VALUE"""),"E15")</f>
        <v>E15</v>
      </c>
      <c r="D494" s="3" t="str">
        <f ca="1">IFERROR(__xludf.DUMMYFUNCTION("""COMPUTED_VALUE"""),"https://e15.cz, https://finexpert.cz, https://www.e15.cz/formen")</f>
        <v>https://e15.cz, https://finexpert.cz, https://www.e15.cz/formen</v>
      </c>
      <c r="E494" s="3" t="str">
        <f ca="1">IFERROR(__xludf.DUMMYFUNCTION("""COMPUTED_VALUE"""),"celý web")</f>
        <v>celý web</v>
      </c>
      <c r="F494" s="3" t="str">
        <f ca="1">IFERROR(__xludf.DUMMYFUNCTION("""COMPUTED_VALUE"""),"https://e15.cz, https://finexpert.cz, https://www.e15.cz/formen")</f>
        <v>https://e15.cz, https://finexpert.cz, https://www.e15.cz/formen</v>
      </c>
      <c r="G494" s="3" t="str">
        <f ca="1">IFERROR(__xludf.DUMMYFUNCTION("""COMPUTED_VALUE"""),"dokoupení proma o 2 týdny - 10 000 PV *** high season")</f>
        <v>dokoupení proma o 2 týdny - 10 000 PV *** high season</v>
      </c>
      <c r="H494" s="3">
        <f ca="1">IFERROR(__xludf.DUMMYFUNCTION("""COMPUTED_VALUE"""),1)</f>
        <v>1</v>
      </c>
      <c r="I494" s="5">
        <f ca="1">IFERROR(__xludf.DUMMYFUNCTION("""COMPUTED_VALUE"""),1)</f>
        <v>1</v>
      </c>
      <c r="J494" s="5">
        <f ca="1">IFERROR(__xludf.DUMMYFUNCTION("""COMPUTED_VALUE"""),60000)</f>
        <v>60000</v>
      </c>
      <c r="K494" s="3"/>
      <c r="L494" s="3" t="str">
        <f ca="1">IFERROR(__xludf.DUMMYFUNCTION("""COMPUTED_VALUE"""),"Cost per instance")</f>
        <v>Cost per instance</v>
      </c>
      <c r="M494" s="3"/>
      <c r="N494" s="3"/>
      <c r="O494" s="3"/>
      <c r="P494" s="3"/>
      <c r="Q494" s="3"/>
      <c r="R494" s="3"/>
      <c r="S494" s="3" t="str">
        <f ca="1">IFERROR(__xludf.DUMMYFUNCTION("""COMPUTED_VALUE"""),"100")</f>
        <v>100</v>
      </c>
      <c r="T494" s="3"/>
      <c r="U494" s="3" t="str">
        <f ca="1">IFERROR(__xludf.DUMMYFUNCTION("""COMPUTED_VALUE"""),"microsite")</f>
        <v>microsite</v>
      </c>
      <c r="V494" s="3"/>
      <c r="W494" s="3"/>
      <c r="X494" s="3"/>
      <c r="Y494" s="3"/>
      <c r="Z494" s="3" t="str">
        <f ca="1">IFERROR(__xludf.DUMMYFUNCTION("""COMPUTED_VALUE"""),"podklady@cncenter.cz")</f>
        <v>podklady@cncenter.cz</v>
      </c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 t="str">
        <f ca="1">IFERROR(__xludf.DUMMYFUNCTION("""COMPUTED_VALUE"""),"cross-device")</f>
        <v>cross-device</v>
      </c>
      <c r="AO494" s="3"/>
      <c r="AP494" s="3"/>
      <c r="AQ494" s="3"/>
      <c r="AR494" s="3"/>
      <c r="AS494" s="3"/>
      <c r="AT494" s="3"/>
      <c r="AU494" s="3" t="str">
        <f ca="1">IFERROR(__xludf.DUMMYFUNCTION("""COMPUTED_VALUE"""),"dokoupení proma o 2 týdny - 10 000 PV ***")</f>
        <v>dokoupení proma o 2 týdny - 10 000 PV ***</v>
      </c>
    </row>
    <row r="495" spans="1:47" x14ac:dyDescent="0.3">
      <c r="A495" s="3">
        <f ca="1"/>
        <v>2346826</v>
      </c>
      <c r="B495" s="3" t="str">
        <f ca="1"/>
        <v>CZECH NEWS CENTER a. s.</v>
      </c>
      <c r="C495" s="3" t="str">
        <f ca="1">IFERROR(__xludf.DUMMYFUNCTION("""COMPUTED_VALUE"""),"E15")</f>
        <v>E15</v>
      </c>
      <c r="D495" s="3" t="str">
        <f ca="1">IFERROR(__xludf.DUMMYFUNCTION("""COMPUTED_VALUE"""),"https://e15.cz, https://finexpert.cz, https://www.e15.cz/formen")</f>
        <v>https://e15.cz, https://finexpert.cz, https://www.e15.cz/formen</v>
      </c>
      <c r="E495" s="3" t="str">
        <f ca="1">IFERROR(__xludf.DUMMYFUNCTION("""COMPUTED_VALUE"""),"celý web")</f>
        <v>celý web</v>
      </c>
      <c r="F495" s="3" t="str">
        <f ca="1">IFERROR(__xludf.DUMMYFUNCTION("""COMPUTED_VALUE"""),"https://e15.cz, https://finexpert.cz, https://www.e15.cz/formen")</f>
        <v>https://e15.cz, https://finexpert.cz, https://www.e15.cz/formen</v>
      </c>
      <c r="G495" s="3" t="str">
        <f ca="1">IFERROR(__xludf.DUMMYFUNCTION("""COMPUTED_VALUE"""),"double skyscraper high season")</f>
        <v>double skyscraper high season</v>
      </c>
      <c r="H495" s="3">
        <f ca="1">IFERROR(__xludf.DUMMYFUNCTION("""COMPUTED_VALUE"""),7)</f>
        <v>7</v>
      </c>
      <c r="I495" s="5">
        <f ca="1">IFERROR(__xludf.DUMMYFUNCTION("""COMPUTED_VALUE"""),1000)</f>
        <v>1000</v>
      </c>
      <c r="J495" s="5">
        <f ca="1">IFERROR(__xludf.DUMMYFUNCTION("""COMPUTED_VALUE"""),450)</f>
        <v>450</v>
      </c>
      <c r="K495" s="3"/>
      <c r="L495" s="3" t="str">
        <f ca="1">IFERROR(__xludf.DUMMYFUNCTION("""COMPUTED_VALUE"""),"Cost per period")</f>
        <v>Cost per period</v>
      </c>
      <c r="M495" s="3"/>
      <c r="N495" s="3"/>
      <c r="O495" s="3" t="str">
        <f ca="1">IFERROR(__xludf.DUMMYFUNCTION("""COMPUTED_VALUE"""),"300")</f>
        <v>300</v>
      </c>
      <c r="P495" s="3" t="str">
        <f ca="1">IFERROR(__xludf.DUMMYFUNCTION("""COMPUTED_VALUE"""),"600")</f>
        <v>600</v>
      </c>
      <c r="Q495" s="3" t="str">
        <f ca="1">IFERROR(__xludf.DUMMYFUNCTION("""COMPUTED_VALUE"""),"300x600")</f>
        <v>300x600</v>
      </c>
      <c r="R495" s="3"/>
      <c r="S495" s="3" t="str">
        <f ca="1">IFERROR(__xludf.DUMMYFUNCTION("""COMPUTED_VALUE"""),"100 (200 - HTML5)")</f>
        <v>100 (200 - HTML5)</v>
      </c>
      <c r="T495" s="3"/>
      <c r="U495" s="3" t="str">
        <f ca="1">IFERROR(__xludf.DUMMYFUNCTION("""COMPUTED_VALUE"""),"banner standard")</f>
        <v>banner standard</v>
      </c>
      <c r="V495" s="3"/>
      <c r="W495" s="4" t="str">
        <f ca="1">IFERROR(__xludf.DUMMYFUNCTION("""COMPUTED_VALUE"""),"https://reklama.cncenter.cz/Online/double-skyscraper")</f>
        <v>https://reklama.cncenter.cz/Online/double-skyscraper</v>
      </c>
      <c r="X495" s="3"/>
      <c r="Y495" s="3"/>
      <c r="Z495" s="3" t="str">
        <f ca="1">IFERROR(__xludf.DUMMYFUNCTION("""COMPUTED_VALUE"""),"podklady@cncenter.cz")</f>
        <v>podklady@cncenter.cz</v>
      </c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 t="str">
        <f ca="1">IFERROR(__xludf.DUMMYFUNCTION("""COMPUTED_VALUE"""),"desktop")</f>
        <v>desktop</v>
      </c>
      <c r="AO495" s="3"/>
      <c r="AP495" s="3"/>
      <c r="AQ495" s="3"/>
      <c r="AR495" s="3"/>
      <c r="AS495" s="3"/>
      <c r="AT495" s="3"/>
      <c r="AU495" s="3" t="str">
        <f ca="1">IFERROR(__xludf.DUMMYFUNCTION("""COMPUTED_VALUE"""),"double skyscraper")</f>
        <v>double skyscraper</v>
      </c>
    </row>
    <row r="496" spans="1:47" x14ac:dyDescent="0.3">
      <c r="A496" s="3">
        <f ca="1"/>
        <v>2346826</v>
      </c>
      <c r="B496" s="3" t="str">
        <f ca="1"/>
        <v>CZECH NEWS CENTER a. s.</v>
      </c>
      <c r="C496" s="3" t="str">
        <f ca="1">IFERROR(__xludf.DUMMYFUNCTION("""COMPUTED_VALUE"""),"E15")</f>
        <v>E15</v>
      </c>
      <c r="D496" s="3" t="str">
        <f ca="1">IFERROR(__xludf.DUMMYFUNCTION("""COMPUTED_VALUE"""),"https://e15.cz, https://finexpert.cz, https://www.e15.cz/formen")</f>
        <v>https://e15.cz, https://finexpert.cz, https://www.e15.cz/formen</v>
      </c>
      <c r="E496" s="3" t="str">
        <f ca="1">IFERROR(__xludf.DUMMYFUNCTION("""COMPUTED_VALUE"""),"celý web")</f>
        <v>celý web</v>
      </c>
      <c r="F496" s="3" t="str">
        <f ca="1">IFERROR(__xludf.DUMMYFUNCTION("""COMPUTED_VALUE"""),"https://e15.cz, https://finexpert.cz, https://www.e15.cz/formen")</f>
        <v>https://e15.cz, https://finexpert.cz, https://www.e15.cz/formen</v>
      </c>
      <c r="G496" s="3" t="str">
        <f ca="1">IFERROR(__xludf.DUMMYFUNCTION("""COMPUTED_VALUE"""),"mini videospot - max. 30 sec. high season")</f>
        <v>mini videospot - max. 30 sec. high season</v>
      </c>
      <c r="H496" s="3">
        <f ca="1">IFERROR(__xludf.DUMMYFUNCTION("""COMPUTED_VALUE"""),7)</f>
        <v>7</v>
      </c>
      <c r="I496" s="5">
        <f ca="1">IFERROR(__xludf.DUMMYFUNCTION("""COMPUTED_VALUE"""),1000)</f>
        <v>1000</v>
      </c>
      <c r="J496" s="5">
        <f ca="1">IFERROR(__xludf.DUMMYFUNCTION("""COMPUTED_VALUE"""),440)</f>
        <v>440</v>
      </c>
      <c r="K496" s="3"/>
      <c r="L496" s="3" t="str">
        <f ca="1">IFERROR(__xludf.DUMMYFUNCTION("""COMPUTED_VALUE"""),"Cost per period")</f>
        <v>Cost per period</v>
      </c>
      <c r="M496" s="3"/>
      <c r="N496" s="3"/>
      <c r="O496" s="3"/>
      <c r="P496" s="3"/>
      <c r="Q496" s="3" t="str">
        <f ca="1">IFERROR(__xludf.DUMMYFUNCTION("""COMPUTED_VALUE"""),"16:9 / umístění po domluvě dle možností")</f>
        <v>16:9 / umístění po domluvě dle možností</v>
      </c>
      <c r="R496" s="3" t="str">
        <f ca="1">IFERROR(__xludf.DUMMYFUNCTION("""COMPUTED_VALUE"""),"přeskočení po 7 sekundách")</f>
        <v>přeskočení po 7 sekundách</v>
      </c>
      <c r="S496" s="3" t="str">
        <f ca="1">IFERROR(__xludf.DUMMYFUNCTION("""COMPUTED_VALUE"""),"100")</f>
        <v>100</v>
      </c>
      <c r="T496" s="3"/>
      <c r="U496" s="3" t="str">
        <f ca="1">IFERROR(__xludf.DUMMYFUNCTION("""COMPUTED_VALUE"""),"videospot")</f>
        <v>videospot</v>
      </c>
      <c r="V496" s="3"/>
      <c r="W496" s="4" t="str">
        <f ca="1">IFERROR(__xludf.DUMMYFUNCTION("""COMPUTED_VALUE"""),"https://reklama.cncenter.cz/Online/Videospot")</f>
        <v>https://reklama.cncenter.cz/Online/Videospot</v>
      </c>
      <c r="X496" s="3"/>
      <c r="Y496" s="3"/>
      <c r="Z496" s="3" t="str">
        <f ca="1">IFERROR(__xludf.DUMMYFUNCTION("""COMPUTED_VALUE"""),"podklady@cncenter.cz")</f>
        <v>podklady@cncenter.cz</v>
      </c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 t="str">
        <f ca="1">IFERROR(__xludf.DUMMYFUNCTION("""COMPUTED_VALUE"""),"desktop")</f>
        <v>desktop</v>
      </c>
      <c r="AO496" s="3"/>
      <c r="AP496" s="3"/>
      <c r="AQ496" s="3"/>
      <c r="AR496" s="3"/>
      <c r="AS496" s="3"/>
      <c r="AT496" s="3"/>
      <c r="AU496" s="3" t="str">
        <f ca="1">IFERROR(__xludf.DUMMYFUNCTION("""COMPUTED_VALUE"""),"mini videospot - max. 30 sec.")</f>
        <v>mini videospot - max. 30 sec.</v>
      </c>
    </row>
    <row r="497" spans="1:47" x14ac:dyDescent="0.3">
      <c r="A497" s="3">
        <f ca="1"/>
        <v>2346826</v>
      </c>
      <c r="B497" s="3" t="str">
        <f ca="1"/>
        <v>CZECH NEWS CENTER a. s.</v>
      </c>
      <c r="C497" s="3" t="str">
        <f ca="1">IFERROR(__xludf.DUMMYFUNCTION("""COMPUTED_VALUE"""),"E15")</f>
        <v>E15</v>
      </c>
      <c r="D497" s="3" t="str">
        <f ca="1">IFERROR(__xludf.DUMMYFUNCTION("""COMPUTED_VALUE"""),"https://e15.cz, https://finexpert.cz, https://www.e15.cz/formen")</f>
        <v>https://e15.cz, https://finexpert.cz, https://www.e15.cz/formen</v>
      </c>
      <c r="E497" s="3" t="str">
        <f ca="1">IFERROR(__xludf.DUMMYFUNCTION("""COMPUTED_VALUE"""),"celý web")</f>
        <v>celý web</v>
      </c>
      <c r="F497" s="3" t="str">
        <f ca="1">IFERROR(__xludf.DUMMYFUNCTION("""COMPUTED_VALUE"""),"https://e15.cz, https://finexpert.cz, https://www.e15.cz/formen")</f>
        <v>https://e15.cz, https://finexpert.cz, https://www.e15.cz/formen</v>
      </c>
      <c r="G497" s="3" t="str">
        <f ca="1">IFERROR(__xludf.DUMMYFUNCTION("""COMPUTED_VALUE"""),"mobilní interscroller high season")</f>
        <v>mobilní interscroller high season</v>
      </c>
      <c r="H497" s="3">
        <f ca="1">IFERROR(__xludf.DUMMYFUNCTION("""COMPUTED_VALUE"""),7)</f>
        <v>7</v>
      </c>
      <c r="I497" s="5">
        <f ca="1">IFERROR(__xludf.DUMMYFUNCTION("""COMPUTED_VALUE"""),1000)</f>
        <v>1000</v>
      </c>
      <c r="J497" s="5">
        <f ca="1">IFERROR(__xludf.DUMMYFUNCTION("""COMPUTED_VALUE"""),540)</f>
        <v>540</v>
      </c>
      <c r="K497" s="3"/>
      <c r="L497" s="3" t="str">
        <f ca="1">IFERROR(__xludf.DUMMYFUNCTION("""COMPUTED_VALUE"""),"Cost per period")</f>
        <v>Cost per period</v>
      </c>
      <c r="M497" s="3"/>
      <c r="N497" s="3"/>
      <c r="O497" s="3" t="str">
        <f ca="1">IFERROR(__xludf.DUMMYFUNCTION("""COMPUTED_VALUE"""),"600")</f>
        <v>600</v>
      </c>
      <c r="P497" s="3" t="str">
        <f ca="1">IFERROR(__xludf.DUMMYFUNCTION("""COMPUTED_VALUE"""),"1080")</f>
        <v>1080</v>
      </c>
      <c r="Q497" s="3" t="str">
        <f ca="1">IFERROR(__xludf.DUMMYFUNCTION("""COMPUTED_VALUE"""),"600x1080")</f>
        <v>600x1080</v>
      </c>
      <c r="R497" s="3"/>
      <c r="S497" s="3" t="str">
        <f ca="1">IFERROR(__xludf.DUMMYFUNCTION("""COMPUTED_VALUE"""),"200")</f>
        <v>200</v>
      </c>
      <c r="T497" s="3"/>
      <c r="U497" s="3" t="str">
        <f ca="1">IFERROR(__xludf.DUMMYFUNCTION("""COMPUTED_VALUE"""),"banner standard")</f>
        <v>banner standard</v>
      </c>
      <c r="V497" s="3"/>
      <c r="W497" s="4" t="str">
        <f ca="1">IFERROR(__xludf.DUMMYFUNCTION("""COMPUTED_VALUE"""),"https://reklama.cncenter.cz/Online/mobilni-interscroller")</f>
        <v>https://reklama.cncenter.cz/Online/mobilni-interscroller</v>
      </c>
      <c r="X497" s="3"/>
      <c r="Y497" s="3"/>
      <c r="Z497" s="3" t="str">
        <f ca="1">IFERROR(__xludf.DUMMYFUNCTION("""COMPUTED_VALUE"""),"podklady@cncenter.cz")</f>
        <v>podklady@cncenter.cz</v>
      </c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 t="str">
        <f ca="1">IFERROR(__xludf.DUMMYFUNCTION("""COMPUTED_VALUE"""),"mobile")</f>
        <v>mobile</v>
      </c>
      <c r="AO497" s="3"/>
      <c r="AP497" s="3"/>
      <c r="AQ497" s="3"/>
      <c r="AR497" s="3"/>
      <c r="AS497" s="3"/>
      <c r="AT497" s="3"/>
      <c r="AU497" s="3" t="str">
        <f ca="1">IFERROR(__xludf.DUMMYFUNCTION("""COMPUTED_VALUE"""),"mobilní interscroller")</f>
        <v>mobilní interscroller</v>
      </c>
    </row>
    <row r="498" spans="1:47" x14ac:dyDescent="0.3">
      <c r="A498" s="3">
        <f ca="1"/>
        <v>2346826</v>
      </c>
      <c r="B498" s="3" t="str">
        <f ca="1"/>
        <v>CZECH NEWS CENTER a. s.</v>
      </c>
      <c r="C498" s="3" t="str">
        <f ca="1">IFERROR(__xludf.DUMMYFUNCTION("""COMPUTED_VALUE"""),"E15")</f>
        <v>E15</v>
      </c>
      <c r="D498" s="3" t="str">
        <f ca="1">IFERROR(__xludf.DUMMYFUNCTION("""COMPUTED_VALUE"""),"https://e15.cz, https://finexpert.cz, https://www.e15.cz/formen")</f>
        <v>https://e15.cz, https://finexpert.cz, https://www.e15.cz/formen</v>
      </c>
      <c r="E498" s="3" t="str">
        <f ca="1">IFERROR(__xludf.DUMMYFUNCTION("""COMPUTED_VALUE"""),"celý web")</f>
        <v>celý web</v>
      </c>
      <c r="F498" s="3" t="str">
        <f ca="1">IFERROR(__xludf.DUMMYFUNCTION("""COMPUTED_VALUE"""),"https://e15.cz, https://finexpert.cz, https://www.e15.cz/formen")</f>
        <v>https://e15.cz, https://finexpert.cz, https://www.e15.cz/formen</v>
      </c>
      <c r="G498" s="3" t="str">
        <f ca="1">IFERROR(__xludf.DUMMYFUNCTION("""COMPUTED_VALUE"""),"mobilní slide-up high season")</f>
        <v>mobilní slide-up high season</v>
      </c>
      <c r="H498" s="3">
        <f ca="1">IFERROR(__xludf.DUMMYFUNCTION("""COMPUTED_VALUE"""),7)</f>
        <v>7</v>
      </c>
      <c r="I498" s="5">
        <f ca="1">IFERROR(__xludf.DUMMYFUNCTION("""COMPUTED_VALUE"""),1000)</f>
        <v>1000</v>
      </c>
      <c r="J498" s="5">
        <f ca="1">IFERROR(__xludf.DUMMYFUNCTION("""COMPUTED_VALUE"""),1250)</f>
        <v>1250</v>
      </c>
      <c r="K498" s="3"/>
      <c r="L498" s="3" t="str">
        <f ca="1">IFERROR(__xludf.DUMMYFUNCTION("""COMPUTED_VALUE"""),"Cost per period")</f>
        <v>Cost per period</v>
      </c>
      <c r="M498" s="3"/>
      <c r="N498" s="3"/>
      <c r="O498" s="3" t="str">
        <f ca="1">IFERROR(__xludf.DUMMYFUNCTION("""COMPUTED_VALUE"""),"300")</f>
        <v>300</v>
      </c>
      <c r="P498" s="3" t="str">
        <f ca="1">IFERROR(__xludf.DUMMYFUNCTION("""COMPUTED_VALUE"""),"120")</f>
        <v>120</v>
      </c>
      <c r="Q498" s="3" t="str">
        <f ca="1">IFERROR(__xludf.DUMMYFUNCTION("""COMPUTED_VALUE"""),"300x120")</f>
        <v>300x120</v>
      </c>
      <c r="R498" s="3"/>
      <c r="S498" s="3" t="str">
        <f ca="1">IFERROR(__xludf.DUMMYFUNCTION("""COMPUTED_VALUE"""),"100")</f>
        <v>100</v>
      </c>
      <c r="T498" s="3"/>
      <c r="U498" s="3" t="str">
        <f ca="1">IFERROR(__xludf.DUMMYFUNCTION("""COMPUTED_VALUE"""),"banner standard")</f>
        <v>banner standard</v>
      </c>
      <c r="V498" s="3"/>
      <c r="W498" s="4" t="str">
        <f ca="1">IFERROR(__xludf.DUMMYFUNCTION("""COMPUTED_VALUE"""),"https://reklama.cncenter.cz/Online/mobilni-slide-up")</f>
        <v>https://reklama.cncenter.cz/Online/mobilni-slide-up</v>
      </c>
      <c r="X498" s="3"/>
      <c r="Y498" s="3"/>
      <c r="Z498" s="3" t="str">
        <f ca="1">IFERROR(__xludf.DUMMYFUNCTION("""COMPUTED_VALUE"""),"podklady@cncenter.cz")</f>
        <v>podklady@cncenter.cz</v>
      </c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 t="str">
        <f ca="1">IFERROR(__xludf.DUMMYFUNCTION("""COMPUTED_VALUE"""),"mobile")</f>
        <v>mobile</v>
      </c>
      <c r="AO498" s="3"/>
      <c r="AP498" s="3"/>
      <c r="AQ498" s="3"/>
      <c r="AR498" s="3"/>
      <c r="AS498" s="3"/>
      <c r="AT498" s="3"/>
      <c r="AU498" s="3" t="str">
        <f ca="1">IFERROR(__xludf.DUMMYFUNCTION("""COMPUTED_VALUE"""),"mobilní slide-up")</f>
        <v>mobilní slide-up</v>
      </c>
    </row>
    <row r="499" spans="1:47" x14ac:dyDescent="0.3">
      <c r="A499" s="3">
        <f ca="1"/>
        <v>2346826</v>
      </c>
      <c r="B499" s="3" t="str">
        <f ca="1"/>
        <v>CZECH NEWS CENTER a. s.</v>
      </c>
      <c r="C499" s="3" t="str">
        <f ca="1">IFERROR(__xludf.DUMMYFUNCTION("""COMPUTED_VALUE"""),"E15")</f>
        <v>E15</v>
      </c>
      <c r="D499" s="3" t="str">
        <f ca="1">IFERROR(__xludf.DUMMYFUNCTION("""COMPUTED_VALUE"""),"https://e15.cz, https://finexpert.cz, https://www.e15.cz/formen")</f>
        <v>https://e15.cz, https://finexpert.cz, https://www.e15.cz/formen</v>
      </c>
      <c r="E499" s="3" t="str">
        <f ca="1">IFERROR(__xludf.DUMMYFUNCTION("""COMPUTED_VALUE"""),"celý web")</f>
        <v>celý web</v>
      </c>
      <c r="F499" s="3" t="str">
        <f ca="1">IFERROR(__xludf.DUMMYFUNCTION("""COMPUTED_VALUE"""),"https://e15.cz, https://finexpert.cz, https://www.e15.cz/formen")</f>
        <v>https://e15.cz, https://finexpert.cz, https://www.e15.cz/formen</v>
      </c>
      <c r="G499" s="3" t="str">
        <f ca="1">IFERROR(__xludf.DUMMYFUNCTION("""COMPUTED_VALUE"""),"mobilní viněta high season")</f>
        <v>mobilní viněta high season</v>
      </c>
      <c r="H499" s="3">
        <f ca="1">IFERROR(__xludf.DUMMYFUNCTION("""COMPUTED_VALUE"""),7)</f>
        <v>7</v>
      </c>
      <c r="I499" s="5">
        <f ca="1">IFERROR(__xludf.DUMMYFUNCTION("""COMPUTED_VALUE"""),1000)</f>
        <v>1000</v>
      </c>
      <c r="J499" s="5">
        <f ca="1">IFERROR(__xludf.DUMMYFUNCTION("""COMPUTED_VALUE"""),1300)</f>
        <v>1300</v>
      </c>
      <c r="K499" s="3"/>
      <c r="L499" s="3" t="str">
        <f ca="1">IFERROR(__xludf.DUMMYFUNCTION("""COMPUTED_VALUE"""),"Cost per period")</f>
        <v>Cost per period</v>
      </c>
      <c r="M499" s="3"/>
      <c r="N499" s="3"/>
      <c r="O499" s="3" t="str">
        <f ca="1">IFERROR(__xludf.DUMMYFUNCTION("""COMPUTED_VALUE"""),"600")</f>
        <v>600</v>
      </c>
      <c r="P499" s="3" t="str">
        <f ca="1">IFERROR(__xludf.DUMMYFUNCTION("""COMPUTED_VALUE"""),"800")</f>
        <v>800</v>
      </c>
      <c r="Q499" s="3" t="str">
        <f ca="1">IFERROR(__xludf.DUMMYFUNCTION("""COMPUTED_VALUE"""),"300x250 nebo 600x800")</f>
        <v>300x250 nebo 600x800</v>
      </c>
      <c r="R499" s="3"/>
      <c r="S499" s="3" t="str">
        <f ca="1">IFERROR(__xludf.DUMMYFUNCTION("""COMPUTED_VALUE"""),"100")</f>
        <v>100</v>
      </c>
      <c r="T499" s="3"/>
      <c r="U499" s="3" t="str">
        <f ca="1">IFERROR(__xludf.DUMMYFUNCTION("""COMPUTED_VALUE"""),"banner standard")</f>
        <v>banner standard</v>
      </c>
      <c r="V499" s="3"/>
      <c r="W499" s="4" t="str">
        <f ca="1">IFERROR(__xludf.DUMMYFUNCTION("""COMPUTED_VALUE"""),"https://reklama.cncenter.cz/Online/mobilni-vineta")</f>
        <v>https://reklama.cncenter.cz/Online/mobilni-vineta</v>
      </c>
      <c r="X499" s="3"/>
      <c r="Y499" s="3"/>
      <c r="Z499" s="3" t="str">
        <f ca="1">IFERROR(__xludf.DUMMYFUNCTION("""COMPUTED_VALUE"""),"podklady@cncenter.cz")</f>
        <v>podklady@cncenter.cz</v>
      </c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 t="str">
        <f ca="1">IFERROR(__xludf.DUMMYFUNCTION("""COMPUTED_VALUE"""),"mobile")</f>
        <v>mobile</v>
      </c>
      <c r="AO499" s="3"/>
      <c r="AP499" s="3"/>
      <c r="AQ499" s="3"/>
      <c r="AR499" s="3"/>
      <c r="AS499" s="3"/>
      <c r="AT499" s="3"/>
      <c r="AU499" s="3" t="str">
        <f ca="1">IFERROR(__xludf.DUMMYFUNCTION("""COMPUTED_VALUE"""),"mobilní viněta")</f>
        <v>mobilní viněta</v>
      </c>
    </row>
    <row r="500" spans="1:47" x14ac:dyDescent="0.3">
      <c r="A500" s="3">
        <f ca="1"/>
        <v>2346826</v>
      </c>
      <c r="B500" s="3" t="str">
        <f ca="1"/>
        <v>CZECH NEWS CENTER a. s.</v>
      </c>
      <c r="C500" s="3" t="str">
        <f ca="1">IFERROR(__xludf.DUMMYFUNCTION("""COMPUTED_VALUE"""),"E15")</f>
        <v>E15</v>
      </c>
      <c r="D500" s="3" t="str">
        <f ca="1">IFERROR(__xludf.DUMMYFUNCTION("""COMPUTED_VALUE"""),"https://e15.cz, https://finexpert.cz, https://www.e15.cz/formen")</f>
        <v>https://e15.cz, https://finexpert.cz, https://www.e15.cz/formen</v>
      </c>
      <c r="E500" s="3" t="str">
        <f ca="1">IFERROR(__xludf.DUMMYFUNCTION("""COMPUTED_VALUE"""),"celý web")</f>
        <v>celý web</v>
      </c>
      <c r="F500" s="3" t="str">
        <f ca="1">IFERROR(__xludf.DUMMYFUNCTION("""COMPUTED_VALUE"""),"https://e15.cz, https://finexpert.cz, https://www.e15.cz/formen")</f>
        <v>https://e15.cz, https://finexpert.cz, https://www.e15.cz/formen</v>
      </c>
      <c r="G500" s="3" t="str">
        <f ca="1">IFERROR(__xludf.DUMMYFUNCTION("""COMPUTED_VALUE"""),"Native Standard high season")</f>
        <v>Native Standard high season</v>
      </c>
      <c r="H500" s="3">
        <f ca="1">IFERROR(__xludf.DUMMYFUNCTION("""COMPUTED_VALUE"""),1)</f>
        <v>1</v>
      </c>
      <c r="I500" s="5">
        <f ca="1">IFERROR(__xludf.DUMMYFUNCTION("""COMPUTED_VALUE"""),1)</f>
        <v>1</v>
      </c>
      <c r="J500" s="5">
        <f ca="1">IFERROR(__xludf.DUMMYFUNCTION("""COMPUTED_VALUE"""),330000)</f>
        <v>330000</v>
      </c>
      <c r="K500" s="3"/>
      <c r="L500" s="3" t="str">
        <f ca="1">IFERROR(__xludf.DUMMYFUNCTION("""COMPUTED_VALUE"""),"Cost per instance")</f>
        <v>Cost per instance</v>
      </c>
      <c r="M500" s="3"/>
      <c r="N500" s="3"/>
      <c r="O500" s="3"/>
      <c r="P500" s="3"/>
      <c r="Q500" s="3"/>
      <c r="R500" s="3"/>
      <c r="S500" s="3" t="str">
        <f ca="1">IFERROR(__xludf.DUMMYFUNCTION("""COMPUTED_VALUE"""),"100")</f>
        <v>100</v>
      </c>
      <c r="T500" s="3"/>
      <c r="U500" s="3" t="str">
        <f ca="1">IFERROR(__xludf.DUMMYFUNCTION("""COMPUTED_VALUE"""),"microsite")</f>
        <v>microsite</v>
      </c>
      <c r="V500" s="3"/>
      <c r="W500" s="3"/>
      <c r="X500" s="3"/>
      <c r="Y500" s="3"/>
      <c r="Z500" s="3" t="str">
        <f ca="1">IFERROR(__xludf.DUMMYFUNCTION("""COMPUTED_VALUE"""),"podklady@cncenter.cz")</f>
        <v>podklady@cncenter.cz</v>
      </c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 t="str">
        <f ca="1">IFERROR(__xludf.DUMMYFUNCTION("""COMPUTED_VALUE"""),"cross-device")</f>
        <v>cross-device</v>
      </c>
      <c r="AO500" s="3"/>
      <c r="AP500" s="3"/>
      <c r="AQ500" s="3"/>
      <c r="AR500" s="3"/>
      <c r="AS500" s="3"/>
      <c r="AT500" s="3"/>
      <c r="AU500" s="3" t="str">
        <f ca="1">IFERROR(__xludf.DUMMYFUNCTION("""COMPUTED_VALUE"""),"Native Standard")</f>
        <v>Native Standard</v>
      </c>
    </row>
    <row r="501" spans="1:47" x14ac:dyDescent="0.3">
      <c r="A501" s="3">
        <f ca="1"/>
        <v>2346826</v>
      </c>
      <c r="B501" s="3" t="str">
        <f ca="1"/>
        <v>CZECH NEWS CENTER a. s.</v>
      </c>
      <c r="C501" s="3" t="str">
        <f ca="1">IFERROR(__xludf.DUMMYFUNCTION("""COMPUTED_VALUE"""),"E15")</f>
        <v>E15</v>
      </c>
      <c r="D501" s="3" t="str">
        <f ca="1">IFERROR(__xludf.DUMMYFUNCTION("""COMPUTED_VALUE"""),"https://e15.cz, https://finexpert.cz, https://www.e15.cz/formen")</f>
        <v>https://e15.cz, https://finexpert.cz, https://www.e15.cz/formen</v>
      </c>
      <c r="E501" s="3" t="str">
        <f ca="1">IFERROR(__xludf.DUMMYFUNCTION("""COMPUTED_VALUE"""),"celý web")</f>
        <v>celý web</v>
      </c>
      <c r="F501" s="3" t="str">
        <f ca="1">IFERROR(__xludf.DUMMYFUNCTION("""COMPUTED_VALUE"""),"https://e15.cz, https://finexpert.cz, https://www.e15.cz/formen")</f>
        <v>https://e15.cz, https://finexpert.cz, https://www.e15.cz/formen</v>
      </c>
      <c r="G501" s="3" t="str">
        <f ca="1">IFERROR(__xludf.DUMMYFUNCTION("""COMPUTED_VALUE"""),"nativní rectangle cross-device high season")</f>
        <v>nativní rectangle cross-device high season</v>
      </c>
      <c r="H501" s="3">
        <f ca="1">IFERROR(__xludf.DUMMYFUNCTION("""COMPUTED_VALUE"""),7)</f>
        <v>7</v>
      </c>
      <c r="I501" s="5">
        <f ca="1">IFERROR(__xludf.DUMMYFUNCTION("""COMPUTED_VALUE"""),1000)</f>
        <v>1000</v>
      </c>
      <c r="J501" s="5">
        <f ca="1">IFERROR(__xludf.DUMMYFUNCTION("""COMPUTED_VALUE"""),470)</f>
        <v>470</v>
      </c>
      <c r="K501" s="3"/>
      <c r="L501" s="3" t="str">
        <f ca="1">IFERROR(__xludf.DUMMYFUNCTION("""COMPUTED_VALUE"""),"Cost per period")</f>
        <v>Cost per period</v>
      </c>
      <c r="M501" s="3"/>
      <c r="N501" s="3"/>
      <c r="O501" s="3" t="str">
        <f ca="1">IFERROR(__xludf.DUMMYFUNCTION("""COMPUTED_VALUE"""),"640")</f>
        <v>640</v>
      </c>
      <c r="P501" s="3" t="str">
        <f ca="1">IFERROR(__xludf.DUMMYFUNCTION("""COMPUTED_VALUE"""),"335, 640")</f>
        <v>335, 640</v>
      </c>
      <c r="Q501" s="3" t="str">
        <f ca="1">IFERROR(__xludf.DUMMYFUNCTION("""COMPUTED_VALUE"""),"640x640 a 640x335 + text + logo")</f>
        <v>640x640 a 640x335 + text + logo</v>
      </c>
      <c r="R501" s="3"/>
      <c r="S501" s="3" t="str">
        <f ca="1">IFERROR(__xludf.DUMMYFUNCTION("""COMPUTED_VALUE"""),"45")</f>
        <v>45</v>
      </c>
      <c r="T501" s="3"/>
      <c r="U501" s="3" t="str">
        <f ca="1">IFERROR(__xludf.DUMMYFUNCTION("""COMPUTED_VALUE"""),"nativní reklama")</f>
        <v>nativní reklama</v>
      </c>
      <c r="V501" s="3"/>
      <c r="W501" s="4" t="str">
        <f ca="1">IFERROR(__xludf.DUMMYFUNCTION("""COMPUTED_VALUE"""),"https://reklama.cncenter.cz/Online/nativni-rectangle-cross-device")</f>
        <v>https://reklama.cncenter.cz/Online/nativni-rectangle-cross-device</v>
      </c>
      <c r="X501" s="3"/>
      <c r="Y501" s="3"/>
      <c r="Z501" s="3" t="str">
        <f ca="1">IFERROR(__xludf.DUMMYFUNCTION("""COMPUTED_VALUE"""),"podklady@cncenter.cz")</f>
        <v>podklady@cncenter.cz</v>
      </c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 t="str">
        <f ca="1">IFERROR(__xludf.DUMMYFUNCTION("""COMPUTED_VALUE"""),"cross-device")</f>
        <v>cross-device</v>
      </c>
      <c r="AO501" s="3"/>
      <c r="AP501" s="3"/>
      <c r="AQ501" s="3"/>
      <c r="AR501" s="3"/>
      <c r="AS501" s="3"/>
      <c r="AT501" s="3"/>
      <c r="AU501" s="3" t="str">
        <f ca="1">IFERROR(__xludf.DUMMYFUNCTION("""COMPUTED_VALUE"""),"nativní rectangle cross-device")</f>
        <v>nativní rectangle cross-device</v>
      </c>
    </row>
    <row r="502" spans="1:47" x14ac:dyDescent="0.3">
      <c r="A502" s="3">
        <f ca="1"/>
        <v>2346826</v>
      </c>
      <c r="B502" s="3" t="str">
        <f ca="1"/>
        <v>CZECH NEWS CENTER a. s.</v>
      </c>
      <c r="C502" s="3" t="str">
        <f ca="1">IFERROR(__xludf.DUMMYFUNCTION("""COMPUTED_VALUE"""),"E15")</f>
        <v>E15</v>
      </c>
      <c r="D502" s="3" t="str">
        <f ca="1">IFERROR(__xludf.DUMMYFUNCTION("""COMPUTED_VALUE"""),"https://e15.cz, https://finexpert.cz, https://www.e15.cz/formen")</f>
        <v>https://e15.cz, https://finexpert.cz, https://www.e15.cz/formen</v>
      </c>
      <c r="E502" s="3" t="str">
        <f ca="1">IFERROR(__xludf.DUMMYFUNCTION("""COMPUTED_VALUE"""),"celý web")</f>
        <v>celý web</v>
      </c>
      <c r="F502" s="3" t="str">
        <f ca="1">IFERROR(__xludf.DUMMYFUNCTION("""COMPUTED_VALUE"""),"https://e15.cz, https://finexpert.cz, https://www.e15.cz/formen")</f>
        <v>https://e15.cz, https://finexpert.cz, https://www.e15.cz/formen</v>
      </c>
      <c r="G502" s="3" t="str">
        <f ca="1">IFERROR(__xludf.DUMMYFUNCTION("""COMPUTED_VALUE"""),"outstream high season")</f>
        <v>outstream high season</v>
      </c>
      <c r="H502" s="3">
        <f ca="1">IFERROR(__xludf.DUMMYFUNCTION("""COMPUTED_VALUE"""),7)</f>
        <v>7</v>
      </c>
      <c r="I502" s="5">
        <f ca="1">IFERROR(__xludf.DUMMYFUNCTION("""COMPUTED_VALUE"""),1000)</f>
        <v>1000</v>
      </c>
      <c r="J502" s="5">
        <f ca="1">IFERROR(__xludf.DUMMYFUNCTION("""COMPUTED_VALUE"""),540)</f>
        <v>540</v>
      </c>
      <c r="K502" s="3"/>
      <c r="L502" s="3" t="str">
        <f ca="1">IFERROR(__xludf.DUMMYFUNCTION("""COMPUTED_VALUE"""),"Cost per period")</f>
        <v>Cost per period</v>
      </c>
      <c r="M502" s="3"/>
      <c r="N502" s="3"/>
      <c r="O502" s="3" t="str">
        <f ca="1">IFERROR(__xludf.DUMMYFUNCTION("""COMPUTED_VALUE"""),"1280")</f>
        <v>1280</v>
      </c>
      <c r="P502" s="3" t="str">
        <f ca="1">IFERROR(__xludf.DUMMYFUNCTION("""COMPUTED_VALUE"""),"720")</f>
        <v>720</v>
      </c>
      <c r="Q502" s="3" t="str">
        <f ca="1">IFERROR(__xludf.DUMMYFUNCTION("""COMPUTED_VALUE"""),"16:9")</f>
        <v>16:9</v>
      </c>
      <c r="R502" s="3"/>
      <c r="S502" s="3" t="str">
        <f ca="1">IFERROR(__xludf.DUMMYFUNCTION("""COMPUTED_VALUE"""),"100")</f>
        <v>100</v>
      </c>
      <c r="T502" s="3"/>
      <c r="U502" s="3" t="str">
        <f ca="1">IFERROR(__xludf.DUMMYFUNCTION("""COMPUTED_VALUE"""),"videospot")</f>
        <v>videospot</v>
      </c>
      <c r="V502" s="3"/>
      <c r="W502" s="4" t="str">
        <f ca="1">IFERROR(__xludf.DUMMYFUNCTION("""COMPUTED_VALUE"""),"https://reklama.cncenter.cz/Online/Outstream")</f>
        <v>https://reklama.cncenter.cz/Online/Outstream</v>
      </c>
      <c r="X502" s="3"/>
      <c r="Y502" s="3"/>
      <c r="Z502" s="3" t="str">
        <f ca="1">IFERROR(__xludf.DUMMYFUNCTION("""COMPUTED_VALUE"""),"podklady@cncenter.cz")</f>
        <v>podklady@cncenter.cz</v>
      </c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 t="str">
        <f ca="1">IFERROR(__xludf.DUMMYFUNCTION("""COMPUTED_VALUE"""),"cross-device")</f>
        <v>cross-device</v>
      </c>
      <c r="AO502" s="3"/>
      <c r="AP502" s="3"/>
      <c r="AQ502" s="3"/>
      <c r="AR502" s="3"/>
      <c r="AS502" s="3"/>
      <c r="AT502" s="3"/>
      <c r="AU502" s="3" t="str">
        <f ca="1">IFERROR(__xludf.DUMMYFUNCTION("""COMPUTED_VALUE"""),"outstream")</f>
        <v>outstream</v>
      </c>
    </row>
    <row r="503" spans="1:47" x14ac:dyDescent="0.3">
      <c r="A503" s="3">
        <f ca="1"/>
        <v>2346826</v>
      </c>
      <c r="B503" s="3" t="str">
        <f ca="1"/>
        <v>CZECH NEWS CENTER a. s.</v>
      </c>
      <c r="C503" s="3" t="str">
        <f ca="1">IFERROR(__xludf.DUMMYFUNCTION("""COMPUTED_VALUE"""),"E15")</f>
        <v>E15</v>
      </c>
      <c r="D503" s="3" t="str">
        <f ca="1">IFERROR(__xludf.DUMMYFUNCTION("""COMPUTED_VALUE"""),"https://e15.cz, https://finexpert.cz, https://www.e15.cz/formen")</f>
        <v>https://e15.cz, https://finexpert.cz, https://www.e15.cz/formen</v>
      </c>
      <c r="E503" s="3" t="str">
        <f ca="1">IFERROR(__xludf.DUMMYFUNCTION("""COMPUTED_VALUE"""),"celý web")</f>
        <v>celý web</v>
      </c>
      <c r="F503" s="3" t="str">
        <f ca="1">IFERROR(__xludf.DUMMYFUNCTION("""COMPUTED_VALUE"""),"https://e15.cz, https://finexpert.cz, https://www.e15.cz/formen")</f>
        <v>https://e15.cz, https://finexpert.cz, https://www.e15.cz/formen</v>
      </c>
      <c r="G503" s="3" t="str">
        <f ca="1">IFERROR(__xludf.DUMMYFUNCTION("""COMPUTED_VALUE"""),"PR chat high season")</f>
        <v>PR chat high season</v>
      </c>
      <c r="H503" s="3">
        <f ca="1">IFERROR(__xludf.DUMMYFUNCTION("""COMPUTED_VALUE"""),1)</f>
        <v>1</v>
      </c>
      <c r="I503" s="5">
        <f ca="1">IFERROR(__xludf.DUMMYFUNCTION("""COMPUTED_VALUE"""),1)</f>
        <v>1</v>
      </c>
      <c r="J503" s="5">
        <f ca="1">IFERROR(__xludf.DUMMYFUNCTION("""COMPUTED_VALUE"""),50000)</f>
        <v>50000</v>
      </c>
      <c r="K503" s="3"/>
      <c r="L503" s="3" t="str">
        <f ca="1">IFERROR(__xludf.DUMMYFUNCTION("""COMPUTED_VALUE"""),"Cost per instance")</f>
        <v>Cost per instance</v>
      </c>
      <c r="M503" s="3"/>
      <c r="N503" s="3"/>
      <c r="O503" s="3"/>
      <c r="P503" s="3"/>
      <c r="Q503" s="3"/>
      <c r="R503" s="3"/>
      <c r="S503" s="3" t="str">
        <f ca="1">IFERROR(__xludf.DUMMYFUNCTION("""COMPUTED_VALUE"""),"100")</f>
        <v>100</v>
      </c>
      <c r="T503" s="3"/>
      <c r="U503" s="3" t="str">
        <f ca="1">IFERROR(__xludf.DUMMYFUNCTION("""COMPUTED_VALUE"""),"pr článek")</f>
        <v>pr článek</v>
      </c>
      <c r="V503" s="3"/>
      <c r="W503" s="3"/>
      <c r="X503" s="3"/>
      <c r="Y503" s="3"/>
      <c r="Z503" s="3" t="str">
        <f ca="1">IFERROR(__xludf.DUMMYFUNCTION("""COMPUTED_VALUE"""),"podklady@cncenter.cz")</f>
        <v>podklady@cncenter.cz</v>
      </c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 t="str">
        <f ca="1">IFERROR(__xludf.DUMMYFUNCTION("""COMPUTED_VALUE"""),"cross-device")</f>
        <v>cross-device</v>
      </c>
      <c r="AO503" s="3"/>
      <c r="AP503" s="3"/>
      <c r="AQ503" s="3"/>
      <c r="AR503" s="3"/>
      <c r="AS503" s="3"/>
      <c r="AT503" s="3"/>
      <c r="AU503" s="3" t="str">
        <f ca="1">IFERROR(__xludf.DUMMYFUNCTION("""COMPUTED_VALUE"""),"PR chat")</f>
        <v>PR chat</v>
      </c>
    </row>
    <row r="504" spans="1:47" x14ac:dyDescent="0.3">
      <c r="A504" s="3">
        <f ca="1"/>
        <v>2346826</v>
      </c>
      <c r="B504" s="3" t="str">
        <f ca="1"/>
        <v>CZECH NEWS CENTER a. s.</v>
      </c>
      <c r="C504" s="3" t="str">
        <f ca="1">IFERROR(__xludf.DUMMYFUNCTION("""COMPUTED_VALUE"""),"E15")</f>
        <v>E15</v>
      </c>
      <c r="D504" s="3" t="str">
        <f ca="1">IFERROR(__xludf.DUMMYFUNCTION("""COMPUTED_VALUE"""),"https://e15.cz, https://finexpert.cz, https://www.e15.cz/formen")</f>
        <v>https://e15.cz, https://finexpert.cz, https://www.e15.cz/formen</v>
      </c>
      <c r="E504" s="3" t="str">
        <f ca="1">IFERROR(__xludf.DUMMYFUNCTION("""COMPUTED_VALUE"""),"celý web")</f>
        <v>celý web</v>
      </c>
      <c r="F504" s="3" t="str">
        <f ca="1">IFERROR(__xludf.DUMMYFUNCTION("""COMPUTED_VALUE"""),"https://e15.cz, https://finexpert.cz, https://www.e15.cz/formen")</f>
        <v>https://e15.cz, https://finexpert.cz, https://www.e15.cz/formen</v>
      </c>
      <c r="G504" s="3" t="str">
        <f ca="1">IFERROR(__xludf.DUMMYFUNCTION("""COMPUTED_VALUE"""),"PR článek high season")</f>
        <v>PR článek high season</v>
      </c>
      <c r="H504" s="3">
        <f ca="1">IFERROR(__xludf.DUMMYFUNCTION("""COMPUTED_VALUE"""),1)</f>
        <v>1</v>
      </c>
      <c r="I504" s="5">
        <f ca="1">IFERROR(__xludf.DUMMYFUNCTION("""COMPUTED_VALUE"""),1)</f>
        <v>1</v>
      </c>
      <c r="J504" s="5">
        <f ca="1">IFERROR(__xludf.DUMMYFUNCTION("""COMPUTED_VALUE"""),50000)</f>
        <v>50000</v>
      </c>
      <c r="K504" s="3"/>
      <c r="L504" s="3" t="str">
        <f ca="1">IFERROR(__xludf.DUMMYFUNCTION("""COMPUTED_VALUE"""),"Cost per instance")</f>
        <v>Cost per instance</v>
      </c>
      <c r="M504" s="3"/>
      <c r="N504" s="3"/>
      <c r="O504" s="3"/>
      <c r="P504" s="3"/>
      <c r="Q504" s="3"/>
      <c r="R504" s="3"/>
      <c r="S504" s="3" t="str">
        <f ca="1">IFERROR(__xludf.DUMMYFUNCTION("""COMPUTED_VALUE"""),"100")</f>
        <v>100</v>
      </c>
      <c r="T504" s="3"/>
      <c r="U504" s="3" t="str">
        <f ca="1">IFERROR(__xludf.DUMMYFUNCTION("""COMPUTED_VALUE"""),"pr článek")</f>
        <v>pr článek</v>
      </c>
      <c r="V504" s="3"/>
      <c r="W504" s="4" t="str">
        <f ca="1">IFERROR(__xludf.DUMMYFUNCTION("""COMPUTED_VALUE"""),"https://reklama.cncenter.cz/?ads=PR%2520%25C4%258Dl%25C3%25A1nky")</f>
        <v>https://reklama.cncenter.cz/?ads=PR%2520%25C4%258Dl%25C3%25A1nky</v>
      </c>
      <c r="X504" s="3"/>
      <c r="Y504" s="3"/>
      <c r="Z504" s="3" t="str">
        <f ca="1">IFERROR(__xludf.DUMMYFUNCTION("""COMPUTED_VALUE"""),"podklady@cncenter.cz")</f>
        <v>podklady@cncenter.cz</v>
      </c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 t="str">
        <f ca="1">IFERROR(__xludf.DUMMYFUNCTION("""COMPUTED_VALUE"""),"cross-device")</f>
        <v>cross-device</v>
      </c>
      <c r="AO504" s="3"/>
      <c r="AP504" s="3"/>
      <c r="AQ504" s="3"/>
      <c r="AR504" s="3"/>
      <c r="AS504" s="3"/>
      <c r="AT504" s="3"/>
      <c r="AU504" s="3" t="str">
        <f ca="1">IFERROR(__xludf.DUMMYFUNCTION("""COMPUTED_VALUE"""),"PR článek")</f>
        <v>PR článek</v>
      </c>
    </row>
    <row r="505" spans="1:47" x14ac:dyDescent="0.3">
      <c r="A505" s="3">
        <f ca="1"/>
        <v>2346826</v>
      </c>
      <c r="B505" s="3" t="str">
        <f ca="1"/>
        <v>CZECH NEWS CENTER a. s.</v>
      </c>
      <c r="C505" s="3" t="str">
        <f ca="1">IFERROR(__xludf.DUMMYFUNCTION("""COMPUTED_VALUE"""),"E15")</f>
        <v>E15</v>
      </c>
      <c r="D505" s="3" t="str">
        <f ca="1">IFERROR(__xludf.DUMMYFUNCTION("""COMPUTED_VALUE"""),"https://e15.cz, https://finexpert.cz, https://www.e15.cz/formen")</f>
        <v>https://e15.cz, https://finexpert.cz, https://www.e15.cz/formen</v>
      </c>
      <c r="E505" s="3" t="str">
        <f ca="1">IFERROR(__xludf.DUMMYFUNCTION("""COMPUTED_VALUE"""),"celý web")</f>
        <v>celý web</v>
      </c>
      <c r="F505" s="3" t="str">
        <f ca="1">IFERROR(__xludf.DUMMYFUNCTION("""COMPUTED_VALUE"""),"https://e15.cz, https://finexpert.cz, https://www.e15.cz/formen")</f>
        <v>https://e15.cz, https://finexpert.cz, https://www.e15.cz/formen</v>
      </c>
      <c r="G505" s="3" t="str">
        <f ca="1">IFERROR(__xludf.DUMMYFUNCTION("""COMPUTED_VALUE"""),"Prodloužení existující microsite, bez úprav high season")</f>
        <v>Prodloužení existující microsite, bez úprav high season</v>
      </c>
      <c r="H505" s="3">
        <f ca="1">IFERROR(__xludf.DUMMYFUNCTION("""COMPUTED_VALUE"""),1)</f>
        <v>1</v>
      </c>
      <c r="I505" s="5">
        <f ca="1">IFERROR(__xludf.DUMMYFUNCTION("""COMPUTED_VALUE"""),1)</f>
        <v>1</v>
      </c>
      <c r="J505" s="5">
        <f ca="1">IFERROR(__xludf.DUMMYFUNCTION("""COMPUTED_VALUE"""),15000)</f>
        <v>15000</v>
      </c>
      <c r="K505" s="3"/>
      <c r="L505" s="3" t="str">
        <f ca="1">IFERROR(__xludf.DUMMYFUNCTION("""COMPUTED_VALUE"""),"Cost per instance")</f>
        <v>Cost per instance</v>
      </c>
      <c r="M505" s="3"/>
      <c r="N505" s="3"/>
      <c r="O505" s="3"/>
      <c r="P505" s="3"/>
      <c r="Q505" s="3"/>
      <c r="R505" s="3"/>
      <c r="S505" s="3" t="str">
        <f ca="1">IFERROR(__xludf.DUMMYFUNCTION("""COMPUTED_VALUE"""),"100")</f>
        <v>100</v>
      </c>
      <c r="T505" s="3"/>
      <c r="U505" s="3" t="str">
        <f ca="1">IFERROR(__xludf.DUMMYFUNCTION("""COMPUTED_VALUE"""),"microsite")</f>
        <v>microsite</v>
      </c>
      <c r="V505" s="3"/>
      <c r="W505" s="3"/>
      <c r="X505" s="3"/>
      <c r="Y505" s="3"/>
      <c r="Z505" s="3" t="str">
        <f ca="1">IFERROR(__xludf.DUMMYFUNCTION("""COMPUTED_VALUE"""),"podklady@cncenter.cz")</f>
        <v>podklady@cncenter.cz</v>
      </c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 t="str">
        <f ca="1">IFERROR(__xludf.DUMMYFUNCTION("""COMPUTED_VALUE"""),"cross-device")</f>
        <v>cross-device</v>
      </c>
      <c r="AO505" s="3"/>
      <c r="AP505" s="3"/>
      <c r="AQ505" s="3"/>
      <c r="AR505" s="3"/>
      <c r="AS505" s="3"/>
      <c r="AT505" s="3"/>
      <c r="AU505" s="3" t="str">
        <f ca="1">IFERROR(__xludf.DUMMYFUNCTION("""COMPUTED_VALUE"""),"Prodloužení existující microsite, bez úprav")</f>
        <v>Prodloužení existující microsite, bez úprav</v>
      </c>
    </row>
    <row r="506" spans="1:47" x14ac:dyDescent="0.3">
      <c r="A506" s="3">
        <f ca="1"/>
        <v>2346826</v>
      </c>
      <c r="B506" s="3" t="str">
        <f ca="1"/>
        <v>CZECH NEWS CENTER a. s.</v>
      </c>
      <c r="C506" s="3" t="str">
        <f ca="1">IFERROR(__xludf.DUMMYFUNCTION("""COMPUTED_VALUE"""),"E15")</f>
        <v>E15</v>
      </c>
      <c r="D506" s="3" t="str">
        <f ca="1">IFERROR(__xludf.DUMMYFUNCTION("""COMPUTED_VALUE"""),"https://e15.cz, https://finexpert.cz, https://www.e15.cz/formen")</f>
        <v>https://e15.cz, https://finexpert.cz, https://www.e15.cz/formen</v>
      </c>
      <c r="E506" s="3" t="str">
        <f ca="1">IFERROR(__xludf.DUMMYFUNCTION("""COMPUTED_VALUE"""),"celý web")</f>
        <v>celý web</v>
      </c>
      <c r="F506" s="3" t="str">
        <f ca="1">IFERROR(__xludf.DUMMYFUNCTION("""COMPUTED_VALUE"""),"https://e15.cz, https://finexpert.cz, https://www.e15.cz/formen")</f>
        <v>https://e15.cz, https://finexpert.cz, https://www.e15.cz/formen</v>
      </c>
      <c r="G506" s="3" t="str">
        <f ca="1">IFERROR(__xludf.DUMMYFUNCTION("""COMPUTED_VALUE"""),"Prodloužení existující microsite, bez úprav high season")</f>
        <v>Prodloužení existující microsite, bez úprav high season</v>
      </c>
      <c r="H506" s="3">
        <f ca="1">IFERROR(__xludf.DUMMYFUNCTION("""COMPUTED_VALUE"""),1)</f>
        <v>1</v>
      </c>
      <c r="I506" s="5">
        <f ca="1">IFERROR(__xludf.DUMMYFUNCTION("""COMPUTED_VALUE"""),1)</f>
        <v>1</v>
      </c>
      <c r="J506" s="5">
        <f ca="1">IFERROR(__xludf.DUMMYFUNCTION("""COMPUTED_VALUE"""),15000)</f>
        <v>15000</v>
      </c>
      <c r="K506" s="3"/>
      <c r="L506" s="3" t="str">
        <f ca="1">IFERROR(__xludf.DUMMYFUNCTION("""COMPUTED_VALUE"""),"Cost per instance")</f>
        <v>Cost per instance</v>
      </c>
      <c r="M506" s="3"/>
      <c r="N506" s="3"/>
      <c r="O506" s="3"/>
      <c r="P506" s="3"/>
      <c r="Q506" s="3"/>
      <c r="R506" s="3"/>
      <c r="S506" s="3" t="str">
        <f ca="1">IFERROR(__xludf.DUMMYFUNCTION("""COMPUTED_VALUE"""),"100")</f>
        <v>100</v>
      </c>
      <c r="T506" s="3"/>
      <c r="U506" s="3" t="str">
        <f ca="1">IFERROR(__xludf.DUMMYFUNCTION("""COMPUTED_VALUE"""),"microsite")</f>
        <v>microsite</v>
      </c>
      <c r="V506" s="3"/>
      <c r="W506" s="3"/>
      <c r="X506" s="3"/>
      <c r="Y506" s="3"/>
      <c r="Z506" s="3" t="str">
        <f ca="1">IFERROR(__xludf.DUMMYFUNCTION("""COMPUTED_VALUE"""),"podklady@cncenter.cz")</f>
        <v>podklady@cncenter.cz</v>
      </c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 t="str">
        <f ca="1">IFERROR(__xludf.DUMMYFUNCTION("""COMPUTED_VALUE"""),"cross-device")</f>
        <v>cross-device</v>
      </c>
      <c r="AO506" s="3"/>
      <c r="AP506" s="3"/>
      <c r="AQ506" s="3"/>
      <c r="AR506" s="3"/>
      <c r="AS506" s="3"/>
      <c r="AT506" s="3"/>
      <c r="AU506" s="3" t="str">
        <f ca="1">IFERROR(__xludf.DUMMYFUNCTION("""COMPUTED_VALUE"""),"Prodloužení existující microsite, bez úprav")</f>
        <v>Prodloužení existující microsite, bez úprav</v>
      </c>
    </row>
    <row r="507" spans="1:47" x14ac:dyDescent="0.3">
      <c r="A507" s="3">
        <f ca="1"/>
        <v>2346826</v>
      </c>
      <c r="B507" s="3" t="str">
        <f ca="1"/>
        <v>CZECH NEWS CENTER a. s.</v>
      </c>
      <c r="C507" s="3" t="str">
        <f ca="1">IFERROR(__xludf.DUMMYFUNCTION("""COMPUTED_VALUE"""),"E15")</f>
        <v>E15</v>
      </c>
      <c r="D507" s="3" t="str">
        <f ca="1">IFERROR(__xludf.DUMMYFUNCTION("""COMPUTED_VALUE"""),"https://e15.cz, https://finexpert.cz, https://www.e15.cz/formen")</f>
        <v>https://e15.cz, https://finexpert.cz, https://www.e15.cz/formen</v>
      </c>
      <c r="E507" s="3" t="str">
        <f ca="1">IFERROR(__xludf.DUMMYFUNCTION("""COMPUTED_VALUE"""),"celý web")</f>
        <v>celý web</v>
      </c>
      <c r="F507" s="3" t="str">
        <f ca="1">IFERROR(__xludf.DUMMYFUNCTION("""COMPUTED_VALUE"""),"https://e15.cz, https://finexpert.cz, https://www.e15.cz/formen")</f>
        <v>https://e15.cz, https://finexpert.cz, https://www.e15.cz/formen</v>
      </c>
      <c r="G507" s="3" t="str">
        <f ca="1">IFERROR(__xludf.DUMMYFUNCTION("""COMPUTED_VALUE"""),"Prodloužení existující microsite, bez úprav high season")</f>
        <v>Prodloužení existující microsite, bez úprav high season</v>
      </c>
      <c r="H507" s="3">
        <f ca="1">IFERROR(__xludf.DUMMYFUNCTION("""COMPUTED_VALUE"""),1)</f>
        <v>1</v>
      </c>
      <c r="I507" s="5">
        <f ca="1">IFERROR(__xludf.DUMMYFUNCTION("""COMPUTED_VALUE"""),1)</f>
        <v>1</v>
      </c>
      <c r="J507" s="5">
        <f ca="1">IFERROR(__xludf.DUMMYFUNCTION("""COMPUTED_VALUE"""),15000)</f>
        <v>15000</v>
      </c>
      <c r="K507" s="3"/>
      <c r="L507" s="3" t="str">
        <f ca="1">IFERROR(__xludf.DUMMYFUNCTION("""COMPUTED_VALUE"""),"Cost per instance")</f>
        <v>Cost per instance</v>
      </c>
      <c r="M507" s="3"/>
      <c r="N507" s="3"/>
      <c r="O507" s="3"/>
      <c r="P507" s="3"/>
      <c r="Q507" s="3"/>
      <c r="R507" s="3"/>
      <c r="S507" s="3" t="str">
        <f ca="1">IFERROR(__xludf.DUMMYFUNCTION("""COMPUTED_VALUE"""),"100")</f>
        <v>100</v>
      </c>
      <c r="T507" s="3"/>
      <c r="U507" s="3" t="str">
        <f ca="1">IFERROR(__xludf.DUMMYFUNCTION("""COMPUTED_VALUE"""),"microsite")</f>
        <v>microsite</v>
      </c>
      <c r="V507" s="3"/>
      <c r="W507" s="3"/>
      <c r="X507" s="3"/>
      <c r="Y507" s="3"/>
      <c r="Z507" s="3" t="str">
        <f ca="1">IFERROR(__xludf.DUMMYFUNCTION("""COMPUTED_VALUE"""),"podklady@cncenter.cz")</f>
        <v>podklady@cncenter.cz</v>
      </c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 t="str">
        <f ca="1">IFERROR(__xludf.DUMMYFUNCTION("""COMPUTED_VALUE"""),"cross-device")</f>
        <v>cross-device</v>
      </c>
      <c r="AO507" s="3"/>
      <c r="AP507" s="3"/>
      <c r="AQ507" s="3"/>
      <c r="AR507" s="3"/>
      <c r="AS507" s="3"/>
      <c r="AT507" s="3"/>
      <c r="AU507" s="3" t="str">
        <f ca="1">IFERROR(__xludf.DUMMYFUNCTION("""COMPUTED_VALUE"""),"Prodloužení existující microsite, bez úprav")</f>
        <v>Prodloužení existující microsite, bez úprav</v>
      </c>
    </row>
    <row r="508" spans="1:47" x14ac:dyDescent="0.3">
      <c r="A508" s="3">
        <f ca="1"/>
        <v>2346826</v>
      </c>
      <c r="B508" s="3" t="str">
        <f ca="1"/>
        <v>CZECH NEWS CENTER a. s.</v>
      </c>
      <c r="C508" s="3" t="str">
        <f ca="1">IFERROR(__xludf.DUMMYFUNCTION("""COMPUTED_VALUE"""),"E15")</f>
        <v>E15</v>
      </c>
      <c r="D508" s="3" t="str">
        <f ca="1">IFERROR(__xludf.DUMMYFUNCTION("""COMPUTED_VALUE"""),"https://e15.cz, https://finexpert.cz, https://www.e15.cz/formen")</f>
        <v>https://e15.cz, https://finexpert.cz, https://www.e15.cz/formen</v>
      </c>
      <c r="E508" s="3" t="str">
        <f ca="1">IFERROR(__xludf.DUMMYFUNCTION("""COMPUTED_VALUE"""),"celý web")</f>
        <v>celý web</v>
      </c>
      <c r="F508" s="3" t="str">
        <f ca="1">IFERROR(__xludf.DUMMYFUNCTION("""COMPUTED_VALUE"""),"https://e15.cz, https://finexpert.cz, https://www.e15.cz/formen")</f>
        <v>https://e15.cz, https://finexpert.cz, https://www.e15.cz/formen</v>
      </c>
      <c r="G508" s="3" t="str">
        <f ca="1">IFERROR(__xludf.DUMMYFUNCTION("""COMPUTED_VALUE"""),"videospot - max. 30 sec. / bumper high season")</f>
        <v>videospot - max. 30 sec. / bumper high season</v>
      </c>
      <c r="H508" s="3">
        <f ca="1">IFERROR(__xludf.DUMMYFUNCTION("""COMPUTED_VALUE"""),7)</f>
        <v>7</v>
      </c>
      <c r="I508" s="5">
        <f ca="1">IFERROR(__xludf.DUMMYFUNCTION("""COMPUTED_VALUE"""),1000)</f>
        <v>1000</v>
      </c>
      <c r="J508" s="5">
        <f ca="1">IFERROR(__xludf.DUMMYFUNCTION("""COMPUTED_VALUE"""),1910)</f>
        <v>1910</v>
      </c>
      <c r="K508" s="3"/>
      <c r="L508" s="3" t="str">
        <f ca="1">IFERROR(__xludf.DUMMYFUNCTION("""COMPUTED_VALUE"""),"Cost per period")</f>
        <v>Cost per period</v>
      </c>
      <c r="M508" s="3"/>
      <c r="N508" s="3"/>
      <c r="O508" s="3" t="str">
        <f ca="1">IFERROR(__xludf.DUMMYFUNCTION("""COMPUTED_VALUE"""),"1280")</f>
        <v>1280</v>
      </c>
      <c r="P508" s="3" t="str">
        <f ca="1">IFERROR(__xludf.DUMMYFUNCTION("""COMPUTED_VALUE"""),"720")</f>
        <v>720</v>
      </c>
      <c r="Q508" s="3" t="str">
        <f ca="1">IFERROR(__xludf.DUMMYFUNCTION("""COMPUTED_VALUE"""),"16:9 / umístění po domluvě dle možností")</f>
        <v>16:9 / umístění po domluvě dle možností</v>
      </c>
      <c r="R508" s="3" t="str">
        <f ca="1">IFERROR(__xludf.DUMMYFUNCTION("""COMPUTED_VALUE"""),"přeskočení po 7 sekundách")</f>
        <v>přeskočení po 7 sekundách</v>
      </c>
      <c r="S508" s="3" t="str">
        <f ca="1">IFERROR(__xludf.DUMMYFUNCTION("""COMPUTED_VALUE"""),"100")</f>
        <v>100</v>
      </c>
      <c r="T508" s="3"/>
      <c r="U508" s="3" t="str">
        <f ca="1">IFERROR(__xludf.DUMMYFUNCTION("""COMPUTED_VALUE"""),"videospot")</f>
        <v>videospot</v>
      </c>
      <c r="V508" s="3"/>
      <c r="W508" s="4" t="str">
        <f ca="1">IFERROR(__xludf.DUMMYFUNCTION("""COMPUTED_VALUE"""),"https://reklama.cncenter.cz/Online/Bumper")</f>
        <v>https://reklama.cncenter.cz/Online/Bumper</v>
      </c>
      <c r="X508" s="3"/>
      <c r="Y508" s="3"/>
      <c r="Z508" s="3" t="str">
        <f ca="1">IFERROR(__xludf.DUMMYFUNCTION("""COMPUTED_VALUE"""),"podklady@cncenter.cz")</f>
        <v>podklady@cncenter.cz</v>
      </c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 t="str">
        <f ca="1">IFERROR(__xludf.DUMMYFUNCTION("""COMPUTED_VALUE"""),"cross-device")</f>
        <v>cross-device</v>
      </c>
      <c r="AO508" s="3"/>
      <c r="AP508" s="3"/>
      <c r="AQ508" s="3"/>
      <c r="AR508" s="3"/>
      <c r="AS508" s="3"/>
      <c r="AT508" s="3"/>
      <c r="AU508" s="3" t="str">
        <f ca="1">IFERROR(__xludf.DUMMYFUNCTION("""COMPUTED_VALUE"""),"videospot - max. 30 sec. / bumper")</f>
        <v>videospot - max. 30 sec. / bumper</v>
      </c>
    </row>
    <row r="509" spans="1:47" x14ac:dyDescent="0.3">
      <c r="A509" s="3">
        <f ca="1"/>
        <v>2346826</v>
      </c>
      <c r="B509" s="3" t="str">
        <f ca="1"/>
        <v>CZECH NEWS CENTER a. s.</v>
      </c>
      <c r="C509" s="3" t="str">
        <f ca="1">IFERROR(__xludf.DUMMYFUNCTION("""COMPUTED_VALUE"""),"Evropa2")</f>
        <v>Evropa2</v>
      </c>
      <c r="D509" s="4" t="str">
        <f ca="1">IFERROR(__xludf.DUMMYFUNCTION("""COMPUTED_VALUE"""),"https://evropa2.cz")</f>
        <v>https://evropa2.cz</v>
      </c>
      <c r="E509" s="3" t="str">
        <f ca="1">IFERROR(__xludf.DUMMYFUNCTION("""COMPUTED_VALUE"""),"celý web")</f>
        <v>celý web</v>
      </c>
      <c r="F509" s="4" t="str">
        <f ca="1">IFERROR(__xludf.DUMMYFUNCTION("""COMPUTED_VALUE"""),"https://evropa2.cz")</f>
        <v>https://evropa2.cz</v>
      </c>
      <c r="G509" s="3" t="str">
        <f ca="1">IFERROR(__xludf.DUMMYFUNCTION("""COMPUTED_VALUE"""),"branding cross-device high season")</f>
        <v>branding cross-device high season</v>
      </c>
      <c r="H509" s="3">
        <f ca="1">IFERROR(__xludf.DUMMYFUNCTION("""COMPUTED_VALUE"""),7)</f>
        <v>7</v>
      </c>
      <c r="I509" s="5">
        <f ca="1">IFERROR(__xludf.DUMMYFUNCTION("""COMPUTED_VALUE"""),1000)</f>
        <v>1000</v>
      </c>
      <c r="J509" s="5">
        <f ca="1">IFERROR(__xludf.DUMMYFUNCTION("""COMPUTED_VALUE"""),540)</f>
        <v>540</v>
      </c>
      <c r="K509" s="3"/>
      <c r="L509" s="3" t="str">
        <f ca="1">IFERROR(__xludf.DUMMYFUNCTION("""COMPUTED_VALUE"""),"Cost per period")</f>
        <v>Cost per period</v>
      </c>
      <c r="M509" s="3"/>
      <c r="N509" s="3"/>
      <c r="O509" s="3" t="str">
        <f ca="1">IFERROR(__xludf.DUMMYFUNCTION("""COMPUTED_VALUE"""),"2000")</f>
        <v>2000</v>
      </c>
      <c r="P509" s="3" t="str">
        <f ca="1">IFERROR(__xludf.DUMMYFUNCTION("""COMPUTED_VALUE"""),"1400")</f>
        <v>1400</v>
      </c>
      <c r="Q509" s="3" t="str">
        <f ca="1">IFERROR(__xludf.DUMMYFUNCTION("""COMPUTED_VALUE"""),"2000x1400 + 600x1080")</f>
        <v>2000x1400 + 600x1080</v>
      </c>
      <c r="R509" s="3"/>
      <c r="S509" s="3" t="str">
        <f ca="1">IFERROR(__xludf.DUMMYFUNCTION("""COMPUTED_VALUE"""),"500 (600 - HTLM5)")</f>
        <v>500 (600 - HTLM5)</v>
      </c>
      <c r="T509" s="3"/>
      <c r="U509" s="3" t="str">
        <f ca="1">IFERROR(__xludf.DUMMYFUNCTION("""COMPUTED_VALUE"""),"banner standard")</f>
        <v>banner standard</v>
      </c>
      <c r="V509" s="3"/>
      <c r="W509" s="4" t="str">
        <f ca="1">IFERROR(__xludf.DUMMYFUNCTION("""COMPUTED_VALUE"""),"https://reklama.cncenter.cz/Online/branding-cross-device")</f>
        <v>https://reklama.cncenter.cz/Online/branding-cross-device</v>
      </c>
      <c r="X509" s="3"/>
      <c r="Y509" s="3"/>
      <c r="Z509" s="3" t="str">
        <f ca="1">IFERROR(__xludf.DUMMYFUNCTION("""COMPUTED_VALUE"""),"podklady@cncenter.cz")</f>
        <v>podklady@cncenter.cz</v>
      </c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 t="str">
        <f ca="1">IFERROR(__xludf.DUMMYFUNCTION("""COMPUTED_VALUE"""),"cross-device")</f>
        <v>cross-device</v>
      </c>
      <c r="AO509" s="3"/>
      <c r="AP509" s="3"/>
      <c r="AQ509" s="3"/>
      <c r="AR509" s="3"/>
      <c r="AS509" s="3"/>
      <c r="AT509" s="3"/>
      <c r="AU509" s="3" t="str">
        <f ca="1">IFERROR(__xludf.DUMMYFUNCTION("""COMPUTED_VALUE"""),"branding cross-device")</f>
        <v>branding cross-device</v>
      </c>
    </row>
    <row r="510" spans="1:47" x14ac:dyDescent="0.3">
      <c r="A510" s="3">
        <f ca="1"/>
        <v>2346826</v>
      </c>
      <c r="B510" s="3" t="str">
        <f ca="1"/>
        <v>CZECH NEWS CENTER a. s.</v>
      </c>
      <c r="C510" s="3" t="str">
        <f ca="1">IFERROR(__xludf.DUMMYFUNCTION("""COMPUTED_VALUE"""),"Evropa2")</f>
        <v>Evropa2</v>
      </c>
      <c r="D510" s="4" t="str">
        <f ca="1">IFERROR(__xludf.DUMMYFUNCTION("""COMPUTED_VALUE"""),"https://evropa2.cz")</f>
        <v>https://evropa2.cz</v>
      </c>
      <c r="E510" s="3" t="str">
        <f ca="1">IFERROR(__xludf.DUMMYFUNCTION("""COMPUTED_VALUE"""),"celý web")</f>
        <v>celý web</v>
      </c>
      <c r="F510" s="4" t="str">
        <f ca="1">IFERROR(__xludf.DUMMYFUNCTION("""COMPUTED_VALUE"""),"https://evropa2.cz")</f>
        <v>https://evropa2.cz</v>
      </c>
      <c r="G510" s="3" t="str">
        <f ca="1">IFERROR(__xludf.DUMMYFUNCTION("""COMPUTED_VALUE"""),"branding high season")</f>
        <v>branding high season</v>
      </c>
      <c r="H510" s="3">
        <f ca="1">IFERROR(__xludf.DUMMYFUNCTION("""COMPUTED_VALUE"""),7)</f>
        <v>7</v>
      </c>
      <c r="I510" s="5">
        <f ca="1">IFERROR(__xludf.DUMMYFUNCTION("""COMPUTED_VALUE"""),1000)</f>
        <v>1000</v>
      </c>
      <c r="J510" s="5">
        <f ca="1">IFERROR(__xludf.DUMMYFUNCTION("""COMPUTED_VALUE"""),890)</f>
        <v>890</v>
      </c>
      <c r="K510" s="3"/>
      <c r="L510" s="3" t="str">
        <f ca="1">IFERROR(__xludf.DUMMYFUNCTION("""COMPUTED_VALUE"""),"Cost per period")</f>
        <v>Cost per period</v>
      </c>
      <c r="M510" s="3"/>
      <c r="N510" s="3"/>
      <c r="O510" s="3" t="str">
        <f ca="1">IFERROR(__xludf.DUMMYFUNCTION("""COMPUTED_VALUE"""),"2000")</f>
        <v>2000</v>
      </c>
      <c r="P510" s="3" t="str">
        <f ca="1">IFERROR(__xludf.DUMMYFUNCTION("""COMPUTED_VALUE"""),"1400")</f>
        <v>1400</v>
      </c>
      <c r="Q510" s="3" t="str">
        <f ca="1">IFERROR(__xludf.DUMMYFUNCTION("""COMPUTED_VALUE"""),"2000x1400")</f>
        <v>2000x1400</v>
      </c>
      <c r="R510" s="3"/>
      <c r="S510" s="3" t="str">
        <f ca="1">IFERROR(__xludf.DUMMYFUNCTION("""COMPUTED_VALUE"""),"500 + 200 (600+200 HTML5)")</f>
        <v>500 + 200 (600+200 HTML5)</v>
      </c>
      <c r="T510" s="3"/>
      <c r="U510" s="3" t="str">
        <f ca="1">IFERROR(__xludf.DUMMYFUNCTION("""COMPUTED_VALUE"""),"banner standard")</f>
        <v>banner standard</v>
      </c>
      <c r="V510" s="3"/>
      <c r="W510" s="4" t="str">
        <f ca="1">IFERROR(__xludf.DUMMYFUNCTION("""COMPUTED_VALUE"""),"https://reklama.cncenter.cz/Online/branding")</f>
        <v>https://reklama.cncenter.cz/Online/branding</v>
      </c>
      <c r="X510" s="3"/>
      <c r="Y510" s="3"/>
      <c r="Z510" s="3" t="str">
        <f ca="1">IFERROR(__xludf.DUMMYFUNCTION("""COMPUTED_VALUE"""),"podklady@cncenter.cz")</f>
        <v>podklady@cncenter.cz</v>
      </c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 t="str">
        <f ca="1">IFERROR(__xludf.DUMMYFUNCTION("""COMPUTED_VALUE"""),"desktop")</f>
        <v>desktop</v>
      </c>
      <c r="AO510" s="3"/>
      <c r="AP510" s="3"/>
      <c r="AQ510" s="3"/>
      <c r="AR510" s="3"/>
      <c r="AS510" s="3"/>
      <c r="AT510" s="3"/>
      <c r="AU510" s="3" t="str">
        <f ca="1">IFERROR(__xludf.DUMMYFUNCTION("""COMPUTED_VALUE"""),"branding")</f>
        <v>branding</v>
      </c>
    </row>
    <row r="511" spans="1:47" x14ac:dyDescent="0.3">
      <c r="A511" s="3">
        <f ca="1"/>
        <v>2346826</v>
      </c>
      <c r="B511" s="3" t="str">
        <f ca="1"/>
        <v>CZECH NEWS CENTER a. s.</v>
      </c>
      <c r="C511" s="3" t="str">
        <f ca="1">IFERROR(__xludf.DUMMYFUNCTION("""COMPUTED_VALUE"""),"Evropa2")</f>
        <v>Evropa2</v>
      </c>
      <c r="D511" s="4" t="str">
        <f ca="1">IFERROR(__xludf.DUMMYFUNCTION("""COMPUTED_VALUE"""),"https://evropa2.cz")</f>
        <v>https://evropa2.cz</v>
      </c>
      <c r="E511" s="3" t="str">
        <f ca="1">IFERROR(__xludf.DUMMYFUNCTION("""COMPUTED_VALUE"""),"celý web")</f>
        <v>celý web</v>
      </c>
      <c r="F511" s="4" t="str">
        <f ca="1">IFERROR(__xludf.DUMMYFUNCTION("""COMPUTED_VALUE"""),"https://evropa2.cz")</f>
        <v>https://evropa2.cz</v>
      </c>
      <c r="G511" s="3" t="str">
        <f ca="1">IFERROR(__xludf.DUMMYFUNCTION("""COMPUTED_VALUE"""),"cílený branding cross-device high season")</f>
        <v>cílený branding cross-device high season</v>
      </c>
      <c r="H511" s="3">
        <f ca="1">IFERROR(__xludf.DUMMYFUNCTION("""COMPUTED_VALUE"""),7)</f>
        <v>7</v>
      </c>
      <c r="I511" s="5">
        <f ca="1">IFERROR(__xludf.DUMMYFUNCTION("""COMPUTED_VALUE"""),1000)</f>
        <v>1000</v>
      </c>
      <c r="J511" s="5">
        <f ca="1">IFERROR(__xludf.DUMMYFUNCTION("""COMPUTED_VALUE"""),648)</f>
        <v>648</v>
      </c>
      <c r="K511" s="3"/>
      <c r="L511" s="3" t="str">
        <f ca="1">IFERROR(__xludf.DUMMYFUNCTION("""COMPUTED_VALUE"""),"Cost per period")</f>
        <v>Cost per period</v>
      </c>
      <c r="M511" s="3"/>
      <c r="N511" s="3"/>
      <c r="O511" s="3" t="str">
        <f ca="1">IFERROR(__xludf.DUMMYFUNCTION("""COMPUTED_VALUE"""),"2000")</f>
        <v>2000</v>
      </c>
      <c r="P511" s="3" t="str">
        <f ca="1">IFERROR(__xludf.DUMMYFUNCTION("""COMPUTED_VALUE"""),"1400")</f>
        <v>1400</v>
      </c>
      <c r="Q511" s="3" t="str">
        <f ca="1">IFERROR(__xludf.DUMMYFUNCTION("""COMPUTED_VALUE"""),"2000x1400 + 600x1080")</f>
        <v>2000x1400 + 600x1080</v>
      </c>
      <c r="R511" s="3"/>
      <c r="S511" s="3" t="str">
        <f ca="1">IFERROR(__xludf.DUMMYFUNCTION("""COMPUTED_VALUE"""),"500 (600 - HTLM5)")</f>
        <v>500 (600 - HTLM5)</v>
      </c>
      <c r="T511" s="3"/>
      <c r="U511" s="3" t="str">
        <f ca="1">IFERROR(__xludf.DUMMYFUNCTION("""COMPUTED_VALUE"""),"banner standard")</f>
        <v>banner standard</v>
      </c>
      <c r="V511" s="3"/>
      <c r="W511" s="4" t="str">
        <f ca="1">IFERROR(__xludf.DUMMYFUNCTION("""COMPUTED_VALUE"""),"https://reklama.cncenter.cz/Online/branding-cross-device")</f>
        <v>https://reklama.cncenter.cz/Online/branding-cross-device</v>
      </c>
      <c r="X511" s="3"/>
      <c r="Y511" s="3"/>
      <c r="Z511" s="3" t="str">
        <f ca="1">IFERROR(__xludf.DUMMYFUNCTION("""COMPUTED_VALUE"""),"podklady@cncenter.cz")</f>
        <v>podklady@cncenter.cz</v>
      </c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 t="str">
        <f ca="1">IFERROR(__xludf.DUMMYFUNCTION("""COMPUTED_VALUE"""),"cross-device")</f>
        <v>cross-device</v>
      </c>
      <c r="AO511" s="3"/>
      <c r="AP511" s="3"/>
      <c r="AQ511" s="3"/>
      <c r="AR511" s="3"/>
      <c r="AS511" s="3"/>
      <c r="AT511" s="3"/>
      <c r="AU511" s="3" t="str">
        <f ca="1">IFERROR(__xludf.DUMMYFUNCTION("""COMPUTED_VALUE"""),"cílený branding cross-device")</f>
        <v>cílený branding cross-device</v>
      </c>
    </row>
    <row r="512" spans="1:47" x14ac:dyDescent="0.3">
      <c r="A512" s="3">
        <f ca="1"/>
        <v>2346826</v>
      </c>
      <c r="B512" s="3" t="str">
        <f ca="1"/>
        <v>CZECH NEWS CENTER a. s.</v>
      </c>
      <c r="C512" s="3" t="str">
        <f ca="1">IFERROR(__xludf.DUMMYFUNCTION("""COMPUTED_VALUE"""),"Evropa2")</f>
        <v>Evropa2</v>
      </c>
      <c r="D512" s="4" t="str">
        <f ca="1">IFERROR(__xludf.DUMMYFUNCTION("""COMPUTED_VALUE"""),"https://evropa2.cz")</f>
        <v>https://evropa2.cz</v>
      </c>
      <c r="E512" s="3" t="str">
        <f ca="1">IFERROR(__xludf.DUMMYFUNCTION("""COMPUTED_VALUE"""),"celý web")</f>
        <v>celý web</v>
      </c>
      <c r="F512" s="4" t="str">
        <f ca="1">IFERROR(__xludf.DUMMYFUNCTION("""COMPUTED_VALUE"""),"https://evropa2.cz")</f>
        <v>https://evropa2.cz</v>
      </c>
      <c r="G512" s="3" t="str">
        <f ca="1">IFERROR(__xludf.DUMMYFUNCTION("""COMPUTED_VALUE"""),"cílený branding high season")</f>
        <v>cílený branding high season</v>
      </c>
      <c r="H512" s="3">
        <f ca="1">IFERROR(__xludf.DUMMYFUNCTION("""COMPUTED_VALUE"""),7)</f>
        <v>7</v>
      </c>
      <c r="I512" s="5">
        <f ca="1">IFERROR(__xludf.DUMMYFUNCTION("""COMPUTED_VALUE"""),1000)</f>
        <v>1000</v>
      </c>
      <c r="J512" s="5">
        <f ca="1">IFERROR(__xludf.DUMMYFUNCTION("""COMPUTED_VALUE"""),1068)</f>
        <v>1068</v>
      </c>
      <c r="K512" s="3"/>
      <c r="L512" s="3" t="str">
        <f ca="1">IFERROR(__xludf.DUMMYFUNCTION("""COMPUTED_VALUE"""),"Cost per period")</f>
        <v>Cost per period</v>
      </c>
      <c r="M512" s="3"/>
      <c r="N512" s="3"/>
      <c r="O512" s="3" t="str">
        <f ca="1">IFERROR(__xludf.DUMMYFUNCTION("""COMPUTED_VALUE"""),"2000")</f>
        <v>2000</v>
      </c>
      <c r="P512" s="3" t="str">
        <f ca="1">IFERROR(__xludf.DUMMYFUNCTION("""COMPUTED_VALUE"""),"1400")</f>
        <v>1400</v>
      </c>
      <c r="Q512" s="3" t="str">
        <f ca="1">IFERROR(__xludf.DUMMYFUNCTION("""COMPUTED_VALUE"""),"2000x1400")</f>
        <v>2000x1400</v>
      </c>
      <c r="R512" s="3"/>
      <c r="S512" s="3" t="str">
        <f ca="1">IFERROR(__xludf.DUMMYFUNCTION("""COMPUTED_VALUE"""),"500 + 200 (600+200 HTML5)")</f>
        <v>500 + 200 (600+200 HTML5)</v>
      </c>
      <c r="T512" s="3"/>
      <c r="U512" s="3" t="str">
        <f ca="1">IFERROR(__xludf.DUMMYFUNCTION("""COMPUTED_VALUE"""),"banner standard")</f>
        <v>banner standard</v>
      </c>
      <c r="V512" s="3"/>
      <c r="W512" s="4" t="str">
        <f ca="1">IFERROR(__xludf.DUMMYFUNCTION("""COMPUTED_VALUE"""),"https://reklama.cncenter.cz/Online/branding")</f>
        <v>https://reklama.cncenter.cz/Online/branding</v>
      </c>
      <c r="X512" s="3"/>
      <c r="Y512" s="3"/>
      <c r="Z512" s="3" t="str">
        <f ca="1">IFERROR(__xludf.DUMMYFUNCTION("""COMPUTED_VALUE"""),"podklady@cncenter.cz")</f>
        <v>podklady@cncenter.cz</v>
      </c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 t="str">
        <f ca="1">IFERROR(__xludf.DUMMYFUNCTION("""COMPUTED_VALUE"""),"desktop")</f>
        <v>desktop</v>
      </c>
      <c r="AO512" s="3"/>
      <c r="AP512" s="3"/>
      <c r="AQ512" s="3"/>
      <c r="AR512" s="3"/>
      <c r="AS512" s="3"/>
      <c r="AT512" s="3"/>
      <c r="AU512" s="3" t="str">
        <f ca="1">IFERROR(__xludf.DUMMYFUNCTION("""COMPUTED_VALUE"""),"cílený branding")</f>
        <v>cílený branding</v>
      </c>
    </row>
    <row r="513" spans="1:47" x14ac:dyDescent="0.3">
      <c r="A513" s="3">
        <f ca="1"/>
        <v>2346826</v>
      </c>
      <c r="B513" s="3" t="str">
        <f ca="1"/>
        <v>CZECH NEWS CENTER a. s.</v>
      </c>
      <c r="C513" s="3" t="str">
        <f ca="1">IFERROR(__xludf.DUMMYFUNCTION("""COMPUTED_VALUE"""),"Evropa2")</f>
        <v>Evropa2</v>
      </c>
      <c r="D513" s="4" t="str">
        <f ca="1">IFERROR(__xludf.DUMMYFUNCTION("""COMPUTED_VALUE"""),"https://evropa2.cz")</f>
        <v>https://evropa2.cz</v>
      </c>
      <c r="E513" s="3" t="str">
        <f ca="1">IFERROR(__xludf.DUMMYFUNCTION("""COMPUTED_VALUE"""),"celý web")</f>
        <v>celý web</v>
      </c>
      <c r="F513" s="4" t="str">
        <f ca="1">IFERROR(__xludf.DUMMYFUNCTION("""COMPUTED_VALUE"""),"https://evropa2.cz")</f>
        <v>https://evropa2.cz</v>
      </c>
      <c r="G513" s="3" t="str">
        <f ca="1">IFERROR(__xludf.DUMMYFUNCTION("""COMPUTED_VALUE"""),"cílený double skyscraper high season")</f>
        <v>cílený double skyscraper high season</v>
      </c>
      <c r="H513" s="3">
        <f ca="1">IFERROR(__xludf.DUMMYFUNCTION("""COMPUTED_VALUE"""),7)</f>
        <v>7</v>
      </c>
      <c r="I513" s="5">
        <f ca="1">IFERROR(__xludf.DUMMYFUNCTION("""COMPUTED_VALUE"""),1000)</f>
        <v>1000</v>
      </c>
      <c r="J513" s="5">
        <f ca="1">IFERROR(__xludf.DUMMYFUNCTION("""COMPUTED_VALUE"""),420)</f>
        <v>420</v>
      </c>
      <c r="K513" s="3"/>
      <c r="L513" s="3" t="str">
        <f ca="1">IFERROR(__xludf.DUMMYFUNCTION("""COMPUTED_VALUE"""),"Cost per period")</f>
        <v>Cost per period</v>
      </c>
      <c r="M513" s="3"/>
      <c r="N513" s="3"/>
      <c r="O513" s="3" t="str">
        <f ca="1">IFERROR(__xludf.DUMMYFUNCTION("""COMPUTED_VALUE"""),"300")</f>
        <v>300</v>
      </c>
      <c r="P513" s="3" t="str">
        <f ca="1">IFERROR(__xludf.DUMMYFUNCTION("""COMPUTED_VALUE"""),"600")</f>
        <v>600</v>
      </c>
      <c r="Q513" s="3" t="str">
        <f ca="1">IFERROR(__xludf.DUMMYFUNCTION("""COMPUTED_VALUE"""),"300x600")</f>
        <v>300x600</v>
      </c>
      <c r="R513" s="3"/>
      <c r="S513" s="3" t="str">
        <f ca="1">IFERROR(__xludf.DUMMYFUNCTION("""COMPUTED_VALUE"""),"100 (200 - HTML5)")</f>
        <v>100 (200 - HTML5)</v>
      </c>
      <c r="T513" s="3"/>
      <c r="U513" s="3" t="str">
        <f ca="1">IFERROR(__xludf.DUMMYFUNCTION("""COMPUTED_VALUE"""),"banner standard")</f>
        <v>banner standard</v>
      </c>
      <c r="V513" s="3"/>
      <c r="W513" s="4" t="str">
        <f ca="1">IFERROR(__xludf.DUMMYFUNCTION("""COMPUTED_VALUE"""),"https://reklama.cncenter.cz/Online/double-skyscraper")</f>
        <v>https://reklama.cncenter.cz/Online/double-skyscraper</v>
      </c>
      <c r="X513" s="3"/>
      <c r="Y513" s="3"/>
      <c r="Z513" s="3" t="str">
        <f ca="1">IFERROR(__xludf.DUMMYFUNCTION("""COMPUTED_VALUE"""),"podklady@cncenter.cz")</f>
        <v>podklady@cncenter.cz</v>
      </c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 t="str">
        <f ca="1">IFERROR(__xludf.DUMMYFUNCTION("""COMPUTED_VALUE"""),"desktop")</f>
        <v>desktop</v>
      </c>
      <c r="AO513" s="3"/>
      <c r="AP513" s="3"/>
      <c r="AQ513" s="3"/>
      <c r="AR513" s="3"/>
      <c r="AS513" s="3"/>
      <c r="AT513" s="3"/>
      <c r="AU513" s="3" t="str">
        <f ca="1">IFERROR(__xludf.DUMMYFUNCTION("""COMPUTED_VALUE"""),"cílený double skyscraper")</f>
        <v>cílený double skyscraper</v>
      </c>
    </row>
    <row r="514" spans="1:47" x14ac:dyDescent="0.3">
      <c r="A514" s="3">
        <f ca="1"/>
        <v>2346826</v>
      </c>
      <c r="B514" s="3" t="str">
        <f ca="1"/>
        <v>CZECH NEWS CENTER a. s.</v>
      </c>
      <c r="C514" s="3" t="str">
        <f ca="1">IFERROR(__xludf.DUMMYFUNCTION("""COMPUTED_VALUE"""),"Evropa2")</f>
        <v>Evropa2</v>
      </c>
      <c r="D514" s="4" t="str">
        <f ca="1">IFERROR(__xludf.DUMMYFUNCTION("""COMPUTED_VALUE"""),"https://evropa2.cz")</f>
        <v>https://evropa2.cz</v>
      </c>
      <c r="E514" s="3" t="str">
        <f ca="1">IFERROR(__xludf.DUMMYFUNCTION("""COMPUTED_VALUE"""),"celý web")</f>
        <v>celý web</v>
      </c>
      <c r="F514" s="4" t="str">
        <f ca="1">IFERROR(__xludf.DUMMYFUNCTION("""COMPUTED_VALUE"""),"https://evropa2.cz")</f>
        <v>https://evropa2.cz</v>
      </c>
      <c r="G514" s="3" t="str">
        <f ca="1">IFERROR(__xludf.DUMMYFUNCTION("""COMPUTED_VALUE"""),"cílený mini videospot - max. 30 sec. high season")</f>
        <v>cílený mini videospot - max. 30 sec. high season</v>
      </c>
      <c r="H514" s="3">
        <f ca="1">IFERROR(__xludf.DUMMYFUNCTION("""COMPUTED_VALUE"""),7)</f>
        <v>7</v>
      </c>
      <c r="I514" s="5">
        <f ca="1">IFERROR(__xludf.DUMMYFUNCTION("""COMPUTED_VALUE"""),1000)</f>
        <v>1000</v>
      </c>
      <c r="J514" s="5">
        <f ca="1">IFERROR(__xludf.DUMMYFUNCTION("""COMPUTED_VALUE"""),312)</f>
        <v>312</v>
      </c>
      <c r="K514" s="3"/>
      <c r="L514" s="3" t="str">
        <f ca="1">IFERROR(__xludf.DUMMYFUNCTION("""COMPUTED_VALUE"""),"Cost per period")</f>
        <v>Cost per period</v>
      </c>
      <c r="M514" s="3"/>
      <c r="N514" s="3"/>
      <c r="O514" s="3"/>
      <c r="P514" s="3"/>
      <c r="Q514" s="3" t="str">
        <f ca="1">IFERROR(__xludf.DUMMYFUNCTION("""COMPUTED_VALUE"""),"16:9 / umístění po domluvě dle možností")</f>
        <v>16:9 / umístění po domluvě dle možností</v>
      </c>
      <c r="R514" s="3" t="str">
        <f ca="1">IFERROR(__xludf.DUMMYFUNCTION("""COMPUTED_VALUE"""),"přeskočení po 7 sekundách")</f>
        <v>přeskočení po 7 sekundách</v>
      </c>
      <c r="S514" s="3" t="str">
        <f ca="1">IFERROR(__xludf.DUMMYFUNCTION("""COMPUTED_VALUE"""),"100")</f>
        <v>100</v>
      </c>
      <c r="T514" s="3"/>
      <c r="U514" s="3" t="str">
        <f ca="1">IFERROR(__xludf.DUMMYFUNCTION("""COMPUTED_VALUE"""),"videospot")</f>
        <v>videospot</v>
      </c>
      <c r="V514" s="3"/>
      <c r="W514" s="4" t="str">
        <f ca="1">IFERROR(__xludf.DUMMYFUNCTION("""COMPUTED_VALUE"""),"https://reklama.cncenter.cz/Online/Videospot")</f>
        <v>https://reklama.cncenter.cz/Online/Videospot</v>
      </c>
      <c r="X514" s="3"/>
      <c r="Y514" s="3"/>
      <c r="Z514" s="3" t="str">
        <f ca="1">IFERROR(__xludf.DUMMYFUNCTION("""COMPUTED_VALUE"""),"podklady@cncenter.cz")</f>
        <v>podklady@cncenter.cz</v>
      </c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 t="str">
        <f ca="1">IFERROR(__xludf.DUMMYFUNCTION("""COMPUTED_VALUE"""),"desktop")</f>
        <v>desktop</v>
      </c>
      <c r="AO514" s="3"/>
      <c r="AP514" s="3"/>
      <c r="AQ514" s="3"/>
      <c r="AR514" s="3"/>
      <c r="AS514" s="3"/>
      <c r="AT514" s="3"/>
      <c r="AU514" s="3" t="str">
        <f ca="1">IFERROR(__xludf.DUMMYFUNCTION("""COMPUTED_VALUE"""),"cílený mini videospot - max. 30 sec.")</f>
        <v>cílený mini videospot - max. 30 sec.</v>
      </c>
    </row>
    <row r="515" spans="1:47" x14ac:dyDescent="0.3">
      <c r="A515" s="3">
        <f ca="1"/>
        <v>2346826</v>
      </c>
      <c r="B515" s="3" t="str">
        <f ca="1"/>
        <v>CZECH NEWS CENTER a. s.</v>
      </c>
      <c r="C515" s="3" t="str">
        <f ca="1">IFERROR(__xludf.DUMMYFUNCTION("""COMPUTED_VALUE"""),"Evropa2")</f>
        <v>Evropa2</v>
      </c>
      <c r="D515" s="4" t="str">
        <f ca="1">IFERROR(__xludf.DUMMYFUNCTION("""COMPUTED_VALUE"""),"https://evropa2.cz")</f>
        <v>https://evropa2.cz</v>
      </c>
      <c r="E515" s="3" t="str">
        <f ca="1">IFERROR(__xludf.DUMMYFUNCTION("""COMPUTED_VALUE"""),"celý web")</f>
        <v>celý web</v>
      </c>
      <c r="F515" s="4" t="str">
        <f ca="1">IFERROR(__xludf.DUMMYFUNCTION("""COMPUTED_VALUE"""),"https://evropa2.cz")</f>
        <v>https://evropa2.cz</v>
      </c>
      <c r="G515" s="3" t="str">
        <f ca="1">IFERROR(__xludf.DUMMYFUNCTION("""COMPUTED_VALUE"""),"cílený mobilní interscroller high season")</f>
        <v>cílený mobilní interscroller high season</v>
      </c>
      <c r="H515" s="3">
        <f ca="1">IFERROR(__xludf.DUMMYFUNCTION("""COMPUTED_VALUE"""),7)</f>
        <v>7</v>
      </c>
      <c r="I515" s="5">
        <f ca="1">IFERROR(__xludf.DUMMYFUNCTION("""COMPUTED_VALUE"""),1000)</f>
        <v>1000</v>
      </c>
      <c r="J515" s="5">
        <f ca="1">IFERROR(__xludf.DUMMYFUNCTION("""COMPUTED_VALUE"""),540)</f>
        <v>540</v>
      </c>
      <c r="K515" s="3"/>
      <c r="L515" s="3" t="str">
        <f ca="1">IFERROR(__xludf.DUMMYFUNCTION("""COMPUTED_VALUE"""),"Cost per period")</f>
        <v>Cost per period</v>
      </c>
      <c r="M515" s="3"/>
      <c r="N515" s="3"/>
      <c r="O515" s="3" t="str">
        <f ca="1">IFERROR(__xludf.DUMMYFUNCTION("""COMPUTED_VALUE"""),"600")</f>
        <v>600</v>
      </c>
      <c r="P515" s="3" t="str">
        <f ca="1">IFERROR(__xludf.DUMMYFUNCTION("""COMPUTED_VALUE"""),"1080")</f>
        <v>1080</v>
      </c>
      <c r="Q515" s="3" t="str">
        <f ca="1">IFERROR(__xludf.DUMMYFUNCTION("""COMPUTED_VALUE"""),"600x1080")</f>
        <v>600x1080</v>
      </c>
      <c r="R515" s="3"/>
      <c r="S515" s="3" t="str">
        <f ca="1">IFERROR(__xludf.DUMMYFUNCTION("""COMPUTED_VALUE"""),"200")</f>
        <v>200</v>
      </c>
      <c r="T515" s="3"/>
      <c r="U515" s="3" t="str">
        <f ca="1">IFERROR(__xludf.DUMMYFUNCTION("""COMPUTED_VALUE"""),"banner standard")</f>
        <v>banner standard</v>
      </c>
      <c r="V515" s="3"/>
      <c r="W515" s="4" t="str">
        <f ca="1">IFERROR(__xludf.DUMMYFUNCTION("""COMPUTED_VALUE"""),"https://reklama.cncenter.cz/Online/mobilni-interscroller")</f>
        <v>https://reklama.cncenter.cz/Online/mobilni-interscroller</v>
      </c>
      <c r="X515" s="3"/>
      <c r="Y515" s="3"/>
      <c r="Z515" s="3" t="str">
        <f ca="1">IFERROR(__xludf.DUMMYFUNCTION("""COMPUTED_VALUE"""),"podklady@cncenter.cz")</f>
        <v>podklady@cncenter.cz</v>
      </c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 t="str">
        <f ca="1">IFERROR(__xludf.DUMMYFUNCTION("""COMPUTED_VALUE"""),"mobile")</f>
        <v>mobile</v>
      </c>
      <c r="AO515" s="3"/>
      <c r="AP515" s="3"/>
      <c r="AQ515" s="3"/>
      <c r="AR515" s="3"/>
      <c r="AS515" s="3"/>
      <c r="AT515" s="3"/>
      <c r="AU515" s="3" t="str">
        <f ca="1">IFERROR(__xludf.DUMMYFUNCTION("""COMPUTED_VALUE"""),"cílený mobilní interscroller")</f>
        <v>cílený mobilní interscroller</v>
      </c>
    </row>
    <row r="516" spans="1:47" x14ac:dyDescent="0.3">
      <c r="A516" s="3">
        <f ca="1"/>
        <v>2346826</v>
      </c>
      <c r="B516" s="3" t="str">
        <f ca="1"/>
        <v>CZECH NEWS CENTER a. s.</v>
      </c>
      <c r="C516" s="3" t="str">
        <f ca="1">IFERROR(__xludf.DUMMYFUNCTION("""COMPUTED_VALUE"""),"Evropa2")</f>
        <v>Evropa2</v>
      </c>
      <c r="D516" s="4" t="str">
        <f ca="1">IFERROR(__xludf.DUMMYFUNCTION("""COMPUTED_VALUE"""),"https://evropa2.cz")</f>
        <v>https://evropa2.cz</v>
      </c>
      <c r="E516" s="3" t="str">
        <f ca="1">IFERROR(__xludf.DUMMYFUNCTION("""COMPUTED_VALUE"""),"celý web")</f>
        <v>celý web</v>
      </c>
      <c r="F516" s="4" t="str">
        <f ca="1">IFERROR(__xludf.DUMMYFUNCTION("""COMPUTED_VALUE"""),"https://evropa2.cz")</f>
        <v>https://evropa2.cz</v>
      </c>
      <c r="G516" s="3" t="str">
        <f ca="1">IFERROR(__xludf.DUMMYFUNCTION("""COMPUTED_VALUE"""),"cílený mobilní slide-up high season")</f>
        <v>cílený mobilní slide-up high season</v>
      </c>
      <c r="H516" s="3">
        <f ca="1">IFERROR(__xludf.DUMMYFUNCTION("""COMPUTED_VALUE"""),7)</f>
        <v>7</v>
      </c>
      <c r="I516" s="5">
        <f ca="1">IFERROR(__xludf.DUMMYFUNCTION("""COMPUTED_VALUE"""),1000)</f>
        <v>1000</v>
      </c>
      <c r="J516" s="5">
        <f ca="1">IFERROR(__xludf.DUMMYFUNCTION("""COMPUTED_VALUE"""),1104)</f>
        <v>1104</v>
      </c>
      <c r="K516" s="3"/>
      <c r="L516" s="3" t="str">
        <f ca="1">IFERROR(__xludf.DUMMYFUNCTION("""COMPUTED_VALUE"""),"Cost per period")</f>
        <v>Cost per period</v>
      </c>
      <c r="M516" s="3"/>
      <c r="N516" s="3"/>
      <c r="O516" s="3" t="str">
        <f ca="1">IFERROR(__xludf.DUMMYFUNCTION("""COMPUTED_VALUE"""),"300")</f>
        <v>300</v>
      </c>
      <c r="P516" s="3" t="str">
        <f ca="1">IFERROR(__xludf.DUMMYFUNCTION("""COMPUTED_VALUE"""),"120")</f>
        <v>120</v>
      </c>
      <c r="Q516" s="3" t="str">
        <f ca="1">IFERROR(__xludf.DUMMYFUNCTION("""COMPUTED_VALUE"""),"300x120")</f>
        <v>300x120</v>
      </c>
      <c r="R516" s="3"/>
      <c r="S516" s="3" t="str">
        <f ca="1">IFERROR(__xludf.DUMMYFUNCTION("""COMPUTED_VALUE"""),"100")</f>
        <v>100</v>
      </c>
      <c r="T516" s="3"/>
      <c r="U516" s="3" t="str">
        <f ca="1">IFERROR(__xludf.DUMMYFUNCTION("""COMPUTED_VALUE"""),"banner standard")</f>
        <v>banner standard</v>
      </c>
      <c r="V516" s="3"/>
      <c r="W516" s="4" t="str">
        <f ca="1">IFERROR(__xludf.DUMMYFUNCTION("""COMPUTED_VALUE"""),"https://reklama.cncenter.cz/Online/mobilni-slide-up")</f>
        <v>https://reklama.cncenter.cz/Online/mobilni-slide-up</v>
      </c>
      <c r="X516" s="3"/>
      <c r="Y516" s="3"/>
      <c r="Z516" s="3" t="str">
        <f ca="1">IFERROR(__xludf.DUMMYFUNCTION("""COMPUTED_VALUE"""),"podklady@cncenter.cz")</f>
        <v>podklady@cncenter.cz</v>
      </c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 t="str">
        <f ca="1">IFERROR(__xludf.DUMMYFUNCTION("""COMPUTED_VALUE"""),"mobile")</f>
        <v>mobile</v>
      </c>
      <c r="AO516" s="3"/>
      <c r="AP516" s="3"/>
      <c r="AQ516" s="3"/>
      <c r="AR516" s="3"/>
      <c r="AS516" s="3"/>
      <c r="AT516" s="3"/>
      <c r="AU516" s="3" t="str">
        <f ca="1">IFERROR(__xludf.DUMMYFUNCTION("""COMPUTED_VALUE"""),"cílený mobilní slide-up")</f>
        <v>cílený mobilní slide-up</v>
      </c>
    </row>
    <row r="517" spans="1:47" x14ac:dyDescent="0.3">
      <c r="A517" s="3">
        <f ca="1"/>
        <v>2346826</v>
      </c>
      <c r="B517" s="3" t="str">
        <f ca="1"/>
        <v>CZECH NEWS CENTER a. s.</v>
      </c>
      <c r="C517" s="3" t="str">
        <f ca="1">IFERROR(__xludf.DUMMYFUNCTION("""COMPUTED_VALUE"""),"Evropa2")</f>
        <v>Evropa2</v>
      </c>
      <c r="D517" s="4" t="str">
        <f ca="1">IFERROR(__xludf.DUMMYFUNCTION("""COMPUTED_VALUE"""),"https://evropa2.cz")</f>
        <v>https://evropa2.cz</v>
      </c>
      <c r="E517" s="3" t="str">
        <f ca="1">IFERROR(__xludf.DUMMYFUNCTION("""COMPUTED_VALUE"""),"celý web")</f>
        <v>celý web</v>
      </c>
      <c r="F517" s="4" t="str">
        <f ca="1">IFERROR(__xludf.DUMMYFUNCTION("""COMPUTED_VALUE"""),"https://evropa2.cz")</f>
        <v>https://evropa2.cz</v>
      </c>
      <c r="G517" s="3" t="str">
        <f ca="1">IFERROR(__xludf.DUMMYFUNCTION("""COMPUTED_VALUE"""),"cílený mobilní viněta high season")</f>
        <v>cílený mobilní viněta high season</v>
      </c>
      <c r="H517" s="3">
        <f ca="1">IFERROR(__xludf.DUMMYFUNCTION("""COMPUTED_VALUE"""),7)</f>
        <v>7</v>
      </c>
      <c r="I517" s="5">
        <f ca="1">IFERROR(__xludf.DUMMYFUNCTION("""COMPUTED_VALUE"""),1000)</f>
        <v>1000</v>
      </c>
      <c r="J517" s="5">
        <f ca="1">IFERROR(__xludf.DUMMYFUNCTION("""COMPUTED_VALUE"""),1908)</f>
        <v>1908</v>
      </c>
      <c r="K517" s="3"/>
      <c r="L517" s="3" t="str">
        <f ca="1">IFERROR(__xludf.DUMMYFUNCTION("""COMPUTED_VALUE"""),"Cost per period")</f>
        <v>Cost per period</v>
      </c>
      <c r="M517" s="3"/>
      <c r="N517" s="3"/>
      <c r="O517" s="3" t="str">
        <f ca="1">IFERROR(__xludf.DUMMYFUNCTION("""COMPUTED_VALUE"""),"600")</f>
        <v>600</v>
      </c>
      <c r="P517" s="3" t="str">
        <f ca="1">IFERROR(__xludf.DUMMYFUNCTION("""COMPUTED_VALUE"""),"800")</f>
        <v>800</v>
      </c>
      <c r="Q517" s="3" t="str">
        <f ca="1">IFERROR(__xludf.DUMMYFUNCTION("""COMPUTED_VALUE"""),"300x250 nebo 600x800")</f>
        <v>300x250 nebo 600x800</v>
      </c>
      <c r="R517" s="3"/>
      <c r="S517" s="3" t="str">
        <f ca="1">IFERROR(__xludf.DUMMYFUNCTION("""COMPUTED_VALUE"""),"100")</f>
        <v>100</v>
      </c>
      <c r="T517" s="3"/>
      <c r="U517" s="3" t="str">
        <f ca="1">IFERROR(__xludf.DUMMYFUNCTION("""COMPUTED_VALUE"""),"banner standard")</f>
        <v>banner standard</v>
      </c>
      <c r="V517" s="3"/>
      <c r="W517" s="4" t="str">
        <f ca="1">IFERROR(__xludf.DUMMYFUNCTION("""COMPUTED_VALUE"""),"https://reklama.cncenter.cz/Online/mobilni-vineta")</f>
        <v>https://reklama.cncenter.cz/Online/mobilni-vineta</v>
      </c>
      <c r="X517" s="3"/>
      <c r="Y517" s="3"/>
      <c r="Z517" s="3" t="str">
        <f ca="1">IFERROR(__xludf.DUMMYFUNCTION("""COMPUTED_VALUE"""),"podklady@cncenter.cz")</f>
        <v>podklady@cncenter.cz</v>
      </c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 t="str">
        <f ca="1">IFERROR(__xludf.DUMMYFUNCTION("""COMPUTED_VALUE"""),"mobile")</f>
        <v>mobile</v>
      </c>
      <c r="AO517" s="3"/>
      <c r="AP517" s="3"/>
      <c r="AQ517" s="3"/>
      <c r="AR517" s="3"/>
      <c r="AS517" s="3"/>
      <c r="AT517" s="3"/>
      <c r="AU517" s="3" t="str">
        <f ca="1">IFERROR(__xludf.DUMMYFUNCTION("""COMPUTED_VALUE"""),"cílený mobilní viněta")</f>
        <v>cílený mobilní viněta</v>
      </c>
    </row>
    <row r="518" spans="1:47" x14ac:dyDescent="0.3">
      <c r="A518" s="3">
        <f ca="1"/>
        <v>2346826</v>
      </c>
      <c r="B518" s="3" t="str">
        <f ca="1"/>
        <v>CZECH NEWS CENTER a. s.</v>
      </c>
      <c r="C518" s="3" t="str">
        <f ca="1">IFERROR(__xludf.DUMMYFUNCTION("""COMPUTED_VALUE"""),"Evropa2")</f>
        <v>Evropa2</v>
      </c>
      <c r="D518" s="4" t="str">
        <f ca="1">IFERROR(__xludf.DUMMYFUNCTION("""COMPUTED_VALUE"""),"https://evropa2.cz")</f>
        <v>https://evropa2.cz</v>
      </c>
      <c r="E518" s="3" t="str">
        <f ca="1">IFERROR(__xludf.DUMMYFUNCTION("""COMPUTED_VALUE"""),"celý web")</f>
        <v>celý web</v>
      </c>
      <c r="F518" s="4" t="str">
        <f ca="1">IFERROR(__xludf.DUMMYFUNCTION("""COMPUTED_VALUE"""),"https://evropa2.cz")</f>
        <v>https://evropa2.cz</v>
      </c>
      <c r="G518" s="3" t="str">
        <f ca="1">IFERROR(__xludf.DUMMYFUNCTION("""COMPUTED_VALUE"""),"cílený nativní rectangle cross-device high season")</f>
        <v>cílený nativní rectangle cross-device high season</v>
      </c>
      <c r="H518" s="3">
        <f ca="1">IFERROR(__xludf.DUMMYFUNCTION("""COMPUTED_VALUE"""),7)</f>
        <v>7</v>
      </c>
      <c r="I518" s="5">
        <f ca="1">IFERROR(__xludf.DUMMYFUNCTION("""COMPUTED_VALUE"""),1000)</f>
        <v>1000</v>
      </c>
      <c r="J518" s="5">
        <f ca="1">IFERROR(__xludf.DUMMYFUNCTION("""COMPUTED_VALUE"""),432)</f>
        <v>432</v>
      </c>
      <c r="K518" s="3"/>
      <c r="L518" s="3" t="str">
        <f ca="1">IFERROR(__xludf.DUMMYFUNCTION("""COMPUTED_VALUE"""),"Cost per period")</f>
        <v>Cost per period</v>
      </c>
      <c r="M518" s="3"/>
      <c r="N518" s="3"/>
      <c r="O518" s="3" t="str">
        <f ca="1">IFERROR(__xludf.DUMMYFUNCTION("""COMPUTED_VALUE"""),"640")</f>
        <v>640</v>
      </c>
      <c r="P518" s="3" t="str">
        <f ca="1">IFERROR(__xludf.DUMMYFUNCTION("""COMPUTED_VALUE"""),"335, 640")</f>
        <v>335, 640</v>
      </c>
      <c r="Q518" s="3" t="str">
        <f ca="1">IFERROR(__xludf.DUMMYFUNCTION("""COMPUTED_VALUE"""),"640x640 a 640x335 + text + logo")</f>
        <v>640x640 a 640x335 + text + logo</v>
      </c>
      <c r="R518" s="3"/>
      <c r="S518" s="3" t="str">
        <f ca="1">IFERROR(__xludf.DUMMYFUNCTION("""COMPUTED_VALUE"""),"45")</f>
        <v>45</v>
      </c>
      <c r="T518" s="3"/>
      <c r="U518" s="3" t="str">
        <f ca="1">IFERROR(__xludf.DUMMYFUNCTION("""COMPUTED_VALUE"""),"nativní reklama")</f>
        <v>nativní reklama</v>
      </c>
      <c r="V518" s="3"/>
      <c r="W518" s="4" t="str">
        <f ca="1">IFERROR(__xludf.DUMMYFUNCTION("""COMPUTED_VALUE"""),"https://reklama.cncenter.cz/Online/nativni-rectangle-cross-device")</f>
        <v>https://reklama.cncenter.cz/Online/nativni-rectangle-cross-device</v>
      </c>
      <c r="X518" s="3"/>
      <c r="Y518" s="3"/>
      <c r="Z518" s="3" t="str">
        <f ca="1">IFERROR(__xludf.DUMMYFUNCTION("""COMPUTED_VALUE"""),"podklady@cncenter.cz")</f>
        <v>podklady@cncenter.cz</v>
      </c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 t="str">
        <f ca="1">IFERROR(__xludf.DUMMYFUNCTION("""COMPUTED_VALUE"""),"cross-device")</f>
        <v>cross-device</v>
      </c>
      <c r="AO518" s="3"/>
      <c r="AP518" s="3"/>
      <c r="AQ518" s="3"/>
      <c r="AR518" s="3"/>
      <c r="AS518" s="3"/>
      <c r="AT518" s="3"/>
      <c r="AU518" s="3" t="str">
        <f ca="1">IFERROR(__xludf.DUMMYFUNCTION("""COMPUTED_VALUE"""),"cílený nativní rectangle cross-device")</f>
        <v>cílený nativní rectangle cross-device</v>
      </c>
    </row>
    <row r="519" spans="1:47" x14ac:dyDescent="0.3">
      <c r="A519" s="3">
        <f ca="1"/>
        <v>2346826</v>
      </c>
      <c r="B519" s="3" t="str">
        <f ca="1"/>
        <v>CZECH NEWS CENTER a. s.</v>
      </c>
      <c r="C519" s="3" t="str">
        <f ca="1">IFERROR(__xludf.DUMMYFUNCTION("""COMPUTED_VALUE"""),"Evropa2")</f>
        <v>Evropa2</v>
      </c>
      <c r="D519" s="4" t="str">
        <f ca="1">IFERROR(__xludf.DUMMYFUNCTION("""COMPUTED_VALUE"""),"https://evropa2.cz")</f>
        <v>https://evropa2.cz</v>
      </c>
      <c r="E519" s="3" t="str">
        <f ca="1">IFERROR(__xludf.DUMMYFUNCTION("""COMPUTED_VALUE"""),"celý web")</f>
        <v>celý web</v>
      </c>
      <c r="F519" s="4" t="str">
        <f ca="1">IFERROR(__xludf.DUMMYFUNCTION("""COMPUTED_VALUE"""),"https://evropa2.cz")</f>
        <v>https://evropa2.cz</v>
      </c>
      <c r="G519" s="3" t="str">
        <f ca="1">IFERROR(__xludf.DUMMYFUNCTION("""COMPUTED_VALUE"""),"cílený videospot - max. 30 sec. / bumper high season")</f>
        <v>cílený videospot - max. 30 sec. / bumper high season</v>
      </c>
      <c r="H519" s="3">
        <f ca="1">IFERROR(__xludf.DUMMYFUNCTION("""COMPUTED_VALUE"""),7)</f>
        <v>7</v>
      </c>
      <c r="I519" s="5">
        <f ca="1">IFERROR(__xludf.DUMMYFUNCTION("""COMPUTED_VALUE"""),1000)</f>
        <v>1000</v>
      </c>
      <c r="J519" s="5">
        <f ca="1">IFERROR(__xludf.DUMMYFUNCTION("""COMPUTED_VALUE"""),1608)</f>
        <v>1608</v>
      </c>
      <c r="K519" s="3"/>
      <c r="L519" s="3" t="str">
        <f ca="1">IFERROR(__xludf.DUMMYFUNCTION("""COMPUTED_VALUE"""),"Cost per period")</f>
        <v>Cost per period</v>
      </c>
      <c r="M519" s="3"/>
      <c r="N519" s="3"/>
      <c r="O519" s="3" t="str">
        <f ca="1">IFERROR(__xludf.DUMMYFUNCTION("""COMPUTED_VALUE"""),"1280")</f>
        <v>1280</v>
      </c>
      <c r="P519" s="3" t="str">
        <f ca="1">IFERROR(__xludf.DUMMYFUNCTION("""COMPUTED_VALUE"""),"720")</f>
        <v>720</v>
      </c>
      <c r="Q519" s="3" t="str">
        <f ca="1">IFERROR(__xludf.DUMMYFUNCTION("""COMPUTED_VALUE"""),"16:9 / umístění po domluvě dle možností")</f>
        <v>16:9 / umístění po domluvě dle možností</v>
      </c>
      <c r="R519" s="3" t="str">
        <f ca="1">IFERROR(__xludf.DUMMYFUNCTION("""COMPUTED_VALUE"""),"přeskočení po 7 sekundách")</f>
        <v>přeskočení po 7 sekundách</v>
      </c>
      <c r="S519" s="3" t="str">
        <f ca="1">IFERROR(__xludf.DUMMYFUNCTION("""COMPUTED_VALUE"""),"100")</f>
        <v>100</v>
      </c>
      <c r="T519" s="3"/>
      <c r="U519" s="3" t="str">
        <f ca="1">IFERROR(__xludf.DUMMYFUNCTION("""COMPUTED_VALUE"""),"videospot")</f>
        <v>videospot</v>
      </c>
      <c r="V519" s="3"/>
      <c r="W519" s="4" t="str">
        <f ca="1">IFERROR(__xludf.DUMMYFUNCTION("""COMPUTED_VALUE"""),"https://reklama.cncenter.cz/Online/Bumper")</f>
        <v>https://reklama.cncenter.cz/Online/Bumper</v>
      </c>
      <c r="X519" s="3"/>
      <c r="Y519" s="3"/>
      <c r="Z519" s="3" t="str">
        <f ca="1">IFERROR(__xludf.DUMMYFUNCTION("""COMPUTED_VALUE"""),"podklady@cncenter.cz")</f>
        <v>podklady@cncenter.cz</v>
      </c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 t="str">
        <f ca="1">IFERROR(__xludf.DUMMYFUNCTION("""COMPUTED_VALUE"""),"cross-device")</f>
        <v>cross-device</v>
      </c>
      <c r="AO519" s="3"/>
      <c r="AP519" s="3"/>
      <c r="AQ519" s="3"/>
      <c r="AR519" s="3"/>
      <c r="AS519" s="3"/>
      <c r="AT519" s="3"/>
      <c r="AU519" s="3" t="str">
        <f ca="1">IFERROR(__xludf.DUMMYFUNCTION("""COMPUTED_VALUE"""),"cílený videospot - max. 30 sec. / bumper")</f>
        <v>cílený videospot - max. 30 sec. / bumper</v>
      </c>
    </row>
    <row r="520" spans="1:47" x14ac:dyDescent="0.3">
      <c r="A520" s="3">
        <f ca="1"/>
        <v>2346826</v>
      </c>
      <c r="B520" s="3" t="str">
        <f ca="1"/>
        <v>CZECH NEWS CENTER a. s.</v>
      </c>
      <c r="C520" s="3" t="str">
        <f ca="1">IFERROR(__xludf.DUMMYFUNCTION("""COMPUTED_VALUE"""),"Evropa2")</f>
        <v>Evropa2</v>
      </c>
      <c r="D520" s="4" t="str">
        <f ca="1">IFERROR(__xludf.DUMMYFUNCTION("""COMPUTED_VALUE"""),"https://evropa2.cz")</f>
        <v>https://evropa2.cz</v>
      </c>
      <c r="E520" s="3" t="str">
        <f ca="1">IFERROR(__xludf.DUMMYFUNCTION("""COMPUTED_VALUE"""),"celý web")</f>
        <v>celý web</v>
      </c>
      <c r="F520" s="4" t="str">
        <f ca="1">IFERROR(__xludf.DUMMYFUNCTION("""COMPUTED_VALUE"""),"https://evropa2.cz")</f>
        <v>https://evropa2.cz</v>
      </c>
      <c r="G520" s="3" t="str">
        <f ca="1">IFERROR(__xludf.DUMMYFUNCTION("""COMPUTED_VALUE"""),"double skyscraper high season")</f>
        <v>double skyscraper high season</v>
      </c>
      <c r="H520" s="3">
        <f ca="1">IFERROR(__xludf.DUMMYFUNCTION("""COMPUTED_VALUE"""),7)</f>
        <v>7</v>
      </c>
      <c r="I520" s="5">
        <f ca="1">IFERROR(__xludf.DUMMYFUNCTION("""COMPUTED_VALUE"""),1000)</f>
        <v>1000</v>
      </c>
      <c r="J520" s="5">
        <f ca="1">IFERROR(__xludf.DUMMYFUNCTION("""COMPUTED_VALUE"""),350)</f>
        <v>350</v>
      </c>
      <c r="K520" s="3"/>
      <c r="L520" s="3" t="str">
        <f ca="1">IFERROR(__xludf.DUMMYFUNCTION("""COMPUTED_VALUE"""),"Cost per period")</f>
        <v>Cost per period</v>
      </c>
      <c r="M520" s="3"/>
      <c r="N520" s="3"/>
      <c r="O520" s="3" t="str">
        <f ca="1">IFERROR(__xludf.DUMMYFUNCTION("""COMPUTED_VALUE"""),"300")</f>
        <v>300</v>
      </c>
      <c r="P520" s="3" t="str">
        <f ca="1">IFERROR(__xludf.DUMMYFUNCTION("""COMPUTED_VALUE"""),"600")</f>
        <v>600</v>
      </c>
      <c r="Q520" s="3" t="str">
        <f ca="1">IFERROR(__xludf.DUMMYFUNCTION("""COMPUTED_VALUE"""),"300x600")</f>
        <v>300x600</v>
      </c>
      <c r="R520" s="3"/>
      <c r="S520" s="3" t="str">
        <f ca="1">IFERROR(__xludf.DUMMYFUNCTION("""COMPUTED_VALUE"""),"100 (200 - HTML5)")</f>
        <v>100 (200 - HTML5)</v>
      </c>
      <c r="T520" s="3"/>
      <c r="U520" s="3" t="str">
        <f ca="1">IFERROR(__xludf.DUMMYFUNCTION("""COMPUTED_VALUE"""),"banner standard")</f>
        <v>banner standard</v>
      </c>
      <c r="V520" s="3"/>
      <c r="W520" s="4" t="str">
        <f ca="1">IFERROR(__xludf.DUMMYFUNCTION("""COMPUTED_VALUE"""),"https://reklama.cncenter.cz/Online/double-skyscraper")</f>
        <v>https://reklama.cncenter.cz/Online/double-skyscraper</v>
      </c>
      <c r="X520" s="3"/>
      <c r="Y520" s="3"/>
      <c r="Z520" s="3" t="str">
        <f ca="1">IFERROR(__xludf.DUMMYFUNCTION("""COMPUTED_VALUE"""),"podklady@cncenter.cz")</f>
        <v>podklady@cncenter.cz</v>
      </c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 t="str">
        <f ca="1">IFERROR(__xludf.DUMMYFUNCTION("""COMPUTED_VALUE"""),"desktop")</f>
        <v>desktop</v>
      </c>
      <c r="AO520" s="3"/>
      <c r="AP520" s="3"/>
      <c r="AQ520" s="3"/>
      <c r="AR520" s="3"/>
      <c r="AS520" s="3"/>
      <c r="AT520" s="3"/>
      <c r="AU520" s="3" t="str">
        <f ca="1">IFERROR(__xludf.DUMMYFUNCTION("""COMPUTED_VALUE"""),"double skyscraper")</f>
        <v>double skyscraper</v>
      </c>
    </row>
    <row r="521" spans="1:47" x14ac:dyDescent="0.3">
      <c r="A521" s="3">
        <f ca="1"/>
        <v>2346826</v>
      </c>
      <c r="B521" s="3" t="str">
        <f ca="1"/>
        <v>CZECH NEWS CENTER a. s.</v>
      </c>
      <c r="C521" s="3" t="str">
        <f ca="1">IFERROR(__xludf.DUMMYFUNCTION("""COMPUTED_VALUE"""),"Evropa2")</f>
        <v>Evropa2</v>
      </c>
      <c r="D521" s="4" t="str">
        <f ca="1">IFERROR(__xludf.DUMMYFUNCTION("""COMPUTED_VALUE"""),"https://evropa2.cz")</f>
        <v>https://evropa2.cz</v>
      </c>
      <c r="E521" s="3" t="str">
        <f ca="1">IFERROR(__xludf.DUMMYFUNCTION("""COMPUTED_VALUE"""),"celý web")</f>
        <v>celý web</v>
      </c>
      <c r="F521" s="4" t="str">
        <f ca="1">IFERROR(__xludf.DUMMYFUNCTION("""COMPUTED_VALUE"""),"https://evropa2.cz")</f>
        <v>https://evropa2.cz</v>
      </c>
      <c r="G521" s="3" t="str">
        <f ca="1">IFERROR(__xludf.DUMMYFUNCTION("""COMPUTED_VALUE"""),"mini videospot - max. 30 sec. high season")</f>
        <v>mini videospot - max. 30 sec. high season</v>
      </c>
      <c r="H521" s="3">
        <f ca="1">IFERROR(__xludf.DUMMYFUNCTION("""COMPUTED_VALUE"""),7)</f>
        <v>7</v>
      </c>
      <c r="I521" s="5">
        <f ca="1">IFERROR(__xludf.DUMMYFUNCTION("""COMPUTED_VALUE"""),1000)</f>
        <v>1000</v>
      </c>
      <c r="J521" s="5">
        <f ca="1">IFERROR(__xludf.DUMMYFUNCTION("""COMPUTED_VALUE"""),260)</f>
        <v>260</v>
      </c>
      <c r="K521" s="3"/>
      <c r="L521" s="3" t="str">
        <f ca="1">IFERROR(__xludf.DUMMYFUNCTION("""COMPUTED_VALUE"""),"Cost per period")</f>
        <v>Cost per period</v>
      </c>
      <c r="M521" s="3"/>
      <c r="N521" s="3"/>
      <c r="O521" s="3"/>
      <c r="P521" s="3"/>
      <c r="Q521" s="3" t="str">
        <f ca="1">IFERROR(__xludf.DUMMYFUNCTION("""COMPUTED_VALUE"""),"16:9 / umístění po domluvě dle možností")</f>
        <v>16:9 / umístění po domluvě dle možností</v>
      </c>
      <c r="R521" s="3" t="str">
        <f ca="1">IFERROR(__xludf.DUMMYFUNCTION("""COMPUTED_VALUE"""),"přeskočení po 7 sekundách")</f>
        <v>přeskočení po 7 sekundách</v>
      </c>
      <c r="S521" s="3" t="str">
        <f ca="1">IFERROR(__xludf.DUMMYFUNCTION("""COMPUTED_VALUE"""),"100")</f>
        <v>100</v>
      </c>
      <c r="T521" s="3"/>
      <c r="U521" s="3" t="str">
        <f ca="1">IFERROR(__xludf.DUMMYFUNCTION("""COMPUTED_VALUE"""),"videospot")</f>
        <v>videospot</v>
      </c>
      <c r="V521" s="3"/>
      <c r="W521" s="4" t="str">
        <f ca="1">IFERROR(__xludf.DUMMYFUNCTION("""COMPUTED_VALUE"""),"https://reklama.cncenter.cz/Online/Videospot")</f>
        <v>https://reklama.cncenter.cz/Online/Videospot</v>
      </c>
      <c r="X521" s="3"/>
      <c r="Y521" s="3"/>
      <c r="Z521" s="3" t="str">
        <f ca="1">IFERROR(__xludf.DUMMYFUNCTION("""COMPUTED_VALUE"""),"podklady@cncenter.cz")</f>
        <v>podklady@cncenter.cz</v>
      </c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 t="str">
        <f ca="1">IFERROR(__xludf.DUMMYFUNCTION("""COMPUTED_VALUE"""),"desktop")</f>
        <v>desktop</v>
      </c>
      <c r="AO521" s="3"/>
      <c r="AP521" s="3"/>
      <c r="AQ521" s="3"/>
      <c r="AR521" s="3"/>
      <c r="AS521" s="3"/>
      <c r="AT521" s="3"/>
      <c r="AU521" s="3" t="str">
        <f ca="1">IFERROR(__xludf.DUMMYFUNCTION("""COMPUTED_VALUE"""),"mini videospot - max. 30 sec.")</f>
        <v>mini videospot - max. 30 sec.</v>
      </c>
    </row>
    <row r="522" spans="1:47" x14ac:dyDescent="0.3">
      <c r="A522" s="3">
        <f ca="1"/>
        <v>2346826</v>
      </c>
      <c r="B522" s="3" t="str">
        <f ca="1"/>
        <v>CZECH NEWS CENTER a. s.</v>
      </c>
      <c r="C522" s="3" t="str">
        <f ca="1">IFERROR(__xludf.DUMMYFUNCTION("""COMPUTED_VALUE"""),"Evropa2")</f>
        <v>Evropa2</v>
      </c>
      <c r="D522" s="4" t="str">
        <f ca="1">IFERROR(__xludf.DUMMYFUNCTION("""COMPUTED_VALUE"""),"https://evropa2.cz")</f>
        <v>https://evropa2.cz</v>
      </c>
      <c r="E522" s="3" t="str">
        <f ca="1">IFERROR(__xludf.DUMMYFUNCTION("""COMPUTED_VALUE"""),"celý web")</f>
        <v>celý web</v>
      </c>
      <c r="F522" s="4" t="str">
        <f ca="1">IFERROR(__xludf.DUMMYFUNCTION("""COMPUTED_VALUE"""),"https://evropa2.cz")</f>
        <v>https://evropa2.cz</v>
      </c>
      <c r="G522" s="3" t="str">
        <f ca="1">IFERROR(__xludf.DUMMYFUNCTION("""COMPUTED_VALUE"""),"mobilní interscroller high season")</f>
        <v>mobilní interscroller high season</v>
      </c>
      <c r="H522" s="3">
        <f ca="1">IFERROR(__xludf.DUMMYFUNCTION("""COMPUTED_VALUE"""),7)</f>
        <v>7</v>
      </c>
      <c r="I522" s="5">
        <f ca="1">IFERROR(__xludf.DUMMYFUNCTION("""COMPUTED_VALUE"""),1000)</f>
        <v>1000</v>
      </c>
      <c r="J522" s="5">
        <f ca="1">IFERROR(__xludf.DUMMYFUNCTION("""COMPUTED_VALUE"""),450)</f>
        <v>450</v>
      </c>
      <c r="K522" s="3"/>
      <c r="L522" s="3" t="str">
        <f ca="1">IFERROR(__xludf.DUMMYFUNCTION("""COMPUTED_VALUE"""),"Cost per period")</f>
        <v>Cost per period</v>
      </c>
      <c r="M522" s="3"/>
      <c r="N522" s="3"/>
      <c r="O522" s="3" t="str">
        <f ca="1">IFERROR(__xludf.DUMMYFUNCTION("""COMPUTED_VALUE"""),"600")</f>
        <v>600</v>
      </c>
      <c r="P522" s="3" t="str">
        <f ca="1">IFERROR(__xludf.DUMMYFUNCTION("""COMPUTED_VALUE"""),"1080")</f>
        <v>1080</v>
      </c>
      <c r="Q522" s="3" t="str">
        <f ca="1">IFERROR(__xludf.DUMMYFUNCTION("""COMPUTED_VALUE"""),"600x1080")</f>
        <v>600x1080</v>
      </c>
      <c r="R522" s="3"/>
      <c r="S522" s="3" t="str">
        <f ca="1">IFERROR(__xludf.DUMMYFUNCTION("""COMPUTED_VALUE"""),"200")</f>
        <v>200</v>
      </c>
      <c r="T522" s="3"/>
      <c r="U522" s="3" t="str">
        <f ca="1">IFERROR(__xludf.DUMMYFUNCTION("""COMPUTED_VALUE"""),"banner standard")</f>
        <v>banner standard</v>
      </c>
      <c r="V522" s="3"/>
      <c r="W522" s="4" t="str">
        <f ca="1">IFERROR(__xludf.DUMMYFUNCTION("""COMPUTED_VALUE"""),"https://reklama.cncenter.cz/Online/mobilni-interscroller")</f>
        <v>https://reklama.cncenter.cz/Online/mobilni-interscroller</v>
      </c>
      <c r="X522" s="3"/>
      <c r="Y522" s="3"/>
      <c r="Z522" s="3" t="str">
        <f ca="1">IFERROR(__xludf.DUMMYFUNCTION("""COMPUTED_VALUE"""),"podklady@cncenter.cz")</f>
        <v>podklady@cncenter.cz</v>
      </c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 t="str">
        <f ca="1">IFERROR(__xludf.DUMMYFUNCTION("""COMPUTED_VALUE"""),"mobile")</f>
        <v>mobile</v>
      </c>
      <c r="AO522" s="3"/>
      <c r="AP522" s="3"/>
      <c r="AQ522" s="3"/>
      <c r="AR522" s="3"/>
      <c r="AS522" s="3"/>
      <c r="AT522" s="3"/>
      <c r="AU522" s="3" t="str">
        <f ca="1">IFERROR(__xludf.DUMMYFUNCTION("""COMPUTED_VALUE"""),"mobilní interscroller")</f>
        <v>mobilní interscroller</v>
      </c>
    </row>
    <row r="523" spans="1:47" x14ac:dyDescent="0.3">
      <c r="A523" s="3">
        <f ca="1"/>
        <v>2346826</v>
      </c>
      <c r="B523" s="3" t="str">
        <f ca="1"/>
        <v>CZECH NEWS CENTER a. s.</v>
      </c>
      <c r="C523" s="3" t="str">
        <f ca="1">IFERROR(__xludf.DUMMYFUNCTION("""COMPUTED_VALUE"""),"Evropa2")</f>
        <v>Evropa2</v>
      </c>
      <c r="D523" s="4" t="str">
        <f ca="1">IFERROR(__xludf.DUMMYFUNCTION("""COMPUTED_VALUE"""),"https://evropa2.cz")</f>
        <v>https://evropa2.cz</v>
      </c>
      <c r="E523" s="3" t="str">
        <f ca="1">IFERROR(__xludf.DUMMYFUNCTION("""COMPUTED_VALUE"""),"celý web")</f>
        <v>celý web</v>
      </c>
      <c r="F523" s="4" t="str">
        <f ca="1">IFERROR(__xludf.DUMMYFUNCTION("""COMPUTED_VALUE"""),"https://evropa2.cz")</f>
        <v>https://evropa2.cz</v>
      </c>
      <c r="G523" s="3" t="str">
        <f ca="1">IFERROR(__xludf.DUMMYFUNCTION("""COMPUTED_VALUE"""),"mobilní slide-up high season")</f>
        <v>mobilní slide-up high season</v>
      </c>
      <c r="H523" s="3">
        <f ca="1">IFERROR(__xludf.DUMMYFUNCTION("""COMPUTED_VALUE"""),7)</f>
        <v>7</v>
      </c>
      <c r="I523" s="5">
        <f ca="1">IFERROR(__xludf.DUMMYFUNCTION("""COMPUTED_VALUE"""),1000)</f>
        <v>1000</v>
      </c>
      <c r="J523" s="5">
        <f ca="1">IFERROR(__xludf.DUMMYFUNCTION("""COMPUTED_VALUE"""),920)</f>
        <v>920</v>
      </c>
      <c r="K523" s="3"/>
      <c r="L523" s="3" t="str">
        <f ca="1">IFERROR(__xludf.DUMMYFUNCTION("""COMPUTED_VALUE"""),"Cost per period")</f>
        <v>Cost per period</v>
      </c>
      <c r="M523" s="3"/>
      <c r="N523" s="3"/>
      <c r="O523" s="3" t="str">
        <f ca="1">IFERROR(__xludf.DUMMYFUNCTION("""COMPUTED_VALUE"""),"300")</f>
        <v>300</v>
      </c>
      <c r="P523" s="3" t="str">
        <f ca="1">IFERROR(__xludf.DUMMYFUNCTION("""COMPUTED_VALUE"""),"120")</f>
        <v>120</v>
      </c>
      <c r="Q523" s="3" t="str">
        <f ca="1">IFERROR(__xludf.DUMMYFUNCTION("""COMPUTED_VALUE"""),"300x120")</f>
        <v>300x120</v>
      </c>
      <c r="R523" s="3"/>
      <c r="S523" s="3" t="str">
        <f ca="1">IFERROR(__xludf.DUMMYFUNCTION("""COMPUTED_VALUE"""),"100")</f>
        <v>100</v>
      </c>
      <c r="T523" s="3"/>
      <c r="U523" s="3" t="str">
        <f ca="1">IFERROR(__xludf.DUMMYFUNCTION("""COMPUTED_VALUE"""),"banner standard")</f>
        <v>banner standard</v>
      </c>
      <c r="V523" s="3"/>
      <c r="W523" s="4" t="str">
        <f ca="1">IFERROR(__xludf.DUMMYFUNCTION("""COMPUTED_VALUE"""),"https://reklama.cncenter.cz/Online/mobilni-slide-up")</f>
        <v>https://reklama.cncenter.cz/Online/mobilni-slide-up</v>
      </c>
      <c r="X523" s="3"/>
      <c r="Y523" s="3"/>
      <c r="Z523" s="3" t="str">
        <f ca="1">IFERROR(__xludf.DUMMYFUNCTION("""COMPUTED_VALUE"""),"podklady@cncenter.cz")</f>
        <v>podklady@cncenter.cz</v>
      </c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 t="str">
        <f ca="1">IFERROR(__xludf.DUMMYFUNCTION("""COMPUTED_VALUE"""),"mobile")</f>
        <v>mobile</v>
      </c>
      <c r="AO523" s="3"/>
      <c r="AP523" s="3"/>
      <c r="AQ523" s="3"/>
      <c r="AR523" s="3"/>
      <c r="AS523" s="3"/>
      <c r="AT523" s="3"/>
      <c r="AU523" s="3" t="str">
        <f ca="1">IFERROR(__xludf.DUMMYFUNCTION("""COMPUTED_VALUE"""),"mobilní slide-up")</f>
        <v>mobilní slide-up</v>
      </c>
    </row>
    <row r="524" spans="1:47" x14ac:dyDescent="0.3">
      <c r="A524" s="3">
        <f ca="1"/>
        <v>2346826</v>
      </c>
      <c r="B524" s="3" t="str">
        <f ca="1"/>
        <v>CZECH NEWS CENTER a. s.</v>
      </c>
      <c r="C524" s="3" t="str">
        <f ca="1">IFERROR(__xludf.DUMMYFUNCTION("""COMPUTED_VALUE"""),"Evropa2")</f>
        <v>Evropa2</v>
      </c>
      <c r="D524" s="4" t="str">
        <f ca="1">IFERROR(__xludf.DUMMYFUNCTION("""COMPUTED_VALUE"""),"https://evropa2.cz")</f>
        <v>https://evropa2.cz</v>
      </c>
      <c r="E524" s="3" t="str">
        <f ca="1">IFERROR(__xludf.DUMMYFUNCTION("""COMPUTED_VALUE"""),"celý web")</f>
        <v>celý web</v>
      </c>
      <c r="F524" s="4" t="str">
        <f ca="1">IFERROR(__xludf.DUMMYFUNCTION("""COMPUTED_VALUE"""),"https://evropa2.cz")</f>
        <v>https://evropa2.cz</v>
      </c>
      <c r="G524" s="3" t="str">
        <f ca="1">IFERROR(__xludf.DUMMYFUNCTION("""COMPUTED_VALUE"""),"mobilní viněta high season")</f>
        <v>mobilní viněta high season</v>
      </c>
      <c r="H524" s="3">
        <f ca="1">IFERROR(__xludf.DUMMYFUNCTION("""COMPUTED_VALUE"""),7)</f>
        <v>7</v>
      </c>
      <c r="I524" s="5">
        <f ca="1">IFERROR(__xludf.DUMMYFUNCTION("""COMPUTED_VALUE"""),1000)</f>
        <v>1000</v>
      </c>
      <c r="J524" s="5">
        <f ca="1">IFERROR(__xludf.DUMMYFUNCTION("""COMPUTED_VALUE"""),1590)</f>
        <v>1590</v>
      </c>
      <c r="K524" s="3"/>
      <c r="L524" s="3" t="str">
        <f ca="1">IFERROR(__xludf.DUMMYFUNCTION("""COMPUTED_VALUE"""),"Cost per period")</f>
        <v>Cost per period</v>
      </c>
      <c r="M524" s="3"/>
      <c r="N524" s="3"/>
      <c r="O524" s="3" t="str">
        <f ca="1">IFERROR(__xludf.DUMMYFUNCTION("""COMPUTED_VALUE"""),"600")</f>
        <v>600</v>
      </c>
      <c r="P524" s="3" t="str">
        <f ca="1">IFERROR(__xludf.DUMMYFUNCTION("""COMPUTED_VALUE"""),"800")</f>
        <v>800</v>
      </c>
      <c r="Q524" s="3" t="str">
        <f ca="1">IFERROR(__xludf.DUMMYFUNCTION("""COMPUTED_VALUE"""),"300x250 nebo 600x800")</f>
        <v>300x250 nebo 600x800</v>
      </c>
      <c r="R524" s="3"/>
      <c r="S524" s="3" t="str">
        <f ca="1">IFERROR(__xludf.DUMMYFUNCTION("""COMPUTED_VALUE"""),"100")</f>
        <v>100</v>
      </c>
      <c r="T524" s="3"/>
      <c r="U524" s="3" t="str">
        <f ca="1">IFERROR(__xludf.DUMMYFUNCTION("""COMPUTED_VALUE"""),"banner standard")</f>
        <v>banner standard</v>
      </c>
      <c r="V524" s="3"/>
      <c r="W524" s="4" t="str">
        <f ca="1">IFERROR(__xludf.DUMMYFUNCTION("""COMPUTED_VALUE"""),"https://reklama.cncenter.cz/Online/mobilni-vineta")</f>
        <v>https://reklama.cncenter.cz/Online/mobilni-vineta</v>
      </c>
      <c r="X524" s="3"/>
      <c r="Y524" s="3"/>
      <c r="Z524" s="3" t="str">
        <f ca="1">IFERROR(__xludf.DUMMYFUNCTION("""COMPUTED_VALUE"""),"podklady@cncenter.cz")</f>
        <v>podklady@cncenter.cz</v>
      </c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 t="str">
        <f ca="1">IFERROR(__xludf.DUMMYFUNCTION("""COMPUTED_VALUE"""),"mobile")</f>
        <v>mobile</v>
      </c>
      <c r="AO524" s="3"/>
      <c r="AP524" s="3"/>
      <c r="AQ524" s="3"/>
      <c r="AR524" s="3"/>
      <c r="AS524" s="3"/>
      <c r="AT524" s="3"/>
      <c r="AU524" s="3" t="str">
        <f ca="1">IFERROR(__xludf.DUMMYFUNCTION("""COMPUTED_VALUE"""),"mobilní viněta")</f>
        <v>mobilní viněta</v>
      </c>
    </row>
    <row r="525" spans="1:47" x14ac:dyDescent="0.3">
      <c r="A525" s="3">
        <f ca="1"/>
        <v>2346826</v>
      </c>
      <c r="B525" s="3" t="str">
        <f ca="1"/>
        <v>CZECH NEWS CENTER a. s.</v>
      </c>
      <c r="C525" s="3" t="str">
        <f ca="1">IFERROR(__xludf.DUMMYFUNCTION("""COMPUTED_VALUE"""),"Evropa2")</f>
        <v>Evropa2</v>
      </c>
      <c r="D525" s="4" t="str">
        <f ca="1">IFERROR(__xludf.DUMMYFUNCTION("""COMPUTED_VALUE"""),"https://evropa2.cz")</f>
        <v>https://evropa2.cz</v>
      </c>
      <c r="E525" s="3" t="str">
        <f ca="1">IFERROR(__xludf.DUMMYFUNCTION("""COMPUTED_VALUE"""),"celý web")</f>
        <v>celý web</v>
      </c>
      <c r="F525" s="4" t="str">
        <f ca="1">IFERROR(__xludf.DUMMYFUNCTION("""COMPUTED_VALUE"""),"https://evropa2.cz")</f>
        <v>https://evropa2.cz</v>
      </c>
      <c r="G525" s="3" t="str">
        <f ca="1">IFERROR(__xludf.DUMMYFUNCTION("""COMPUTED_VALUE"""),"nativní rectangle cross-device high season")</f>
        <v>nativní rectangle cross-device high season</v>
      </c>
      <c r="H525" s="3">
        <f ca="1">IFERROR(__xludf.DUMMYFUNCTION("""COMPUTED_VALUE"""),7)</f>
        <v>7</v>
      </c>
      <c r="I525" s="5">
        <f ca="1">IFERROR(__xludf.DUMMYFUNCTION("""COMPUTED_VALUE"""),1000)</f>
        <v>1000</v>
      </c>
      <c r="J525" s="5">
        <f ca="1">IFERROR(__xludf.DUMMYFUNCTION("""COMPUTED_VALUE"""),360)</f>
        <v>360</v>
      </c>
      <c r="K525" s="3"/>
      <c r="L525" s="3" t="str">
        <f ca="1">IFERROR(__xludf.DUMMYFUNCTION("""COMPUTED_VALUE"""),"Cost per period")</f>
        <v>Cost per period</v>
      </c>
      <c r="M525" s="3"/>
      <c r="N525" s="3"/>
      <c r="O525" s="3" t="str">
        <f ca="1">IFERROR(__xludf.DUMMYFUNCTION("""COMPUTED_VALUE"""),"640")</f>
        <v>640</v>
      </c>
      <c r="P525" s="3" t="str">
        <f ca="1">IFERROR(__xludf.DUMMYFUNCTION("""COMPUTED_VALUE"""),"335, 640")</f>
        <v>335, 640</v>
      </c>
      <c r="Q525" s="3" t="str">
        <f ca="1">IFERROR(__xludf.DUMMYFUNCTION("""COMPUTED_VALUE"""),"640x640 a 640x335 + text + logo")</f>
        <v>640x640 a 640x335 + text + logo</v>
      </c>
      <c r="R525" s="3"/>
      <c r="S525" s="3" t="str">
        <f ca="1">IFERROR(__xludf.DUMMYFUNCTION("""COMPUTED_VALUE"""),"45")</f>
        <v>45</v>
      </c>
      <c r="T525" s="3"/>
      <c r="U525" s="3" t="str">
        <f ca="1">IFERROR(__xludf.DUMMYFUNCTION("""COMPUTED_VALUE"""),"nativní reklama")</f>
        <v>nativní reklama</v>
      </c>
      <c r="V525" s="3"/>
      <c r="W525" s="4" t="str">
        <f ca="1">IFERROR(__xludf.DUMMYFUNCTION("""COMPUTED_VALUE"""),"https://reklama.cncenter.cz/Online/nativni-rectangle-cross-device")</f>
        <v>https://reklama.cncenter.cz/Online/nativni-rectangle-cross-device</v>
      </c>
      <c r="X525" s="3"/>
      <c r="Y525" s="3"/>
      <c r="Z525" s="3" t="str">
        <f ca="1">IFERROR(__xludf.DUMMYFUNCTION("""COMPUTED_VALUE"""),"podklady@cncenter.cz")</f>
        <v>podklady@cncenter.cz</v>
      </c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 t="str">
        <f ca="1">IFERROR(__xludf.DUMMYFUNCTION("""COMPUTED_VALUE"""),"cross-device")</f>
        <v>cross-device</v>
      </c>
      <c r="AO525" s="3"/>
      <c r="AP525" s="3"/>
      <c r="AQ525" s="3"/>
      <c r="AR525" s="3"/>
      <c r="AS525" s="3"/>
      <c r="AT525" s="3"/>
      <c r="AU525" s="3" t="str">
        <f ca="1">IFERROR(__xludf.DUMMYFUNCTION("""COMPUTED_VALUE"""),"nativní rectangle cross-device")</f>
        <v>nativní rectangle cross-device</v>
      </c>
    </row>
    <row r="526" spans="1:47" x14ac:dyDescent="0.3">
      <c r="A526" s="3">
        <f ca="1"/>
        <v>2346826</v>
      </c>
      <c r="B526" s="3" t="str">
        <f ca="1"/>
        <v>CZECH NEWS CENTER a. s.</v>
      </c>
      <c r="C526" s="3" t="str">
        <f ca="1">IFERROR(__xludf.DUMMYFUNCTION("""COMPUTED_VALUE"""),"Evropa2")</f>
        <v>Evropa2</v>
      </c>
      <c r="D526" s="4" t="str">
        <f ca="1">IFERROR(__xludf.DUMMYFUNCTION("""COMPUTED_VALUE"""),"https://evropa2.cz")</f>
        <v>https://evropa2.cz</v>
      </c>
      <c r="E526" s="3" t="str">
        <f ca="1">IFERROR(__xludf.DUMMYFUNCTION("""COMPUTED_VALUE"""),"celý web")</f>
        <v>celý web</v>
      </c>
      <c r="F526" s="4" t="str">
        <f ca="1">IFERROR(__xludf.DUMMYFUNCTION("""COMPUTED_VALUE"""),"https://evropa2.cz")</f>
        <v>https://evropa2.cz</v>
      </c>
      <c r="G526" s="3" t="str">
        <f ca="1">IFERROR(__xludf.DUMMYFUNCTION("""COMPUTED_VALUE"""),"videospot - max. 30 sec. / bumper high season")</f>
        <v>videospot - max. 30 sec. / bumper high season</v>
      </c>
      <c r="H526" s="3">
        <f ca="1">IFERROR(__xludf.DUMMYFUNCTION("""COMPUTED_VALUE"""),7)</f>
        <v>7</v>
      </c>
      <c r="I526" s="5">
        <f ca="1">IFERROR(__xludf.DUMMYFUNCTION("""COMPUTED_VALUE"""),1000)</f>
        <v>1000</v>
      </c>
      <c r="J526" s="5">
        <f ca="1">IFERROR(__xludf.DUMMYFUNCTION("""COMPUTED_VALUE"""),1340)</f>
        <v>1340</v>
      </c>
      <c r="K526" s="3"/>
      <c r="L526" s="3" t="str">
        <f ca="1">IFERROR(__xludf.DUMMYFUNCTION("""COMPUTED_VALUE"""),"Cost per period")</f>
        <v>Cost per period</v>
      </c>
      <c r="M526" s="3"/>
      <c r="N526" s="3"/>
      <c r="O526" s="3" t="str">
        <f ca="1">IFERROR(__xludf.DUMMYFUNCTION("""COMPUTED_VALUE"""),"1280")</f>
        <v>1280</v>
      </c>
      <c r="P526" s="3" t="str">
        <f ca="1">IFERROR(__xludf.DUMMYFUNCTION("""COMPUTED_VALUE"""),"720")</f>
        <v>720</v>
      </c>
      <c r="Q526" s="3" t="str">
        <f ca="1">IFERROR(__xludf.DUMMYFUNCTION("""COMPUTED_VALUE"""),"16:9 / umístění po domluvě dle možností")</f>
        <v>16:9 / umístění po domluvě dle možností</v>
      </c>
      <c r="R526" s="3" t="str">
        <f ca="1">IFERROR(__xludf.DUMMYFUNCTION("""COMPUTED_VALUE"""),"přeskočení po 7 sekundách")</f>
        <v>přeskočení po 7 sekundách</v>
      </c>
      <c r="S526" s="3" t="str">
        <f ca="1">IFERROR(__xludf.DUMMYFUNCTION("""COMPUTED_VALUE"""),"100")</f>
        <v>100</v>
      </c>
      <c r="T526" s="3"/>
      <c r="U526" s="3" t="str">
        <f ca="1">IFERROR(__xludf.DUMMYFUNCTION("""COMPUTED_VALUE"""),"videospot")</f>
        <v>videospot</v>
      </c>
      <c r="V526" s="3"/>
      <c r="W526" s="4" t="str">
        <f ca="1">IFERROR(__xludf.DUMMYFUNCTION("""COMPUTED_VALUE"""),"https://reklama.cncenter.cz/Online/Bumper")</f>
        <v>https://reklama.cncenter.cz/Online/Bumper</v>
      </c>
      <c r="X526" s="3"/>
      <c r="Y526" s="3"/>
      <c r="Z526" s="3" t="str">
        <f ca="1">IFERROR(__xludf.DUMMYFUNCTION("""COMPUTED_VALUE"""),"podklady@cncenter.cz")</f>
        <v>podklady@cncenter.cz</v>
      </c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 t="str">
        <f ca="1">IFERROR(__xludf.DUMMYFUNCTION("""COMPUTED_VALUE"""),"cross-device")</f>
        <v>cross-device</v>
      </c>
      <c r="AO526" s="3"/>
      <c r="AP526" s="3"/>
      <c r="AQ526" s="3"/>
      <c r="AR526" s="3"/>
      <c r="AS526" s="3"/>
      <c r="AT526" s="3"/>
      <c r="AU526" s="3" t="str">
        <f ca="1">IFERROR(__xludf.DUMMYFUNCTION("""COMPUTED_VALUE"""),"videospot - max. 30 sec. / bumper")</f>
        <v>videospot - max. 30 sec. / bumper</v>
      </c>
    </row>
    <row r="527" spans="1:47" x14ac:dyDescent="0.3">
      <c r="A527" s="3">
        <f ca="1"/>
        <v>2346826</v>
      </c>
      <c r="B527" s="3" t="str">
        <f ca="1"/>
        <v>CZECH NEWS CENTER a. s.</v>
      </c>
      <c r="C527" s="3" t="str">
        <f ca="1">IFERROR(__xludf.DUMMYFUNCTION("""COMPUTED_VALUE"""),"F1 sport")</f>
        <v>F1 sport</v>
      </c>
      <c r="D527" s="4" t="str">
        <f ca="1">IFERROR(__xludf.DUMMYFUNCTION("""COMPUTED_VALUE"""),"https://f1sport.auto.cz")</f>
        <v>https://f1sport.auto.cz</v>
      </c>
      <c r="E527" s="3" t="str">
        <f ca="1">IFERROR(__xludf.DUMMYFUNCTION("""COMPUTED_VALUE"""),"celý web")</f>
        <v>celý web</v>
      </c>
      <c r="F527" s="4" t="str">
        <f ca="1">IFERROR(__xludf.DUMMYFUNCTION("""COMPUTED_VALUE"""),"https://f1sport.auto.cz")</f>
        <v>https://f1sport.auto.cz</v>
      </c>
      <c r="G527" s="3" t="str">
        <f ca="1">IFERROR(__xludf.DUMMYFUNCTION("""COMPUTED_VALUE"""),"Advertorial high season")</f>
        <v>Advertorial high season</v>
      </c>
      <c r="H527" s="3">
        <f ca="1">IFERROR(__xludf.DUMMYFUNCTION("""COMPUTED_VALUE"""),1)</f>
        <v>1</v>
      </c>
      <c r="I527" s="5">
        <f ca="1">IFERROR(__xludf.DUMMYFUNCTION("""COMPUTED_VALUE"""),1)</f>
        <v>1</v>
      </c>
      <c r="J527" s="5">
        <f ca="1">IFERROR(__xludf.DUMMYFUNCTION("""COMPUTED_VALUE"""),90000)</f>
        <v>90000</v>
      </c>
      <c r="K527" s="3"/>
      <c r="L527" s="3" t="str">
        <f ca="1">IFERROR(__xludf.DUMMYFUNCTION("""COMPUTED_VALUE"""),"Cost per instance")</f>
        <v>Cost per instance</v>
      </c>
      <c r="M527" s="3"/>
      <c r="N527" s="3"/>
      <c r="O527" s="3"/>
      <c r="P527" s="3"/>
      <c r="Q527" s="3"/>
      <c r="R527" s="3"/>
      <c r="S527" s="3" t="str">
        <f ca="1">IFERROR(__xludf.DUMMYFUNCTION("""COMPUTED_VALUE"""),"100")</f>
        <v>100</v>
      </c>
      <c r="T527" s="3"/>
      <c r="U527" s="3" t="str">
        <f ca="1">IFERROR(__xludf.DUMMYFUNCTION("""COMPUTED_VALUE"""),"pr článek")</f>
        <v>pr článek</v>
      </c>
      <c r="V527" s="3"/>
      <c r="W527" s="3"/>
      <c r="X527" s="3"/>
      <c r="Y527" s="3"/>
      <c r="Z527" s="3" t="str">
        <f ca="1">IFERROR(__xludf.DUMMYFUNCTION("""COMPUTED_VALUE"""),"podklady@cncenter.cz")</f>
        <v>podklady@cncenter.cz</v>
      </c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 t="str">
        <f ca="1">IFERROR(__xludf.DUMMYFUNCTION("""COMPUTED_VALUE"""),"cross-device")</f>
        <v>cross-device</v>
      </c>
      <c r="AO527" s="3"/>
      <c r="AP527" s="3"/>
      <c r="AQ527" s="3"/>
      <c r="AR527" s="3"/>
      <c r="AS527" s="3"/>
      <c r="AT527" s="3"/>
      <c r="AU527" s="3" t="str">
        <f ca="1">IFERROR(__xludf.DUMMYFUNCTION("""COMPUTED_VALUE"""),"Advertorial")</f>
        <v>Advertorial</v>
      </c>
    </row>
    <row r="528" spans="1:47" x14ac:dyDescent="0.3">
      <c r="A528" s="3">
        <f ca="1"/>
        <v>2346826</v>
      </c>
      <c r="B528" s="3" t="str">
        <f ca="1"/>
        <v>CZECH NEWS CENTER a. s.</v>
      </c>
      <c r="C528" s="3" t="str">
        <f ca="1">IFERROR(__xludf.DUMMYFUNCTION("""COMPUTED_VALUE"""),"F1 sport")</f>
        <v>F1 sport</v>
      </c>
      <c r="D528" s="4" t="str">
        <f ca="1">IFERROR(__xludf.DUMMYFUNCTION("""COMPUTED_VALUE"""),"https://f1sport.auto.cz")</f>
        <v>https://f1sport.auto.cz</v>
      </c>
      <c r="E528" s="3" t="str">
        <f ca="1">IFERROR(__xludf.DUMMYFUNCTION("""COMPUTED_VALUE"""),"celý web")</f>
        <v>celý web</v>
      </c>
      <c r="F528" s="4" t="str">
        <f ca="1">IFERROR(__xludf.DUMMYFUNCTION("""COMPUTED_VALUE"""),"https://f1sport.auto.cz")</f>
        <v>https://f1sport.auto.cz</v>
      </c>
      <c r="G528" s="3" t="str">
        <f ca="1">IFERROR(__xludf.DUMMYFUNCTION("""COMPUTED_VALUE"""),"billboard bottom high season")</f>
        <v>billboard bottom high season</v>
      </c>
      <c r="H528" s="3">
        <f ca="1">IFERROR(__xludf.DUMMYFUNCTION("""COMPUTED_VALUE"""),7)</f>
        <v>7</v>
      </c>
      <c r="I528" s="5">
        <f ca="1">IFERROR(__xludf.DUMMYFUNCTION("""COMPUTED_VALUE"""),1000)</f>
        <v>1000</v>
      </c>
      <c r="J528" s="5">
        <f ca="1">IFERROR(__xludf.DUMMYFUNCTION("""COMPUTED_VALUE"""),440)</f>
        <v>440</v>
      </c>
      <c r="K528" s="3"/>
      <c r="L528" s="3" t="str">
        <f ca="1">IFERROR(__xludf.DUMMYFUNCTION("""COMPUTED_VALUE"""),"Cost per period")</f>
        <v>Cost per period</v>
      </c>
      <c r="M528" s="3"/>
      <c r="N528" s="3"/>
      <c r="O528" s="3" t="str">
        <f ca="1">IFERROR(__xludf.DUMMYFUNCTION("""COMPUTED_VALUE"""),"970")</f>
        <v>970</v>
      </c>
      <c r="P528" s="3" t="str">
        <f ca="1">IFERROR(__xludf.DUMMYFUNCTION("""COMPUTED_VALUE"""),"250")</f>
        <v>250</v>
      </c>
      <c r="Q528" s="3" t="str">
        <f ca="1">IFERROR(__xludf.DUMMYFUNCTION("""COMPUTED_VALUE"""),"970x250")</f>
        <v>970x250</v>
      </c>
      <c r="R528" s="3"/>
      <c r="S528" s="3" t="str">
        <f ca="1">IFERROR(__xludf.DUMMYFUNCTION("""COMPUTED_VALUE"""),"100 (200 - HTML5)")</f>
        <v>100 (200 - HTML5)</v>
      </c>
      <c r="T528" s="3"/>
      <c r="U528" s="3" t="str">
        <f ca="1">IFERROR(__xludf.DUMMYFUNCTION("""COMPUTED_VALUE"""),"banner standard")</f>
        <v>banner standard</v>
      </c>
      <c r="V528" s="3"/>
      <c r="W528" s="4" t="str">
        <f ca="1">IFERROR(__xludf.DUMMYFUNCTION("""COMPUTED_VALUE"""),"https://reklama.cncenter.cz/Online/billboard-bottom")</f>
        <v>https://reklama.cncenter.cz/Online/billboard-bottom</v>
      </c>
      <c r="X528" s="3"/>
      <c r="Y528" s="3"/>
      <c r="Z528" s="3" t="str">
        <f ca="1">IFERROR(__xludf.DUMMYFUNCTION("""COMPUTED_VALUE"""),"podklady@cncenter.cz")</f>
        <v>podklady@cncenter.cz</v>
      </c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 t="str">
        <f ca="1">IFERROR(__xludf.DUMMYFUNCTION("""COMPUTED_VALUE"""),"desktop")</f>
        <v>desktop</v>
      </c>
      <c r="AO528" s="3"/>
      <c r="AP528" s="3"/>
      <c r="AQ528" s="3"/>
      <c r="AR528" s="3"/>
      <c r="AS528" s="3"/>
      <c r="AT528" s="3"/>
      <c r="AU528" s="3" t="str">
        <f ca="1">IFERROR(__xludf.DUMMYFUNCTION("""COMPUTED_VALUE"""),"billboard bottom")</f>
        <v>billboard bottom</v>
      </c>
    </row>
    <row r="529" spans="1:47" x14ac:dyDescent="0.3">
      <c r="A529" s="3">
        <f ca="1"/>
        <v>2346826</v>
      </c>
      <c r="B529" s="3" t="str">
        <f ca="1"/>
        <v>CZECH NEWS CENTER a. s.</v>
      </c>
      <c r="C529" s="3" t="str">
        <f ca="1">IFERROR(__xludf.DUMMYFUNCTION("""COMPUTED_VALUE"""),"F1 sport")</f>
        <v>F1 sport</v>
      </c>
      <c r="D529" s="4" t="str">
        <f ca="1">IFERROR(__xludf.DUMMYFUNCTION("""COMPUTED_VALUE"""),"https://f1sport.auto.cz")</f>
        <v>https://f1sport.auto.cz</v>
      </c>
      <c r="E529" s="3" t="str">
        <f ca="1">IFERROR(__xludf.DUMMYFUNCTION("""COMPUTED_VALUE"""),"celý web")</f>
        <v>celý web</v>
      </c>
      <c r="F529" s="4" t="str">
        <f ca="1">IFERROR(__xludf.DUMMYFUNCTION("""COMPUTED_VALUE"""),"https://f1sport.auto.cz")</f>
        <v>https://f1sport.auto.cz</v>
      </c>
      <c r="G529" s="3" t="str">
        <f ca="1">IFERROR(__xludf.DUMMYFUNCTION("""COMPUTED_VALUE"""),"branding cross-device high season")</f>
        <v>branding cross-device high season</v>
      </c>
      <c r="H529" s="3">
        <f ca="1">IFERROR(__xludf.DUMMYFUNCTION("""COMPUTED_VALUE"""),7)</f>
        <v>7</v>
      </c>
      <c r="I529" s="5">
        <f ca="1">IFERROR(__xludf.DUMMYFUNCTION("""COMPUTED_VALUE"""),1000)</f>
        <v>1000</v>
      </c>
      <c r="J529" s="5">
        <f ca="1">IFERROR(__xludf.DUMMYFUNCTION("""COMPUTED_VALUE"""),540)</f>
        <v>540</v>
      </c>
      <c r="K529" s="3"/>
      <c r="L529" s="3" t="str">
        <f ca="1">IFERROR(__xludf.DUMMYFUNCTION("""COMPUTED_VALUE"""),"Cost per period")</f>
        <v>Cost per period</v>
      </c>
      <c r="M529" s="3"/>
      <c r="N529" s="3"/>
      <c r="O529" s="3" t="str">
        <f ca="1">IFERROR(__xludf.DUMMYFUNCTION("""COMPUTED_VALUE"""),"2000")</f>
        <v>2000</v>
      </c>
      <c r="P529" s="3" t="str">
        <f ca="1">IFERROR(__xludf.DUMMYFUNCTION("""COMPUTED_VALUE"""),"1400")</f>
        <v>1400</v>
      </c>
      <c r="Q529" s="3" t="str">
        <f ca="1">IFERROR(__xludf.DUMMYFUNCTION("""COMPUTED_VALUE"""),"2000x1400 + 600x1080")</f>
        <v>2000x1400 + 600x1080</v>
      </c>
      <c r="R529" s="3"/>
      <c r="S529" s="3" t="str">
        <f ca="1">IFERROR(__xludf.DUMMYFUNCTION("""COMPUTED_VALUE"""),"500 (600 - HTLM5)")</f>
        <v>500 (600 - HTLM5)</v>
      </c>
      <c r="T529" s="3"/>
      <c r="U529" s="3" t="str">
        <f ca="1">IFERROR(__xludf.DUMMYFUNCTION("""COMPUTED_VALUE"""),"banner standard")</f>
        <v>banner standard</v>
      </c>
      <c r="V529" s="3"/>
      <c r="W529" s="4" t="str">
        <f ca="1">IFERROR(__xludf.DUMMYFUNCTION("""COMPUTED_VALUE"""),"https://reklama.cncenter.cz/Online/branding-cross-device")</f>
        <v>https://reklama.cncenter.cz/Online/branding-cross-device</v>
      </c>
      <c r="X529" s="3"/>
      <c r="Y529" s="3"/>
      <c r="Z529" s="3" t="str">
        <f ca="1">IFERROR(__xludf.DUMMYFUNCTION("""COMPUTED_VALUE"""),"podklady@cncenter.cz")</f>
        <v>podklady@cncenter.cz</v>
      </c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 t="str">
        <f ca="1">IFERROR(__xludf.DUMMYFUNCTION("""COMPUTED_VALUE"""),"cross-device")</f>
        <v>cross-device</v>
      </c>
      <c r="AO529" s="3"/>
      <c r="AP529" s="3"/>
      <c r="AQ529" s="3"/>
      <c r="AR529" s="3"/>
      <c r="AS529" s="3"/>
      <c r="AT529" s="3"/>
      <c r="AU529" s="3" t="str">
        <f ca="1">IFERROR(__xludf.DUMMYFUNCTION("""COMPUTED_VALUE"""),"branding cross-device")</f>
        <v>branding cross-device</v>
      </c>
    </row>
    <row r="530" spans="1:47" x14ac:dyDescent="0.3">
      <c r="A530" s="3">
        <f ca="1"/>
        <v>2346826</v>
      </c>
      <c r="B530" s="3" t="str">
        <f ca="1"/>
        <v>CZECH NEWS CENTER a. s.</v>
      </c>
      <c r="C530" s="3" t="str">
        <f ca="1">IFERROR(__xludf.DUMMYFUNCTION("""COMPUTED_VALUE"""),"F1 sport")</f>
        <v>F1 sport</v>
      </c>
      <c r="D530" s="4" t="str">
        <f ca="1">IFERROR(__xludf.DUMMYFUNCTION("""COMPUTED_VALUE"""),"https://f1sport.auto.cz")</f>
        <v>https://f1sport.auto.cz</v>
      </c>
      <c r="E530" s="3" t="str">
        <f ca="1">IFERROR(__xludf.DUMMYFUNCTION("""COMPUTED_VALUE"""),"celý web")</f>
        <v>celý web</v>
      </c>
      <c r="F530" s="4" t="str">
        <f ca="1">IFERROR(__xludf.DUMMYFUNCTION("""COMPUTED_VALUE"""),"https://f1sport.auto.cz")</f>
        <v>https://f1sport.auto.cz</v>
      </c>
      <c r="G530" s="3" t="str">
        <f ca="1">IFERROR(__xludf.DUMMYFUNCTION("""COMPUTED_VALUE"""),"branding high season")</f>
        <v>branding high season</v>
      </c>
      <c r="H530" s="3">
        <f ca="1">IFERROR(__xludf.DUMMYFUNCTION("""COMPUTED_VALUE"""),7)</f>
        <v>7</v>
      </c>
      <c r="I530" s="5">
        <f ca="1">IFERROR(__xludf.DUMMYFUNCTION("""COMPUTED_VALUE"""),1000)</f>
        <v>1000</v>
      </c>
      <c r="J530" s="5">
        <f ca="1">IFERROR(__xludf.DUMMYFUNCTION("""COMPUTED_VALUE"""),890)</f>
        <v>890</v>
      </c>
      <c r="K530" s="3"/>
      <c r="L530" s="3" t="str">
        <f ca="1">IFERROR(__xludf.DUMMYFUNCTION("""COMPUTED_VALUE"""),"Cost per period")</f>
        <v>Cost per period</v>
      </c>
      <c r="M530" s="3"/>
      <c r="N530" s="3"/>
      <c r="O530" s="3" t="str">
        <f ca="1">IFERROR(__xludf.DUMMYFUNCTION("""COMPUTED_VALUE"""),"2000")</f>
        <v>2000</v>
      </c>
      <c r="P530" s="3" t="str">
        <f ca="1">IFERROR(__xludf.DUMMYFUNCTION("""COMPUTED_VALUE"""),"1400")</f>
        <v>1400</v>
      </c>
      <c r="Q530" s="3" t="str">
        <f ca="1">IFERROR(__xludf.DUMMYFUNCTION("""COMPUTED_VALUE"""),"2000x1400")</f>
        <v>2000x1400</v>
      </c>
      <c r="R530" s="3"/>
      <c r="S530" s="3" t="str">
        <f ca="1">IFERROR(__xludf.DUMMYFUNCTION("""COMPUTED_VALUE"""),"500 + 200 (600+200 HTML5)")</f>
        <v>500 + 200 (600+200 HTML5)</v>
      </c>
      <c r="T530" s="3"/>
      <c r="U530" s="3" t="str">
        <f ca="1">IFERROR(__xludf.DUMMYFUNCTION("""COMPUTED_VALUE"""),"banner standard")</f>
        <v>banner standard</v>
      </c>
      <c r="V530" s="3"/>
      <c r="W530" s="4" t="str">
        <f ca="1">IFERROR(__xludf.DUMMYFUNCTION("""COMPUTED_VALUE"""),"https://reklama.cncenter.cz/Online/branding")</f>
        <v>https://reklama.cncenter.cz/Online/branding</v>
      </c>
      <c r="X530" s="3"/>
      <c r="Y530" s="3"/>
      <c r="Z530" s="3" t="str">
        <f ca="1">IFERROR(__xludf.DUMMYFUNCTION("""COMPUTED_VALUE"""),"podklady@cncenter.cz")</f>
        <v>podklady@cncenter.cz</v>
      </c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 t="str">
        <f ca="1">IFERROR(__xludf.DUMMYFUNCTION("""COMPUTED_VALUE"""),"desktop")</f>
        <v>desktop</v>
      </c>
      <c r="AO530" s="3"/>
      <c r="AP530" s="3"/>
      <c r="AQ530" s="3"/>
      <c r="AR530" s="3"/>
      <c r="AS530" s="3"/>
      <c r="AT530" s="3"/>
      <c r="AU530" s="3" t="str">
        <f ca="1">IFERROR(__xludf.DUMMYFUNCTION("""COMPUTED_VALUE"""),"branding")</f>
        <v>branding</v>
      </c>
    </row>
    <row r="531" spans="1:47" x14ac:dyDescent="0.3">
      <c r="A531" s="3">
        <f ca="1"/>
        <v>2346826</v>
      </c>
      <c r="B531" s="3" t="str">
        <f ca="1"/>
        <v>CZECH NEWS CENTER a. s.</v>
      </c>
      <c r="C531" s="3" t="str">
        <f ca="1">IFERROR(__xludf.DUMMYFUNCTION("""COMPUTED_VALUE"""),"F1 sport")</f>
        <v>F1 sport</v>
      </c>
      <c r="D531" s="4" t="str">
        <f ca="1">IFERROR(__xludf.DUMMYFUNCTION("""COMPUTED_VALUE"""),"https://f1sport.auto.cz")</f>
        <v>https://f1sport.auto.cz</v>
      </c>
      <c r="E531" s="3" t="str">
        <f ca="1">IFERROR(__xludf.DUMMYFUNCTION("""COMPUTED_VALUE"""),"celý web")</f>
        <v>celý web</v>
      </c>
      <c r="F531" s="4" t="str">
        <f ca="1">IFERROR(__xludf.DUMMYFUNCTION("""COMPUTED_VALUE"""),"https://f1sport.auto.cz")</f>
        <v>https://f1sport.auto.cz</v>
      </c>
      <c r="G531" s="3" t="str">
        <f ca="1">IFERROR(__xludf.DUMMYFUNCTION("""COMPUTED_VALUE"""),"cílený billboard bottom high season")</f>
        <v>cílený billboard bottom high season</v>
      </c>
      <c r="H531" s="3">
        <f ca="1">IFERROR(__xludf.DUMMYFUNCTION("""COMPUTED_VALUE"""),7)</f>
        <v>7</v>
      </c>
      <c r="I531" s="5">
        <f ca="1">IFERROR(__xludf.DUMMYFUNCTION("""COMPUTED_VALUE"""),1000)</f>
        <v>1000</v>
      </c>
      <c r="J531" s="5">
        <f ca="1">IFERROR(__xludf.DUMMYFUNCTION("""COMPUTED_VALUE"""),528)</f>
        <v>528</v>
      </c>
      <c r="K531" s="3"/>
      <c r="L531" s="3" t="str">
        <f ca="1">IFERROR(__xludf.DUMMYFUNCTION("""COMPUTED_VALUE"""),"Cost per period")</f>
        <v>Cost per period</v>
      </c>
      <c r="M531" s="3"/>
      <c r="N531" s="3"/>
      <c r="O531" s="3" t="str">
        <f ca="1">IFERROR(__xludf.DUMMYFUNCTION("""COMPUTED_VALUE"""),"970")</f>
        <v>970</v>
      </c>
      <c r="P531" s="3" t="str">
        <f ca="1">IFERROR(__xludf.DUMMYFUNCTION("""COMPUTED_VALUE"""),"250")</f>
        <v>250</v>
      </c>
      <c r="Q531" s="3" t="str">
        <f ca="1">IFERROR(__xludf.DUMMYFUNCTION("""COMPUTED_VALUE"""),"970x250")</f>
        <v>970x250</v>
      </c>
      <c r="R531" s="3"/>
      <c r="S531" s="3" t="str">
        <f ca="1">IFERROR(__xludf.DUMMYFUNCTION("""COMPUTED_VALUE"""),"100 (200 - HTML5)")</f>
        <v>100 (200 - HTML5)</v>
      </c>
      <c r="T531" s="3"/>
      <c r="U531" s="3" t="str">
        <f ca="1">IFERROR(__xludf.DUMMYFUNCTION("""COMPUTED_VALUE"""),"banner standard")</f>
        <v>banner standard</v>
      </c>
      <c r="V531" s="3"/>
      <c r="W531" s="4" t="str">
        <f ca="1">IFERROR(__xludf.DUMMYFUNCTION("""COMPUTED_VALUE"""),"https://reklama.cncenter.cz/Online/billboard-bottom")</f>
        <v>https://reklama.cncenter.cz/Online/billboard-bottom</v>
      </c>
      <c r="X531" s="3"/>
      <c r="Y531" s="3"/>
      <c r="Z531" s="3" t="str">
        <f ca="1">IFERROR(__xludf.DUMMYFUNCTION("""COMPUTED_VALUE"""),"podklady@cncenter.cz")</f>
        <v>podklady@cncenter.cz</v>
      </c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 t="str">
        <f ca="1">IFERROR(__xludf.DUMMYFUNCTION("""COMPUTED_VALUE"""),"desktop")</f>
        <v>desktop</v>
      </c>
      <c r="AO531" s="3"/>
      <c r="AP531" s="3"/>
      <c r="AQ531" s="3"/>
      <c r="AR531" s="3"/>
      <c r="AS531" s="3"/>
      <c r="AT531" s="3"/>
      <c r="AU531" s="3" t="str">
        <f ca="1">IFERROR(__xludf.DUMMYFUNCTION("""COMPUTED_VALUE"""),"cílený billboard bottom")</f>
        <v>cílený billboard bottom</v>
      </c>
    </row>
    <row r="532" spans="1:47" x14ac:dyDescent="0.3">
      <c r="A532" s="3">
        <f ca="1"/>
        <v>2346826</v>
      </c>
      <c r="B532" s="3" t="str">
        <f ca="1"/>
        <v>CZECH NEWS CENTER a. s.</v>
      </c>
      <c r="C532" s="3" t="str">
        <f ca="1">IFERROR(__xludf.DUMMYFUNCTION("""COMPUTED_VALUE"""),"F1 sport")</f>
        <v>F1 sport</v>
      </c>
      <c r="D532" s="4" t="str">
        <f ca="1">IFERROR(__xludf.DUMMYFUNCTION("""COMPUTED_VALUE"""),"https://f1sport.auto.cz")</f>
        <v>https://f1sport.auto.cz</v>
      </c>
      <c r="E532" s="3" t="str">
        <f ca="1">IFERROR(__xludf.DUMMYFUNCTION("""COMPUTED_VALUE"""),"celý web")</f>
        <v>celý web</v>
      </c>
      <c r="F532" s="4" t="str">
        <f ca="1">IFERROR(__xludf.DUMMYFUNCTION("""COMPUTED_VALUE"""),"https://f1sport.auto.cz")</f>
        <v>https://f1sport.auto.cz</v>
      </c>
      <c r="G532" s="3" t="str">
        <f ca="1">IFERROR(__xludf.DUMMYFUNCTION("""COMPUTED_VALUE"""),"cílený branding cross-device high season")</f>
        <v>cílený branding cross-device high season</v>
      </c>
      <c r="H532" s="3">
        <f ca="1">IFERROR(__xludf.DUMMYFUNCTION("""COMPUTED_VALUE"""),7)</f>
        <v>7</v>
      </c>
      <c r="I532" s="5">
        <f ca="1">IFERROR(__xludf.DUMMYFUNCTION("""COMPUTED_VALUE"""),1000)</f>
        <v>1000</v>
      </c>
      <c r="J532" s="5">
        <f ca="1">IFERROR(__xludf.DUMMYFUNCTION("""COMPUTED_VALUE"""),648)</f>
        <v>648</v>
      </c>
      <c r="K532" s="3"/>
      <c r="L532" s="3" t="str">
        <f ca="1">IFERROR(__xludf.DUMMYFUNCTION("""COMPUTED_VALUE"""),"Cost per period")</f>
        <v>Cost per period</v>
      </c>
      <c r="M532" s="3"/>
      <c r="N532" s="3"/>
      <c r="O532" s="3" t="str">
        <f ca="1">IFERROR(__xludf.DUMMYFUNCTION("""COMPUTED_VALUE"""),"2000")</f>
        <v>2000</v>
      </c>
      <c r="P532" s="3" t="str">
        <f ca="1">IFERROR(__xludf.DUMMYFUNCTION("""COMPUTED_VALUE"""),"1400")</f>
        <v>1400</v>
      </c>
      <c r="Q532" s="3" t="str">
        <f ca="1">IFERROR(__xludf.DUMMYFUNCTION("""COMPUTED_VALUE"""),"2000x1400 + 600x1080")</f>
        <v>2000x1400 + 600x1080</v>
      </c>
      <c r="R532" s="3"/>
      <c r="S532" s="3" t="str">
        <f ca="1">IFERROR(__xludf.DUMMYFUNCTION("""COMPUTED_VALUE"""),"500 (600 - HTLM5)")</f>
        <v>500 (600 - HTLM5)</v>
      </c>
      <c r="T532" s="3"/>
      <c r="U532" s="3" t="str">
        <f ca="1">IFERROR(__xludf.DUMMYFUNCTION("""COMPUTED_VALUE"""),"banner standard")</f>
        <v>banner standard</v>
      </c>
      <c r="V532" s="3"/>
      <c r="W532" s="4" t="str">
        <f ca="1">IFERROR(__xludf.DUMMYFUNCTION("""COMPUTED_VALUE"""),"https://reklama.cncenter.cz/Online/branding-cross-device")</f>
        <v>https://reklama.cncenter.cz/Online/branding-cross-device</v>
      </c>
      <c r="X532" s="3"/>
      <c r="Y532" s="3"/>
      <c r="Z532" s="3" t="str">
        <f ca="1">IFERROR(__xludf.DUMMYFUNCTION("""COMPUTED_VALUE"""),"podklady@cncenter.cz")</f>
        <v>podklady@cncenter.cz</v>
      </c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 t="str">
        <f ca="1">IFERROR(__xludf.DUMMYFUNCTION("""COMPUTED_VALUE"""),"cross-device")</f>
        <v>cross-device</v>
      </c>
      <c r="AO532" s="3"/>
      <c r="AP532" s="3"/>
      <c r="AQ532" s="3"/>
      <c r="AR532" s="3"/>
      <c r="AS532" s="3"/>
      <c r="AT532" s="3"/>
      <c r="AU532" s="3" t="str">
        <f ca="1">IFERROR(__xludf.DUMMYFUNCTION("""COMPUTED_VALUE"""),"cílený branding cross-device")</f>
        <v>cílený branding cross-device</v>
      </c>
    </row>
    <row r="533" spans="1:47" x14ac:dyDescent="0.3">
      <c r="A533" s="3">
        <f ca="1"/>
        <v>2346826</v>
      </c>
      <c r="B533" s="3" t="str">
        <f ca="1"/>
        <v>CZECH NEWS CENTER a. s.</v>
      </c>
      <c r="C533" s="3" t="str">
        <f ca="1">IFERROR(__xludf.DUMMYFUNCTION("""COMPUTED_VALUE"""),"F1 sport")</f>
        <v>F1 sport</v>
      </c>
      <c r="D533" s="4" t="str">
        <f ca="1">IFERROR(__xludf.DUMMYFUNCTION("""COMPUTED_VALUE"""),"https://f1sport.auto.cz")</f>
        <v>https://f1sport.auto.cz</v>
      </c>
      <c r="E533" s="3" t="str">
        <f ca="1">IFERROR(__xludf.DUMMYFUNCTION("""COMPUTED_VALUE"""),"celý web")</f>
        <v>celý web</v>
      </c>
      <c r="F533" s="4" t="str">
        <f ca="1">IFERROR(__xludf.DUMMYFUNCTION("""COMPUTED_VALUE"""),"https://f1sport.auto.cz")</f>
        <v>https://f1sport.auto.cz</v>
      </c>
      <c r="G533" s="3" t="str">
        <f ca="1">IFERROR(__xludf.DUMMYFUNCTION("""COMPUTED_VALUE"""),"cílený branding high season")</f>
        <v>cílený branding high season</v>
      </c>
      <c r="H533" s="3">
        <f ca="1">IFERROR(__xludf.DUMMYFUNCTION("""COMPUTED_VALUE"""),7)</f>
        <v>7</v>
      </c>
      <c r="I533" s="5">
        <f ca="1">IFERROR(__xludf.DUMMYFUNCTION("""COMPUTED_VALUE"""),1000)</f>
        <v>1000</v>
      </c>
      <c r="J533" s="5">
        <f ca="1">IFERROR(__xludf.DUMMYFUNCTION("""COMPUTED_VALUE"""),1068)</f>
        <v>1068</v>
      </c>
      <c r="K533" s="3"/>
      <c r="L533" s="3" t="str">
        <f ca="1">IFERROR(__xludf.DUMMYFUNCTION("""COMPUTED_VALUE"""),"Cost per period")</f>
        <v>Cost per period</v>
      </c>
      <c r="M533" s="3"/>
      <c r="N533" s="3"/>
      <c r="O533" s="3" t="str">
        <f ca="1">IFERROR(__xludf.DUMMYFUNCTION("""COMPUTED_VALUE"""),"2000")</f>
        <v>2000</v>
      </c>
      <c r="P533" s="3" t="str">
        <f ca="1">IFERROR(__xludf.DUMMYFUNCTION("""COMPUTED_VALUE"""),"1400")</f>
        <v>1400</v>
      </c>
      <c r="Q533" s="3" t="str">
        <f ca="1">IFERROR(__xludf.DUMMYFUNCTION("""COMPUTED_VALUE"""),"2000x1400")</f>
        <v>2000x1400</v>
      </c>
      <c r="R533" s="3"/>
      <c r="S533" s="3" t="str">
        <f ca="1">IFERROR(__xludf.DUMMYFUNCTION("""COMPUTED_VALUE"""),"500 + 200 (600+200 HTML5)")</f>
        <v>500 + 200 (600+200 HTML5)</v>
      </c>
      <c r="T533" s="3"/>
      <c r="U533" s="3" t="str">
        <f ca="1">IFERROR(__xludf.DUMMYFUNCTION("""COMPUTED_VALUE"""),"banner standard")</f>
        <v>banner standard</v>
      </c>
      <c r="V533" s="3"/>
      <c r="W533" s="4" t="str">
        <f ca="1">IFERROR(__xludf.DUMMYFUNCTION("""COMPUTED_VALUE"""),"https://reklama.cncenter.cz/Online/branding")</f>
        <v>https://reklama.cncenter.cz/Online/branding</v>
      </c>
      <c r="X533" s="3"/>
      <c r="Y533" s="3"/>
      <c r="Z533" s="3" t="str">
        <f ca="1">IFERROR(__xludf.DUMMYFUNCTION("""COMPUTED_VALUE"""),"podklady@cncenter.cz")</f>
        <v>podklady@cncenter.cz</v>
      </c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 t="str">
        <f ca="1">IFERROR(__xludf.DUMMYFUNCTION("""COMPUTED_VALUE"""),"desktop")</f>
        <v>desktop</v>
      </c>
      <c r="AO533" s="3"/>
      <c r="AP533" s="3"/>
      <c r="AQ533" s="3"/>
      <c r="AR533" s="3"/>
      <c r="AS533" s="3"/>
      <c r="AT533" s="3"/>
      <c r="AU533" s="3" t="str">
        <f ca="1">IFERROR(__xludf.DUMMYFUNCTION("""COMPUTED_VALUE"""),"cílený branding")</f>
        <v>cílený branding</v>
      </c>
    </row>
    <row r="534" spans="1:47" x14ac:dyDescent="0.3">
      <c r="A534" s="3">
        <f ca="1"/>
        <v>2346826</v>
      </c>
      <c r="B534" s="3" t="str">
        <f ca="1"/>
        <v>CZECH NEWS CENTER a. s.</v>
      </c>
      <c r="C534" s="3" t="str">
        <f ca="1">IFERROR(__xludf.DUMMYFUNCTION("""COMPUTED_VALUE"""),"F1 sport")</f>
        <v>F1 sport</v>
      </c>
      <c r="D534" s="4" t="str">
        <f ca="1">IFERROR(__xludf.DUMMYFUNCTION("""COMPUTED_VALUE"""),"https://f1sport.auto.cz")</f>
        <v>https://f1sport.auto.cz</v>
      </c>
      <c r="E534" s="3" t="str">
        <f ca="1">IFERROR(__xludf.DUMMYFUNCTION("""COMPUTED_VALUE"""),"celý web")</f>
        <v>celý web</v>
      </c>
      <c r="F534" s="4" t="str">
        <f ca="1">IFERROR(__xludf.DUMMYFUNCTION("""COMPUTED_VALUE"""),"https://f1sport.auto.cz")</f>
        <v>https://f1sport.auto.cz</v>
      </c>
      <c r="G534" s="3" t="str">
        <f ca="1">IFERROR(__xludf.DUMMYFUNCTION("""COMPUTED_VALUE"""),"cílený double skyscraper high season")</f>
        <v>cílený double skyscraper high season</v>
      </c>
      <c r="H534" s="3">
        <f ca="1">IFERROR(__xludf.DUMMYFUNCTION("""COMPUTED_VALUE"""),7)</f>
        <v>7</v>
      </c>
      <c r="I534" s="5">
        <f ca="1">IFERROR(__xludf.DUMMYFUNCTION("""COMPUTED_VALUE"""),1000)</f>
        <v>1000</v>
      </c>
      <c r="J534" s="5">
        <f ca="1">IFERROR(__xludf.DUMMYFUNCTION("""COMPUTED_VALUE"""),420)</f>
        <v>420</v>
      </c>
      <c r="K534" s="3"/>
      <c r="L534" s="3" t="str">
        <f ca="1">IFERROR(__xludf.DUMMYFUNCTION("""COMPUTED_VALUE"""),"Cost per period")</f>
        <v>Cost per period</v>
      </c>
      <c r="M534" s="3"/>
      <c r="N534" s="3"/>
      <c r="O534" s="3" t="str">
        <f ca="1">IFERROR(__xludf.DUMMYFUNCTION("""COMPUTED_VALUE"""),"300")</f>
        <v>300</v>
      </c>
      <c r="P534" s="3" t="str">
        <f ca="1">IFERROR(__xludf.DUMMYFUNCTION("""COMPUTED_VALUE"""),"600")</f>
        <v>600</v>
      </c>
      <c r="Q534" s="3" t="str">
        <f ca="1">IFERROR(__xludf.DUMMYFUNCTION("""COMPUTED_VALUE"""),"300x600")</f>
        <v>300x600</v>
      </c>
      <c r="R534" s="3"/>
      <c r="S534" s="3" t="str">
        <f ca="1">IFERROR(__xludf.DUMMYFUNCTION("""COMPUTED_VALUE"""),"100 (200 - HTML5)")</f>
        <v>100 (200 - HTML5)</v>
      </c>
      <c r="T534" s="3"/>
      <c r="U534" s="3" t="str">
        <f ca="1">IFERROR(__xludf.DUMMYFUNCTION("""COMPUTED_VALUE"""),"banner standard")</f>
        <v>banner standard</v>
      </c>
      <c r="V534" s="3"/>
      <c r="W534" s="4" t="str">
        <f ca="1">IFERROR(__xludf.DUMMYFUNCTION("""COMPUTED_VALUE"""),"https://reklama.cncenter.cz/Online/double-skyscraper")</f>
        <v>https://reklama.cncenter.cz/Online/double-skyscraper</v>
      </c>
      <c r="X534" s="3"/>
      <c r="Y534" s="3"/>
      <c r="Z534" s="3" t="str">
        <f ca="1">IFERROR(__xludf.DUMMYFUNCTION("""COMPUTED_VALUE"""),"podklady@cncenter.cz")</f>
        <v>podklady@cncenter.cz</v>
      </c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 t="str">
        <f ca="1">IFERROR(__xludf.DUMMYFUNCTION("""COMPUTED_VALUE"""),"desktop")</f>
        <v>desktop</v>
      </c>
      <c r="AO534" s="3"/>
      <c r="AP534" s="3"/>
      <c r="AQ534" s="3"/>
      <c r="AR534" s="3"/>
      <c r="AS534" s="3"/>
      <c r="AT534" s="3"/>
      <c r="AU534" s="3" t="str">
        <f ca="1">IFERROR(__xludf.DUMMYFUNCTION("""COMPUTED_VALUE"""),"cílený double skyscraper")</f>
        <v>cílený double skyscraper</v>
      </c>
    </row>
    <row r="535" spans="1:47" x14ac:dyDescent="0.3">
      <c r="A535" s="3">
        <f ca="1"/>
        <v>2346826</v>
      </c>
      <c r="B535" s="3" t="str">
        <f ca="1"/>
        <v>CZECH NEWS CENTER a. s.</v>
      </c>
      <c r="C535" s="3" t="str">
        <f ca="1">IFERROR(__xludf.DUMMYFUNCTION("""COMPUTED_VALUE"""),"F1 sport")</f>
        <v>F1 sport</v>
      </c>
      <c r="D535" s="4" t="str">
        <f ca="1">IFERROR(__xludf.DUMMYFUNCTION("""COMPUTED_VALUE"""),"https://f1sport.auto.cz")</f>
        <v>https://f1sport.auto.cz</v>
      </c>
      <c r="E535" s="3" t="str">
        <f ca="1">IFERROR(__xludf.DUMMYFUNCTION("""COMPUTED_VALUE"""),"celý web")</f>
        <v>celý web</v>
      </c>
      <c r="F535" s="4" t="str">
        <f ca="1">IFERROR(__xludf.DUMMYFUNCTION("""COMPUTED_VALUE"""),"https://f1sport.auto.cz")</f>
        <v>https://f1sport.auto.cz</v>
      </c>
      <c r="G535" s="3" t="str">
        <f ca="1">IFERROR(__xludf.DUMMYFUNCTION("""COMPUTED_VALUE"""),"cílený mobilní interscroller high season")</f>
        <v>cílený mobilní interscroller high season</v>
      </c>
      <c r="H535" s="3">
        <f ca="1">IFERROR(__xludf.DUMMYFUNCTION("""COMPUTED_VALUE"""),7)</f>
        <v>7</v>
      </c>
      <c r="I535" s="5">
        <f ca="1">IFERROR(__xludf.DUMMYFUNCTION("""COMPUTED_VALUE"""),1000)</f>
        <v>1000</v>
      </c>
      <c r="J535" s="5">
        <f ca="1">IFERROR(__xludf.DUMMYFUNCTION("""COMPUTED_VALUE"""),540)</f>
        <v>540</v>
      </c>
      <c r="K535" s="3"/>
      <c r="L535" s="3" t="str">
        <f ca="1">IFERROR(__xludf.DUMMYFUNCTION("""COMPUTED_VALUE"""),"Cost per period")</f>
        <v>Cost per period</v>
      </c>
      <c r="M535" s="3"/>
      <c r="N535" s="3"/>
      <c r="O535" s="3" t="str">
        <f ca="1">IFERROR(__xludf.DUMMYFUNCTION("""COMPUTED_VALUE"""),"600")</f>
        <v>600</v>
      </c>
      <c r="P535" s="3" t="str">
        <f ca="1">IFERROR(__xludf.DUMMYFUNCTION("""COMPUTED_VALUE"""),"1080")</f>
        <v>1080</v>
      </c>
      <c r="Q535" s="3" t="str">
        <f ca="1">IFERROR(__xludf.DUMMYFUNCTION("""COMPUTED_VALUE"""),"600x1080")</f>
        <v>600x1080</v>
      </c>
      <c r="R535" s="3"/>
      <c r="S535" s="3" t="str">
        <f ca="1">IFERROR(__xludf.DUMMYFUNCTION("""COMPUTED_VALUE"""),"200")</f>
        <v>200</v>
      </c>
      <c r="T535" s="3"/>
      <c r="U535" s="3" t="str">
        <f ca="1">IFERROR(__xludf.DUMMYFUNCTION("""COMPUTED_VALUE"""),"banner standard")</f>
        <v>banner standard</v>
      </c>
      <c r="V535" s="3"/>
      <c r="W535" s="4" t="str">
        <f ca="1">IFERROR(__xludf.DUMMYFUNCTION("""COMPUTED_VALUE"""),"https://reklama.cncenter.cz/Online/mobilni-interscroller")</f>
        <v>https://reklama.cncenter.cz/Online/mobilni-interscroller</v>
      </c>
      <c r="X535" s="3"/>
      <c r="Y535" s="3"/>
      <c r="Z535" s="3" t="str">
        <f ca="1">IFERROR(__xludf.DUMMYFUNCTION("""COMPUTED_VALUE"""),"podklady@cncenter.cz")</f>
        <v>podklady@cncenter.cz</v>
      </c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 t="str">
        <f ca="1">IFERROR(__xludf.DUMMYFUNCTION("""COMPUTED_VALUE"""),"mobile")</f>
        <v>mobile</v>
      </c>
      <c r="AO535" s="3"/>
      <c r="AP535" s="3"/>
      <c r="AQ535" s="3"/>
      <c r="AR535" s="3"/>
      <c r="AS535" s="3"/>
      <c r="AT535" s="3"/>
      <c r="AU535" s="3" t="str">
        <f ca="1">IFERROR(__xludf.DUMMYFUNCTION("""COMPUTED_VALUE"""),"cílený mobilní interscroller")</f>
        <v>cílený mobilní interscroller</v>
      </c>
    </row>
    <row r="536" spans="1:47" x14ac:dyDescent="0.3">
      <c r="A536" s="3">
        <f ca="1"/>
        <v>2346826</v>
      </c>
      <c r="B536" s="3" t="str">
        <f ca="1"/>
        <v>CZECH NEWS CENTER a. s.</v>
      </c>
      <c r="C536" s="3" t="str">
        <f ca="1">IFERROR(__xludf.DUMMYFUNCTION("""COMPUTED_VALUE"""),"F1 sport")</f>
        <v>F1 sport</v>
      </c>
      <c r="D536" s="4" t="str">
        <f ca="1">IFERROR(__xludf.DUMMYFUNCTION("""COMPUTED_VALUE"""),"https://f1sport.auto.cz")</f>
        <v>https://f1sport.auto.cz</v>
      </c>
      <c r="E536" s="3" t="str">
        <f ca="1">IFERROR(__xludf.DUMMYFUNCTION("""COMPUTED_VALUE"""),"celý web")</f>
        <v>celý web</v>
      </c>
      <c r="F536" s="4" t="str">
        <f ca="1">IFERROR(__xludf.DUMMYFUNCTION("""COMPUTED_VALUE"""),"https://f1sport.auto.cz")</f>
        <v>https://f1sport.auto.cz</v>
      </c>
      <c r="G536" s="3" t="str">
        <f ca="1">IFERROR(__xludf.DUMMYFUNCTION("""COMPUTED_VALUE"""),"cílený mobilní slide-up high season")</f>
        <v>cílený mobilní slide-up high season</v>
      </c>
      <c r="H536" s="3">
        <f ca="1">IFERROR(__xludf.DUMMYFUNCTION("""COMPUTED_VALUE"""),7)</f>
        <v>7</v>
      </c>
      <c r="I536" s="5">
        <f ca="1">IFERROR(__xludf.DUMMYFUNCTION("""COMPUTED_VALUE"""),1000)</f>
        <v>1000</v>
      </c>
      <c r="J536" s="5">
        <f ca="1">IFERROR(__xludf.DUMMYFUNCTION("""COMPUTED_VALUE"""),1104)</f>
        <v>1104</v>
      </c>
      <c r="K536" s="3"/>
      <c r="L536" s="3" t="str">
        <f ca="1">IFERROR(__xludf.DUMMYFUNCTION("""COMPUTED_VALUE"""),"Cost per period")</f>
        <v>Cost per period</v>
      </c>
      <c r="M536" s="3"/>
      <c r="N536" s="3"/>
      <c r="O536" s="3" t="str">
        <f ca="1">IFERROR(__xludf.DUMMYFUNCTION("""COMPUTED_VALUE"""),"300")</f>
        <v>300</v>
      </c>
      <c r="P536" s="3" t="str">
        <f ca="1">IFERROR(__xludf.DUMMYFUNCTION("""COMPUTED_VALUE"""),"120")</f>
        <v>120</v>
      </c>
      <c r="Q536" s="3" t="str">
        <f ca="1">IFERROR(__xludf.DUMMYFUNCTION("""COMPUTED_VALUE"""),"300x120")</f>
        <v>300x120</v>
      </c>
      <c r="R536" s="3"/>
      <c r="S536" s="3" t="str">
        <f ca="1">IFERROR(__xludf.DUMMYFUNCTION("""COMPUTED_VALUE"""),"100")</f>
        <v>100</v>
      </c>
      <c r="T536" s="3"/>
      <c r="U536" s="3" t="str">
        <f ca="1">IFERROR(__xludf.DUMMYFUNCTION("""COMPUTED_VALUE"""),"banner standard")</f>
        <v>banner standard</v>
      </c>
      <c r="V536" s="3"/>
      <c r="W536" s="4" t="str">
        <f ca="1">IFERROR(__xludf.DUMMYFUNCTION("""COMPUTED_VALUE"""),"https://reklama.cncenter.cz/Online/mobilni-slide-up")</f>
        <v>https://reklama.cncenter.cz/Online/mobilni-slide-up</v>
      </c>
      <c r="X536" s="3"/>
      <c r="Y536" s="3"/>
      <c r="Z536" s="3" t="str">
        <f ca="1">IFERROR(__xludf.DUMMYFUNCTION("""COMPUTED_VALUE"""),"podklady@cncenter.cz")</f>
        <v>podklady@cncenter.cz</v>
      </c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 t="str">
        <f ca="1">IFERROR(__xludf.DUMMYFUNCTION("""COMPUTED_VALUE"""),"mobile")</f>
        <v>mobile</v>
      </c>
      <c r="AO536" s="3"/>
      <c r="AP536" s="3"/>
      <c r="AQ536" s="3"/>
      <c r="AR536" s="3"/>
      <c r="AS536" s="3"/>
      <c r="AT536" s="3"/>
      <c r="AU536" s="3" t="str">
        <f ca="1">IFERROR(__xludf.DUMMYFUNCTION("""COMPUTED_VALUE"""),"cílený mobilní slide-up")</f>
        <v>cílený mobilní slide-up</v>
      </c>
    </row>
    <row r="537" spans="1:47" x14ac:dyDescent="0.3">
      <c r="A537" s="3">
        <f ca="1"/>
        <v>2346826</v>
      </c>
      <c r="B537" s="3" t="str">
        <f ca="1"/>
        <v>CZECH NEWS CENTER a. s.</v>
      </c>
      <c r="C537" s="3" t="str">
        <f ca="1">IFERROR(__xludf.DUMMYFUNCTION("""COMPUTED_VALUE"""),"F1 sport")</f>
        <v>F1 sport</v>
      </c>
      <c r="D537" s="4" t="str">
        <f ca="1">IFERROR(__xludf.DUMMYFUNCTION("""COMPUTED_VALUE"""),"https://f1sport.auto.cz")</f>
        <v>https://f1sport.auto.cz</v>
      </c>
      <c r="E537" s="3" t="str">
        <f ca="1">IFERROR(__xludf.DUMMYFUNCTION("""COMPUTED_VALUE"""),"celý web")</f>
        <v>celý web</v>
      </c>
      <c r="F537" s="4" t="str">
        <f ca="1">IFERROR(__xludf.DUMMYFUNCTION("""COMPUTED_VALUE"""),"https://f1sport.auto.cz")</f>
        <v>https://f1sport.auto.cz</v>
      </c>
      <c r="G537" s="3" t="str">
        <f ca="1">IFERROR(__xludf.DUMMYFUNCTION("""COMPUTED_VALUE"""),"cílený mobilní viněta high season")</f>
        <v>cílený mobilní viněta high season</v>
      </c>
      <c r="H537" s="3">
        <f ca="1">IFERROR(__xludf.DUMMYFUNCTION("""COMPUTED_VALUE"""),7)</f>
        <v>7</v>
      </c>
      <c r="I537" s="5">
        <f ca="1">IFERROR(__xludf.DUMMYFUNCTION("""COMPUTED_VALUE"""),1000)</f>
        <v>1000</v>
      </c>
      <c r="J537" s="5">
        <f ca="1">IFERROR(__xludf.DUMMYFUNCTION("""COMPUTED_VALUE"""),1908)</f>
        <v>1908</v>
      </c>
      <c r="K537" s="3"/>
      <c r="L537" s="3" t="str">
        <f ca="1">IFERROR(__xludf.DUMMYFUNCTION("""COMPUTED_VALUE"""),"Cost per period")</f>
        <v>Cost per period</v>
      </c>
      <c r="M537" s="3"/>
      <c r="N537" s="3"/>
      <c r="O537" s="3" t="str">
        <f ca="1">IFERROR(__xludf.DUMMYFUNCTION("""COMPUTED_VALUE"""),"600")</f>
        <v>600</v>
      </c>
      <c r="P537" s="3" t="str">
        <f ca="1">IFERROR(__xludf.DUMMYFUNCTION("""COMPUTED_VALUE"""),"800")</f>
        <v>800</v>
      </c>
      <c r="Q537" s="3" t="str">
        <f ca="1">IFERROR(__xludf.DUMMYFUNCTION("""COMPUTED_VALUE"""),"300x250 nebo 600x800")</f>
        <v>300x250 nebo 600x800</v>
      </c>
      <c r="R537" s="3"/>
      <c r="S537" s="3" t="str">
        <f ca="1">IFERROR(__xludf.DUMMYFUNCTION("""COMPUTED_VALUE"""),"100")</f>
        <v>100</v>
      </c>
      <c r="T537" s="3"/>
      <c r="U537" s="3" t="str">
        <f ca="1">IFERROR(__xludf.DUMMYFUNCTION("""COMPUTED_VALUE"""),"banner standard")</f>
        <v>banner standard</v>
      </c>
      <c r="V537" s="3"/>
      <c r="W537" s="4" t="str">
        <f ca="1">IFERROR(__xludf.DUMMYFUNCTION("""COMPUTED_VALUE"""),"https://reklama.cncenter.cz/Online/mobilni-vineta")</f>
        <v>https://reklama.cncenter.cz/Online/mobilni-vineta</v>
      </c>
      <c r="X537" s="3"/>
      <c r="Y537" s="3"/>
      <c r="Z537" s="3" t="str">
        <f ca="1">IFERROR(__xludf.DUMMYFUNCTION("""COMPUTED_VALUE"""),"podklady@cncenter.cz")</f>
        <v>podklady@cncenter.cz</v>
      </c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 t="str">
        <f ca="1">IFERROR(__xludf.DUMMYFUNCTION("""COMPUTED_VALUE"""),"mobile")</f>
        <v>mobile</v>
      </c>
      <c r="AO537" s="3"/>
      <c r="AP537" s="3"/>
      <c r="AQ537" s="3"/>
      <c r="AR537" s="3"/>
      <c r="AS537" s="3"/>
      <c r="AT537" s="3"/>
      <c r="AU537" s="3" t="str">
        <f ca="1">IFERROR(__xludf.DUMMYFUNCTION("""COMPUTED_VALUE"""),"cílený mobilní viněta")</f>
        <v>cílený mobilní viněta</v>
      </c>
    </row>
    <row r="538" spans="1:47" x14ac:dyDescent="0.3">
      <c r="A538" s="3">
        <f ca="1"/>
        <v>2346826</v>
      </c>
      <c r="B538" s="3" t="str">
        <f ca="1"/>
        <v>CZECH NEWS CENTER a. s.</v>
      </c>
      <c r="C538" s="3" t="str">
        <f ca="1">IFERROR(__xludf.DUMMYFUNCTION("""COMPUTED_VALUE"""),"F1 sport")</f>
        <v>F1 sport</v>
      </c>
      <c r="D538" s="4" t="str">
        <f ca="1">IFERROR(__xludf.DUMMYFUNCTION("""COMPUTED_VALUE"""),"https://f1sport.auto.cz")</f>
        <v>https://f1sport.auto.cz</v>
      </c>
      <c r="E538" s="3" t="str">
        <f ca="1">IFERROR(__xludf.DUMMYFUNCTION("""COMPUTED_VALUE"""),"celý web")</f>
        <v>celý web</v>
      </c>
      <c r="F538" s="4" t="str">
        <f ca="1">IFERROR(__xludf.DUMMYFUNCTION("""COMPUTED_VALUE"""),"https://f1sport.auto.cz")</f>
        <v>https://f1sport.auto.cz</v>
      </c>
      <c r="G538" s="3" t="str">
        <f ca="1">IFERROR(__xludf.DUMMYFUNCTION("""COMPUTED_VALUE"""),"cílený nativní rectangle cross-device high season")</f>
        <v>cílený nativní rectangle cross-device high season</v>
      </c>
      <c r="H538" s="3">
        <f ca="1">IFERROR(__xludf.DUMMYFUNCTION("""COMPUTED_VALUE"""),7)</f>
        <v>7</v>
      </c>
      <c r="I538" s="5">
        <f ca="1">IFERROR(__xludf.DUMMYFUNCTION("""COMPUTED_VALUE"""),1000)</f>
        <v>1000</v>
      </c>
      <c r="J538" s="5">
        <f ca="1">IFERROR(__xludf.DUMMYFUNCTION("""COMPUTED_VALUE"""),432)</f>
        <v>432</v>
      </c>
      <c r="K538" s="3"/>
      <c r="L538" s="3" t="str">
        <f ca="1">IFERROR(__xludf.DUMMYFUNCTION("""COMPUTED_VALUE"""),"Cost per period")</f>
        <v>Cost per period</v>
      </c>
      <c r="M538" s="3"/>
      <c r="N538" s="3"/>
      <c r="O538" s="3" t="str">
        <f ca="1">IFERROR(__xludf.DUMMYFUNCTION("""COMPUTED_VALUE"""),"640")</f>
        <v>640</v>
      </c>
      <c r="P538" s="3" t="str">
        <f ca="1">IFERROR(__xludf.DUMMYFUNCTION("""COMPUTED_VALUE"""),"335, 640")</f>
        <v>335, 640</v>
      </c>
      <c r="Q538" s="3" t="str">
        <f ca="1">IFERROR(__xludf.DUMMYFUNCTION("""COMPUTED_VALUE"""),"640x640 a 640x335 + text + logo")</f>
        <v>640x640 a 640x335 + text + logo</v>
      </c>
      <c r="R538" s="3"/>
      <c r="S538" s="3" t="str">
        <f ca="1">IFERROR(__xludf.DUMMYFUNCTION("""COMPUTED_VALUE"""),"45")</f>
        <v>45</v>
      </c>
      <c r="T538" s="3"/>
      <c r="U538" s="3" t="str">
        <f ca="1">IFERROR(__xludf.DUMMYFUNCTION("""COMPUTED_VALUE"""),"nativní reklama")</f>
        <v>nativní reklama</v>
      </c>
      <c r="V538" s="3"/>
      <c r="W538" s="4" t="str">
        <f ca="1">IFERROR(__xludf.DUMMYFUNCTION("""COMPUTED_VALUE"""),"https://reklama.cncenter.cz/Online/nativni-rectangle-cross-device")</f>
        <v>https://reklama.cncenter.cz/Online/nativni-rectangle-cross-device</v>
      </c>
      <c r="X538" s="3"/>
      <c r="Y538" s="3"/>
      <c r="Z538" s="3" t="str">
        <f ca="1">IFERROR(__xludf.DUMMYFUNCTION("""COMPUTED_VALUE"""),"podklady@cncenter.cz")</f>
        <v>podklady@cncenter.cz</v>
      </c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 t="str">
        <f ca="1">IFERROR(__xludf.DUMMYFUNCTION("""COMPUTED_VALUE"""),"cross-device")</f>
        <v>cross-device</v>
      </c>
      <c r="AO538" s="3"/>
      <c r="AP538" s="3"/>
      <c r="AQ538" s="3"/>
      <c r="AR538" s="3"/>
      <c r="AS538" s="3"/>
      <c r="AT538" s="3"/>
      <c r="AU538" s="3" t="str">
        <f ca="1">IFERROR(__xludf.DUMMYFUNCTION("""COMPUTED_VALUE"""),"cílený nativní rectangle cross-device")</f>
        <v>cílený nativní rectangle cross-device</v>
      </c>
    </row>
    <row r="539" spans="1:47" x14ac:dyDescent="0.3">
      <c r="A539" s="3">
        <f ca="1"/>
        <v>2346826</v>
      </c>
      <c r="B539" s="3" t="str">
        <f ca="1"/>
        <v>CZECH NEWS CENTER a. s.</v>
      </c>
      <c r="C539" s="3" t="str">
        <f ca="1">IFERROR(__xludf.DUMMYFUNCTION("""COMPUTED_VALUE"""),"F1 sport")</f>
        <v>F1 sport</v>
      </c>
      <c r="D539" s="4" t="str">
        <f ca="1">IFERROR(__xludf.DUMMYFUNCTION("""COMPUTED_VALUE"""),"https://f1sport.auto.cz")</f>
        <v>https://f1sport.auto.cz</v>
      </c>
      <c r="E539" s="3" t="str">
        <f ca="1">IFERROR(__xludf.DUMMYFUNCTION("""COMPUTED_VALUE"""),"celý web")</f>
        <v>celý web</v>
      </c>
      <c r="F539" s="4" t="str">
        <f ca="1">IFERROR(__xludf.DUMMYFUNCTION("""COMPUTED_VALUE"""),"https://f1sport.auto.cz")</f>
        <v>https://f1sport.auto.cz</v>
      </c>
      <c r="G539" s="3" t="str">
        <f ca="1">IFERROR(__xludf.DUMMYFUNCTION("""COMPUTED_VALUE"""),"cílený outstream high season")</f>
        <v>cílený outstream high season</v>
      </c>
      <c r="H539" s="3">
        <f ca="1">IFERROR(__xludf.DUMMYFUNCTION("""COMPUTED_VALUE"""),7)</f>
        <v>7</v>
      </c>
      <c r="I539" s="5">
        <f ca="1">IFERROR(__xludf.DUMMYFUNCTION("""COMPUTED_VALUE"""),1000)</f>
        <v>1000</v>
      </c>
      <c r="J539" s="5">
        <f ca="1">IFERROR(__xludf.DUMMYFUNCTION("""COMPUTED_VALUE"""),540)</f>
        <v>540</v>
      </c>
      <c r="K539" s="3"/>
      <c r="L539" s="3" t="str">
        <f ca="1">IFERROR(__xludf.DUMMYFUNCTION("""COMPUTED_VALUE"""),"Cost per period")</f>
        <v>Cost per period</v>
      </c>
      <c r="M539" s="3"/>
      <c r="N539" s="3"/>
      <c r="O539" s="3" t="str">
        <f ca="1">IFERROR(__xludf.DUMMYFUNCTION("""COMPUTED_VALUE"""),"1280")</f>
        <v>1280</v>
      </c>
      <c r="P539" s="3" t="str">
        <f ca="1">IFERROR(__xludf.DUMMYFUNCTION("""COMPUTED_VALUE"""),"720")</f>
        <v>720</v>
      </c>
      <c r="Q539" s="3" t="str">
        <f ca="1">IFERROR(__xludf.DUMMYFUNCTION("""COMPUTED_VALUE"""),"16:9")</f>
        <v>16:9</v>
      </c>
      <c r="R539" s="3"/>
      <c r="S539" s="3" t="str">
        <f ca="1">IFERROR(__xludf.DUMMYFUNCTION("""COMPUTED_VALUE"""),"100")</f>
        <v>100</v>
      </c>
      <c r="T539" s="3"/>
      <c r="U539" s="3" t="str">
        <f ca="1">IFERROR(__xludf.DUMMYFUNCTION("""COMPUTED_VALUE"""),"videospot")</f>
        <v>videospot</v>
      </c>
      <c r="V539" s="3"/>
      <c r="W539" s="4" t="str">
        <f ca="1">IFERROR(__xludf.DUMMYFUNCTION("""COMPUTED_VALUE"""),"https://reklama.cncenter.cz/Online/Outstream")</f>
        <v>https://reklama.cncenter.cz/Online/Outstream</v>
      </c>
      <c r="X539" s="3"/>
      <c r="Y539" s="3"/>
      <c r="Z539" s="3" t="str">
        <f ca="1">IFERROR(__xludf.DUMMYFUNCTION("""COMPUTED_VALUE"""),"podklady@cncenter.cz")</f>
        <v>podklady@cncenter.cz</v>
      </c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 t="str">
        <f ca="1">IFERROR(__xludf.DUMMYFUNCTION("""COMPUTED_VALUE"""),"cross-device")</f>
        <v>cross-device</v>
      </c>
      <c r="AO539" s="3"/>
      <c r="AP539" s="3"/>
      <c r="AQ539" s="3"/>
      <c r="AR539" s="3"/>
      <c r="AS539" s="3"/>
      <c r="AT539" s="3"/>
      <c r="AU539" s="3" t="str">
        <f ca="1">IFERROR(__xludf.DUMMYFUNCTION("""COMPUTED_VALUE"""),"cílený outstream")</f>
        <v>cílený outstream</v>
      </c>
    </row>
    <row r="540" spans="1:47" x14ac:dyDescent="0.3">
      <c r="A540" s="3">
        <f ca="1"/>
        <v>2346826</v>
      </c>
      <c r="B540" s="3" t="str">
        <f ca="1"/>
        <v>CZECH NEWS CENTER a. s.</v>
      </c>
      <c r="C540" s="3" t="str">
        <f ca="1">IFERROR(__xludf.DUMMYFUNCTION("""COMPUTED_VALUE"""),"F1 sport")</f>
        <v>F1 sport</v>
      </c>
      <c r="D540" s="4" t="str">
        <f ca="1">IFERROR(__xludf.DUMMYFUNCTION("""COMPUTED_VALUE"""),"https://f1sport.auto.cz")</f>
        <v>https://f1sport.auto.cz</v>
      </c>
      <c r="E540" s="3" t="str">
        <f ca="1">IFERROR(__xludf.DUMMYFUNCTION("""COMPUTED_VALUE"""),"celý web")</f>
        <v>celý web</v>
      </c>
      <c r="F540" s="4" t="str">
        <f ca="1">IFERROR(__xludf.DUMMYFUNCTION("""COMPUTED_VALUE"""),"https://f1sport.auto.cz")</f>
        <v>https://f1sport.auto.cz</v>
      </c>
      <c r="G540" s="3" t="str">
        <f ca="1">IFERROR(__xludf.DUMMYFUNCTION("""COMPUTED_VALUE"""),"dokoupení proma o 2 týdny - 10 000 PV *** high season")</f>
        <v>dokoupení proma o 2 týdny - 10 000 PV *** high season</v>
      </c>
      <c r="H540" s="3">
        <f ca="1">IFERROR(__xludf.DUMMYFUNCTION("""COMPUTED_VALUE"""),1)</f>
        <v>1</v>
      </c>
      <c r="I540" s="5">
        <f ca="1">IFERROR(__xludf.DUMMYFUNCTION("""COMPUTED_VALUE"""),1)</f>
        <v>1</v>
      </c>
      <c r="J540" s="5">
        <f ca="1">IFERROR(__xludf.DUMMYFUNCTION("""COMPUTED_VALUE"""),60000)</f>
        <v>60000</v>
      </c>
      <c r="K540" s="3"/>
      <c r="L540" s="3" t="str">
        <f ca="1">IFERROR(__xludf.DUMMYFUNCTION("""COMPUTED_VALUE"""),"Cost per instance")</f>
        <v>Cost per instance</v>
      </c>
      <c r="M540" s="3"/>
      <c r="N540" s="3"/>
      <c r="O540" s="3"/>
      <c r="P540" s="3"/>
      <c r="Q540" s="3"/>
      <c r="R540" s="3"/>
      <c r="S540" s="3" t="str">
        <f ca="1">IFERROR(__xludf.DUMMYFUNCTION("""COMPUTED_VALUE"""),"100")</f>
        <v>100</v>
      </c>
      <c r="T540" s="3"/>
      <c r="U540" s="3" t="str">
        <f ca="1">IFERROR(__xludf.DUMMYFUNCTION("""COMPUTED_VALUE"""),"microsite")</f>
        <v>microsite</v>
      </c>
      <c r="V540" s="3"/>
      <c r="W540" s="3"/>
      <c r="X540" s="3"/>
      <c r="Y540" s="3"/>
      <c r="Z540" s="3" t="str">
        <f ca="1">IFERROR(__xludf.DUMMYFUNCTION("""COMPUTED_VALUE"""),"podklady@cncenter.cz")</f>
        <v>podklady@cncenter.cz</v>
      </c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 t="str">
        <f ca="1">IFERROR(__xludf.DUMMYFUNCTION("""COMPUTED_VALUE"""),"cross-device")</f>
        <v>cross-device</v>
      </c>
      <c r="AO540" s="3"/>
      <c r="AP540" s="3"/>
      <c r="AQ540" s="3"/>
      <c r="AR540" s="3"/>
      <c r="AS540" s="3"/>
      <c r="AT540" s="3"/>
      <c r="AU540" s="3" t="str">
        <f ca="1">IFERROR(__xludf.DUMMYFUNCTION("""COMPUTED_VALUE"""),"dokoupení proma o 2 týdny - 10 000 PV ***")</f>
        <v>dokoupení proma o 2 týdny - 10 000 PV ***</v>
      </c>
    </row>
    <row r="541" spans="1:47" x14ac:dyDescent="0.3">
      <c r="A541" s="3">
        <f ca="1"/>
        <v>2346826</v>
      </c>
      <c r="B541" s="3" t="str">
        <f ca="1"/>
        <v>CZECH NEWS CENTER a. s.</v>
      </c>
      <c r="C541" s="3" t="str">
        <f ca="1">IFERROR(__xludf.DUMMYFUNCTION("""COMPUTED_VALUE"""),"F1 sport")</f>
        <v>F1 sport</v>
      </c>
      <c r="D541" s="4" t="str">
        <f ca="1">IFERROR(__xludf.DUMMYFUNCTION("""COMPUTED_VALUE"""),"https://f1sport.auto.cz")</f>
        <v>https://f1sport.auto.cz</v>
      </c>
      <c r="E541" s="3" t="str">
        <f ca="1">IFERROR(__xludf.DUMMYFUNCTION("""COMPUTED_VALUE"""),"celý web")</f>
        <v>celý web</v>
      </c>
      <c r="F541" s="4" t="str">
        <f ca="1">IFERROR(__xludf.DUMMYFUNCTION("""COMPUTED_VALUE"""),"https://f1sport.auto.cz")</f>
        <v>https://f1sport.auto.cz</v>
      </c>
      <c r="G541" s="3" t="str">
        <f ca="1">IFERROR(__xludf.DUMMYFUNCTION("""COMPUTED_VALUE"""),"double skyscraper high season")</f>
        <v>double skyscraper high season</v>
      </c>
      <c r="H541" s="3">
        <f ca="1">IFERROR(__xludf.DUMMYFUNCTION("""COMPUTED_VALUE"""),7)</f>
        <v>7</v>
      </c>
      <c r="I541" s="5">
        <f ca="1">IFERROR(__xludf.DUMMYFUNCTION("""COMPUTED_VALUE"""),1000)</f>
        <v>1000</v>
      </c>
      <c r="J541" s="5">
        <f ca="1">IFERROR(__xludf.DUMMYFUNCTION("""COMPUTED_VALUE"""),350)</f>
        <v>350</v>
      </c>
      <c r="K541" s="3"/>
      <c r="L541" s="3" t="str">
        <f ca="1">IFERROR(__xludf.DUMMYFUNCTION("""COMPUTED_VALUE"""),"Cost per period")</f>
        <v>Cost per period</v>
      </c>
      <c r="M541" s="3"/>
      <c r="N541" s="3"/>
      <c r="O541" s="3" t="str">
        <f ca="1">IFERROR(__xludf.DUMMYFUNCTION("""COMPUTED_VALUE"""),"300")</f>
        <v>300</v>
      </c>
      <c r="P541" s="3" t="str">
        <f ca="1">IFERROR(__xludf.DUMMYFUNCTION("""COMPUTED_VALUE"""),"600")</f>
        <v>600</v>
      </c>
      <c r="Q541" s="3" t="str">
        <f ca="1">IFERROR(__xludf.DUMMYFUNCTION("""COMPUTED_VALUE"""),"300x600")</f>
        <v>300x600</v>
      </c>
      <c r="R541" s="3"/>
      <c r="S541" s="3" t="str">
        <f ca="1">IFERROR(__xludf.DUMMYFUNCTION("""COMPUTED_VALUE"""),"100 (200 - HTML5)")</f>
        <v>100 (200 - HTML5)</v>
      </c>
      <c r="T541" s="3"/>
      <c r="U541" s="3" t="str">
        <f ca="1">IFERROR(__xludf.DUMMYFUNCTION("""COMPUTED_VALUE"""),"banner standard")</f>
        <v>banner standard</v>
      </c>
      <c r="V541" s="3"/>
      <c r="W541" s="4" t="str">
        <f ca="1">IFERROR(__xludf.DUMMYFUNCTION("""COMPUTED_VALUE"""),"https://reklama.cncenter.cz/Online/double-skyscraper")</f>
        <v>https://reklama.cncenter.cz/Online/double-skyscraper</v>
      </c>
      <c r="X541" s="3"/>
      <c r="Y541" s="3"/>
      <c r="Z541" s="3" t="str">
        <f ca="1">IFERROR(__xludf.DUMMYFUNCTION("""COMPUTED_VALUE"""),"podklady@cncenter.cz")</f>
        <v>podklady@cncenter.cz</v>
      </c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 t="str">
        <f ca="1">IFERROR(__xludf.DUMMYFUNCTION("""COMPUTED_VALUE"""),"desktop")</f>
        <v>desktop</v>
      </c>
      <c r="AO541" s="3"/>
      <c r="AP541" s="3"/>
      <c r="AQ541" s="3"/>
      <c r="AR541" s="3"/>
      <c r="AS541" s="3"/>
      <c r="AT541" s="3"/>
      <c r="AU541" s="3" t="str">
        <f ca="1">IFERROR(__xludf.DUMMYFUNCTION("""COMPUTED_VALUE"""),"double skyscraper")</f>
        <v>double skyscraper</v>
      </c>
    </row>
    <row r="542" spans="1:47" x14ac:dyDescent="0.3">
      <c r="A542" s="3">
        <f ca="1"/>
        <v>2346826</v>
      </c>
      <c r="B542" s="3" t="str">
        <f ca="1"/>
        <v>CZECH NEWS CENTER a. s.</v>
      </c>
      <c r="C542" s="3" t="str">
        <f ca="1">IFERROR(__xludf.DUMMYFUNCTION("""COMPUTED_VALUE"""),"F1 sport")</f>
        <v>F1 sport</v>
      </c>
      <c r="D542" s="4" t="str">
        <f ca="1">IFERROR(__xludf.DUMMYFUNCTION("""COMPUTED_VALUE"""),"https://f1sport.auto.cz")</f>
        <v>https://f1sport.auto.cz</v>
      </c>
      <c r="E542" s="3" t="str">
        <f ca="1">IFERROR(__xludf.DUMMYFUNCTION("""COMPUTED_VALUE"""),"celý web")</f>
        <v>celý web</v>
      </c>
      <c r="F542" s="4" t="str">
        <f ca="1">IFERROR(__xludf.DUMMYFUNCTION("""COMPUTED_VALUE"""),"https://f1sport.auto.cz")</f>
        <v>https://f1sport.auto.cz</v>
      </c>
      <c r="G542" s="3" t="str">
        <f ca="1">IFERROR(__xludf.DUMMYFUNCTION("""COMPUTED_VALUE"""),"mobilní interscroller high season")</f>
        <v>mobilní interscroller high season</v>
      </c>
      <c r="H542" s="3">
        <f ca="1">IFERROR(__xludf.DUMMYFUNCTION("""COMPUTED_VALUE"""),7)</f>
        <v>7</v>
      </c>
      <c r="I542" s="5">
        <f ca="1">IFERROR(__xludf.DUMMYFUNCTION("""COMPUTED_VALUE"""),1000)</f>
        <v>1000</v>
      </c>
      <c r="J542" s="5">
        <f ca="1">IFERROR(__xludf.DUMMYFUNCTION("""COMPUTED_VALUE"""),450)</f>
        <v>450</v>
      </c>
      <c r="K542" s="3"/>
      <c r="L542" s="3" t="str">
        <f ca="1">IFERROR(__xludf.DUMMYFUNCTION("""COMPUTED_VALUE"""),"Cost per period")</f>
        <v>Cost per period</v>
      </c>
      <c r="M542" s="3"/>
      <c r="N542" s="3"/>
      <c r="O542" s="3" t="str">
        <f ca="1">IFERROR(__xludf.DUMMYFUNCTION("""COMPUTED_VALUE"""),"600")</f>
        <v>600</v>
      </c>
      <c r="P542" s="3" t="str">
        <f ca="1">IFERROR(__xludf.DUMMYFUNCTION("""COMPUTED_VALUE"""),"1080")</f>
        <v>1080</v>
      </c>
      <c r="Q542" s="3" t="str">
        <f ca="1">IFERROR(__xludf.DUMMYFUNCTION("""COMPUTED_VALUE"""),"600x1080")</f>
        <v>600x1080</v>
      </c>
      <c r="R542" s="3"/>
      <c r="S542" s="3" t="str">
        <f ca="1">IFERROR(__xludf.DUMMYFUNCTION("""COMPUTED_VALUE"""),"200")</f>
        <v>200</v>
      </c>
      <c r="T542" s="3"/>
      <c r="U542" s="3" t="str">
        <f ca="1">IFERROR(__xludf.DUMMYFUNCTION("""COMPUTED_VALUE"""),"banner standard")</f>
        <v>banner standard</v>
      </c>
      <c r="V542" s="3"/>
      <c r="W542" s="4" t="str">
        <f ca="1">IFERROR(__xludf.DUMMYFUNCTION("""COMPUTED_VALUE"""),"https://reklama.cncenter.cz/Online/mobilni-interscroller")</f>
        <v>https://reklama.cncenter.cz/Online/mobilni-interscroller</v>
      </c>
      <c r="X542" s="3"/>
      <c r="Y542" s="3"/>
      <c r="Z542" s="3" t="str">
        <f ca="1">IFERROR(__xludf.DUMMYFUNCTION("""COMPUTED_VALUE"""),"podklady@cncenter.cz")</f>
        <v>podklady@cncenter.cz</v>
      </c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 t="str">
        <f ca="1">IFERROR(__xludf.DUMMYFUNCTION("""COMPUTED_VALUE"""),"mobile")</f>
        <v>mobile</v>
      </c>
      <c r="AO542" s="3"/>
      <c r="AP542" s="3"/>
      <c r="AQ542" s="3"/>
      <c r="AR542" s="3"/>
      <c r="AS542" s="3"/>
      <c r="AT542" s="3"/>
      <c r="AU542" s="3" t="str">
        <f ca="1">IFERROR(__xludf.DUMMYFUNCTION("""COMPUTED_VALUE"""),"mobilní interscroller")</f>
        <v>mobilní interscroller</v>
      </c>
    </row>
    <row r="543" spans="1:47" x14ac:dyDescent="0.3">
      <c r="A543" s="3">
        <f ca="1"/>
        <v>2346826</v>
      </c>
      <c r="B543" s="3" t="str">
        <f ca="1"/>
        <v>CZECH NEWS CENTER a. s.</v>
      </c>
      <c r="C543" s="3" t="str">
        <f ca="1">IFERROR(__xludf.DUMMYFUNCTION("""COMPUTED_VALUE"""),"F1 sport")</f>
        <v>F1 sport</v>
      </c>
      <c r="D543" s="4" t="str">
        <f ca="1">IFERROR(__xludf.DUMMYFUNCTION("""COMPUTED_VALUE"""),"https://f1sport.auto.cz")</f>
        <v>https://f1sport.auto.cz</v>
      </c>
      <c r="E543" s="3" t="str">
        <f ca="1">IFERROR(__xludf.DUMMYFUNCTION("""COMPUTED_VALUE"""),"celý web")</f>
        <v>celý web</v>
      </c>
      <c r="F543" s="4" t="str">
        <f ca="1">IFERROR(__xludf.DUMMYFUNCTION("""COMPUTED_VALUE"""),"https://f1sport.auto.cz")</f>
        <v>https://f1sport.auto.cz</v>
      </c>
      <c r="G543" s="3" t="str">
        <f ca="1">IFERROR(__xludf.DUMMYFUNCTION("""COMPUTED_VALUE"""),"mobilní slide-up high season")</f>
        <v>mobilní slide-up high season</v>
      </c>
      <c r="H543" s="3">
        <f ca="1">IFERROR(__xludf.DUMMYFUNCTION("""COMPUTED_VALUE"""),7)</f>
        <v>7</v>
      </c>
      <c r="I543" s="5">
        <f ca="1">IFERROR(__xludf.DUMMYFUNCTION("""COMPUTED_VALUE"""),1000)</f>
        <v>1000</v>
      </c>
      <c r="J543" s="5">
        <f ca="1">IFERROR(__xludf.DUMMYFUNCTION("""COMPUTED_VALUE"""),920)</f>
        <v>920</v>
      </c>
      <c r="K543" s="3"/>
      <c r="L543" s="3" t="str">
        <f ca="1">IFERROR(__xludf.DUMMYFUNCTION("""COMPUTED_VALUE"""),"Cost per period")</f>
        <v>Cost per period</v>
      </c>
      <c r="M543" s="3"/>
      <c r="N543" s="3"/>
      <c r="O543" s="3" t="str">
        <f ca="1">IFERROR(__xludf.DUMMYFUNCTION("""COMPUTED_VALUE"""),"300")</f>
        <v>300</v>
      </c>
      <c r="P543" s="3" t="str">
        <f ca="1">IFERROR(__xludf.DUMMYFUNCTION("""COMPUTED_VALUE"""),"120")</f>
        <v>120</v>
      </c>
      <c r="Q543" s="3" t="str">
        <f ca="1">IFERROR(__xludf.DUMMYFUNCTION("""COMPUTED_VALUE"""),"300x120")</f>
        <v>300x120</v>
      </c>
      <c r="R543" s="3"/>
      <c r="S543" s="3" t="str">
        <f ca="1">IFERROR(__xludf.DUMMYFUNCTION("""COMPUTED_VALUE"""),"100")</f>
        <v>100</v>
      </c>
      <c r="T543" s="3"/>
      <c r="U543" s="3" t="str">
        <f ca="1">IFERROR(__xludf.DUMMYFUNCTION("""COMPUTED_VALUE"""),"banner standard")</f>
        <v>banner standard</v>
      </c>
      <c r="V543" s="3"/>
      <c r="W543" s="4" t="str">
        <f ca="1">IFERROR(__xludf.DUMMYFUNCTION("""COMPUTED_VALUE"""),"https://reklama.cncenter.cz/Online/mobilni-slide-up")</f>
        <v>https://reklama.cncenter.cz/Online/mobilni-slide-up</v>
      </c>
      <c r="X543" s="3"/>
      <c r="Y543" s="3"/>
      <c r="Z543" s="3" t="str">
        <f ca="1">IFERROR(__xludf.DUMMYFUNCTION("""COMPUTED_VALUE"""),"podklady@cncenter.cz")</f>
        <v>podklady@cncenter.cz</v>
      </c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 t="str">
        <f ca="1">IFERROR(__xludf.DUMMYFUNCTION("""COMPUTED_VALUE"""),"mobile")</f>
        <v>mobile</v>
      </c>
      <c r="AO543" s="3"/>
      <c r="AP543" s="3"/>
      <c r="AQ543" s="3"/>
      <c r="AR543" s="3"/>
      <c r="AS543" s="3"/>
      <c r="AT543" s="3"/>
      <c r="AU543" s="3" t="str">
        <f ca="1">IFERROR(__xludf.DUMMYFUNCTION("""COMPUTED_VALUE"""),"mobilní slide-up")</f>
        <v>mobilní slide-up</v>
      </c>
    </row>
    <row r="544" spans="1:47" x14ac:dyDescent="0.3">
      <c r="A544" s="3">
        <f ca="1"/>
        <v>2346826</v>
      </c>
      <c r="B544" s="3" t="str">
        <f ca="1"/>
        <v>CZECH NEWS CENTER a. s.</v>
      </c>
      <c r="C544" s="3" t="str">
        <f ca="1">IFERROR(__xludf.DUMMYFUNCTION("""COMPUTED_VALUE"""),"F1 sport")</f>
        <v>F1 sport</v>
      </c>
      <c r="D544" s="4" t="str">
        <f ca="1">IFERROR(__xludf.DUMMYFUNCTION("""COMPUTED_VALUE"""),"https://f1sport.auto.cz")</f>
        <v>https://f1sport.auto.cz</v>
      </c>
      <c r="E544" s="3" t="str">
        <f ca="1">IFERROR(__xludf.DUMMYFUNCTION("""COMPUTED_VALUE"""),"celý web")</f>
        <v>celý web</v>
      </c>
      <c r="F544" s="4" t="str">
        <f ca="1">IFERROR(__xludf.DUMMYFUNCTION("""COMPUTED_VALUE"""),"https://f1sport.auto.cz")</f>
        <v>https://f1sport.auto.cz</v>
      </c>
      <c r="G544" s="3" t="str">
        <f ca="1">IFERROR(__xludf.DUMMYFUNCTION("""COMPUTED_VALUE"""),"mobilní viněta high season")</f>
        <v>mobilní viněta high season</v>
      </c>
      <c r="H544" s="3">
        <f ca="1">IFERROR(__xludf.DUMMYFUNCTION("""COMPUTED_VALUE"""),7)</f>
        <v>7</v>
      </c>
      <c r="I544" s="5">
        <f ca="1">IFERROR(__xludf.DUMMYFUNCTION("""COMPUTED_VALUE"""),1000)</f>
        <v>1000</v>
      </c>
      <c r="J544" s="5">
        <f ca="1">IFERROR(__xludf.DUMMYFUNCTION("""COMPUTED_VALUE"""),1590)</f>
        <v>1590</v>
      </c>
      <c r="K544" s="3"/>
      <c r="L544" s="3" t="str">
        <f ca="1">IFERROR(__xludf.DUMMYFUNCTION("""COMPUTED_VALUE"""),"Cost per period")</f>
        <v>Cost per period</v>
      </c>
      <c r="M544" s="3"/>
      <c r="N544" s="3"/>
      <c r="O544" s="3" t="str">
        <f ca="1">IFERROR(__xludf.DUMMYFUNCTION("""COMPUTED_VALUE"""),"600")</f>
        <v>600</v>
      </c>
      <c r="P544" s="3" t="str">
        <f ca="1">IFERROR(__xludf.DUMMYFUNCTION("""COMPUTED_VALUE"""),"800")</f>
        <v>800</v>
      </c>
      <c r="Q544" s="3" t="str">
        <f ca="1">IFERROR(__xludf.DUMMYFUNCTION("""COMPUTED_VALUE"""),"300x250 nebo 600x800")</f>
        <v>300x250 nebo 600x800</v>
      </c>
      <c r="R544" s="3"/>
      <c r="S544" s="3" t="str">
        <f ca="1">IFERROR(__xludf.DUMMYFUNCTION("""COMPUTED_VALUE"""),"100")</f>
        <v>100</v>
      </c>
      <c r="T544" s="3"/>
      <c r="U544" s="3" t="str">
        <f ca="1">IFERROR(__xludf.DUMMYFUNCTION("""COMPUTED_VALUE"""),"banner standard")</f>
        <v>banner standard</v>
      </c>
      <c r="V544" s="3"/>
      <c r="W544" s="4" t="str">
        <f ca="1">IFERROR(__xludf.DUMMYFUNCTION("""COMPUTED_VALUE"""),"https://reklama.cncenter.cz/Online/mobilni-vineta")</f>
        <v>https://reklama.cncenter.cz/Online/mobilni-vineta</v>
      </c>
      <c r="X544" s="3"/>
      <c r="Y544" s="3"/>
      <c r="Z544" s="3" t="str">
        <f ca="1">IFERROR(__xludf.DUMMYFUNCTION("""COMPUTED_VALUE"""),"podklady@cncenter.cz")</f>
        <v>podklady@cncenter.cz</v>
      </c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 t="str">
        <f ca="1">IFERROR(__xludf.DUMMYFUNCTION("""COMPUTED_VALUE"""),"mobile")</f>
        <v>mobile</v>
      </c>
      <c r="AO544" s="3"/>
      <c r="AP544" s="3"/>
      <c r="AQ544" s="3"/>
      <c r="AR544" s="3"/>
      <c r="AS544" s="3"/>
      <c r="AT544" s="3"/>
      <c r="AU544" s="3" t="str">
        <f ca="1">IFERROR(__xludf.DUMMYFUNCTION("""COMPUTED_VALUE"""),"mobilní viněta")</f>
        <v>mobilní viněta</v>
      </c>
    </row>
    <row r="545" spans="1:47" x14ac:dyDescent="0.3">
      <c r="A545" s="3">
        <f ca="1"/>
        <v>2346826</v>
      </c>
      <c r="B545" s="3" t="str">
        <f ca="1"/>
        <v>CZECH NEWS CENTER a. s.</v>
      </c>
      <c r="C545" s="3" t="str">
        <f ca="1">IFERROR(__xludf.DUMMYFUNCTION("""COMPUTED_VALUE"""),"F1 sport")</f>
        <v>F1 sport</v>
      </c>
      <c r="D545" s="4" t="str">
        <f ca="1">IFERROR(__xludf.DUMMYFUNCTION("""COMPUTED_VALUE"""),"https://f1sport.auto.cz")</f>
        <v>https://f1sport.auto.cz</v>
      </c>
      <c r="E545" s="3" t="str">
        <f ca="1">IFERROR(__xludf.DUMMYFUNCTION("""COMPUTED_VALUE"""),"celý web")</f>
        <v>celý web</v>
      </c>
      <c r="F545" s="4" t="str">
        <f ca="1">IFERROR(__xludf.DUMMYFUNCTION("""COMPUTED_VALUE"""),"https://f1sport.auto.cz")</f>
        <v>https://f1sport.auto.cz</v>
      </c>
      <c r="G545" s="3" t="str">
        <f ca="1">IFERROR(__xludf.DUMMYFUNCTION("""COMPUTED_VALUE"""),"Native Standard high season")</f>
        <v>Native Standard high season</v>
      </c>
      <c r="H545" s="3">
        <f ca="1">IFERROR(__xludf.DUMMYFUNCTION("""COMPUTED_VALUE"""),1)</f>
        <v>1</v>
      </c>
      <c r="I545" s="5">
        <f ca="1">IFERROR(__xludf.DUMMYFUNCTION("""COMPUTED_VALUE"""),1)</f>
        <v>1</v>
      </c>
      <c r="J545" s="5">
        <f ca="1">IFERROR(__xludf.DUMMYFUNCTION("""COMPUTED_VALUE"""),330000)</f>
        <v>330000</v>
      </c>
      <c r="K545" s="3"/>
      <c r="L545" s="3" t="str">
        <f ca="1">IFERROR(__xludf.DUMMYFUNCTION("""COMPUTED_VALUE"""),"Cost per instance")</f>
        <v>Cost per instance</v>
      </c>
      <c r="M545" s="3"/>
      <c r="N545" s="3"/>
      <c r="O545" s="3"/>
      <c r="P545" s="3"/>
      <c r="Q545" s="3"/>
      <c r="R545" s="3"/>
      <c r="S545" s="3" t="str">
        <f ca="1">IFERROR(__xludf.DUMMYFUNCTION("""COMPUTED_VALUE"""),"100")</f>
        <v>100</v>
      </c>
      <c r="T545" s="3"/>
      <c r="U545" s="3" t="str">
        <f ca="1">IFERROR(__xludf.DUMMYFUNCTION("""COMPUTED_VALUE"""),"microsite")</f>
        <v>microsite</v>
      </c>
      <c r="V545" s="3"/>
      <c r="W545" s="3"/>
      <c r="X545" s="3"/>
      <c r="Y545" s="3"/>
      <c r="Z545" s="3" t="str">
        <f ca="1">IFERROR(__xludf.DUMMYFUNCTION("""COMPUTED_VALUE"""),"podklady@cncenter.cz")</f>
        <v>podklady@cncenter.cz</v>
      </c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 t="str">
        <f ca="1">IFERROR(__xludf.DUMMYFUNCTION("""COMPUTED_VALUE"""),"cross-device")</f>
        <v>cross-device</v>
      </c>
      <c r="AO545" s="3"/>
      <c r="AP545" s="3"/>
      <c r="AQ545" s="3"/>
      <c r="AR545" s="3"/>
      <c r="AS545" s="3"/>
      <c r="AT545" s="3"/>
      <c r="AU545" s="3" t="str">
        <f ca="1">IFERROR(__xludf.DUMMYFUNCTION("""COMPUTED_VALUE"""),"Native Standard")</f>
        <v>Native Standard</v>
      </c>
    </row>
    <row r="546" spans="1:47" x14ac:dyDescent="0.3">
      <c r="A546" s="3">
        <f ca="1"/>
        <v>2346826</v>
      </c>
      <c r="B546" s="3" t="str">
        <f ca="1"/>
        <v>CZECH NEWS CENTER a. s.</v>
      </c>
      <c r="C546" s="3" t="str">
        <f ca="1">IFERROR(__xludf.DUMMYFUNCTION("""COMPUTED_VALUE"""),"F1 sport")</f>
        <v>F1 sport</v>
      </c>
      <c r="D546" s="4" t="str">
        <f ca="1">IFERROR(__xludf.DUMMYFUNCTION("""COMPUTED_VALUE"""),"https://f1sport.auto.cz")</f>
        <v>https://f1sport.auto.cz</v>
      </c>
      <c r="E546" s="3" t="str">
        <f ca="1">IFERROR(__xludf.DUMMYFUNCTION("""COMPUTED_VALUE"""),"celý web")</f>
        <v>celý web</v>
      </c>
      <c r="F546" s="4" t="str">
        <f ca="1">IFERROR(__xludf.DUMMYFUNCTION("""COMPUTED_VALUE"""),"https://f1sport.auto.cz")</f>
        <v>https://f1sport.auto.cz</v>
      </c>
      <c r="G546" s="3" t="str">
        <f ca="1">IFERROR(__xludf.DUMMYFUNCTION("""COMPUTED_VALUE"""),"nativní rectangle cross-device high season")</f>
        <v>nativní rectangle cross-device high season</v>
      </c>
      <c r="H546" s="3">
        <f ca="1">IFERROR(__xludf.DUMMYFUNCTION("""COMPUTED_VALUE"""),7)</f>
        <v>7</v>
      </c>
      <c r="I546" s="5">
        <f ca="1">IFERROR(__xludf.DUMMYFUNCTION("""COMPUTED_VALUE"""),1000)</f>
        <v>1000</v>
      </c>
      <c r="J546" s="5">
        <f ca="1">IFERROR(__xludf.DUMMYFUNCTION("""COMPUTED_VALUE"""),360)</f>
        <v>360</v>
      </c>
      <c r="K546" s="3"/>
      <c r="L546" s="3" t="str">
        <f ca="1">IFERROR(__xludf.DUMMYFUNCTION("""COMPUTED_VALUE"""),"Cost per period")</f>
        <v>Cost per period</v>
      </c>
      <c r="M546" s="3"/>
      <c r="N546" s="3"/>
      <c r="O546" s="3" t="str">
        <f ca="1">IFERROR(__xludf.DUMMYFUNCTION("""COMPUTED_VALUE"""),"640")</f>
        <v>640</v>
      </c>
      <c r="P546" s="3" t="str">
        <f ca="1">IFERROR(__xludf.DUMMYFUNCTION("""COMPUTED_VALUE"""),"335, 640")</f>
        <v>335, 640</v>
      </c>
      <c r="Q546" s="3" t="str">
        <f ca="1">IFERROR(__xludf.DUMMYFUNCTION("""COMPUTED_VALUE"""),"640x640 a 640x335 + text + logo")</f>
        <v>640x640 a 640x335 + text + logo</v>
      </c>
      <c r="R546" s="3"/>
      <c r="S546" s="3" t="str">
        <f ca="1">IFERROR(__xludf.DUMMYFUNCTION("""COMPUTED_VALUE"""),"45")</f>
        <v>45</v>
      </c>
      <c r="T546" s="3"/>
      <c r="U546" s="3" t="str">
        <f ca="1">IFERROR(__xludf.DUMMYFUNCTION("""COMPUTED_VALUE"""),"nativní reklama")</f>
        <v>nativní reklama</v>
      </c>
      <c r="V546" s="3"/>
      <c r="W546" s="4" t="str">
        <f ca="1">IFERROR(__xludf.DUMMYFUNCTION("""COMPUTED_VALUE"""),"https://reklama.cncenter.cz/Online/nativni-rectangle-cross-device")</f>
        <v>https://reklama.cncenter.cz/Online/nativni-rectangle-cross-device</v>
      </c>
      <c r="X546" s="3"/>
      <c r="Y546" s="3"/>
      <c r="Z546" s="3" t="str">
        <f ca="1">IFERROR(__xludf.DUMMYFUNCTION("""COMPUTED_VALUE"""),"podklady@cncenter.cz")</f>
        <v>podklady@cncenter.cz</v>
      </c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 t="str">
        <f ca="1">IFERROR(__xludf.DUMMYFUNCTION("""COMPUTED_VALUE"""),"cross-device")</f>
        <v>cross-device</v>
      </c>
      <c r="AO546" s="3"/>
      <c r="AP546" s="3"/>
      <c r="AQ546" s="3"/>
      <c r="AR546" s="3"/>
      <c r="AS546" s="3"/>
      <c r="AT546" s="3"/>
      <c r="AU546" s="3" t="str">
        <f ca="1">IFERROR(__xludf.DUMMYFUNCTION("""COMPUTED_VALUE"""),"nativní rectangle cross-device")</f>
        <v>nativní rectangle cross-device</v>
      </c>
    </row>
    <row r="547" spans="1:47" x14ac:dyDescent="0.3">
      <c r="A547" s="3">
        <f ca="1"/>
        <v>2346826</v>
      </c>
      <c r="B547" s="3" t="str">
        <f ca="1"/>
        <v>CZECH NEWS CENTER a. s.</v>
      </c>
      <c r="C547" s="3" t="str">
        <f ca="1">IFERROR(__xludf.DUMMYFUNCTION("""COMPUTED_VALUE"""),"F1 sport")</f>
        <v>F1 sport</v>
      </c>
      <c r="D547" s="4" t="str">
        <f ca="1">IFERROR(__xludf.DUMMYFUNCTION("""COMPUTED_VALUE"""),"https://f1sport.auto.cz")</f>
        <v>https://f1sport.auto.cz</v>
      </c>
      <c r="E547" s="3" t="str">
        <f ca="1">IFERROR(__xludf.DUMMYFUNCTION("""COMPUTED_VALUE"""),"celý web")</f>
        <v>celý web</v>
      </c>
      <c r="F547" s="4" t="str">
        <f ca="1">IFERROR(__xludf.DUMMYFUNCTION("""COMPUTED_VALUE"""),"https://f1sport.auto.cz")</f>
        <v>https://f1sport.auto.cz</v>
      </c>
      <c r="G547" s="3" t="str">
        <f ca="1">IFERROR(__xludf.DUMMYFUNCTION("""COMPUTED_VALUE"""),"outstream high season")</f>
        <v>outstream high season</v>
      </c>
      <c r="H547" s="3">
        <f ca="1">IFERROR(__xludf.DUMMYFUNCTION("""COMPUTED_VALUE"""),7)</f>
        <v>7</v>
      </c>
      <c r="I547" s="5">
        <f ca="1">IFERROR(__xludf.DUMMYFUNCTION("""COMPUTED_VALUE"""),1000)</f>
        <v>1000</v>
      </c>
      <c r="J547" s="5">
        <f ca="1">IFERROR(__xludf.DUMMYFUNCTION("""COMPUTED_VALUE"""),450)</f>
        <v>450</v>
      </c>
      <c r="K547" s="3"/>
      <c r="L547" s="3" t="str">
        <f ca="1">IFERROR(__xludf.DUMMYFUNCTION("""COMPUTED_VALUE"""),"Cost per period")</f>
        <v>Cost per period</v>
      </c>
      <c r="M547" s="3"/>
      <c r="N547" s="3"/>
      <c r="O547" s="3" t="str">
        <f ca="1">IFERROR(__xludf.DUMMYFUNCTION("""COMPUTED_VALUE"""),"1280")</f>
        <v>1280</v>
      </c>
      <c r="P547" s="3" t="str">
        <f ca="1">IFERROR(__xludf.DUMMYFUNCTION("""COMPUTED_VALUE"""),"720")</f>
        <v>720</v>
      </c>
      <c r="Q547" s="3" t="str">
        <f ca="1">IFERROR(__xludf.DUMMYFUNCTION("""COMPUTED_VALUE"""),"16:9")</f>
        <v>16:9</v>
      </c>
      <c r="R547" s="3"/>
      <c r="S547" s="3" t="str">
        <f ca="1">IFERROR(__xludf.DUMMYFUNCTION("""COMPUTED_VALUE"""),"100")</f>
        <v>100</v>
      </c>
      <c r="T547" s="3"/>
      <c r="U547" s="3" t="str">
        <f ca="1">IFERROR(__xludf.DUMMYFUNCTION("""COMPUTED_VALUE"""),"videospot")</f>
        <v>videospot</v>
      </c>
      <c r="V547" s="3"/>
      <c r="W547" s="4" t="str">
        <f ca="1">IFERROR(__xludf.DUMMYFUNCTION("""COMPUTED_VALUE"""),"https://reklama.cncenter.cz/Online/Outstream")</f>
        <v>https://reklama.cncenter.cz/Online/Outstream</v>
      </c>
      <c r="X547" s="3"/>
      <c r="Y547" s="3"/>
      <c r="Z547" s="3" t="str">
        <f ca="1">IFERROR(__xludf.DUMMYFUNCTION("""COMPUTED_VALUE"""),"podklady@cncenter.cz")</f>
        <v>podklady@cncenter.cz</v>
      </c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 t="str">
        <f ca="1">IFERROR(__xludf.DUMMYFUNCTION("""COMPUTED_VALUE"""),"cross-device")</f>
        <v>cross-device</v>
      </c>
      <c r="AO547" s="3"/>
      <c r="AP547" s="3"/>
      <c r="AQ547" s="3"/>
      <c r="AR547" s="3"/>
      <c r="AS547" s="3"/>
      <c r="AT547" s="3"/>
      <c r="AU547" s="3" t="str">
        <f ca="1">IFERROR(__xludf.DUMMYFUNCTION("""COMPUTED_VALUE"""),"outstream")</f>
        <v>outstream</v>
      </c>
    </row>
    <row r="548" spans="1:47" x14ac:dyDescent="0.3">
      <c r="A548" s="3">
        <f ca="1"/>
        <v>2346826</v>
      </c>
      <c r="B548" s="3" t="str">
        <f ca="1"/>
        <v>CZECH NEWS CENTER a. s.</v>
      </c>
      <c r="C548" s="3" t="str">
        <f ca="1">IFERROR(__xludf.DUMMYFUNCTION("""COMPUTED_VALUE"""),"F1 sport")</f>
        <v>F1 sport</v>
      </c>
      <c r="D548" s="4" t="str">
        <f ca="1">IFERROR(__xludf.DUMMYFUNCTION("""COMPUTED_VALUE"""),"https://f1sport.auto.cz")</f>
        <v>https://f1sport.auto.cz</v>
      </c>
      <c r="E548" s="3" t="str">
        <f ca="1">IFERROR(__xludf.DUMMYFUNCTION("""COMPUTED_VALUE"""),"celý web")</f>
        <v>celý web</v>
      </c>
      <c r="F548" s="4" t="str">
        <f ca="1">IFERROR(__xludf.DUMMYFUNCTION("""COMPUTED_VALUE"""),"https://f1sport.auto.cz")</f>
        <v>https://f1sport.auto.cz</v>
      </c>
      <c r="G548" s="3" t="str">
        <f ca="1">IFERROR(__xludf.DUMMYFUNCTION("""COMPUTED_VALUE"""),"PR článek high season")</f>
        <v>PR článek high season</v>
      </c>
      <c r="H548" s="3">
        <f ca="1">IFERROR(__xludf.DUMMYFUNCTION("""COMPUTED_VALUE"""),1)</f>
        <v>1</v>
      </c>
      <c r="I548" s="5">
        <f ca="1">IFERROR(__xludf.DUMMYFUNCTION("""COMPUTED_VALUE"""),1)</f>
        <v>1</v>
      </c>
      <c r="J548" s="5">
        <f ca="1">IFERROR(__xludf.DUMMYFUNCTION("""COMPUTED_VALUE"""),30000)</f>
        <v>30000</v>
      </c>
      <c r="K548" s="3"/>
      <c r="L548" s="3" t="str">
        <f ca="1">IFERROR(__xludf.DUMMYFUNCTION("""COMPUTED_VALUE"""),"Cost per instance")</f>
        <v>Cost per instance</v>
      </c>
      <c r="M548" s="3"/>
      <c r="N548" s="3"/>
      <c r="O548" s="3"/>
      <c r="P548" s="3"/>
      <c r="Q548" s="3"/>
      <c r="R548" s="3"/>
      <c r="S548" s="3" t="str">
        <f ca="1">IFERROR(__xludf.DUMMYFUNCTION("""COMPUTED_VALUE"""),"100")</f>
        <v>100</v>
      </c>
      <c r="T548" s="3"/>
      <c r="U548" s="3" t="str">
        <f ca="1">IFERROR(__xludf.DUMMYFUNCTION("""COMPUTED_VALUE"""),"pr článek")</f>
        <v>pr článek</v>
      </c>
      <c r="V548" s="3"/>
      <c r="W548" s="4" t="str">
        <f ca="1">IFERROR(__xludf.DUMMYFUNCTION("""COMPUTED_VALUE"""),"https://reklama.cncenter.cz/?ads=PR%2520%25C4%258Dl%25C3%25A1nky")</f>
        <v>https://reklama.cncenter.cz/?ads=PR%2520%25C4%258Dl%25C3%25A1nky</v>
      </c>
      <c r="X548" s="3"/>
      <c r="Y548" s="3"/>
      <c r="Z548" s="3" t="str">
        <f ca="1">IFERROR(__xludf.DUMMYFUNCTION("""COMPUTED_VALUE"""),"podklady@cncenter.cz")</f>
        <v>podklady@cncenter.cz</v>
      </c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 t="str">
        <f ca="1">IFERROR(__xludf.DUMMYFUNCTION("""COMPUTED_VALUE"""),"cross-device")</f>
        <v>cross-device</v>
      </c>
      <c r="AO548" s="3"/>
      <c r="AP548" s="3"/>
      <c r="AQ548" s="3"/>
      <c r="AR548" s="3"/>
      <c r="AS548" s="3"/>
      <c r="AT548" s="3"/>
      <c r="AU548" s="3" t="str">
        <f ca="1">IFERROR(__xludf.DUMMYFUNCTION("""COMPUTED_VALUE"""),"PR článek")</f>
        <v>PR článek</v>
      </c>
    </row>
    <row r="549" spans="1:47" x14ac:dyDescent="0.3">
      <c r="A549" s="3">
        <f ca="1"/>
        <v>2346826</v>
      </c>
      <c r="B549" s="3" t="str">
        <f ca="1"/>
        <v>CZECH NEWS CENTER a. s.</v>
      </c>
      <c r="C549" s="3" t="str">
        <f ca="1">IFERROR(__xludf.DUMMYFUNCTION("""COMPUTED_VALUE"""),"F1 sport")</f>
        <v>F1 sport</v>
      </c>
      <c r="D549" s="4" t="str">
        <f ca="1">IFERROR(__xludf.DUMMYFUNCTION("""COMPUTED_VALUE"""),"https://f1sport.auto.cz")</f>
        <v>https://f1sport.auto.cz</v>
      </c>
      <c r="E549" s="3" t="str">
        <f ca="1">IFERROR(__xludf.DUMMYFUNCTION("""COMPUTED_VALUE"""),"celý web")</f>
        <v>celý web</v>
      </c>
      <c r="F549" s="4" t="str">
        <f ca="1">IFERROR(__xludf.DUMMYFUNCTION("""COMPUTED_VALUE"""),"https://f1sport.auto.cz")</f>
        <v>https://f1sport.auto.cz</v>
      </c>
      <c r="G549" s="3" t="str">
        <f ca="1">IFERROR(__xludf.DUMMYFUNCTION("""COMPUTED_VALUE"""),"Prodloužení existující microsite, bez úprav high season")</f>
        <v>Prodloužení existující microsite, bez úprav high season</v>
      </c>
      <c r="H549" s="3">
        <f ca="1">IFERROR(__xludf.DUMMYFUNCTION("""COMPUTED_VALUE"""),1)</f>
        <v>1</v>
      </c>
      <c r="I549" s="5">
        <f ca="1">IFERROR(__xludf.DUMMYFUNCTION("""COMPUTED_VALUE"""),1)</f>
        <v>1</v>
      </c>
      <c r="J549" s="5">
        <f ca="1">IFERROR(__xludf.DUMMYFUNCTION("""COMPUTED_VALUE"""),15000)</f>
        <v>15000</v>
      </c>
      <c r="K549" s="3"/>
      <c r="L549" s="3" t="str">
        <f ca="1">IFERROR(__xludf.DUMMYFUNCTION("""COMPUTED_VALUE"""),"Cost per instance")</f>
        <v>Cost per instance</v>
      </c>
      <c r="M549" s="3"/>
      <c r="N549" s="3"/>
      <c r="O549" s="3"/>
      <c r="P549" s="3"/>
      <c r="Q549" s="3"/>
      <c r="R549" s="3"/>
      <c r="S549" s="3" t="str">
        <f ca="1">IFERROR(__xludf.DUMMYFUNCTION("""COMPUTED_VALUE"""),"100")</f>
        <v>100</v>
      </c>
      <c r="T549" s="3"/>
      <c r="U549" s="3" t="str">
        <f ca="1">IFERROR(__xludf.DUMMYFUNCTION("""COMPUTED_VALUE"""),"microsite")</f>
        <v>microsite</v>
      </c>
      <c r="V549" s="3"/>
      <c r="W549" s="3"/>
      <c r="X549" s="3"/>
      <c r="Y549" s="3"/>
      <c r="Z549" s="3" t="str">
        <f ca="1">IFERROR(__xludf.DUMMYFUNCTION("""COMPUTED_VALUE"""),"podklady@cncenter.cz")</f>
        <v>podklady@cncenter.cz</v>
      </c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 t="str">
        <f ca="1">IFERROR(__xludf.DUMMYFUNCTION("""COMPUTED_VALUE"""),"cross-device")</f>
        <v>cross-device</v>
      </c>
      <c r="AO549" s="3"/>
      <c r="AP549" s="3"/>
      <c r="AQ549" s="3"/>
      <c r="AR549" s="3"/>
      <c r="AS549" s="3"/>
      <c r="AT549" s="3"/>
      <c r="AU549" s="3" t="str">
        <f ca="1">IFERROR(__xludf.DUMMYFUNCTION("""COMPUTED_VALUE"""),"Prodloužení existující microsite, bez úprav")</f>
        <v>Prodloužení existující microsite, bez úprav</v>
      </c>
    </row>
    <row r="550" spans="1:47" x14ac:dyDescent="0.3">
      <c r="A550" s="3">
        <f ca="1"/>
        <v>2346826</v>
      </c>
      <c r="B550" s="3" t="str">
        <f ca="1"/>
        <v>CZECH NEWS CENTER a. s.</v>
      </c>
      <c r="C550" s="3" t="str">
        <f ca="1">IFERROR(__xludf.DUMMYFUNCTION("""COMPUTED_VALUE"""),"F1 sport")</f>
        <v>F1 sport</v>
      </c>
      <c r="D550" s="4" t="str">
        <f ca="1">IFERROR(__xludf.DUMMYFUNCTION("""COMPUTED_VALUE"""),"https://f1sport.auto.cz")</f>
        <v>https://f1sport.auto.cz</v>
      </c>
      <c r="E550" s="3" t="str">
        <f ca="1">IFERROR(__xludf.DUMMYFUNCTION("""COMPUTED_VALUE"""),"celý web")</f>
        <v>celý web</v>
      </c>
      <c r="F550" s="4" t="str">
        <f ca="1">IFERROR(__xludf.DUMMYFUNCTION("""COMPUTED_VALUE"""),"https://f1sport.auto.cz")</f>
        <v>https://f1sport.auto.cz</v>
      </c>
      <c r="G550" s="3" t="str">
        <f ca="1">IFERROR(__xludf.DUMMYFUNCTION("""COMPUTED_VALUE"""),"Prodloužení existující microsite, bez úprav high season")</f>
        <v>Prodloužení existující microsite, bez úprav high season</v>
      </c>
      <c r="H550" s="3">
        <f ca="1">IFERROR(__xludf.DUMMYFUNCTION("""COMPUTED_VALUE"""),1)</f>
        <v>1</v>
      </c>
      <c r="I550" s="5">
        <f ca="1">IFERROR(__xludf.DUMMYFUNCTION("""COMPUTED_VALUE"""),1)</f>
        <v>1</v>
      </c>
      <c r="J550" s="5">
        <f ca="1">IFERROR(__xludf.DUMMYFUNCTION("""COMPUTED_VALUE"""),15000)</f>
        <v>15000</v>
      </c>
      <c r="K550" s="3"/>
      <c r="L550" s="3" t="str">
        <f ca="1">IFERROR(__xludf.DUMMYFUNCTION("""COMPUTED_VALUE"""),"Cost per instance")</f>
        <v>Cost per instance</v>
      </c>
      <c r="M550" s="3"/>
      <c r="N550" s="3"/>
      <c r="O550" s="3"/>
      <c r="P550" s="3"/>
      <c r="Q550" s="3"/>
      <c r="R550" s="3"/>
      <c r="S550" s="3" t="str">
        <f ca="1">IFERROR(__xludf.DUMMYFUNCTION("""COMPUTED_VALUE"""),"100")</f>
        <v>100</v>
      </c>
      <c r="T550" s="3"/>
      <c r="U550" s="3" t="str">
        <f ca="1">IFERROR(__xludf.DUMMYFUNCTION("""COMPUTED_VALUE"""),"microsite")</f>
        <v>microsite</v>
      </c>
      <c r="V550" s="3"/>
      <c r="W550" s="3"/>
      <c r="X550" s="3"/>
      <c r="Y550" s="3"/>
      <c r="Z550" s="3" t="str">
        <f ca="1">IFERROR(__xludf.DUMMYFUNCTION("""COMPUTED_VALUE"""),"podklady@cncenter.cz")</f>
        <v>podklady@cncenter.cz</v>
      </c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 t="str">
        <f ca="1">IFERROR(__xludf.DUMMYFUNCTION("""COMPUTED_VALUE"""),"cross-device")</f>
        <v>cross-device</v>
      </c>
      <c r="AO550" s="3"/>
      <c r="AP550" s="3"/>
      <c r="AQ550" s="3"/>
      <c r="AR550" s="3"/>
      <c r="AS550" s="3"/>
      <c r="AT550" s="3"/>
      <c r="AU550" s="3" t="str">
        <f ca="1">IFERROR(__xludf.DUMMYFUNCTION("""COMPUTED_VALUE"""),"Prodloužení existující microsite, bez úprav")</f>
        <v>Prodloužení existující microsite, bez úprav</v>
      </c>
    </row>
    <row r="551" spans="1:47" x14ac:dyDescent="0.3">
      <c r="A551" s="3">
        <f ca="1"/>
        <v>2346826</v>
      </c>
      <c r="B551" s="3" t="str">
        <f ca="1"/>
        <v>CZECH NEWS CENTER a. s.</v>
      </c>
      <c r="C551" s="3" t="str">
        <f ca="1">IFERROR(__xludf.DUMMYFUNCTION("""COMPUTED_VALUE"""),"F1 sport")</f>
        <v>F1 sport</v>
      </c>
      <c r="D551" s="4" t="str">
        <f ca="1">IFERROR(__xludf.DUMMYFUNCTION("""COMPUTED_VALUE"""),"https://f1sport.auto.cz")</f>
        <v>https://f1sport.auto.cz</v>
      </c>
      <c r="E551" s="3" t="str">
        <f ca="1">IFERROR(__xludf.DUMMYFUNCTION("""COMPUTED_VALUE"""),"celý web")</f>
        <v>celý web</v>
      </c>
      <c r="F551" s="4" t="str">
        <f ca="1">IFERROR(__xludf.DUMMYFUNCTION("""COMPUTED_VALUE"""),"https://f1sport.auto.cz")</f>
        <v>https://f1sport.auto.cz</v>
      </c>
      <c r="G551" s="3" t="str">
        <f ca="1">IFERROR(__xludf.DUMMYFUNCTION("""COMPUTED_VALUE"""),"Prodloužení existující microsite, bez úprav high season")</f>
        <v>Prodloužení existující microsite, bez úprav high season</v>
      </c>
      <c r="H551" s="3">
        <f ca="1">IFERROR(__xludf.DUMMYFUNCTION("""COMPUTED_VALUE"""),1)</f>
        <v>1</v>
      </c>
      <c r="I551" s="5">
        <f ca="1">IFERROR(__xludf.DUMMYFUNCTION("""COMPUTED_VALUE"""),1)</f>
        <v>1</v>
      </c>
      <c r="J551" s="5">
        <f ca="1">IFERROR(__xludf.DUMMYFUNCTION("""COMPUTED_VALUE"""),15000)</f>
        <v>15000</v>
      </c>
      <c r="K551" s="3"/>
      <c r="L551" s="3" t="str">
        <f ca="1">IFERROR(__xludf.DUMMYFUNCTION("""COMPUTED_VALUE"""),"Cost per instance")</f>
        <v>Cost per instance</v>
      </c>
      <c r="M551" s="3"/>
      <c r="N551" s="3"/>
      <c r="O551" s="3"/>
      <c r="P551" s="3"/>
      <c r="Q551" s="3"/>
      <c r="R551" s="3"/>
      <c r="S551" s="3" t="str">
        <f ca="1">IFERROR(__xludf.DUMMYFUNCTION("""COMPUTED_VALUE"""),"100")</f>
        <v>100</v>
      </c>
      <c r="T551" s="3"/>
      <c r="U551" s="3" t="str">
        <f ca="1">IFERROR(__xludf.DUMMYFUNCTION("""COMPUTED_VALUE"""),"microsite")</f>
        <v>microsite</v>
      </c>
      <c r="V551" s="3"/>
      <c r="W551" s="3"/>
      <c r="X551" s="3"/>
      <c r="Y551" s="3"/>
      <c r="Z551" s="3" t="str">
        <f ca="1">IFERROR(__xludf.DUMMYFUNCTION("""COMPUTED_VALUE"""),"podklady@cncenter.cz")</f>
        <v>podklady@cncenter.cz</v>
      </c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 t="str">
        <f ca="1">IFERROR(__xludf.DUMMYFUNCTION("""COMPUTED_VALUE"""),"cross-device")</f>
        <v>cross-device</v>
      </c>
      <c r="AO551" s="3"/>
      <c r="AP551" s="3"/>
      <c r="AQ551" s="3"/>
      <c r="AR551" s="3"/>
      <c r="AS551" s="3"/>
      <c r="AT551" s="3"/>
      <c r="AU551" s="3" t="str">
        <f ca="1">IFERROR(__xludf.DUMMYFUNCTION("""COMPUTED_VALUE"""),"Prodloužení existující microsite, bez úprav")</f>
        <v>Prodloužení existující microsite, bez úprav</v>
      </c>
    </row>
    <row r="552" spans="1:47" x14ac:dyDescent="0.3">
      <c r="A552" s="3">
        <f ca="1"/>
        <v>2346826</v>
      </c>
      <c r="B552" s="3" t="str">
        <f ca="1"/>
        <v>CZECH NEWS CENTER a. s.</v>
      </c>
      <c r="C552" s="3" t="str">
        <f ca="1">IFERROR(__xludf.DUMMYFUNCTION("""COMPUTED_VALUE"""),"Facebookový profil ABC")</f>
        <v>Facebookový profil ABC</v>
      </c>
      <c r="D552" s="4" t="str">
        <f ca="1">IFERROR(__xludf.DUMMYFUNCTION("""COMPUTED_VALUE"""),"www.facebook.com")</f>
        <v>www.facebook.com</v>
      </c>
      <c r="E552" s="3" t="str">
        <f ca="1">IFERROR(__xludf.DUMMYFUNCTION("""COMPUTED_VALUE"""),"FB stránka")</f>
        <v>FB stránka</v>
      </c>
      <c r="F552" s="4" t="str">
        <f ca="1">IFERROR(__xludf.DUMMYFUNCTION("""COMPUTED_VALUE"""),"www.facebook.com")</f>
        <v>www.facebook.com</v>
      </c>
      <c r="G552" s="3" t="str">
        <f ca="1">IFERROR(__xludf.DUMMYFUNCTION("""COMPUTED_VALUE"""),"facebook post high season")</f>
        <v>facebook post high season</v>
      </c>
      <c r="H552" s="3">
        <f ca="1">IFERROR(__xludf.DUMMYFUNCTION("""COMPUTED_VALUE"""),1)</f>
        <v>1</v>
      </c>
      <c r="I552" s="5">
        <f ca="1">IFERROR(__xludf.DUMMYFUNCTION("""COMPUTED_VALUE"""),1)</f>
        <v>1</v>
      </c>
      <c r="J552" s="5">
        <f ca="1">IFERROR(__xludf.DUMMYFUNCTION("""COMPUTED_VALUE"""),18000)</f>
        <v>18000</v>
      </c>
      <c r="K552" s="3"/>
      <c r="L552" s="3" t="str">
        <f ca="1">IFERROR(__xludf.DUMMYFUNCTION("""COMPUTED_VALUE"""),"Cost per instance")</f>
        <v>Cost per instance</v>
      </c>
      <c r="M552" s="3"/>
      <c r="N552" s="3"/>
      <c r="O552" s="3"/>
      <c r="P552" s="3"/>
      <c r="Q552" s="3"/>
      <c r="R552" s="3"/>
      <c r="S552" s="3" t="str">
        <f ca="1">IFERROR(__xludf.DUMMYFUNCTION("""COMPUTED_VALUE"""),"100")</f>
        <v>100</v>
      </c>
      <c r="T552" s="3"/>
      <c r="U552" s="3" t="str">
        <f ca="1">IFERROR(__xludf.DUMMYFUNCTION("""COMPUTED_VALUE"""),"SoMe facebook")</f>
        <v>SoMe facebook</v>
      </c>
      <c r="V552" s="3"/>
      <c r="W552" s="4" t="str">
        <f ca="1">IFERROR(__xludf.DUMMYFUNCTION("""COMPUTED_VALUE"""),"https://www.facebook.com/business/ads-guide/image/facebook-feed")</f>
        <v>https://www.facebook.com/business/ads-guide/image/facebook-feed</v>
      </c>
      <c r="X552" s="3"/>
      <c r="Y552" s="3"/>
      <c r="Z552" s="3" t="str">
        <f ca="1">IFERROR(__xludf.DUMMYFUNCTION("""COMPUTED_VALUE"""),"podklady@cncenter.cz")</f>
        <v>podklady@cncenter.cz</v>
      </c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 t="str">
        <f ca="1">IFERROR(__xludf.DUMMYFUNCTION("""COMPUTED_VALUE"""),"cross-device")</f>
        <v>cross-device</v>
      </c>
      <c r="AO552" s="3"/>
      <c r="AP552" s="3"/>
      <c r="AQ552" s="3"/>
      <c r="AR552" s="3"/>
      <c r="AS552" s="3"/>
      <c r="AT552" s="3"/>
      <c r="AU552" s="3" t="str">
        <f ca="1">IFERROR(__xludf.DUMMYFUNCTION("""COMPUTED_VALUE"""),"facebook post")</f>
        <v>facebook post</v>
      </c>
    </row>
    <row r="553" spans="1:47" x14ac:dyDescent="0.3">
      <c r="A553" s="3">
        <f ca="1"/>
        <v>2346826</v>
      </c>
      <c r="B553" s="3" t="str">
        <f ca="1"/>
        <v>CZECH NEWS CENTER a. s.</v>
      </c>
      <c r="C553" s="3" t="str">
        <f ca="1">IFERROR(__xludf.DUMMYFUNCTION("""COMPUTED_VALUE"""),"Facebookový profil Auto")</f>
        <v>Facebookový profil Auto</v>
      </c>
      <c r="D553" s="4" t="str">
        <f ca="1">IFERROR(__xludf.DUMMYFUNCTION("""COMPUTED_VALUE"""),"www.facebook.com")</f>
        <v>www.facebook.com</v>
      </c>
      <c r="E553" s="3" t="str">
        <f ca="1">IFERROR(__xludf.DUMMYFUNCTION("""COMPUTED_VALUE"""),"FB stránka")</f>
        <v>FB stránka</v>
      </c>
      <c r="F553" s="4" t="str">
        <f ca="1">IFERROR(__xludf.DUMMYFUNCTION("""COMPUTED_VALUE"""),"www.facebook.com")</f>
        <v>www.facebook.com</v>
      </c>
      <c r="G553" s="3" t="str">
        <f ca="1">IFERROR(__xludf.DUMMYFUNCTION("""COMPUTED_VALUE"""),"facebook post high season")</f>
        <v>facebook post high season</v>
      </c>
      <c r="H553" s="3">
        <f ca="1">IFERROR(__xludf.DUMMYFUNCTION("""COMPUTED_VALUE"""),1)</f>
        <v>1</v>
      </c>
      <c r="I553" s="5">
        <f ca="1">IFERROR(__xludf.DUMMYFUNCTION("""COMPUTED_VALUE"""),1)</f>
        <v>1</v>
      </c>
      <c r="J553" s="5">
        <f ca="1">IFERROR(__xludf.DUMMYFUNCTION("""COMPUTED_VALUE"""),23000)</f>
        <v>23000</v>
      </c>
      <c r="K553" s="3"/>
      <c r="L553" s="3" t="str">
        <f ca="1">IFERROR(__xludf.DUMMYFUNCTION("""COMPUTED_VALUE"""),"Cost per instance")</f>
        <v>Cost per instance</v>
      </c>
      <c r="M553" s="3"/>
      <c r="N553" s="3"/>
      <c r="O553" s="3"/>
      <c r="P553" s="3"/>
      <c r="Q553" s="3"/>
      <c r="R553" s="3"/>
      <c r="S553" s="3" t="str">
        <f ca="1">IFERROR(__xludf.DUMMYFUNCTION("""COMPUTED_VALUE"""),"100")</f>
        <v>100</v>
      </c>
      <c r="T553" s="3"/>
      <c r="U553" s="3" t="str">
        <f ca="1">IFERROR(__xludf.DUMMYFUNCTION("""COMPUTED_VALUE"""),"SoMe facebook")</f>
        <v>SoMe facebook</v>
      </c>
      <c r="V553" s="3"/>
      <c r="W553" s="4" t="str">
        <f ca="1">IFERROR(__xludf.DUMMYFUNCTION("""COMPUTED_VALUE"""),"https://www.facebook.com/business/ads-guide/image/facebook-feed")</f>
        <v>https://www.facebook.com/business/ads-guide/image/facebook-feed</v>
      </c>
      <c r="X553" s="3"/>
      <c r="Y553" s="3"/>
      <c r="Z553" s="3" t="str">
        <f ca="1">IFERROR(__xludf.DUMMYFUNCTION("""COMPUTED_VALUE"""),"podklady@cncenter.cz")</f>
        <v>podklady@cncenter.cz</v>
      </c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 t="str">
        <f ca="1">IFERROR(__xludf.DUMMYFUNCTION("""COMPUTED_VALUE"""),"cross-device")</f>
        <v>cross-device</v>
      </c>
      <c r="AO553" s="3"/>
      <c r="AP553" s="3"/>
      <c r="AQ553" s="3"/>
      <c r="AR553" s="3"/>
      <c r="AS553" s="3"/>
      <c r="AT553" s="3"/>
      <c r="AU553" s="3" t="str">
        <f ca="1">IFERROR(__xludf.DUMMYFUNCTION("""COMPUTED_VALUE"""),"facebook post")</f>
        <v>facebook post</v>
      </c>
    </row>
    <row r="554" spans="1:47" x14ac:dyDescent="0.3">
      <c r="A554" s="3">
        <f ca="1"/>
        <v>2346826</v>
      </c>
      <c r="B554" s="3" t="str">
        <f ca="1"/>
        <v>CZECH NEWS CENTER a. s.</v>
      </c>
      <c r="C554" s="3" t="str">
        <f ca="1">IFERROR(__xludf.DUMMYFUNCTION("""COMPUTED_VALUE"""),"Facebookový profil AutoTip")</f>
        <v>Facebookový profil AutoTip</v>
      </c>
      <c r="D554" s="4" t="str">
        <f ca="1">IFERROR(__xludf.DUMMYFUNCTION("""COMPUTED_VALUE"""),"www.facebook.com")</f>
        <v>www.facebook.com</v>
      </c>
      <c r="E554" s="3" t="str">
        <f ca="1">IFERROR(__xludf.DUMMYFUNCTION("""COMPUTED_VALUE"""),"FB stránka")</f>
        <v>FB stránka</v>
      </c>
      <c r="F554" s="4" t="str">
        <f ca="1">IFERROR(__xludf.DUMMYFUNCTION("""COMPUTED_VALUE"""),"www.facebook.com")</f>
        <v>www.facebook.com</v>
      </c>
      <c r="G554" s="3" t="str">
        <f ca="1">IFERROR(__xludf.DUMMYFUNCTION("""COMPUTED_VALUE"""),"facebook post high season")</f>
        <v>facebook post high season</v>
      </c>
      <c r="H554" s="3">
        <f ca="1">IFERROR(__xludf.DUMMYFUNCTION("""COMPUTED_VALUE"""),1)</f>
        <v>1</v>
      </c>
      <c r="I554" s="5">
        <f ca="1">IFERROR(__xludf.DUMMYFUNCTION("""COMPUTED_VALUE"""),1)</f>
        <v>1</v>
      </c>
      <c r="J554" s="5">
        <f ca="1">IFERROR(__xludf.DUMMYFUNCTION("""COMPUTED_VALUE"""),18000)</f>
        <v>18000</v>
      </c>
      <c r="K554" s="3"/>
      <c r="L554" s="3" t="str">
        <f ca="1">IFERROR(__xludf.DUMMYFUNCTION("""COMPUTED_VALUE"""),"Cost per instance")</f>
        <v>Cost per instance</v>
      </c>
      <c r="M554" s="3"/>
      <c r="N554" s="3"/>
      <c r="O554" s="3"/>
      <c r="P554" s="3"/>
      <c r="Q554" s="3"/>
      <c r="R554" s="3"/>
      <c r="S554" s="3" t="str">
        <f ca="1">IFERROR(__xludf.DUMMYFUNCTION("""COMPUTED_VALUE"""),"100")</f>
        <v>100</v>
      </c>
      <c r="T554" s="3"/>
      <c r="U554" s="3" t="str">
        <f ca="1">IFERROR(__xludf.DUMMYFUNCTION("""COMPUTED_VALUE"""),"SoMe facebook")</f>
        <v>SoMe facebook</v>
      </c>
      <c r="V554" s="3"/>
      <c r="W554" s="4" t="str">
        <f ca="1">IFERROR(__xludf.DUMMYFUNCTION("""COMPUTED_VALUE"""),"https://www.facebook.com/business/ads-guide/image/facebook-feed")</f>
        <v>https://www.facebook.com/business/ads-guide/image/facebook-feed</v>
      </c>
      <c r="X554" s="3"/>
      <c r="Y554" s="3"/>
      <c r="Z554" s="3" t="str">
        <f ca="1">IFERROR(__xludf.DUMMYFUNCTION("""COMPUTED_VALUE"""),"podklady@cncenter.cz")</f>
        <v>podklady@cncenter.cz</v>
      </c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 t="str">
        <f ca="1">IFERROR(__xludf.DUMMYFUNCTION("""COMPUTED_VALUE"""),"cross-device")</f>
        <v>cross-device</v>
      </c>
      <c r="AO554" s="3"/>
      <c r="AP554" s="3"/>
      <c r="AQ554" s="3"/>
      <c r="AR554" s="3"/>
      <c r="AS554" s="3"/>
      <c r="AT554" s="3"/>
      <c r="AU554" s="3" t="str">
        <f ca="1">IFERROR(__xludf.DUMMYFUNCTION("""COMPUTED_VALUE"""),"facebook post")</f>
        <v>facebook post</v>
      </c>
    </row>
    <row r="555" spans="1:47" x14ac:dyDescent="0.3">
      <c r="A555" s="3">
        <f ca="1"/>
        <v>2346826</v>
      </c>
      <c r="B555" s="3" t="str">
        <f ca="1"/>
        <v>CZECH NEWS CENTER a. s.</v>
      </c>
      <c r="C555" s="3" t="str">
        <f ca="1">IFERROR(__xludf.DUMMYFUNCTION("""COMPUTED_VALUE"""),"Facebookový profil Blesk")</f>
        <v>Facebookový profil Blesk</v>
      </c>
      <c r="D555" s="4" t="str">
        <f ca="1">IFERROR(__xludf.DUMMYFUNCTION("""COMPUTED_VALUE"""),"www.facebook.com")</f>
        <v>www.facebook.com</v>
      </c>
      <c r="E555" s="3" t="str">
        <f ca="1">IFERROR(__xludf.DUMMYFUNCTION("""COMPUTED_VALUE"""),"FB stránka")</f>
        <v>FB stránka</v>
      </c>
      <c r="F555" s="4" t="str">
        <f ca="1">IFERROR(__xludf.DUMMYFUNCTION("""COMPUTED_VALUE"""),"www.facebook.com")</f>
        <v>www.facebook.com</v>
      </c>
      <c r="G555" s="3" t="str">
        <f ca="1">IFERROR(__xludf.DUMMYFUNCTION("""COMPUTED_VALUE"""),"facebook post high season")</f>
        <v>facebook post high season</v>
      </c>
      <c r="H555" s="3">
        <f ca="1">IFERROR(__xludf.DUMMYFUNCTION("""COMPUTED_VALUE"""),1)</f>
        <v>1</v>
      </c>
      <c r="I555" s="5">
        <f ca="1">IFERROR(__xludf.DUMMYFUNCTION("""COMPUTED_VALUE"""),1)</f>
        <v>1</v>
      </c>
      <c r="J555" s="5">
        <f ca="1">IFERROR(__xludf.DUMMYFUNCTION("""COMPUTED_VALUE"""),23000)</f>
        <v>23000</v>
      </c>
      <c r="K555" s="3"/>
      <c r="L555" s="3" t="str">
        <f ca="1">IFERROR(__xludf.DUMMYFUNCTION("""COMPUTED_VALUE"""),"Cost per instance")</f>
        <v>Cost per instance</v>
      </c>
      <c r="M555" s="3"/>
      <c r="N555" s="3"/>
      <c r="O555" s="3"/>
      <c r="P555" s="3"/>
      <c r="Q555" s="3"/>
      <c r="R555" s="3"/>
      <c r="S555" s="3" t="str">
        <f ca="1">IFERROR(__xludf.DUMMYFUNCTION("""COMPUTED_VALUE"""),"100")</f>
        <v>100</v>
      </c>
      <c r="T555" s="3"/>
      <c r="U555" s="3" t="str">
        <f ca="1">IFERROR(__xludf.DUMMYFUNCTION("""COMPUTED_VALUE"""),"SoMe facebook")</f>
        <v>SoMe facebook</v>
      </c>
      <c r="V555" s="3"/>
      <c r="W555" s="4" t="str">
        <f ca="1">IFERROR(__xludf.DUMMYFUNCTION("""COMPUTED_VALUE"""),"https://www.facebook.com/business/ads-guide/image/facebook-feed")</f>
        <v>https://www.facebook.com/business/ads-guide/image/facebook-feed</v>
      </c>
      <c r="X555" s="3"/>
      <c r="Y555" s="3"/>
      <c r="Z555" s="3" t="str">
        <f ca="1">IFERROR(__xludf.DUMMYFUNCTION("""COMPUTED_VALUE"""),"podklady@cncenter.cz")</f>
        <v>podklady@cncenter.cz</v>
      </c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 t="str">
        <f ca="1">IFERROR(__xludf.DUMMYFUNCTION("""COMPUTED_VALUE"""),"cross-device")</f>
        <v>cross-device</v>
      </c>
      <c r="AO555" s="3"/>
      <c r="AP555" s="3"/>
      <c r="AQ555" s="3"/>
      <c r="AR555" s="3"/>
      <c r="AS555" s="3"/>
      <c r="AT555" s="3"/>
      <c r="AU555" s="3" t="str">
        <f ca="1">IFERROR(__xludf.DUMMYFUNCTION("""COMPUTED_VALUE"""),"facebook post")</f>
        <v>facebook post</v>
      </c>
    </row>
    <row r="556" spans="1:47" x14ac:dyDescent="0.3">
      <c r="A556" s="3">
        <f ca="1"/>
        <v>2346826</v>
      </c>
      <c r="B556" s="3" t="str">
        <f ca="1"/>
        <v>CZECH NEWS CENTER a. s.</v>
      </c>
      <c r="C556" s="3" t="str">
        <f ca="1">IFERROR(__xludf.DUMMYFUNCTION("""COMPUTED_VALUE"""),"Facebookový profil Blesk pro ženy")</f>
        <v>Facebookový profil Blesk pro ženy</v>
      </c>
      <c r="D556" s="4" t="str">
        <f ca="1">IFERROR(__xludf.DUMMYFUNCTION("""COMPUTED_VALUE"""),"www.facebook.com")</f>
        <v>www.facebook.com</v>
      </c>
      <c r="E556" s="3" t="str">
        <f ca="1">IFERROR(__xludf.DUMMYFUNCTION("""COMPUTED_VALUE"""),"FB stránka")</f>
        <v>FB stránka</v>
      </c>
      <c r="F556" s="4" t="str">
        <f ca="1">IFERROR(__xludf.DUMMYFUNCTION("""COMPUTED_VALUE"""),"www.facebook.com")</f>
        <v>www.facebook.com</v>
      </c>
      <c r="G556" s="3" t="str">
        <f ca="1">IFERROR(__xludf.DUMMYFUNCTION("""COMPUTED_VALUE"""),"facebook post high season")</f>
        <v>facebook post high season</v>
      </c>
      <c r="H556" s="3">
        <f ca="1">IFERROR(__xludf.DUMMYFUNCTION("""COMPUTED_VALUE"""),1)</f>
        <v>1</v>
      </c>
      <c r="I556" s="5">
        <f ca="1">IFERROR(__xludf.DUMMYFUNCTION("""COMPUTED_VALUE"""),1)</f>
        <v>1</v>
      </c>
      <c r="J556" s="5">
        <f ca="1">IFERROR(__xludf.DUMMYFUNCTION("""COMPUTED_VALUE"""),23000)</f>
        <v>23000</v>
      </c>
      <c r="K556" s="3"/>
      <c r="L556" s="3" t="str">
        <f ca="1">IFERROR(__xludf.DUMMYFUNCTION("""COMPUTED_VALUE"""),"Cost per instance")</f>
        <v>Cost per instance</v>
      </c>
      <c r="M556" s="3"/>
      <c r="N556" s="3"/>
      <c r="O556" s="3"/>
      <c r="P556" s="3"/>
      <c r="Q556" s="3"/>
      <c r="R556" s="3"/>
      <c r="S556" s="3" t="str">
        <f ca="1">IFERROR(__xludf.DUMMYFUNCTION("""COMPUTED_VALUE"""),"100")</f>
        <v>100</v>
      </c>
      <c r="T556" s="3"/>
      <c r="U556" s="3" t="str">
        <f ca="1">IFERROR(__xludf.DUMMYFUNCTION("""COMPUTED_VALUE"""),"SoMe facebook")</f>
        <v>SoMe facebook</v>
      </c>
      <c r="V556" s="3"/>
      <c r="W556" s="4" t="str">
        <f ca="1">IFERROR(__xludf.DUMMYFUNCTION("""COMPUTED_VALUE"""),"https://www.facebook.com/business/ads-guide/image/facebook-feed")</f>
        <v>https://www.facebook.com/business/ads-guide/image/facebook-feed</v>
      </c>
      <c r="X556" s="3"/>
      <c r="Y556" s="3"/>
      <c r="Z556" s="3" t="str">
        <f ca="1">IFERROR(__xludf.DUMMYFUNCTION("""COMPUTED_VALUE"""),"podklady@cncenter.cz")</f>
        <v>podklady@cncenter.cz</v>
      </c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 t="str">
        <f ca="1">IFERROR(__xludf.DUMMYFUNCTION("""COMPUTED_VALUE"""),"cross-device")</f>
        <v>cross-device</v>
      </c>
      <c r="AO556" s="3"/>
      <c r="AP556" s="3"/>
      <c r="AQ556" s="3"/>
      <c r="AR556" s="3"/>
      <c r="AS556" s="3"/>
      <c r="AT556" s="3"/>
      <c r="AU556" s="3" t="str">
        <f ca="1">IFERROR(__xludf.DUMMYFUNCTION("""COMPUTED_VALUE"""),"facebook post")</f>
        <v>facebook post</v>
      </c>
    </row>
    <row r="557" spans="1:47" x14ac:dyDescent="0.3">
      <c r="A557" s="3">
        <f ca="1"/>
        <v>2346826</v>
      </c>
      <c r="B557" s="3" t="str">
        <f ca="1"/>
        <v>CZECH NEWS CENTER a. s.</v>
      </c>
      <c r="C557" s="3" t="str">
        <f ca="1">IFERROR(__xludf.DUMMYFUNCTION("""COMPUTED_VALUE"""),"Facebookový profil Doupě")</f>
        <v>Facebookový profil Doupě</v>
      </c>
      <c r="D557" s="4" t="str">
        <f ca="1">IFERROR(__xludf.DUMMYFUNCTION("""COMPUTED_VALUE"""),"www.facebook.com")</f>
        <v>www.facebook.com</v>
      </c>
      <c r="E557" s="3" t="str">
        <f ca="1">IFERROR(__xludf.DUMMYFUNCTION("""COMPUTED_VALUE"""),"FB stránka")</f>
        <v>FB stránka</v>
      </c>
      <c r="F557" s="4" t="str">
        <f ca="1">IFERROR(__xludf.DUMMYFUNCTION("""COMPUTED_VALUE"""),"www.facebook.com")</f>
        <v>www.facebook.com</v>
      </c>
      <c r="G557" s="3" t="str">
        <f ca="1">IFERROR(__xludf.DUMMYFUNCTION("""COMPUTED_VALUE"""),"facebook post high season")</f>
        <v>facebook post high season</v>
      </c>
      <c r="H557" s="3">
        <f ca="1">IFERROR(__xludf.DUMMYFUNCTION("""COMPUTED_VALUE"""),1)</f>
        <v>1</v>
      </c>
      <c r="I557" s="5">
        <f ca="1">IFERROR(__xludf.DUMMYFUNCTION("""COMPUTED_VALUE"""),1)</f>
        <v>1</v>
      </c>
      <c r="J557" s="5">
        <f ca="1">IFERROR(__xludf.DUMMYFUNCTION("""COMPUTED_VALUE"""),18000)</f>
        <v>18000</v>
      </c>
      <c r="K557" s="3"/>
      <c r="L557" s="3" t="str">
        <f ca="1">IFERROR(__xludf.DUMMYFUNCTION("""COMPUTED_VALUE"""),"Cost per instance")</f>
        <v>Cost per instance</v>
      </c>
      <c r="M557" s="3"/>
      <c r="N557" s="3"/>
      <c r="O557" s="3"/>
      <c r="P557" s="3"/>
      <c r="Q557" s="3"/>
      <c r="R557" s="3"/>
      <c r="S557" s="3" t="str">
        <f ca="1">IFERROR(__xludf.DUMMYFUNCTION("""COMPUTED_VALUE"""),"100")</f>
        <v>100</v>
      </c>
      <c r="T557" s="3"/>
      <c r="U557" s="3" t="str">
        <f ca="1">IFERROR(__xludf.DUMMYFUNCTION("""COMPUTED_VALUE"""),"SoMe facebook")</f>
        <v>SoMe facebook</v>
      </c>
      <c r="V557" s="3"/>
      <c r="W557" s="4" t="str">
        <f ca="1">IFERROR(__xludf.DUMMYFUNCTION("""COMPUTED_VALUE"""),"https://www.facebook.com/business/ads-guide/image/facebook-feed")</f>
        <v>https://www.facebook.com/business/ads-guide/image/facebook-feed</v>
      </c>
      <c r="X557" s="3"/>
      <c r="Y557" s="3"/>
      <c r="Z557" s="3" t="str">
        <f ca="1">IFERROR(__xludf.DUMMYFUNCTION("""COMPUTED_VALUE"""),"podklady@cncenter.cz")</f>
        <v>podklady@cncenter.cz</v>
      </c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 t="str">
        <f ca="1">IFERROR(__xludf.DUMMYFUNCTION("""COMPUTED_VALUE"""),"cross-device")</f>
        <v>cross-device</v>
      </c>
      <c r="AO557" s="3"/>
      <c r="AP557" s="3"/>
      <c r="AQ557" s="3"/>
      <c r="AR557" s="3"/>
      <c r="AS557" s="3"/>
      <c r="AT557" s="3"/>
      <c r="AU557" s="3" t="str">
        <f ca="1">IFERROR(__xludf.DUMMYFUNCTION("""COMPUTED_VALUE"""),"facebook post")</f>
        <v>facebook post</v>
      </c>
    </row>
    <row r="558" spans="1:47" x14ac:dyDescent="0.3">
      <c r="A558" s="3">
        <f ca="1"/>
        <v>2346826</v>
      </c>
      <c r="B558" s="3" t="str">
        <f ca="1"/>
        <v>CZECH NEWS CENTER a. s.</v>
      </c>
      <c r="C558" s="3" t="str">
        <f ca="1">IFERROR(__xludf.DUMMYFUNCTION("""COMPUTED_VALUE"""),"Facebookový profil E15")</f>
        <v>Facebookový profil E15</v>
      </c>
      <c r="D558" s="4" t="str">
        <f ca="1">IFERROR(__xludf.DUMMYFUNCTION("""COMPUTED_VALUE"""),"www.facebook.com")</f>
        <v>www.facebook.com</v>
      </c>
      <c r="E558" s="3" t="str">
        <f ca="1">IFERROR(__xludf.DUMMYFUNCTION("""COMPUTED_VALUE"""),"FB stránka")</f>
        <v>FB stránka</v>
      </c>
      <c r="F558" s="4" t="str">
        <f ca="1">IFERROR(__xludf.DUMMYFUNCTION("""COMPUTED_VALUE"""),"www.facebook.com")</f>
        <v>www.facebook.com</v>
      </c>
      <c r="G558" s="3" t="str">
        <f ca="1">IFERROR(__xludf.DUMMYFUNCTION("""COMPUTED_VALUE"""),"facebook post high season")</f>
        <v>facebook post high season</v>
      </c>
      <c r="H558" s="3">
        <f ca="1">IFERROR(__xludf.DUMMYFUNCTION("""COMPUTED_VALUE"""),1)</f>
        <v>1</v>
      </c>
      <c r="I558" s="5">
        <f ca="1">IFERROR(__xludf.DUMMYFUNCTION("""COMPUTED_VALUE"""),1)</f>
        <v>1</v>
      </c>
      <c r="J558" s="5">
        <f ca="1">IFERROR(__xludf.DUMMYFUNCTION("""COMPUTED_VALUE"""),23000)</f>
        <v>23000</v>
      </c>
      <c r="K558" s="3"/>
      <c r="L558" s="3" t="str">
        <f ca="1">IFERROR(__xludf.DUMMYFUNCTION("""COMPUTED_VALUE"""),"Cost per instance")</f>
        <v>Cost per instance</v>
      </c>
      <c r="M558" s="3"/>
      <c r="N558" s="3"/>
      <c r="O558" s="3"/>
      <c r="P558" s="3"/>
      <c r="Q558" s="3"/>
      <c r="R558" s="3"/>
      <c r="S558" s="3" t="str">
        <f ca="1">IFERROR(__xludf.DUMMYFUNCTION("""COMPUTED_VALUE"""),"100")</f>
        <v>100</v>
      </c>
      <c r="T558" s="3"/>
      <c r="U558" s="3" t="str">
        <f ca="1">IFERROR(__xludf.DUMMYFUNCTION("""COMPUTED_VALUE"""),"SoMe facebook")</f>
        <v>SoMe facebook</v>
      </c>
      <c r="V558" s="3"/>
      <c r="W558" s="4" t="str">
        <f ca="1">IFERROR(__xludf.DUMMYFUNCTION("""COMPUTED_VALUE"""),"https://www.facebook.com/business/ads-guide/image/facebook-feed")</f>
        <v>https://www.facebook.com/business/ads-guide/image/facebook-feed</v>
      </c>
      <c r="X558" s="3"/>
      <c r="Y558" s="3"/>
      <c r="Z558" s="3" t="str">
        <f ca="1">IFERROR(__xludf.DUMMYFUNCTION("""COMPUTED_VALUE"""),"podklady@cncenter.cz")</f>
        <v>podklady@cncenter.cz</v>
      </c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 t="str">
        <f ca="1">IFERROR(__xludf.DUMMYFUNCTION("""COMPUTED_VALUE"""),"cross-device")</f>
        <v>cross-device</v>
      </c>
      <c r="AO558" s="3"/>
      <c r="AP558" s="3"/>
      <c r="AQ558" s="3"/>
      <c r="AR558" s="3"/>
      <c r="AS558" s="3"/>
      <c r="AT558" s="3"/>
      <c r="AU558" s="3" t="str">
        <f ca="1">IFERROR(__xludf.DUMMYFUNCTION("""COMPUTED_VALUE"""),"facebook post")</f>
        <v>facebook post</v>
      </c>
    </row>
    <row r="559" spans="1:47" x14ac:dyDescent="0.3">
      <c r="A559" s="3">
        <f ca="1"/>
        <v>2346826</v>
      </c>
      <c r="B559" s="3" t="str">
        <f ca="1"/>
        <v>CZECH NEWS CENTER a. s.</v>
      </c>
      <c r="C559" s="3" t="str">
        <f ca="1">IFERROR(__xludf.DUMMYFUNCTION("""COMPUTED_VALUE"""),"Facebookový profil Evropa 2")</f>
        <v>Facebookový profil Evropa 2</v>
      </c>
      <c r="D559" s="4" t="str">
        <f ca="1">IFERROR(__xludf.DUMMYFUNCTION("""COMPUTED_VALUE"""),"www.facebook.com")</f>
        <v>www.facebook.com</v>
      </c>
      <c r="E559" s="3" t="str">
        <f ca="1">IFERROR(__xludf.DUMMYFUNCTION("""COMPUTED_VALUE"""),"FB stránka")</f>
        <v>FB stránka</v>
      </c>
      <c r="F559" s="4" t="str">
        <f ca="1">IFERROR(__xludf.DUMMYFUNCTION("""COMPUTED_VALUE"""),"www.facebook.com")</f>
        <v>www.facebook.com</v>
      </c>
      <c r="G559" s="3" t="str">
        <f ca="1">IFERROR(__xludf.DUMMYFUNCTION("""COMPUTED_VALUE"""),"facebook post high season")</f>
        <v>facebook post high season</v>
      </c>
      <c r="H559" s="3">
        <f ca="1">IFERROR(__xludf.DUMMYFUNCTION("""COMPUTED_VALUE"""),1)</f>
        <v>1</v>
      </c>
      <c r="I559" s="5">
        <f ca="1">IFERROR(__xludf.DUMMYFUNCTION("""COMPUTED_VALUE"""),1)</f>
        <v>1</v>
      </c>
      <c r="J559" s="5">
        <f ca="1">IFERROR(__xludf.DUMMYFUNCTION("""COMPUTED_VALUE"""),225000)</f>
        <v>225000</v>
      </c>
      <c r="K559" s="3"/>
      <c r="L559" s="3" t="str">
        <f ca="1">IFERROR(__xludf.DUMMYFUNCTION("""COMPUTED_VALUE"""),"Cost per instance")</f>
        <v>Cost per instance</v>
      </c>
      <c r="M559" s="3"/>
      <c r="N559" s="3"/>
      <c r="O559" s="3"/>
      <c r="P559" s="3"/>
      <c r="Q559" s="3"/>
      <c r="R559" s="3"/>
      <c r="S559" s="3" t="str">
        <f ca="1">IFERROR(__xludf.DUMMYFUNCTION("""COMPUTED_VALUE"""),"100")</f>
        <v>100</v>
      </c>
      <c r="T559" s="3"/>
      <c r="U559" s="3" t="str">
        <f ca="1">IFERROR(__xludf.DUMMYFUNCTION("""COMPUTED_VALUE"""),"SoMe facebook")</f>
        <v>SoMe facebook</v>
      </c>
      <c r="V559" s="3"/>
      <c r="W559" s="4" t="str">
        <f ca="1">IFERROR(__xludf.DUMMYFUNCTION("""COMPUTED_VALUE"""),"https://www.facebook.com/business/ads-guide/image/facebook-feed")</f>
        <v>https://www.facebook.com/business/ads-guide/image/facebook-feed</v>
      </c>
      <c r="X559" s="3"/>
      <c r="Y559" s="3"/>
      <c r="Z559" s="3" t="str">
        <f ca="1">IFERROR(__xludf.DUMMYFUNCTION("""COMPUTED_VALUE"""),"podklady@cncenter.cz")</f>
        <v>podklady@cncenter.cz</v>
      </c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 t="str">
        <f ca="1">IFERROR(__xludf.DUMMYFUNCTION("""COMPUTED_VALUE"""),"cross-device")</f>
        <v>cross-device</v>
      </c>
      <c r="AO559" s="3"/>
      <c r="AP559" s="3"/>
      <c r="AQ559" s="3"/>
      <c r="AR559" s="3"/>
      <c r="AS559" s="3"/>
      <c r="AT559" s="3"/>
      <c r="AU559" s="3" t="str">
        <f ca="1">IFERROR(__xludf.DUMMYFUNCTION("""COMPUTED_VALUE"""),"facebook post")</f>
        <v>facebook post</v>
      </c>
    </row>
    <row r="560" spans="1:47" x14ac:dyDescent="0.3">
      <c r="A560" s="3">
        <f ca="1"/>
        <v>2346826</v>
      </c>
      <c r="B560" s="3" t="str">
        <f ca="1"/>
        <v>CZECH NEWS CENTER a. s.</v>
      </c>
      <c r="C560" s="3" t="str">
        <f ca="1">IFERROR(__xludf.DUMMYFUNCTION("""COMPUTED_VALUE"""),"Facebookový profil F.O.O.D.")</f>
        <v>Facebookový profil F.O.O.D.</v>
      </c>
      <c r="D560" s="4" t="str">
        <f ca="1">IFERROR(__xludf.DUMMYFUNCTION("""COMPUTED_VALUE"""),"www.facebook.com")</f>
        <v>www.facebook.com</v>
      </c>
      <c r="E560" s="3" t="str">
        <f ca="1">IFERROR(__xludf.DUMMYFUNCTION("""COMPUTED_VALUE"""),"FB stránka")</f>
        <v>FB stránka</v>
      </c>
      <c r="F560" s="4" t="str">
        <f ca="1">IFERROR(__xludf.DUMMYFUNCTION("""COMPUTED_VALUE"""),"www.facebook.com")</f>
        <v>www.facebook.com</v>
      </c>
      <c r="G560" s="3" t="str">
        <f ca="1">IFERROR(__xludf.DUMMYFUNCTION("""COMPUTED_VALUE"""),"facebook post high season")</f>
        <v>facebook post high season</v>
      </c>
      <c r="H560" s="3">
        <f ca="1">IFERROR(__xludf.DUMMYFUNCTION("""COMPUTED_VALUE"""),1)</f>
        <v>1</v>
      </c>
      <c r="I560" s="5">
        <f ca="1">IFERROR(__xludf.DUMMYFUNCTION("""COMPUTED_VALUE"""),1)</f>
        <v>1</v>
      </c>
      <c r="J560" s="5">
        <f ca="1">IFERROR(__xludf.DUMMYFUNCTION("""COMPUTED_VALUE"""),18000)</f>
        <v>18000</v>
      </c>
      <c r="K560" s="3"/>
      <c r="L560" s="3" t="str">
        <f ca="1">IFERROR(__xludf.DUMMYFUNCTION("""COMPUTED_VALUE"""),"Cost per instance")</f>
        <v>Cost per instance</v>
      </c>
      <c r="M560" s="3"/>
      <c r="N560" s="3"/>
      <c r="O560" s="3"/>
      <c r="P560" s="3"/>
      <c r="Q560" s="3"/>
      <c r="R560" s="3"/>
      <c r="S560" s="3" t="str">
        <f ca="1">IFERROR(__xludf.DUMMYFUNCTION("""COMPUTED_VALUE"""),"100")</f>
        <v>100</v>
      </c>
      <c r="T560" s="3"/>
      <c r="U560" s="3" t="str">
        <f ca="1">IFERROR(__xludf.DUMMYFUNCTION("""COMPUTED_VALUE"""),"SoMe facebook")</f>
        <v>SoMe facebook</v>
      </c>
      <c r="V560" s="3"/>
      <c r="W560" s="4" t="str">
        <f ca="1">IFERROR(__xludf.DUMMYFUNCTION("""COMPUTED_VALUE"""),"https://www.facebook.com/business/ads-guide/image/facebook-feed")</f>
        <v>https://www.facebook.com/business/ads-guide/image/facebook-feed</v>
      </c>
      <c r="X560" s="3"/>
      <c r="Y560" s="3"/>
      <c r="Z560" s="3" t="str">
        <f ca="1">IFERROR(__xludf.DUMMYFUNCTION("""COMPUTED_VALUE"""),"podklady@cncenter.cz")</f>
        <v>podklady@cncenter.cz</v>
      </c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 t="str">
        <f ca="1">IFERROR(__xludf.DUMMYFUNCTION("""COMPUTED_VALUE"""),"cross-device")</f>
        <v>cross-device</v>
      </c>
      <c r="AO560" s="3"/>
      <c r="AP560" s="3"/>
      <c r="AQ560" s="3"/>
      <c r="AR560" s="3"/>
      <c r="AS560" s="3"/>
      <c r="AT560" s="3"/>
      <c r="AU560" s="3" t="str">
        <f ca="1">IFERROR(__xludf.DUMMYFUNCTION("""COMPUTED_VALUE"""),"facebook post")</f>
        <v>facebook post</v>
      </c>
    </row>
    <row r="561" spans="1:47" x14ac:dyDescent="0.3">
      <c r="A561" s="3">
        <f ca="1"/>
        <v>2346826</v>
      </c>
      <c r="B561" s="3" t="str">
        <f ca="1"/>
        <v>CZECH NEWS CENTER a. s.</v>
      </c>
      <c r="C561" s="3" t="str">
        <f ca="1">IFERROR(__xludf.DUMMYFUNCTION("""COMPUTED_VALUE"""),"Facebookový profil Frekvence 1")</f>
        <v>Facebookový profil Frekvence 1</v>
      </c>
      <c r="D561" s="4" t="str">
        <f ca="1">IFERROR(__xludf.DUMMYFUNCTION("""COMPUTED_VALUE"""),"www.facebook.com")</f>
        <v>www.facebook.com</v>
      </c>
      <c r="E561" s="3" t="str">
        <f ca="1">IFERROR(__xludf.DUMMYFUNCTION("""COMPUTED_VALUE"""),"FB stránka")</f>
        <v>FB stránka</v>
      </c>
      <c r="F561" s="4" t="str">
        <f ca="1">IFERROR(__xludf.DUMMYFUNCTION("""COMPUTED_VALUE"""),"www.facebook.com")</f>
        <v>www.facebook.com</v>
      </c>
      <c r="G561" s="3" t="str">
        <f ca="1">IFERROR(__xludf.DUMMYFUNCTION("""COMPUTED_VALUE"""),"facebook post high season")</f>
        <v>facebook post high season</v>
      </c>
      <c r="H561" s="3">
        <f ca="1">IFERROR(__xludf.DUMMYFUNCTION("""COMPUTED_VALUE"""),1)</f>
        <v>1</v>
      </c>
      <c r="I561" s="5">
        <f ca="1">IFERROR(__xludf.DUMMYFUNCTION("""COMPUTED_VALUE"""),1)</f>
        <v>1</v>
      </c>
      <c r="J561" s="5">
        <f ca="1">IFERROR(__xludf.DUMMYFUNCTION("""COMPUTED_VALUE"""),225000)</f>
        <v>225000</v>
      </c>
      <c r="K561" s="3"/>
      <c r="L561" s="3" t="str">
        <f ca="1">IFERROR(__xludf.DUMMYFUNCTION("""COMPUTED_VALUE"""),"Cost per instance")</f>
        <v>Cost per instance</v>
      </c>
      <c r="M561" s="3"/>
      <c r="N561" s="3"/>
      <c r="O561" s="3"/>
      <c r="P561" s="3"/>
      <c r="Q561" s="3"/>
      <c r="R561" s="3"/>
      <c r="S561" s="3" t="str">
        <f ca="1">IFERROR(__xludf.DUMMYFUNCTION("""COMPUTED_VALUE"""),"100")</f>
        <v>100</v>
      </c>
      <c r="T561" s="3"/>
      <c r="U561" s="3" t="str">
        <f ca="1">IFERROR(__xludf.DUMMYFUNCTION("""COMPUTED_VALUE"""),"SoMe facebook")</f>
        <v>SoMe facebook</v>
      </c>
      <c r="V561" s="3"/>
      <c r="W561" s="4" t="str">
        <f ca="1">IFERROR(__xludf.DUMMYFUNCTION("""COMPUTED_VALUE"""),"https://www.facebook.com/business/ads-guide/image/facebook-feed")</f>
        <v>https://www.facebook.com/business/ads-guide/image/facebook-feed</v>
      </c>
      <c r="X561" s="3"/>
      <c r="Y561" s="3"/>
      <c r="Z561" s="3" t="str">
        <f ca="1">IFERROR(__xludf.DUMMYFUNCTION("""COMPUTED_VALUE"""),"podklady@cncenter.cz")</f>
        <v>podklady@cncenter.cz</v>
      </c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 t="str">
        <f ca="1">IFERROR(__xludf.DUMMYFUNCTION("""COMPUTED_VALUE"""),"cross-device")</f>
        <v>cross-device</v>
      </c>
      <c r="AO561" s="3"/>
      <c r="AP561" s="3"/>
      <c r="AQ561" s="3"/>
      <c r="AR561" s="3"/>
      <c r="AS561" s="3"/>
      <c r="AT561" s="3"/>
      <c r="AU561" s="3" t="str">
        <f ca="1">IFERROR(__xludf.DUMMYFUNCTION("""COMPUTED_VALUE"""),"facebook post")</f>
        <v>facebook post</v>
      </c>
    </row>
    <row r="562" spans="1:47" x14ac:dyDescent="0.3">
      <c r="A562" s="3">
        <f ca="1"/>
        <v>2346826</v>
      </c>
      <c r="B562" s="3" t="str">
        <f ca="1"/>
        <v>CZECH NEWS CENTER a. s.</v>
      </c>
      <c r="C562" s="3" t="str">
        <f ca="1">IFERROR(__xludf.DUMMYFUNCTION("""COMPUTED_VALUE"""),"Facebookový profil iSport")</f>
        <v>Facebookový profil iSport</v>
      </c>
      <c r="D562" s="4" t="str">
        <f ca="1">IFERROR(__xludf.DUMMYFUNCTION("""COMPUTED_VALUE"""),"www.facebook.com")</f>
        <v>www.facebook.com</v>
      </c>
      <c r="E562" s="3" t="str">
        <f ca="1">IFERROR(__xludf.DUMMYFUNCTION("""COMPUTED_VALUE"""),"FB stránka")</f>
        <v>FB stránka</v>
      </c>
      <c r="F562" s="4" t="str">
        <f ca="1">IFERROR(__xludf.DUMMYFUNCTION("""COMPUTED_VALUE"""),"www.facebook.com")</f>
        <v>www.facebook.com</v>
      </c>
      <c r="G562" s="3" t="str">
        <f ca="1">IFERROR(__xludf.DUMMYFUNCTION("""COMPUTED_VALUE"""),"facebook post high season")</f>
        <v>facebook post high season</v>
      </c>
      <c r="H562" s="3">
        <f ca="1">IFERROR(__xludf.DUMMYFUNCTION("""COMPUTED_VALUE"""),1)</f>
        <v>1</v>
      </c>
      <c r="I562" s="5">
        <f ca="1">IFERROR(__xludf.DUMMYFUNCTION("""COMPUTED_VALUE"""),1)</f>
        <v>1</v>
      </c>
      <c r="J562" s="5">
        <f ca="1">IFERROR(__xludf.DUMMYFUNCTION("""COMPUTED_VALUE"""),23000)</f>
        <v>23000</v>
      </c>
      <c r="K562" s="3"/>
      <c r="L562" s="3" t="str">
        <f ca="1">IFERROR(__xludf.DUMMYFUNCTION("""COMPUTED_VALUE"""),"Cost per instance")</f>
        <v>Cost per instance</v>
      </c>
      <c r="M562" s="3"/>
      <c r="N562" s="3"/>
      <c r="O562" s="3"/>
      <c r="P562" s="3"/>
      <c r="Q562" s="3"/>
      <c r="R562" s="3"/>
      <c r="S562" s="3" t="str">
        <f ca="1">IFERROR(__xludf.DUMMYFUNCTION("""COMPUTED_VALUE"""),"100")</f>
        <v>100</v>
      </c>
      <c r="T562" s="3"/>
      <c r="U562" s="3" t="str">
        <f ca="1">IFERROR(__xludf.DUMMYFUNCTION("""COMPUTED_VALUE"""),"SoMe facebook")</f>
        <v>SoMe facebook</v>
      </c>
      <c r="V562" s="3"/>
      <c r="W562" s="4" t="str">
        <f ca="1">IFERROR(__xludf.DUMMYFUNCTION("""COMPUTED_VALUE"""),"https://www.facebook.com/business/ads-guide/image/facebook-feed")</f>
        <v>https://www.facebook.com/business/ads-guide/image/facebook-feed</v>
      </c>
      <c r="X562" s="3"/>
      <c r="Y562" s="3"/>
      <c r="Z562" s="3" t="str">
        <f ca="1">IFERROR(__xludf.DUMMYFUNCTION("""COMPUTED_VALUE"""),"podklady@cncenter.cz")</f>
        <v>podklady@cncenter.cz</v>
      </c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 t="str">
        <f ca="1">IFERROR(__xludf.DUMMYFUNCTION("""COMPUTED_VALUE"""),"cross-device")</f>
        <v>cross-device</v>
      </c>
      <c r="AO562" s="3"/>
      <c r="AP562" s="3"/>
      <c r="AQ562" s="3"/>
      <c r="AR562" s="3"/>
      <c r="AS562" s="3"/>
      <c r="AT562" s="3"/>
      <c r="AU562" s="3" t="str">
        <f ca="1">IFERROR(__xludf.DUMMYFUNCTION("""COMPUTED_VALUE"""),"facebook post")</f>
        <v>facebook post</v>
      </c>
    </row>
    <row r="563" spans="1:47" x14ac:dyDescent="0.3">
      <c r="A563" s="3">
        <f ca="1"/>
        <v>2346826</v>
      </c>
      <c r="B563" s="3" t="str">
        <f ca="1"/>
        <v>CZECH NEWS CENTER a. s.</v>
      </c>
      <c r="C563" s="3" t="str">
        <f ca="1">IFERROR(__xludf.DUMMYFUNCTION("""COMPUTED_VALUE"""),"Facebookový profil iSport Life")</f>
        <v>Facebookový profil iSport Life</v>
      </c>
      <c r="D563" s="4" t="str">
        <f ca="1">IFERROR(__xludf.DUMMYFUNCTION("""COMPUTED_VALUE"""),"www.facebook.com")</f>
        <v>www.facebook.com</v>
      </c>
      <c r="E563" s="3" t="str">
        <f ca="1">IFERROR(__xludf.DUMMYFUNCTION("""COMPUTED_VALUE"""),"FB stránka")</f>
        <v>FB stránka</v>
      </c>
      <c r="F563" s="4" t="str">
        <f ca="1">IFERROR(__xludf.DUMMYFUNCTION("""COMPUTED_VALUE"""),"www.facebook.com")</f>
        <v>www.facebook.com</v>
      </c>
      <c r="G563" s="3" t="str">
        <f ca="1">IFERROR(__xludf.DUMMYFUNCTION("""COMPUTED_VALUE"""),"facebook post high season")</f>
        <v>facebook post high season</v>
      </c>
      <c r="H563" s="3">
        <f ca="1">IFERROR(__xludf.DUMMYFUNCTION("""COMPUTED_VALUE"""),1)</f>
        <v>1</v>
      </c>
      <c r="I563" s="5">
        <f ca="1">IFERROR(__xludf.DUMMYFUNCTION("""COMPUTED_VALUE"""),1)</f>
        <v>1</v>
      </c>
      <c r="J563" s="5">
        <f ca="1">IFERROR(__xludf.DUMMYFUNCTION("""COMPUTED_VALUE"""),23000)</f>
        <v>23000</v>
      </c>
      <c r="K563" s="3"/>
      <c r="L563" s="3" t="str">
        <f ca="1">IFERROR(__xludf.DUMMYFUNCTION("""COMPUTED_VALUE"""),"Cost per instance")</f>
        <v>Cost per instance</v>
      </c>
      <c r="M563" s="3"/>
      <c r="N563" s="3"/>
      <c r="O563" s="3"/>
      <c r="P563" s="3"/>
      <c r="Q563" s="3"/>
      <c r="R563" s="3"/>
      <c r="S563" s="3" t="str">
        <f ca="1">IFERROR(__xludf.DUMMYFUNCTION("""COMPUTED_VALUE"""),"100")</f>
        <v>100</v>
      </c>
      <c r="T563" s="3"/>
      <c r="U563" s="3" t="str">
        <f ca="1">IFERROR(__xludf.DUMMYFUNCTION("""COMPUTED_VALUE"""),"SoMe facebook")</f>
        <v>SoMe facebook</v>
      </c>
      <c r="V563" s="3"/>
      <c r="W563" s="4" t="str">
        <f ca="1">IFERROR(__xludf.DUMMYFUNCTION("""COMPUTED_VALUE"""),"https://www.facebook.com/business/ads-guide/image/facebook-feed")</f>
        <v>https://www.facebook.com/business/ads-guide/image/facebook-feed</v>
      </c>
      <c r="X563" s="3"/>
      <c r="Y563" s="3"/>
      <c r="Z563" s="3" t="str">
        <f ca="1">IFERROR(__xludf.DUMMYFUNCTION("""COMPUTED_VALUE"""),"podklady@cncenter.cz")</f>
        <v>podklady@cncenter.cz</v>
      </c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 t="str">
        <f ca="1">IFERROR(__xludf.DUMMYFUNCTION("""COMPUTED_VALUE"""),"cross-device")</f>
        <v>cross-device</v>
      </c>
      <c r="AO563" s="3"/>
      <c r="AP563" s="3"/>
      <c r="AQ563" s="3"/>
      <c r="AR563" s="3"/>
      <c r="AS563" s="3"/>
      <c r="AT563" s="3"/>
      <c r="AU563" s="3" t="str">
        <f ca="1">IFERROR(__xludf.DUMMYFUNCTION("""COMPUTED_VALUE"""),"facebook post")</f>
        <v>facebook post</v>
      </c>
    </row>
    <row r="564" spans="1:47" x14ac:dyDescent="0.3">
      <c r="A564" s="3">
        <f ca="1"/>
        <v>2346826</v>
      </c>
      <c r="B564" s="3" t="str">
        <f ca="1"/>
        <v>CZECH NEWS CENTER a. s.</v>
      </c>
      <c r="C564" s="3" t="str">
        <f ca="1">IFERROR(__xludf.DUMMYFUNCTION("""COMPUTED_VALUE"""),"Facebookový profil Lidé a Země")</f>
        <v>Facebookový profil Lidé a Země</v>
      </c>
      <c r="D564" s="4" t="str">
        <f ca="1">IFERROR(__xludf.DUMMYFUNCTION("""COMPUTED_VALUE"""),"www.facebook.com")</f>
        <v>www.facebook.com</v>
      </c>
      <c r="E564" s="3" t="str">
        <f ca="1">IFERROR(__xludf.DUMMYFUNCTION("""COMPUTED_VALUE"""),"FB stránka")</f>
        <v>FB stránka</v>
      </c>
      <c r="F564" s="4" t="str">
        <f ca="1">IFERROR(__xludf.DUMMYFUNCTION("""COMPUTED_VALUE"""),"www.facebook.com")</f>
        <v>www.facebook.com</v>
      </c>
      <c r="G564" s="3" t="str">
        <f ca="1">IFERROR(__xludf.DUMMYFUNCTION("""COMPUTED_VALUE"""),"facebook post high season")</f>
        <v>facebook post high season</v>
      </c>
      <c r="H564" s="3">
        <f ca="1">IFERROR(__xludf.DUMMYFUNCTION("""COMPUTED_VALUE"""),1)</f>
        <v>1</v>
      </c>
      <c r="I564" s="5">
        <f ca="1">IFERROR(__xludf.DUMMYFUNCTION("""COMPUTED_VALUE"""),1)</f>
        <v>1</v>
      </c>
      <c r="J564" s="5">
        <f ca="1">IFERROR(__xludf.DUMMYFUNCTION("""COMPUTED_VALUE"""),18000)</f>
        <v>18000</v>
      </c>
      <c r="K564" s="3"/>
      <c r="L564" s="3" t="str">
        <f ca="1">IFERROR(__xludf.DUMMYFUNCTION("""COMPUTED_VALUE"""),"Cost per instance")</f>
        <v>Cost per instance</v>
      </c>
      <c r="M564" s="3"/>
      <c r="N564" s="3"/>
      <c r="O564" s="3"/>
      <c r="P564" s="3"/>
      <c r="Q564" s="3"/>
      <c r="R564" s="3"/>
      <c r="S564" s="3" t="str">
        <f ca="1">IFERROR(__xludf.DUMMYFUNCTION("""COMPUTED_VALUE"""),"100")</f>
        <v>100</v>
      </c>
      <c r="T564" s="3"/>
      <c r="U564" s="3" t="str">
        <f ca="1">IFERROR(__xludf.DUMMYFUNCTION("""COMPUTED_VALUE"""),"SoMe facebook")</f>
        <v>SoMe facebook</v>
      </c>
      <c r="V564" s="3"/>
      <c r="W564" s="4" t="str">
        <f ca="1">IFERROR(__xludf.DUMMYFUNCTION("""COMPUTED_VALUE"""),"https://www.facebook.com/business/ads-guide/image/facebook-feed")</f>
        <v>https://www.facebook.com/business/ads-guide/image/facebook-feed</v>
      </c>
      <c r="X564" s="3"/>
      <c r="Y564" s="3"/>
      <c r="Z564" s="3" t="str">
        <f ca="1">IFERROR(__xludf.DUMMYFUNCTION("""COMPUTED_VALUE"""),"podklady@cncenter.cz")</f>
        <v>podklady@cncenter.cz</v>
      </c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 t="str">
        <f ca="1">IFERROR(__xludf.DUMMYFUNCTION("""COMPUTED_VALUE"""),"cross-device")</f>
        <v>cross-device</v>
      </c>
      <c r="AO564" s="3"/>
      <c r="AP564" s="3"/>
      <c r="AQ564" s="3"/>
      <c r="AR564" s="3"/>
      <c r="AS564" s="3"/>
      <c r="AT564" s="3"/>
      <c r="AU564" s="3" t="str">
        <f ca="1">IFERROR(__xludf.DUMMYFUNCTION("""COMPUTED_VALUE"""),"facebook post")</f>
        <v>facebook post</v>
      </c>
    </row>
    <row r="565" spans="1:47" x14ac:dyDescent="0.3">
      <c r="A565" s="3">
        <f ca="1"/>
        <v>2346826</v>
      </c>
      <c r="B565" s="3" t="str">
        <f ca="1"/>
        <v>CZECH NEWS CENTER a. s.</v>
      </c>
      <c r="C565" s="3" t="str">
        <f ca="1">IFERROR(__xludf.DUMMYFUNCTION("""COMPUTED_VALUE"""),"Facebookový profil Maminka")</f>
        <v>Facebookový profil Maminka</v>
      </c>
      <c r="D565" s="4" t="str">
        <f ca="1">IFERROR(__xludf.DUMMYFUNCTION("""COMPUTED_VALUE"""),"www.facebook.com")</f>
        <v>www.facebook.com</v>
      </c>
      <c r="E565" s="3" t="str">
        <f ca="1">IFERROR(__xludf.DUMMYFUNCTION("""COMPUTED_VALUE"""),"FB stránka")</f>
        <v>FB stránka</v>
      </c>
      <c r="F565" s="4" t="str">
        <f ca="1">IFERROR(__xludf.DUMMYFUNCTION("""COMPUTED_VALUE"""),"www.facebook.com")</f>
        <v>www.facebook.com</v>
      </c>
      <c r="G565" s="3" t="str">
        <f ca="1">IFERROR(__xludf.DUMMYFUNCTION("""COMPUTED_VALUE"""),"facebook post high season")</f>
        <v>facebook post high season</v>
      </c>
      <c r="H565" s="3">
        <f ca="1">IFERROR(__xludf.DUMMYFUNCTION("""COMPUTED_VALUE"""),1)</f>
        <v>1</v>
      </c>
      <c r="I565" s="5">
        <f ca="1">IFERROR(__xludf.DUMMYFUNCTION("""COMPUTED_VALUE"""),1)</f>
        <v>1</v>
      </c>
      <c r="J565" s="5">
        <f ca="1">IFERROR(__xludf.DUMMYFUNCTION("""COMPUTED_VALUE"""),23000)</f>
        <v>23000</v>
      </c>
      <c r="K565" s="3"/>
      <c r="L565" s="3" t="str">
        <f ca="1">IFERROR(__xludf.DUMMYFUNCTION("""COMPUTED_VALUE"""),"Cost per instance")</f>
        <v>Cost per instance</v>
      </c>
      <c r="M565" s="3"/>
      <c r="N565" s="3"/>
      <c r="O565" s="3"/>
      <c r="P565" s="3"/>
      <c r="Q565" s="3"/>
      <c r="R565" s="3"/>
      <c r="S565" s="3" t="str">
        <f ca="1">IFERROR(__xludf.DUMMYFUNCTION("""COMPUTED_VALUE"""),"100")</f>
        <v>100</v>
      </c>
      <c r="T565" s="3"/>
      <c r="U565" s="3" t="str">
        <f ca="1">IFERROR(__xludf.DUMMYFUNCTION("""COMPUTED_VALUE"""),"SoMe facebook")</f>
        <v>SoMe facebook</v>
      </c>
      <c r="V565" s="3"/>
      <c r="W565" s="4" t="str">
        <f ca="1">IFERROR(__xludf.DUMMYFUNCTION("""COMPUTED_VALUE"""),"https://www.facebook.com/business/ads-guide/image/facebook-feed")</f>
        <v>https://www.facebook.com/business/ads-guide/image/facebook-feed</v>
      </c>
      <c r="X565" s="3"/>
      <c r="Y565" s="3"/>
      <c r="Z565" s="3" t="str">
        <f ca="1">IFERROR(__xludf.DUMMYFUNCTION("""COMPUTED_VALUE"""),"podklady@cncenter.cz")</f>
        <v>podklady@cncenter.cz</v>
      </c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 t="str">
        <f ca="1">IFERROR(__xludf.DUMMYFUNCTION("""COMPUTED_VALUE"""),"cross-device")</f>
        <v>cross-device</v>
      </c>
      <c r="AO565" s="3"/>
      <c r="AP565" s="3"/>
      <c r="AQ565" s="3"/>
      <c r="AR565" s="3"/>
      <c r="AS565" s="3"/>
      <c r="AT565" s="3"/>
      <c r="AU565" s="3" t="str">
        <f ca="1">IFERROR(__xludf.DUMMYFUNCTION("""COMPUTED_VALUE"""),"facebook post")</f>
        <v>facebook post</v>
      </c>
    </row>
    <row r="566" spans="1:47" x14ac:dyDescent="0.3">
      <c r="A566" s="3">
        <f ca="1"/>
        <v>2346826</v>
      </c>
      <c r="B566" s="3" t="str">
        <f ca="1"/>
        <v>CZECH NEWS CENTER a. s.</v>
      </c>
      <c r="C566" s="3" t="str">
        <f ca="1">IFERROR(__xludf.DUMMYFUNCTION("""COMPUTED_VALUE"""),"Facebookový profil Mateřídouška")</f>
        <v>Facebookový profil Mateřídouška</v>
      </c>
      <c r="D566" s="4" t="str">
        <f ca="1">IFERROR(__xludf.DUMMYFUNCTION("""COMPUTED_VALUE"""),"www.facebook.com")</f>
        <v>www.facebook.com</v>
      </c>
      <c r="E566" s="3" t="str">
        <f ca="1">IFERROR(__xludf.DUMMYFUNCTION("""COMPUTED_VALUE"""),"FB stránka")</f>
        <v>FB stránka</v>
      </c>
      <c r="F566" s="4" t="str">
        <f ca="1">IFERROR(__xludf.DUMMYFUNCTION("""COMPUTED_VALUE"""),"www.facebook.com")</f>
        <v>www.facebook.com</v>
      </c>
      <c r="G566" s="3" t="str">
        <f ca="1">IFERROR(__xludf.DUMMYFUNCTION("""COMPUTED_VALUE"""),"facebook post high season")</f>
        <v>facebook post high season</v>
      </c>
      <c r="H566" s="3">
        <f ca="1">IFERROR(__xludf.DUMMYFUNCTION("""COMPUTED_VALUE"""),1)</f>
        <v>1</v>
      </c>
      <c r="I566" s="5">
        <f ca="1">IFERROR(__xludf.DUMMYFUNCTION("""COMPUTED_VALUE"""),1)</f>
        <v>1</v>
      </c>
      <c r="J566" s="5">
        <f ca="1">IFERROR(__xludf.DUMMYFUNCTION("""COMPUTED_VALUE"""),18000)</f>
        <v>18000</v>
      </c>
      <c r="K566" s="3"/>
      <c r="L566" s="3" t="str">
        <f ca="1">IFERROR(__xludf.DUMMYFUNCTION("""COMPUTED_VALUE"""),"Cost per instance")</f>
        <v>Cost per instance</v>
      </c>
      <c r="M566" s="3"/>
      <c r="N566" s="3"/>
      <c r="O566" s="3"/>
      <c r="P566" s="3"/>
      <c r="Q566" s="3"/>
      <c r="R566" s="3"/>
      <c r="S566" s="3" t="str">
        <f ca="1">IFERROR(__xludf.DUMMYFUNCTION("""COMPUTED_VALUE"""),"100")</f>
        <v>100</v>
      </c>
      <c r="T566" s="3"/>
      <c r="U566" s="3" t="str">
        <f ca="1">IFERROR(__xludf.DUMMYFUNCTION("""COMPUTED_VALUE"""),"SoMe facebook")</f>
        <v>SoMe facebook</v>
      </c>
      <c r="V566" s="3"/>
      <c r="W566" s="4" t="str">
        <f ca="1">IFERROR(__xludf.DUMMYFUNCTION("""COMPUTED_VALUE"""),"https://www.facebook.com/business/ads-guide/image/facebook-feed")</f>
        <v>https://www.facebook.com/business/ads-guide/image/facebook-feed</v>
      </c>
      <c r="X566" s="3"/>
      <c r="Y566" s="3"/>
      <c r="Z566" s="3" t="str">
        <f ca="1">IFERROR(__xludf.DUMMYFUNCTION("""COMPUTED_VALUE"""),"podklady@cncenter.cz")</f>
        <v>podklady@cncenter.cz</v>
      </c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 t="str">
        <f ca="1">IFERROR(__xludf.DUMMYFUNCTION("""COMPUTED_VALUE"""),"cross-device")</f>
        <v>cross-device</v>
      </c>
      <c r="AO566" s="3"/>
      <c r="AP566" s="3"/>
      <c r="AQ566" s="3"/>
      <c r="AR566" s="3"/>
      <c r="AS566" s="3"/>
      <c r="AT566" s="3"/>
      <c r="AU566" s="3" t="str">
        <f ca="1">IFERROR(__xludf.DUMMYFUNCTION("""COMPUTED_VALUE"""),"facebook post")</f>
        <v>facebook post</v>
      </c>
    </row>
    <row r="567" spans="1:47" x14ac:dyDescent="0.3">
      <c r="A567" s="3">
        <f ca="1"/>
        <v>2346826</v>
      </c>
      <c r="B567" s="3" t="str">
        <f ca="1"/>
        <v>CZECH NEWS CENTER a. s.</v>
      </c>
      <c r="C567" s="3" t="str">
        <f ca="1">IFERROR(__xludf.DUMMYFUNCTION("""COMPUTED_VALUE"""),"Facebookový profil Mimibazar")</f>
        <v>Facebookový profil Mimibazar</v>
      </c>
      <c r="D567" s="4" t="str">
        <f ca="1">IFERROR(__xludf.DUMMYFUNCTION("""COMPUTED_VALUE"""),"www.facebook.com")</f>
        <v>www.facebook.com</v>
      </c>
      <c r="E567" s="3" t="str">
        <f ca="1">IFERROR(__xludf.DUMMYFUNCTION("""COMPUTED_VALUE"""),"FB stránka")</f>
        <v>FB stránka</v>
      </c>
      <c r="F567" s="4" t="str">
        <f ca="1">IFERROR(__xludf.DUMMYFUNCTION("""COMPUTED_VALUE"""),"www.facebook.com")</f>
        <v>www.facebook.com</v>
      </c>
      <c r="G567" s="3" t="str">
        <f ca="1">IFERROR(__xludf.DUMMYFUNCTION("""COMPUTED_VALUE"""),"facebook post high season")</f>
        <v>facebook post high season</v>
      </c>
      <c r="H567" s="3">
        <f ca="1">IFERROR(__xludf.DUMMYFUNCTION("""COMPUTED_VALUE"""),1)</f>
        <v>1</v>
      </c>
      <c r="I567" s="5">
        <f ca="1">IFERROR(__xludf.DUMMYFUNCTION("""COMPUTED_VALUE"""),1)</f>
        <v>1</v>
      </c>
      <c r="J567" s="5">
        <f ca="1">IFERROR(__xludf.DUMMYFUNCTION("""COMPUTED_VALUE"""),23000)</f>
        <v>23000</v>
      </c>
      <c r="K567" s="3"/>
      <c r="L567" s="3" t="str">
        <f ca="1">IFERROR(__xludf.DUMMYFUNCTION("""COMPUTED_VALUE"""),"Cost per instance")</f>
        <v>Cost per instance</v>
      </c>
      <c r="M567" s="3"/>
      <c r="N567" s="3"/>
      <c r="O567" s="3"/>
      <c r="P567" s="3"/>
      <c r="Q567" s="3"/>
      <c r="R567" s="3"/>
      <c r="S567" s="3" t="str">
        <f ca="1">IFERROR(__xludf.DUMMYFUNCTION("""COMPUTED_VALUE"""),"100")</f>
        <v>100</v>
      </c>
      <c r="T567" s="3"/>
      <c r="U567" s="3" t="str">
        <f ca="1">IFERROR(__xludf.DUMMYFUNCTION("""COMPUTED_VALUE"""),"SoMe facebook")</f>
        <v>SoMe facebook</v>
      </c>
      <c r="V567" s="3"/>
      <c r="W567" s="4" t="str">
        <f ca="1">IFERROR(__xludf.DUMMYFUNCTION("""COMPUTED_VALUE"""),"https://www.facebook.com/business/ads-guide/image/facebook-feed")</f>
        <v>https://www.facebook.com/business/ads-guide/image/facebook-feed</v>
      </c>
      <c r="X567" s="3"/>
      <c r="Y567" s="3"/>
      <c r="Z567" s="3" t="str">
        <f ca="1">IFERROR(__xludf.DUMMYFUNCTION("""COMPUTED_VALUE"""),"podklady@cncenter.cz")</f>
        <v>podklady@cncenter.cz</v>
      </c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 t="str">
        <f ca="1">IFERROR(__xludf.DUMMYFUNCTION("""COMPUTED_VALUE"""),"cross-device")</f>
        <v>cross-device</v>
      </c>
      <c r="AO567" s="3"/>
      <c r="AP567" s="3"/>
      <c r="AQ567" s="3"/>
      <c r="AR567" s="3"/>
      <c r="AS567" s="3"/>
      <c r="AT567" s="3"/>
      <c r="AU567" s="3" t="str">
        <f ca="1">IFERROR(__xludf.DUMMYFUNCTION("""COMPUTED_VALUE"""),"facebook post")</f>
        <v>facebook post</v>
      </c>
    </row>
    <row r="568" spans="1:47" x14ac:dyDescent="0.3">
      <c r="A568" s="3">
        <f ca="1"/>
        <v>2346826</v>
      </c>
      <c r="B568" s="3" t="str">
        <f ca="1"/>
        <v>CZECH NEWS CENTER a. s.</v>
      </c>
      <c r="C568" s="3" t="str">
        <f ca="1">IFERROR(__xludf.DUMMYFUNCTION("""COMPUTED_VALUE"""),"Facebookový profil Mobilmania")</f>
        <v>Facebookový profil Mobilmania</v>
      </c>
      <c r="D568" s="4" t="str">
        <f ca="1">IFERROR(__xludf.DUMMYFUNCTION("""COMPUTED_VALUE"""),"www.facebook.com")</f>
        <v>www.facebook.com</v>
      </c>
      <c r="E568" s="3" t="str">
        <f ca="1">IFERROR(__xludf.DUMMYFUNCTION("""COMPUTED_VALUE"""),"FB stránka")</f>
        <v>FB stránka</v>
      </c>
      <c r="F568" s="4" t="str">
        <f ca="1">IFERROR(__xludf.DUMMYFUNCTION("""COMPUTED_VALUE"""),"www.facebook.com")</f>
        <v>www.facebook.com</v>
      </c>
      <c r="G568" s="3" t="str">
        <f ca="1">IFERROR(__xludf.DUMMYFUNCTION("""COMPUTED_VALUE"""),"facebook post high season")</f>
        <v>facebook post high season</v>
      </c>
      <c r="H568" s="3">
        <f ca="1">IFERROR(__xludf.DUMMYFUNCTION("""COMPUTED_VALUE"""),1)</f>
        <v>1</v>
      </c>
      <c r="I568" s="5">
        <f ca="1">IFERROR(__xludf.DUMMYFUNCTION("""COMPUTED_VALUE"""),1)</f>
        <v>1</v>
      </c>
      <c r="J568" s="5">
        <f ca="1">IFERROR(__xludf.DUMMYFUNCTION("""COMPUTED_VALUE"""),18000)</f>
        <v>18000</v>
      </c>
      <c r="K568" s="3"/>
      <c r="L568" s="3" t="str">
        <f ca="1">IFERROR(__xludf.DUMMYFUNCTION("""COMPUTED_VALUE"""),"Cost per instance")</f>
        <v>Cost per instance</v>
      </c>
      <c r="M568" s="3"/>
      <c r="N568" s="3"/>
      <c r="O568" s="3"/>
      <c r="P568" s="3"/>
      <c r="Q568" s="3"/>
      <c r="R568" s="3"/>
      <c r="S568" s="3" t="str">
        <f ca="1">IFERROR(__xludf.DUMMYFUNCTION("""COMPUTED_VALUE"""),"100")</f>
        <v>100</v>
      </c>
      <c r="T568" s="3"/>
      <c r="U568" s="3" t="str">
        <f ca="1">IFERROR(__xludf.DUMMYFUNCTION("""COMPUTED_VALUE"""),"SoMe facebook")</f>
        <v>SoMe facebook</v>
      </c>
      <c r="V568" s="3"/>
      <c r="W568" s="4" t="str">
        <f ca="1">IFERROR(__xludf.DUMMYFUNCTION("""COMPUTED_VALUE"""),"https://www.facebook.com/business/ads-guide/image/facebook-feed")</f>
        <v>https://www.facebook.com/business/ads-guide/image/facebook-feed</v>
      </c>
      <c r="X568" s="3"/>
      <c r="Y568" s="3"/>
      <c r="Z568" s="3" t="str">
        <f ca="1">IFERROR(__xludf.DUMMYFUNCTION("""COMPUTED_VALUE"""),"podklady@cncenter.cz")</f>
        <v>podklady@cncenter.cz</v>
      </c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 t="str">
        <f ca="1">IFERROR(__xludf.DUMMYFUNCTION("""COMPUTED_VALUE"""),"cross-device")</f>
        <v>cross-device</v>
      </c>
      <c r="AO568" s="3"/>
      <c r="AP568" s="3"/>
      <c r="AQ568" s="3"/>
      <c r="AR568" s="3"/>
      <c r="AS568" s="3"/>
      <c r="AT568" s="3"/>
      <c r="AU568" s="3" t="str">
        <f ca="1">IFERROR(__xludf.DUMMYFUNCTION("""COMPUTED_VALUE"""),"facebook post")</f>
        <v>facebook post</v>
      </c>
    </row>
    <row r="569" spans="1:47" x14ac:dyDescent="0.3">
      <c r="A569" s="3">
        <f ca="1"/>
        <v>2346826</v>
      </c>
      <c r="B569" s="3" t="str">
        <f ca="1"/>
        <v>CZECH NEWS CENTER a. s.</v>
      </c>
      <c r="C569" s="3" t="str">
        <f ca="1">IFERROR(__xludf.DUMMYFUNCTION("""COMPUTED_VALUE"""),"Facebookový profil Moje psychologie")</f>
        <v>Facebookový profil Moje psychologie</v>
      </c>
      <c r="D569" s="4" t="str">
        <f ca="1">IFERROR(__xludf.DUMMYFUNCTION("""COMPUTED_VALUE"""),"www.facebook.com")</f>
        <v>www.facebook.com</v>
      </c>
      <c r="E569" s="3" t="str">
        <f ca="1">IFERROR(__xludf.DUMMYFUNCTION("""COMPUTED_VALUE"""),"FB stránka")</f>
        <v>FB stránka</v>
      </c>
      <c r="F569" s="4" t="str">
        <f ca="1">IFERROR(__xludf.DUMMYFUNCTION("""COMPUTED_VALUE"""),"www.facebook.com")</f>
        <v>www.facebook.com</v>
      </c>
      <c r="G569" s="3" t="str">
        <f ca="1">IFERROR(__xludf.DUMMYFUNCTION("""COMPUTED_VALUE"""),"facebook post high season")</f>
        <v>facebook post high season</v>
      </c>
      <c r="H569" s="3">
        <f ca="1">IFERROR(__xludf.DUMMYFUNCTION("""COMPUTED_VALUE"""),1)</f>
        <v>1</v>
      </c>
      <c r="I569" s="5">
        <f ca="1">IFERROR(__xludf.DUMMYFUNCTION("""COMPUTED_VALUE"""),1)</f>
        <v>1</v>
      </c>
      <c r="J569" s="5">
        <f ca="1">IFERROR(__xludf.DUMMYFUNCTION("""COMPUTED_VALUE"""),18000)</f>
        <v>18000</v>
      </c>
      <c r="K569" s="3"/>
      <c r="L569" s="3" t="str">
        <f ca="1">IFERROR(__xludf.DUMMYFUNCTION("""COMPUTED_VALUE"""),"Cost per instance")</f>
        <v>Cost per instance</v>
      </c>
      <c r="M569" s="3"/>
      <c r="N569" s="3"/>
      <c r="O569" s="3"/>
      <c r="P569" s="3"/>
      <c r="Q569" s="3"/>
      <c r="R569" s="3"/>
      <c r="S569" s="3" t="str">
        <f ca="1">IFERROR(__xludf.DUMMYFUNCTION("""COMPUTED_VALUE"""),"100")</f>
        <v>100</v>
      </c>
      <c r="T569" s="3"/>
      <c r="U569" s="3" t="str">
        <f ca="1">IFERROR(__xludf.DUMMYFUNCTION("""COMPUTED_VALUE"""),"SoMe facebook")</f>
        <v>SoMe facebook</v>
      </c>
      <c r="V569" s="3"/>
      <c r="W569" s="4" t="str">
        <f ca="1">IFERROR(__xludf.DUMMYFUNCTION("""COMPUTED_VALUE"""),"https://www.facebook.com/business/ads-guide/image/facebook-feed")</f>
        <v>https://www.facebook.com/business/ads-guide/image/facebook-feed</v>
      </c>
      <c r="X569" s="3"/>
      <c r="Y569" s="3"/>
      <c r="Z569" s="3" t="str">
        <f ca="1">IFERROR(__xludf.DUMMYFUNCTION("""COMPUTED_VALUE"""),"podklady@cncenter.cz")</f>
        <v>podklady@cncenter.cz</v>
      </c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 t="str">
        <f ca="1">IFERROR(__xludf.DUMMYFUNCTION("""COMPUTED_VALUE"""),"cross-device")</f>
        <v>cross-device</v>
      </c>
      <c r="AO569" s="3"/>
      <c r="AP569" s="3"/>
      <c r="AQ569" s="3"/>
      <c r="AR569" s="3"/>
      <c r="AS569" s="3"/>
      <c r="AT569" s="3"/>
      <c r="AU569" s="3" t="str">
        <f ca="1">IFERROR(__xludf.DUMMYFUNCTION("""COMPUTED_VALUE"""),"facebook post")</f>
        <v>facebook post</v>
      </c>
    </row>
    <row r="570" spans="1:47" x14ac:dyDescent="0.3">
      <c r="A570" s="3">
        <f ca="1"/>
        <v>2346826</v>
      </c>
      <c r="B570" s="3" t="str">
        <f ca="1"/>
        <v>CZECH NEWS CENTER a. s.</v>
      </c>
      <c r="C570" s="3" t="str">
        <f ca="1">IFERROR(__xludf.DUMMYFUNCTION("""COMPUTED_VALUE"""),"Facebookový profil Recepty")</f>
        <v>Facebookový profil Recepty</v>
      </c>
      <c r="D570" s="4" t="str">
        <f ca="1">IFERROR(__xludf.DUMMYFUNCTION("""COMPUTED_VALUE"""),"www.facebook.com")</f>
        <v>www.facebook.com</v>
      </c>
      <c r="E570" s="3" t="str">
        <f ca="1">IFERROR(__xludf.DUMMYFUNCTION("""COMPUTED_VALUE"""),"FB stránka")</f>
        <v>FB stránka</v>
      </c>
      <c r="F570" s="4" t="str">
        <f ca="1">IFERROR(__xludf.DUMMYFUNCTION("""COMPUTED_VALUE"""),"www.facebook.com")</f>
        <v>www.facebook.com</v>
      </c>
      <c r="G570" s="3" t="str">
        <f ca="1">IFERROR(__xludf.DUMMYFUNCTION("""COMPUTED_VALUE"""),"facebook post high season")</f>
        <v>facebook post high season</v>
      </c>
      <c r="H570" s="3">
        <f ca="1">IFERROR(__xludf.DUMMYFUNCTION("""COMPUTED_VALUE"""),1)</f>
        <v>1</v>
      </c>
      <c r="I570" s="5">
        <f ca="1">IFERROR(__xludf.DUMMYFUNCTION("""COMPUTED_VALUE"""),1)</f>
        <v>1</v>
      </c>
      <c r="J570" s="5">
        <f ca="1">IFERROR(__xludf.DUMMYFUNCTION("""COMPUTED_VALUE"""),18000)</f>
        <v>18000</v>
      </c>
      <c r="K570" s="3"/>
      <c r="L570" s="3" t="str">
        <f ca="1">IFERROR(__xludf.DUMMYFUNCTION("""COMPUTED_VALUE"""),"Cost per instance")</f>
        <v>Cost per instance</v>
      </c>
      <c r="M570" s="3"/>
      <c r="N570" s="3"/>
      <c r="O570" s="3"/>
      <c r="P570" s="3"/>
      <c r="Q570" s="3"/>
      <c r="R570" s="3"/>
      <c r="S570" s="3" t="str">
        <f ca="1">IFERROR(__xludf.DUMMYFUNCTION("""COMPUTED_VALUE"""),"100")</f>
        <v>100</v>
      </c>
      <c r="T570" s="3"/>
      <c r="U570" s="3" t="str">
        <f ca="1">IFERROR(__xludf.DUMMYFUNCTION("""COMPUTED_VALUE"""),"SoMe facebook")</f>
        <v>SoMe facebook</v>
      </c>
      <c r="V570" s="3"/>
      <c r="W570" s="4" t="str">
        <f ca="1">IFERROR(__xludf.DUMMYFUNCTION("""COMPUTED_VALUE"""),"https://www.facebook.com/business/ads-guide/image/facebook-feed")</f>
        <v>https://www.facebook.com/business/ads-guide/image/facebook-feed</v>
      </c>
      <c r="X570" s="3"/>
      <c r="Y570" s="3"/>
      <c r="Z570" s="3" t="str">
        <f ca="1">IFERROR(__xludf.DUMMYFUNCTION("""COMPUTED_VALUE"""),"podklady@cncenter.cz")</f>
        <v>podklady@cncenter.cz</v>
      </c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 t="str">
        <f ca="1">IFERROR(__xludf.DUMMYFUNCTION("""COMPUTED_VALUE"""),"cross-device")</f>
        <v>cross-device</v>
      </c>
      <c r="AO570" s="3"/>
      <c r="AP570" s="3"/>
      <c r="AQ570" s="3"/>
      <c r="AR570" s="3"/>
      <c r="AS570" s="3"/>
      <c r="AT570" s="3"/>
      <c r="AU570" s="3" t="str">
        <f ca="1">IFERROR(__xludf.DUMMYFUNCTION("""COMPUTED_VALUE"""),"facebook post")</f>
        <v>facebook post</v>
      </c>
    </row>
    <row r="571" spans="1:47" x14ac:dyDescent="0.3">
      <c r="A571" s="3">
        <f ca="1"/>
        <v>2346826</v>
      </c>
      <c r="B571" s="3" t="str">
        <f ca="1"/>
        <v>CZECH NEWS CENTER a. s.</v>
      </c>
      <c r="C571" s="3" t="str">
        <f ca="1">IFERROR(__xludf.DUMMYFUNCTION("""COMPUTED_VALUE"""),"Facebookový profil Reflex")</f>
        <v>Facebookový profil Reflex</v>
      </c>
      <c r="D571" s="4" t="str">
        <f ca="1">IFERROR(__xludf.DUMMYFUNCTION("""COMPUTED_VALUE"""),"www.facebook.com")</f>
        <v>www.facebook.com</v>
      </c>
      <c r="E571" s="3" t="str">
        <f ca="1">IFERROR(__xludf.DUMMYFUNCTION("""COMPUTED_VALUE"""),"FB stránka")</f>
        <v>FB stránka</v>
      </c>
      <c r="F571" s="4" t="str">
        <f ca="1">IFERROR(__xludf.DUMMYFUNCTION("""COMPUTED_VALUE"""),"www.facebook.com")</f>
        <v>www.facebook.com</v>
      </c>
      <c r="G571" s="3" t="str">
        <f ca="1">IFERROR(__xludf.DUMMYFUNCTION("""COMPUTED_VALUE"""),"facebook post high season")</f>
        <v>facebook post high season</v>
      </c>
      <c r="H571" s="3">
        <f ca="1">IFERROR(__xludf.DUMMYFUNCTION("""COMPUTED_VALUE"""),1)</f>
        <v>1</v>
      </c>
      <c r="I571" s="5">
        <f ca="1">IFERROR(__xludf.DUMMYFUNCTION("""COMPUTED_VALUE"""),1)</f>
        <v>1</v>
      </c>
      <c r="J571" s="5">
        <f ca="1">IFERROR(__xludf.DUMMYFUNCTION("""COMPUTED_VALUE"""),23000)</f>
        <v>23000</v>
      </c>
      <c r="K571" s="3"/>
      <c r="L571" s="3" t="str">
        <f ca="1">IFERROR(__xludf.DUMMYFUNCTION("""COMPUTED_VALUE"""),"Cost per instance")</f>
        <v>Cost per instance</v>
      </c>
      <c r="M571" s="3"/>
      <c r="N571" s="3"/>
      <c r="O571" s="3"/>
      <c r="P571" s="3"/>
      <c r="Q571" s="3"/>
      <c r="R571" s="3"/>
      <c r="S571" s="3" t="str">
        <f ca="1">IFERROR(__xludf.DUMMYFUNCTION("""COMPUTED_VALUE"""),"100")</f>
        <v>100</v>
      </c>
      <c r="T571" s="3"/>
      <c r="U571" s="3" t="str">
        <f ca="1">IFERROR(__xludf.DUMMYFUNCTION("""COMPUTED_VALUE"""),"SoMe facebook")</f>
        <v>SoMe facebook</v>
      </c>
      <c r="V571" s="3"/>
      <c r="W571" s="4" t="str">
        <f ca="1">IFERROR(__xludf.DUMMYFUNCTION("""COMPUTED_VALUE"""),"https://www.facebook.com/business/ads-guide/image/facebook-feed")</f>
        <v>https://www.facebook.com/business/ads-guide/image/facebook-feed</v>
      </c>
      <c r="X571" s="3"/>
      <c r="Y571" s="3"/>
      <c r="Z571" s="3" t="str">
        <f ca="1">IFERROR(__xludf.DUMMYFUNCTION("""COMPUTED_VALUE"""),"podklady@cncenter.cz")</f>
        <v>podklady@cncenter.cz</v>
      </c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 t="str">
        <f ca="1">IFERROR(__xludf.DUMMYFUNCTION("""COMPUTED_VALUE"""),"cross-device")</f>
        <v>cross-device</v>
      </c>
      <c r="AO571" s="3"/>
      <c r="AP571" s="3"/>
      <c r="AQ571" s="3"/>
      <c r="AR571" s="3"/>
      <c r="AS571" s="3"/>
      <c r="AT571" s="3"/>
      <c r="AU571" s="3" t="str">
        <f ca="1">IFERROR(__xludf.DUMMYFUNCTION("""COMPUTED_VALUE"""),"facebook post")</f>
        <v>facebook post</v>
      </c>
    </row>
    <row r="572" spans="1:47" x14ac:dyDescent="0.3">
      <c r="A572" s="3">
        <f ca="1"/>
        <v>2346826</v>
      </c>
      <c r="B572" s="3" t="str">
        <f ca="1"/>
        <v>CZECH NEWS CENTER a. s.</v>
      </c>
      <c r="C572" s="3" t="str">
        <f ca="1">IFERROR(__xludf.DUMMYFUNCTION("""COMPUTED_VALUE"""),"Facebookový profil Sluníčko")</f>
        <v>Facebookový profil Sluníčko</v>
      </c>
      <c r="D572" s="4" t="str">
        <f ca="1">IFERROR(__xludf.DUMMYFUNCTION("""COMPUTED_VALUE"""),"www.facebook.com")</f>
        <v>www.facebook.com</v>
      </c>
      <c r="E572" s="3" t="str">
        <f ca="1">IFERROR(__xludf.DUMMYFUNCTION("""COMPUTED_VALUE"""),"FB stránka")</f>
        <v>FB stránka</v>
      </c>
      <c r="F572" s="4" t="str">
        <f ca="1">IFERROR(__xludf.DUMMYFUNCTION("""COMPUTED_VALUE"""),"www.facebook.com")</f>
        <v>www.facebook.com</v>
      </c>
      <c r="G572" s="3" t="str">
        <f ca="1">IFERROR(__xludf.DUMMYFUNCTION("""COMPUTED_VALUE"""),"facebook post high season")</f>
        <v>facebook post high season</v>
      </c>
      <c r="H572" s="3">
        <f ca="1">IFERROR(__xludf.DUMMYFUNCTION("""COMPUTED_VALUE"""),1)</f>
        <v>1</v>
      </c>
      <c r="I572" s="5">
        <f ca="1">IFERROR(__xludf.DUMMYFUNCTION("""COMPUTED_VALUE"""),1)</f>
        <v>1</v>
      </c>
      <c r="J572" s="5">
        <f ca="1">IFERROR(__xludf.DUMMYFUNCTION("""COMPUTED_VALUE"""),18000)</f>
        <v>18000</v>
      </c>
      <c r="K572" s="3"/>
      <c r="L572" s="3" t="str">
        <f ca="1">IFERROR(__xludf.DUMMYFUNCTION("""COMPUTED_VALUE"""),"Cost per instance")</f>
        <v>Cost per instance</v>
      </c>
      <c r="M572" s="3"/>
      <c r="N572" s="3"/>
      <c r="O572" s="3"/>
      <c r="P572" s="3"/>
      <c r="Q572" s="3"/>
      <c r="R572" s="3"/>
      <c r="S572" s="3" t="str">
        <f ca="1">IFERROR(__xludf.DUMMYFUNCTION("""COMPUTED_VALUE"""),"100")</f>
        <v>100</v>
      </c>
      <c r="T572" s="3"/>
      <c r="U572" s="3" t="str">
        <f ca="1">IFERROR(__xludf.DUMMYFUNCTION("""COMPUTED_VALUE"""),"SoMe facebook")</f>
        <v>SoMe facebook</v>
      </c>
      <c r="V572" s="3"/>
      <c r="W572" s="4" t="str">
        <f ca="1">IFERROR(__xludf.DUMMYFUNCTION("""COMPUTED_VALUE"""),"https://www.facebook.com/business/ads-guide/image/facebook-feed")</f>
        <v>https://www.facebook.com/business/ads-guide/image/facebook-feed</v>
      </c>
      <c r="X572" s="3"/>
      <c r="Y572" s="3"/>
      <c r="Z572" s="3" t="str">
        <f ca="1">IFERROR(__xludf.DUMMYFUNCTION("""COMPUTED_VALUE"""),"podklady@cncenter.cz")</f>
        <v>podklady@cncenter.cz</v>
      </c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 t="str">
        <f ca="1">IFERROR(__xludf.DUMMYFUNCTION("""COMPUTED_VALUE"""),"cross-device")</f>
        <v>cross-device</v>
      </c>
      <c r="AO572" s="3"/>
      <c r="AP572" s="3"/>
      <c r="AQ572" s="3"/>
      <c r="AR572" s="3"/>
      <c r="AS572" s="3"/>
      <c r="AT572" s="3"/>
      <c r="AU572" s="3" t="str">
        <f ca="1">IFERROR(__xludf.DUMMYFUNCTION("""COMPUTED_VALUE"""),"facebook post")</f>
        <v>facebook post</v>
      </c>
    </row>
    <row r="573" spans="1:47" x14ac:dyDescent="0.3">
      <c r="A573" s="3">
        <f ca="1"/>
        <v>2346826</v>
      </c>
      <c r="B573" s="3" t="str">
        <f ca="1"/>
        <v>CZECH NEWS CENTER a. s.</v>
      </c>
      <c r="C573" s="3" t="str">
        <f ca="1">IFERROR(__xludf.DUMMYFUNCTION("""COMPUTED_VALUE"""),"Facebookový profil Svět motorů")</f>
        <v>Facebookový profil Svět motorů</v>
      </c>
      <c r="D573" s="4" t="str">
        <f ca="1">IFERROR(__xludf.DUMMYFUNCTION("""COMPUTED_VALUE"""),"www.facebook.com")</f>
        <v>www.facebook.com</v>
      </c>
      <c r="E573" s="3" t="str">
        <f ca="1">IFERROR(__xludf.DUMMYFUNCTION("""COMPUTED_VALUE"""),"FB stránka")</f>
        <v>FB stránka</v>
      </c>
      <c r="F573" s="4" t="str">
        <f ca="1">IFERROR(__xludf.DUMMYFUNCTION("""COMPUTED_VALUE"""),"www.facebook.com")</f>
        <v>www.facebook.com</v>
      </c>
      <c r="G573" s="3" t="str">
        <f ca="1">IFERROR(__xludf.DUMMYFUNCTION("""COMPUTED_VALUE"""),"facebook post high season")</f>
        <v>facebook post high season</v>
      </c>
      <c r="H573" s="3">
        <f ca="1">IFERROR(__xludf.DUMMYFUNCTION("""COMPUTED_VALUE"""),1)</f>
        <v>1</v>
      </c>
      <c r="I573" s="5">
        <f ca="1">IFERROR(__xludf.DUMMYFUNCTION("""COMPUTED_VALUE"""),1)</f>
        <v>1</v>
      </c>
      <c r="J573" s="5">
        <f ca="1">IFERROR(__xludf.DUMMYFUNCTION("""COMPUTED_VALUE"""),18000)</f>
        <v>18000</v>
      </c>
      <c r="K573" s="3"/>
      <c r="L573" s="3" t="str">
        <f ca="1">IFERROR(__xludf.DUMMYFUNCTION("""COMPUTED_VALUE"""),"Cost per instance")</f>
        <v>Cost per instance</v>
      </c>
      <c r="M573" s="3"/>
      <c r="N573" s="3"/>
      <c r="O573" s="3"/>
      <c r="P573" s="3"/>
      <c r="Q573" s="3"/>
      <c r="R573" s="3"/>
      <c r="S573" s="3" t="str">
        <f ca="1">IFERROR(__xludf.DUMMYFUNCTION("""COMPUTED_VALUE"""),"100")</f>
        <v>100</v>
      </c>
      <c r="T573" s="3"/>
      <c r="U573" s="3" t="str">
        <f ca="1">IFERROR(__xludf.DUMMYFUNCTION("""COMPUTED_VALUE"""),"SoMe facebook")</f>
        <v>SoMe facebook</v>
      </c>
      <c r="V573" s="3"/>
      <c r="W573" s="4" t="str">
        <f ca="1">IFERROR(__xludf.DUMMYFUNCTION("""COMPUTED_VALUE"""),"https://www.facebook.com/business/ads-guide/image/facebook-feed")</f>
        <v>https://www.facebook.com/business/ads-guide/image/facebook-feed</v>
      </c>
      <c r="X573" s="3"/>
      <c r="Y573" s="3"/>
      <c r="Z573" s="3" t="str">
        <f ca="1">IFERROR(__xludf.DUMMYFUNCTION("""COMPUTED_VALUE"""),"podklady@cncenter.cz")</f>
        <v>podklady@cncenter.cz</v>
      </c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 t="str">
        <f ca="1">IFERROR(__xludf.DUMMYFUNCTION("""COMPUTED_VALUE"""),"cross-device")</f>
        <v>cross-device</v>
      </c>
      <c r="AO573" s="3"/>
      <c r="AP573" s="3"/>
      <c r="AQ573" s="3"/>
      <c r="AR573" s="3"/>
      <c r="AS573" s="3"/>
      <c r="AT573" s="3"/>
      <c r="AU573" s="3" t="str">
        <f ca="1">IFERROR(__xludf.DUMMYFUNCTION("""COMPUTED_VALUE"""),"facebook post")</f>
        <v>facebook post</v>
      </c>
    </row>
    <row r="574" spans="1:47" x14ac:dyDescent="0.3">
      <c r="A574" s="3">
        <f ca="1"/>
        <v>2346826</v>
      </c>
      <c r="B574" s="3" t="str">
        <f ca="1"/>
        <v>CZECH NEWS CENTER a. s.</v>
      </c>
      <c r="C574" s="3" t="str">
        <f ca="1">IFERROR(__xludf.DUMMYFUNCTION("""COMPUTED_VALUE"""),"Facebookový profil VTM")</f>
        <v>Facebookový profil VTM</v>
      </c>
      <c r="D574" s="4" t="str">
        <f ca="1">IFERROR(__xludf.DUMMYFUNCTION("""COMPUTED_VALUE"""),"www.facebook.com")</f>
        <v>www.facebook.com</v>
      </c>
      <c r="E574" s="3" t="str">
        <f ca="1">IFERROR(__xludf.DUMMYFUNCTION("""COMPUTED_VALUE"""),"FB stránka")</f>
        <v>FB stránka</v>
      </c>
      <c r="F574" s="4" t="str">
        <f ca="1">IFERROR(__xludf.DUMMYFUNCTION("""COMPUTED_VALUE"""),"www.facebook.com")</f>
        <v>www.facebook.com</v>
      </c>
      <c r="G574" s="3" t="str">
        <f ca="1">IFERROR(__xludf.DUMMYFUNCTION("""COMPUTED_VALUE"""),"facebook post high season")</f>
        <v>facebook post high season</v>
      </c>
      <c r="H574" s="3">
        <f ca="1">IFERROR(__xludf.DUMMYFUNCTION("""COMPUTED_VALUE"""),1)</f>
        <v>1</v>
      </c>
      <c r="I574" s="5">
        <f ca="1">IFERROR(__xludf.DUMMYFUNCTION("""COMPUTED_VALUE"""),1)</f>
        <v>1</v>
      </c>
      <c r="J574" s="5">
        <f ca="1">IFERROR(__xludf.DUMMYFUNCTION("""COMPUTED_VALUE"""),18000)</f>
        <v>18000</v>
      </c>
      <c r="K574" s="3"/>
      <c r="L574" s="3" t="str">
        <f ca="1">IFERROR(__xludf.DUMMYFUNCTION("""COMPUTED_VALUE"""),"Cost per instance")</f>
        <v>Cost per instance</v>
      </c>
      <c r="M574" s="3"/>
      <c r="N574" s="3"/>
      <c r="O574" s="3"/>
      <c r="P574" s="3"/>
      <c r="Q574" s="3"/>
      <c r="R574" s="3"/>
      <c r="S574" s="3" t="str">
        <f ca="1">IFERROR(__xludf.DUMMYFUNCTION("""COMPUTED_VALUE"""),"100")</f>
        <v>100</v>
      </c>
      <c r="T574" s="3"/>
      <c r="U574" s="3" t="str">
        <f ca="1">IFERROR(__xludf.DUMMYFUNCTION("""COMPUTED_VALUE"""),"SoMe facebook")</f>
        <v>SoMe facebook</v>
      </c>
      <c r="V574" s="3"/>
      <c r="W574" s="4" t="str">
        <f ca="1">IFERROR(__xludf.DUMMYFUNCTION("""COMPUTED_VALUE"""),"https://www.facebook.com/business/ads-guide/image/facebook-feed")</f>
        <v>https://www.facebook.com/business/ads-guide/image/facebook-feed</v>
      </c>
      <c r="X574" s="3"/>
      <c r="Y574" s="3"/>
      <c r="Z574" s="3" t="str">
        <f ca="1">IFERROR(__xludf.DUMMYFUNCTION("""COMPUTED_VALUE"""),"podklady@cncenter.cz")</f>
        <v>podklady@cncenter.cz</v>
      </c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 t="str">
        <f ca="1">IFERROR(__xludf.DUMMYFUNCTION("""COMPUTED_VALUE"""),"cross-device")</f>
        <v>cross-device</v>
      </c>
      <c r="AO574" s="3"/>
      <c r="AP574" s="3"/>
      <c r="AQ574" s="3"/>
      <c r="AR574" s="3"/>
      <c r="AS574" s="3"/>
      <c r="AT574" s="3"/>
      <c r="AU574" s="3" t="str">
        <f ca="1">IFERROR(__xludf.DUMMYFUNCTION("""COMPUTED_VALUE"""),"facebook post")</f>
        <v>facebook post</v>
      </c>
    </row>
    <row r="575" spans="1:47" x14ac:dyDescent="0.3">
      <c r="A575" s="3">
        <f ca="1"/>
        <v>2346826</v>
      </c>
      <c r="B575" s="3" t="str">
        <f ca="1"/>
        <v>CZECH NEWS CENTER a. s.</v>
      </c>
      <c r="C575" s="3" t="str">
        <f ca="1">IFERROR(__xludf.DUMMYFUNCTION("""COMPUTED_VALUE"""),"Facebookový profil Ženy")</f>
        <v>Facebookový profil Ženy</v>
      </c>
      <c r="D575" s="4" t="str">
        <f ca="1">IFERROR(__xludf.DUMMYFUNCTION("""COMPUTED_VALUE"""),"www.facebook.com")</f>
        <v>www.facebook.com</v>
      </c>
      <c r="E575" s="3" t="str">
        <f ca="1">IFERROR(__xludf.DUMMYFUNCTION("""COMPUTED_VALUE"""),"FB stránka")</f>
        <v>FB stránka</v>
      </c>
      <c r="F575" s="4" t="str">
        <f ca="1">IFERROR(__xludf.DUMMYFUNCTION("""COMPUTED_VALUE"""),"www.facebook.com")</f>
        <v>www.facebook.com</v>
      </c>
      <c r="G575" s="3" t="str">
        <f ca="1">IFERROR(__xludf.DUMMYFUNCTION("""COMPUTED_VALUE"""),"facebook post high season")</f>
        <v>facebook post high season</v>
      </c>
      <c r="H575" s="3">
        <f ca="1">IFERROR(__xludf.DUMMYFUNCTION("""COMPUTED_VALUE"""),1)</f>
        <v>1</v>
      </c>
      <c r="I575" s="5">
        <f ca="1">IFERROR(__xludf.DUMMYFUNCTION("""COMPUTED_VALUE"""),1)</f>
        <v>1</v>
      </c>
      <c r="J575" s="5">
        <f ca="1">IFERROR(__xludf.DUMMYFUNCTION("""COMPUTED_VALUE"""),18000)</f>
        <v>18000</v>
      </c>
      <c r="K575" s="3"/>
      <c r="L575" s="3" t="str">
        <f ca="1">IFERROR(__xludf.DUMMYFUNCTION("""COMPUTED_VALUE"""),"Cost per instance")</f>
        <v>Cost per instance</v>
      </c>
      <c r="M575" s="3"/>
      <c r="N575" s="3"/>
      <c r="O575" s="3"/>
      <c r="P575" s="3"/>
      <c r="Q575" s="3"/>
      <c r="R575" s="3"/>
      <c r="S575" s="3" t="str">
        <f ca="1">IFERROR(__xludf.DUMMYFUNCTION("""COMPUTED_VALUE"""),"100")</f>
        <v>100</v>
      </c>
      <c r="T575" s="3"/>
      <c r="U575" s="3" t="str">
        <f ca="1">IFERROR(__xludf.DUMMYFUNCTION("""COMPUTED_VALUE"""),"SoMe facebook")</f>
        <v>SoMe facebook</v>
      </c>
      <c r="V575" s="3"/>
      <c r="W575" s="4" t="str">
        <f ca="1">IFERROR(__xludf.DUMMYFUNCTION("""COMPUTED_VALUE"""),"https://www.facebook.com/business/ads-guide/image/facebook-feed")</f>
        <v>https://www.facebook.com/business/ads-guide/image/facebook-feed</v>
      </c>
      <c r="X575" s="3"/>
      <c r="Y575" s="3"/>
      <c r="Z575" s="3" t="str">
        <f ca="1">IFERROR(__xludf.DUMMYFUNCTION("""COMPUTED_VALUE"""),"podklady@cncenter.cz")</f>
        <v>podklady@cncenter.cz</v>
      </c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 t="str">
        <f ca="1">IFERROR(__xludf.DUMMYFUNCTION("""COMPUTED_VALUE"""),"cross-device")</f>
        <v>cross-device</v>
      </c>
      <c r="AO575" s="3"/>
      <c r="AP575" s="3"/>
      <c r="AQ575" s="3"/>
      <c r="AR575" s="3"/>
      <c r="AS575" s="3"/>
      <c r="AT575" s="3"/>
      <c r="AU575" s="3" t="str">
        <f ca="1">IFERROR(__xludf.DUMMYFUNCTION("""COMPUTED_VALUE"""),"facebook post")</f>
        <v>facebook post</v>
      </c>
    </row>
    <row r="576" spans="1:47" x14ac:dyDescent="0.3">
      <c r="A576" s="3">
        <f ca="1"/>
        <v>2346826</v>
      </c>
      <c r="B576" s="3" t="str">
        <f ca="1"/>
        <v>CZECH NEWS CENTER a. s.</v>
      </c>
      <c r="C576" s="3" t="str">
        <f ca="1">IFERROR(__xludf.DUMMYFUNCTION("""COMPUTED_VALUE"""),"Facebookový profil Živě")</f>
        <v>Facebookový profil Živě</v>
      </c>
      <c r="D576" s="4" t="str">
        <f ca="1">IFERROR(__xludf.DUMMYFUNCTION("""COMPUTED_VALUE"""),"www.facebook.com")</f>
        <v>www.facebook.com</v>
      </c>
      <c r="E576" s="3" t="str">
        <f ca="1">IFERROR(__xludf.DUMMYFUNCTION("""COMPUTED_VALUE"""),"FB stránka")</f>
        <v>FB stránka</v>
      </c>
      <c r="F576" s="4" t="str">
        <f ca="1">IFERROR(__xludf.DUMMYFUNCTION("""COMPUTED_VALUE"""),"www.facebook.com")</f>
        <v>www.facebook.com</v>
      </c>
      <c r="G576" s="3" t="str">
        <f ca="1">IFERROR(__xludf.DUMMYFUNCTION("""COMPUTED_VALUE"""),"facebook post high season")</f>
        <v>facebook post high season</v>
      </c>
      <c r="H576" s="3">
        <f ca="1">IFERROR(__xludf.DUMMYFUNCTION("""COMPUTED_VALUE"""),1)</f>
        <v>1</v>
      </c>
      <c r="I576" s="5">
        <f ca="1">IFERROR(__xludf.DUMMYFUNCTION("""COMPUTED_VALUE"""),1)</f>
        <v>1</v>
      </c>
      <c r="J576" s="5">
        <f ca="1">IFERROR(__xludf.DUMMYFUNCTION("""COMPUTED_VALUE"""),18000)</f>
        <v>18000</v>
      </c>
      <c r="K576" s="3"/>
      <c r="L576" s="3" t="str">
        <f ca="1">IFERROR(__xludf.DUMMYFUNCTION("""COMPUTED_VALUE"""),"Cost per instance")</f>
        <v>Cost per instance</v>
      </c>
      <c r="M576" s="3"/>
      <c r="N576" s="3"/>
      <c r="O576" s="3"/>
      <c r="P576" s="3"/>
      <c r="Q576" s="3"/>
      <c r="R576" s="3"/>
      <c r="S576" s="3" t="str">
        <f ca="1">IFERROR(__xludf.DUMMYFUNCTION("""COMPUTED_VALUE"""),"100")</f>
        <v>100</v>
      </c>
      <c r="T576" s="3"/>
      <c r="U576" s="3" t="str">
        <f ca="1">IFERROR(__xludf.DUMMYFUNCTION("""COMPUTED_VALUE"""),"SoMe facebook")</f>
        <v>SoMe facebook</v>
      </c>
      <c r="V576" s="3"/>
      <c r="W576" s="4" t="str">
        <f ca="1">IFERROR(__xludf.DUMMYFUNCTION("""COMPUTED_VALUE"""),"https://www.facebook.com/business/ads-guide/image/facebook-feed")</f>
        <v>https://www.facebook.com/business/ads-guide/image/facebook-feed</v>
      </c>
      <c r="X576" s="3"/>
      <c r="Y576" s="3"/>
      <c r="Z576" s="3" t="str">
        <f ca="1">IFERROR(__xludf.DUMMYFUNCTION("""COMPUTED_VALUE"""),"podklady@cncenter.cz")</f>
        <v>podklady@cncenter.cz</v>
      </c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 t="str">
        <f ca="1">IFERROR(__xludf.DUMMYFUNCTION("""COMPUTED_VALUE"""),"cross-device")</f>
        <v>cross-device</v>
      </c>
      <c r="AO576" s="3"/>
      <c r="AP576" s="3"/>
      <c r="AQ576" s="3"/>
      <c r="AR576" s="3"/>
      <c r="AS576" s="3"/>
      <c r="AT576" s="3"/>
      <c r="AU576" s="3" t="str">
        <f ca="1">IFERROR(__xludf.DUMMYFUNCTION("""COMPUTED_VALUE"""),"facebook post")</f>
        <v>facebook post</v>
      </c>
    </row>
    <row r="577" spans="1:47" x14ac:dyDescent="0.3">
      <c r="A577" s="3">
        <f ca="1"/>
        <v>2346826</v>
      </c>
      <c r="B577" s="3" t="str">
        <f ca="1"/>
        <v>CZECH NEWS CENTER a. s.</v>
      </c>
      <c r="C577" s="3" t="str">
        <f ca="1">IFERROR(__xludf.DUMMYFUNCTION("""COMPUTED_VALUE"""),"FinExpert")</f>
        <v>FinExpert</v>
      </c>
      <c r="D577" s="4" t="str">
        <f ca="1">IFERROR(__xludf.DUMMYFUNCTION("""COMPUTED_VALUE"""),"https://finexpert.cz")</f>
        <v>https://finexpert.cz</v>
      </c>
      <c r="E577" s="3" t="str">
        <f ca="1">IFERROR(__xludf.DUMMYFUNCTION("""COMPUTED_VALUE"""),"celý web")</f>
        <v>celý web</v>
      </c>
      <c r="F577" s="4" t="str">
        <f ca="1">IFERROR(__xludf.DUMMYFUNCTION("""COMPUTED_VALUE"""),"https://finexpert.cz")</f>
        <v>https://finexpert.cz</v>
      </c>
      <c r="G577" s="3" t="str">
        <f ca="1">IFERROR(__xludf.DUMMYFUNCTION("""COMPUTED_VALUE"""),"Advertorial high season")</f>
        <v>Advertorial high season</v>
      </c>
      <c r="H577" s="3">
        <f ca="1">IFERROR(__xludf.DUMMYFUNCTION("""COMPUTED_VALUE"""),1)</f>
        <v>1</v>
      </c>
      <c r="I577" s="5">
        <f ca="1">IFERROR(__xludf.DUMMYFUNCTION("""COMPUTED_VALUE"""),1)</f>
        <v>1</v>
      </c>
      <c r="J577" s="5">
        <f ca="1">IFERROR(__xludf.DUMMYFUNCTION("""COMPUTED_VALUE"""),90000)</f>
        <v>90000</v>
      </c>
      <c r="K577" s="3"/>
      <c r="L577" s="3" t="str">
        <f ca="1">IFERROR(__xludf.DUMMYFUNCTION("""COMPUTED_VALUE"""),"Cost per instance")</f>
        <v>Cost per instance</v>
      </c>
      <c r="M577" s="3"/>
      <c r="N577" s="3"/>
      <c r="O577" s="3"/>
      <c r="P577" s="3"/>
      <c r="Q577" s="3"/>
      <c r="R577" s="3"/>
      <c r="S577" s="3" t="str">
        <f ca="1">IFERROR(__xludf.DUMMYFUNCTION("""COMPUTED_VALUE"""),"100")</f>
        <v>100</v>
      </c>
      <c r="T577" s="3"/>
      <c r="U577" s="3" t="str">
        <f ca="1">IFERROR(__xludf.DUMMYFUNCTION("""COMPUTED_VALUE"""),"pr článek")</f>
        <v>pr článek</v>
      </c>
      <c r="V577" s="3"/>
      <c r="W577" s="3"/>
      <c r="X577" s="3"/>
      <c r="Y577" s="3"/>
      <c r="Z577" s="3" t="str">
        <f ca="1">IFERROR(__xludf.DUMMYFUNCTION("""COMPUTED_VALUE"""),"podklady@cncenter.cz")</f>
        <v>podklady@cncenter.cz</v>
      </c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 t="str">
        <f ca="1">IFERROR(__xludf.DUMMYFUNCTION("""COMPUTED_VALUE"""),"cross-device")</f>
        <v>cross-device</v>
      </c>
      <c r="AO577" s="3"/>
      <c r="AP577" s="3"/>
      <c r="AQ577" s="3"/>
      <c r="AR577" s="3"/>
      <c r="AS577" s="3"/>
      <c r="AT577" s="3"/>
      <c r="AU577" s="3" t="str">
        <f ca="1">IFERROR(__xludf.DUMMYFUNCTION("""COMPUTED_VALUE"""),"Advertorial")</f>
        <v>Advertorial</v>
      </c>
    </row>
    <row r="578" spans="1:47" x14ac:dyDescent="0.3">
      <c r="A578" s="3">
        <f ca="1"/>
        <v>2346826</v>
      </c>
      <c r="B578" s="3" t="str">
        <f ca="1"/>
        <v>CZECH NEWS CENTER a. s.</v>
      </c>
      <c r="C578" s="3" t="str">
        <f ca="1">IFERROR(__xludf.DUMMYFUNCTION("""COMPUTED_VALUE"""),"FinExpert")</f>
        <v>FinExpert</v>
      </c>
      <c r="D578" s="4" t="str">
        <f ca="1">IFERROR(__xludf.DUMMYFUNCTION("""COMPUTED_VALUE"""),"https://finexpert.cz")</f>
        <v>https://finexpert.cz</v>
      </c>
      <c r="E578" s="3" t="str">
        <f ca="1">IFERROR(__xludf.DUMMYFUNCTION("""COMPUTED_VALUE"""),"celý web")</f>
        <v>celý web</v>
      </c>
      <c r="F578" s="4" t="str">
        <f ca="1">IFERROR(__xludf.DUMMYFUNCTION("""COMPUTED_VALUE"""),"https://finexpert.cz")</f>
        <v>https://finexpert.cz</v>
      </c>
      <c r="G578" s="3" t="str">
        <f ca="1">IFERROR(__xludf.DUMMYFUNCTION("""COMPUTED_VALUE"""),"dokoupení proma o 2 týdny - 10 000 PV *** high season")</f>
        <v>dokoupení proma o 2 týdny - 10 000 PV *** high season</v>
      </c>
      <c r="H578" s="3">
        <f ca="1">IFERROR(__xludf.DUMMYFUNCTION("""COMPUTED_VALUE"""),1)</f>
        <v>1</v>
      </c>
      <c r="I578" s="5">
        <f ca="1">IFERROR(__xludf.DUMMYFUNCTION("""COMPUTED_VALUE"""),1)</f>
        <v>1</v>
      </c>
      <c r="J578" s="5">
        <f ca="1">IFERROR(__xludf.DUMMYFUNCTION("""COMPUTED_VALUE"""),60000)</f>
        <v>60000</v>
      </c>
      <c r="K578" s="3"/>
      <c r="L578" s="3" t="str">
        <f ca="1">IFERROR(__xludf.DUMMYFUNCTION("""COMPUTED_VALUE"""),"Cost per instance")</f>
        <v>Cost per instance</v>
      </c>
      <c r="M578" s="3"/>
      <c r="N578" s="3"/>
      <c r="O578" s="3"/>
      <c r="P578" s="3"/>
      <c r="Q578" s="3"/>
      <c r="R578" s="3"/>
      <c r="S578" s="3" t="str">
        <f ca="1">IFERROR(__xludf.DUMMYFUNCTION("""COMPUTED_VALUE"""),"100")</f>
        <v>100</v>
      </c>
      <c r="T578" s="3"/>
      <c r="U578" s="3" t="str">
        <f ca="1">IFERROR(__xludf.DUMMYFUNCTION("""COMPUTED_VALUE"""),"microsite")</f>
        <v>microsite</v>
      </c>
      <c r="V578" s="3"/>
      <c r="W578" s="3"/>
      <c r="X578" s="3"/>
      <c r="Y578" s="3"/>
      <c r="Z578" s="3" t="str">
        <f ca="1">IFERROR(__xludf.DUMMYFUNCTION("""COMPUTED_VALUE"""),"podklady@cncenter.cz")</f>
        <v>podklady@cncenter.cz</v>
      </c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 t="str">
        <f ca="1">IFERROR(__xludf.DUMMYFUNCTION("""COMPUTED_VALUE"""),"cross-device")</f>
        <v>cross-device</v>
      </c>
      <c r="AO578" s="3"/>
      <c r="AP578" s="3"/>
      <c r="AQ578" s="3"/>
      <c r="AR578" s="3"/>
      <c r="AS578" s="3"/>
      <c r="AT578" s="3"/>
      <c r="AU578" s="3" t="str">
        <f ca="1">IFERROR(__xludf.DUMMYFUNCTION("""COMPUTED_VALUE"""),"dokoupení proma o 2 týdny - 10 000 PV ***")</f>
        <v>dokoupení proma o 2 týdny - 10 000 PV ***</v>
      </c>
    </row>
    <row r="579" spans="1:47" x14ac:dyDescent="0.3">
      <c r="A579" s="3">
        <f ca="1"/>
        <v>2346826</v>
      </c>
      <c r="B579" s="3" t="str">
        <f ca="1"/>
        <v>CZECH NEWS CENTER a. s.</v>
      </c>
      <c r="C579" s="3" t="str">
        <f ca="1">IFERROR(__xludf.DUMMYFUNCTION("""COMPUTED_VALUE"""),"FinExpert")</f>
        <v>FinExpert</v>
      </c>
      <c r="D579" s="4" t="str">
        <f ca="1">IFERROR(__xludf.DUMMYFUNCTION("""COMPUTED_VALUE"""),"https://finexpert.cz")</f>
        <v>https://finexpert.cz</v>
      </c>
      <c r="E579" s="3" t="str">
        <f ca="1">IFERROR(__xludf.DUMMYFUNCTION("""COMPUTED_VALUE"""),"celý web")</f>
        <v>celý web</v>
      </c>
      <c r="F579" s="4" t="str">
        <f ca="1">IFERROR(__xludf.DUMMYFUNCTION("""COMPUTED_VALUE"""),"https://finexpert.cz")</f>
        <v>https://finexpert.cz</v>
      </c>
      <c r="G579" s="3" t="str">
        <f ca="1">IFERROR(__xludf.DUMMYFUNCTION("""COMPUTED_VALUE"""),"Native Standard high season")</f>
        <v>Native Standard high season</v>
      </c>
      <c r="H579" s="3">
        <f ca="1">IFERROR(__xludf.DUMMYFUNCTION("""COMPUTED_VALUE"""),1)</f>
        <v>1</v>
      </c>
      <c r="I579" s="5">
        <f ca="1">IFERROR(__xludf.DUMMYFUNCTION("""COMPUTED_VALUE"""),1)</f>
        <v>1</v>
      </c>
      <c r="J579" s="5">
        <f ca="1">IFERROR(__xludf.DUMMYFUNCTION("""COMPUTED_VALUE"""),330000)</f>
        <v>330000</v>
      </c>
      <c r="K579" s="3"/>
      <c r="L579" s="3" t="str">
        <f ca="1">IFERROR(__xludf.DUMMYFUNCTION("""COMPUTED_VALUE"""),"Cost per instance")</f>
        <v>Cost per instance</v>
      </c>
      <c r="M579" s="3"/>
      <c r="N579" s="3"/>
      <c r="O579" s="3"/>
      <c r="P579" s="3"/>
      <c r="Q579" s="3"/>
      <c r="R579" s="3"/>
      <c r="S579" s="3" t="str">
        <f ca="1">IFERROR(__xludf.DUMMYFUNCTION("""COMPUTED_VALUE"""),"100")</f>
        <v>100</v>
      </c>
      <c r="T579" s="3"/>
      <c r="U579" s="3" t="str">
        <f ca="1">IFERROR(__xludf.DUMMYFUNCTION("""COMPUTED_VALUE"""),"microsite")</f>
        <v>microsite</v>
      </c>
      <c r="V579" s="3"/>
      <c r="W579" s="3"/>
      <c r="X579" s="3"/>
      <c r="Y579" s="3"/>
      <c r="Z579" s="3" t="str">
        <f ca="1">IFERROR(__xludf.DUMMYFUNCTION("""COMPUTED_VALUE"""),"podklady@cncenter.cz")</f>
        <v>podklady@cncenter.cz</v>
      </c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 t="str">
        <f ca="1">IFERROR(__xludf.DUMMYFUNCTION("""COMPUTED_VALUE"""),"cross-device")</f>
        <v>cross-device</v>
      </c>
      <c r="AO579" s="3"/>
      <c r="AP579" s="3"/>
      <c r="AQ579" s="3"/>
      <c r="AR579" s="3"/>
      <c r="AS579" s="3"/>
      <c r="AT579" s="3"/>
      <c r="AU579" s="3" t="str">
        <f ca="1">IFERROR(__xludf.DUMMYFUNCTION("""COMPUTED_VALUE"""),"Native Standard")</f>
        <v>Native Standard</v>
      </c>
    </row>
    <row r="580" spans="1:47" x14ac:dyDescent="0.3">
      <c r="A580" s="3">
        <f ca="1"/>
        <v>2346826</v>
      </c>
      <c r="B580" s="3" t="str">
        <f ca="1"/>
        <v>CZECH NEWS CENTER a. s.</v>
      </c>
      <c r="C580" s="3" t="str">
        <f ca="1">IFERROR(__xludf.DUMMYFUNCTION("""COMPUTED_VALUE"""),"FinExpert")</f>
        <v>FinExpert</v>
      </c>
      <c r="D580" s="4" t="str">
        <f ca="1">IFERROR(__xludf.DUMMYFUNCTION("""COMPUTED_VALUE"""),"https://finexpert.cz")</f>
        <v>https://finexpert.cz</v>
      </c>
      <c r="E580" s="3" t="str">
        <f ca="1">IFERROR(__xludf.DUMMYFUNCTION("""COMPUTED_VALUE"""),"celý web")</f>
        <v>celý web</v>
      </c>
      <c r="F580" s="4" t="str">
        <f ca="1">IFERROR(__xludf.DUMMYFUNCTION("""COMPUTED_VALUE"""),"https://finexpert.cz")</f>
        <v>https://finexpert.cz</v>
      </c>
      <c r="G580" s="3" t="str">
        <f ca="1">IFERROR(__xludf.DUMMYFUNCTION("""COMPUTED_VALUE"""),"PR článek high season")</f>
        <v>PR článek high season</v>
      </c>
      <c r="H580" s="3">
        <f ca="1">IFERROR(__xludf.DUMMYFUNCTION("""COMPUTED_VALUE"""),1)</f>
        <v>1</v>
      </c>
      <c r="I580" s="5">
        <f ca="1">IFERROR(__xludf.DUMMYFUNCTION("""COMPUTED_VALUE"""),1)</f>
        <v>1</v>
      </c>
      <c r="J580" s="5">
        <f ca="1">IFERROR(__xludf.DUMMYFUNCTION("""COMPUTED_VALUE"""),20000)</f>
        <v>20000</v>
      </c>
      <c r="K580" s="3"/>
      <c r="L580" s="3" t="str">
        <f ca="1">IFERROR(__xludf.DUMMYFUNCTION("""COMPUTED_VALUE"""),"Cost per instance")</f>
        <v>Cost per instance</v>
      </c>
      <c r="M580" s="3"/>
      <c r="N580" s="3"/>
      <c r="O580" s="3"/>
      <c r="P580" s="3"/>
      <c r="Q580" s="3"/>
      <c r="R580" s="3"/>
      <c r="S580" s="3" t="str">
        <f ca="1">IFERROR(__xludf.DUMMYFUNCTION("""COMPUTED_VALUE"""),"100")</f>
        <v>100</v>
      </c>
      <c r="T580" s="3"/>
      <c r="U580" s="3" t="str">
        <f ca="1">IFERROR(__xludf.DUMMYFUNCTION("""COMPUTED_VALUE"""),"pr článek")</f>
        <v>pr článek</v>
      </c>
      <c r="V580" s="3"/>
      <c r="W580" s="4" t="str">
        <f ca="1">IFERROR(__xludf.DUMMYFUNCTION("""COMPUTED_VALUE"""),"https://reklama.cncenter.cz/?ads=PR%2520%25C4%258Dl%25C3%25A1nky")</f>
        <v>https://reklama.cncenter.cz/?ads=PR%2520%25C4%258Dl%25C3%25A1nky</v>
      </c>
      <c r="X580" s="3"/>
      <c r="Y580" s="3"/>
      <c r="Z580" s="3" t="str">
        <f ca="1">IFERROR(__xludf.DUMMYFUNCTION("""COMPUTED_VALUE"""),"podklady@cncenter.cz")</f>
        <v>podklady@cncenter.cz</v>
      </c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 t="str">
        <f ca="1">IFERROR(__xludf.DUMMYFUNCTION("""COMPUTED_VALUE"""),"cross-device")</f>
        <v>cross-device</v>
      </c>
      <c r="AO580" s="3"/>
      <c r="AP580" s="3"/>
      <c r="AQ580" s="3"/>
      <c r="AR580" s="3"/>
      <c r="AS580" s="3"/>
      <c r="AT580" s="3"/>
      <c r="AU580" s="3" t="str">
        <f ca="1">IFERROR(__xludf.DUMMYFUNCTION("""COMPUTED_VALUE"""),"PR článek")</f>
        <v>PR článek</v>
      </c>
    </row>
    <row r="581" spans="1:47" x14ac:dyDescent="0.3">
      <c r="A581" s="3">
        <f ca="1"/>
        <v>2346826</v>
      </c>
      <c r="B581" s="3" t="str">
        <f ca="1"/>
        <v>CZECH NEWS CENTER a. s.</v>
      </c>
      <c r="C581" s="3" t="str">
        <f ca="1">IFERROR(__xludf.DUMMYFUNCTION("""COMPUTED_VALUE"""),"FinExpert")</f>
        <v>FinExpert</v>
      </c>
      <c r="D581" s="4" t="str">
        <f ca="1">IFERROR(__xludf.DUMMYFUNCTION("""COMPUTED_VALUE"""),"https://finexpert.cz")</f>
        <v>https://finexpert.cz</v>
      </c>
      <c r="E581" s="3" t="str">
        <f ca="1">IFERROR(__xludf.DUMMYFUNCTION("""COMPUTED_VALUE"""),"celý web")</f>
        <v>celý web</v>
      </c>
      <c r="F581" s="4" t="str">
        <f ca="1">IFERROR(__xludf.DUMMYFUNCTION("""COMPUTED_VALUE"""),"https://finexpert.cz")</f>
        <v>https://finexpert.cz</v>
      </c>
      <c r="G581" s="3" t="str">
        <f ca="1">IFERROR(__xludf.DUMMYFUNCTION("""COMPUTED_VALUE"""),"Prodloužení existující microsite, bez úprav high season")</f>
        <v>Prodloužení existující microsite, bez úprav high season</v>
      </c>
      <c r="H581" s="3">
        <f ca="1">IFERROR(__xludf.DUMMYFUNCTION("""COMPUTED_VALUE"""),1)</f>
        <v>1</v>
      </c>
      <c r="I581" s="5">
        <f ca="1">IFERROR(__xludf.DUMMYFUNCTION("""COMPUTED_VALUE"""),1)</f>
        <v>1</v>
      </c>
      <c r="J581" s="5">
        <f ca="1">IFERROR(__xludf.DUMMYFUNCTION("""COMPUTED_VALUE"""),15000)</f>
        <v>15000</v>
      </c>
      <c r="K581" s="3"/>
      <c r="L581" s="3" t="str">
        <f ca="1">IFERROR(__xludf.DUMMYFUNCTION("""COMPUTED_VALUE"""),"Cost per instance")</f>
        <v>Cost per instance</v>
      </c>
      <c r="M581" s="3"/>
      <c r="N581" s="3"/>
      <c r="O581" s="3"/>
      <c r="P581" s="3"/>
      <c r="Q581" s="3"/>
      <c r="R581" s="3"/>
      <c r="S581" s="3" t="str">
        <f ca="1">IFERROR(__xludf.DUMMYFUNCTION("""COMPUTED_VALUE"""),"100")</f>
        <v>100</v>
      </c>
      <c r="T581" s="3"/>
      <c r="U581" s="3" t="str">
        <f ca="1">IFERROR(__xludf.DUMMYFUNCTION("""COMPUTED_VALUE"""),"microsite")</f>
        <v>microsite</v>
      </c>
      <c r="V581" s="3"/>
      <c r="W581" s="3"/>
      <c r="X581" s="3"/>
      <c r="Y581" s="3"/>
      <c r="Z581" s="3" t="str">
        <f ca="1">IFERROR(__xludf.DUMMYFUNCTION("""COMPUTED_VALUE"""),"podklady@cncenter.cz")</f>
        <v>podklady@cncenter.cz</v>
      </c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 t="str">
        <f ca="1">IFERROR(__xludf.DUMMYFUNCTION("""COMPUTED_VALUE"""),"cross-device")</f>
        <v>cross-device</v>
      </c>
      <c r="AO581" s="3"/>
      <c r="AP581" s="3"/>
      <c r="AQ581" s="3"/>
      <c r="AR581" s="3"/>
      <c r="AS581" s="3"/>
      <c r="AT581" s="3"/>
      <c r="AU581" s="3" t="str">
        <f ca="1">IFERROR(__xludf.DUMMYFUNCTION("""COMPUTED_VALUE"""),"Prodloužení existující microsite, bez úprav")</f>
        <v>Prodloužení existující microsite, bez úprav</v>
      </c>
    </row>
    <row r="582" spans="1:47" x14ac:dyDescent="0.3">
      <c r="A582" s="3">
        <f ca="1"/>
        <v>2346826</v>
      </c>
      <c r="B582" s="3" t="str">
        <f ca="1"/>
        <v>CZECH NEWS CENTER a. s.</v>
      </c>
      <c r="C582" s="3" t="str">
        <f ca="1">IFERROR(__xludf.DUMMYFUNCTION("""COMPUTED_VALUE"""),"FinExpert")</f>
        <v>FinExpert</v>
      </c>
      <c r="D582" s="4" t="str">
        <f ca="1">IFERROR(__xludf.DUMMYFUNCTION("""COMPUTED_VALUE"""),"https://finexpert.cz")</f>
        <v>https://finexpert.cz</v>
      </c>
      <c r="E582" s="3" t="str">
        <f ca="1">IFERROR(__xludf.DUMMYFUNCTION("""COMPUTED_VALUE"""),"celý web")</f>
        <v>celý web</v>
      </c>
      <c r="F582" s="4" t="str">
        <f ca="1">IFERROR(__xludf.DUMMYFUNCTION("""COMPUTED_VALUE"""),"https://finexpert.cz")</f>
        <v>https://finexpert.cz</v>
      </c>
      <c r="G582" s="3" t="str">
        <f ca="1">IFERROR(__xludf.DUMMYFUNCTION("""COMPUTED_VALUE"""),"Prodloužení existující microsite, bez úprav high season")</f>
        <v>Prodloužení existující microsite, bez úprav high season</v>
      </c>
      <c r="H582" s="3">
        <f ca="1">IFERROR(__xludf.DUMMYFUNCTION("""COMPUTED_VALUE"""),1)</f>
        <v>1</v>
      </c>
      <c r="I582" s="5">
        <f ca="1">IFERROR(__xludf.DUMMYFUNCTION("""COMPUTED_VALUE"""),1)</f>
        <v>1</v>
      </c>
      <c r="J582" s="5">
        <f ca="1">IFERROR(__xludf.DUMMYFUNCTION("""COMPUTED_VALUE"""),15000)</f>
        <v>15000</v>
      </c>
      <c r="K582" s="3"/>
      <c r="L582" s="3" t="str">
        <f ca="1">IFERROR(__xludf.DUMMYFUNCTION("""COMPUTED_VALUE"""),"Cost per instance")</f>
        <v>Cost per instance</v>
      </c>
      <c r="M582" s="3"/>
      <c r="N582" s="3"/>
      <c r="O582" s="3"/>
      <c r="P582" s="3"/>
      <c r="Q582" s="3"/>
      <c r="R582" s="3"/>
      <c r="S582" s="3" t="str">
        <f ca="1">IFERROR(__xludf.DUMMYFUNCTION("""COMPUTED_VALUE"""),"100")</f>
        <v>100</v>
      </c>
      <c r="T582" s="3"/>
      <c r="U582" s="3" t="str">
        <f ca="1">IFERROR(__xludf.DUMMYFUNCTION("""COMPUTED_VALUE"""),"microsite")</f>
        <v>microsite</v>
      </c>
      <c r="V582" s="3"/>
      <c r="W582" s="3"/>
      <c r="X582" s="3"/>
      <c r="Y582" s="3"/>
      <c r="Z582" s="3" t="str">
        <f ca="1">IFERROR(__xludf.DUMMYFUNCTION("""COMPUTED_VALUE"""),"podklady@cncenter.cz")</f>
        <v>podklady@cncenter.cz</v>
      </c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 t="str">
        <f ca="1">IFERROR(__xludf.DUMMYFUNCTION("""COMPUTED_VALUE"""),"cross-device")</f>
        <v>cross-device</v>
      </c>
      <c r="AO582" s="3"/>
      <c r="AP582" s="3"/>
      <c r="AQ582" s="3"/>
      <c r="AR582" s="3"/>
      <c r="AS582" s="3"/>
      <c r="AT582" s="3"/>
      <c r="AU582" s="3" t="str">
        <f ca="1">IFERROR(__xludf.DUMMYFUNCTION("""COMPUTED_VALUE"""),"Prodloužení existující microsite, bez úprav")</f>
        <v>Prodloužení existující microsite, bez úprav</v>
      </c>
    </row>
    <row r="583" spans="1:47" x14ac:dyDescent="0.3">
      <c r="A583" s="3">
        <f ca="1"/>
        <v>2346826</v>
      </c>
      <c r="B583" s="3" t="str">
        <f ca="1"/>
        <v>CZECH NEWS CENTER a. s.</v>
      </c>
      <c r="C583" s="3" t="str">
        <f ca="1">IFERROR(__xludf.DUMMYFUNCTION("""COMPUTED_VALUE"""),"FinExpert")</f>
        <v>FinExpert</v>
      </c>
      <c r="D583" s="4" t="str">
        <f ca="1">IFERROR(__xludf.DUMMYFUNCTION("""COMPUTED_VALUE"""),"https://finexpert.cz")</f>
        <v>https://finexpert.cz</v>
      </c>
      <c r="E583" s="3" t="str">
        <f ca="1">IFERROR(__xludf.DUMMYFUNCTION("""COMPUTED_VALUE"""),"celý web")</f>
        <v>celý web</v>
      </c>
      <c r="F583" s="4" t="str">
        <f ca="1">IFERROR(__xludf.DUMMYFUNCTION("""COMPUTED_VALUE"""),"https://finexpert.cz")</f>
        <v>https://finexpert.cz</v>
      </c>
      <c r="G583" s="3" t="str">
        <f ca="1">IFERROR(__xludf.DUMMYFUNCTION("""COMPUTED_VALUE"""),"Prodloužení existující microsite, bez úprav high season")</f>
        <v>Prodloužení existující microsite, bez úprav high season</v>
      </c>
      <c r="H583" s="3">
        <f ca="1">IFERROR(__xludf.DUMMYFUNCTION("""COMPUTED_VALUE"""),1)</f>
        <v>1</v>
      </c>
      <c r="I583" s="5">
        <f ca="1">IFERROR(__xludf.DUMMYFUNCTION("""COMPUTED_VALUE"""),1)</f>
        <v>1</v>
      </c>
      <c r="J583" s="5">
        <f ca="1">IFERROR(__xludf.DUMMYFUNCTION("""COMPUTED_VALUE"""),15000)</f>
        <v>15000</v>
      </c>
      <c r="K583" s="3"/>
      <c r="L583" s="3" t="str">
        <f ca="1">IFERROR(__xludf.DUMMYFUNCTION("""COMPUTED_VALUE"""),"Cost per instance")</f>
        <v>Cost per instance</v>
      </c>
      <c r="M583" s="3"/>
      <c r="N583" s="3"/>
      <c r="O583" s="3"/>
      <c r="P583" s="3"/>
      <c r="Q583" s="3"/>
      <c r="R583" s="3"/>
      <c r="S583" s="3" t="str">
        <f ca="1">IFERROR(__xludf.DUMMYFUNCTION("""COMPUTED_VALUE"""),"100")</f>
        <v>100</v>
      </c>
      <c r="T583" s="3"/>
      <c r="U583" s="3" t="str">
        <f ca="1">IFERROR(__xludf.DUMMYFUNCTION("""COMPUTED_VALUE"""),"microsite")</f>
        <v>microsite</v>
      </c>
      <c r="V583" s="3"/>
      <c r="W583" s="3"/>
      <c r="X583" s="3"/>
      <c r="Y583" s="3"/>
      <c r="Z583" s="3" t="str">
        <f ca="1">IFERROR(__xludf.DUMMYFUNCTION("""COMPUTED_VALUE"""),"podklady@cncenter.cz")</f>
        <v>podklady@cncenter.cz</v>
      </c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 t="str">
        <f ca="1">IFERROR(__xludf.DUMMYFUNCTION("""COMPUTED_VALUE"""),"cross-device")</f>
        <v>cross-device</v>
      </c>
      <c r="AO583" s="3"/>
      <c r="AP583" s="3"/>
      <c r="AQ583" s="3"/>
      <c r="AR583" s="3"/>
      <c r="AS583" s="3"/>
      <c r="AT583" s="3"/>
      <c r="AU583" s="3" t="str">
        <f ca="1">IFERROR(__xludf.DUMMYFUNCTION("""COMPUTED_VALUE"""),"Prodloužení existující microsite, bez úprav")</f>
        <v>Prodloužení existující microsite, bez úprav</v>
      </c>
    </row>
    <row r="584" spans="1:47" x14ac:dyDescent="0.3">
      <c r="A584" s="3">
        <f ca="1"/>
        <v>2346826</v>
      </c>
      <c r="B584" s="3" t="str">
        <f ca="1"/>
        <v>CZECH NEWS CENTER a. s.</v>
      </c>
      <c r="C584" s="3" t="str">
        <f ca="1">IFERROR(__xludf.DUMMYFUNCTION("""COMPUTED_VALUE"""),"Fitweb")</f>
        <v>Fitweb</v>
      </c>
      <c r="D584" s="4" t="str">
        <f ca="1">IFERROR(__xludf.DUMMYFUNCTION("""COMPUTED_VALUE"""),"https://fitweb.cz")</f>
        <v>https://fitweb.cz</v>
      </c>
      <c r="E584" s="3" t="str">
        <f ca="1">IFERROR(__xludf.DUMMYFUNCTION("""COMPUTED_VALUE"""),"celý web")</f>
        <v>celý web</v>
      </c>
      <c r="F584" s="4" t="str">
        <f ca="1">IFERROR(__xludf.DUMMYFUNCTION("""COMPUTED_VALUE"""),"https://fitweb.cz")</f>
        <v>https://fitweb.cz</v>
      </c>
      <c r="G584" s="3" t="str">
        <f ca="1">IFERROR(__xludf.DUMMYFUNCTION("""COMPUTED_VALUE"""),"billboard bottom high season")</f>
        <v>billboard bottom high season</v>
      </c>
      <c r="H584" s="3">
        <f ca="1">IFERROR(__xludf.DUMMYFUNCTION("""COMPUTED_VALUE"""),7)</f>
        <v>7</v>
      </c>
      <c r="I584" s="5">
        <f ca="1">IFERROR(__xludf.DUMMYFUNCTION("""COMPUTED_VALUE"""),1000)</f>
        <v>1000</v>
      </c>
      <c r="J584" s="5">
        <f ca="1">IFERROR(__xludf.DUMMYFUNCTION("""COMPUTED_VALUE"""),440)</f>
        <v>440</v>
      </c>
      <c r="K584" s="3"/>
      <c r="L584" s="3" t="str">
        <f ca="1">IFERROR(__xludf.DUMMYFUNCTION("""COMPUTED_VALUE"""),"Cost per period")</f>
        <v>Cost per period</v>
      </c>
      <c r="M584" s="3"/>
      <c r="N584" s="3"/>
      <c r="O584" s="3" t="str">
        <f ca="1">IFERROR(__xludf.DUMMYFUNCTION("""COMPUTED_VALUE"""),"970")</f>
        <v>970</v>
      </c>
      <c r="P584" s="3" t="str">
        <f ca="1">IFERROR(__xludf.DUMMYFUNCTION("""COMPUTED_VALUE"""),"250")</f>
        <v>250</v>
      </c>
      <c r="Q584" s="3" t="str">
        <f ca="1">IFERROR(__xludf.DUMMYFUNCTION("""COMPUTED_VALUE"""),"970x250")</f>
        <v>970x250</v>
      </c>
      <c r="R584" s="3"/>
      <c r="S584" s="3" t="str">
        <f ca="1">IFERROR(__xludf.DUMMYFUNCTION("""COMPUTED_VALUE"""),"100 (200 - HTML5)")</f>
        <v>100 (200 - HTML5)</v>
      </c>
      <c r="T584" s="3"/>
      <c r="U584" s="3" t="str">
        <f ca="1">IFERROR(__xludf.DUMMYFUNCTION("""COMPUTED_VALUE"""),"banner standard")</f>
        <v>banner standard</v>
      </c>
      <c r="V584" s="3"/>
      <c r="W584" s="4" t="str">
        <f ca="1">IFERROR(__xludf.DUMMYFUNCTION("""COMPUTED_VALUE"""),"https://reklama.cncenter.cz/Online/billboard-bottom")</f>
        <v>https://reklama.cncenter.cz/Online/billboard-bottom</v>
      </c>
      <c r="X584" s="3"/>
      <c r="Y584" s="3"/>
      <c r="Z584" s="3" t="str">
        <f ca="1">IFERROR(__xludf.DUMMYFUNCTION("""COMPUTED_VALUE"""),"podklady@cncenter.cz")</f>
        <v>podklady@cncenter.cz</v>
      </c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 t="str">
        <f ca="1">IFERROR(__xludf.DUMMYFUNCTION("""COMPUTED_VALUE"""),"desktop")</f>
        <v>desktop</v>
      </c>
      <c r="AO584" s="3"/>
      <c r="AP584" s="3"/>
      <c r="AQ584" s="3"/>
      <c r="AR584" s="3"/>
      <c r="AS584" s="3"/>
      <c r="AT584" s="3"/>
      <c r="AU584" s="3" t="str">
        <f ca="1">IFERROR(__xludf.DUMMYFUNCTION("""COMPUTED_VALUE"""),"billboard bottom")</f>
        <v>billboard bottom</v>
      </c>
    </row>
    <row r="585" spans="1:47" x14ac:dyDescent="0.3">
      <c r="A585" s="3">
        <f ca="1"/>
        <v>2346826</v>
      </c>
      <c r="B585" s="3" t="str">
        <f ca="1"/>
        <v>CZECH NEWS CENTER a. s.</v>
      </c>
      <c r="C585" s="3" t="str">
        <f ca="1">IFERROR(__xludf.DUMMYFUNCTION("""COMPUTED_VALUE"""),"Fitweb")</f>
        <v>Fitweb</v>
      </c>
      <c r="D585" s="4" t="str">
        <f ca="1">IFERROR(__xludf.DUMMYFUNCTION("""COMPUTED_VALUE"""),"https://fitweb.cz")</f>
        <v>https://fitweb.cz</v>
      </c>
      <c r="E585" s="3" t="str">
        <f ca="1">IFERROR(__xludf.DUMMYFUNCTION("""COMPUTED_VALUE"""),"celý web")</f>
        <v>celý web</v>
      </c>
      <c r="F585" s="4" t="str">
        <f ca="1">IFERROR(__xludf.DUMMYFUNCTION("""COMPUTED_VALUE"""),"https://fitweb.cz")</f>
        <v>https://fitweb.cz</v>
      </c>
      <c r="G585" s="3" t="str">
        <f ca="1">IFERROR(__xludf.DUMMYFUNCTION("""COMPUTED_VALUE"""),"branding cross-device high season")</f>
        <v>branding cross-device high season</v>
      </c>
      <c r="H585" s="3">
        <f ca="1">IFERROR(__xludf.DUMMYFUNCTION("""COMPUTED_VALUE"""),7)</f>
        <v>7</v>
      </c>
      <c r="I585" s="5">
        <f ca="1">IFERROR(__xludf.DUMMYFUNCTION("""COMPUTED_VALUE"""),1000)</f>
        <v>1000</v>
      </c>
      <c r="J585" s="5">
        <f ca="1">IFERROR(__xludf.DUMMYFUNCTION("""COMPUTED_VALUE"""),540)</f>
        <v>540</v>
      </c>
      <c r="K585" s="3"/>
      <c r="L585" s="3" t="str">
        <f ca="1">IFERROR(__xludf.DUMMYFUNCTION("""COMPUTED_VALUE"""),"Cost per period")</f>
        <v>Cost per period</v>
      </c>
      <c r="M585" s="3"/>
      <c r="N585" s="3"/>
      <c r="O585" s="3" t="str">
        <f ca="1">IFERROR(__xludf.DUMMYFUNCTION("""COMPUTED_VALUE"""),"2000")</f>
        <v>2000</v>
      </c>
      <c r="P585" s="3" t="str">
        <f ca="1">IFERROR(__xludf.DUMMYFUNCTION("""COMPUTED_VALUE"""),"1400")</f>
        <v>1400</v>
      </c>
      <c r="Q585" s="3" t="str">
        <f ca="1">IFERROR(__xludf.DUMMYFUNCTION("""COMPUTED_VALUE"""),"2000x1400 + 600x1080")</f>
        <v>2000x1400 + 600x1080</v>
      </c>
      <c r="R585" s="3"/>
      <c r="S585" s="3" t="str">
        <f ca="1">IFERROR(__xludf.DUMMYFUNCTION("""COMPUTED_VALUE"""),"500 (600 - HTLM5)")</f>
        <v>500 (600 - HTLM5)</v>
      </c>
      <c r="T585" s="3"/>
      <c r="U585" s="3" t="str">
        <f ca="1">IFERROR(__xludf.DUMMYFUNCTION("""COMPUTED_VALUE"""),"banner standard")</f>
        <v>banner standard</v>
      </c>
      <c r="V585" s="3"/>
      <c r="W585" s="4" t="str">
        <f ca="1">IFERROR(__xludf.DUMMYFUNCTION("""COMPUTED_VALUE"""),"https://reklama.cncenter.cz/Online/branding-cross-device")</f>
        <v>https://reklama.cncenter.cz/Online/branding-cross-device</v>
      </c>
      <c r="X585" s="3"/>
      <c r="Y585" s="3"/>
      <c r="Z585" s="3" t="str">
        <f ca="1">IFERROR(__xludf.DUMMYFUNCTION("""COMPUTED_VALUE"""),"podklady@cncenter.cz")</f>
        <v>podklady@cncenter.cz</v>
      </c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 t="str">
        <f ca="1">IFERROR(__xludf.DUMMYFUNCTION("""COMPUTED_VALUE"""),"cross-device")</f>
        <v>cross-device</v>
      </c>
      <c r="AO585" s="3"/>
      <c r="AP585" s="3"/>
      <c r="AQ585" s="3"/>
      <c r="AR585" s="3"/>
      <c r="AS585" s="3"/>
      <c r="AT585" s="3"/>
      <c r="AU585" s="3" t="str">
        <f ca="1">IFERROR(__xludf.DUMMYFUNCTION("""COMPUTED_VALUE"""),"branding cross-device")</f>
        <v>branding cross-device</v>
      </c>
    </row>
    <row r="586" spans="1:47" x14ac:dyDescent="0.3">
      <c r="A586" s="3">
        <f ca="1"/>
        <v>2346826</v>
      </c>
      <c r="B586" s="3" t="str">
        <f ca="1"/>
        <v>CZECH NEWS CENTER a. s.</v>
      </c>
      <c r="C586" s="3" t="str">
        <f ca="1">IFERROR(__xludf.DUMMYFUNCTION("""COMPUTED_VALUE"""),"Fitweb")</f>
        <v>Fitweb</v>
      </c>
      <c r="D586" s="4" t="str">
        <f ca="1">IFERROR(__xludf.DUMMYFUNCTION("""COMPUTED_VALUE"""),"https://fitweb.cz")</f>
        <v>https://fitweb.cz</v>
      </c>
      <c r="E586" s="3" t="str">
        <f ca="1">IFERROR(__xludf.DUMMYFUNCTION("""COMPUTED_VALUE"""),"celý web")</f>
        <v>celý web</v>
      </c>
      <c r="F586" s="4" t="str">
        <f ca="1">IFERROR(__xludf.DUMMYFUNCTION("""COMPUTED_VALUE"""),"https://fitweb.cz")</f>
        <v>https://fitweb.cz</v>
      </c>
      <c r="G586" s="3" t="str">
        <f ca="1">IFERROR(__xludf.DUMMYFUNCTION("""COMPUTED_VALUE"""),"branding high season")</f>
        <v>branding high season</v>
      </c>
      <c r="H586" s="3">
        <f ca="1">IFERROR(__xludf.DUMMYFUNCTION("""COMPUTED_VALUE"""),7)</f>
        <v>7</v>
      </c>
      <c r="I586" s="5">
        <f ca="1">IFERROR(__xludf.DUMMYFUNCTION("""COMPUTED_VALUE"""),1000)</f>
        <v>1000</v>
      </c>
      <c r="J586" s="5">
        <f ca="1">IFERROR(__xludf.DUMMYFUNCTION("""COMPUTED_VALUE"""),890)</f>
        <v>890</v>
      </c>
      <c r="K586" s="3"/>
      <c r="L586" s="3" t="str">
        <f ca="1">IFERROR(__xludf.DUMMYFUNCTION("""COMPUTED_VALUE"""),"Cost per period")</f>
        <v>Cost per period</v>
      </c>
      <c r="M586" s="3"/>
      <c r="N586" s="3"/>
      <c r="O586" s="3" t="str">
        <f ca="1">IFERROR(__xludf.DUMMYFUNCTION("""COMPUTED_VALUE"""),"2000")</f>
        <v>2000</v>
      </c>
      <c r="P586" s="3" t="str">
        <f ca="1">IFERROR(__xludf.DUMMYFUNCTION("""COMPUTED_VALUE"""),"1400")</f>
        <v>1400</v>
      </c>
      <c r="Q586" s="3" t="str">
        <f ca="1">IFERROR(__xludf.DUMMYFUNCTION("""COMPUTED_VALUE"""),"2000x1400")</f>
        <v>2000x1400</v>
      </c>
      <c r="R586" s="3"/>
      <c r="S586" s="3" t="str">
        <f ca="1">IFERROR(__xludf.DUMMYFUNCTION("""COMPUTED_VALUE"""),"500 + 200 (600+200 HTML5)")</f>
        <v>500 + 200 (600+200 HTML5)</v>
      </c>
      <c r="T586" s="3"/>
      <c r="U586" s="3" t="str">
        <f ca="1">IFERROR(__xludf.DUMMYFUNCTION("""COMPUTED_VALUE"""),"banner standard")</f>
        <v>banner standard</v>
      </c>
      <c r="V586" s="3"/>
      <c r="W586" s="4" t="str">
        <f ca="1">IFERROR(__xludf.DUMMYFUNCTION("""COMPUTED_VALUE"""),"https://reklama.cncenter.cz/Online/branding")</f>
        <v>https://reklama.cncenter.cz/Online/branding</v>
      </c>
      <c r="X586" s="3"/>
      <c r="Y586" s="3"/>
      <c r="Z586" s="3" t="str">
        <f ca="1">IFERROR(__xludf.DUMMYFUNCTION("""COMPUTED_VALUE"""),"podklady@cncenter.cz")</f>
        <v>podklady@cncenter.cz</v>
      </c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 t="str">
        <f ca="1">IFERROR(__xludf.DUMMYFUNCTION("""COMPUTED_VALUE"""),"desktop")</f>
        <v>desktop</v>
      </c>
      <c r="AO586" s="3"/>
      <c r="AP586" s="3"/>
      <c r="AQ586" s="3"/>
      <c r="AR586" s="3"/>
      <c r="AS586" s="3"/>
      <c r="AT586" s="3"/>
      <c r="AU586" s="3" t="str">
        <f ca="1">IFERROR(__xludf.DUMMYFUNCTION("""COMPUTED_VALUE"""),"branding")</f>
        <v>branding</v>
      </c>
    </row>
    <row r="587" spans="1:47" x14ac:dyDescent="0.3">
      <c r="A587" s="3">
        <f ca="1"/>
        <v>2346826</v>
      </c>
      <c r="B587" s="3" t="str">
        <f ca="1"/>
        <v>CZECH NEWS CENTER a. s.</v>
      </c>
      <c r="C587" s="3" t="str">
        <f ca="1">IFERROR(__xludf.DUMMYFUNCTION("""COMPUTED_VALUE"""),"Fitweb")</f>
        <v>Fitweb</v>
      </c>
      <c r="D587" s="4" t="str">
        <f ca="1">IFERROR(__xludf.DUMMYFUNCTION("""COMPUTED_VALUE"""),"https://fitweb.cz")</f>
        <v>https://fitweb.cz</v>
      </c>
      <c r="E587" s="3" t="str">
        <f ca="1">IFERROR(__xludf.DUMMYFUNCTION("""COMPUTED_VALUE"""),"celý web")</f>
        <v>celý web</v>
      </c>
      <c r="F587" s="4" t="str">
        <f ca="1">IFERROR(__xludf.DUMMYFUNCTION("""COMPUTED_VALUE"""),"https://fitweb.cz")</f>
        <v>https://fitweb.cz</v>
      </c>
      <c r="G587" s="3" t="str">
        <f ca="1">IFERROR(__xludf.DUMMYFUNCTION("""COMPUTED_VALUE"""),"cílený billboard bottom high season")</f>
        <v>cílený billboard bottom high season</v>
      </c>
      <c r="H587" s="3">
        <f ca="1">IFERROR(__xludf.DUMMYFUNCTION("""COMPUTED_VALUE"""),7)</f>
        <v>7</v>
      </c>
      <c r="I587" s="5">
        <f ca="1">IFERROR(__xludf.DUMMYFUNCTION("""COMPUTED_VALUE"""),1000)</f>
        <v>1000</v>
      </c>
      <c r="J587" s="5">
        <f ca="1">IFERROR(__xludf.DUMMYFUNCTION("""COMPUTED_VALUE"""),528)</f>
        <v>528</v>
      </c>
      <c r="K587" s="3"/>
      <c r="L587" s="3" t="str">
        <f ca="1">IFERROR(__xludf.DUMMYFUNCTION("""COMPUTED_VALUE"""),"Cost per period")</f>
        <v>Cost per period</v>
      </c>
      <c r="M587" s="3"/>
      <c r="N587" s="3"/>
      <c r="O587" s="3" t="str">
        <f ca="1">IFERROR(__xludf.DUMMYFUNCTION("""COMPUTED_VALUE"""),"970")</f>
        <v>970</v>
      </c>
      <c r="P587" s="3" t="str">
        <f ca="1">IFERROR(__xludf.DUMMYFUNCTION("""COMPUTED_VALUE"""),"250")</f>
        <v>250</v>
      </c>
      <c r="Q587" s="3" t="str">
        <f ca="1">IFERROR(__xludf.DUMMYFUNCTION("""COMPUTED_VALUE"""),"970x250")</f>
        <v>970x250</v>
      </c>
      <c r="R587" s="3"/>
      <c r="S587" s="3" t="str">
        <f ca="1">IFERROR(__xludf.DUMMYFUNCTION("""COMPUTED_VALUE"""),"100 (200 - HTML5)")</f>
        <v>100 (200 - HTML5)</v>
      </c>
      <c r="T587" s="3"/>
      <c r="U587" s="3" t="str">
        <f ca="1">IFERROR(__xludf.DUMMYFUNCTION("""COMPUTED_VALUE"""),"banner standard")</f>
        <v>banner standard</v>
      </c>
      <c r="V587" s="3"/>
      <c r="W587" s="4" t="str">
        <f ca="1">IFERROR(__xludf.DUMMYFUNCTION("""COMPUTED_VALUE"""),"https://reklama.cncenter.cz/Online/billboard-bottom")</f>
        <v>https://reklama.cncenter.cz/Online/billboard-bottom</v>
      </c>
      <c r="X587" s="3"/>
      <c r="Y587" s="3"/>
      <c r="Z587" s="3" t="str">
        <f ca="1">IFERROR(__xludf.DUMMYFUNCTION("""COMPUTED_VALUE"""),"podklady@cncenter.cz")</f>
        <v>podklady@cncenter.cz</v>
      </c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 t="str">
        <f ca="1">IFERROR(__xludf.DUMMYFUNCTION("""COMPUTED_VALUE"""),"desktop")</f>
        <v>desktop</v>
      </c>
      <c r="AO587" s="3"/>
      <c r="AP587" s="3"/>
      <c r="AQ587" s="3"/>
      <c r="AR587" s="3"/>
      <c r="AS587" s="3"/>
      <c r="AT587" s="3"/>
      <c r="AU587" s="3" t="str">
        <f ca="1">IFERROR(__xludf.DUMMYFUNCTION("""COMPUTED_VALUE"""),"cílený billboard bottom")</f>
        <v>cílený billboard bottom</v>
      </c>
    </row>
    <row r="588" spans="1:47" x14ac:dyDescent="0.3">
      <c r="A588" s="3">
        <f ca="1"/>
        <v>2346826</v>
      </c>
      <c r="B588" s="3" t="str">
        <f ca="1"/>
        <v>CZECH NEWS CENTER a. s.</v>
      </c>
      <c r="C588" s="3" t="str">
        <f ca="1">IFERROR(__xludf.DUMMYFUNCTION("""COMPUTED_VALUE"""),"Fitweb")</f>
        <v>Fitweb</v>
      </c>
      <c r="D588" s="4" t="str">
        <f ca="1">IFERROR(__xludf.DUMMYFUNCTION("""COMPUTED_VALUE"""),"https://fitweb.cz")</f>
        <v>https://fitweb.cz</v>
      </c>
      <c r="E588" s="3" t="str">
        <f ca="1">IFERROR(__xludf.DUMMYFUNCTION("""COMPUTED_VALUE"""),"celý web")</f>
        <v>celý web</v>
      </c>
      <c r="F588" s="4" t="str">
        <f ca="1">IFERROR(__xludf.DUMMYFUNCTION("""COMPUTED_VALUE"""),"https://fitweb.cz")</f>
        <v>https://fitweb.cz</v>
      </c>
      <c r="G588" s="3" t="str">
        <f ca="1">IFERROR(__xludf.DUMMYFUNCTION("""COMPUTED_VALUE"""),"cílený branding cross-device high season")</f>
        <v>cílený branding cross-device high season</v>
      </c>
      <c r="H588" s="3">
        <f ca="1">IFERROR(__xludf.DUMMYFUNCTION("""COMPUTED_VALUE"""),7)</f>
        <v>7</v>
      </c>
      <c r="I588" s="5">
        <f ca="1">IFERROR(__xludf.DUMMYFUNCTION("""COMPUTED_VALUE"""),1000)</f>
        <v>1000</v>
      </c>
      <c r="J588" s="5">
        <f ca="1">IFERROR(__xludf.DUMMYFUNCTION("""COMPUTED_VALUE"""),648)</f>
        <v>648</v>
      </c>
      <c r="K588" s="3"/>
      <c r="L588" s="3" t="str">
        <f ca="1">IFERROR(__xludf.DUMMYFUNCTION("""COMPUTED_VALUE"""),"Cost per period")</f>
        <v>Cost per period</v>
      </c>
      <c r="M588" s="3"/>
      <c r="N588" s="3"/>
      <c r="O588" s="3" t="str">
        <f ca="1">IFERROR(__xludf.DUMMYFUNCTION("""COMPUTED_VALUE"""),"2000")</f>
        <v>2000</v>
      </c>
      <c r="P588" s="3" t="str">
        <f ca="1">IFERROR(__xludf.DUMMYFUNCTION("""COMPUTED_VALUE"""),"1400")</f>
        <v>1400</v>
      </c>
      <c r="Q588" s="3" t="str">
        <f ca="1">IFERROR(__xludf.DUMMYFUNCTION("""COMPUTED_VALUE"""),"2000x1400 + 600x1080")</f>
        <v>2000x1400 + 600x1080</v>
      </c>
      <c r="R588" s="3"/>
      <c r="S588" s="3" t="str">
        <f ca="1">IFERROR(__xludf.DUMMYFUNCTION("""COMPUTED_VALUE"""),"500 (600 - HTLM5)")</f>
        <v>500 (600 - HTLM5)</v>
      </c>
      <c r="T588" s="3"/>
      <c r="U588" s="3" t="str">
        <f ca="1">IFERROR(__xludf.DUMMYFUNCTION("""COMPUTED_VALUE"""),"banner standard")</f>
        <v>banner standard</v>
      </c>
      <c r="V588" s="3"/>
      <c r="W588" s="4" t="str">
        <f ca="1">IFERROR(__xludf.DUMMYFUNCTION("""COMPUTED_VALUE"""),"https://reklama.cncenter.cz/Online/branding-cross-device")</f>
        <v>https://reklama.cncenter.cz/Online/branding-cross-device</v>
      </c>
      <c r="X588" s="3"/>
      <c r="Y588" s="3"/>
      <c r="Z588" s="3" t="str">
        <f ca="1">IFERROR(__xludf.DUMMYFUNCTION("""COMPUTED_VALUE"""),"podklady@cncenter.cz")</f>
        <v>podklady@cncenter.cz</v>
      </c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 t="str">
        <f ca="1">IFERROR(__xludf.DUMMYFUNCTION("""COMPUTED_VALUE"""),"cross-device")</f>
        <v>cross-device</v>
      </c>
      <c r="AO588" s="3"/>
      <c r="AP588" s="3"/>
      <c r="AQ588" s="3"/>
      <c r="AR588" s="3"/>
      <c r="AS588" s="3"/>
      <c r="AT588" s="3"/>
      <c r="AU588" s="3" t="str">
        <f ca="1">IFERROR(__xludf.DUMMYFUNCTION("""COMPUTED_VALUE"""),"cílený branding cross-device")</f>
        <v>cílený branding cross-device</v>
      </c>
    </row>
    <row r="589" spans="1:47" x14ac:dyDescent="0.3">
      <c r="A589" s="3">
        <f ca="1"/>
        <v>2346826</v>
      </c>
      <c r="B589" s="3" t="str">
        <f ca="1"/>
        <v>CZECH NEWS CENTER a. s.</v>
      </c>
      <c r="C589" s="3" t="str">
        <f ca="1">IFERROR(__xludf.DUMMYFUNCTION("""COMPUTED_VALUE"""),"Fitweb")</f>
        <v>Fitweb</v>
      </c>
      <c r="D589" s="4" t="str">
        <f ca="1">IFERROR(__xludf.DUMMYFUNCTION("""COMPUTED_VALUE"""),"https://fitweb.cz")</f>
        <v>https://fitweb.cz</v>
      </c>
      <c r="E589" s="3" t="str">
        <f ca="1">IFERROR(__xludf.DUMMYFUNCTION("""COMPUTED_VALUE"""),"celý web")</f>
        <v>celý web</v>
      </c>
      <c r="F589" s="4" t="str">
        <f ca="1">IFERROR(__xludf.DUMMYFUNCTION("""COMPUTED_VALUE"""),"https://fitweb.cz")</f>
        <v>https://fitweb.cz</v>
      </c>
      <c r="G589" s="3" t="str">
        <f ca="1">IFERROR(__xludf.DUMMYFUNCTION("""COMPUTED_VALUE"""),"cílený branding high season")</f>
        <v>cílený branding high season</v>
      </c>
      <c r="H589" s="3">
        <f ca="1">IFERROR(__xludf.DUMMYFUNCTION("""COMPUTED_VALUE"""),7)</f>
        <v>7</v>
      </c>
      <c r="I589" s="5">
        <f ca="1">IFERROR(__xludf.DUMMYFUNCTION("""COMPUTED_VALUE"""),1000)</f>
        <v>1000</v>
      </c>
      <c r="J589" s="5">
        <f ca="1">IFERROR(__xludf.DUMMYFUNCTION("""COMPUTED_VALUE"""),1068)</f>
        <v>1068</v>
      </c>
      <c r="K589" s="3"/>
      <c r="L589" s="3" t="str">
        <f ca="1">IFERROR(__xludf.DUMMYFUNCTION("""COMPUTED_VALUE"""),"Cost per period")</f>
        <v>Cost per period</v>
      </c>
      <c r="M589" s="3"/>
      <c r="N589" s="3"/>
      <c r="O589" s="3" t="str">
        <f ca="1">IFERROR(__xludf.DUMMYFUNCTION("""COMPUTED_VALUE"""),"2000")</f>
        <v>2000</v>
      </c>
      <c r="P589" s="3" t="str">
        <f ca="1">IFERROR(__xludf.DUMMYFUNCTION("""COMPUTED_VALUE"""),"1400")</f>
        <v>1400</v>
      </c>
      <c r="Q589" s="3" t="str">
        <f ca="1">IFERROR(__xludf.DUMMYFUNCTION("""COMPUTED_VALUE"""),"2000x1400")</f>
        <v>2000x1400</v>
      </c>
      <c r="R589" s="3"/>
      <c r="S589" s="3" t="str">
        <f ca="1">IFERROR(__xludf.DUMMYFUNCTION("""COMPUTED_VALUE"""),"500 + 200 (600+200 HTML5)")</f>
        <v>500 + 200 (600+200 HTML5)</v>
      </c>
      <c r="T589" s="3"/>
      <c r="U589" s="3" t="str">
        <f ca="1">IFERROR(__xludf.DUMMYFUNCTION("""COMPUTED_VALUE"""),"banner standard")</f>
        <v>banner standard</v>
      </c>
      <c r="V589" s="3"/>
      <c r="W589" s="4" t="str">
        <f ca="1">IFERROR(__xludf.DUMMYFUNCTION("""COMPUTED_VALUE"""),"https://reklama.cncenter.cz/Online/branding")</f>
        <v>https://reklama.cncenter.cz/Online/branding</v>
      </c>
      <c r="X589" s="3"/>
      <c r="Y589" s="3"/>
      <c r="Z589" s="3" t="str">
        <f ca="1">IFERROR(__xludf.DUMMYFUNCTION("""COMPUTED_VALUE"""),"podklady@cncenter.cz")</f>
        <v>podklady@cncenter.cz</v>
      </c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 t="str">
        <f ca="1">IFERROR(__xludf.DUMMYFUNCTION("""COMPUTED_VALUE"""),"desktop")</f>
        <v>desktop</v>
      </c>
      <c r="AO589" s="3"/>
      <c r="AP589" s="3"/>
      <c r="AQ589" s="3"/>
      <c r="AR589" s="3"/>
      <c r="AS589" s="3"/>
      <c r="AT589" s="3"/>
      <c r="AU589" s="3" t="str">
        <f ca="1">IFERROR(__xludf.DUMMYFUNCTION("""COMPUTED_VALUE"""),"cílený branding")</f>
        <v>cílený branding</v>
      </c>
    </row>
    <row r="590" spans="1:47" x14ac:dyDescent="0.3">
      <c r="A590" s="3">
        <f ca="1"/>
        <v>2346826</v>
      </c>
      <c r="B590" s="3" t="str">
        <f ca="1"/>
        <v>CZECH NEWS CENTER a. s.</v>
      </c>
      <c r="C590" s="3" t="str">
        <f ca="1">IFERROR(__xludf.DUMMYFUNCTION("""COMPUTED_VALUE"""),"Fitweb")</f>
        <v>Fitweb</v>
      </c>
      <c r="D590" s="4" t="str">
        <f ca="1">IFERROR(__xludf.DUMMYFUNCTION("""COMPUTED_VALUE"""),"https://fitweb.cz")</f>
        <v>https://fitweb.cz</v>
      </c>
      <c r="E590" s="3" t="str">
        <f ca="1">IFERROR(__xludf.DUMMYFUNCTION("""COMPUTED_VALUE"""),"celý web")</f>
        <v>celý web</v>
      </c>
      <c r="F590" s="4" t="str">
        <f ca="1">IFERROR(__xludf.DUMMYFUNCTION("""COMPUTED_VALUE"""),"https://fitweb.cz")</f>
        <v>https://fitweb.cz</v>
      </c>
      <c r="G590" s="3" t="str">
        <f ca="1">IFERROR(__xludf.DUMMYFUNCTION("""COMPUTED_VALUE"""),"cílený double skyscraper high season")</f>
        <v>cílený double skyscraper high season</v>
      </c>
      <c r="H590" s="3">
        <f ca="1">IFERROR(__xludf.DUMMYFUNCTION("""COMPUTED_VALUE"""),7)</f>
        <v>7</v>
      </c>
      <c r="I590" s="5">
        <f ca="1">IFERROR(__xludf.DUMMYFUNCTION("""COMPUTED_VALUE"""),1000)</f>
        <v>1000</v>
      </c>
      <c r="J590" s="5">
        <f ca="1">IFERROR(__xludf.DUMMYFUNCTION("""COMPUTED_VALUE"""),420)</f>
        <v>420</v>
      </c>
      <c r="K590" s="3"/>
      <c r="L590" s="3" t="str">
        <f ca="1">IFERROR(__xludf.DUMMYFUNCTION("""COMPUTED_VALUE"""),"Cost per period")</f>
        <v>Cost per period</v>
      </c>
      <c r="M590" s="3"/>
      <c r="N590" s="3"/>
      <c r="O590" s="3" t="str">
        <f ca="1">IFERROR(__xludf.DUMMYFUNCTION("""COMPUTED_VALUE"""),"300")</f>
        <v>300</v>
      </c>
      <c r="P590" s="3" t="str">
        <f ca="1">IFERROR(__xludf.DUMMYFUNCTION("""COMPUTED_VALUE"""),"600")</f>
        <v>600</v>
      </c>
      <c r="Q590" s="3" t="str">
        <f ca="1">IFERROR(__xludf.DUMMYFUNCTION("""COMPUTED_VALUE"""),"300x600")</f>
        <v>300x600</v>
      </c>
      <c r="R590" s="3"/>
      <c r="S590" s="3" t="str">
        <f ca="1">IFERROR(__xludf.DUMMYFUNCTION("""COMPUTED_VALUE"""),"100 (200 - HTML5)")</f>
        <v>100 (200 - HTML5)</v>
      </c>
      <c r="T590" s="3"/>
      <c r="U590" s="3" t="str">
        <f ca="1">IFERROR(__xludf.DUMMYFUNCTION("""COMPUTED_VALUE"""),"banner standard")</f>
        <v>banner standard</v>
      </c>
      <c r="V590" s="3"/>
      <c r="W590" s="4" t="str">
        <f ca="1">IFERROR(__xludf.DUMMYFUNCTION("""COMPUTED_VALUE"""),"https://reklama.cncenter.cz/Online/double-skyscraper")</f>
        <v>https://reklama.cncenter.cz/Online/double-skyscraper</v>
      </c>
      <c r="X590" s="3"/>
      <c r="Y590" s="3"/>
      <c r="Z590" s="3" t="str">
        <f ca="1">IFERROR(__xludf.DUMMYFUNCTION("""COMPUTED_VALUE"""),"podklady@cncenter.cz")</f>
        <v>podklady@cncenter.cz</v>
      </c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 t="str">
        <f ca="1">IFERROR(__xludf.DUMMYFUNCTION("""COMPUTED_VALUE"""),"desktop")</f>
        <v>desktop</v>
      </c>
      <c r="AO590" s="3"/>
      <c r="AP590" s="3"/>
      <c r="AQ590" s="3"/>
      <c r="AR590" s="3"/>
      <c r="AS590" s="3"/>
      <c r="AT590" s="3"/>
      <c r="AU590" s="3" t="str">
        <f ca="1">IFERROR(__xludf.DUMMYFUNCTION("""COMPUTED_VALUE"""),"cílený double skyscraper")</f>
        <v>cílený double skyscraper</v>
      </c>
    </row>
    <row r="591" spans="1:47" x14ac:dyDescent="0.3">
      <c r="A591" s="3">
        <f ca="1"/>
        <v>2346826</v>
      </c>
      <c r="B591" s="3" t="str">
        <f ca="1"/>
        <v>CZECH NEWS CENTER a. s.</v>
      </c>
      <c r="C591" s="3" t="str">
        <f ca="1">IFERROR(__xludf.DUMMYFUNCTION("""COMPUTED_VALUE"""),"Fitweb")</f>
        <v>Fitweb</v>
      </c>
      <c r="D591" s="4" t="str">
        <f ca="1">IFERROR(__xludf.DUMMYFUNCTION("""COMPUTED_VALUE"""),"https://fitweb.cz")</f>
        <v>https://fitweb.cz</v>
      </c>
      <c r="E591" s="3" t="str">
        <f ca="1">IFERROR(__xludf.DUMMYFUNCTION("""COMPUTED_VALUE"""),"celý web")</f>
        <v>celý web</v>
      </c>
      <c r="F591" s="4" t="str">
        <f ca="1">IFERROR(__xludf.DUMMYFUNCTION("""COMPUTED_VALUE"""),"https://fitweb.cz")</f>
        <v>https://fitweb.cz</v>
      </c>
      <c r="G591" s="3" t="str">
        <f ca="1">IFERROR(__xludf.DUMMYFUNCTION("""COMPUTED_VALUE"""),"cílený mobilní interscroller high season")</f>
        <v>cílený mobilní interscroller high season</v>
      </c>
      <c r="H591" s="3">
        <f ca="1">IFERROR(__xludf.DUMMYFUNCTION("""COMPUTED_VALUE"""),7)</f>
        <v>7</v>
      </c>
      <c r="I591" s="5">
        <f ca="1">IFERROR(__xludf.DUMMYFUNCTION("""COMPUTED_VALUE"""),1000)</f>
        <v>1000</v>
      </c>
      <c r="J591" s="5">
        <f ca="1">IFERROR(__xludf.DUMMYFUNCTION("""COMPUTED_VALUE"""),540)</f>
        <v>540</v>
      </c>
      <c r="K591" s="3"/>
      <c r="L591" s="3" t="str">
        <f ca="1">IFERROR(__xludf.DUMMYFUNCTION("""COMPUTED_VALUE"""),"Cost per period")</f>
        <v>Cost per period</v>
      </c>
      <c r="M591" s="3"/>
      <c r="N591" s="3"/>
      <c r="O591" s="3" t="str">
        <f ca="1">IFERROR(__xludf.DUMMYFUNCTION("""COMPUTED_VALUE"""),"600")</f>
        <v>600</v>
      </c>
      <c r="P591" s="3" t="str">
        <f ca="1">IFERROR(__xludf.DUMMYFUNCTION("""COMPUTED_VALUE"""),"1080")</f>
        <v>1080</v>
      </c>
      <c r="Q591" s="3" t="str">
        <f ca="1">IFERROR(__xludf.DUMMYFUNCTION("""COMPUTED_VALUE"""),"600x1080")</f>
        <v>600x1080</v>
      </c>
      <c r="R591" s="3"/>
      <c r="S591" s="3" t="str">
        <f ca="1">IFERROR(__xludf.DUMMYFUNCTION("""COMPUTED_VALUE"""),"200")</f>
        <v>200</v>
      </c>
      <c r="T591" s="3"/>
      <c r="U591" s="3" t="str">
        <f ca="1">IFERROR(__xludf.DUMMYFUNCTION("""COMPUTED_VALUE"""),"banner standard")</f>
        <v>banner standard</v>
      </c>
      <c r="V591" s="3"/>
      <c r="W591" s="4" t="str">
        <f ca="1">IFERROR(__xludf.DUMMYFUNCTION("""COMPUTED_VALUE"""),"https://reklama.cncenter.cz/Online/mobilni-interscroller")</f>
        <v>https://reklama.cncenter.cz/Online/mobilni-interscroller</v>
      </c>
      <c r="X591" s="3"/>
      <c r="Y591" s="3"/>
      <c r="Z591" s="3" t="str">
        <f ca="1">IFERROR(__xludf.DUMMYFUNCTION("""COMPUTED_VALUE"""),"podklady@cncenter.cz")</f>
        <v>podklady@cncenter.cz</v>
      </c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 t="str">
        <f ca="1">IFERROR(__xludf.DUMMYFUNCTION("""COMPUTED_VALUE"""),"mobile")</f>
        <v>mobile</v>
      </c>
      <c r="AO591" s="3"/>
      <c r="AP591" s="3"/>
      <c r="AQ591" s="3"/>
      <c r="AR591" s="3"/>
      <c r="AS591" s="3"/>
      <c r="AT591" s="3"/>
      <c r="AU591" s="3" t="str">
        <f ca="1">IFERROR(__xludf.DUMMYFUNCTION("""COMPUTED_VALUE"""),"cílený mobilní interscroller")</f>
        <v>cílený mobilní interscroller</v>
      </c>
    </row>
    <row r="592" spans="1:47" x14ac:dyDescent="0.3">
      <c r="A592" s="3">
        <f ca="1"/>
        <v>2346826</v>
      </c>
      <c r="B592" s="3" t="str">
        <f ca="1"/>
        <v>CZECH NEWS CENTER a. s.</v>
      </c>
      <c r="C592" s="3" t="str">
        <f ca="1">IFERROR(__xludf.DUMMYFUNCTION("""COMPUTED_VALUE"""),"Fitweb")</f>
        <v>Fitweb</v>
      </c>
      <c r="D592" s="4" t="str">
        <f ca="1">IFERROR(__xludf.DUMMYFUNCTION("""COMPUTED_VALUE"""),"https://fitweb.cz")</f>
        <v>https://fitweb.cz</v>
      </c>
      <c r="E592" s="3" t="str">
        <f ca="1">IFERROR(__xludf.DUMMYFUNCTION("""COMPUTED_VALUE"""),"celý web")</f>
        <v>celý web</v>
      </c>
      <c r="F592" s="4" t="str">
        <f ca="1">IFERROR(__xludf.DUMMYFUNCTION("""COMPUTED_VALUE"""),"https://fitweb.cz")</f>
        <v>https://fitweb.cz</v>
      </c>
      <c r="G592" s="3" t="str">
        <f ca="1">IFERROR(__xludf.DUMMYFUNCTION("""COMPUTED_VALUE"""),"cílený mobilní slide-up high season")</f>
        <v>cílený mobilní slide-up high season</v>
      </c>
      <c r="H592" s="3">
        <f ca="1">IFERROR(__xludf.DUMMYFUNCTION("""COMPUTED_VALUE"""),7)</f>
        <v>7</v>
      </c>
      <c r="I592" s="5">
        <f ca="1">IFERROR(__xludf.DUMMYFUNCTION("""COMPUTED_VALUE"""),1000)</f>
        <v>1000</v>
      </c>
      <c r="J592" s="5">
        <f ca="1">IFERROR(__xludf.DUMMYFUNCTION("""COMPUTED_VALUE"""),1104)</f>
        <v>1104</v>
      </c>
      <c r="K592" s="3"/>
      <c r="L592" s="3" t="str">
        <f ca="1">IFERROR(__xludf.DUMMYFUNCTION("""COMPUTED_VALUE"""),"Cost per period")</f>
        <v>Cost per period</v>
      </c>
      <c r="M592" s="3"/>
      <c r="N592" s="3"/>
      <c r="O592" s="3" t="str">
        <f ca="1">IFERROR(__xludf.DUMMYFUNCTION("""COMPUTED_VALUE"""),"300")</f>
        <v>300</v>
      </c>
      <c r="P592" s="3" t="str">
        <f ca="1">IFERROR(__xludf.DUMMYFUNCTION("""COMPUTED_VALUE"""),"120")</f>
        <v>120</v>
      </c>
      <c r="Q592" s="3" t="str">
        <f ca="1">IFERROR(__xludf.DUMMYFUNCTION("""COMPUTED_VALUE"""),"300x120")</f>
        <v>300x120</v>
      </c>
      <c r="R592" s="3"/>
      <c r="S592" s="3" t="str">
        <f ca="1">IFERROR(__xludf.DUMMYFUNCTION("""COMPUTED_VALUE"""),"100")</f>
        <v>100</v>
      </c>
      <c r="T592" s="3"/>
      <c r="U592" s="3" t="str">
        <f ca="1">IFERROR(__xludf.DUMMYFUNCTION("""COMPUTED_VALUE"""),"banner standard")</f>
        <v>banner standard</v>
      </c>
      <c r="V592" s="3"/>
      <c r="W592" s="4" t="str">
        <f ca="1">IFERROR(__xludf.DUMMYFUNCTION("""COMPUTED_VALUE"""),"https://reklama.cncenter.cz/Online/mobilni-slide-up")</f>
        <v>https://reklama.cncenter.cz/Online/mobilni-slide-up</v>
      </c>
      <c r="X592" s="3"/>
      <c r="Y592" s="3"/>
      <c r="Z592" s="3" t="str">
        <f ca="1">IFERROR(__xludf.DUMMYFUNCTION("""COMPUTED_VALUE"""),"podklady@cncenter.cz")</f>
        <v>podklady@cncenter.cz</v>
      </c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 t="str">
        <f ca="1">IFERROR(__xludf.DUMMYFUNCTION("""COMPUTED_VALUE"""),"mobile")</f>
        <v>mobile</v>
      </c>
      <c r="AO592" s="3"/>
      <c r="AP592" s="3"/>
      <c r="AQ592" s="3"/>
      <c r="AR592" s="3"/>
      <c r="AS592" s="3"/>
      <c r="AT592" s="3"/>
      <c r="AU592" s="3" t="str">
        <f ca="1">IFERROR(__xludf.DUMMYFUNCTION("""COMPUTED_VALUE"""),"cílený mobilní slide-up")</f>
        <v>cílený mobilní slide-up</v>
      </c>
    </row>
    <row r="593" spans="1:47" x14ac:dyDescent="0.3">
      <c r="A593" s="3">
        <f ca="1"/>
        <v>2346826</v>
      </c>
      <c r="B593" s="3" t="str">
        <f ca="1"/>
        <v>CZECH NEWS CENTER a. s.</v>
      </c>
      <c r="C593" s="3" t="str">
        <f ca="1">IFERROR(__xludf.DUMMYFUNCTION("""COMPUTED_VALUE"""),"Fitweb")</f>
        <v>Fitweb</v>
      </c>
      <c r="D593" s="4" t="str">
        <f ca="1">IFERROR(__xludf.DUMMYFUNCTION("""COMPUTED_VALUE"""),"https://fitweb.cz")</f>
        <v>https://fitweb.cz</v>
      </c>
      <c r="E593" s="3" t="str">
        <f ca="1">IFERROR(__xludf.DUMMYFUNCTION("""COMPUTED_VALUE"""),"celý web")</f>
        <v>celý web</v>
      </c>
      <c r="F593" s="4" t="str">
        <f ca="1">IFERROR(__xludf.DUMMYFUNCTION("""COMPUTED_VALUE"""),"https://fitweb.cz")</f>
        <v>https://fitweb.cz</v>
      </c>
      <c r="G593" s="3" t="str">
        <f ca="1">IFERROR(__xludf.DUMMYFUNCTION("""COMPUTED_VALUE"""),"cílený mobilní viněta high season")</f>
        <v>cílený mobilní viněta high season</v>
      </c>
      <c r="H593" s="3">
        <f ca="1">IFERROR(__xludf.DUMMYFUNCTION("""COMPUTED_VALUE"""),7)</f>
        <v>7</v>
      </c>
      <c r="I593" s="5">
        <f ca="1">IFERROR(__xludf.DUMMYFUNCTION("""COMPUTED_VALUE"""),1000)</f>
        <v>1000</v>
      </c>
      <c r="J593" s="5">
        <f ca="1">IFERROR(__xludf.DUMMYFUNCTION("""COMPUTED_VALUE"""),1908)</f>
        <v>1908</v>
      </c>
      <c r="K593" s="3"/>
      <c r="L593" s="3" t="str">
        <f ca="1">IFERROR(__xludf.DUMMYFUNCTION("""COMPUTED_VALUE"""),"Cost per period")</f>
        <v>Cost per period</v>
      </c>
      <c r="M593" s="3"/>
      <c r="N593" s="3"/>
      <c r="O593" s="3" t="str">
        <f ca="1">IFERROR(__xludf.DUMMYFUNCTION("""COMPUTED_VALUE"""),"600")</f>
        <v>600</v>
      </c>
      <c r="P593" s="3" t="str">
        <f ca="1">IFERROR(__xludf.DUMMYFUNCTION("""COMPUTED_VALUE"""),"800")</f>
        <v>800</v>
      </c>
      <c r="Q593" s="3" t="str">
        <f ca="1">IFERROR(__xludf.DUMMYFUNCTION("""COMPUTED_VALUE"""),"300x250 nebo 600x800")</f>
        <v>300x250 nebo 600x800</v>
      </c>
      <c r="R593" s="3"/>
      <c r="S593" s="3" t="str">
        <f ca="1">IFERROR(__xludf.DUMMYFUNCTION("""COMPUTED_VALUE"""),"100")</f>
        <v>100</v>
      </c>
      <c r="T593" s="3"/>
      <c r="U593" s="3" t="str">
        <f ca="1">IFERROR(__xludf.DUMMYFUNCTION("""COMPUTED_VALUE"""),"banner standard")</f>
        <v>banner standard</v>
      </c>
      <c r="V593" s="3"/>
      <c r="W593" s="4" t="str">
        <f ca="1">IFERROR(__xludf.DUMMYFUNCTION("""COMPUTED_VALUE"""),"https://reklama.cncenter.cz/Online/mobilni-vineta")</f>
        <v>https://reklama.cncenter.cz/Online/mobilni-vineta</v>
      </c>
      <c r="X593" s="3"/>
      <c r="Y593" s="3"/>
      <c r="Z593" s="3" t="str">
        <f ca="1">IFERROR(__xludf.DUMMYFUNCTION("""COMPUTED_VALUE"""),"podklady@cncenter.cz")</f>
        <v>podklady@cncenter.cz</v>
      </c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 t="str">
        <f ca="1">IFERROR(__xludf.DUMMYFUNCTION("""COMPUTED_VALUE"""),"mobile")</f>
        <v>mobile</v>
      </c>
      <c r="AO593" s="3"/>
      <c r="AP593" s="3"/>
      <c r="AQ593" s="3"/>
      <c r="AR593" s="3"/>
      <c r="AS593" s="3"/>
      <c r="AT593" s="3"/>
      <c r="AU593" s="3" t="str">
        <f ca="1">IFERROR(__xludf.DUMMYFUNCTION("""COMPUTED_VALUE"""),"cílený mobilní viněta")</f>
        <v>cílený mobilní viněta</v>
      </c>
    </row>
    <row r="594" spans="1:47" x14ac:dyDescent="0.3">
      <c r="A594" s="3">
        <f ca="1"/>
        <v>2346826</v>
      </c>
      <c r="B594" s="3" t="str">
        <f ca="1"/>
        <v>CZECH NEWS CENTER a. s.</v>
      </c>
      <c r="C594" s="3" t="str">
        <f ca="1">IFERROR(__xludf.DUMMYFUNCTION("""COMPUTED_VALUE"""),"Fitweb")</f>
        <v>Fitweb</v>
      </c>
      <c r="D594" s="4" t="str">
        <f ca="1">IFERROR(__xludf.DUMMYFUNCTION("""COMPUTED_VALUE"""),"https://fitweb.cz")</f>
        <v>https://fitweb.cz</v>
      </c>
      <c r="E594" s="3" t="str">
        <f ca="1">IFERROR(__xludf.DUMMYFUNCTION("""COMPUTED_VALUE"""),"celý web")</f>
        <v>celý web</v>
      </c>
      <c r="F594" s="4" t="str">
        <f ca="1">IFERROR(__xludf.DUMMYFUNCTION("""COMPUTED_VALUE"""),"https://fitweb.cz")</f>
        <v>https://fitweb.cz</v>
      </c>
      <c r="G594" s="3" t="str">
        <f ca="1">IFERROR(__xludf.DUMMYFUNCTION("""COMPUTED_VALUE"""),"cílený nativní rectangle cross-device high season")</f>
        <v>cílený nativní rectangle cross-device high season</v>
      </c>
      <c r="H594" s="3">
        <f ca="1">IFERROR(__xludf.DUMMYFUNCTION("""COMPUTED_VALUE"""),7)</f>
        <v>7</v>
      </c>
      <c r="I594" s="5">
        <f ca="1">IFERROR(__xludf.DUMMYFUNCTION("""COMPUTED_VALUE"""),1000)</f>
        <v>1000</v>
      </c>
      <c r="J594" s="5">
        <f ca="1">IFERROR(__xludf.DUMMYFUNCTION("""COMPUTED_VALUE"""),432)</f>
        <v>432</v>
      </c>
      <c r="K594" s="3"/>
      <c r="L594" s="3" t="str">
        <f ca="1">IFERROR(__xludf.DUMMYFUNCTION("""COMPUTED_VALUE"""),"Cost per period")</f>
        <v>Cost per period</v>
      </c>
      <c r="M594" s="3"/>
      <c r="N594" s="3"/>
      <c r="O594" s="3" t="str">
        <f ca="1">IFERROR(__xludf.DUMMYFUNCTION("""COMPUTED_VALUE"""),"640")</f>
        <v>640</v>
      </c>
      <c r="P594" s="3" t="str">
        <f ca="1">IFERROR(__xludf.DUMMYFUNCTION("""COMPUTED_VALUE"""),"335, 640")</f>
        <v>335, 640</v>
      </c>
      <c r="Q594" s="3" t="str">
        <f ca="1">IFERROR(__xludf.DUMMYFUNCTION("""COMPUTED_VALUE"""),"640x640 a 640x335 + text + logo")</f>
        <v>640x640 a 640x335 + text + logo</v>
      </c>
      <c r="R594" s="3"/>
      <c r="S594" s="3" t="str">
        <f ca="1">IFERROR(__xludf.DUMMYFUNCTION("""COMPUTED_VALUE"""),"45")</f>
        <v>45</v>
      </c>
      <c r="T594" s="3"/>
      <c r="U594" s="3" t="str">
        <f ca="1">IFERROR(__xludf.DUMMYFUNCTION("""COMPUTED_VALUE"""),"nativní reklama")</f>
        <v>nativní reklama</v>
      </c>
      <c r="V594" s="3"/>
      <c r="W594" s="4" t="str">
        <f ca="1">IFERROR(__xludf.DUMMYFUNCTION("""COMPUTED_VALUE"""),"https://reklama.cncenter.cz/Online/nativni-rectangle-cross-device")</f>
        <v>https://reklama.cncenter.cz/Online/nativni-rectangle-cross-device</v>
      </c>
      <c r="X594" s="3"/>
      <c r="Y594" s="3"/>
      <c r="Z594" s="3" t="str">
        <f ca="1">IFERROR(__xludf.DUMMYFUNCTION("""COMPUTED_VALUE"""),"podklady@cncenter.cz")</f>
        <v>podklady@cncenter.cz</v>
      </c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 t="str">
        <f ca="1">IFERROR(__xludf.DUMMYFUNCTION("""COMPUTED_VALUE"""),"cross-device")</f>
        <v>cross-device</v>
      </c>
      <c r="AO594" s="3"/>
      <c r="AP594" s="3"/>
      <c r="AQ594" s="3"/>
      <c r="AR594" s="3"/>
      <c r="AS594" s="3"/>
      <c r="AT594" s="3"/>
      <c r="AU594" s="3" t="str">
        <f ca="1">IFERROR(__xludf.DUMMYFUNCTION("""COMPUTED_VALUE"""),"cílený nativní rectangle cross-device")</f>
        <v>cílený nativní rectangle cross-device</v>
      </c>
    </row>
    <row r="595" spans="1:47" x14ac:dyDescent="0.3">
      <c r="A595" s="3">
        <f ca="1"/>
        <v>2346826</v>
      </c>
      <c r="B595" s="3" t="str">
        <f ca="1"/>
        <v>CZECH NEWS CENTER a. s.</v>
      </c>
      <c r="C595" s="3" t="str">
        <f ca="1">IFERROR(__xludf.DUMMYFUNCTION("""COMPUTED_VALUE"""),"Fitweb")</f>
        <v>Fitweb</v>
      </c>
      <c r="D595" s="4" t="str">
        <f ca="1">IFERROR(__xludf.DUMMYFUNCTION("""COMPUTED_VALUE"""),"https://fitweb.cz")</f>
        <v>https://fitweb.cz</v>
      </c>
      <c r="E595" s="3" t="str">
        <f ca="1">IFERROR(__xludf.DUMMYFUNCTION("""COMPUTED_VALUE"""),"celý web")</f>
        <v>celý web</v>
      </c>
      <c r="F595" s="4" t="str">
        <f ca="1">IFERROR(__xludf.DUMMYFUNCTION("""COMPUTED_VALUE"""),"https://fitweb.cz")</f>
        <v>https://fitweb.cz</v>
      </c>
      <c r="G595" s="3" t="str">
        <f ca="1">IFERROR(__xludf.DUMMYFUNCTION("""COMPUTED_VALUE"""),"cílený outstream high season")</f>
        <v>cílený outstream high season</v>
      </c>
      <c r="H595" s="3">
        <f ca="1">IFERROR(__xludf.DUMMYFUNCTION("""COMPUTED_VALUE"""),7)</f>
        <v>7</v>
      </c>
      <c r="I595" s="5">
        <f ca="1">IFERROR(__xludf.DUMMYFUNCTION("""COMPUTED_VALUE"""),1000)</f>
        <v>1000</v>
      </c>
      <c r="J595" s="5">
        <f ca="1">IFERROR(__xludf.DUMMYFUNCTION("""COMPUTED_VALUE"""),540)</f>
        <v>540</v>
      </c>
      <c r="K595" s="3"/>
      <c r="L595" s="3" t="str">
        <f ca="1">IFERROR(__xludf.DUMMYFUNCTION("""COMPUTED_VALUE"""),"Cost per period")</f>
        <v>Cost per period</v>
      </c>
      <c r="M595" s="3"/>
      <c r="N595" s="3"/>
      <c r="O595" s="3" t="str">
        <f ca="1">IFERROR(__xludf.DUMMYFUNCTION("""COMPUTED_VALUE"""),"1280")</f>
        <v>1280</v>
      </c>
      <c r="P595" s="3" t="str">
        <f ca="1">IFERROR(__xludf.DUMMYFUNCTION("""COMPUTED_VALUE"""),"720")</f>
        <v>720</v>
      </c>
      <c r="Q595" s="3" t="str">
        <f ca="1">IFERROR(__xludf.DUMMYFUNCTION("""COMPUTED_VALUE"""),"16:9")</f>
        <v>16:9</v>
      </c>
      <c r="R595" s="3"/>
      <c r="S595" s="3" t="str">
        <f ca="1">IFERROR(__xludf.DUMMYFUNCTION("""COMPUTED_VALUE"""),"100")</f>
        <v>100</v>
      </c>
      <c r="T595" s="3"/>
      <c r="U595" s="3" t="str">
        <f ca="1">IFERROR(__xludf.DUMMYFUNCTION("""COMPUTED_VALUE"""),"videospot")</f>
        <v>videospot</v>
      </c>
      <c r="V595" s="3"/>
      <c r="W595" s="4" t="str">
        <f ca="1">IFERROR(__xludf.DUMMYFUNCTION("""COMPUTED_VALUE"""),"https://reklama.cncenter.cz/Online/Outstream")</f>
        <v>https://reklama.cncenter.cz/Online/Outstream</v>
      </c>
      <c r="X595" s="3"/>
      <c r="Y595" s="3"/>
      <c r="Z595" s="3" t="str">
        <f ca="1">IFERROR(__xludf.DUMMYFUNCTION("""COMPUTED_VALUE"""),"podklady@cncenter.cz")</f>
        <v>podklady@cncenter.cz</v>
      </c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 t="str">
        <f ca="1">IFERROR(__xludf.DUMMYFUNCTION("""COMPUTED_VALUE"""),"cross-device")</f>
        <v>cross-device</v>
      </c>
      <c r="AO595" s="3"/>
      <c r="AP595" s="3"/>
      <c r="AQ595" s="3"/>
      <c r="AR595" s="3"/>
      <c r="AS595" s="3"/>
      <c r="AT595" s="3"/>
      <c r="AU595" s="3" t="str">
        <f ca="1">IFERROR(__xludf.DUMMYFUNCTION("""COMPUTED_VALUE"""),"cílený outstream")</f>
        <v>cílený outstream</v>
      </c>
    </row>
    <row r="596" spans="1:47" x14ac:dyDescent="0.3">
      <c r="A596" s="3">
        <f ca="1"/>
        <v>2346826</v>
      </c>
      <c r="B596" s="3" t="str">
        <f ca="1"/>
        <v>CZECH NEWS CENTER a. s.</v>
      </c>
      <c r="C596" s="3" t="str">
        <f ca="1">IFERROR(__xludf.DUMMYFUNCTION("""COMPUTED_VALUE"""),"Fitweb")</f>
        <v>Fitweb</v>
      </c>
      <c r="D596" s="4" t="str">
        <f ca="1">IFERROR(__xludf.DUMMYFUNCTION("""COMPUTED_VALUE"""),"https://fitweb.cz")</f>
        <v>https://fitweb.cz</v>
      </c>
      <c r="E596" s="3" t="str">
        <f ca="1">IFERROR(__xludf.DUMMYFUNCTION("""COMPUTED_VALUE"""),"celý web")</f>
        <v>celý web</v>
      </c>
      <c r="F596" s="4" t="str">
        <f ca="1">IFERROR(__xludf.DUMMYFUNCTION("""COMPUTED_VALUE"""),"https://fitweb.cz")</f>
        <v>https://fitweb.cz</v>
      </c>
      <c r="G596" s="3" t="str">
        <f ca="1">IFERROR(__xludf.DUMMYFUNCTION("""COMPUTED_VALUE"""),"double skyscraper high season")</f>
        <v>double skyscraper high season</v>
      </c>
      <c r="H596" s="3">
        <f ca="1">IFERROR(__xludf.DUMMYFUNCTION("""COMPUTED_VALUE"""),7)</f>
        <v>7</v>
      </c>
      <c r="I596" s="5">
        <f ca="1">IFERROR(__xludf.DUMMYFUNCTION("""COMPUTED_VALUE"""),1000)</f>
        <v>1000</v>
      </c>
      <c r="J596" s="5">
        <f ca="1">IFERROR(__xludf.DUMMYFUNCTION("""COMPUTED_VALUE"""),350)</f>
        <v>350</v>
      </c>
      <c r="K596" s="3"/>
      <c r="L596" s="3" t="str">
        <f ca="1">IFERROR(__xludf.DUMMYFUNCTION("""COMPUTED_VALUE"""),"Cost per period")</f>
        <v>Cost per period</v>
      </c>
      <c r="M596" s="3"/>
      <c r="N596" s="3"/>
      <c r="O596" s="3" t="str">
        <f ca="1">IFERROR(__xludf.DUMMYFUNCTION("""COMPUTED_VALUE"""),"300")</f>
        <v>300</v>
      </c>
      <c r="P596" s="3" t="str">
        <f ca="1">IFERROR(__xludf.DUMMYFUNCTION("""COMPUTED_VALUE"""),"600")</f>
        <v>600</v>
      </c>
      <c r="Q596" s="3" t="str">
        <f ca="1">IFERROR(__xludf.DUMMYFUNCTION("""COMPUTED_VALUE"""),"300x600")</f>
        <v>300x600</v>
      </c>
      <c r="R596" s="3"/>
      <c r="S596" s="3" t="str">
        <f ca="1">IFERROR(__xludf.DUMMYFUNCTION("""COMPUTED_VALUE"""),"100 (200 - HTML5)")</f>
        <v>100 (200 - HTML5)</v>
      </c>
      <c r="T596" s="3"/>
      <c r="U596" s="3" t="str">
        <f ca="1">IFERROR(__xludf.DUMMYFUNCTION("""COMPUTED_VALUE"""),"banner standard")</f>
        <v>banner standard</v>
      </c>
      <c r="V596" s="3"/>
      <c r="W596" s="4" t="str">
        <f ca="1">IFERROR(__xludf.DUMMYFUNCTION("""COMPUTED_VALUE"""),"https://reklama.cncenter.cz/Online/double-skyscraper")</f>
        <v>https://reklama.cncenter.cz/Online/double-skyscraper</v>
      </c>
      <c r="X596" s="3"/>
      <c r="Y596" s="3"/>
      <c r="Z596" s="3" t="str">
        <f ca="1">IFERROR(__xludf.DUMMYFUNCTION("""COMPUTED_VALUE"""),"podklady@cncenter.cz")</f>
        <v>podklady@cncenter.cz</v>
      </c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 t="str">
        <f ca="1">IFERROR(__xludf.DUMMYFUNCTION("""COMPUTED_VALUE"""),"desktop")</f>
        <v>desktop</v>
      </c>
      <c r="AO596" s="3"/>
      <c r="AP596" s="3"/>
      <c r="AQ596" s="3"/>
      <c r="AR596" s="3"/>
      <c r="AS596" s="3"/>
      <c r="AT596" s="3"/>
      <c r="AU596" s="3" t="str">
        <f ca="1">IFERROR(__xludf.DUMMYFUNCTION("""COMPUTED_VALUE"""),"double skyscraper")</f>
        <v>double skyscraper</v>
      </c>
    </row>
    <row r="597" spans="1:47" x14ac:dyDescent="0.3">
      <c r="A597" s="3">
        <f ca="1"/>
        <v>2346826</v>
      </c>
      <c r="B597" s="3" t="str">
        <f ca="1"/>
        <v>CZECH NEWS CENTER a. s.</v>
      </c>
      <c r="C597" s="3" t="str">
        <f ca="1">IFERROR(__xludf.DUMMYFUNCTION("""COMPUTED_VALUE"""),"Fitweb")</f>
        <v>Fitweb</v>
      </c>
      <c r="D597" s="4" t="str">
        <f ca="1">IFERROR(__xludf.DUMMYFUNCTION("""COMPUTED_VALUE"""),"https://fitweb.cz")</f>
        <v>https://fitweb.cz</v>
      </c>
      <c r="E597" s="3" t="str">
        <f ca="1">IFERROR(__xludf.DUMMYFUNCTION("""COMPUTED_VALUE"""),"celý web")</f>
        <v>celý web</v>
      </c>
      <c r="F597" s="4" t="str">
        <f ca="1">IFERROR(__xludf.DUMMYFUNCTION("""COMPUTED_VALUE"""),"https://fitweb.cz")</f>
        <v>https://fitweb.cz</v>
      </c>
      <c r="G597" s="3" t="str">
        <f ca="1">IFERROR(__xludf.DUMMYFUNCTION("""COMPUTED_VALUE"""),"mobilní interscroller high season")</f>
        <v>mobilní interscroller high season</v>
      </c>
      <c r="H597" s="3">
        <f ca="1">IFERROR(__xludf.DUMMYFUNCTION("""COMPUTED_VALUE"""),7)</f>
        <v>7</v>
      </c>
      <c r="I597" s="5">
        <f ca="1">IFERROR(__xludf.DUMMYFUNCTION("""COMPUTED_VALUE"""),1000)</f>
        <v>1000</v>
      </c>
      <c r="J597" s="5">
        <f ca="1">IFERROR(__xludf.DUMMYFUNCTION("""COMPUTED_VALUE"""),450)</f>
        <v>450</v>
      </c>
      <c r="K597" s="3"/>
      <c r="L597" s="3" t="str">
        <f ca="1">IFERROR(__xludf.DUMMYFUNCTION("""COMPUTED_VALUE"""),"Cost per period")</f>
        <v>Cost per period</v>
      </c>
      <c r="M597" s="3"/>
      <c r="N597" s="3"/>
      <c r="O597" s="3" t="str">
        <f ca="1">IFERROR(__xludf.DUMMYFUNCTION("""COMPUTED_VALUE"""),"600")</f>
        <v>600</v>
      </c>
      <c r="P597" s="3" t="str">
        <f ca="1">IFERROR(__xludf.DUMMYFUNCTION("""COMPUTED_VALUE"""),"1080")</f>
        <v>1080</v>
      </c>
      <c r="Q597" s="3" t="str">
        <f ca="1">IFERROR(__xludf.DUMMYFUNCTION("""COMPUTED_VALUE"""),"600x1080")</f>
        <v>600x1080</v>
      </c>
      <c r="R597" s="3"/>
      <c r="S597" s="3" t="str">
        <f ca="1">IFERROR(__xludf.DUMMYFUNCTION("""COMPUTED_VALUE"""),"200")</f>
        <v>200</v>
      </c>
      <c r="T597" s="3"/>
      <c r="U597" s="3" t="str">
        <f ca="1">IFERROR(__xludf.DUMMYFUNCTION("""COMPUTED_VALUE"""),"banner standard")</f>
        <v>banner standard</v>
      </c>
      <c r="V597" s="3"/>
      <c r="W597" s="4" t="str">
        <f ca="1">IFERROR(__xludf.DUMMYFUNCTION("""COMPUTED_VALUE"""),"https://reklama.cncenter.cz/Online/mobilni-interscroller")</f>
        <v>https://reklama.cncenter.cz/Online/mobilni-interscroller</v>
      </c>
      <c r="X597" s="3"/>
      <c r="Y597" s="3"/>
      <c r="Z597" s="3" t="str">
        <f ca="1">IFERROR(__xludf.DUMMYFUNCTION("""COMPUTED_VALUE"""),"podklady@cncenter.cz")</f>
        <v>podklady@cncenter.cz</v>
      </c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 t="str">
        <f ca="1">IFERROR(__xludf.DUMMYFUNCTION("""COMPUTED_VALUE"""),"mobile")</f>
        <v>mobile</v>
      </c>
      <c r="AO597" s="3"/>
      <c r="AP597" s="3"/>
      <c r="AQ597" s="3"/>
      <c r="AR597" s="3"/>
      <c r="AS597" s="3"/>
      <c r="AT597" s="3"/>
      <c r="AU597" s="3" t="str">
        <f ca="1">IFERROR(__xludf.DUMMYFUNCTION("""COMPUTED_VALUE"""),"mobilní interscroller")</f>
        <v>mobilní interscroller</v>
      </c>
    </row>
    <row r="598" spans="1:47" x14ac:dyDescent="0.3">
      <c r="A598" s="3">
        <f ca="1"/>
        <v>2346826</v>
      </c>
      <c r="B598" s="3" t="str">
        <f ca="1"/>
        <v>CZECH NEWS CENTER a. s.</v>
      </c>
      <c r="C598" s="3" t="str">
        <f ca="1">IFERROR(__xludf.DUMMYFUNCTION("""COMPUTED_VALUE"""),"Fitweb")</f>
        <v>Fitweb</v>
      </c>
      <c r="D598" s="4" t="str">
        <f ca="1">IFERROR(__xludf.DUMMYFUNCTION("""COMPUTED_VALUE"""),"https://fitweb.cz")</f>
        <v>https://fitweb.cz</v>
      </c>
      <c r="E598" s="3" t="str">
        <f ca="1">IFERROR(__xludf.DUMMYFUNCTION("""COMPUTED_VALUE"""),"celý web")</f>
        <v>celý web</v>
      </c>
      <c r="F598" s="4" t="str">
        <f ca="1">IFERROR(__xludf.DUMMYFUNCTION("""COMPUTED_VALUE"""),"https://fitweb.cz")</f>
        <v>https://fitweb.cz</v>
      </c>
      <c r="G598" s="3" t="str">
        <f ca="1">IFERROR(__xludf.DUMMYFUNCTION("""COMPUTED_VALUE"""),"mobilní slide-up high season")</f>
        <v>mobilní slide-up high season</v>
      </c>
      <c r="H598" s="3">
        <f ca="1">IFERROR(__xludf.DUMMYFUNCTION("""COMPUTED_VALUE"""),7)</f>
        <v>7</v>
      </c>
      <c r="I598" s="5">
        <f ca="1">IFERROR(__xludf.DUMMYFUNCTION("""COMPUTED_VALUE"""),1000)</f>
        <v>1000</v>
      </c>
      <c r="J598" s="5">
        <f ca="1">IFERROR(__xludf.DUMMYFUNCTION("""COMPUTED_VALUE"""),920)</f>
        <v>920</v>
      </c>
      <c r="K598" s="3"/>
      <c r="L598" s="3" t="str">
        <f ca="1">IFERROR(__xludf.DUMMYFUNCTION("""COMPUTED_VALUE"""),"Cost per period")</f>
        <v>Cost per period</v>
      </c>
      <c r="M598" s="3"/>
      <c r="N598" s="3"/>
      <c r="O598" s="3" t="str">
        <f ca="1">IFERROR(__xludf.DUMMYFUNCTION("""COMPUTED_VALUE"""),"300")</f>
        <v>300</v>
      </c>
      <c r="P598" s="3" t="str">
        <f ca="1">IFERROR(__xludf.DUMMYFUNCTION("""COMPUTED_VALUE"""),"120")</f>
        <v>120</v>
      </c>
      <c r="Q598" s="3" t="str">
        <f ca="1">IFERROR(__xludf.DUMMYFUNCTION("""COMPUTED_VALUE"""),"300x120")</f>
        <v>300x120</v>
      </c>
      <c r="R598" s="3"/>
      <c r="S598" s="3" t="str">
        <f ca="1">IFERROR(__xludf.DUMMYFUNCTION("""COMPUTED_VALUE"""),"100")</f>
        <v>100</v>
      </c>
      <c r="T598" s="3"/>
      <c r="U598" s="3" t="str">
        <f ca="1">IFERROR(__xludf.DUMMYFUNCTION("""COMPUTED_VALUE"""),"banner standard")</f>
        <v>banner standard</v>
      </c>
      <c r="V598" s="3"/>
      <c r="W598" s="4" t="str">
        <f ca="1">IFERROR(__xludf.DUMMYFUNCTION("""COMPUTED_VALUE"""),"https://reklama.cncenter.cz/Online/mobilni-slide-up")</f>
        <v>https://reklama.cncenter.cz/Online/mobilni-slide-up</v>
      </c>
      <c r="X598" s="3"/>
      <c r="Y598" s="3"/>
      <c r="Z598" s="3" t="str">
        <f ca="1">IFERROR(__xludf.DUMMYFUNCTION("""COMPUTED_VALUE"""),"podklady@cncenter.cz")</f>
        <v>podklady@cncenter.cz</v>
      </c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 t="str">
        <f ca="1">IFERROR(__xludf.DUMMYFUNCTION("""COMPUTED_VALUE"""),"mobile")</f>
        <v>mobile</v>
      </c>
      <c r="AO598" s="3"/>
      <c r="AP598" s="3"/>
      <c r="AQ598" s="3"/>
      <c r="AR598" s="3"/>
      <c r="AS598" s="3"/>
      <c r="AT598" s="3"/>
      <c r="AU598" s="3" t="str">
        <f ca="1">IFERROR(__xludf.DUMMYFUNCTION("""COMPUTED_VALUE"""),"mobilní slide-up")</f>
        <v>mobilní slide-up</v>
      </c>
    </row>
    <row r="599" spans="1:47" x14ac:dyDescent="0.3">
      <c r="A599" s="3">
        <f ca="1"/>
        <v>2346826</v>
      </c>
      <c r="B599" s="3" t="str">
        <f ca="1"/>
        <v>CZECH NEWS CENTER a. s.</v>
      </c>
      <c r="C599" s="3" t="str">
        <f ca="1">IFERROR(__xludf.DUMMYFUNCTION("""COMPUTED_VALUE"""),"Fitweb")</f>
        <v>Fitweb</v>
      </c>
      <c r="D599" s="4" t="str">
        <f ca="1">IFERROR(__xludf.DUMMYFUNCTION("""COMPUTED_VALUE"""),"https://fitweb.cz")</f>
        <v>https://fitweb.cz</v>
      </c>
      <c r="E599" s="3" t="str">
        <f ca="1">IFERROR(__xludf.DUMMYFUNCTION("""COMPUTED_VALUE"""),"celý web")</f>
        <v>celý web</v>
      </c>
      <c r="F599" s="4" t="str">
        <f ca="1">IFERROR(__xludf.DUMMYFUNCTION("""COMPUTED_VALUE"""),"https://fitweb.cz")</f>
        <v>https://fitweb.cz</v>
      </c>
      <c r="G599" s="3" t="str">
        <f ca="1">IFERROR(__xludf.DUMMYFUNCTION("""COMPUTED_VALUE"""),"mobilní viněta high season")</f>
        <v>mobilní viněta high season</v>
      </c>
      <c r="H599" s="3">
        <f ca="1">IFERROR(__xludf.DUMMYFUNCTION("""COMPUTED_VALUE"""),7)</f>
        <v>7</v>
      </c>
      <c r="I599" s="5">
        <f ca="1">IFERROR(__xludf.DUMMYFUNCTION("""COMPUTED_VALUE"""),1000)</f>
        <v>1000</v>
      </c>
      <c r="J599" s="5">
        <f ca="1">IFERROR(__xludf.DUMMYFUNCTION("""COMPUTED_VALUE"""),1590)</f>
        <v>1590</v>
      </c>
      <c r="K599" s="3"/>
      <c r="L599" s="3" t="str">
        <f ca="1">IFERROR(__xludf.DUMMYFUNCTION("""COMPUTED_VALUE"""),"Cost per period")</f>
        <v>Cost per period</v>
      </c>
      <c r="M599" s="3"/>
      <c r="N599" s="3"/>
      <c r="O599" s="3" t="str">
        <f ca="1">IFERROR(__xludf.DUMMYFUNCTION("""COMPUTED_VALUE"""),"600")</f>
        <v>600</v>
      </c>
      <c r="P599" s="3" t="str">
        <f ca="1">IFERROR(__xludf.DUMMYFUNCTION("""COMPUTED_VALUE"""),"800")</f>
        <v>800</v>
      </c>
      <c r="Q599" s="3" t="str">
        <f ca="1">IFERROR(__xludf.DUMMYFUNCTION("""COMPUTED_VALUE"""),"300x250 nebo 600x800")</f>
        <v>300x250 nebo 600x800</v>
      </c>
      <c r="R599" s="3"/>
      <c r="S599" s="3" t="str">
        <f ca="1">IFERROR(__xludf.DUMMYFUNCTION("""COMPUTED_VALUE"""),"100")</f>
        <v>100</v>
      </c>
      <c r="T599" s="3"/>
      <c r="U599" s="3" t="str">
        <f ca="1">IFERROR(__xludf.DUMMYFUNCTION("""COMPUTED_VALUE"""),"banner standard")</f>
        <v>banner standard</v>
      </c>
      <c r="V599" s="3"/>
      <c r="W599" s="4" t="str">
        <f ca="1">IFERROR(__xludf.DUMMYFUNCTION("""COMPUTED_VALUE"""),"https://reklama.cncenter.cz/Online/mobilni-vineta")</f>
        <v>https://reklama.cncenter.cz/Online/mobilni-vineta</v>
      </c>
      <c r="X599" s="3"/>
      <c r="Y599" s="3"/>
      <c r="Z599" s="3" t="str">
        <f ca="1">IFERROR(__xludf.DUMMYFUNCTION("""COMPUTED_VALUE"""),"podklady@cncenter.cz")</f>
        <v>podklady@cncenter.cz</v>
      </c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 t="str">
        <f ca="1">IFERROR(__xludf.DUMMYFUNCTION("""COMPUTED_VALUE"""),"mobile")</f>
        <v>mobile</v>
      </c>
      <c r="AO599" s="3"/>
      <c r="AP599" s="3"/>
      <c r="AQ599" s="3"/>
      <c r="AR599" s="3"/>
      <c r="AS599" s="3"/>
      <c r="AT599" s="3"/>
      <c r="AU599" s="3" t="str">
        <f ca="1">IFERROR(__xludf.DUMMYFUNCTION("""COMPUTED_VALUE"""),"mobilní viněta")</f>
        <v>mobilní viněta</v>
      </c>
    </row>
    <row r="600" spans="1:47" x14ac:dyDescent="0.3">
      <c r="A600" s="3">
        <f ca="1"/>
        <v>2346826</v>
      </c>
      <c r="B600" s="3" t="str">
        <f ca="1"/>
        <v>CZECH NEWS CENTER a. s.</v>
      </c>
      <c r="C600" s="3" t="str">
        <f ca="1">IFERROR(__xludf.DUMMYFUNCTION("""COMPUTED_VALUE"""),"Fitweb")</f>
        <v>Fitweb</v>
      </c>
      <c r="D600" s="4" t="str">
        <f ca="1">IFERROR(__xludf.DUMMYFUNCTION("""COMPUTED_VALUE"""),"https://fitweb.cz")</f>
        <v>https://fitweb.cz</v>
      </c>
      <c r="E600" s="3" t="str">
        <f ca="1">IFERROR(__xludf.DUMMYFUNCTION("""COMPUTED_VALUE"""),"celý web")</f>
        <v>celý web</v>
      </c>
      <c r="F600" s="4" t="str">
        <f ca="1">IFERROR(__xludf.DUMMYFUNCTION("""COMPUTED_VALUE"""),"https://fitweb.cz")</f>
        <v>https://fitweb.cz</v>
      </c>
      <c r="G600" s="3" t="str">
        <f ca="1">IFERROR(__xludf.DUMMYFUNCTION("""COMPUTED_VALUE"""),"nativní rectangle cross-device high season")</f>
        <v>nativní rectangle cross-device high season</v>
      </c>
      <c r="H600" s="3">
        <f ca="1">IFERROR(__xludf.DUMMYFUNCTION("""COMPUTED_VALUE"""),7)</f>
        <v>7</v>
      </c>
      <c r="I600" s="5">
        <f ca="1">IFERROR(__xludf.DUMMYFUNCTION("""COMPUTED_VALUE"""),1000)</f>
        <v>1000</v>
      </c>
      <c r="J600" s="5">
        <f ca="1">IFERROR(__xludf.DUMMYFUNCTION("""COMPUTED_VALUE"""),360)</f>
        <v>360</v>
      </c>
      <c r="K600" s="3"/>
      <c r="L600" s="3" t="str">
        <f ca="1">IFERROR(__xludf.DUMMYFUNCTION("""COMPUTED_VALUE"""),"Cost per period")</f>
        <v>Cost per period</v>
      </c>
      <c r="M600" s="3"/>
      <c r="N600" s="3"/>
      <c r="O600" s="3" t="str">
        <f ca="1">IFERROR(__xludf.DUMMYFUNCTION("""COMPUTED_VALUE"""),"640")</f>
        <v>640</v>
      </c>
      <c r="P600" s="3" t="str">
        <f ca="1">IFERROR(__xludf.DUMMYFUNCTION("""COMPUTED_VALUE"""),"335, 640")</f>
        <v>335, 640</v>
      </c>
      <c r="Q600" s="3" t="str">
        <f ca="1">IFERROR(__xludf.DUMMYFUNCTION("""COMPUTED_VALUE"""),"640x640 a 640x335 + text + logo")</f>
        <v>640x640 a 640x335 + text + logo</v>
      </c>
      <c r="R600" s="3"/>
      <c r="S600" s="3" t="str">
        <f ca="1">IFERROR(__xludf.DUMMYFUNCTION("""COMPUTED_VALUE"""),"45")</f>
        <v>45</v>
      </c>
      <c r="T600" s="3"/>
      <c r="U600" s="3" t="str">
        <f ca="1">IFERROR(__xludf.DUMMYFUNCTION("""COMPUTED_VALUE"""),"nativní reklama")</f>
        <v>nativní reklama</v>
      </c>
      <c r="V600" s="3"/>
      <c r="W600" s="4" t="str">
        <f ca="1">IFERROR(__xludf.DUMMYFUNCTION("""COMPUTED_VALUE"""),"https://reklama.cncenter.cz/Online/nativni-rectangle-cross-device")</f>
        <v>https://reklama.cncenter.cz/Online/nativni-rectangle-cross-device</v>
      </c>
      <c r="X600" s="3"/>
      <c r="Y600" s="3"/>
      <c r="Z600" s="3" t="str">
        <f ca="1">IFERROR(__xludf.DUMMYFUNCTION("""COMPUTED_VALUE"""),"podklady@cncenter.cz")</f>
        <v>podklady@cncenter.cz</v>
      </c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 t="str">
        <f ca="1">IFERROR(__xludf.DUMMYFUNCTION("""COMPUTED_VALUE"""),"cross-device")</f>
        <v>cross-device</v>
      </c>
      <c r="AO600" s="3"/>
      <c r="AP600" s="3"/>
      <c r="AQ600" s="3"/>
      <c r="AR600" s="3"/>
      <c r="AS600" s="3"/>
      <c r="AT600" s="3"/>
      <c r="AU600" s="3" t="str">
        <f ca="1">IFERROR(__xludf.DUMMYFUNCTION("""COMPUTED_VALUE"""),"nativní rectangle cross-device")</f>
        <v>nativní rectangle cross-device</v>
      </c>
    </row>
    <row r="601" spans="1:47" x14ac:dyDescent="0.3">
      <c r="A601" s="3">
        <f ca="1"/>
        <v>2346826</v>
      </c>
      <c r="B601" s="3" t="str">
        <f ca="1"/>
        <v>CZECH NEWS CENTER a. s.</v>
      </c>
      <c r="C601" s="3" t="str">
        <f ca="1">IFERROR(__xludf.DUMMYFUNCTION("""COMPUTED_VALUE"""),"Fitweb")</f>
        <v>Fitweb</v>
      </c>
      <c r="D601" s="4" t="str">
        <f ca="1">IFERROR(__xludf.DUMMYFUNCTION("""COMPUTED_VALUE"""),"https://fitweb.cz")</f>
        <v>https://fitweb.cz</v>
      </c>
      <c r="E601" s="3" t="str">
        <f ca="1">IFERROR(__xludf.DUMMYFUNCTION("""COMPUTED_VALUE"""),"celý web")</f>
        <v>celý web</v>
      </c>
      <c r="F601" s="4" t="str">
        <f ca="1">IFERROR(__xludf.DUMMYFUNCTION("""COMPUTED_VALUE"""),"https://fitweb.cz")</f>
        <v>https://fitweb.cz</v>
      </c>
      <c r="G601" s="3" t="str">
        <f ca="1">IFERROR(__xludf.DUMMYFUNCTION("""COMPUTED_VALUE"""),"outstream high season")</f>
        <v>outstream high season</v>
      </c>
      <c r="H601" s="3">
        <f ca="1">IFERROR(__xludf.DUMMYFUNCTION("""COMPUTED_VALUE"""),7)</f>
        <v>7</v>
      </c>
      <c r="I601" s="5">
        <f ca="1">IFERROR(__xludf.DUMMYFUNCTION("""COMPUTED_VALUE"""),1000)</f>
        <v>1000</v>
      </c>
      <c r="J601" s="5">
        <f ca="1">IFERROR(__xludf.DUMMYFUNCTION("""COMPUTED_VALUE"""),450)</f>
        <v>450</v>
      </c>
      <c r="K601" s="3"/>
      <c r="L601" s="3" t="str">
        <f ca="1">IFERROR(__xludf.DUMMYFUNCTION("""COMPUTED_VALUE"""),"Cost per period")</f>
        <v>Cost per period</v>
      </c>
      <c r="M601" s="3"/>
      <c r="N601" s="3"/>
      <c r="O601" s="3" t="str">
        <f ca="1">IFERROR(__xludf.DUMMYFUNCTION("""COMPUTED_VALUE"""),"1280")</f>
        <v>1280</v>
      </c>
      <c r="P601" s="3" t="str">
        <f ca="1">IFERROR(__xludf.DUMMYFUNCTION("""COMPUTED_VALUE"""),"720")</f>
        <v>720</v>
      </c>
      <c r="Q601" s="3" t="str">
        <f ca="1">IFERROR(__xludf.DUMMYFUNCTION("""COMPUTED_VALUE"""),"16:9")</f>
        <v>16:9</v>
      </c>
      <c r="R601" s="3"/>
      <c r="S601" s="3" t="str">
        <f ca="1">IFERROR(__xludf.DUMMYFUNCTION("""COMPUTED_VALUE"""),"100")</f>
        <v>100</v>
      </c>
      <c r="T601" s="3"/>
      <c r="U601" s="3" t="str">
        <f ca="1">IFERROR(__xludf.DUMMYFUNCTION("""COMPUTED_VALUE"""),"videospot")</f>
        <v>videospot</v>
      </c>
      <c r="V601" s="3"/>
      <c r="W601" s="4" t="str">
        <f ca="1">IFERROR(__xludf.DUMMYFUNCTION("""COMPUTED_VALUE"""),"https://reklama.cncenter.cz/Online/Outstream")</f>
        <v>https://reklama.cncenter.cz/Online/Outstream</v>
      </c>
      <c r="X601" s="3"/>
      <c r="Y601" s="3"/>
      <c r="Z601" s="3" t="str">
        <f ca="1">IFERROR(__xludf.DUMMYFUNCTION("""COMPUTED_VALUE"""),"podklady@cncenter.cz")</f>
        <v>podklady@cncenter.cz</v>
      </c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 t="str">
        <f ca="1">IFERROR(__xludf.DUMMYFUNCTION("""COMPUTED_VALUE"""),"cross-device")</f>
        <v>cross-device</v>
      </c>
      <c r="AO601" s="3"/>
      <c r="AP601" s="3"/>
      <c r="AQ601" s="3"/>
      <c r="AR601" s="3"/>
      <c r="AS601" s="3"/>
      <c r="AT601" s="3"/>
      <c r="AU601" s="3" t="str">
        <f ca="1">IFERROR(__xludf.DUMMYFUNCTION("""COMPUTED_VALUE"""),"outstream")</f>
        <v>outstream</v>
      </c>
    </row>
    <row r="602" spans="1:47" x14ac:dyDescent="0.3">
      <c r="A602" s="3">
        <f ca="1"/>
        <v>2346826</v>
      </c>
      <c r="B602" s="3" t="str">
        <f ca="1"/>
        <v>CZECH NEWS CENTER a. s.</v>
      </c>
      <c r="C602" s="3" t="str">
        <f ca="1">IFERROR(__xludf.DUMMYFUNCTION("""COMPUTED_VALUE"""),"FOMO")</f>
        <v>FOMO</v>
      </c>
      <c r="D602" s="4" t="str">
        <f ca="1">IFERROR(__xludf.DUMMYFUNCTION("""COMPUTED_VALUE"""),"https://heyfomo.cz/")</f>
        <v>https://heyfomo.cz/</v>
      </c>
      <c r="E602" s="3" t="str">
        <f ca="1">IFERROR(__xludf.DUMMYFUNCTION("""COMPUTED_VALUE"""),"celý web")</f>
        <v>celý web</v>
      </c>
      <c r="F602" s="4" t="str">
        <f ca="1">IFERROR(__xludf.DUMMYFUNCTION("""COMPUTED_VALUE"""),"https://heyfomo.cz/")</f>
        <v>https://heyfomo.cz/</v>
      </c>
      <c r="G602" s="3" t="str">
        <f ca="1">IFERROR(__xludf.DUMMYFUNCTION("""COMPUTED_VALUE"""),"Advertorial high season")</f>
        <v>Advertorial high season</v>
      </c>
      <c r="H602" s="3">
        <f ca="1">IFERROR(__xludf.DUMMYFUNCTION("""COMPUTED_VALUE"""),1)</f>
        <v>1</v>
      </c>
      <c r="I602" s="5">
        <f ca="1">IFERROR(__xludf.DUMMYFUNCTION("""COMPUTED_VALUE"""),1)</f>
        <v>1</v>
      </c>
      <c r="J602" s="5">
        <f ca="1">IFERROR(__xludf.DUMMYFUNCTION("""COMPUTED_VALUE"""),90000)</f>
        <v>90000</v>
      </c>
      <c r="K602" s="3"/>
      <c r="L602" s="3" t="str">
        <f ca="1">IFERROR(__xludf.DUMMYFUNCTION("""COMPUTED_VALUE"""),"Cost per instance")</f>
        <v>Cost per instance</v>
      </c>
      <c r="M602" s="3"/>
      <c r="N602" s="3"/>
      <c r="O602" s="3"/>
      <c r="P602" s="3"/>
      <c r="Q602" s="3"/>
      <c r="R602" s="3"/>
      <c r="S602" s="3" t="str">
        <f ca="1">IFERROR(__xludf.DUMMYFUNCTION("""COMPUTED_VALUE"""),"100")</f>
        <v>100</v>
      </c>
      <c r="T602" s="3"/>
      <c r="U602" s="3" t="str">
        <f ca="1">IFERROR(__xludf.DUMMYFUNCTION("""COMPUTED_VALUE"""),"pr článek")</f>
        <v>pr článek</v>
      </c>
      <c r="V602" s="3"/>
      <c r="W602" s="3"/>
      <c r="X602" s="3"/>
      <c r="Y602" s="3"/>
      <c r="Z602" s="3" t="str">
        <f ca="1">IFERROR(__xludf.DUMMYFUNCTION("""COMPUTED_VALUE"""),"podklady@cncenter.cz")</f>
        <v>podklady@cncenter.cz</v>
      </c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 t="str">
        <f ca="1">IFERROR(__xludf.DUMMYFUNCTION("""COMPUTED_VALUE"""),"cross-device")</f>
        <v>cross-device</v>
      </c>
      <c r="AO602" s="3"/>
      <c r="AP602" s="3"/>
      <c r="AQ602" s="3"/>
      <c r="AR602" s="3"/>
      <c r="AS602" s="3"/>
      <c r="AT602" s="3"/>
      <c r="AU602" s="3" t="str">
        <f ca="1">IFERROR(__xludf.DUMMYFUNCTION("""COMPUTED_VALUE"""),"Advertorial")</f>
        <v>Advertorial</v>
      </c>
    </row>
    <row r="603" spans="1:47" x14ac:dyDescent="0.3">
      <c r="A603" s="3">
        <f ca="1"/>
        <v>2346826</v>
      </c>
      <c r="B603" s="3" t="str">
        <f ca="1"/>
        <v>CZECH NEWS CENTER a. s.</v>
      </c>
      <c r="C603" s="3" t="str">
        <f ca="1">IFERROR(__xludf.DUMMYFUNCTION("""COMPUTED_VALUE"""),"FOMO")</f>
        <v>FOMO</v>
      </c>
      <c r="D603" s="4" t="str">
        <f ca="1">IFERROR(__xludf.DUMMYFUNCTION("""COMPUTED_VALUE"""),"https://heyfomo.cz/")</f>
        <v>https://heyfomo.cz/</v>
      </c>
      <c r="E603" s="3" t="str">
        <f ca="1">IFERROR(__xludf.DUMMYFUNCTION("""COMPUTED_VALUE"""),"celý web")</f>
        <v>celý web</v>
      </c>
      <c r="F603" s="4" t="str">
        <f ca="1">IFERROR(__xludf.DUMMYFUNCTION("""COMPUTED_VALUE"""),"https://heyfomo.cz/")</f>
        <v>https://heyfomo.cz/</v>
      </c>
      <c r="G603" s="3" t="str">
        <f ca="1">IFERROR(__xludf.DUMMYFUNCTION("""COMPUTED_VALUE"""),"dokoupení proma o 2 týdny - 10 000 PV *** high season")</f>
        <v>dokoupení proma o 2 týdny - 10 000 PV *** high season</v>
      </c>
      <c r="H603" s="3">
        <f ca="1">IFERROR(__xludf.DUMMYFUNCTION("""COMPUTED_VALUE"""),1)</f>
        <v>1</v>
      </c>
      <c r="I603" s="5">
        <f ca="1">IFERROR(__xludf.DUMMYFUNCTION("""COMPUTED_VALUE"""),1)</f>
        <v>1</v>
      </c>
      <c r="J603" s="5">
        <f ca="1">IFERROR(__xludf.DUMMYFUNCTION("""COMPUTED_VALUE"""),60000)</f>
        <v>60000</v>
      </c>
      <c r="K603" s="3"/>
      <c r="L603" s="3" t="str">
        <f ca="1">IFERROR(__xludf.DUMMYFUNCTION("""COMPUTED_VALUE"""),"Cost per instance")</f>
        <v>Cost per instance</v>
      </c>
      <c r="M603" s="3"/>
      <c r="N603" s="3"/>
      <c r="O603" s="3"/>
      <c r="P603" s="3"/>
      <c r="Q603" s="3"/>
      <c r="R603" s="3"/>
      <c r="S603" s="3" t="str">
        <f ca="1">IFERROR(__xludf.DUMMYFUNCTION("""COMPUTED_VALUE"""),"100")</f>
        <v>100</v>
      </c>
      <c r="T603" s="3"/>
      <c r="U603" s="3" t="str">
        <f ca="1">IFERROR(__xludf.DUMMYFUNCTION("""COMPUTED_VALUE"""),"microsite")</f>
        <v>microsite</v>
      </c>
      <c r="V603" s="3"/>
      <c r="W603" s="3"/>
      <c r="X603" s="3"/>
      <c r="Y603" s="3"/>
      <c r="Z603" s="3" t="str">
        <f ca="1">IFERROR(__xludf.DUMMYFUNCTION("""COMPUTED_VALUE"""),"podklady@cncenter.cz")</f>
        <v>podklady@cncenter.cz</v>
      </c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 t="str">
        <f ca="1">IFERROR(__xludf.DUMMYFUNCTION("""COMPUTED_VALUE"""),"cross-device")</f>
        <v>cross-device</v>
      </c>
      <c r="AO603" s="3"/>
      <c r="AP603" s="3"/>
      <c r="AQ603" s="3"/>
      <c r="AR603" s="3"/>
      <c r="AS603" s="3"/>
      <c r="AT603" s="3"/>
      <c r="AU603" s="3" t="str">
        <f ca="1">IFERROR(__xludf.DUMMYFUNCTION("""COMPUTED_VALUE"""),"dokoupení proma o 2 týdny - 10 000 PV ***")</f>
        <v>dokoupení proma o 2 týdny - 10 000 PV ***</v>
      </c>
    </row>
    <row r="604" spans="1:47" x14ac:dyDescent="0.3">
      <c r="A604" s="3">
        <f ca="1"/>
        <v>2346826</v>
      </c>
      <c r="B604" s="3" t="str">
        <f ca="1"/>
        <v>CZECH NEWS CENTER a. s.</v>
      </c>
      <c r="C604" s="3" t="str">
        <f ca="1">IFERROR(__xludf.DUMMYFUNCTION("""COMPUTED_VALUE"""),"FOMO")</f>
        <v>FOMO</v>
      </c>
      <c r="D604" s="4" t="str">
        <f ca="1">IFERROR(__xludf.DUMMYFUNCTION("""COMPUTED_VALUE"""),"https://heyfomo.cz/")</f>
        <v>https://heyfomo.cz/</v>
      </c>
      <c r="E604" s="3" t="str">
        <f ca="1">IFERROR(__xludf.DUMMYFUNCTION("""COMPUTED_VALUE"""),"celý web")</f>
        <v>celý web</v>
      </c>
      <c r="F604" s="4" t="str">
        <f ca="1">IFERROR(__xludf.DUMMYFUNCTION("""COMPUTED_VALUE"""),"https://heyfomo.cz/")</f>
        <v>https://heyfomo.cz/</v>
      </c>
      <c r="G604" s="3" t="str">
        <f ca="1">IFERROR(__xludf.DUMMYFUNCTION("""COMPUTED_VALUE"""),"Native Standard high season")</f>
        <v>Native Standard high season</v>
      </c>
      <c r="H604" s="3">
        <f ca="1">IFERROR(__xludf.DUMMYFUNCTION("""COMPUTED_VALUE"""),1)</f>
        <v>1</v>
      </c>
      <c r="I604" s="5">
        <f ca="1">IFERROR(__xludf.DUMMYFUNCTION("""COMPUTED_VALUE"""),1)</f>
        <v>1</v>
      </c>
      <c r="J604" s="5">
        <f ca="1">IFERROR(__xludf.DUMMYFUNCTION("""COMPUTED_VALUE"""),330000)</f>
        <v>330000</v>
      </c>
      <c r="K604" s="3"/>
      <c r="L604" s="3" t="str">
        <f ca="1">IFERROR(__xludf.DUMMYFUNCTION("""COMPUTED_VALUE"""),"Cost per instance")</f>
        <v>Cost per instance</v>
      </c>
      <c r="M604" s="3"/>
      <c r="N604" s="3"/>
      <c r="O604" s="3"/>
      <c r="P604" s="3"/>
      <c r="Q604" s="3"/>
      <c r="R604" s="3"/>
      <c r="S604" s="3" t="str">
        <f ca="1">IFERROR(__xludf.DUMMYFUNCTION("""COMPUTED_VALUE"""),"100")</f>
        <v>100</v>
      </c>
      <c r="T604" s="3"/>
      <c r="U604" s="3" t="str">
        <f ca="1">IFERROR(__xludf.DUMMYFUNCTION("""COMPUTED_VALUE"""),"microsite")</f>
        <v>microsite</v>
      </c>
      <c r="V604" s="3"/>
      <c r="W604" s="3"/>
      <c r="X604" s="3"/>
      <c r="Y604" s="3"/>
      <c r="Z604" s="3" t="str">
        <f ca="1">IFERROR(__xludf.DUMMYFUNCTION("""COMPUTED_VALUE"""),"podklady@cncenter.cz")</f>
        <v>podklady@cncenter.cz</v>
      </c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 t="str">
        <f ca="1">IFERROR(__xludf.DUMMYFUNCTION("""COMPUTED_VALUE"""),"cross-device")</f>
        <v>cross-device</v>
      </c>
      <c r="AO604" s="3"/>
      <c r="AP604" s="3"/>
      <c r="AQ604" s="3"/>
      <c r="AR604" s="3"/>
      <c r="AS604" s="3"/>
      <c r="AT604" s="3"/>
      <c r="AU604" s="3" t="str">
        <f ca="1">IFERROR(__xludf.DUMMYFUNCTION("""COMPUTED_VALUE"""),"Native Standard")</f>
        <v>Native Standard</v>
      </c>
    </row>
    <row r="605" spans="1:47" x14ac:dyDescent="0.3">
      <c r="A605" s="3">
        <f ca="1"/>
        <v>2346826</v>
      </c>
      <c r="B605" s="3" t="str">
        <f ca="1"/>
        <v>CZECH NEWS CENTER a. s.</v>
      </c>
      <c r="C605" s="3" t="str">
        <f ca="1">IFERROR(__xludf.DUMMYFUNCTION("""COMPUTED_VALUE"""),"FOMO")</f>
        <v>FOMO</v>
      </c>
      <c r="D605" s="4" t="str">
        <f ca="1">IFERROR(__xludf.DUMMYFUNCTION("""COMPUTED_VALUE"""),"https://heyfomo.cz/")</f>
        <v>https://heyfomo.cz/</v>
      </c>
      <c r="E605" s="3" t="str">
        <f ca="1">IFERROR(__xludf.DUMMYFUNCTION("""COMPUTED_VALUE"""),"celý web")</f>
        <v>celý web</v>
      </c>
      <c r="F605" s="4" t="str">
        <f ca="1">IFERROR(__xludf.DUMMYFUNCTION("""COMPUTED_VALUE"""),"https://heyfomo.cz/")</f>
        <v>https://heyfomo.cz/</v>
      </c>
      <c r="G605" s="3" t="str">
        <f ca="1">IFERROR(__xludf.DUMMYFUNCTION("""COMPUTED_VALUE"""),"PR článek high season")</f>
        <v>PR článek high season</v>
      </c>
      <c r="H605" s="3">
        <f ca="1">IFERROR(__xludf.DUMMYFUNCTION("""COMPUTED_VALUE"""),1)</f>
        <v>1</v>
      </c>
      <c r="I605" s="5">
        <f ca="1">IFERROR(__xludf.DUMMYFUNCTION("""COMPUTED_VALUE"""),1)</f>
        <v>1</v>
      </c>
      <c r="J605" s="5">
        <f ca="1">IFERROR(__xludf.DUMMYFUNCTION("""COMPUTED_VALUE"""),50000)</f>
        <v>50000</v>
      </c>
      <c r="K605" s="3"/>
      <c r="L605" s="3" t="str">
        <f ca="1">IFERROR(__xludf.DUMMYFUNCTION("""COMPUTED_VALUE"""),"Cost per instance")</f>
        <v>Cost per instance</v>
      </c>
      <c r="M605" s="3"/>
      <c r="N605" s="3"/>
      <c r="O605" s="3"/>
      <c r="P605" s="3"/>
      <c r="Q605" s="3"/>
      <c r="R605" s="3"/>
      <c r="S605" s="3" t="str">
        <f ca="1">IFERROR(__xludf.DUMMYFUNCTION("""COMPUTED_VALUE"""),"100")</f>
        <v>100</v>
      </c>
      <c r="T605" s="3"/>
      <c r="U605" s="3" t="str">
        <f ca="1">IFERROR(__xludf.DUMMYFUNCTION("""COMPUTED_VALUE"""),"pr článek")</f>
        <v>pr článek</v>
      </c>
      <c r="V605" s="3"/>
      <c r="W605" s="4" t="str">
        <f ca="1">IFERROR(__xludf.DUMMYFUNCTION("""COMPUTED_VALUE"""),"https://reklama.cncenter.cz/?ads=PR%2520%25C4%258Dl%25C3%25A1nky")</f>
        <v>https://reklama.cncenter.cz/?ads=PR%2520%25C4%258Dl%25C3%25A1nky</v>
      </c>
      <c r="X605" s="3"/>
      <c r="Y605" s="3"/>
      <c r="Z605" s="3" t="str">
        <f ca="1">IFERROR(__xludf.DUMMYFUNCTION("""COMPUTED_VALUE"""),"podklady@cncenter.cz")</f>
        <v>podklady@cncenter.cz</v>
      </c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 t="str">
        <f ca="1">IFERROR(__xludf.DUMMYFUNCTION("""COMPUTED_VALUE"""),"cross-device")</f>
        <v>cross-device</v>
      </c>
      <c r="AO605" s="3"/>
      <c r="AP605" s="3"/>
      <c r="AQ605" s="3"/>
      <c r="AR605" s="3"/>
      <c r="AS605" s="3"/>
      <c r="AT605" s="3"/>
      <c r="AU605" s="3" t="str">
        <f ca="1">IFERROR(__xludf.DUMMYFUNCTION("""COMPUTED_VALUE"""),"PR článek")</f>
        <v>PR článek</v>
      </c>
    </row>
    <row r="606" spans="1:47" x14ac:dyDescent="0.3">
      <c r="A606" s="3">
        <f ca="1"/>
        <v>2346826</v>
      </c>
      <c r="B606" s="3" t="str">
        <f ca="1"/>
        <v>CZECH NEWS CENTER a. s.</v>
      </c>
      <c r="C606" s="3" t="str">
        <f ca="1">IFERROR(__xludf.DUMMYFUNCTION("""COMPUTED_VALUE"""),"FOMO")</f>
        <v>FOMO</v>
      </c>
      <c r="D606" s="4" t="str">
        <f ca="1">IFERROR(__xludf.DUMMYFUNCTION("""COMPUTED_VALUE"""),"https://heyfomo.cz/")</f>
        <v>https://heyfomo.cz/</v>
      </c>
      <c r="E606" s="3" t="str">
        <f ca="1">IFERROR(__xludf.DUMMYFUNCTION("""COMPUTED_VALUE"""),"celý web")</f>
        <v>celý web</v>
      </c>
      <c r="F606" s="4" t="str">
        <f ca="1">IFERROR(__xludf.DUMMYFUNCTION("""COMPUTED_VALUE"""),"https://heyfomo.cz/")</f>
        <v>https://heyfomo.cz/</v>
      </c>
      <c r="G606" s="3" t="str">
        <f ca="1">IFERROR(__xludf.DUMMYFUNCTION("""COMPUTED_VALUE"""),"Prodloužení existující microsite, bez úprav high season")</f>
        <v>Prodloužení existující microsite, bez úprav high season</v>
      </c>
      <c r="H606" s="3">
        <f ca="1">IFERROR(__xludf.DUMMYFUNCTION("""COMPUTED_VALUE"""),1)</f>
        <v>1</v>
      </c>
      <c r="I606" s="5">
        <f ca="1">IFERROR(__xludf.DUMMYFUNCTION("""COMPUTED_VALUE"""),1)</f>
        <v>1</v>
      </c>
      <c r="J606" s="5">
        <f ca="1">IFERROR(__xludf.DUMMYFUNCTION("""COMPUTED_VALUE"""),15000)</f>
        <v>15000</v>
      </c>
      <c r="K606" s="3"/>
      <c r="L606" s="3" t="str">
        <f ca="1">IFERROR(__xludf.DUMMYFUNCTION("""COMPUTED_VALUE"""),"Cost per instance")</f>
        <v>Cost per instance</v>
      </c>
      <c r="M606" s="3"/>
      <c r="N606" s="3"/>
      <c r="O606" s="3"/>
      <c r="P606" s="3"/>
      <c r="Q606" s="3"/>
      <c r="R606" s="3"/>
      <c r="S606" s="3" t="str">
        <f ca="1">IFERROR(__xludf.DUMMYFUNCTION("""COMPUTED_VALUE"""),"100")</f>
        <v>100</v>
      </c>
      <c r="T606" s="3"/>
      <c r="U606" s="3" t="str">
        <f ca="1">IFERROR(__xludf.DUMMYFUNCTION("""COMPUTED_VALUE"""),"microsite")</f>
        <v>microsite</v>
      </c>
      <c r="V606" s="3"/>
      <c r="W606" s="3"/>
      <c r="X606" s="3"/>
      <c r="Y606" s="3"/>
      <c r="Z606" s="3" t="str">
        <f ca="1">IFERROR(__xludf.DUMMYFUNCTION("""COMPUTED_VALUE"""),"podklady@cncenter.cz")</f>
        <v>podklady@cncenter.cz</v>
      </c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 t="str">
        <f ca="1">IFERROR(__xludf.DUMMYFUNCTION("""COMPUTED_VALUE"""),"cross-device")</f>
        <v>cross-device</v>
      </c>
      <c r="AO606" s="3"/>
      <c r="AP606" s="3"/>
      <c r="AQ606" s="3"/>
      <c r="AR606" s="3"/>
      <c r="AS606" s="3"/>
      <c r="AT606" s="3"/>
      <c r="AU606" s="3" t="str">
        <f ca="1">IFERROR(__xludf.DUMMYFUNCTION("""COMPUTED_VALUE"""),"Prodloužení existující microsite, bez úprav")</f>
        <v>Prodloužení existující microsite, bez úprav</v>
      </c>
    </row>
    <row r="607" spans="1:47" x14ac:dyDescent="0.3">
      <c r="A607" s="3">
        <f ca="1"/>
        <v>2346826</v>
      </c>
      <c r="B607" s="3" t="str">
        <f ca="1"/>
        <v>CZECH NEWS CENTER a. s.</v>
      </c>
      <c r="C607" s="3" t="str">
        <f ca="1">IFERROR(__xludf.DUMMYFUNCTION("""COMPUTED_VALUE"""),"FOMO")</f>
        <v>FOMO</v>
      </c>
      <c r="D607" s="4" t="str">
        <f ca="1">IFERROR(__xludf.DUMMYFUNCTION("""COMPUTED_VALUE"""),"https://heyfomo.cz/")</f>
        <v>https://heyfomo.cz/</v>
      </c>
      <c r="E607" s="3" t="str">
        <f ca="1">IFERROR(__xludf.DUMMYFUNCTION("""COMPUTED_VALUE"""),"celý web")</f>
        <v>celý web</v>
      </c>
      <c r="F607" s="4" t="str">
        <f ca="1">IFERROR(__xludf.DUMMYFUNCTION("""COMPUTED_VALUE"""),"https://heyfomo.cz/")</f>
        <v>https://heyfomo.cz/</v>
      </c>
      <c r="G607" s="3" t="str">
        <f ca="1">IFERROR(__xludf.DUMMYFUNCTION("""COMPUTED_VALUE"""),"Prodloužení existující microsite, bez úprav high season")</f>
        <v>Prodloužení existující microsite, bez úprav high season</v>
      </c>
      <c r="H607" s="3">
        <f ca="1">IFERROR(__xludf.DUMMYFUNCTION("""COMPUTED_VALUE"""),1)</f>
        <v>1</v>
      </c>
      <c r="I607" s="5">
        <f ca="1">IFERROR(__xludf.DUMMYFUNCTION("""COMPUTED_VALUE"""),1)</f>
        <v>1</v>
      </c>
      <c r="J607" s="5">
        <f ca="1">IFERROR(__xludf.DUMMYFUNCTION("""COMPUTED_VALUE"""),15000)</f>
        <v>15000</v>
      </c>
      <c r="K607" s="3"/>
      <c r="L607" s="3" t="str">
        <f ca="1">IFERROR(__xludf.DUMMYFUNCTION("""COMPUTED_VALUE"""),"Cost per instance")</f>
        <v>Cost per instance</v>
      </c>
      <c r="M607" s="3"/>
      <c r="N607" s="3"/>
      <c r="O607" s="3"/>
      <c r="P607" s="3"/>
      <c r="Q607" s="3"/>
      <c r="R607" s="3"/>
      <c r="S607" s="3" t="str">
        <f ca="1">IFERROR(__xludf.DUMMYFUNCTION("""COMPUTED_VALUE"""),"100")</f>
        <v>100</v>
      </c>
      <c r="T607" s="3"/>
      <c r="U607" s="3" t="str">
        <f ca="1">IFERROR(__xludf.DUMMYFUNCTION("""COMPUTED_VALUE"""),"microsite")</f>
        <v>microsite</v>
      </c>
      <c r="V607" s="3"/>
      <c r="W607" s="3"/>
      <c r="X607" s="3"/>
      <c r="Y607" s="3"/>
      <c r="Z607" s="3" t="str">
        <f ca="1">IFERROR(__xludf.DUMMYFUNCTION("""COMPUTED_VALUE"""),"podklady@cncenter.cz")</f>
        <v>podklady@cncenter.cz</v>
      </c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 t="str">
        <f ca="1">IFERROR(__xludf.DUMMYFUNCTION("""COMPUTED_VALUE"""),"cross-device")</f>
        <v>cross-device</v>
      </c>
      <c r="AO607" s="3"/>
      <c r="AP607" s="3"/>
      <c r="AQ607" s="3"/>
      <c r="AR607" s="3"/>
      <c r="AS607" s="3"/>
      <c r="AT607" s="3"/>
      <c r="AU607" s="3" t="str">
        <f ca="1">IFERROR(__xludf.DUMMYFUNCTION("""COMPUTED_VALUE"""),"Prodloužení existující microsite, bez úprav")</f>
        <v>Prodloužení existující microsite, bez úprav</v>
      </c>
    </row>
    <row r="608" spans="1:47" x14ac:dyDescent="0.3">
      <c r="A608" s="3">
        <f ca="1"/>
        <v>2346826</v>
      </c>
      <c r="B608" s="3" t="str">
        <f ca="1"/>
        <v>CZECH NEWS CENTER a. s.</v>
      </c>
      <c r="C608" s="3" t="str">
        <f ca="1">IFERROR(__xludf.DUMMYFUNCTION("""COMPUTED_VALUE"""),"FOMO")</f>
        <v>FOMO</v>
      </c>
      <c r="D608" s="4" t="str">
        <f ca="1">IFERROR(__xludf.DUMMYFUNCTION("""COMPUTED_VALUE"""),"https://heyfomo.cz/")</f>
        <v>https://heyfomo.cz/</v>
      </c>
      <c r="E608" s="3" t="str">
        <f ca="1">IFERROR(__xludf.DUMMYFUNCTION("""COMPUTED_VALUE"""),"celý web")</f>
        <v>celý web</v>
      </c>
      <c r="F608" s="4" t="str">
        <f ca="1">IFERROR(__xludf.DUMMYFUNCTION("""COMPUTED_VALUE"""),"https://heyfomo.cz/")</f>
        <v>https://heyfomo.cz/</v>
      </c>
      <c r="G608" s="3" t="str">
        <f ca="1">IFERROR(__xludf.DUMMYFUNCTION("""COMPUTED_VALUE"""),"Prodloužení existující microsite, bez úprav high season")</f>
        <v>Prodloužení existující microsite, bez úprav high season</v>
      </c>
      <c r="H608" s="3">
        <f ca="1">IFERROR(__xludf.DUMMYFUNCTION("""COMPUTED_VALUE"""),1)</f>
        <v>1</v>
      </c>
      <c r="I608" s="5">
        <f ca="1">IFERROR(__xludf.DUMMYFUNCTION("""COMPUTED_VALUE"""),1)</f>
        <v>1</v>
      </c>
      <c r="J608" s="5">
        <f ca="1">IFERROR(__xludf.DUMMYFUNCTION("""COMPUTED_VALUE"""),15000)</f>
        <v>15000</v>
      </c>
      <c r="K608" s="3"/>
      <c r="L608" s="3" t="str">
        <f ca="1">IFERROR(__xludf.DUMMYFUNCTION("""COMPUTED_VALUE"""),"Cost per instance")</f>
        <v>Cost per instance</v>
      </c>
      <c r="M608" s="3"/>
      <c r="N608" s="3"/>
      <c r="O608" s="3"/>
      <c r="P608" s="3"/>
      <c r="Q608" s="3"/>
      <c r="R608" s="3"/>
      <c r="S608" s="3" t="str">
        <f ca="1">IFERROR(__xludf.DUMMYFUNCTION("""COMPUTED_VALUE"""),"100")</f>
        <v>100</v>
      </c>
      <c r="T608" s="3"/>
      <c r="U608" s="3" t="str">
        <f ca="1">IFERROR(__xludf.DUMMYFUNCTION("""COMPUTED_VALUE"""),"microsite")</f>
        <v>microsite</v>
      </c>
      <c r="V608" s="3"/>
      <c r="W608" s="3"/>
      <c r="X608" s="3"/>
      <c r="Y608" s="3"/>
      <c r="Z608" s="3" t="str">
        <f ca="1">IFERROR(__xludf.DUMMYFUNCTION("""COMPUTED_VALUE"""),"podklady@cncenter.cz")</f>
        <v>podklady@cncenter.cz</v>
      </c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 t="str">
        <f ca="1">IFERROR(__xludf.DUMMYFUNCTION("""COMPUTED_VALUE"""),"cross-device")</f>
        <v>cross-device</v>
      </c>
      <c r="AO608" s="3"/>
      <c r="AP608" s="3"/>
      <c r="AQ608" s="3"/>
      <c r="AR608" s="3"/>
      <c r="AS608" s="3"/>
      <c r="AT608" s="3"/>
      <c r="AU608" s="3" t="str">
        <f ca="1">IFERROR(__xludf.DUMMYFUNCTION("""COMPUTED_VALUE"""),"Prodloužení existující microsite, bez úprav")</f>
        <v>Prodloužení existující microsite, bez úprav</v>
      </c>
    </row>
    <row r="609" spans="1:47" x14ac:dyDescent="0.3">
      <c r="A609" s="3">
        <f ca="1"/>
        <v>2346826</v>
      </c>
      <c r="B609" s="3" t="str">
        <f ca="1"/>
        <v>CZECH NEWS CENTER a. s.</v>
      </c>
      <c r="C609" s="3" t="str">
        <f ca="1">IFERROR(__xludf.DUMMYFUNCTION("""COMPUTED_VALUE"""),"Frekvence1")</f>
        <v>Frekvence1</v>
      </c>
      <c r="D609" s="4" t="str">
        <f ca="1">IFERROR(__xludf.DUMMYFUNCTION("""COMPUTED_VALUE"""),"https://frekvence1.cz")</f>
        <v>https://frekvence1.cz</v>
      </c>
      <c r="E609" s="3" t="str">
        <f ca="1">IFERROR(__xludf.DUMMYFUNCTION("""COMPUTED_VALUE"""),"celý web")</f>
        <v>celý web</v>
      </c>
      <c r="F609" s="4" t="str">
        <f ca="1">IFERROR(__xludf.DUMMYFUNCTION("""COMPUTED_VALUE"""),"https://frekvence1.cz")</f>
        <v>https://frekvence1.cz</v>
      </c>
      <c r="G609" s="3" t="str">
        <f ca="1">IFERROR(__xludf.DUMMYFUNCTION("""COMPUTED_VALUE"""),"branding cross-device high season")</f>
        <v>branding cross-device high season</v>
      </c>
      <c r="H609" s="3">
        <f ca="1">IFERROR(__xludf.DUMMYFUNCTION("""COMPUTED_VALUE"""),7)</f>
        <v>7</v>
      </c>
      <c r="I609" s="5">
        <f ca="1">IFERROR(__xludf.DUMMYFUNCTION("""COMPUTED_VALUE"""),1000)</f>
        <v>1000</v>
      </c>
      <c r="J609" s="5">
        <f ca="1">IFERROR(__xludf.DUMMYFUNCTION("""COMPUTED_VALUE"""),540)</f>
        <v>540</v>
      </c>
      <c r="K609" s="3"/>
      <c r="L609" s="3" t="str">
        <f ca="1">IFERROR(__xludf.DUMMYFUNCTION("""COMPUTED_VALUE"""),"Cost per period")</f>
        <v>Cost per period</v>
      </c>
      <c r="M609" s="3"/>
      <c r="N609" s="3"/>
      <c r="O609" s="3" t="str">
        <f ca="1">IFERROR(__xludf.DUMMYFUNCTION("""COMPUTED_VALUE"""),"2000")</f>
        <v>2000</v>
      </c>
      <c r="P609" s="3" t="str">
        <f ca="1">IFERROR(__xludf.DUMMYFUNCTION("""COMPUTED_VALUE"""),"1400")</f>
        <v>1400</v>
      </c>
      <c r="Q609" s="3" t="str">
        <f ca="1">IFERROR(__xludf.DUMMYFUNCTION("""COMPUTED_VALUE"""),"2000x1400 + 600x1080")</f>
        <v>2000x1400 + 600x1080</v>
      </c>
      <c r="R609" s="3"/>
      <c r="S609" s="3" t="str">
        <f ca="1">IFERROR(__xludf.DUMMYFUNCTION("""COMPUTED_VALUE"""),"500 (600 - HTLM5)")</f>
        <v>500 (600 - HTLM5)</v>
      </c>
      <c r="T609" s="3"/>
      <c r="U609" s="3" t="str">
        <f ca="1">IFERROR(__xludf.DUMMYFUNCTION("""COMPUTED_VALUE"""),"banner standard")</f>
        <v>banner standard</v>
      </c>
      <c r="V609" s="3"/>
      <c r="W609" s="4" t="str">
        <f ca="1">IFERROR(__xludf.DUMMYFUNCTION("""COMPUTED_VALUE"""),"https://reklama.cncenter.cz/Online/branding-cross-device")</f>
        <v>https://reklama.cncenter.cz/Online/branding-cross-device</v>
      </c>
      <c r="X609" s="3"/>
      <c r="Y609" s="3"/>
      <c r="Z609" s="3" t="str">
        <f ca="1">IFERROR(__xludf.DUMMYFUNCTION("""COMPUTED_VALUE"""),"podklady@cncenter.cz")</f>
        <v>podklady@cncenter.cz</v>
      </c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 t="str">
        <f ca="1">IFERROR(__xludf.DUMMYFUNCTION("""COMPUTED_VALUE"""),"cross-device")</f>
        <v>cross-device</v>
      </c>
      <c r="AO609" s="3"/>
      <c r="AP609" s="3"/>
      <c r="AQ609" s="3"/>
      <c r="AR609" s="3"/>
      <c r="AS609" s="3"/>
      <c r="AT609" s="3"/>
      <c r="AU609" s="3" t="str">
        <f ca="1">IFERROR(__xludf.DUMMYFUNCTION("""COMPUTED_VALUE"""),"branding cross-device")</f>
        <v>branding cross-device</v>
      </c>
    </row>
    <row r="610" spans="1:47" x14ac:dyDescent="0.3">
      <c r="A610" s="3">
        <f ca="1"/>
        <v>2346826</v>
      </c>
      <c r="B610" s="3" t="str">
        <f ca="1"/>
        <v>CZECH NEWS CENTER a. s.</v>
      </c>
      <c r="C610" s="3" t="str">
        <f ca="1">IFERROR(__xludf.DUMMYFUNCTION("""COMPUTED_VALUE"""),"Frekvence1")</f>
        <v>Frekvence1</v>
      </c>
      <c r="D610" s="4" t="str">
        <f ca="1">IFERROR(__xludf.DUMMYFUNCTION("""COMPUTED_VALUE"""),"https://frekvence1.cz")</f>
        <v>https://frekvence1.cz</v>
      </c>
      <c r="E610" s="3" t="str">
        <f ca="1">IFERROR(__xludf.DUMMYFUNCTION("""COMPUTED_VALUE"""),"celý web")</f>
        <v>celý web</v>
      </c>
      <c r="F610" s="4" t="str">
        <f ca="1">IFERROR(__xludf.DUMMYFUNCTION("""COMPUTED_VALUE"""),"https://frekvence1.cz")</f>
        <v>https://frekvence1.cz</v>
      </c>
      <c r="G610" s="3" t="str">
        <f ca="1">IFERROR(__xludf.DUMMYFUNCTION("""COMPUTED_VALUE"""),"branding high season")</f>
        <v>branding high season</v>
      </c>
      <c r="H610" s="3">
        <f ca="1">IFERROR(__xludf.DUMMYFUNCTION("""COMPUTED_VALUE"""),7)</f>
        <v>7</v>
      </c>
      <c r="I610" s="5">
        <f ca="1">IFERROR(__xludf.DUMMYFUNCTION("""COMPUTED_VALUE"""),1000)</f>
        <v>1000</v>
      </c>
      <c r="J610" s="5">
        <f ca="1">IFERROR(__xludf.DUMMYFUNCTION("""COMPUTED_VALUE"""),890)</f>
        <v>890</v>
      </c>
      <c r="K610" s="3"/>
      <c r="L610" s="3" t="str">
        <f ca="1">IFERROR(__xludf.DUMMYFUNCTION("""COMPUTED_VALUE"""),"Cost per period")</f>
        <v>Cost per period</v>
      </c>
      <c r="M610" s="3"/>
      <c r="N610" s="3"/>
      <c r="O610" s="3" t="str">
        <f ca="1">IFERROR(__xludf.DUMMYFUNCTION("""COMPUTED_VALUE"""),"2000")</f>
        <v>2000</v>
      </c>
      <c r="P610" s="3" t="str">
        <f ca="1">IFERROR(__xludf.DUMMYFUNCTION("""COMPUTED_VALUE"""),"1400")</f>
        <v>1400</v>
      </c>
      <c r="Q610" s="3" t="str">
        <f ca="1">IFERROR(__xludf.DUMMYFUNCTION("""COMPUTED_VALUE"""),"2000x1400")</f>
        <v>2000x1400</v>
      </c>
      <c r="R610" s="3"/>
      <c r="S610" s="3" t="str">
        <f ca="1">IFERROR(__xludf.DUMMYFUNCTION("""COMPUTED_VALUE"""),"500 + 200 (600+200 HTML5)")</f>
        <v>500 + 200 (600+200 HTML5)</v>
      </c>
      <c r="T610" s="3"/>
      <c r="U610" s="3" t="str">
        <f ca="1">IFERROR(__xludf.DUMMYFUNCTION("""COMPUTED_VALUE"""),"banner standard")</f>
        <v>banner standard</v>
      </c>
      <c r="V610" s="3"/>
      <c r="W610" s="4" t="str">
        <f ca="1">IFERROR(__xludf.DUMMYFUNCTION("""COMPUTED_VALUE"""),"https://reklama.cncenter.cz/Online/branding")</f>
        <v>https://reklama.cncenter.cz/Online/branding</v>
      </c>
      <c r="X610" s="3"/>
      <c r="Y610" s="3"/>
      <c r="Z610" s="3" t="str">
        <f ca="1">IFERROR(__xludf.DUMMYFUNCTION("""COMPUTED_VALUE"""),"podklady@cncenter.cz")</f>
        <v>podklady@cncenter.cz</v>
      </c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 t="str">
        <f ca="1">IFERROR(__xludf.DUMMYFUNCTION("""COMPUTED_VALUE"""),"desktop")</f>
        <v>desktop</v>
      </c>
      <c r="AO610" s="3"/>
      <c r="AP610" s="3"/>
      <c r="AQ610" s="3"/>
      <c r="AR610" s="3"/>
      <c r="AS610" s="3"/>
      <c r="AT610" s="3"/>
      <c r="AU610" s="3" t="str">
        <f ca="1">IFERROR(__xludf.DUMMYFUNCTION("""COMPUTED_VALUE"""),"branding")</f>
        <v>branding</v>
      </c>
    </row>
    <row r="611" spans="1:47" x14ac:dyDescent="0.3">
      <c r="A611" s="3">
        <f ca="1"/>
        <v>2346826</v>
      </c>
      <c r="B611" s="3" t="str">
        <f ca="1"/>
        <v>CZECH NEWS CENTER a. s.</v>
      </c>
      <c r="C611" s="3" t="str">
        <f ca="1">IFERROR(__xludf.DUMMYFUNCTION("""COMPUTED_VALUE"""),"Frekvence1")</f>
        <v>Frekvence1</v>
      </c>
      <c r="D611" s="4" t="str">
        <f ca="1">IFERROR(__xludf.DUMMYFUNCTION("""COMPUTED_VALUE"""),"https://frekvence1.cz")</f>
        <v>https://frekvence1.cz</v>
      </c>
      <c r="E611" s="3" t="str">
        <f ca="1">IFERROR(__xludf.DUMMYFUNCTION("""COMPUTED_VALUE"""),"celý web")</f>
        <v>celý web</v>
      </c>
      <c r="F611" s="4" t="str">
        <f ca="1">IFERROR(__xludf.DUMMYFUNCTION("""COMPUTED_VALUE"""),"https://frekvence1.cz")</f>
        <v>https://frekvence1.cz</v>
      </c>
      <c r="G611" s="3" t="str">
        <f ca="1">IFERROR(__xludf.DUMMYFUNCTION("""COMPUTED_VALUE"""),"cílený branding cross-device high season")</f>
        <v>cílený branding cross-device high season</v>
      </c>
      <c r="H611" s="3">
        <f ca="1">IFERROR(__xludf.DUMMYFUNCTION("""COMPUTED_VALUE"""),7)</f>
        <v>7</v>
      </c>
      <c r="I611" s="5">
        <f ca="1">IFERROR(__xludf.DUMMYFUNCTION("""COMPUTED_VALUE"""),1000)</f>
        <v>1000</v>
      </c>
      <c r="J611" s="5">
        <f ca="1">IFERROR(__xludf.DUMMYFUNCTION("""COMPUTED_VALUE"""),648)</f>
        <v>648</v>
      </c>
      <c r="K611" s="3"/>
      <c r="L611" s="3" t="str">
        <f ca="1">IFERROR(__xludf.DUMMYFUNCTION("""COMPUTED_VALUE"""),"Cost per period")</f>
        <v>Cost per period</v>
      </c>
      <c r="M611" s="3"/>
      <c r="N611" s="3"/>
      <c r="O611" s="3" t="str">
        <f ca="1">IFERROR(__xludf.DUMMYFUNCTION("""COMPUTED_VALUE"""),"2000")</f>
        <v>2000</v>
      </c>
      <c r="P611" s="3" t="str">
        <f ca="1">IFERROR(__xludf.DUMMYFUNCTION("""COMPUTED_VALUE"""),"1400")</f>
        <v>1400</v>
      </c>
      <c r="Q611" s="3" t="str">
        <f ca="1">IFERROR(__xludf.DUMMYFUNCTION("""COMPUTED_VALUE"""),"2000x1400 + 600x1080")</f>
        <v>2000x1400 + 600x1080</v>
      </c>
      <c r="R611" s="3"/>
      <c r="S611" s="3" t="str">
        <f ca="1">IFERROR(__xludf.DUMMYFUNCTION("""COMPUTED_VALUE"""),"500 (600 - HTLM5)")</f>
        <v>500 (600 - HTLM5)</v>
      </c>
      <c r="T611" s="3"/>
      <c r="U611" s="3" t="str">
        <f ca="1">IFERROR(__xludf.DUMMYFUNCTION("""COMPUTED_VALUE"""),"banner standard")</f>
        <v>banner standard</v>
      </c>
      <c r="V611" s="3"/>
      <c r="W611" s="4" t="str">
        <f ca="1">IFERROR(__xludf.DUMMYFUNCTION("""COMPUTED_VALUE"""),"https://reklama.cncenter.cz/Online/branding-cross-device")</f>
        <v>https://reklama.cncenter.cz/Online/branding-cross-device</v>
      </c>
      <c r="X611" s="3"/>
      <c r="Y611" s="3"/>
      <c r="Z611" s="3" t="str">
        <f ca="1">IFERROR(__xludf.DUMMYFUNCTION("""COMPUTED_VALUE"""),"podklady@cncenter.cz")</f>
        <v>podklady@cncenter.cz</v>
      </c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 t="str">
        <f ca="1">IFERROR(__xludf.DUMMYFUNCTION("""COMPUTED_VALUE"""),"cross-device")</f>
        <v>cross-device</v>
      </c>
      <c r="AO611" s="3"/>
      <c r="AP611" s="3"/>
      <c r="AQ611" s="3"/>
      <c r="AR611" s="3"/>
      <c r="AS611" s="3"/>
      <c r="AT611" s="3"/>
      <c r="AU611" s="3" t="str">
        <f ca="1">IFERROR(__xludf.DUMMYFUNCTION("""COMPUTED_VALUE"""),"cílený branding cross-device")</f>
        <v>cílený branding cross-device</v>
      </c>
    </row>
    <row r="612" spans="1:47" x14ac:dyDescent="0.3">
      <c r="A612" s="3">
        <f ca="1"/>
        <v>2346826</v>
      </c>
      <c r="B612" s="3" t="str">
        <f ca="1"/>
        <v>CZECH NEWS CENTER a. s.</v>
      </c>
      <c r="C612" s="3" t="str">
        <f ca="1">IFERROR(__xludf.DUMMYFUNCTION("""COMPUTED_VALUE"""),"Frekvence1")</f>
        <v>Frekvence1</v>
      </c>
      <c r="D612" s="4" t="str">
        <f ca="1">IFERROR(__xludf.DUMMYFUNCTION("""COMPUTED_VALUE"""),"https://frekvence1.cz")</f>
        <v>https://frekvence1.cz</v>
      </c>
      <c r="E612" s="3" t="str">
        <f ca="1">IFERROR(__xludf.DUMMYFUNCTION("""COMPUTED_VALUE"""),"celý web")</f>
        <v>celý web</v>
      </c>
      <c r="F612" s="4" t="str">
        <f ca="1">IFERROR(__xludf.DUMMYFUNCTION("""COMPUTED_VALUE"""),"https://frekvence1.cz")</f>
        <v>https://frekvence1.cz</v>
      </c>
      <c r="G612" s="3" t="str">
        <f ca="1">IFERROR(__xludf.DUMMYFUNCTION("""COMPUTED_VALUE"""),"cílený branding high season")</f>
        <v>cílený branding high season</v>
      </c>
      <c r="H612" s="3">
        <f ca="1">IFERROR(__xludf.DUMMYFUNCTION("""COMPUTED_VALUE"""),7)</f>
        <v>7</v>
      </c>
      <c r="I612" s="5">
        <f ca="1">IFERROR(__xludf.DUMMYFUNCTION("""COMPUTED_VALUE"""),1000)</f>
        <v>1000</v>
      </c>
      <c r="J612" s="5">
        <f ca="1">IFERROR(__xludf.DUMMYFUNCTION("""COMPUTED_VALUE"""),1068)</f>
        <v>1068</v>
      </c>
      <c r="K612" s="3"/>
      <c r="L612" s="3" t="str">
        <f ca="1">IFERROR(__xludf.DUMMYFUNCTION("""COMPUTED_VALUE"""),"Cost per period")</f>
        <v>Cost per period</v>
      </c>
      <c r="M612" s="3"/>
      <c r="N612" s="3"/>
      <c r="O612" s="3" t="str">
        <f ca="1">IFERROR(__xludf.DUMMYFUNCTION("""COMPUTED_VALUE"""),"2000")</f>
        <v>2000</v>
      </c>
      <c r="P612" s="3" t="str">
        <f ca="1">IFERROR(__xludf.DUMMYFUNCTION("""COMPUTED_VALUE"""),"1400")</f>
        <v>1400</v>
      </c>
      <c r="Q612" s="3" t="str">
        <f ca="1">IFERROR(__xludf.DUMMYFUNCTION("""COMPUTED_VALUE"""),"2000x1400")</f>
        <v>2000x1400</v>
      </c>
      <c r="R612" s="3"/>
      <c r="S612" s="3" t="str">
        <f ca="1">IFERROR(__xludf.DUMMYFUNCTION("""COMPUTED_VALUE"""),"500 + 200 (600+200 HTML5)")</f>
        <v>500 + 200 (600+200 HTML5)</v>
      </c>
      <c r="T612" s="3"/>
      <c r="U612" s="3" t="str">
        <f ca="1">IFERROR(__xludf.DUMMYFUNCTION("""COMPUTED_VALUE"""),"banner standard")</f>
        <v>banner standard</v>
      </c>
      <c r="V612" s="3"/>
      <c r="W612" s="4" t="str">
        <f ca="1">IFERROR(__xludf.DUMMYFUNCTION("""COMPUTED_VALUE"""),"https://reklama.cncenter.cz/Online/branding")</f>
        <v>https://reklama.cncenter.cz/Online/branding</v>
      </c>
      <c r="X612" s="3"/>
      <c r="Y612" s="3"/>
      <c r="Z612" s="3" t="str">
        <f ca="1">IFERROR(__xludf.DUMMYFUNCTION("""COMPUTED_VALUE"""),"podklady@cncenter.cz")</f>
        <v>podklady@cncenter.cz</v>
      </c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 t="str">
        <f ca="1">IFERROR(__xludf.DUMMYFUNCTION("""COMPUTED_VALUE"""),"desktop")</f>
        <v>desktop</v>
      </c>
      <c r="AO612" s="3"/>
      <c r="AP612" s="3"/>
      <c r="AQ612" s="3"/>
      <c r="AR612" s="3"/>
      <c r="AS612" s="3"/>
      <c r="AT612" s="3"/>
      <c r="AU612" s="3" t="str">
        <f ca="1">IFERROR(__xludf.DUMMYFUNCTION("""COMPUTED_VALUE"""),"cílený branding")</f>
        <v>cílený branding</v>
      </c>
    </row>
    <row r="613" spans="1:47" x14ac:dyDescent="0.3">
      <c r="A613" s="3">
        <f ca="1"/>
        <v>2346826</v>
      </c>
      <c r="B613" s="3" t="str">
        <f ca="1"/>
        <v>CZECH NEWS CENTER a. s.</v>
      </c>
      <c r="C613" s="3" t="str">
        <f ca="1">IFERROR(__xludf.DUMMYFUNCTION("""COMPUTED_VALUE"""),"Frekvence1")</f>
        <v>Frekvence1</v>
      </c>
      <c r="D613" s="4" t="str">
        <f ca="1">IFERROR(__xludf.DUMMYFUNCTION("""COMPUTED_VALUE"""),"https://frekvence1.cz")</f>
        <v>https://frekvence1.cz</v>
      </c>
      <c r="E613" s="3" t="str">
        <f ca="1">IFERROR(__xludf.DUMMYFUNCTION("""COMPUTED_VALUE"""),"celý web")</f>
        <v>celý web</v>
      </c>
      <c r="F613" s="4" t="str">
        <f ca="1">IFERROR(__xludf.DUMMYFUNCTION("""COMPUTED_VALUE"""),"https://frekvence1.cz")</f>
        <v>https://frekvence1.cz</v>
      </c>
      <c r="G613" s="3" t="str">
        <f ca="1">IFERROR(__xludf.DUMMYFUNCTION("""COMPUTED_VALUE"""),"cílený double skyscraper high season")</f>
        <v>cílený double skyscraper high season</v>
      </c>
      <c r="H613" s="3">
        <f ca="1">IFERROR(__xludf.DUMMYFUNCTION("""COMPUTED_VALUE"""),7)</f>
        <v>7</v>
      </c>
      <c r="I613" s="5">
        <f ca="1">IFERROR(__xludf.DUMMYFUNCTION("""COMPUTED_VALUE"""),1000)</f>
        <v>1000</v>
      </c>
      <c r="J613" s="5">
        <f ca="1">IFERROR(__xludf.DUMMYFUNCTION("""COMPUTED_VALUE"""),420)</f>
        <v>420</v>
      </c>
      <c r="K613" s="3"/>
      <c r="L613" s="3" t="str">
        <f ca="1">IFERROR(__xludf.DUMMYFUNCTION("""COMPUTED_VALUE"""),"Cost per period")</f>
        <v>Cost per period</v>
      </c>
      <c r="M613" s="3"/>
      <c r="N613" s="3"/>
      <c r="O613" s="3" t="str">
        <f ca="1">IFERROR(__xludf.DUMMYFUNCTION("""COMPUTED_VALUE"""),"300")</f>
        <v>300</v>
      </c>
      <c r="P613" s="3" t="str">
        <f ca="1">IFERROR(__xludf.DUMMYFUNCTION("""COMPUTED_VALUE"""),"600")</f>
        <v>600</v>
      </c>
      <c r="Q613" s="3" t="str">
        <f ca="1">IFERROR(__xludf.DUMMYFUNCTION("""COMPUTED_VALUE"""),"300x600")</f>
        <v>300x600</v>
      </c>
      <c r="R613" s="3"/>
      <c r="S613" s="3" t="str">
        <f ca="1">IFERROR(__xludf.DUMMYFUNCTION("""COMPUTED_VALUE"""),"100 (200 - HTML5)")</f>
        <v>100 (200 - HTML5)</v>
      </c>
      <c r="T613" s="3"/>
      <c r="U613" s="3" t="str">
        <f ca="1">IFERROR(__xludf.DUMMYFUNCTION("""COMPUTED_VALUE"""),"banner standard")</f>
        <v>banner standard</v>
      </c>
      <c r="V613" s="3"/>
      <c r="W613" s="4" t="str">
        <f ca="1">IFERROR(__xludf.DUMMYFUNCTION("""COMPUTED_VALUE"""),"https://reklama.cncenter.cz/Online/double-skyscraper")</f>
        <v>https://reklama.cncenter.cz/Online/double-skyscraper</v>
      </c>
      <c r="X613" s="3"/>
      <c r="Y613" s="3"/>
      <c r="Z613" s="3" t="str">
        <f ca="1">IFERROR(__xludf.DUMMYFUNCTION("""COMPUTED_VALUE"""),"podklady@cncenter.cz")</f>
        <v>podklady@cncenter.cz</v>
      </c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 t="str">
        <f ca="1">IFERROR(__xludf.DUMMYFUNCTION("""COMPUTED_VALUE"""),"desktop")</f>
        <v>desktop</v>
      </c>
      <c r="AO613" s="3"/>
      <c r="AP613" s="3"/>
      <c r="AQ613" s="3"/>
      <c r="AR613" s="3"/>
      <c r="AS613" s="3"/>
      <c r="AT613" s="3"/>
      <c r="AU613" s="3" t="str">
        <f ca="1">IFERROR(__xludf.DUMMYFUNCTION("""COMPUTED_VALUE"""),"cílený double skyscraper")</f>
        <v>cílený double skyscraper</v>
      </c>
    </row>
    <row r="614" spans="1:47" x14ac:dyDescent="0.3">
      <c r="A614" s="3">
        <f ca="1"/>
        <v>2346826</v>
      </c>
      <c r="B614" s="3" t="str">
        <f ca="1"/>
        <v>CZECH NEWS CENTER a. s.</v>
      </c>
      <c r="C614" s="3" t="str">
        <f ca="1">IFERROR(__xludf.DUMMYFUNCTION("""COMPUTED_VALUE"""),"Frekvence1")</f>
        <v>Frekvence1</v>
      </c>
      <c r="D614" s="4" t="str">
        <f ca="1">IFERROR(__xludf.DUMMYFUNCTION("""COMPUTED_VALUE"""),"https://frekvence1.cz")</f>
        <v>https://frekvence1.cz</v>
      </c>
      <c r="E614" s="3" t="str">
        <f ca="1">IFERROR(__xludf.DUMMYFUNCTION("""COMPUTED_VALUE"""),"celý web")</f>
        <v>celý web</v>
      </c>
      <c r="F614" s="4" t="str">
        <f ca="1">IFERROR(__xludf.DUMMYFUNCTION("""COMPUTED_VALUE"""),"https://frekvence1.cz")</f>
        <v>https://frekvence1.cz</v>
      </c>
      <c r="G614" s="3" t="str">
        <f ca="1">IFERROR(__xludf.DUMMYFUNCTION("""COMPUTED_VALUE"""),"cílený mobilní interscroller high season")</f>
        <v>cílený mobilní interscroller high season</v>
      </c>
      <c r="H614" s="3">
        <f ca="1">IFERROR(__xludf.DUMMYFUNCTION("""COMPUTED_VALUE"""),7)</f>
        <v>7</v>
      </c>
      <c r="I614" s="5">
        <f ca="1">IFERROR(__xludf.DUMMYFUNCTION("""COMPUTED_VALUE"""),1000)</f>
        <v>1000</v>
      </c>
      <c r="J614" s="5">
        <f ca="1">IFERROR(__xludf.DUMMYFUNCTION("""COMPUTED_VALUE"""),540)</f>
        <v>540</v>
      </c>
      <c r="K614" s="3"/>
      <c r="L614" s="3" t="str">
        <f ca="1">IFERROR(__xludf.DUMMYFUNCTION("""COMPUTED_VALUE"""),"Cost per period")</f>
        <v>Cost per period</v>
      </c>
      <c r="M614" s="3"/>
      <c r="N614" s="3"/>
      <c r="O614" s="3" t="str">
        <f ca="1">IFERROR(__xludf.DUMMYFUNCTION("""COMPUTED_VALUE"""),"600")</f>
        <v>600</v>
      </c>
      <c r="P614" s="3" t="str">
        <f ca="1">IFERROR(__xludf.DUMMYFUNCTION("""COMPUTED_VALUE"""),"1080")</f>
        <v>1080</v>
      </c>
      <c r="Q614" s="3" t="str">
        <f ca="1">IFERROR(__xludf.DUMMYFUNCTION("""COMPUTED_VALUE"""),"600x1080")</f>
        <v>600x1080</v>
      </c>
      <c r="R614" s="3"/>
      <c r="S614" s="3" t="str">
        <f ca="1">IFERROR(__xludf.DUMMYFUNCTION("""COMPUTED_VALUE"""),"200")</f>
        <v>200</v>
      </c>
      <c r="T614" s="3"/>
      <c r="U614" s="3" t="str">
        <f ca="1">IFERROR(__xludf.DUMMYFUNCTION("""COMPUTED_VALUE"""),"banner standard")</f>
        <v>banner standard</v>
      </c>
      <c r="V614" s="3"/>
      <c r="W614" s="4" t="str">
        <f ca="1">IFERROR(__xludf.DUMMYFUNCTION("""COMPUTED_VALUE"""),"https://reklama.cncenter.cz/Online/mobilni-interscroller")</f>
        <v>https://reklama.cncenter.cz/Online/mobilni-interscroller</v>
      </c>
      <c r="X614" s="3"/>
      <c r="Y614" s="3"/>
      <c r="Z614" s="3" t="str">
        <f ca="1">IFERROR(__xludf.DUMMYFUNCTION("""COMPUTED_VALUE"""),"podklady@cncenter.cz")</f>
        <v>podklady@cncenter.cz</v>
      </c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 t="str">
        <f ca="1">IFERROR(__xludf.DUMMYFUNCTION("""COMPUTED_VALUE"""),"mobile")</f>
        <v>mobile</v>
      </c>
      <c r="AO614" s="3"/>
      <c r="AP614" s="3"/>
      <c r="AQ614" s="3"/>
      <c r="AR614" s="3"/>
      <c r="AS614" s="3"/>
      <c r="AT614" s="3"/>
      <c r="AU614" s="3" t="str">
        <f ca="1">IFERROR(__xludf.DUMMYFUNCTION("""COMPUTED_VALUE"""),"cílený mobilní interscroller")</f>
        <v>cílený mobilní interscroller</v>
      </c>
    </row>
    <row r="615" spans="1:47" x14ac:dyDescent="0.3">
      <c r="A615" s="3">
        <f ca="1"/>
        <v>2346826</v>
      </c>
      <c r="B615" s="3" t="str">
        <f ca="1"/>
        <v>CZECH NEWS CENTER a. s.</v>
      </c>
      <c r="C615" s="3" t="str">
        <f ca="1">IFERROR(__xludf.DUMMYFUNCTION("""COMPUTED_VALUE"""),"Frekvence1")</f>
        <v>Frekvence1</v>
      </c>
      <c r="D615" s="4" t="str">
        <f ca="1">IFERROR(__xludf.DUMMYFUNCTION("""COMPUTED_VALUE"""),"https://frekvence1.cz")</f>
        <v>https://frekvence1.cz</v>
      </c>
      <c r="E615" s="3" t="str">
        <f ca="1">IFERROR(__xludf.DUMMYFUNCTION("""COMPUTED_VALUE"""),"celý web")</f>
        <v>celý web</v>
      </c>
      <c r="F615" s="4" t="str">
        <f ca="1">IFERROR(__xludf.DUMMYFUNCTION("""COMPUTED_VALUE"""),"https://frekvence1.cz")</f>
        <v>https://frekvence1.cz</v>
      </c>
      <c r="G615" s="3" t="str">
        <f ca="1">IFERROR(__xludf.DUMMYFUNCTION("""COMPUTED_VALUE"""),"cílený mobilní slide-up high season")</f>
        <v>cílený mobilní slide-up high season</v>
      </c>
      <c r="H615" s="3">
        <f ca="1">IFERROR(__xludf.DUMMYFUNCTION("""COMPUTED_VALUE"""),7)</f>
        <v>7</v>
      </c>
      <c r="I615" s="5">
        <f ca="1">IFERROR(__xludf.DUMMYFUNCTION("""COMPUTED_VALUE"""),1000)</f>
        <v>1000</v>
      </c>
      <c r="J615" s="5">
        <f ca="1">IFERROR(__xludf.DUMMYFUNCTION("""COMPUTED_VALUE"""),1104)</f>
        <v>1104</v>
      </c>
      <c r="K615" s="3"/>
      <c r="L615" s="3" t="str">
        <f ca="1">IFERROR(__xludf.DUMMYFUNCTION("""COMPUTED_VALUE"""),"Cost per period")</f>
        <v>Cost per period</v>
      </c>
      <c r="M615" s="3"/>
      <c r="N615" s="3"/>
      <c r="O615" s="3" t="str">
        <f ca="1">IFERROR(__xludf.DUMMYFUNCTION("""COMPUTED_VALUE"""),"300")</f>
        <v>300</v>
      </c>
      <c r="P615" s="3" t="str">
        <f ca="1">IFERROR(__xludf.DUMMYFUNCTION("""COMPUTED_VALUE"""),"120")</f>
        <v>120</v>
      </c>
      <c r="Q615" s="3" t="str">
        <f ca="1">IFERROR(__xludf.DUMMYFUNCTION("""COMPUTED_VALUE"""),"300x120")</f>
        <v>300x120</v>
      </c>
      <c r="R615" s="3"/>
      <c r="S615" s="3" t="str">
        <f ca="1">IFERROR(__xludf.DUMMYFUNCTION("""COMPUTED_VALUE"""),"100")</f>
        <v>100</v>
      </c>
      <c r="T615" s="3"/>
      <c r="U615" s="3" t="str">
        <f ca="1">IFERROR(__xludf.DUMMYFUNCTION("""COMPUTED_VALUE"""),"banner standard")</f>
        <v>banner standard</v>
      </c>
      <c r="V615" s="3"/>
      <c r="W615" s="4" t="str">
        <f ca="1">IFERROR(__xludf.DUMMYFUNCTION("""COMPUTED_VALUE"""),"https://reklama.cncenter.cz/Online/mobilni-slide-up")</f>
        <v>https://reklama.cncenter.cz/Online/mobilni-slide-up</v>
      </c>
      <c r="X615" s="3"/>
      <c r="Y615" s="3"/>
      <c r="Z615" s="3" t="str">
        <f ca="1">IFERROR(__xludf.DUMMYFUNCTION("""COMPUTED_VALUE"""),"podklady@cncenter.cz")</f>
        <v>podklady@cncenter.cz</v>
      </c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 t="str">
        <f ca="1">IFERROR(__xludf.DUMMYFUNCTION("""COMPUTED_VALUE"""),"mobile")</f>
        <v>mobile</v>
      </c>
      <c r="AO615" s="3"/>
      <c r="AP615" s="3"/>
      <c r="AQ615" s="3"/>
      <c r="AR615" s="3"/>
      <c r="AS615" s="3"/>
      <c r="AT615" s="3"/>
      <c r="AU615" s="3" t="str">
        <f ca="1">IFERROR(__xludf.DUMMYFUNCTION("""COMPUTED_VALUE"""),"cílený mobilní slide-up")</f>
        <v>cílený mobilní slide-up</v>
      </c>
    </row>
    <row r="616" spans="1:47" x14ac:dyDescent="0.3">
      <c r="A616" s="3">
        <f ca="1"/>
        <v>2346826</v>
      </c>
      <c r="B616" s="3" t="str">
        <f ca="1"/>
        <v>CZECH NEWS CENTER a. s.</v>
      </c>
      <c r="C616" s="3" t="str">
        <f ca="1">IFERROR(__xludf.DUMMYFUNCTION("""COMPUTED_VALUE"""),"Frekvence1")</f>
        <v>Frekvence1</v>
      </c>
      <c r="D616" s="4" t="str">
        <f ca="1">IFERROR(__xludf.DUMMYFUNCTION("""COMPUTED_VALUE"""),"https://frekvence1.cz")</f>
        <v>https://frekvence1.cz</v>
      </c>
      <c r="E616" s="3" t="str">
        <f ca="1">IFERROR(__xludf.DUMMYFUNCTION("""COMPUTED_VALUE"""),"celý web")</f>
        <v>celý web</v>
      </c>
      <c r="F616" s="4" t="str">
        <f ca="1">IFERROR(__xludf.DUMMYFUNCTION("""COMPUTED_VALUE"""),"https://frekvence1.cz")</f>
        <v>https://frekvence1.cz</v>
      </c>
      <c r="G616" s="3" t="str">
        <f ca="1">IFERROR(__xludf.DUMMYFUNCTION("""COMPUTED_VALUE"""),"cílený mobilní viněta high season")</f>
        <v>cílený mobilní viněta high season</v>
      </c>
      <c r="H616" s="3">
        <f ca="1">IFERROR(__xludf.DUMMYFUNCTION("""COMPUTED_VALUE"""),7)</f>
        <v>7</v>
      </c>
      <c r="I616" s="5">
        <f ca="1">IFERROR(__xludf.DUMMYFUNCTION("""COMPUTED_VALUE"""),1000)</f>
        <v>1000</v>
      </c>
      <c r="J616" s="5">
        <f ca="1">IFERROR(__xludf.DUMMYFUNCTION("""COMPUTED_VALUE"""),1908)</f>
        <v>1908</v>
      </c>
      <c r="K616" s="3"/>
      <c r="L616" s="3" t="str">
        <f ca="1">IFERROR(__xludf.DUMMYFUNCTION("""COMPUTED_VALUE"""),"Cost per period")</f>
        <v>Cost per period</v>
      </c>
      <c r="M616" s="3"/>
      <c r="N616" s="3"/>
      <c r="O616" s="3" t="str">
        <f ca="1">IFERROR(__xludf.DUMMYFUNCTION("""COMPUTED_VALUE"""),"600")</f>
        <v>600</v>
      </c>
      <c r="P616" s="3" t="str">
        <f ca="1">IFERROR(__xludf.DUMMYFUNCTION("""COMPUTED_VALUE"""),"800")</f>
        <v>800</v>
      </c>
      <c r="Q616" s="3" t="str">
        <f ca="1">IFERROR(__xludf.DUMMYFUNCTION("""COMPUTED_VALUE"""),"300x250 nebo 600x800")</f>
        <v>300x250 nebo 600x800</v>
      </c>
      <c r="R616" s="3"/>
      <c r="S616" s="3" t="str">
        <f ca="1">IFERROR(__xludf.DUMMYFUNCTION("""COMPUTED_VALUE"""),"100")</f>
        <v>100</v>
      </c>
      <c r="T616" s="3"/>
      <c r="U616" s="3" t="str">
        <f ca="1">IFERROR(__xludf.DUMMYFUNCTION("""COMPUTED_VALUE"""),"banner standard")</f>
        <v>banner standard</v>
      </c>
      <c r="V616" s="3"/>
      <c r="W616" s="4" t="str">
        <f ca="1">IFERROR(__xludf.DUMMYFUNCTION("""COMPUTED_VALUE"""),"https://reklama.cncenter.cz/Online/mobilni-vineta")</f>
        <v>https://reklama.cncenter.cz/Online/mobilni-vineta</v>
      </c>
      <c r="X616" s="3"/>
      <c r="Y616" s="3"/>
      <c r="Z616" s="3" t="str">
        <f ca="1">IFERROR(__xludf.DUMMYFUNCTION("""COMPUTED_VALUE"""),"podklady@cncenter.cz")</f>
        <v>podklady@cncenter.cz</v>
      </c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 t="str">
        <f ca="1">IFERROR(__xludf.DUMMYFUNCTION("""COMPUTED_VALUE"""),"mobile")</f>
        <v>mobile</v>
      </c>
      <c r="AO616" s="3"/>
      <c r="AP616" s="3"/>
      <c r="AQ616" s="3"/>
      <c r="AR616" s="3"/>
      <c r="AS616" s="3"/>
      <c r="AT616" s="3"/>
      <c r="AU616" s="3" t="str">
        <f ca="1">IFERROR(__xludf.DUMMYFUNCTION("""COMPUTED_VALUE"""),"cílený mobilní viněta")</f>
        <v>cílený mobilní viněta</v>
      </c>
    </row>
    <row r="617" spans="1:47" x14ac:dyDescent="0.3">
      <c r="A617" s="3">
        <f ca="1"/>
        <v>2346826</v>
      </c>
      <c r="B617" s="3" t="str">
        <f ca="1"/>
        <v>CZECH NEWS CENTER a. s.</v>
      </c>
      <c r="C617" s="3" t="str">
        <f ca="1">IFERROR(__xludf.DUMMYFUNCTION("""COMPUTED_VALUE"""),"Frekvence1")</f>
        <v>Frekvence1</v>
      </c>
      <c r="D617" s="4" t="str">
        <f ca="1">IFERROR(__xludf.DUMMYFUNCTION("""COMPUTED_VALUE"""),"https://frekvence1.cz")</f>
        <v>https://frekvence1.cz</v>
      </c>
      <c r="E617" s="3" t="str">
        <f ca="1">IFERROR(__xludf.DUMMYFUNCTION("""COMPUTED_VALUE"""),"celý web")</f>
        <v>celý web</v>
      </c>
      <c r="F617" s="4" t="str">
        <f ca="1">IFERROR(__xludf.DUMMYFUNCTION("""COMPUTED_VALUE"""),"https://frekvence1.cz")</f>
        <v>https://frekvence1.cz</v>
      </c>
      <c r="G617" s="3" t="str">
        <f ca="1">IFERROR(__xludf.DUMMYFUNCTION("""COMPUTED_VALUE"""),"cílený nativní rectangle cross-device high season")</f>
        <v>cílený nativní rectangle cross-device high season</v>
      </c>
      <c r="H617" s="3">
        <f ca="1">IFERROR(__xludf.DUMMYFUNCTION("""COMPUTED_VALUE"""),7)</f>
        <v>7</v>
      </c>
      <c r="I617" s="5">
        <f ca="1">IFERROR(__xludf.DUMMYFUNCTION("""COMPUTED_VALUE"""),1000)</f>
        <v>1000</v>
      </c>
      <c r="J617" s="5">
        <f ca="1">IFERROR(__xludf.DUMMYFUNCTION("""COMPUTED_VALUE"""),432)</f>
        <v>432</v>
      </c>
      <c r="K617" s="3"/>
      <c r="L617" s="3" t="str">
        <f ca="1">IFERROR(__xludf.DUMMYFUNCTION("""COMPUTED_VALUE"""),"Cost per period")</f>
        <v>Cost per period</v>
      </c>
      <c r="M617" s="3"/>
      <c r="N617" s="3"/>
      <c r="O617" s="3" t="str">
        <f ca="1">IFERROR(__xludf.DUMMYFUNCTION("""COMPUTED_VALUE"""),"640")</f>
        <v>640</v>
      </c>
      <c r="P617" s="3" t="str">
        <f ca="1">IFERROR(__xludf.DUMMYFUNCTION("""COMPUTED_VALUE"""),"335, 640")</f>
        <v>335, 640</v>
      </c>
      <c r="Q617" s="3" t="str">
        <f ca="1">IFERROR(__xludf.DUMMYFUNCTION("""COMPUTED_VALUE"""),"640x640 a 640x335 + text + logo")</f>
        <v>640x640 a 640x335 + text + logo</v>
      </c>
      <c r="R617" s="3"/>
      <c r="S617" s="3" t="str">
        <f ca="1">IFERROR(__xludf.DUMMYFUNCTION("""COMPUTED_VALUE"""),"45")</f>
        <v>45</v>
      </c>
      <c r="T617" s="3"/>
      <c r="U617" s="3" t="str">
        <f ca="1">IFERROR(__xludf.DUMMYFUNCTION("""COMPUTED_VALUE"""),"nativní reklama")</f>
        <v>nativní reklama</v>
      </c>
      <c r="V617" s="3"/>
      <c r="W617" s="4" t="str">
        <f ca="1">IFERROR(__xludf.DUMMYFUNCTION("""COMPUTED_VALUE"""),"https://reklama.cncenter.cz/Online/nativni-rectangle-cross-device")</f>
        <v>https://reklama.cncenter.cz/Online/nativni-rectangle-cross-device</v>
      </c>
      <c r="X617" s="3"/>
      <c r="Y617" s="3"/>
      <c r="Z617" s="3" t="str">
        <f ca="1">IFERROR(__xludf.DUMMYFUNCTION("""COMPUTED_VALUE"""),"podklady@cncenter.cz")</f>
        <v>podklady@cncenter.cz</v>
      </c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 t="str">
        <f ca="1">IFERROR(__xludf.DUMMYFUNCTION("""COMPUTED_VALUE"""),"cross-device")</f>
        <v>cross-device</v>
      </c>
      <c r="AO617" s="3"/>
      <c r="AP617" s="3"/>
      <c r="AQ617" s="3"/>
      <c r="AR617" s="3"/>
      <c r="AS617" s="3"/>
      <c r="AT617" s="3"/>
      <c r="AU617" s="3" t="str">
        <f ca="1">IFERROR(__xludf.DUMMYFUNCTION("""COMPUTED_VALUE"""),"cílený nativní rectangle cross-device")</f>
        <v>cílený nativní rectangle cross-device</v>
      </c>
    </row>
    <row r="618" spans="1:47" x14ac:dyDescent="0.3">
      <c r="A618" s="3">
        <f ca="1"/>
        <v>2346826</v>
      </c>
      <c r="B618" s="3" t="str">
        <f ca="1"/>
        <v>CZECH NEWS CENTER a. s.</v>
      </c>
      <c r="C618" s="3" t="str">
        <f ca="1">IFERROR(__xludf.DUMMYFUNCTION("""COMPUTED_VALUE"""),"Frekvence1")</f>
        <v>Frekvence1</v>
      </c>
      <c r="D618" s="4" t="str">
        <f ca="1">IFERROR(__xludf.DUMMYFUNCTION("""COMPUTED_VALUE"""),"https://frekvence1.cz")</f>
        <v>https://frekvence1.cz</v>
      </c>
      <c r="E618" s="3" t="str">
        <f ca="1">IFERROR(__xludf.DUMMYFUNCTION("""COMPUTED_VALUE"""),"celý web")</f>
        <v>celý web</v>
      </c>
      <c r="F618" s="4" t="str">
        <f ca="1">IFERROR(__xludf.DUMMYFUNCTION("""COMPUTED_VALUE"""),"https://frekvence1.cz")</f>
        <v>https://frekvence1.cz</v>
      </c>
      <c r="G618" s="3" t="str">
        <f ca="1">IFERROR(__xludf.DUMMYFUNCTION("""COMPUTED_VALUE"""),"cílený videospot - max. 30 sec. / bumper high season")</f>
        <v>cílený videospot - max. 30 sec. / bumper high season</v>
      </c>
      <c r="H618" s="3">
        <f ca="1">IFERROR(__xludf.DUMMYFUNCTION("""COMPUTED_VALUE"""),7)</f>
        <v>7</v>
      </c>
      <c r="I618" s="5">
        <f ca="1">IFERROR(__xludf.DUMMYFUNCTION("""COMPUTED_VALUE"""),1000)</f>
        <v>1000</v>
      </c>
      <c r="J618" s="5">
        <f ca="1">IFERROR(__xludf.DUMMYFUNCTION("""COMPUTED_VALUE"""),1608)</f>
        <v>1608</v>
      </c>
      <c r="K618" s="3"/>
      <c r="L618" s="3" t="str">
        <f ca="1">IFERROR(__xludf.DUMMYFUNCTION("""COMPUTED_VALUE"""),"Cost per period")</f>
        <v>Cost per period</v>
      </c>
      <c r="M618" s="3"/>
      <c r="N618" s="3"/>
      <c r="O618" s="3" t="str">
        <f ca="1">IFERROR(__xludf.DUMMYFUNCTION("""COMPUTED_VALUE"""),"1280")</f>
        <v>1280</v>
      </c>
      <c r="P618" s="3" t="str">
        <f ca="1">IFERROR(__xludf.DUMMYFUNCTION("""COMPUTED_VALUE"""),"720")</f>
        <v>720</v>
      </c>
      <c r="Q618" s="3" t="str">
        <f ca="1">IFERROR(__xludf.DUMMYFUNCTION("""COMPUTED_VALUE"""),"16:9 / umístění po domluvě dle možností")</f>
        <v>16:9 / umístění po domluvě dle možností</v>
      </c>
      <c r="R618" s="3" t="str">
        <f ca="1">IFERROR(__xludf.DUMMYFUNCTION("""COMPUTED_VALUE"""),"přeskočení po 7 sekundách")</f>
        <v>přeskočení po 7 sekundách</v>
      </c>
      <c r="S618" s="3" t="str">
        <f ca="1">IFERROR(__xludf.DUMMYFUNCTION("""COMPUTED_VALUE"""),"100")</f>
        <v>100</v>
      </c>
      <c r="T618" s="3"/>
      <c r="U618" s="3" t="str">
        <f ca="1">IFERROR(__xludf.DUMMYFUNCTION("""COMPUTED_VALUE"""),"videospot")</f>
        <v>videospot</v>
      </c>
      <c r="V618" s="3"/>
      <c r="W618" s="4" t="str">
        <f ca="1">IFERROR(__xludf.DUMMYFUNCTION("""COMPUTED_VALUE"""),"https://reklama.cncenter.cz/Online/Bumper")</f>
        <v>https://reklama.cncenter.cz/Online/Bumper</v>
      </c>
      <c r="X618" s="3"/>
      <c r="Y618" s="3"/>
      <c r="Z618" s="3" t="str">
        <f ca="1">IFERROR(__xludf.DUMMYFUNCTION("""COMPUTED_VALUE"""),"podklady@cncenter.cz")</f>
        <v>podklady@cncenter.cz</v>
      </c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 t="str">
        <f ca="1">IFERROR(__xludf.DUMMYFUNCTION("""COMPUTED_VALUE"""),"cross-device")</f>
        <v>cross-device</v>
      </c>
      <c r="AO618" s="3"/>
      <c r="AP618" s="3"/>
      <c r="AQ618" s="3"/>
      <c r="AR618" s="3"/>
      <c r="AS618" s="3"/>
      <c r="AT618" s="3"/>
      <c r="AU618" s="3" t="str">
        <f ca="1">IFERROR(__xludf.DUMMYFUNCTION("""COMPUTED_VALUE"""),"cílený videospot - max. 30 sec. / bumper")</f>
        <v>cílený videospot - max. 30 sec. / bumper</v>
      </c>
    </row>
    <row r="619" spans="1:47" x14ac:dyDescent="0.3">
      <c r="A619" s="3">
        <f ca="1"/>
        <v>2346826</v>
      </c>
      <c r="B619" s="3" t="str">
        <f ca="1"/>
        <v>CZECH NEWS CENTER a. s.</v>
      </c>
      <c r="C619" s="3" t="str">
        <f ca="1">IFERROR(__xludf.DUMMYFUNCTION("""COMPUTED_VALUE"""),"Frekvence1")</f>
        <v>Frekvence1</v>
      </c>
      <c r="D619" s="4" t="str">
        <f ca="1">IFERROR(__xludf.DUMMYFUNCTION("""COMPUTED_VALUE"""),"https://frekvence1.cz")</f>
        <v>https://frekvence1.cz</v>
      </c>
      <c r="E619" s="3" t="str">
        <f ca="1">IFERROR(__xludf.DUMMYFUNCTION("""COMPUTED_VALUE"""),"celý web")</f>
        <v>celý web</v>
      </c>
      <c r="F619" s="4" t="str">
        <f ca="1">IFERROR(__xludf.DUMMYFUNCTION("""COMPUTED_VALUE"""),"https://frekvence1.cz")</f>
        <v>https://frekvence1.cz</v>
      </c>
      <c r="G619" s="3" t="str">
        <f ca="1">IFERROR(__xludf.DUMMYFUNCTION("""COMPUTED_VALUE"""),"double skyscraper high season")</f>
        <v>double skyscraper high season</v>
      </c>
      <c r="H619" s="3">
        <f ca="1">IFERROR(__xludf.DUMMYFUNCTION("""COMPUTED_VALUE"""),7)</f>
        <v>7</v>
      </c>
      <c r="I619" s="5">
        <f ca="1">IFERROR(__xludf.DUMMYFUNCTION("""COMPUTED_VALUE"""),1000)</f>
        <v>1000</v>
      </c>
      <c r="J619" s="5">
        <f ca="1">IFERROR(__xludf.DUMMYFUNCTION("""COMPUTED_VALUE"""),350)</f>
        <v>350</v>
      </c>
      <c r="K619" s="3"/>
      <c r="L619" s="3" t="str">
        <f ca="1">IFERROR(__xludf.DUMMYFUNCTION("""COMPUTED_VALUE"""),"Cost per period")</f>
        <v>Cost per period</v>
      </c>
      <c r="M619" s="3"/>
      <c r="N619" s="3"/>
      <c r="O619" s="3" t="str">
        <f ca="1">IFERROR(__xludf.DUMMYFUNCTION("""COMPUTED_VALUE"""),"300")</f>
        <v>300</v>
      </c>
      <c r="P619" s="3" t="str">
        <f ca="1">IFERROR(__xludf.DUMMYFUNCTION("""COMPUTED_VALUE"""),"600")</f>
        <v>600</v>
      </c>
      <c r="Q619" s="3" t="str">
        <f ca="1">IFERROR(__xludf.DUMMYFUNCTION("""COMPUTED_VALUE"""),"300x600")</f>
        <v>300x600</v>
      </c>
      <c r="R619" s="3"/>
      <c r="S619" s="3" t="str">
        <f ca="1">IFERROR(__xludf.DUMMYFUNCTION("""COMPUTED_VALUE"""),"100 (200 - HTML5)")</f>
        <v>100 (200 - HTML5)</v>
      </c>
      <c r="T619" s="3"/>
      <c r="U619" s="3" t="str">
        <f ca="1">IFERROR(__xludf.DUMMYFUNCTION("""COMPUTED_VALUE"""),"banner standard")</f>
        <v>banner standard</v>
      </c>
      <c r="V619" s="3"/>
      <c r="W619" s="4" t="str">
        <f ca="1">IFERROR(__xludf.DUMMYFUNCTION("""COMPUTED_VALUE"""),"https://reklama.cncenter.cz/Online/double-skyscraper")</f>
        <v>https://reklama.cncenter.cz/Online/double-skyscraper</v>
      </c>
      <c r="X619" s="3"/>
      <c r="Y619" s="3"/>
      <c r="Z619" s="3" t="str">
        <f ca="1">IFERROR(__xludf.DUMMYFUNCTION("""COMPUTED_VALUE"""),"podklady@cncenter.cz")</f>
        <v>podklady@cncenter.cz</v>
      </c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 t="str">
        <f ca="1">IFERROR(__xludf.DUMMYFUNCTION("""COMPUTED_VALUE"""),"desktop")</f>
        <v>desktop</v>
      </c>
      <c r="AO619" s="3"/>
      <c r="AP619" s="3"/>
      <c r="AQ619" s="3"/>
      <c r="AR619" s="3"/>
      <c r="AS619" s="3"/>
      <c r="AT619" s="3"/>
      <c r="AU619" s="3" t="str">
        <f ca="1">IFERROR(__xludf.DUMMYFUNCTION("""COMPUTED_VALUE"""),"double skyscraper")</f>
        <v>double skyscraper</v>
      </c>
    </row>
    <row r="620" spans="1:47" x14ac:dyDescent="0.3">
      <c r="A620" s="3">
        <f ca="1"/>
        <v>2346826</v>
      </c>
      <c r="B620" s="3" t="str">
        <f ca="1"/>
        <v>CZECH NEWS CENTER a. s.</v>
      </c>
      <c r="C620" s="3" t="str">
        <f ca="1">IFERROR(__xludf.DUMMYFUNCTION("""COMPUTED_VALUE"""),"Frekvence1")</f>
        <v>Frekvence1</v>
      </c>
      <c r="D620" s="4" t="str">
        <f ca="1">IFERROR(__xludf.DUMMYFUNCTION("""COMPUTED_VALUE"""),"https://frekvence1.cz")</f>
        <v>https://frekvence1.cz</v>
      </c>
      <c r="E620" s="3" t="str">
        <f ca="1">IFERROR(__xludf.DUMMYFUNCTION("""COMPUTED_VALUE"""),"celý web")</f>
        <v>celý web</v>
      </c>
      <c r="F620" s="4" t="str">
        <f ca="1">IFERROR(__xludf.DUMMYFUNCTION("""COMPUTED_VALUE"""),"https://frekvence1.cz")</f>
        <v>https://frekvence1.cz</v>
      </c>
      <c r="G620" s="3" t="str">
        <f ca="1">IFERROR(__xludf.DUMMYFUNCTION("""COMPUTED_VALUE"""),"mobilní interscroller high season")</f>
        <v>mobilní interscroller high season</v>
      </c>
      <c r="H620" s="3">
        <f ca="1">IFERROR(__xludf.DUMMYFUNCTION("""COMPUTED_VALUE"""),7)</f>
        <v>7</v>
      </c>
      <c r="I620" s="5">
        <f ca="1">IFERROR(__xludf.DUMMYFUNCTION("""COMPUTED_VALUE"""),1000)</f>
        <v>1000</v>
      </c>
      <c r="J620" s="5">
        <f ca="1">IFERROR(__xludf.DUMMYFUNCTION("""COMPUTED_VALUE"""),450)</f>
        <v>450</v>
      </c>
      <c r="K620" s="3"/>
      <c r="L620" s="3" t="str">
        <f ca="1">IFERROR(__xludf.DUMMYFUNCTION("""COMPUTED_VALUE"""),"Cost per period")</f>
        <v>Cost per period</v>
      </c>
      <c r="M620" s="3"/>
      <c r="N620" s="3"/>
      <c r="O620" s="3" t="str">
        <f ca="1">IFERROR(__xludf.DUMMYFUNCTION("""COMPUTED_VALUE"""),"600")</f>
        <v>600</v>
      </c>
      <c r="P620" s="3" t="str">
        <f ca="1">IFERROR(__xludf.DUMMYFUNCTION("""COMPUTED_VALUE"""),"1080")</f>
        <v>1080</v>
      </c>
      <c r="Q620" s="3" t="str">
        <f ca="1">IFERROR(__xludf.DUMMYFUNCTION("""COMPUTED_VALUE"""),"600x1080")</f>
        <v>600x1080</v>
      </c>
      <c r="R620" s="3"/>
      <c r="S620" s="3" t="str">
        <f ca="1">IFERROR(__xludf.DUMMYFUNCTION("""COMPUTED_VALUE"""),"200")</f>
        <v>200</v>
      </c>
      <c r="T620" s="3"/>
      <c r="U620" s="3" t="str">
        <f ca="1">IFERROR(__xludf.DUMMYFUNCTION("""COMPUTED_VALUE"""),"banner standard")</f>
        <v>banner standard</v>
      </c>
      <c r="V620" s="3"/>
      <c r="W620" s="4" t="str">
        <f ca="1">IFERROR(__xludf.DUMMYFUNCTION("""COMPUTED_VALUE"""),"https://reklama.cncenter.cz/Online/mobilni-interscroller")</f>
        <v>https://reklama.cncenter.cz/Online/mobilni-interscroller</v>
      </c>
      <c r="X620" s="3"/>
      <c r="Y620" s="3"/>
      <c r="Z620" s="3" t="str">
        <f ca="1">IFERROR(__xludf.DUMMYFUNCTION("""COMPUTED_VALUE"""),"podklady@cncenter.cz")</f>
        <v>podklady@cncenter.cz</v>
      </c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 t="str">
        <f ca="1">IFERROR(__xludf.DUMMYFUNCTION("""COMPUTED_VALUE"""),"mobile")</f>
        <v>mobile</v>
      </c>
      <c r="AO620" s="3"/>
      <c r="AP620" s="3"/>
      <c r="AQ620" s="3"/>
      <c r="AR620" s="3"/>
      <c r="AS620" s="3"/>
      <c r="AT620" s="3"/>
      <c r="AU620" s="3" t="str">
        <f ca="1">IFERROR(__xludf.DUMMYFUNCTION("""COMPUTED_VALUE"""),"mobilní interscroller")</f>
        <v>mobilní interscroller</v>
      </c>
    </row>
    <row r="621" spans="1:47" x14ac:dyDescent="0.3">
      <c r="A621" s="3">
        <f ca="1"/>
        <v>2346826</v>
      </c>
      <c r="B621" s="3" t="str">
        <f ca="1"/>
        <v>CZECH NEWS CENTER a. s.</v>
      </c>
      <c r="C621" s="3" t="str">
        <f ca="1">IFERROR(__xludf.DUMMYFUNCTION("""COMPUTED_VALUE"""),"Frekvence1")</f>
        <v>Frekvence1</v>
      </c>
      <c r="D621" s="4" t="str">
        <f ca="1">IFERROR(__xludf.DUMMYFUNCTION("""COMPUTED_VALUE"""),"https://frekvence1.cz")</f>
        <v>https://frekvence1.cz</v>
      </c>
      <c r="E621" s="3" t="str">
        <f ca="1">IFERROR(__xludf.DUMMYFUNCTION("""COMPUTED_VALUE"""),"celý web")</f>
        <v>celý web</v>
      </c>
      <c r="F621" s="4" t="str">
        <f ca="1">IFERROR(__xludf.DUMMYFUNCTION("""COMPUTED_VALUE"""),"https://frekvence1.cz")</f>
        <v>https://frekvence1.cz</v>
      </c>
      <c r="G621" s="3" t="str">
        <f ca="1">IFERROR(__xludf.DUMMYFUNCTION("""COMPUTED_VALUE"""),"mobilní slide-up high season")</f>
        <v>mobilní slide-up high season</v>
      </c>
      <c r="H621" s="3">
        <f ca="1">IFERROR(__xludf.DUMMYFUNCTION("""COMPUTED_VALUE"""),7)</f>
        <v>7</v>
      </c>
      <c r="I621" s="5">
        <f ca="1">IFERROR(__xludf.DUMMYFUNCTION("""COMPUTED_VALUE"""),1000)</f>
        <v>1000</v>
      </c>
      <c r="J621" s="5">
        <f ca="1">IFERROR(__xludf.DUMMYFUNCTION("""COMPUTED_VALUE"""),920)</f>
        <v>920</v>
      </c>
      <c r="K621" s="3"/>
      <c r="L621" s="3" t="str">
        <f ca="1">IFERROR(__xludf.DUMMYFUNCTION("""COMPUTED_VALUE"""),"Cost per period")</f>
        <v>Cost per period</v>
      </c>
      <c r="M621" s="3"/>
      <c r="N621" s="3"/>
      <c r="O621" s="3" t="str">
        <f ca="1">IFERROR(__xludf.DUMMYFUNCTION("""COMPUTED_VALUE"""),"300")</f>
        <v>300</v>
      </c>
      <c r="P621" s="3" t="str">
        <f ca="1">IFERROR(__xludf.DUMMYFUNCTION("""COMPUTED_VALUE"""),"120")</f>
        <v>120</v>
      </c>
      <c r="Q621" s="3" t="str">
        <f ca="1">IFERROR(__xludf.DUMMYFUNCTION("""COMPUTED_VALUE"""),"300x120")</f>
        <v>300x120</v>
      </c>
      <c r="R621" s="3"/>
      <c r="S621" s="3" t="str">
        <f ca="1">IFERROR(__xludf.DUMMYFUNCTION("""COMPUTED_VALUE"""),"100")</f>
        <v>100</v>
      </c>
      <c r="T621" s="3"/>
      <c r="U621" s="3" t="str">
        <f ca="1">IFERROR(__xludf.DUMMYFUNCTION("""COMPUTED_VALUE"""),"banner standard")</f>
        <v>banner standard</v>
      </c>
      <c r="V621" s="3"/>
      <c r="W621" s="4" t="str">
        <f ca="1">IFERROR(__xludf.DUMMYFUNCTION("""COMPUTED_VALUE"""),"https://reklama.cncenter.cz/Online/mobilni-slide-up")</f>
        <v>https://reklama.cncenter.cz/Online/mobilni-slide-up</v>
      </c>
      <c r="X621" s="3"/>
      <c r="Y621" s="3"/>
      <c r="Z621" s="3" t="str">
        <f ca="1">IFERROR(__xludf.DUMMYFUNCTION("""COMPUTED_VALUE"""),"podklady@cncenter.cz")</f>
        <v>podklady@cncenter.cz</v>
      </c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 t="str">
        <f ca="1">IFERROR(__xludf.DUMMYFUNCTION("""COMPUTED_VALUE"""),"mobile")</f>
        <v>mobile</v>
      </c>
      <c r="AO621" s="3"/>
      <c r="AP621" s="3"/>
      <c r="AQ621" s="3"/>
      <c r="AR621" s="3"/>
      <c r="AS621" s="3"/>
      <c r="AT621" s="3"/>
      <c r="AU621" s="3" t="str">
        <f ca="1">IFERROR(__xludf.DUMMYFUNCTION("""COMPUTED_VALUE"""),"mobilní slide-up")</f>
        <v>mobilní slide-up</v>
      </c>
    </row>
    <row r="622" spans="1:47" x14ac:dyDescent="0.3">
      <c r="A622" s="3">
        <f ca="1"/>
        <v>2346826</v>
      </c>
      <c r="B622" s="3" t="str">
        <f ca="1"/>
        <v>CZECH NEWS CENTER a. s.</v>
      </c>
      <c r="C622" s="3" t="str">
        <f ca="1">IFERROR(__xludf.DUMMYFUNCTION("""COMPUTED_VALUE"""),"Frekvence1")</f>
        <v>Frekvence1</v>
      </c>
      <c r="D622" s="4" t="str">
        <f ca="1">IFERROR(__xludf.DUMMYFUNCTION("""COMPUTED_VALUE"""),"https://frekvence1.cz")</f>
        <v>https://frekvence1.cz</v>
      </c>
      <c r="E622" s="3" t="str">
        <f ca="1">IFERROR(__xludf.DUMMYFUNCTION("""COMPUTED_VALUE"""),"celý web")</f>
        <v>celý web</v>
      </c>
      <c r="F622" s="4" t="str">
        <f ca="1">IFERROR(__xludf.DUMMYFUNCTION("""COMPUTED_VALUE"""),"https://frekvence1.cz")</f>
        <v>https://frekvence1.cz</v>
      </c>
      <c r="G622" s="3" t="str">
        <f ca="1">IFERROR(__xludf.DUMMYFUNCTION("""COMPUTED_VALUE"""),"mobilní viněta high season")</f>
        <v>mobilní viněta high season</v>
      </c>
      <c r="H622" s="3">
        <f ca="1">IFERROR(__xludf.DUMMYFUNCTION("""COMPUTED_VALUE"""),7)</f>
        <v>7</v>
      </c>
      <c r="I622" s="5">
        <f ca="1">IFERROR(__xludf.DUMMYFUNCTION("""COMPUTED_VALUE"""),1000)</f>
        <v>1000</v>
      </c>
      <c r="J622" s="5">
        <f ca="1">IFERROR(__xludf.DUMMYFUNCTION("""COMPUTED_VALUE"""),1590)</f>
        <v>1590</v>
      </c>
      <c r="K622" s="3"/>
      <c r="L622" s="3" t="str">
        <f ca="1">IFERROR(__xludf.DUMMYFUNCTION("""COMPUTED_VALUE"""),"Cost per period")</f>
        <v>Cost per period</v>
      </c>
      <c r="M622" s="3"/>
      <c r="N622" s="3"/>
      <c r="O622" s="3" t="str">
        <f ca="1">IFERROR(__xludf.DUMMYFUNCTION("""COMPUTED_VALUE"""),"600")</f>
        <v>600</v>
      </c>
      <c r="P622" s="3" t="str">
        <f ca="1">IFERROR(__xludf.DUMMYFUNCTION("""COMPUTED_VALUE"""),"800")</f>
        <v>800</v>
      </c>
      <c r="Q622" s="3" t="str">
        <f ca="1">IFERROR(__xludf.DUMMYFUNCTION("""COMPUTED_VALUE"""),"300x250 nebo 600x800")</f>
        <v>300x250 nebo 600x800</v>
      </c>
      <c r="R622" s="3"/>
      <c r="S622" s="3" t="str">
        <f ca="1">IFERROR(__xludf.DUMMYFUNCTION("""COMPUTED_VALUE"""),"100")</f>
        <v>100</v>
      </c>
      <c r="T622" s="3"/>
      <c r="U622" s="3" t="str">
        <f ca="1">IFERROR(__xludf.DUMMYFUNCTION("""COMPUTED_VALUE"""),"banner standard")</f>
        <v>banner standard</v>
      </c>
      <c r="V622" s="3"/>
      <c r="W622" s="4" t="str">
        <f ca="1">IFERROR(__xludf.DUMMYFUNCTION("""COMPUTED_VALUE"""),"https://reklama.cncenter.cz/Online/mobilni-vineta")</f>
        <v>https://reklama.cncenter.cz/Online/mobilni-vineta</v>
      </c>
      <c r="X622" s="3"/>
      <c r="Y622" s="3"/>
      <c r="Z622" s="3" t="str">
        <f ca="1">IFERROR(__xludf.DUMMYFUNCTION("""COMPUTED_VALUE"""),"podklady@cncenter.cz")</f>
        <v>podklady@cncenter.cz</v>
      </c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 t="str">
        <f ca="1">IFERROR(__xludf.DUMMYFUNCTION("""COMPUTED_VALUE"""),"mobile")</f>
        <v>mobile</v>
      </c>
      <c r="AO622" s="3"/>
      <c r="AP622" s="3"/>
      <c r="AQ622" s="3"/>
      <c r="AR622" s="3"/>
      <c r="AS622" s="3"/>
      <c r="AT622" s="3"/>
      <c r="AU622" s="3" t="str">
        <f ca="1">IFERROR(__xludf.DUMMYFUNCTION("""COMPUTED_VALUE"""),"mobilní viněta")</f>
        <v>mobilní viněta</v>
      </c>
    </row>
    <row r="623" spans="1:47" x14ac:dyDescent="0.3">
      <c r="A623" s="3">
        <f ca="1"/>
        <v>2346826</v>
      </c>
      <c r="B623" s="3" t="str">
        <f ca="1"/>
        <v>CZECH NEWS CENTER a. s.</v>
      </c>
      <c r="C623" s="3" t="str">
        <f ca="1">IFERROR(__xludf.DUMMYFUNCTION("""COMPUTED_VALUE"""),"Frekvence1")</f>
        <v>Frekvence1</v>
      </c>
      <c r="D623" s="4" t="str">
        <f ca="1">IFERROR(__xludf.DUMMYFUNCTION("""COMPUTED_VALUE"""),"https://frekvence1.cz")</f>
        <v>https://frekvence1.cz</v>
      </c>
      <c r="E623" s="3" t="str">
        <f ca="1">IFERROR(__xludf.DUMMYFUNCTION("""COMPUTED_VALUE"""),"celý web")</f>
        <v>celý web</v>
      </c>
      <c r="F623" s="4" t="str">
        <f ca="1">IFERROR(__xludf.DUMMYFUNCTION("""COMPUTED_VALUE"""),"https://frekvence1.cz")</f>
        <v>https://frekvence1.cz</v>
      </c>
      <c r="G623" s="3" t="str">
        <f ca="1">IFERROR(__xludf.DUMMYFUNCTION("""COMPUTED_VALUE"""),"nativní rectangle cross-device high season")</f>
        <v>nativní rectangle cross-device high season</v>
      </c>
      <c r="H623" s="3">
        <f ca="1">IFERROR(__xludf.DUMMYFUNCTION("""COMPUTED_VALUE"""),7)</f>
        <v>7</v>
      </c>
      <c r="I623" s="5">
        <f ca="1">IFERROR(__xludf.DUMMYFUNCTION("""COMPUTED_VALUE"""),1000)</f>
        <v>1000</v>
      </c>
      <c r="J623" s="5">
        <f ca="1">IFERROR(__xludf.DUMMYFUNCTION("""COMPUTED_VALUE"""),360)</f>
        <v>360</v>
      </c>
      <c r="K623" s="3"/>
      <c r="L623" s="3" t="str">
        <f ca="1">IFERROR(__xludf.DUMMYFUNCTION("""COMPUTED_VALUE"""),"Cost per period")</f>
        <v>Cost per period</v>
      </c>
      <c r="M623" s="3"/>
      <c r="N623" s="3"/>
      <c r="O623" s="3" t="str">
        <f ca="1">IFERROR(__xludf.DUMMYFUNCTION("""COMPUTED_VALUE"""),"640")</f>
        <v>640</v>
      </c>
      <c r="P623" s="3" t="str">
        <f ca="1">IFERROR(__xludf.DUMMYFUNCTION("""COMPUTED_VALUE"""),"335, 640")</f>
        <v>335, 640</v>
      </c>
      <c r="Q623" s="3" t="str">
        <f ca="1">IFERROR(__xludf.DUMMYFUNCTION("""COMPUTED_VALUE"""),"640x640 a 640x335 + text + logo")</f>
        <v>640x640 a 640x335 + text + logo</v>
      </c>
      <c r="R623" s="3"/>
      <c r="S623" s="3" t="str">
        <f ca="1">IFERROR(__xludf.DUMMYFUNCTION("""COMPUTED_VALUE"""),"45")</f>
        <v>45</v>
      </c>
      <c r="T623" s="3"/>
      <c r="U623" s="3" t="str">
        <f ca="1">IFERROR(__xludf.DUMMYFUNCTION("""COMPUTED_VALUE"""),"nativní reklama")</f>
        <v>nativní reklama</v>
      </c>
      <c r="V623" s="3"/>
      <c r="W623" s="4" t="str">
        <f ca="1">IFERROR(__xludf.DUMMYFUNCTION("""COMPUTED_VALUE"""),"https://reklama.cncenter.cz/Online/nativni-rectangle-cross-device")</f>
        <v>https://reklama.cncenter.cz/Online/nativni-rectangle-cross-device</v>
      </c>
      <c r="X623" s="3"/>
      <c r="Y623" s="3"/>
      <c r="Z623" s="3" t="str">
        <f ca="1">IFERROR(__xludf.DUMMYFUNCTION("""COMPUTED_VALUE"""),"podklady@cncenter.cz")</f>
        <v>podklady@cncenter.cz</v>
      </c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 t="str">
        <f ca="1">IFERROR(__xludf.DUMMYFUNCTION("""COMPUTED_VALUE"""),"cross-device")</f>
        <v>cross-device</v>
      </c>
      <c r="AO623" s="3"/>
      <c r="AP623" s="3"/>
      <c r="AQ623" s="3"/>
      <c r="AR623" s="3"/>
      <c r="AS623" s="3"/>
      <c r="AT623" s="3"/>
      <c r="AU623" s="3" t="str">
        <f ca="1">IFERROR(__xludf.DUMMYFUNCTION("""COMPUTED_VALUE"""),"nativní rectangle cross-device")</f>
        <v>nativní rectangle cross-device</v>
      </c>
    </row>
    <row r="624" spans="1:47" x14ac:dyDescent="0.3">
      <c r="A624" s="3">
        <f ca="1"/>
        <v>2346826</v>
      </c>
      <c r="B624" s="3" t="str">
        <f ca="1"/>
        <v>CZECH NEWS CENTER a. s.</v>
      </c>
      <c r="C624" s="3" t="str">
        <f ca="1">IFERROR(__xludf.DUMMYFUNCTION("""COMPUTED_VALUE"""),"Frekvence1")</f>
        <v>Frekvence1</v>
      </c>
      <c r="D624" s="4" t="str">
        <f ca="1">IFERROR(__xludf.DUMMYFUNCTION("""COMPUTED_VALUE"""),"https://frekvence1.cz")</f>
        <v>https://frekvence1.cz</v>
      </c>
      <c r="E624" s="3" t="str">
        <f ca="1">IFERROR(__xludf.DUMMYFUNCTION("""COMPUTED_VALUE"""),"celý web")</f>
        <v>celý web</v>
      </c>
      <c r="F624" s="4" t="str">
        <f ca="1">IFERROR(__xludf.DUMMYFUNCTION("""COMPUTED_VALUE"""),"https://frekvence1.cz")</f>
        <v>https://frekvence1.cz</v>
      </c>
      <c r="G624" s="3" t="str">
        <f ca="1">IFERROR(__xludf.DUMMYFUNCTION("""COMPUTED_VALUE"""),"videospot - max. 30 sec. / bumper high season")</f>
        <v>videospot - max. 30 sec. / bumper high season</v>
      </c>
      <c r="H624" s="3">
        <f ca="1">IFERROR(__xludf.DUMMYFUNCTION("""COMPUTED_VALUE"""),7)</f>
        <v>7</v>
      </c>
      <c r="I624" s="5">
        <f ca="1">IFERROR(__xludf.DUMMYFUNCTION("""COMPUTED_VALUE"""),1000)</f>
        <v>1000</v>
      </c>
      <c r="J624" s="5">
        <f ca="1">IFERROR(__xludf.DUMMYFUNCTION("""COMPUTED_VALUE"""),1340)</f>
        <v>1340</v>
      </c>
      <c r="K624" s="3"/>
      <c r="L624" s="3" t="str">
        <f ca="1">IFERROR(__xludf.DUMMYFUNCTION("""COMPUTED_VALUE"""),"Cost per period")</f>
        <v>Cost per period</v>
      </c>
      <c r="M624" s="3"/>
      <c r="N624" s="3"/>
      <c r="O624" s="3" t="str">
        <f ca="1">IFERROR(__xludf.DUMMYFUNCTION("""COMPUTED_VALUE"""),"1280")</f>
        <v>1280</v>
      </c>
      <c r="P624" s="3" t="str">
        <f ca="1">IFERROR(__xludf.DUMMYFUNCTION("""COMPUTED_VALUE"""),"720")</f>
        <v>720</v>
      </c>
      <c r="Q624" s="3" t="str">
        <f ca="1">IFERROR(__xludf.DUMMYFUNCTION("""COMPUTED_VALUE"""),"16:9 / umístění po domluvě dle možností")</f>
        <v>16:9 / umístění po domluvě dle možností</v>
      </c>
      <c r="R624" s="3" t="str">
        <f ca="1">IFERROR(__xludf.DUMMYFUNCTION("""COMPUTED_VALUE"""),"přeskočení po 7 sekundách")</f>
        <v>přeskočení po 7 sekundách</v>
      </c>
      <c r="S624" s="3" t="str">
        <f ca="1">IFERROR(__xludf.DUMMYFUNCTION("""COMPUTED_VALUE"""),"100")</f>
        <v>100</v>
      </c>
      <c r="T624" s="3"/>
      <c r="U624" s="3" t="str">
        <f ca="1">IFERROR(__xludf.DUMMYFUNCTION("""COMPUTED_VALUE"""),"videospot")</f>
        <v>videospot</v>
      </c>
      <c r="V624" s="3"/>
      <c r="W624" s="4" t="str">
        <f ca="1">IFERROR(__xludf.DUMMYFUNCTION("""COMPUTED_VALUE"""),"https://reklama.cncenter.cz/Online/Bumper")</f>
        <v>https://reklama.cncenter.cz/Online/Bumper</v>
      </c>
      <c r="X624" s="3"/>
      <c r="Y624" s="3"/>
      <c r="Z624" s="3" t="str">
        <f ca="1">IFERROR(__xludf.DUMMYFUNCTION("""COMPUTED_VALUE"""),"podklady@cncenter.cz")</f>
        <v>podklady@cncenter.cz</v>
      </c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 t="str">
        <f ca="1">IFERROR(__xludf.DUMMYFUNCTION("""COMPUTED_VALUE"""),"cross-device")</f>
        <v>cross-device</v>
      </c>
      <c r="AO624" s="3"/>
      <c r="AP624" s="3"/>
      <c r="AQ624" s="3"/>
      <c r="AR624" s="3"/>
      <c r="AS624" s="3"/>
      <c r="AT624" s="3"/>
      <c r="AU624" s="3" t="str">
        <f ca="1">IFERROR(__xludf.DUMMYFUNCTION("""COMPUTED_VALUE"""),"videospot - max. 30 sec. / bumper")</f>
        <v>videospot - max. 30 sec. / bumper</v>
      </c>
    </row>
    <row r="625" spans="1:47" x14ac:dyDescent="0.3">
      <c r="A625" s="3">
        <f ca="1"/>
        <v>2346826</v>
      </c>
      <c r="B625" s="3" t="str">
        <f ca="1"/>
        <v>CZECH NEWS CENTER a. s.</v>
      </c>
      <c r="C625" s="3" t="str">
        <f ca="1">IFERROR(__xludf.DUMMYFUNCTION("""COMPUTED_VALUE"""),"Heureka")</f>
        <v>Heureka</v>
      </c>
      <c r="D625" s="4" t="str">
        <f ca="1">IFERROR(__xludf.DUMMYFUNCTION("""COMPUTED_VALUE"""),"https://www.heureka.cz")</f>
        <v>https://www.heureka.cz</v>
      </c>
      <c r="E625" s="3" t="str">
        <f ca="1">IFERROR(__xludf.DUMMYFUNCTION("""COMPUTED_VALUE"""),"celý web")</f>
        <v>celý web</v>
      </c>
      <c r="F625" s="4" t="str">
        <f ca="1">IFERROR(__xludf.DUMMYFUNCTION("""COMPUTED_VALUE"""),"https://www.heureka.cz")</f>
        <v>https://www.heureka.cz</v>
      </c>
      <c r="G625" s="3" t="str">
        <f ca="1">IFERROR(__xludf.DUMMYFUNCTION("""COMPUTED_VALUE"""),"wallpaper mid season")</f>
        <v>wallpaper mid season</v>
      </c>
      <c r="H625" s="3">
        <f ca="1">IFERROR(__xludf.DUMMYFUNCTION("""COMPUTED_VALUE"""),7)</f>
        <v>7</v>
      </c>
      <c r="I625" s="5">
        <f ca="1">IFERROR(__xludf.DUMMYFUNCTION("""COMPUTED_VALUE"""),1000)</f>
        <v>1000</v>
      </c>
      <c r="J625" s="5">
        <f ca="1">IFERROR(__xludf.DUMMYFUNCTION("""COMPUTED_VALUE"""),150)</f>
        <v>150</v>
      </c>
      <c r="K625" s="3"/>
      <c r="L625" s="3" t="str">
        <f ca="1">IFERROR(__xludf.DUMMYFUNCTION("""COMPUTED_VALUE"""),"Cost per period")</f>
        <v>Cost per period</v>
      </c>
      <c r="M625" s="3"/>
      <c r="N625" s="3"/>
      <c r="O625" s="3"/>
      <c r="P625" s="3"/>
      <c r="Q625" s="3" t="str">
        <f ca="1">IFERROR(__xludf.DUMMYFUNCTION("""COMPUTED_VALUE"""),"970x310, 300x300")</f>
        <v>970x310, 300x300</v>
      </c>
      <c r="R625" s="3"/>
      <c r="S625" s="3" t="str">
        <f ca="1">IFERROR(__xludf.DUMMYFUNCTION("""COMPUTED_VALUE"""),"100")</f>
        <v>100</v>
      </c>
      <c r="T625" s="3"/>
      <c r="U625" s="3" t="str">
        <f ca="1">IFERROR(__xludf.DUMMYFUNCTION("""COMPUTED_VALUE"""),"banner standard")</f>
        <v>banner standard</v>
      </c>
      <c r="V625" s="3"/>
      <c r="W625" s="4" t="str">
        <f ca="1">IFERROR(__xludf.DUMMYFUNCTION("""COMPUTED_VALUE"""),"https://reklama.cncenter.cz/Online/heureka-wallpaper")</f>
        <v>https://reklama.cncenter.cz/Online/heureka-wallpaper</v>
      </c>
      <c r="X625" s="3"/>
      <c r="Y625" s="3"/>
      <c r="Z625" s="3" t="str">
        <f ca="1">IFERROR(__xludf.DUMMYFUNCTION("""COMPUTED_VALUE"""),"podklady@cncenter.cz")</f>
        <v>podklady@cncenter.cz</v>
      </c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 t="str">
        <f ca="1">IFERROR(__xludf.DUMMYFUNCTION("""COMPUTED_VALUE"""),"cross-device")</f>
        <v>cross-device</v>
      </c>
      <c r="AO625" s="3"/>
      <c r="AP625" s="3"/>
      <c r="AQ625" s="3"/>
      <c r="AR625" s="3"/>
      <c r="AS625" s="3"/>
      <c r="AT625" s="3"/>
      <c r="AU625" s="3" t="str">
        <f ca="1">IFERROR(__xludf.DUMMYFUNCTION("""COMPUTED_VALUE"""),"wallpaper")</f>
        <v>wallpaper</v>
      </c>
    </row>
    <row r="626" spans="1:47" x14ac:dyDescent="0.3">
      <c r="A626" s="3">
        <f ca="1"/>
        <v>2346826</v>
      </c>
      <c r="B626" s="3" t="str">
        <f ca="1"/>
        <v>CZECH NEWS CENTER a. s.</v>
      </c>
      <c r="C626" s="3" t="str">
        <f ca="1">IFERROR(__xludf.DUMMYFUNCTION("""COMPUTED_VALUE"""),"Hledej ceny")</f>
        <v>Hledej ceny</v>
      </c>
      <c r="D626" s="4" t="str">
        <f ca="1">IFERROR(__xludf.DUMMYFUNCTION("""COMPUTED_VALUE"""),"https://hledejceny.cz")</f>
        <v>https://hledejceny.cz</v>
      </c>
      <c r="E626" s="3" t="str">
        <f ca="1">IFERROR(__xludf.DUMMYFUNCTION("""COMPUTED_VALUE"""),"celý web")</f>
        <v>celý web</v>
      </c>
      <c r="F626" s="4" t="str">
        <f ca="1">IFERROR(__xludf.DUMMYFUNCTION("""COMPUTED_VALUE"""),"https://hledejceny.cz")</f>
        <v>https://hledejceny.cz</v>
      </c>
      <c r="G626" s="3" t="str">
        <f ca="1">IFERROR(__xludf.DUMMYFUNCTION("""COMPUTED_VALUE"""),"billboard bottom high season")</f>
        <v>billboard bottom high season</v>
      </c>
      <c r="H626" s="3">
        <f ca="1">IFERROR(__xludf.DUMMYFUNCTION("""COMPUTED_VALUE"""),7)</f>
        <v>7</v>
      </c>
      <c r="I626" s="5">
        <f ca="1">IFERROR(__xludf.DUMMYFUNCTION("""COMPUTED_VALUE"""),1000)</f>
        <v>1000</v>
      </c>
      <c r="J626" s="5">
        <f ca="1">IFERROR(__xludf.DUMMYFUNCTION("""COMPUTED_VALUE"""),440)</f>
        <v>440</v>
      </c>
      <c r="K626" s="3"/>
      <c r="L626" s="3" t="str">
        <f ca="1">IFERROR(__xludf.DUMMYFUNCTION("""COMPUTED_VALUE"""),"Cost per period")</f>
        <v>Cost per period</v>
      </c>
      <c r="M626" s="3"/>
      <c r="N626" s="3"/>
      <c r="O626" s="3" t="str">
        <f ca="1">IFERROR(__xludf.DUMMYFUNCTION("""COMPUTED_VALUE"""),"970")</f>
        <v>970</v>
      </c>
      <c r="P626" s="3" t="str">
        <f ca="1">IFERROR(__xludf.DUMMYFUNCTION("""COMPUTED_VALUE"""),"250")</f>
        <v>250</v>
      </c>
      <c r="Q626" s="3" t="str">
        <f ca="1">IFERROR(__xludf.DUMMYFUNCTION("""COMPUTED_VALUE"""),"970x250")</f>
        <v>970x250</v>
      </c>
      <c r="R626" s="3"/>
      <c r="S626" s="3" t="str">
        <f ca="1">IFERROR(__xludf.DUMMYFUNCTION("""COMPUTED_VALUE"""),"100 (200 - HTML5)")</f>
        <v>100 (200 - HTML5)</v>
      </c>
      <c r="T626" s="3"/>
      <c r="U626" s="3" t="str">
        <f ca="1">IFERROR(__xludf.DUMMYFUNCTION("""COMPUTED_VALUE"""),"banner standard")</f>
        <v>banner standard</v>
      </c>
      <c r="V626" s="3"/>
      <c r="W626" s="4" t="str">
        <f ca="1">IFERROR(__xludf.DUMMYFUNCTION("""COMPUTED_VALUE"""),"https://reklama.cncenter.cz/Online/billboard-bottom")</f>
        <v>https://reklama.cncenter.cz/Online/billboard-bottom</v>
      </c>
      <c r="X626" s="3"/>
      <c r="Y626" s="3"/>
      <c r="Z626" s="3" t="str">
        <f ca="1">IFERROR(__xludf.DUMMYFUNCTION("""COMPUTED_VALUE"""),"podklady@cncenter.cz")</f>
        <v>podklady@cncenter.cz</v>
      </c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 t="str">
        <f ca="1">IFERROR(__xludf.DUMMYFUNCTION("""COMPUTED_VALUE"""),"desktop")</f>
        <v>desktop</v>
      </c>
      <c r="AO626" s="3"/>
      <c r="AP626" s="3"/>
      <c r="AQ626" s="3"/>
      <c r="AR626" s="3"/>
      <c r="AS626" s="3"/>
      <c r="AT626" s="3"/>
      <c r="AU626" s="3" t="str">
        <f ca="1">IFERROR(__xludf.DUMMYFUNCTION("""COMPUTED_VALUE"""),"billboard bottom")</f>
        <v>billboard bottom</v>
      </c>
    </row>
    <row r="627" spans="1:47" x14ac:dyDescent="0.3">
      <c r="A627" s="3">
        <f ca="1"/>
        <v>2346826</v>
      </c>
      <c r="B627" s="3" t="str">
        <f ca="1"/>
        <v>CZECH NEWS CENTER a. s.</v>
      </c>
      <c r="C627" s="3" t="str">
        <f ca="1">IFERROR(__xludf.DUMMYFUNCTION("""COMPUTED_VALUE"""),"Hledej ceny")</f>
        <v>Hledej ceny</v>
      </c>
      <c r="D627" s="4" t="str">
        <f ca="1">IFERROR(__xludf.DUMMYFUNCTION("""COMPUTED_VALUE"""),"https://hledejceny.cz")</f>
        <v>https://hledejceny.cz</v>
      </c>
      <c r="E627" s="3" t="str">
        <f ca="1">IFERROR(__xludf.DUMMYFUNCTION("""COMPUTED_VALUE"""),"celý web")</f>
        <v>celý web</v>
      </c>
      <c r="F627" s="4" t="str">
        <f ca="1">IFERROR(__xludf.DUMMYFUNCTION("""COMPUTED_VALUE"""),"https://hledejceny.cz")</f>
        <v>https://hledejceny.cz</v>
      </c>
      <c r="G627" s="3" t="str">
        <f ca="1">IFERROR(__xludf.DUMMYFUNCTION("""COMPUTED_VALUE"""),"branding cross-device high season")</f>
        <v>branding cross-device high season</v>
      </c>
      <c r="H627" s="3">
        <f ca="1">IFERROR(__xludf.DUMMYFUNCTION("""COMPUTED_VALUE"""),7)</f>
        <v>7</v>
      </c>
      <c r="I627" s="5">
        <f ca="1">IFERROR(__xludf.DUMMYFUNCTION("""COMPUTED_VALUE"""),1000)</f>
        <v>1000</v>
      </c>
      <c r="J627" s="5">
        <f ca="1">IFERROR(__xludf.DUMMYFUNCTION("""COMPUTED_VALUE"""),540)</f>
        <v>540</v>
      </c>
      <c r="K627" s="3"/>
      <c r="L627" s="3" t="str">
        <f ca="1">IFERROR(__xludf.DUMMYFUNCTION("""COMPUTED_VALUE"""),"Cost per period")</f>
        <v>Cost per period</v>
      </c>
      <c r="M627" s="3"/>
      <c r="N627" s="3"/>
      <c r="O627" s="3" t="str">
        <f ca="1">IFERROR(__xludf.DUMMYFUNCTION("""COMPUTED_VALUE"""),"2000")</f>
        <v>2000</v>
      </c>
      <c r="P627" s="3" t="str">
        <f ca="1">IFERROR(__xludf.DUMMYFUNCTION("""COMPUTED_VALUE"""),"1400")</f>
        <v>1400</v>
      </c>
      <c r="Q627" s="3" t="str">
        <f ca="1">IFERROR(__xludf.DUMMYFUNCTION("""COMPUTED_VALUE"""),"2000x1400 + 600x1080")</f>
        <v>2000x1400 + 600x1080</v>
      </c>
      <c r="R627" s="3"/>
      <c r="S627" s="3" t="str">
        <f ca="1">IFERROR(__xludf.DUMMYFUNCTION("""COMPUTED_VALUE"""),"500 (600 - HTLM5)")</f>
        <v>500 (600 - HTLM5)</v>
      </c>
      <c r="T627" s="3"/>
      <c r="U627" s="3" t="str">
        <f ca="1">IFERROR(__xludf.DUMMYFUNCTION("""COMPUTED_VALUE"""),"banner standard")</f>
        <v>banner standard</v>
      </c>
      <c r="V627" s="3"/>
      <c r="W627" s="4" t="str">
        <f ca="1">IFERROR(__xludf.DUMMYFUNCTION("""COMPUTED_VALUE"""),"https://reklama.cncenter.cz/Online/branding-cross-device")</f>
        <v>https://reklama.cncenter.cz/Online/branding-cross-device</v>
      </c>
      <c r="X627" s="3"/>
      <c r="Y627" s="3"/>
      <c r="Z627" s="3" t="str">
        <f ca="1">IFERROR(__xludf.DUMMYFUNCTION("""COMPUTED_VALUE"""),"podklady@cncenter.cz")</f>
        <v>podklady@cncenter.cz</v>
      </c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 t="str">
        <f ca="1">IFERROR(__xludf.DUMMYFUNCTION("""COMPUTED_VALUE"""),"cross-device")</f>
        <v>cross-device</v>
      </c>
      <c r="AO627" s="3"/>
      <c r="AP627" s="3"/>
      <c r="AQ627" s="3"/>
      <c r="AR627" s="3"/>
      <c r="AS627" s="3"/>
      <c r="AT627" s="3"/>
      <c r="AU627" s="3" t="str">
        <f ca="1">IFERROR(__xludf.DUMMYFUNCTION("""COMPUTED_VALUE"""),"branding cross-device")</f>
        <v>branding cross-device</v>
      </c>
    </row>
    <row r="628" spans="1:47" x14ac:dyDescent="0.3">
      <c r="A628" s="3">
        <f ca="1"/>
        <v>2346826</v>
      </c>
      <c r="B628" s="3" t="str">
        <f ca="1"/>
        <v>CZECH NEWS CENTER a. s.</v>
      </c>
      <c r="C628" s="3" t="str">
        <f ca="1">IFERROR(__xludf.DUMMYFUNCTION("""COMPUTED_VALUE"""),"Hledej ceny")</f>
        <v>Hledej ceny</v>
      </c>
      <c r="D628" s="4" t="str">
        <f ca="1">IFERROR(__xludf.DUMMYFUNCTION("""COMPUTED_VALUE"""),"https://hledejceny.cz")</f>
        <v>https://hledejceny.cz</v>
      </c>
      <c r="E628" s="3" t="str">
        <f ca="1">IFERROR(__xludf.DUMMYFUNCTION("""COMPUTED_VALUE"""),"celý web")</f>
        <v>celý web</v>
      </c>
      <c r="F628" s="4" t="str">
        <f ca="1">IFERROR(__xludf.DUMMYFUNCTION("""COMPUTED_VALUE"""),"https://hledejceny.cz")</f>
        <v>https://hledejceny.cz</v>
      </c>
      <c r="G628" s="3" t="str">
        <f ca="1">IFERROR(__xludf.DUMMYFUNCTION("""COMPUTED_VALUE"""),"branding high season")</f>
        <v>branding high season</v>
      </c>
      <c r="H628" s="3">
        <f ca="1">IFERROR(__xludf.DUMMYFUNCTION("""COMPUTED_VALUE"""),7)</f>
        <v>7</v>
      </c>
      <c r="I628" s="5">
        <f ca="1">IFERROR(__xludf.DUMMYFUNCTION("""COMPUTED_VALUE"""),1000)</f>
        <v>1000</v>
      </c>
      <c r="J628" s="5">
        <f ca="1">IFERROR(__xludf.DUMMYFUNCTION("""COMPUTED_VALUE"""),890)</f>
        <v>890</v>
      </c>
      <c r="K628" s="3"/>
      <c r="L628" s="3" t="str">
        <f ca="1">IFERROR(__xludf.DUMMYFUNCTION("""COMPUTED_VALUE"""),"Cost per period")</f>
        <v>Cost per period</v>
      </c>
      <c r="M628" s="3"/>
      <c r="N628" s="3"/>
      <c r="O628" s="3" t="str">
        <f ca="1">IFERROR(__xludf.DUMMYFUNCTION("""COMPUTED_VALUE"""),"2000")</f>
        <v>2000</v>
      </c>
      <c r="P628" s="3" t="str">
        <f ca="1">IFERROR(__xludf.DUMMYFUNCTION("""COMPUTED_VALUE"""),"1400")</f>
        <v>1400</v>
      </c>
      <c r="Q628" s="3" t="str">
        <f ca="1">IFERROR(__xludf.DUMMYFUNCTION("""COMPUTED_VALUE"""),"2000x1400")</f>
        <v>2000x1400</v>
      </c>
      <c r="R628" s="3"/>
      <c r="S628" s="3" t="str">
        <f ca="1">IFERROR(__xludf.DUMMYFUNCTION("""COMPUTED_VALUE"""),"500 + 200 (600+200 HTML5)")</f>
        <v>500 + 200 (600+200 HTML5)</v>
      </c>
      <c r="T628" s="3"/>
      <c r="U628" s="3" t="str">
        <f ca="1">IFERROR(__xludf.DUMMYFUNCTION("""COMPUTED_VALUE"""),"banner standard")</f>
        <v>banner standard</v>
      </c>
      <c r="V628" s="3"/>
      <c r="W628" s="4" t="str">
        <f ca="1">IFERROR(__xludf.DUMMYFUNCTION("""COMPUTED_VALUE"""),"https://reklama.cncenter.cz/Online/branding")</f>
        <v>https://reklama.cncenter.cz/Online/branding</v>
      </c>
      <c r="X628" s="3"/>
      <c r="Y628" s="3"/>
      <c r="Z628" s="3" t="str">
        <f ca="1">IFERROR(__xludf.DUMMYFUNCTION("""COMPUTED_VALUE"""),"podklady@cncenter.cz")</f>
        <v>podklady@cncenter.cz</v>
      </c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 t="str">
        <f ca="1">IFERROR(__xludf.DUMMYFUNCTION("""COMPUTED_VALUE"""),"desktop")</f>
        <v>desktop</v>
      </c>
      <c r="AO628" s="3"/>
      <c r="AP628" s="3"/>
      <c r="AQ628" s="3"/>
      <c r="AR628" s="3"/>
      <c r="AS628" s="3"/>
      <c r="AT628" s="3"/>
      <c r="AU628" s="3" t="str">
        <f ca="1">IFERROR(__xludf.DUMMYFUNCTION("""COMPUTED_VALUE"""),"branding")</f>
        <v>branding</v>
      </c>
    </row>
    <row r="629" spans="1:47" x14ac:dyDescent="0.3">
      <c r="A629" s="3">
        <f ca="1"/>
        <v>2346826</v>
      </c>
      <c r="B629" s="3" t="str">
        <f ca="1"/>
        <v>CZECH NEWS CENTER a. s.</v>
      </c>
      <c r="C629" s="3" t="str">
        <f ca="1">IFERROR(__xludf.DUMMYFUNCTION("""COMPUTED_VALUE"""),"Hledej ceny")</f>
        <v>Hledej ceny</v>
      </c>
      <c r="D629" s="4" t="str">
        <f ca="1">IFERROR(__xludf.DUMMYFUNCTION("""COMPUTED_VALUE"""),"https://hledejceny.cz")</f>
        <v>https://hledejceny.cz</v>
      </c>
      <c r="E629" s="3" t="str">
        <f ca="1">IFERROR(__xludf.DUMMYFUNCTION("""COMPUTED_VALUE"""),"celý web")</f>
        <v>celý web</v>
      </c>
      <c r="F629" s="4" t="str">
        <f ca="1">IFERROR(__xludf.DUMMYFUNCTION("""COMPUTED_VALUE"""),"https://hledejceny.cz")</f>
        <v>https://hledejceny.cz</v>
      </c>
      <c r="G629" s="3" t="str">
        <f ca="1">IFERROR(__xludf.DUMMYFUNCTION("""COMPUTED_VALUE"""),"cílený billboard bottom high season")</f>
        <v>cílený billboard bottom high season</v>
      </c>
      <c r="H629" s="3">
        <f ca="1">IFERROR(__xludf.DUMMYFUNCTION("""COMPUTED_VALUE"""),7)</f>
        <v>7</v>
      </c>
      <c r="I629" s="5">
        <f ca="1">IFERROR(__xludf.DUMMYFUNCTION("""COMPUTED_VALUE"""),1000)</f>
        <v>1000</v>
      </c>
      <c r="J629" s="5">
        <f ca="1">IFERROR(__xludf.DUMMYFUNCTION("""COMPUTED_VALUE"""),528)</f>
        <v>528</v>
      </c>
      <c r="K629" s="3"/>
      <c r="L629" s="3" t="str">
        <f ca="1">IFERROR(__xludf.DUMMYFUNCTION("""COMPUTED_VALUE"""),"Cost per period")</f>
        <v>Cost per period</v>
      </c>
      <c r="M629" s="3"/>
      <c r="N629" s="3"/>
      <c r="O629" s="3" t="str">
        <f ca="1">IFERROR(__xludf.DUMMYFUNCTION("""COMPUTED_VALUE"""),"970")</f>
        <v>970</v>
      </c>
      <c r="P629" s="3" t="str">
        <f ca="1">IFERROR(__xludf.DUMMYFUNCTION("""COMPUTED_VALUE"""),"250")</f>
        <v>250</v>
      </c>
      <c r="Q629" s="3" t="str">
        <f ca="1">IFERROR(__xludf.DUMMYFUNCTION("""COMPUTED_VALUE"""),"970x250")</f>
        <v>970x250</v>
      </c>
      <c r="R629" s="3"/>
      <c r="S629" s="3" t="str">
        <f ca="1">IFERROR(__xludf.DUMMYFUNCTION("""COMPUTED_VALUE"""),"100 (200 - HTML5)")</f>
        <v>100 (200 - HTML5)</v>
      </c>
      <c r="T629" s="3"/>
      <c r="U629" s="3" t="str">
        <f ca="1">IFERROR(__xludf.DUMMYFUNCTION("""COMPUTED_VALUE"""),"banner standard")</f>
        <v>banner standard</v>
      </c>
      <c r="V629" s="3"/>
      <c r="W629" s="4" t="str">
        <f ca="1">IFERROR(__xludf.DUMMYFUNCTION("""COMPUTED_VALUE"""),"https://reklama.cncenter.cz/Online/billboard-bottom")</f>
        <v>https://reklama.cncenter.cz/Online/billboard-bottom</v>
      </c>
      <c r="X629" s="3"/>
      <c r="Y629" s="3"/>
      <c r="Z629" s="3" t="str">
        <f ca="1">IFERROR(__xludf.DUMMYFUNCTION("""COMPUTED_VALUE"""),"podklady@cncenter.cz")</f>
        <v>podklady@cncenter.cz</v>
      </c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 t="str">
        <f ca="1">IFERROR(__xludf.DUMMYFUNCTION("""COMPUTED_VALUE"""),"desktop")</f>
        <v>desktop</v>
      </c>
      <c r="AO629" s="3"/>
      <c r="AP629" s="3"/>
      <c r="AQ629" s="3"/>
      <c r="AR629" s="3"/>
      <c r="AS629" s="3"/>
      <c r="AT629" s="3"/>
      <c r="AU629" s="3" t="str">
        <f ca="1">IFERROR(__xludf.DUMMYFUNCTION("""COMPUTED_VALUE"""),"cílený billboard bottom")</f>
        <v>cílený billboard bottom</v>
      </c>
    </row>
    <row r="630" spans="1:47" x14ac:dyDescent="0.3">
      <c r="A630" s="3">
        <f ca="1"/>
        <v>2346826</v>
      </c>
      <c r="B630" s="3" t="str">
        <f ca="1"/>
        <v>CZECH NEWS CENTER a. s.</v>
      </c>
      <c r="C630" s="3" t="str">
        <f ca="1">IFERROR(__xludf.DUMMYFUNCTION("""COMPUTED_VALUE"""),"Hledej ceny")</f>
        <v>Hledej ceny</v>
      </c>
      <c r="D630" s="4" t="str">
        <f ca="1">IFERROR(__xludf.DUMMYFUNCTION("""COMPUTED_VALUE"""),"https://hledejceny.cz")</f>
        <v>https://hledejceny.cz</v>
      </c>
      <c r="E630" s="3" t="str">
        <f ca="1">IFERROR(__xludf.DUMMYFUNCTION("""COMPUTED_VALUE"""),"celý web")</f>
        <v>celý web</v>
      </c>
      <c r="F630" s="4" t="str">
        <f ca="1">IFERROR(__xludf.DUMMYFUNCTION("""COMPUTED_VALUE"""),"https://hledejceny.cz")</f>
        <v>https://hledejceny.cz</v>
      </c>
      <c r="G630" s="3" t="str">
        <f ca="1">IFERROR(__xludf.DUMMYFUNCTION("""COMPUTED_VALUE"""),"cílený branding cross-device high season")</f>
        <v>cílený branding cross-device high season</v>
      </c>
      <c r="H630" s="3">
        <f ca="1">IFERROR(__xludf.DUMMYFUNCTION("""COMPUTED_VALUE"""),7)</f>
        <v>7</v>
      </c>
      <c r="I630" s="5">
        <f ca="1">IFERROR(__xludf.DUMMYFUNCTION("""COMPUTED_VALUE"""),1000)</f>
        <v>1000</v>
      </c>
      <c r="J630" s="5">
        <f ca="1">IFERROR(__xludf.DUMMYFUNCTION("""COMPUTED_VALUE"""),648)</f>
        <v>648</v>
      </c>
      <c r="K630" s="3"/>
      <c r="L630" s="3" t="str">
        <f ca="1">IFERROR(__xludf.DUMMYFUNCTION("""COMPUTED_VALUE"""),"Cost per period")</f>
        <v>Cost per period</v>
      </c>
      <c r="M630" s="3"/>
      <c r="N630" s="3"/>
      <c r="O630" s="3" t="str">
        <f ca="1">IFERROR(__xludf.DUMMYFUNCTION("""COMPUTED_VALUE"""),"2000")</f>
        <v>2000</v>
      </c>
      <c r="P630" s="3" t="str">
        <f ca="1">IFERROR(__xludf.DUMMYFUNCTION("""COMPUTED_VALUE"""),"1400")</f>
        <v>1400</v>
      </c>
      <c r="Q630" s="3" t="str">
        <f ca="1">IFERROR(__xludf.DUMMYFUNCTION("""COMPUTED_VALUE"""),"2000x1400 + 600x1080")</f>
        <v>2000x1400 + 600x1080</v>
      </c>
      <c r="R630" s="3"/>
      <c r="S630" s="3" t="str">
        <f ca="1">IFERROR(__xludf.DUMMYFUNCTION("""COMPUTED_VALUE"""),"500 (600 - HTLM5)")</f>
        <v>500 (600 - HTLM5)</v>
      </c>
      <c r="T630" s="3"/>
      <c r="U630" s="3" t="str">
        <f ca="1">IFERROR(__xludf.DUMMYFUNCTION("""COMPUTED_VALUE"""),"banner standard")</f>
        <v>banner standard</v>
      </c>
      <c r="V630" s="3"/>
      <c r="W630" s="4" t="str">
        <f ca="1">IFERROR(__xludf.DUMMYFUNCTION("""COMPUTED_VALUE"""),"https://reklama.cncenter.cz/Online/branding-cross-device")</f>
        <v>https://reklama.cncenter.cz/Online/branding-cross-device</v>
      </c>
      <c r="X630" s="3"/>
      <c r="Y630" s="3"/>
      <c r="Z630" s="3" t="str">
        <f ca="1">IFERROR(__xludf.DUMMYFUNCTION("""COMPUTED_VALUE"""),"podklady@cncenter.cz")</f>
        <v>podklady@cncenter.cz</v>
      </c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 t="str">
        <f ca="1">IFERROR(__xludf.DUMMYFUNCTION("""COMPUTED_VALUE"""),"cross-device")</f>
        <v>cross-device</v>
      </c>
      <c r="AO630" s="3"/>
      <c r="AP630" s="3"/>
      <c r="AQ630" s="3"/>
      <c r="AR630" s="3"/>
      <c r="AS630" s="3"/>
      <c r="AT630" s="3"/>
      <c r="AU630" s="3" t="str">
        <f ca="1">IFERROR(__xludf.DUMMYFUNCTION("""COMPUTED_VALUE"""),"cílený branding cross-device")</f>
        <v>cílený branding cross-device</v>
      </c>
    </row>
    <row r="631" spans="1:47" x14ac:dyDescent="0.3">
      <c r="A631" s="3">
        <f ca="1"/>
        <v>2346826</v>
      </c>
      <c r="B631" s="3" t="str">
        <f ca="1"/>
        <v>CZECH NEWS CENTER a. s.</v>
      </c>
      <c r="C631" s="3" t="str">
        <f ca="1">IFERROR(__xludf.DUMMYFUNCTION("""COMPUTED_VALUE"""),"Hledej ceny")</f>
        <v>Hledej ceny</v>
      </c>
      <c r="D631" s="4" t="str">
        <f ca="1">IFERROR(__xludf.DUMMYFUNCTION("""COMPUTED_VALUE"""),"https://hledejceny.cz")</f>
        <v>https://hledejceny.cz</v>
      </c>
      <c r="E631" s="3" t="str">
        <f ca="1">IFERROR(__xludf.DUMMYFUNCTION("""COMPUTED_VALUE"""),"celý web")</f>
        <v>celý web</v>
      </c>
      <c r="F631" s="4" t="str">
        <f ca="1">IFERROR(__xludf.DUMMYFUNCTION("""COMPUTED_VALUE"""),"https://hledejceny.cz")</f>
        <v>https://hledejceny.cz</v>
      </c>
      <c r="G631" s="3" t="str">
        <f ca="1">IFERROR(__xludf.DUMMYFUNCTION("""COMPUTED_VALUE"""),"cílený branding high season")</f>
        <v>cílený branding high season</v>
      </c>
      <c r="H631" s="3">
        <f ca="1">IFERROR(__xludf.DUMMYFUNCTION("""COMPUTED_VALUE"""),7)</f>
        <v>7</v>
      </c>
      <c r="I631" s="5">
        <f ca="1">IFERROR(__xludf.DUMMYFUNCTION("""COMPUTED_VALUE"""),1000)</f>
        <v>1000</v>
      </c>
      <c r="J631" s="5">
        <f ca="1">IFERROR(__xludf.DUMMYFUNCTION("""COMPUTED_VALUE"""),1068)</f>
        <v>1068</v>
      </c>
      <c r="K631" s="3"/>
      <c r="L631" s="3" t="str">
        <f ca="1">IFERROR(__xludf.DUMMYFUNCTION("""COMPUTED_VALUE"""),"Cost per period")</f>
        <v>Cost per period</v>
      </c>
      <c r="M631" s="3"/>
      <c r="N631" s="3"/>
      <c r="O631" s="3" t="str">
        <f ca="1">IFERROR(__xludf.DUMMYFUNCTION("""COMPUTED_VALUE"""),"2000")</f>
        <v>2000</v>
      </c>
      <c r="P631" s="3" t="str">
        <f ca="1">IFERROR(__xludf.DUMMYFUNCTION("""COMPUTED_VALUE"""),"1400")</f>
        <v>1400</v>
      </c>
      <c r="Q631" s="3" t="str">
        <f ca="1">IFERROR(__xludf.DUMMYFUNCTION("""COMPUTED_VALUE"""),"2000x1400")</f>
        <v>2000x1400</v>
      </c>
      <c r="R631" s="3"/>
      <c r="S631" s="3" t="str">
        <f ca="1">IFERROR(__xludf.DUMMYFUNCTION("""COMPUTED_VALUE"""),"500 + 200 (600+200 HTML5)")</f>
        <v>500 + 200 (600+200 HTML5)</v>
      </c>
      <c r="T631" s="3"/>
      <c r="U631" s="3" t="str">
        <f ca="1">IFERROR(__xludf.DUMMYFUNCTION("""COMPUTED_VALUE"""),"banner standard")</f>
        <v>banner standard</v>
      </c>
      <c r="V631" s="3"/>
      <c r="W631" s="4" t="str">
        <f ca="1">IFERROR(__xludf.DUMMYFUNCTION("""COMPUTED_VALUE"""),"https://reklama.cncenter.cz/Online/branding")</f>
        <v>https://reklama.cncenter.cz/Online/branding</v>
      </c>
      <c r="X631" s="3"/>
      <c r="Y631" s="3"/>
      <c r="Z631" s="3" t="str">
        <f ca="1">IFERROR(__xludf.DUMMYFUNCTION("""COMPUTED_VALUE"""),"podklady@cncenter.cz")</f>
        <v>podklady@cncenter.cz</v>
      </c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 t="str">
        <f ca="1">IFERROR(__xludf.DUMMYFUNCTION("""COMPUTED_VALUE"""),"desktop")</f>
        <v>desktop</v>
      </c>
      <c r="AO631" s="3"/>
      <c r="AP631" s="3"/>
      <c r="AQ631" s="3"/>
      <c r="AR631" s="3"/>
      <c r="AS631" s="3"/>
      <c r="AT631" s="3"/>
      <c r="AU631" s="3" t="str">
        <f ca="1">IFERROR(__xludf.DUMMYFUNCTION("""COMPUTED_VALUE"""),"cílený branding")</f>
        <v>cílený branding</v>
      </c>
    </row>
    <row r="632" spans="1:47" x14ac:dyDescent="0.3">
      <c r="A632" s="3">
        <f ca="1"/>
        <v>2346826</v>
      </c>
      <c r="B632" s="3" t="str">
        <f ca="1"/>
        <v>CZECH NEWS CENTER a. s.</v>
      </c>
      <c r="C632" s="3" t="str">
        <f ca="1">IFERROR(__xludf.DUMMYFUNCTION("""COMPUTED_VALUE"""),"Hledej ceny")</f>
        <v>Hledej ceny</v>
      </c>
      <c r="D632" s="4" t="str">
        <f ca="1">IFERROR(__xludf.DUMMYFUNCTION("""COMPUTED_VALUE"""),"https://hledejceny.cz")</f>
        <v>https://hledejceny.cz</v>
      </c>
      <c r="E632" s="3" t="str">
        <f ca="1">IFERROR(__xludf.DUMMYFUNCTION("""COMPUTED_VALUE"""),"celý web")</f>
        <v>celý web</v>
      </c>
      <c r="F632" s="4" t="str">
        <f ca="1">IFERROR(__xludf.DUMMYFUNCTION("""COMPUTED_VALUE"""),"https://hledejceny.cz")</f>
        <v>https://hledejceny.cz</v>
      </c>
      <c r="G632" s="3" t="str">
        <f ca="1">IFERROR(__xludf.DUMMYFUNCTION("""COMPUTED_VALUE"""),"cílený double skyscraper high season")</f>
        <v>cílený double skyscraper high season</v>
      </c>
      <c r="H632" s="3">
        <f ca="1">IFERROR(__xludf.DUMMYFUNCTION("""COMPUTED_VALUE"""),7)</f>
        <v>7</v>
      </c>
      <c r="I632" s="5">
        <f ca="1">IFERROR(__xludf.DUMMYFUNCTION("""COMPUTED_VALUE"""),1000)</f>
        <v>1000</v>
      </c>
      <c r="J632" s="5">
        <f ca="1">IFERROR(__xludf.DUMMYFUNCTION("""COMPUTED_VALUE"""),420)</f>
        <v>420</v>
      </c>
      <c r="K632" s="3"/>
      <c r="L632" s="3" t="str">
        <f ca="1">IFERROR(__xludf.DUMMYFUNCTION("""COMPUTED_VALUE"""),"Cost per period")</f>
        <v>Cost per period</v>
      </c>
      <c r="M632" s="3"/>
      <c r="N632" s="3"/>
      <c r="O632" s="3" t="str">
        <f ca="1">IFERROR(__xludf.DUMMYFUNCTION("""COMPUTED_VALUE"""),"300")</f>
        <v>300</v>
      </c>
      <c r="P632" s="3" t="str">
        <f ca="1">IFERROR(__xludf.DUMMYFUNCTION("""COMPUTED_VALUE"""),"600")</f>
        <v>600</v>
      </c>
      <c r="Q632" s="3" t="str">
        <f ca="1">IFERROR(__xludf.DUMMYFUNCTION("""COMPUTED_VALUE"""),"300x600")</f>
        <v>300x600</v>
      </c>
      <c r="R632" s="3"/>
      <c r="S632" s="3" t="str">
        <f ca="1">IFERROR(__xludf.DUMMYFUNCTION("""COMPUTED_VALUE"""),"100 (200 - HTML5)")</f>
        <v>100 (200 - HTML5)</v>
      </c>
      <c r="T632" s="3"/>
      <c r="U632" s="3" t="str">
        <f ca="1">IFERROR(__xludf.DUMMYFUNCTION("""COMPUTED_VALUE"""),"banner standard")</f>
        <v>banner standard</v>
      </c>
      <c r="V632" s="3"/>
      <c r="W632" s="4" t="str">
        <f ca="1">IFERROR(__xludf.DUMMYFUNCTION("""COMPUTED_VALUE"""),"https://reklama.cncenter.cz/Online/double-skyscraper")</f>
        <v>https://reklama.cncenter.cz/Online/double-skyscraper</v>
      </c>
      <c r="X632" s="3"/>
      <c r="Y632" s="3"/>
      <c r="Z632" s="3" t="str">
        <f ca="1">IFERROR(__xludf.DUMMYFUNCTION("""COMPUTED_VALUE"""),"podklady@cncenter.cz")</f>
        <v>podklady@cncenter.cz</v>
      </c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 t="str">
        <f ca="1">IFERROR(__xludf.DUMMYFUNCTION("""COMPUTED_VALUE"""),"desktop")</f>
        <v>desktop</v>
      </c>
      <c r="AO632" s="3"/>
      <c r="AP632" s="3"/>
      <c r="AQ632" s="3"/>
      <c r="AR632" s="3"/>
      <c r="AS632" s="3"/>
      <c r="AT632" s="3"/>
      <c r="AU632" s="3" t="str">
        <f ca="1">IFERROR(__xludf.DUMMYFUNCTION("""COMPUTED_VALUE"""),"cílený double skyscraper")</f>
        <v>cílený double skyscraper</v>
      </c>
    </row>
    <row r="633" spans="1:47" x14ac:dyDescent="0.3">
      <c r="A633" s="3">
        <f ca="1"/>
        <v>2346826</v>
      </c>
      <c r="B633" s="3" t="str">
        <f ca="1"/>
        <v>CZECH NEWS CENTER a. s.</v>
      </c>
      <c r="C633" s="3" t="str">
        <f ca="1">IFERROR(__xludf.DUMMYFUNCTION("""COMPUTED_VALUE"""),"Hledej ceny")</f>
        <v>Hledej ceny</v>
      </c>
      <c r="D633" s="4" t="str">
        <f ca="1">IFERROR(__xludf.DUMMYFUNCTION("""COMPUTED_VALUE"""),"https://hledejceny.cz")</f>
        <v>https://hledejceny.cz</v>
      </c>
      <c r="E633" s="3" t="str">
        <f ca="1">IFERROR(__xludf.DUMMYFUNCTION("""COMPUTED_VALUE"""),"celý web")</f>
        <v>celý web</v>
      </c>
      <c r="F633" s="4" t="str">
        <f ca="1">IFERROR(__xludf.DUMMYFUNCTION("""COMPUTED_VALUE"""),"https://hledejceny.cz")</f>
        <v>https://hledejceny.cz</v>
      </c>
      <c r="G633" s="3" t="str">
        <f ca="1">IFERROR(__xludf.DUMMYFUNCTION("""COMPUTED_VALUE"""),"double skyscraper high season")</f>
        <v>double skyscraper high season</v>
      </c>
      <c r="H633" s="3">
        <f ca="1">IFERROR(__xludf.DUMMYFUNCTION("""COMPUTED_VALUE"""),7)</f>
        <v>7</v>
      </c>
      <c r="I633" s="5">
        <f ca="1">IFERROR(__xludf.DUMMYFUNCTION("""COMPUTED_VALUE"""),1000)</f>
        <v>1000</v>
      </c>
      <c r="J633" s="5">
        <f ca="1">IFERROR(__xludf.DUMMYFUNCTION("""COMPUTED_VALUE"""),350)</f>
        <v>350</v>
      </c>
      <c r="K633" s="3"/>
      <c r="L633" s="3" t="str">
        <f ca="1">IFERROR(__xludf.DUMMYFUNCTION("""COMPUTED_VALUE"""),"Cost per period")</f>
        <v>Cost per period</v>
      </c>
      <c r="M633" s="3"/>
      <c r="N633" s="3"/>
      <c r="O633" s="3" t="str">
        <f ca="1">IFERROR(__xludf.DUMMYFUNCTION("""COMPUTED_VALUE"""),"300")</f>
        <v>300</v>
      </c>
      <c r="P633" s="3" t="str">
        <f ca="1">IFERROR(__xludf.DUMMYFUNCTION("""COMPUTED_VALUE"""),"600")</f>
        <v>600</v>
      </c>
      <c r="Q633" s="3" t="str">
        <f ca="1">IFERROR(__xludf.DUMMYFUNCTION("""COMPUTED_VALUE"""),"300x600")</f>
        <v>300x600</v>
      </c>
      <c r="R633" s="3"/>
      <c r="S633" s="3" t="str">
        <f ca="1">IFERROR(__xludf.DUMMYFUNCTION("""COMPUTED_VALUE"""),"100 (200 - HTML5)")</f>
        <v>100 (200 - HTML5)</v>
      </c>
      <c r="T633" s="3"/>
      <c r="U633" s="3" t="str">
        <f ca="1">IFERROR(__xludf.DUMMYFUNCTION("""COMPUTED_VALUE"""),"banner standard")</f>
        <v>banner standard</v>
      </c>
      <c r="V633" s="3"/>
      <c r="W633" s="4" t="str">
        <f ca="1">IFERROR(__xludf.DUMMYFUNCTION("""COMPUTED_VALUE"""),"https://reklama.cncenter.cz/Online/double-skyscraper")</f>
        <v>https://reklama.cncenter.cz/Online/double-skyscraper</v>
      </c>
      <c r="X633" s="3"/>
      <c r="Y633" s="3"/>
      <c r="Z633" s="3" t="str">
        <f ca="1">IFERROR(__xludf.DUMMYFUNCTION("""COMPUTED_VALUE"""),"podklady@cncenter.cz")</f>
        <v>podklady@cncenter.cz</v>
      </c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 t="str">
        <f ca="1">IFERROR(__xludf.DUMMYFUNCTION("""COMPUTED_VALUE"""),"desktop")</f>
        <v>desktop</v>
      </c>
      <c r="AO633" s="3"/>
      <c r="AP633" s="3"/>
      <c r="AQ633" s="3"/>
      <c r="AR633" s="3"/>
      <c r="AS633" s="3"/>
      <c r="AT633" s="3"/>
      <c r="AU633" s="3" t="str">
        <f ca="1">IFERROR(__xludf.DUMMYFUNCTION("""COMPUTED_VALUE"""),"double skyscraper")</f>
        <v>double skyscraper</v>
      </c>
    </row>
    <row r="634" spans="1:47" x14ac:dyDescent="0.3">
      <c r="A634" s="3">
        <f ca="1"/>
        <v>2346826</v>
      </c>
      <c r="B634" s="3" t="str">
        <f ca="1"/>
        <v>CZECH NEWS CENTER a. s.</v>
      </c>
      <c r="C634" s="3" t="str">
        <f ca="1">IFERROR(__xludf.DUMMYFUNCTION("""COMPUTED_VALUE"""),"Instagramový profil ABC")</f>
        <v>Instagramový profil ABC</v>
      </c>
      <c r="D634" s="4" t="str">
        <f ca="1">IFERROR(__xludf.DUMMYFUNCTION("""COMPUTED_VALUE"""),"www.instagram.com")</f>
        <v>www.instagram.com</v>
      </c>
      <c r="E634" s="3" t="str">
        <f ca="1">IFERROR(__xludf.DUMMYFUNCTION("""COMPUTED_VALUE"""),"IG účet")</f>
        <v>IG účet</v>
      </c>
      <c r="F634" s="4" t="str">
        <f ca="1">IFERROR(__xludf.DUMMYFUNCTION("""COMPUTED_VALUE"""),"www.instagram.com")</f>
        <v>www.instagram.com</v>
      </c>
      <c r="G634" s="3" t="str">
        <f ca="1">IFERROR(__xludf.DUMMYFUNCTION("""COMPUTED_VALUE"""),"instagram post high season")</f>
        <v>instagram post high season</v>
      </c>
      <c r="H634" s="3">
        <f ca="1">IFERROR(__xludf.DUMMYFUNCTION("""COMPUTED_VALUE"""),1)</f>
        <v>1</v>
      </c>
      <c r="I634" s="5">
        <f ca="1">IFERROR(__xludf.DUMMYFUNCTION("""COMPUTED_VALUE"""),1)</f>
        <v>1</v>
      </c>
      <c r="J634" s="5">
        <f ca="1">IFERROR(__xludf.DUMMYFUNCTION("""COMPUTED_VALUE"""),18000)</f>
        <v>18000</v>
      </c>
      <c r="K634" s="3"/>
      <c r="L634" s="3" t="str">
        <f ca="1">IFERROR(__xludf.DUMMYFUNCTION("""COMPUTED_VALUE"""),"Cost per instance")</f>
        <v>Cost per instance</v>
      </c>
      <c r="M634" s="3"/>
      <c r="N634" s="3"/>
      <c r="O634" s="3"/>
      <c r="P634" s="3"/>
      <c r="Q634" s="3"/>
      <c r="R634" s="3"/>
      <c r="S634" s="3" t="str">
        <f ca="1">IFERROR(__xludf.DUMMYFUNCTION("""COMPUTED_VALUE"""),"100")</f>
        <v>100</v>
      </c>
      <c r="T634" s="3"/>
      <c r="U634" s="3" t="str">
        <f ca="1">IFERROR(__xludf.DUMMYFUNCTION("""COMPUTED_VALUE"""),"SoMe instagram")</f>
        <v>SoMe instagram</v>
      </c>
      <c r="V634" s="3"/>
      <c r="W634" s="3"/>
      <c r="X634" s="3"/>
      <c r="Y634" s="3"/>
      <c r="Z634" s="3" t="str">
        <f ca="1">IFERROR(__xludf.DUMMYFUNCTION("""COMPUTED_VALUE"""),"podklady@cncenter.cz")</f>
        <v>podklady@cncenter.cz</v>
      </c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 t="str">
        <f ca="1">IFERROR(__xludf.DUMMYFUNCTION("""COMPUTED_VALUE"""),"cross-device")</f>
        <v>cross-device</v>
      </c>
      <c r="AO634" s="3"/>
      <c r="AP634" s="3"/>
      <c r="AQ634" s="3"/>
      <c r="AR634" s="3"/>
      <c r="AS634" s="3"/>
      <c r="AT634" s="3"/>
      <c r="AU634" s="3" t="str">
        <f ca="1">IFERROR(__xludf.DUMMYFUNCTION("""COMPUTED_VALUE"""),"instagram post")</f>
        <v>instagram post</v>
      </c>
    </row>
    <row r="635" spans="1:47" x14ac:dyDescent="0.3">
      <c r="A635" s="3">
        <f ca="1"/>
        <v>2346826</v>
      </c>
      <c r="B635" s="3" t="str">
        <f ca="1"/>
        <v>CZECH NEWS CENTER a. s.</v>
      </c>
      <c r="C635" s="3" t="str">
        <f ca="1">IFERROR(__xludf.DUMMYFUNCTION("""COMPUTED_VALUE"""),"Instagramový profil ABC")</f>
        <v>Instagramový profil ABC</v>
      </c>
      <c r="D635" s="4" t="str">
        <f ca="1">IFERROR(__xludf.DUMMYFUNCTION("""COMPUTED_VALUE"""),"www.instagram.com")</f>
        <v>www.instagram.com</v>
      </c>
      <c r="E635" s="3" t="str">
        <f ca="1">IFERROR(__xludf.DUMMYFUNCTION("""COMPUTED_VALUE"""),"IG účet")</f>
        <v>IG účet</v>
      </c>
      <c r="F635" s="4" t="str">
        <f ca="1">IFERROR(__xludf.DUMMYFUNCTION("""COMPUTED_VALUE"""),"www.instagram.com")</f>
        <v>www.instagram.com</v>
      </c>
      <c r="G635" s="3" t="str">
        <f ca="1">IFERROR(__xludf.DUMMYFUNCTION("""COMPUTED_VALUE"""),"instagram story high season")</f>
        <v>instagram story high season</v>
      </c>
      <c r="H635" s="3">
        <f ca="1">IFERROR(__xludf.DUMMYFUNCTION("""COMPUTED_VALUE"""),1)</f>
        <v>1</v>
      </c>
      <c r="I635" s="5">
        <f ca="1">IFERROR(__xludf.DUMMYFUNCTION("""COMPUTED_VALUE"""),1)</f>
        <v>1</v>
      </c>
      <c r="J635" s="5">
        <f ca="1">IFERROR(__xludf.DUMMYFUNCTION("""COMPUTED_VALUE"""),18000)</f>
        <v>18000</v>
      </c>
      <c r="K635" s="3"/>
      <c r="L635" s="3" t="str">
        <f ca="1">IFERROR(__xludf.DUMMYFUNCTION("""COMPUTED_VALUE"""),"Cost per instance")</f>
        <v>Cost per instance</v>
      </c>
      <c r="M635" s="3"/>
      <c r="N635" s="3"/>
      <c r="O635" s="3"/>
      <c r="P635" s="3"/>
      <c r="Q635" s="3"/>
      <c r="R635" s="3"/>
      <c r="S635" s="3" t="str">
        <f ca="1">IFERROR(__xludf.DUMMYFUNCTION("""COMPUTED_VALUE"""),"100")</f>
        <v>100</v>
      </c>
      <c r="T635" s="3"/>
      <c r="U635" s="3" t="str">
        <f ca="1">IFERROR(__xludf.DUMMYFUNCTION("""COMPUTED_VALUE"""),"SoMe instagram")</f>
        <v>SoMe instagram</v>
      </c>
      <c r="V635" s="3"/>
      <c r="W635" s="3"/>
      <c r="X635" s="3"/>
      <c r="Y635" s="3"/>
      <c r="Z635" s="3" t="str">
        <f ca="1">IFERROR(__xludf.DUMMYFUNCTION("""COMPUTED_VALUE"""),"podklady@cncenter.cz")</f>
        <v>podklady@cncenter.cz</v>
      </c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 t="str">
        <f ca="1">IFERROR(__xludf.DUMMYFUNCTION("""COMPUTED_VALUE"""),"cross-device")</f>
        <v>cross-device</v>
      </c>
      <c r="AO635" s="3"/>
      <c r="AP635" s="3"/>
      <c r="AQ635" s="3"/>
      <c r="AR635" s="3"/>
      <c r="AS635" s="3"/>
      <c r="AT635" s="3"/>
      <c r="AU635" s="3" t="str">
        <f ca="1">IFERROR(__xludf.DUMMYFUNCTION("""COMPUTED_VALUE"""),"instagram story")</f>
        <v>instagram story</v>
      </c>
    </row>
    <row r="636" spans="1:47" x14ac:dyDescent="0.3">
      <c r="A636" s="3">
        <f ca="1"/>
        <v>2346826</v>
      </c>
      <c r="B636" s="3" t="str">
        <f ca="1"/>
        <v>CZECH NEWS CENTER a. s.</v>
      </c>
      <c r="C636" s="3" t="str">
        <f ca="1">IFERROR(__xludf.DUMMYFUNCTION("""COMPUTED_VALUE"""),"Instagramový profil Auto")</f>
        <v>Instagramový profil Auto</v>
      </c>
      <c r="D636" s="4" t="str">
        <f ca="1">IFERROR(__xludf.DUMMYFUNCTION("""COMPUTED_VALUE"""),"www.instagram.com")</f>
        <v>www.instagram.com</v>
      </c>
      <c r="E636" s="3" t="str">
        <f ca="1">IFERROR(__xludf.DUMMYFUNCTION("""COMPUTED_VALUE"""),"IG účet")</f>
        <v>IG účet</v>
      </c>
      <c r="F636" s="4" t="str">
        <f ca="1">IFERROR(__xludf.DUMMYFUNCTION("""COMPUTED_VALUE"""),"www.instagram.com")</f>
        <v>www.instagram.com</v>
      </c>
      <c r="G636" s="3" t="str">
        <f ca="1">IFERROR(__xludf.DUMMYFUNCTION("""COMPUTED_VALUE"""),"instagram post high season")</f>
        <v>instagram post high season</v>
      </c>
      <c r="H636" s="3">
        <f ca="1">IFERROR(__xludf.DUMMYFUNCTION("""COMPUTED_VALUE"""),1)</f>
        <v>1</v>
      </c>
      <c r="I636" s="5">
        <f ca="1">IFERROR(__xludf.DUMMYFUNCTION("""COMPUTED_VALUE"""),1)</f>
        <v>1</v>
      </c>
      <c r="J636" s="5">
        <f ca="1">IFERROR(__xludf.DUMMYFUNCTION("""COMPUTED_VALUE"""),23000)</f>
        <v>23000</v>
      </c>
      <c r="K636" s="3"/>
      <c r="L636" s="3" t="str">
        <f ca="1">IFERROR(__xludf.DUMMYFUNCTION("""COMPUTED_VALUE"""),"Cost per instance")</f>
        <v>Cost per instance</v>
      </c>
      <c r="M636" s="3"/>
      <c r="N636" s="3"/>
      <c r="O636" s="3"/>
      <c r="P636" s="3"/>
      <c r="Q636" s="3"/>
      <c r="R636" s="3"/>
      <c r="S636" s="3" t="str">
        <f ca="1">IFERROR(__xludf.DUMMYFUNCTION("""COMPUTED_VALUE"""),"100")</f>
        <v>100</v>
      </c>
      <c r="T636" s="3"/>
      <c r="U636" s="3" t="str">
        <f ca="1">IFERROR(__xludf.DUMMYFUNCTION("""COMPUTED_VALUE"""),"SoMe instagram")</f>
        <v>SoMe instagram</v>
      </c>
      <c r="V636" s="3"/>
      <c r="W636" s="3"/>
      <c r="X636" s="3"/>
      <c r="Y636" s="3"/>
      <c r="Z636" s="3" t="str">
        <f ca="1">IFERROR(__xludf.DUMMYFUNCTION("""COMPUTED_VALUE"""),"podklady@cncenter.cz")</f>
        <v>podklady@cncenter.cz</v>
      </c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 t="str">
        <f ca="1">IFERROR(__xludf.DUMMYFUNCTION("""COMPUTED_VALUE"""),"cross-device")</f>
        <v>cross-device</v>
      </c>
      <c r="AO636" s="3"/>
      <c r="AP636" s="3"/>
      <c r="AQ636" s="3"/>
      <c r="AR636" s="3"/>
      <c r="AS636" s="3"/>
      <c r="AT636" s="3"/>
      <c r="AU636" s="3" t="str">
        <f ca="1">IFERROR(__xludf.DUMMYFUNCTION("""COMPUTED_VALUE"""),"instagram post")</f>
        <v>instagram post</v>
      </c>
    </row>
    <row r="637" spans="1:47" x14ac:dyDescent="0.3">
      <c r="A637" s="3">
        <f ca="1"/>
        <v>2346826</v>
      </c>
      <c r="B637" s="3" t="str">
        <f ca="1"/>
        <v>CZECH NEWS CENTER a. s.</v>
      </c>
      <c r="C637" s="3" t="str">
        <f ca="1">IFERROR(__xludf.DUMMYFUNCTION("""COMPUTED_VALUE"""),"Instagramový profil Auto")</f>
        <v>Instagramový profil Auto</v>
      </c>
      <c r="D637" s="4" t="str">
        <f ca="1">IFERROR(__xludf.DUMMYFUNCTION("""COMPUTED_VALUE"""),"www.instagram.com")</f>
        <v>www.instagram.com</v>
      </c>
      <c r="E637" s="3" t="str">
        <f ca="1">IFERROR(__xludf.DUMMYFUNCTION("""COMPUTED_VALUE"""),"IG účet")</f>
        <v>IG účet</v>
      </c>
      <c r="F637" s="4" t="str">
        <f ca="1">IFERROR(__xludf.DUMMYFUNCTION("""COMPUTED_VALUE"""),"www.instagram.com")</f>
        <v>www.instagram.com</v>
      </c>
      <c r="G637" s="3" t="str">
        <f ca="1">IFERROR(__xludf.DUMMYFUNCTION("""COMPUTED_VALUE"""),"instagram story high season")</f>
        <v>instagram story high season</v>
      </c>
      <c r="H637" s="3">
        <f ca="1">IFERROR(__xludf.DUMMYFUNCTION("""COMPUTED_VALUE"""),1)</f>
        <v>1</v>
      </c>
      <c r="I637" s="5">
        <f ca="1">IFERROR(__xludf.DUMMYFUNCTION("""COMPUTED_VALUE"""),1)</f>
        <v>1</v>
      </c>
      <c r="J637" s="5">
        <f ca="1">IFERROR(__xludf.DUMMYFUNCTION("""COMPUTED_VALUE"""),23000)</f>
        <v>23000</v>
      </c>
      <c r="K637" s="3"/>
      <c r="L637" s="3" t="str">
        <f ca="1">IFERROR(__xludf.DUMMYFUNCTION("""COMPUTED_VALUE"""),"Cost per instance")</f>
        <v>Cost per instance</v>
      </c>
      <c r="M637" s="3"/>
      <c r="N637" s="3"/>
      <c r="O637" s="3"/>
      <c r="P637" s="3"/>
      <c r="Q637" s="3"/>
      <c r="R637" s="3"/>
      <c r="S637" s="3" t="str">
        <f ca="1">IFERROR(__xludf.DUMMYFUNCTION("""COMPUTED_VALUE"""),"100")</f>
        <v>100</v>
      </c>
      <c r="T637" s="3"/>
      <c r="U637" s="3" t="str">
        <f ca="1">IFERROR(__xludf.DUMMYFUNCTION("""COMPUTED_VALUE"""),"SoMe instagram")</f>
        <v>SoMe instagram</v>
      </c>
      <c r="V637" s="3"/>
      <c r="W637" s="3"/>
      <c r="X637" s="3"/>
      <c r="Y637" s="3"/>
      <c r="Z637" s="3" t="str">
        <f ca="1">IFERROR(__xludf.DUMMYFUNCTION("""COMPUTED_VALUE"""),"podklady@cncenter.cz")</f>
        <v>podklady@cncenter.cz</v>
      </c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 t="str">
        <f ca="1">IFERROR(__xludf.DUMMYFUNCTION("""COMPUTED_VALUE"""),"cross-device")</f>
        <v>cross-device</v>
      </c>
      <c r="AO637" s="3"/>
      <c r="AP637" s="3"/>
      <c r="AQ637" s="3"/>
      <c r="AR637" s="3"/>
      <c r="AS637" s="3"/>
      <c r="AT637" s="3"/>
      <c r="AU637" s="3" t="str">
        <f ca="1">IFERROR(__xludf.DUMMYFUNCTION("""COMPUTED_VALUE"""),"instagram story")</f>
        <v>instagram story</v>
      </c>
    </row>
    <row r="638" spans="1:47" x14ac:dyDescent="0.3">
      <c r="A638" s="3">
        <f ca="1"/>
        <v>2346826</v>
      </c>
      <c r="B638" s="3" t="str">
        <f ca="1"/>
        <v>CZECH NEWS CENTER a. s.</v>
      </c>
      <c r="C638" s="3" t="str">
        <f ca="1">IFERROR(__xludf.DUMMYFUNCTION("""COMPUTED_VALUE"""),"Instagramový profil AutoTip")</f>
        <v>Instagramový profil AutoTip</v>
      </c>
      <c r="D638" s="4" t="str">
        <f ca="1">IFERROR(__xludf.DUMMYFUNCTION("""COMPUTED_VALUE"""),"www.instagram.com")</f>
        <v>www.instagram.com</v>
      </c>
      <c r="E638" s="3" t="str">
        <f ca="1">IFERROR(__xludf.DUMMYFUNCTION("""COMPUTED_VALUE"""),"IG účet")</f>
        <v>IG účet</v>
      </c>
      <c r="F638" s="4" t="str">
        <f ca="1">IFERROR(__xludf.DUMMYFUNCTION("""COMPUTED_VALUE"""),"www.instagram.com")</f>
        <v>www.instagram.com</v>
      </c>
      <c r="G638" s="3" t="str">
        <f ca="1">IFERROR(__xludf.DUMMYFUNCTION("""COMPUTED_VALUE"""),"instagram post high season")</f>
        <v>instagram post high season</v>
      </c>
      <c r="H638" s="3">
        <f ca="1">IFERROR(__xludf.DUMMYFUNCTION("""COMPUTED_VALUE"""),1)</f>
        <v>1</v>
      </c>
      <c r="I638" s="5">
        <f ca="1">IFERROR(__xludf.DUMMYFUNCTION("""COMPUTED_VALUE"""),1)</f>
        <v>1</v>
      </c>
      <c r="J638" s="5">
        <f ca="1">IFERROR(__xludf.DUMMYFUNCTION("""COMPUTED_VALUE"""),18000)</f>
        <v>18000</v>
      </c>
      <c r="K638" s="3"/>
      <c r="L638" s="3" t="str">
        <f ca="1">IFERROR(__xludf.DUMMYFUNCTION("""COMPUTED_VALUE"""),"Cost per instance")</f>
        <v>Cost per instance</v>
      </c>
      <c r="M638" s="3"/>
      <c r="N638" s="3"/>
      <c r="O638" s="3"/>
      <c r="P638" s="3"/>
      <c r="Q638" s="3"/>
      <c r="R638" s="3"/>
      <c r="S638" s="3" t="str">
        <f ca="1">IFERROR(__xludf.DUMMYFUNCTION("""COMPUTED_VALUE"""),"100")</f>
        <v>100</v>
      </c>
      <c r="T638" s="3"/>
      <c r="U638" s="3" t="str">
        <f ca="1">IFERROR(__xludf.DUMMYFUNCTION("""COMPUTED_VALUE"""),"SoMe instagram")</f>
        <v>SoMe instagram</v>
      </c>
      <c r="V638" s="3"/>
      <c r="W638" s="3"/>
      <c r="X638" s="3"/>
      <c r="Y638" s="3"/>
      <c r="Z638" s="3" t="str">
        <f ca="1">IFERROR(__xludf.DUMMYFUNCTION("""COMPUTED_VALUE"""),"podklady@cncenter.cz")</f>
        <v>podklady@cncenter.cz</v>
      </c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 t="str">
        <f ca="1">IFERROR(__xludf.DUMMYFUNCTION("""COMPUTED_VALUE"""),"cross-device")</f>
        <v>cross-device</v>
      </c>
      <c r="AO638" s="3"/>
      <c r="AP638" s="3"/>
      <c r="AQ638" s="3"/>
      <c r="AR638" s="3"/>
      <c r="AS638" s="3"/>
      <c r="AT638" s="3"/>
      <c r="AU638" s="3" t="str">
        <f ca="1">IFERROR(__xludf.DUMMYFUNCTION("""COMPUTED_VALUE"""),"instagram post")</f>
        <v>instagram post</v>
      </c>
    </row>
    <row r="639" spans="1:47" x14ac:dyDescent="0.3">
      <c r="A639" s="3">
        <f ca="1"/>
        <v>2346826</v>
      </c>
      <c r="B639" s="3" t="str">
        <f ca="1"/>
        <v>CZECH NEWS CENTER a. s.</v>
      </c>
      <c r="C639" s="3" t="str">
        <f ca="1">IFERROR(__xludf.DUMMYFUNCTION("""COMPUTED_VALUE"""),"Instagramový profil AutoTip")</f>
        <v>Instagramový profil AutoTip</v>
      </c>
      <c r="D639" s="4" t="str">
        <f ca="1">IFERROR(__xludf.DUMMYFUNCTION("""COMPUTED_VALUE"""),"www.instagram.com")</f>
        <v>www.instagram.com</v>
      </c>
      <c r="E639" s="3" t="str">
        <f ca="1">IFERROR(__xludf.DUMMYFUNCTION("""COMPUTED_VALUE"""),"IG účet")</f>
        <v>IG účet</v>
      </c>
      <c r="F639" s="4" t="str">
        <f ca="1">IFERROR(__xludf.DUMMYFUNCTION("""COMPUTED_VALUE"""),"www.instagram.com")</f>
        <v>www.instagram.com</v>
      </c>
      <c r="G639" s="3" t="str">
        <f ca="1">IFERROR(__xludf.DUMMYFUNCTION("""COMPUTED_VALUE"""),"instagram story high season")</f>
        <v>instagram story high season</v>
      </c>
      <c r="H639" s="3">
        <f ca="1">IFERROR(__xludf.DUMMYFUNCTION("""COMPUTED_VALUE"""),1)</f>
        <v>1</v>
      </c>
      <c r="I639" s="5">
        <f ca="1">IFERROR(__xludf.DUMMYFUNCTION("""COMPUTED_VALUE"""),1)</f>
        <v>1</v>
      </c>
      <c r="J639" s="5">
        <f ca="1">IFERROR(__xludf.DUMMYFUNCTION("""COMPUTED_VALUE"""),18000)</f>
        <v>18000</v>
      </c>
      <c r="K639" s="3"/>
      <c r="L639" s="3" t="str">
        <f ca="1">IFERROR(__xludf.DUMMYFUNCTION("""COMPUTED_VALUE"""),"Cost per instance")</f>
        <v>Cost per instance</v>
      </c>
      <c r="M639" s="3"/>
      <c r="N639" s="3"/>
      <c r="O639" s="3"/>
      <c r="P639" s="3"/>
      <c r="Q639" s="3"/>
      <c r="R639" s="3"/>
      <c r="S639" s="3" t="str">
        <f ca="1">IFERROR(__xludf.DUMMYFUNCTION("""COMPUTED_VALUE"""),"100")</f>
        <v>100</v>
      </c>
      <c r="T639" s="3"/>
      <c r="U639" s="3" t="str">
        <f ca="1">IFERROR(__xludf.DUMMYFUNCTION("""COMPUTED_VALUE"""),"SoMe instagram")</f>
        <v>SoMe instagram</v>
      </c>
      <c r="V639" s="3"/>
      <c r="W639" s="3"/>
      <c r="X639" s="3"/>
      <c r="Y639" s="3"/>
      <c r="Z639" s="3" t="str">
        <f ca="1">IFERROR(__xludf.DUMMYFUNCTION("""COMPUTED_VALUE"""),"podklady@cncenter.cz")</f>
        <v>podklady@cncenter.cz</v>
      </c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 t="str">
        <f ca="1">IFERROR(__xludf.DUMMYFUNCTION("""COMPUTED_VALUE"""),"cross-device")</f>
        <v>cross-device</v>
      </c>
      <c r="AO639" s="3"/>
      <c r="AP639" s="3"/>
      <c r="AQ639" s="3"/>
      <c r="AR639" s="3"/>
      <c r="AS639" s="3"/>
      <c r="AT639" s="3"/>
      <c r="AU639" s="3" t="str">
        <f ca="1">IFERROR(__xludf.DUMMYFUNCTION("""COMPUTED_VALUE"""),"instagram story")</f>
        <v>instagram story</v>
      </c>
    </row>
    <row r="640" spans="1:47" x14ac:dyDescent="0.3">
      <c r="A640" s="3">
        <f ca="1"/>
        <v>2346826</v>
      </c>
      <c r="B640" s="3" t="str">
        <f ca="1"/>
        <v>CZECH NEWS CENTER a. s.</v>
      </c>
      <c r="C640" s="3" t="str">
        <f ca="1">IFERROR(__xludf.DUMMYFUNCTION("""COMPUTED_VALUE"""),"Instagramový profil Blesk")</f>
        <v>Instagramový profil Blesk</v>
      </c>
      <c r="D640" s="4" t="str">
        <f ca="1">IFERROR(__xludf.DUMMYFUNCTION("""COMPUTED_VALUE"""),"www.instagram.com")</f>
        <v>www.instagram.com</v>
      </c>
      <c r="E640" s="3" t="str">
        <f ca="1">IFERROR(__xludf.DUMMYFUNCTION("""COMPUTED_VALUE"""),"IG účet")</f>
        <v>IG účet</v>
      </c>
      <c r="F640" s="4" t="str">
        <f ca="1">IFERROR(__xludf.DUMMYFUNCTION("""COMPUTED_VALUE"""),"www.instagram.com")</f>
        <v>www.instagram.com</v>
      </c>
      <c r="G640" s="3" t="str">
        <f ca="1">IFERROR(__xludf.DUMMYFUNCTION("""COMPUTED_VALUE"""),"instagram post high season")</f>
        <v>instagram post high season</v>
      </c>
      <c r="H640" s="3">
        <f ca="1">IFERROR(__xludf.DUMMYFUNCTION("""COMPUTED_VALUE"""),1)</f>
        <v>1</v>
      </c>
      <c r="I640" s="5">
        <f ca="1">IFERROR(__xludf.DUMMYFUNCTION("""COMPUTED_VALUE"""),1)</f>
        <v>1</v>
      </c>
      <c r="J640" s="5">
        <f ca="1">IFERROR(__xludf.DUMMYFUNCTION("""COMPUTED_VALUE"""),23000)</f>
        <v>23000</v>
      </c>
      <c r="K640" s="3"/>
      <c r="L640" s="3" t="str">
        <f ca="1">IFERROR(__xludf.DUMMYFUNCTION("""COMPUTED_VALUE"""),"Cost per instance")</f>
        <v>Cost per instance</v>
      </c>
      <c r="M640" s="3"/>
      <c r="N640" s="3"/>
      <c r="O640" s="3"/>
      <c r="P640" s="3"/>
      <c r="Q640" s="3"/>
      <c r="R640" s="3"/>
      <c r="S640" s="3" t="str">
        <f ca="1">IFERROR(__xludf.DUMMYFUNCTION("""COMPUTED_VALUE"""),"100")</f>
        <v>100</v>
      </c>
      <c r="T640" s="3"/>
      <c r="U640" s="3" t="str">
        <f ca="1">IFERROR(__xludf.DUMMYFUNCTION("""COMPUTED_VALUE"""),"SoMe instagram")</f>
        <v>SoMe instagram</v>
      </c>
      <c r="V640" s="3"/>
      <c r="W640" s="3"/>
      <c r="X640" s="3"/>
      <c r="Y640" s="3"/>
      <c r="Z640" s="3" t="str">
        <f ca="1">IFERROR(__xludf.DUMMYFUNCTION("""COMPUTED_VALUE"""),"podklady@cncenter.cz")</f>
        <v>podklady@cncenter.cz</v>
      </c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 t="str">
        <f ca="1">IFERROR(__xludf.DUMMYFUNCTION("""COMPUTED_VALUE"""),"cross-device")</f>
        <v>cross-device</v>
      </c>
      <c r="AO640" s="3"/>
      <c r="AP640" s="3"/>
      <c r="AQ640" s="3"/>
      <c r="AR640" s="3"/>
      <c r="AS640" s="3"/>
      <c r="AT640" s="3"/>
      <c r="AU640" s="3" t="str">
        <f ca="1">IFERROR(__xludf.DUMMYFUNCTION("""COMPUTED_VALUE"""),"instagram post")</f>
        <v>instagram post</v>
      </c>
    </row>
    <row r="641" spans="1:47" x14ac:dyDescent="0.3">
      <c r="A641" s="3">
        <f ca="1"/>
        <v>2346826</v>
      </c>
      <c r="B641" s="3" t="str">
        <f ca="1"/>
        <v>CZECH NEWS CENTER a. s.</v>
      </c>
      <c r="C641" s="3" t="str">
        <f ca="1">IFERROR(__xludf.DUMMYFUNCTION("""COMPUTED_VALUE"""),"Instagramový profil Blesk")</f>
        <v>Instagramový profil Blesk</v>
      </c>
      <c r="D641" s="4" t="str">
        <f ca="1">IFERROR(__xludf.DUMMYFUNCTION("""COMPUTED_VALUE"""),"www.instagram.com")</f>
        <v>www.instagram.com</v>
      </c>
      <c r="E641" s="3" t="str">
        <f ca="1">IFERROR(__xludf.DUMMYFUNCTION("""COMPUTED_VALUE"""),"IG účet")</f>
        <v>IG účet</v>
      </c>
      <c r="F641" s="4" t="str">
        <f ca="1">IFERROR(__xludf.DUMMYFUNCTION("""COMPUTED_VALUE"""),"www.instagram.com")</f>
        <v>www.instagram.com</v>
      </c>
      <c r="G641" s="3" t="str">
        <f ca="1">IFERROR(__xludf.DUMMYFUNCTION("""COMPUTED_VALUE"""),"instagram story high season")</f>
        <v>instagram story high season</v>
      </c>
      <c r="H641" s="3">
        <f ca="1">IFERROR(__xludf.DUMMYFUNCTION("""COMPUTED_VALUE"""),1)</f>
        <v>1</v>
      </c>
      <c r="I641" s="5">
        <f ca="1">IFERROR(__xludf.DUMMYFUNCTION("""COMPUTED_VALUE"""),1)</f>
        <v>1</v>
      </c>
      <c r="J641" s="5">
        <f ca="1">IFERROR(__xludf.DUMMYFUNCTION("""COMPUTED_VALUE"""),23000)</f>
        <v>23000</v>
      </c>
      <c r="K641" s="3"/>
      <c r="L641" s="3" t="str">
        <f ca="1">IFERROR(__xludf.DUMMYFUNCTION("""COMPUTED_VALUE"""),"Cost per instance")</f>
        <v>Cost per instance</v>
      </c>
      <c r="M641" s="3"/>
      <c r="N641" s="3"/>
      <c r="O641" s="3"/>
      <c r="P641" s="3"/>
      <c r="Q641" s="3"/>
      <c r="R641" s="3"/>
      <c r="S641" s="3" t="str">
        <f ca="1">IFERROR(__xludf.DUMMYFUNCTION("""COMPUTED_VALUE"""),"100")</f>
        <v>100</v>
      </c>
      <c r="T641" s="3"/>
      <c r="U641" s="3" t="str">
        <f ca="1">IFERROR(__xludf.DUMMYFUNCTION("""COMPUTED_VALUE"""),"SoMe instagram")</f>
        <v>SoMe instagram</v>
      </c>
      <c r="V641" s="3"/>
      <c r="W641" s="3"/>
      <c r="X641" s="3"/>
      <c r="Y641" s="3"/>
      <c r="Z641" s="3" t="str">
        <f ca="1">IFERROR(__xludf.DUMMYFUNCTION("""COMPUTED_VALUE"""),"podklady@cncenter.cz")</f>
        <v>podklady@cncenter.cz</v>
      </c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 t="str">
        <f ca="1">IFERROR(__xludf.DUMMYFUNCTION("""COMPUTED_VALUE"""),"cross-device")</f>
        <v>cross-device</v>
      </c>
      <c r="AO641" s="3"/>
      <c r="AP641" s="3"/>
      <c r="AQ641" s="3"/>
      <c r="AR641" s="3"/>
      <c r="AS641" s="3"/>
      <c r="AT641" s="3"/>
      <c r="AU641" s="3" t="str">
        <f ca="1">IFERROR(__xludf.DUMMYFUNCTION("""COMPUTED_VALUE"""),"instagram story")</f>
        <v>instagram story</v>
      </c>
    </row>
    <row r="642" spans="1:47" x14ac:dyDescent="0.3">
      <c r="A642" s="3">
        <f ca="1"/>
        <v>2346826</v>
      </c>
      <c r="B642" s="3" t="str">
        <f ca="1"/>
        <v>CZECH NEWS CENTER a. s.</v>
      </c>
      <c r="C642" s="3" t="str">
        <f ca="1">IFERROR(__xludf.DUMMYFUNCTION("""COMPUTED_VALUE"""),"Instagramový profil Blesk pro ženy")</f>
        <v>Instagramový profil Blesk pro ženy</v>
      </c>
      <c r="D642" s="4" t="str">
        <f ca="1">IFERROR(__xludf.DUMMYFUNCTION("""COMPUTED_VALUE"""),"www.instagram.com")</f>
        <v>www.instagram.com</v>
      </c>
      <c r="E642" s="3" t="str">
        <f ca="1">IFERROR(__xludf.DUMMYFUNCTION("""COMPUTED_VALUE"""),"IG účet")</f>
        <v>IG účet</v>
      </c>
      <c r="F642" s="4" t="str">
        <f ca="1">IFERROR(__xludf.DUMMYFUNCTION("""COMPUTED_VALUE"""),"www.instagram.com")</f>
        <v>www.instagram.com</v>
      </c>
      <c r="G642" s="3" t="str">
        <f ca="1">IFERROR(__xludf.DUMMYFUNCTION("""COMPUTED_VALUE"""),"instagram post high season")</f>
        <v>instagram post high season</v>
      </c>
      <c r="H642" s="3">
        <f ca="1">IFERROR(__xludf.DUMMYFUNCTION("""COMPUTED_VALUE"""),1)</f>
        <v>1</v>
      </c>
      <c r="I642" s="5">
        <f ca="1">IFERROR(__xludf.DUMMYFUNCTION("""COMPUTED_VALUE"""),1)</f>
        <v>1</v>
      </c>
      <c r="J642" s="5">
        <f ca="1">IFERROR(__xludf.DUMMYFUNCTION("""COMPUTED_VALUE"""),23000)</f>
        <v>23000</v>
      </c>
      <c r="K642" s="3"/>
      <c r="L642" s="3" t="str">
        <f ca="1">IFERROR(__xludf.DUMMYFUNCTION("""COMPUTED_VALUE"""),"Cost per instance")</f>
        <v>Cost per instance</v>
      </c>
      <c r="M642" s="3"/>
      <c r="N642" s="3"/>
      <c r="O642" s="3"/>
      <c r="P642" s="3"/>
      <c r="Q642" s="3"/>
      <c r="R642" s="3"/>
      <c r="S642" s="3" t="str">
        <f ca="1">IFERROR(__xludf.DUMMYFUNCTION("""COMPUTED_VALUE"""),"100")</f>
        <v>100</v>
      </c>
      <c r="T642" s="3"/>
      <c r="U642" s="3" t="str">
        <f ca="1">IFERROR(__xludf.DUMMYFUNCTION("""COMPUTED_VALUE"""),"SoMe instagram")</f>
        <v>SoMe instagram</v>
      </c>
      <c r="V642" s="3"/>
      <c r="W642" s="3"/>
      <c r="X642" s="3"/>
      <c r="Y642" s="3"/>
      <c r="Z642" s="3" t="str">
        <f ca="1">IFERROR(__xludf.DUMMYFUNCTION("""COMPUTED_VALUE"""),"podklady@cncenter.cz")</f>
        <v>podklady@cncenter.cz</v>
      </c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 t="str">
        <f ca="1">IFERROR(__xludf.DUMMYFUNCTION("""COMPUTED_VALUE"""),"cross-device")</f>
        <v>cross-device</v>
      </c>
      <c r="AO642" s="3"/>
      <c r="AP642" s="3"/>
      <c r="AQ642" s="3"/>
      <c r="AR642" s="3"/>
      <c r="AS642" s="3"/>
      <c r="AT642" s="3"/>
      <c r="AU642" s="3" t="str">
        <f ca="1">IFERROR(__xludf.DUMMYFUNCTION("""COMPUTED_VALUE"""),"instagram post")</f>
        <v>instagram post</v>
      </c>
    </row>
    <row r="643" spans="1:47" x14ac:dyDescent="0.3">
      <c r="A643" s="3">
        <f ca="1"/>
        <v>2346826</v>
      </c>
      <c r="B643" s="3" t="str">
        <f ca="1"/>
        <v>CZECH NEWS CENTER a. s.</v>
      </c>
      <c r="C643" s="3" t="str">
        <f ca="1">IFERROR(__xludf.DUMMYFUNCTION("""COMPUTED_VALUE"""),"Instagramový profil Blesk pro ženy")</f>
        <v>Instagramový profil Blesk pro ženy</v>
      </c>
      <c r="D643" s="4" t="str">
        <f ca="1">IFERROR(__xludf.DUMMYFUNCTION("""COMPUTED_VALUE"""),"www.instagram.com")</f>
        <v>www.instagram.com</v>
      </c>
      <c r="E643" s="3" t="str">
        <f ca="1">IFERROR(__xludf.DUMMYFUNCTION("""COMPUTED_VALUE"""),"IG účet")</f>
        <v>IG účet</v>
      </c>
      <c r="F643" s="4" t="str">
        <f ca="1">IFERROR(__xludf.DUMMYFUNCTION("""COMPUTED_VALUE"""),"www.instagram.com")</f>
        <v>www.instagram.com</v>
      </c>
      <c r="G643" s="3" t="str">
        <f ca="1">IFERROR(__xludf.DUMMYFUNCTION("""COMPUTED_VALUE"""),"instagram story high season")</f>
        <v>instagram story high season</v>
      </c>
      <c r="H643" s="3">
        <f ca="1">IFERROR(__xludf.DUMMYFUNCTION("""COMPUTED_VALUE"""),1)</f>
        <v>1</v>
      </c>
      <c r="I643" s="5">
        <f ca="1">IFERROR(__xludf.DUMMYFUNCTION("""COMPUTED_VALUE"""),1)</f>
        <v>1</v>
      </c>
      <c r="J643" s="5">
        <f ca="1">IFERROR(__xludf.DUMMYFUNCTION("""COMPUTED_VALUE"""),23000)</f>
        <v>23000</v>
      </c>
      <c r="K643" s="3"/>
      <c r="L643" s="3" t="str">
        <f ca="1">IFERROR(__xludf.DUMMYFUNCTION("""COMPUTED_VALUE"""),"Cost per instance")</f>
        <v>Cost per instance</v>
      </c>
      <c r="M643" s="3"/>
      <c r="N643" s="3"/>
      <c r="O643" s="3"/>
      <c r="P643" s="3"/>
      <c r="Q643" s="3"/>
      <c r="R643" s="3"/>
      <c r="S643" s="3" t="str">
        <f ca="1">IFERROR(__xludf.DUMMYFUNCTION("""COMPUTED_VALUE"""),"100")</f>
        <v>100</v>
      </c>
      <c r="T643" s="3"/>
      <c r="U643" s="3" t="str">
        <f ca="1">IFERROR(__xludf.DUMMYFUNCTION("""COMPUTED_VALUE"""),"SoMe instagram")</f>
        <v>SoMe instagram</v>
      </c>
      <c r="V643" s="3"/>
      <c r="W643" s="3"/>
      <c r="X643" s="3"/>
      <c r="Y643" s="3"/>
      <c r="Z643" s="3" t="str">
        <f ca="1">IFERROR(__xludf.DUMMYFUNCTION("""COMPUTED_VALUE"""),"podklady@cncenter.cz")</f>
        <v>podklady@cncenter.cz</v>
      </c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 t="str">
        <f ca="1">IFERROR(__xludf.DUMMYFUNCTION("""COMPUTED_VALUE"""),"cross-device")</f>
        <v>cross-device</v>
      </c>
      <c r="AO643" s="3"/>
      <c r="AP643" s="3"/>
      <c r="AQ643" s="3"/>
      <c r="AR643" s="3"/>
      <c r="AS643" s="3"/>
      <c r="AT643" s="3"/>
      <c r="AU643" s="3" t="str">
        <f ca="1">IFERROR(__xludf.DUMMYFUNCTION("""COMPUTED_VALUE"""),"instagram story")</f>
        <v>instagram story</v>
      </c>
    </row>
    <row r="644" spans="1:47" x14ac:dyDescent="0.3">
      <c r="A644" s="3">
        <f ca="1"/>
        <v>2346826</v>
      </c>
      <c r="B644" s="3" t="str">
        <f ca="1"/>
        <v>CZECH NEWS CENTER a. s.</v>
      </c>
      <c r="C644" s="3" t="str">
        <f ca="1">IFERROR(__xludf.DUMMYFUNCTION("""COMPUTED_VALUE"""),"Instagramový profil E15")</f>
        <v>Instagramový profil E15</v>
      </c>
      <c r="D644" s="4" t="str">
        <f ca="1">IFERROR(__xludf.DUMMYFUNCTION("""COMPUTED_VALUE"""),"www.instagram.com")</f>
        <v>www.instagram.com</v>
      </c>
      <c r="E644" s="3" t="str">
        <f ca="1">IFERROR(__xludf.DUMMYFUNCTION("""COMPUTED_VALUE"""),"IG účet")</f>
        <v>IG účet</v>
      </c>
      <c r="F644" s="4" t="str">
        <f ca="1">IFERROR(__xludf.DUMMYFUNCTION("""COMPUTED_VALUE"""),"www.instagram.com")</f>
        <v>www.instagram.com</v>
      </c>
      <c r="G644" s="3" t="str">
        <f ca="1">IFERROR(__xludf.DUMMYFUNCTION("""COMPUTED_VALUE"""),"instagram story high season")</f>
        <v>instagram story high season</v>
      </c>
      <c r="H644" s="3">
        <f ca="1">IFERROR(__xludf.DUMMYFUNCTION("""COMPUTED_VALUE"""),1)</f>
        <v>1</v>
      </c>
      <c r="I644" s="5">
        <f ca="1">IFERROR(__xludf.DUMMYFUNCTION("""COMPUTED_VALUE"""),1)</f>
        <v>1</v>
      </c>
      <c r="J644" s="5">
        <f ca="1">IFERROR(__xludf.DUMMYFUNCTION("""COMPUTED_VALUE"""),23000)</f>
        <v>23000</v>
      </c>
      <c r="K644" s="3"/>
      <c r="L644" s="3" t="str">
        <f ca="1">IFERROR(__xludf.DUMMYFUNCTION("""COMPUTED_VALUE"""),"Cost per instance")</f>
        <v>Cost per instance</v>
      </c>
      <c r="M644" s="3"/>
      <c r="N644" s="3"/>
      <c r="O644" s="3"/>
      <c r="P644" s="3"/>
      <c r="Q644" s="3"/>
      <c r="R644" s="3"/>
      <c r="S644" s="3" t="str">
        <f ca="1">IFERROR(__xludf.DUMMYFUNCTION("""COMPUTED_VALUE"""),"100")</f>
        <v>100</v>
      </c>
      <c r="T644" s="3"/>
      <c r="U644" s="3" t="str">
        <f ca="1">IFERROR(__xludf.DUMMYFUNCTION("""COMPUTED_VALUE"""),"SoMe instagram")</f>
        <v>SoMe instagram</v>
      </c>
      <c r="V644" s="3"/>
      <c r="W644" s="3"/>
      <c r="X644" s="3"/>
      <c r="Y644" s="3"/>
      <c r="Z644" s="3" t="str">
        <f ca="1">IFERROR(__xludf.DUMMYFUNCTION("""COMPUTED_VALUE"""),"podklady@cncenter.cz")</f>
        <v>podklady@cncenter.cz</v>
      </c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 t="str">
        <f ca="1">IFERROR(__xludf.DUMMYFUNCTION("""COMPUTED_VALUE"""),"cross-device")</f>
        <v>cross-device</v>
      </c>
      <c r="AO644" s="3"/>
      <c r="AP644" s="3"/>
      <c r="AQ644" s="3"/>
      <c r="AR644" s="3"/>
      <c r="AS644" s="3"/>
      <c r="AT644" s="3"/>
      <c r="AU644" s="3" t="str">
        <f ca="1">IFERROR(__xludf.DUMMYFUNCTION("""COMPUTED_VALUE"""),"instagram story")</f>
        <v>instagram story</v>
      </c>
    </row>
    <row r="645" spans="1:47" x14ac:dyDescent="0.3">
      <c r="A645" s="3">
        <f ca="1"/>
        <v>2346826</v>
      </c>
      <c r="B645" s="3" t="str">
        <f ca="1"/>
        <v>CZECH NEWS CENTER a. s.</v>
      </c>
      <c r="C645" s="3" t="str">
        <f ca="1">IFERROR(__xludf.DUMMYFUNCTION("""COMPUTED_VALUE"""),"Instagramový profil Evropa 2")</f>
        <v>Instagramový profil Evropa 2</v>
      </c>
      <c r="D645" s="4" t="str">
        <f ca="1">IFERROR(__xludf.DUMMYFUNCTION("""COMPUTED_VALUE"""),"www.instagram.com")</f>
        <v>www.instagram.com</v>
      </c>
      <c r="E645" s="3" t="str">
        <f ca="1">IFERROR(__xludf.DUMMYFUNCTION("""COMPUTED_VALUE"""),"IG účet")</f>
        <v>IG účet</v>
      </c>
      <c r="F645" s="4" t="str">
        <f ca="1">IFERROR(__xludf.DUMMYFUNCTION("""COMPUTED_VALUE"""),"www.instagram.com")</f>
        <v>www.instagram.com</v>
      </c>
      <c r="G645" s="3" t="str">
        <f ca="1">IFERROR(__xludf.DUMMYFUNCTION("""COMPUTED_VALUE"""),"instagram post high season")</f>
        <v>instagram post high season</v>
      </c>
      <c r="H645" s="3">
        <f ca="1">IFERROR(__xludf.DUMMYFUNCTION("""COMPUTED_VALUE"""),1)</f>
        <v>1</v>
      </c>
      <c r="I645" s="5">
        <f ca="1">IFERROR(__xludf.DUMMYFUNCTION("""COMPUTED_VALUE"""),1)</f>
        <v>1</v>
      </c>
      <c r="J645" s="5">
        <f ca="1">IFERROR(__xludf.DUMMYFUNCTION("""COMPUTED_VALUE"""),58500)</f>
        <v>58500</v>
      </c>
      <c r="K645" s="3"/>
      <c r="L645" s="3" t="str">
        <f ca="1">IFERROR(__xludf.DUMMYFUNCTION("""COMPUTED_VALUE"""),"Cost per instance")</f>
        <v>Cost per instance</v>
      </c>
      <c r="M645" s="3"/>
      <c r="N645" s="3"/>
      <c r="O645" s="3"/>
      <c r="P645" s="3"/>
      <c r="Q645" s="3"/>
      <c r="R645" s="3"/>
      <c r="S645" s="3" t="str">
        <f ca="1">IFERROR(__xludf.DUMMYFUNCTION("""COMPUTED_VALUE"""),"100")</f>
        <v>100</v>
      </c>
      <c r="T645" s="3"/>
      <c r="U645" s="3" t="str">
        <f ca="1">IFERROR(__xludf.DUMMYFUNCTION("""COMPUTED_VALUE"""),"SoMe instagram")</f>
        <v>SoMe instagram</v>
      </c>
      <c r="V645" s="3"/>
      <c r="W645" s="3"/>
      <c r="X645" s="3"/>
      <c r="Y645" s="3"/>
      <c r="Z645" s="3" t="str">
        <f ca="1">IFERROR(__xludf.DUMMYFUNCTION("""COMPUTED_VALUE"""),"podklady@cncenter.cz")</f>
        <v>podklady@cncenter.cz</v>
      </c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 t="str">
        <f ca="1">IFERROR(__xludf.DUMMYFUNCTION("""COMPUTED_VALUE"""),"cross-device")</f>
        <v>cross-device</v>
      </c>
      <c r="AO645" s="3"/>
      <c r="AP645" s="3"/>
      <c r="AQ645" s="3"/>
      <c r="AR645" s="3"/>
      <c r="AS645" s="3"/>
      <c r="AT645" s="3"/>
      <c r="AU645" s="3" t="str">
        <f ca="1">IFERROR(__xludf.DUMMYFUNCTION("""COMPUTED_VALUE"""),"instagram post")</f>
        <v>instagram post</v>
      </c>
    </row>
    <row r="646" spans="1:47" x14ac:dyDescent="0.3">
      <c r="A646" s="3">
        <f ca="1"/>
        <v>2346826</v>
      </c>
      <c r="B646" s="3" t="str">
        <f ca="1"/>
        <v>CZECH NEWS CENTER a. s.</v>
      </c>
      <c r="C646" s="3" t="str">
        <f ca="1">IFERROR(__xludf.DUMMYFUNCTION("""COMPUTED_VALUE"""),"Instagramový profil F.O.O.D.")</f>
        <v>Instagramový profil F.O.O.D.</v>
      </c>
      <c r="D646" s="4" t="str">
        <f ca="1">IFERROR(__xludf.DUMMYFUNCTION("""COMPUTED_VALUE"""),"www.instagram.com")</f>
        <v>www.instagram.com</v>
      </c>
      <c r="E646" s="3" t="str">
        <f ca="1">IFERROR(__xludf.DUMMYFUNCTION("""COMPUTED_VALUE"""),"IG účet")</f>
        <v>IG účet</v>
      </c>
      <c r="F646" s="4" t="str">
        <f ca="1">IFERROR(__xludf.DUMMYFUNCTION("""COMPUTED_VALUE"""),"www.instagram.com")</f>
        <v>www.instagram.com</v>
      </c>
      <c r="G646" s="3" t="str">
        <f ca="1">IFERROR(__xludf.DUMMYFUNCTION("""COMPUTED_VALUE"""),"instagram post high season")</f>
        <v>instagram post high season</v>
      </c>
      <c r="H646" s="3">
        <f ca="1">IFERROR(__xludf.DUMMYFUNCTION("""COMPUTED_VALUE"""),1)</f>
        <v>1</v>
      </c>
      <c r="I646" s="5">
        <f ca="1">IFERROR(__xludf.DUMMYFUNCTION("""COMPUTED_VALUE"""),1)</f>
        <v>1</v>
      </c>
      <c r="J646" s="5">
        <f ca="1">IFERROR(__xludf.DUMMYFUNCTION("""COMPUTED_VALUE"""),58500)</f>
        <v>58500</v>
      </c>
      <c r="K646" s="3"/>
      <c r="L646" s="3" t="str">
        <f ca="1">IFERROR(__xludf.DUMMYFUNCTION("""COMPUTED_VALUE"""),"Cost per instance")</f>
        <v>Cost per instance</v>
      </c>
      <c r="M646" s="3"/>
      <c r="N646" s="3"/>
      <c r="O646" s="3"/>
      <c r="P646" s="3"/>
      <c r="Q646" s="3"/>
      <c r="R646" s="3"/>
      <c r="S646" s="3" t="str">
        <f ca="1">IFERROR(__xludf.DUMMYFUNCTION("""COMPUTED_VALUE"""),"100")</f>
        <v>100</v>
      </c>
      <c r="T646" s="3"/>
      <c r="U646" s="3" t="str">
        <f ca="1">IFERROR(__xludf.DUMMYFUNCTION("""COMPUTED_VALUE"""),"SoMe instagram")</f>
        <v>SoMe instagram</v>
      </c>
      <c r="V646" s="3"/>
      <c r="W646" s="3"/>
      <c r="X646" s="3"/>
      <c r="Y646" s="3"/>
      <c r="Z646" s="3" t="str">
        <f ca="1">IFERROR(__xludf.DUMMYFUNCTION("""COMPUTED_VALUE"""),"podklady@cncenter.cz")</f>
        <v>podklady@cncenter.cz</v>
      </c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 t="str">
        <f ca="1">IFERROR(__xludf.DUMMYFUNCTION("""COMPUTED_VALUE"""),"cross-device")</f>
        <v>cross-device</v>
      </c>
      <c r="AO646" s="3"/>
      <c r="AP646" s="3"/>
      <c r="AQ646" s="3"/>
      <c r="AR646" s="3"/>
      <c r="AS646" s="3"/>
      <c r="AT646" s="3"/>
      <c r="AU646" s="3" t="str">
        <f ca="1">IFERROR(__xludf.DUMMYFUNCTION("""COMPUTED_VALUE"""),"instagram post")</f>
        <v>instagram post</v>
      </c>
    </row>
    <row r="647" spans="1:47" x14ac:dyDescent="0.3">
      <c r="A647" s="3">
        <f ca="1"/>
        <v>2346826</v>
      </c>
      <c r="B647" s="3" t="str">
        <f ca="1"/>
        <v>CZECH NEWS CENTER a. s.</v>
      </c>
      <c r="C647" s="3" t="str">
        <f ca="1">IFERROR(__xludf.DUMMYFUNCTION("""COMPUTED_VALUE"""),"Instagramový profil F.O.O.D.")</f>
        <v>Instagramový profil F.O.O.D.</v>
      </c>
      <c r="D647" s="4" t="str">
        <f ca="1">IFERROR(__xludf.DUMMYFUNCTION("""COMPUTED_VALUE"""),"www.instagram.com")</f>
        <v>www.instagram.com</v>
      </c>
      <c r="E647" s="3" t="str">
        <f ca="1">IFERROR(__xludf.DUMMYFUNCTION("""COMPUTED_VALUE"""),"IG účet")</f>
        <v>IG účet</v>
      </c>
      <c r="F647" s="4" t="str">
        <f ca="1">IFERROR(__xludf.DUMMYFUNCTION("""COMPUTED_VALUE"""),"www.instagram.com")</f>
        <v>www.instagram.com</v>
      </c>
      <c r="G647" s="3" t="str">
        <f ca="1">IFERROR(__xludf.DUMMYFUNCTION("""COMPUTED_VALUE"""),"instagram story high season")</f>
        <v>instagram story high season</v>
      </c>
      <c r="H647" s="3">
        <f ca="1">IFERROR(__xludf.DUMMYFUNCTION("""COMPUTED_VALUE"""),1)</f>
        <v>1</v>
      </c>
      <c r="I647" s="5">
        <f ca="1">IFERROR(__xludf.DUMMYFUNCTION("""COMPUTED_VALUE"""),1)</f>
        <v>1</v>
      </c>
      <c r="J647" s="5">
        <f ca="1">IFERROR(__xludf.DUMMYFUNCTION("""COMPUTED_VALUE"""),18000)</f>
        <v>18000</v>
      </c>
      <c r="K647" s="3"/>
      <c r="L647" s="3" t="str">
        <f ca="1">IFERROR(__xludf.DUMMYFUNCTION("""COMPUTED_VALUE"""),"Cost per instance")</f>
        <v>Cost per instance</v>
      </c>
      <c r="M647" s="3"/>
      <c r="N647" s="3"/>
      <c r="O647" s="3"/>
      <c r="P647" s="3"/>
      <c r="Q647" s="3"/>
      <c r="R647" s="3"/>
      <c r="S647" s="3" t="str">
        <f ca="1">IFERROR(__xludf.DUMMYFUNCTION("""COMPUTED_VALUE"""),"100")</f>
        <v>100</v>
      </c>
      <c r="T647" s="3"/>
      <c r="U647" s="3" t="str">
        <f ca="1">IFERROR(__xludf.DUMMYFUNCTION("""COMPUTED_VALUE"""),"SoMe instagram")</f>
        <v>SoMe instagram</v>
      </c>
      <c r="V647" s="3"/>
      <c r="W647" s="3"/>
      <c r="X647" s="3"/>
      <c r="Y647" s="3"/>
      <c r="Z647" s="3" t="str">
        <f ca="1">IFERROR(__xludf.DUMMYFUNCTION("""COMPUTED_VALUE"""),"podklady@cncenter.cz")</f>
        <v>podklady@cncenter.cz</v>
      </c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 t="str">
        <f ca="1">IFERROR(__xludf.DUMMYFUNCTION("""COMPUTED_VALUE"""),"cross-device")</f>
        <v>cross-device</v>
      </c>
      <c r="AO647" s="3"/>
      <c r="AP647" s="3"/>
      <c r="AQ647" s="3"/>
      <c r="AR647" s="3"/>
      <c r="AS647" s="3"/>
      <c r="AT647" s="3"/>
      <c r="AU647" s="3" t="str">
        <f ca="1">IFERROR(__xludf.DUMMYFUNCTION("""COMPUTED_VALUE"""),"instagram story")</f>
        <v>instagram story</v>
      </c>
    </row>
    <row r="648" spans="1:47" x14ac:dyDescent="0.3">
      <c r="A648" s="3">
        <f ca="1"/>
        <v>2346826</v>
      </c>
      <c r="B648" s="3" t="str">
        <f ca="1"/>
        <v>CZECH NEWS CENTER a. s.</v>
      </c>
      <c r="C648" s="3" t="str">
        <f ca="1">IFERROR(__xludf.DUMMYFUNCTION("""COMPUTED_VALUE"""),"Instagramový profil FOMO")</f>
        <v>Instagramový profil FOMO</v>
      </c>
      <c r="D648" s="4" t="str">
        <f ca="1">IFERROR(__xludf.DUMMYFUNCTION("""COMPUTED_VALUE"""),"www.instagram.com")</f>
        <v>www.instagram.com</v>
      </c>
      <c r="E648" s="3" t="str">
        <f ca="1">IFERROR(__xludf.DUMMYFUNCTION("""COMPUTED_VALUE"""),"IG účet")</f>
        <v>IG účet</v>
      </c>
      <c r="F648" s="4" t="str">
        <f ca="1">IFERROR(__xludf.DUMMYFUNCTION("""COMPUTED_VALUE"""),"www.instagram.com")</f>
        <v>www.instagram.com</v>
      </c>
      <c r="G648" s="3" t="str">
        <f ca="1">IFERROR(__xludf.DUMMYFUNCTION("""COMPUTED_VALUE"""),"instagram post high season")</f>
        <v>instagram post high season</v>
      </c>
      <c r="H648" s="3">
        <f ca="1">IFERROR(__xludf.DUMMYFUNCTION("""COMPUTED_VALUE"""),1)</f>
        <v>1</v>
      </c>
      <c r="I648" s="5">
        <f ca="1">IFERROR(__xludf.DUMMYFUNCTION("""COMPUTED_VALUE"""),1)</f>
        <v>1</v>
      </c>
      <c r="J648" s="5">
        <f ca="1">IFERROR(__xludf.DUMMYFUNCTION("""COMPUTED_VALUE"""),40000)</f>
        <v>40000</v>
      </c>
      <c r="K648" s="3"/>
      <c r="L648" s="3" t="str">
        <f ca="1">IFERROR(__xludf.DUMMYFUNCTION("""COMPUTED_VALUE"""),"Cost per instance")</f>
        <v>Cost per instance</v>
      </c>
      <c r="M648" s="3"/>
      <c r="N648" s="3"/>
      <c r="O648" s="3"/>
      <c r="P648" s="3"/>
      <c r="Q648" s="3"/>
      <c r="R648" s="3"/>
      <c r="S648" s="3" t="str">
        <f ca="1">IFERROR(__xludf.DUMMYFUNCTION("""COMPUTED_VALUE"""),"100")</f>
        <v>100</v>
      </c>
      <c r="T648" s="3"/>
      <c r="U648" s="3" t="str">
        <f ca="1">IFERROR(__xludf.DUMMYFUNCTION("""COMPUTED_VALUE"""),"SoMe instagram")</f>
        <v>SoMe instagram</v>
      </c>
      <c r="V648" s="3"/>
      <c r="W648" s="3"/>
      <c r="X648" s="3"/>
      <c r="Y648" s="3"/>
      <c r="Z648" s="3" t="str">
        <f ca="1">IFERROR(__xludf.DUMMYFUNCTION("""COMPUTED_VALUE"""),"podklady@cncenter.cz")</f>
        <v>podklady@cncenter.cz</v>
      </c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 t="str">
        <f ca="1">IFERROR(__xludf.DUMMYFUNCTION("""COMPUTED_VALUE"""),"cross-device")</f>
        <v>cross-device</v>
      </c>
      <c r="AO648" s="3"/>
      <c r="AP648" s="3"/>
      <c r="AQ648" s="3"/>
      <c r="AR648" s="3"/>
      <c r="AS648" s="3"/>
      <c r="AT648" s="3"/>
      <c r="AU648" s="3" t="str">
        <f ca="1">IFERROR(__xludf.DUMMYFUNCTION("""COMPUTED_VALUE"""),"instagram post")</f>
        <v>instagram post</v>
      </c>
    </row>
    <row r="649" spans="1:47" x14ac:dyDescent="0.3">
      <c r="A649" s="3">
        <f ca="1"/>
        <v>2346826</v>
      </c>
      <c r="B649" s="3" t="str">
        <f ca="1"/>
        <v>CZECH NEWS CENTER a. s.</v>
      </c>
      <c r="C649" s="3" t="str">
        <f ca="1">IFERROR(__xludf.DUMMYFUNCTION("""COMPUTED_VALUE"""),"Instagramový profil FOMO")</f>
        <v>Instagramový profil FOMO</v>
      </c>
      <c r="D649" s="4" t="str">
        <f ca="1">IFERROR(__xludf.DUMMYFUNCTION("""COMPUTED_VALUE"""),"www.instagram.com")</f>
        <v>www.instagram.com</v>
      </c>
      <c r="E649" s="3" t="str">
        <f ca="1">IFERROR(__xludf.DUMMYFUNCTION("""COMPUTED_VALUE"""),"IG účet")</f>
        <v>IG účet</v>
      </c>
      <c r="F649" s="4" t="str">
        <f ca="1">IFERROR(__xludf.DUMMYFUNCTION("""COMPUTED_VALUE"""),"www.instagram.com")</f>
        <v>www.instagram.com</v>
      </c>
      <c r="G649" s="3" t="str">
        <f ca="1">IFERROR(__xludf.DUMMYFUNCTION("""COMPUTED_VALUE"""),"instagram story high season")</f>
        <v>instagram story high season</v>
      </c>
      <c r="H649" s="3">
        <f ca="1">IFERROR(__xludf.DUMMYFUNCTION("""COMPUTED_VALUE"""),1)</f>
        <v>1</v>
      </c>
      <c r="I649" s="5">
        <f ca="1">IFERROR(__xludf.DUMMYFUNCTION("""COMPUTED_VALUE"""),1)</f>
        <v>1</v>
      </c>
      <c r="J649" s="5">
        <f ca="1">IFERROR(__xludf.DUMMYFUNCTION("""COMPUTED_VALUE"""),20000)</f>
        <v>20000</v>
      </c>
      <c r="K649" s="3"/>
      <c r="L649" s="3" t="str">
        <f ca="1">IFERROR(__xludf.DUMMYFUNCTION("""COMPUTED_VALUE"""),"Cost per instance")</f>
        <v>Cost per instance</v>
      </c>
      <c r="M649" s="3"/>
      <c r="N649" s="3"/>
      <c r="O649" s="3"/>
      <c r="P649" s="3"/>
      <c r="Q649" s="3"/>
      <c r="R649" s="3"/>
      <c r="S649" s="3" t="str">
        <f ca="1">IFERROR(__xludf.DUMMYFUNCTION("""COMPUTED_VALUE"""),"100")</f>
        <v>100</v>
      </c>
      <c r="T649" s="3"/>
      <c r="U649" s="3" t="str">
        <f ca="1">IFERROR(__xludf.DUMMYFUNCTION("""COMPUTED_VALUE"""),"SoMe instagram")</f>
        <v>SoMe instagram</v>
      </c>
      <c r="V649" s="3"/>
      <c r="W649" s="3"/>
      <c r="X649" s="3"/>
      <c r="Y649" s="3"/>
      <c r="Z649" s="3" t="str">
        <f ca="1">IFERROR(__xludf.DUMMYFUNCTION("""COMPUTED_VALUE"""),"podklady@cncenter.cz")</f>
        <v>podklady@cncenter.cz</v>
      </c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 t="str">
        <f ca="1">IFERROR(__xludf.DUMMYFUNCTION("""COMPUTED_VALUE"""),"cross-device")</f>
        <v>cross-device</v>
      </c>
      <c r="AO649" s="3"/>
      <c r="AP649" s="3"/>
      <c r="AQ649" s="3"/>
      <c r="AR649" s="3"/>
      <c r="AS649" s="3"/>
      <c r="AT649" s="3"/>
      <c r="AU649" s="3" t="str">
        <f ca="1">IFERROR(__xludf.DUMMYFUNCTION("""COMPUTED_VALUE"""),"instagram story")</f>
        <v>instagram story</v>
      </c>
    </row>
    <row r="650" spans="1:47" x14ac:dyDescent="0.3">
      <c r="A650" s="3">
        <f ca="1"/>
        <v>2346826</v>
      </c>
      <c r="B650" s="3" t="str">
        <f ca="1"/>
        <v>CZECH NEWS CENTER a. s.</v>
      </c>
      <c r="C650" s="3" t="str">
        <f ca="1">IFERROR(__xludf.DUMMYFUNCTION("""COMPUTED_VALUE"""),"Instagramový profil Frekvence 1")</f>
        <v>Instagramový profil Frekvence 1</v>
      </c>
      <c r="D650" s="4" t="str">
        <f ca="1">IFERROR(__xludf.DUMMYFUNCTION("""COMPUTED_VALUE"""),"www.instagram.com")</f>
        <v>www.instagram.com</v>
      </c>
      <c r="E650" s="3" t="str">
        <f ca="1">IFERROR(__xludf.DUMMYFUNCTION("""COMPUTED_VALUE"""),"IG účet")</f>
        <v>IG účet</v>
      </c>
      <c r="F650" s="4" t="str">
        <f ca="1">IFERROR(__xludf.DUMMYFUNCTION("""COMPUTED_VALUE"""),"www.instagram.com")</f>
        <v>www.instagram.com</v>
      </c>
      <c r="G650" s="3" t="str">
        <f ca="1">IFERROR(__xludf.DUMMYFUNCTION("""COMPUTED_VALUE"""),"instagram post high season")</f>
        <v>instagram post high season</v>
      </c>
      <c r="H650" s="3">
        <f ca="1">IFERROR(__xludf.DUMMYFUNCTION("""COMPUTED_VALUE"""),1)</f>
        <v>1</v>
      </c>
      <c r="I650" s="5">
        <f ca="1">IFERROR(__xludf.DUMMYFUNCTION("""COMPUTED_VALUE"""),1)</f>
        <v>1</v>
      </c>
      <c r="J650" s="5">
        <f ca="1">IFERROR(__xludf.DUMMYFUNCTION("""COMPUTED_VALUE"""),25000)</f>
        <v>25000</v>
      </c>
      <c r="K650" s="3"/>
      <c r="L650" s="3" t="str">
        <f ca="1">IFERROR(__xludf.DUMMYFUNCTION("""COMPUTED_VALUE"""),"Cost per instance")</f>
        <v>Cost per instance</v>
      </c>
      <c r="M650" s="3"/>
      <c r="N650" s="3"/>
      <c r="O650" s="3"/>
      <c r="P650" s="3"/>
      <c r="Q650" s="3"/>
      <c r="R650" s="3"/>
      <c r="S650" s="3" t="str">
        <f ca="1">IFERROR(__xludf.DUMMYFUNCTION("""COMPUTED_VALUE"""),"100")</f>
        <v>100</v>
      </c>
      <c r="T650" s="3"/>
      <c r="U650" s="3" t="str">
        <f ca="1">IFERROR(__xludf.DUMMYFUNCTION("""COMPUTED_VALUE"""),"SoMe instagram")</f>
        <v>SoMe instagram</v>
      </c>
      <c r="V650" s="3"/>
      <c r="W650" s="3"/>
      <c r="X650" s="3"/>
      <c r="Y650" s="3"/>
      <c r="Z650" s="3" t="str">
        <f ca="1">IFERROR(__xludf.DUMMYFUNCTION("""COMPUTED_VALUE"""),"podklady@cncenter.cz")</f>
        <v>podklady@cncenter.cz</v>
      </c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 t="str">
        <f ca="1">IFERROR(__xludf.DUMMYFUNCTION("""COMPUTED_VALUE"""),"cross-device")</f>
        <v>cross-device</v>
      </c>
      <c r="AO650" s="3"/>
      <c r="AP650" s="3"/>
      <c r="AQ650" s="3"/>
      <c r="AR650" s="3"/>
      <c r="AS650" s="3"/>
      <c r="AT650" s="3"/>
      <c r="AU650" s="3" t="str">
        <f ca="1">IFERROR(__xludf.DUMMYFUNCTION("""COMPUTED_VALUE"""),"instagram post")</f>
        <v>instagram post</v>
      </c>
    </row>
    <row r="651" spans="1:47" x14ac:dyDescent="0.3">
      <c r="A651" s="3">
        <f ca="1"/>
        <v>2346826</v>
      </c>
      <c r="B651" s="3" t="str">
        <f ca="1"/>
        <v>CZECH NEWS CENTER a. s.</v>
      </c>
      <c r="C651" s="3" t="str">
        <f ca="1">IFERROR(__xludf.DUMMYFUNCTION("""COMPUTED_VALUE"""),"Instagramový profil iSport")</f>
        <v>Instagramový profil iSport</v>
      </c>
      <c r="D651" s="4" t="str">
        <f ca="1">IFERROR(__xludf.DUMMYFUNCTION("""COMPUTED_VALUE"""),"www.instagram.com")</f>
        <v>www.instagram.com</v>
      </c>
      <c r="E651" s="3" t="str">
        <f ca="1">IFERROR(__xludf.DUMMYFUNCTION("""COMPUTED_VALUE"""),"IG účet")</f>
        <v>IG účet</v>
      </c>
      <c r="F651" s="4" t="str">
        <f ca="1">IFERROR(__xludf.DUMMYFUNCTION("""COMPUTED_VALUE"""),"www.instagram.com")</f>
        <v>www.instagram.com</v>
      </c>
      <c r="G651" s="3" t="str">
        <f ca="1">IFERROR(__xludf.DUMMYFUNCTION("""COMPUTED_VALUE"""),"instagram post high season")</f>
        <v>instagram post high season</v>
      </c>
      <c r="H651" s="3">
        <f ca="1">IFERROR(__xludf.DUMMYFUNCTION("""COMPUTED_VALUE"""),1)</f>
        <v>1</v>
      </c>
      <c r="I651" s="5">
        <f ca="1">IFERROR(__xludf.DUMMYFUNCTION("""COMPUTED_VALUE"""),1)</f>
        <v>1</v>
      </c>
      <c r="J651" s="5">
        <f ca="1">IFERROR(__xludf.DUMMYFUNCTION("""COMPUTED_VALUE"""),23000)</f>
        <v>23000</v>
      </c>
      <c r="K651" s="3"/>
      <c r="L651" s="3" t="str">
        <f ca="1">IFERROR(__xludf.DUMMYFUNCTION("""COMPUTED_VALUE"""),"Cost per instance")</f>
        <v>Cost per instance</v>
      </c>
      <c r="M651" s="3"/>
      <c r="N651" s="3"/>
      <c r="O651" s="3"/>
      <c r="P651" s="3"/>
      <c r="Q651" s="3"/>
      <c r="R651" s="3"/>
      <c r="S651" s="3" t="str">
        <f ca="1">IFERROR(__xludf.DUMMYFUNCTION("""COMPUTED_VALUE"""),"100")</f>
        <v>100</v>
      </c>
      <c r="T651" s="3"/>
      <c r="U651" s="3" t="str">
        <f ca="1">IFERROR(__xludf.DUMMYFUNCTION("""COMPUTED_VALUE"""),"SoMe instagram")</f>
        <v>SoMe instagram</v>
      </c>
      <c r="V651" s="3"/>
      <c r="W651" s="3"/>
      <c r="X651" s="3"/>
      <c r="Y651" s="3"/>
      <c r="Z651" s="3" t="str">
        <f ca="1">IFERROR(__xludf.DUMMYFUNCTION("""COMPUTED_VALUE"""),"podklady@cncenter.cz")</f>
        <v>podklady@cncenter.cz</v>
      </c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 t="str">
        <f ca="1">IFERROR(__xludf.DUMMYFUNCTION("""COMPUTED_VALUE"""),"cross-device")</f>
        <v>cross-device</v>
      </c>
      <c r="AO651" s="3"/>
      <c r="AP651" s="3"/>
      <c r="AQ651" s="3"/>
      <c r="AR651" s="3"/>
      <c r="AS651" s="3"/>
      <c r="AT651" s="3"/>
      <c r="AU651" s="3" t="str">
        <f ca="1">IFERROR(__xludf.DUMMYFUNCTION("""COMPUTED_VALUE"""),"instagram post")</f>
        <v>instagram post</v>
      </c>
    </row>
    <row r="652" spans="1:47" x14ac:dyDescent="0.3">
      <c r="A652" s="3">
        <f ca="1"/>
        <v>2346826</v>
      </c>
      <c r="B652" s="3" t="str">
        <f ca="1"/>
        <v>CZECH NEWS CENTER a. s.</v>
      </c>
      <c r="C652" s="3" t="str">
        <f ca="1">IFERROR(__xludf.DUMMYFUNCTION("""COMPUTED_VALUE"""),"Instagramový profil iSport")</f>
        <v>Instagramový profil iSport</v>
      </c>
      <c r="D652" s="4" t="str">
        <f ca="1">IFERROR(__xludf.DUMMYFUNCTION("""COMPUTED_VALUE"""),"www.instagram.com")</f>
        <v>www.instagram.com</v>
      </c>
      <c r="E652" s="3" t="str">
        <f ca="1">IFERROR(__xludf.DUMMYFUNCTION("""COMPUTED_VALUE"""),"IG účet")</f>
        <v>IG účet</v>
      </c>
      <c r="F652" s="4" t="str">
        <f ca="1">IFERROR(__xludf.DUMMYFUNCTION("""COMPUTED_VALUE"""),"www.instagram.com")</f>
        <v>www.instagram.com</v>
      </c>
      <c r="G652" s="3" t="str">
        <f ca="1">IFERROR(__xludf.DUMMYFUNCTION("""COMPUTED_VALUE"""),"instagram story high season")</f>
        <v>instagram story high season</v>
      </c>
      <c r="H652" s="3">
        <f ca="1">IFERROR(__xludf.DUMMYFUNCTION("""COMPUTED_VALUE"""),1)</f>
        <v>1</v>
      </c>
      <c r="I652" s="5">
        <f ca="1">IFERROR(__xludf.DUMMYFUNCTION("""COMPUTED_VALUE"""),1)</f>
        <v>1</v>
      </c>
      <c r="J652" s="5">
        <f ca="1">IFERROR(__xludf.DUMMYFUNCTION("""COMPUTED_VALUE"""),23000)</f>
        <v>23000</v>
      </c>
      <c r="K652" s="3"/>
      <c r="L652" s="3" t="str">
        <f ca="1">IFERROR(__xludf.DUMMYFUNCTION("""COMPUTED_VALUE"""),"Cost per instance")</f>
        <v>Cost per instance</v>
      </c>
      <c r="M652" s="3"/>
      <c r="N652" s="3"/>
      <c r="O652" s="3"/>
      <c r="P652" s="3"/>
      <c r="Q652" s="3"/>
      <c r="R652" s="3"/>
      <c r="S652" s="3" t="str">
        <f ca="1">IFERROR(__xludf.DUMMYFUNCTION("""COMPUTED_VALUE"""),"100")</f>
        <v>100</v>
      </c>
      <c r="T652" s="3"/>
      <c r="U652" s="3" t="str">
        <f ca="1">IFERROR(__xludf.DUMMYFUNCTION("""COMPUTED_VALUE"""),"SoMe instagram")</f>
        <v>SoMe instagram</v>
      </c>
      <c r="V652" s="3"/>
      <c r="W652" s="3"/>
      <c r="X652" s="3"/>
      <c r="Y652" s="3"/>
      <c r="Z652" s="3" t="str">
        <f ca="1">IFERROR(__xludf.DUMMYFUNCTION("""COMPUTED_VALUE"""),"podklady@cncenter.cz")</f>
        <v>podklady@cncenter.cz</v>
      </c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 t="str">
        <f ca="1">IFERROR(__xludf.DUMMYFUNCTION("""COMPUTED_VALUE"""),"cross-device")</f>
        <v>cross-device</v>
      </c>
      <c r="AO652" s="3"/>
      <c r="AP652" s="3"/>
      <c r="AQ652" s="3"/>
      <c r="AR652" s="3"/>
      <c r="AS652" s="3"/>
      <c r="AT652" s="3"/>
      <c r="AU652" s="3" t="str">
        <f ca="1">IFERROR(__xludf.DUMMYFUNCTION("""COMPUTED_VALUE"""),"instagram story")</f>
        <v>instagram story</v>
      </c>
    </row>
    <row r="653" spans="1:47" x14ac:dyDescent="0.3">
      <c r="A653" s="3">
        <f ca="1"/>
        <v>2346826</v>
      </c>
      <c r="B653" s="3" t="str">
        <f ca="1"/>
        <v>CZECH NEWS CENTER a. s.</v>
      </c>
      <c r="C653" s="3" t="str">
        <f ca="1">IFERROR(__xludf.DUMMYFUNCTION("""COMPUTED_VALUE"""),"Instagramový profil iSport Life")</f>
        <v>Instagramový profil iSport Life</v>
      </c>
      <c r="D653" s="4" t="str">
        <f ca="1">IFERROR(__xludf.DUMMYFUNCTION("""COMPUTED_VALUE"""),"www.instagram.com")</f>
        <v>www.instagram.com</v>
      </c>
      <c r="E653" s="3" t="str">
        <f ca="1">IFERROR(__xludf.DUMMYFUNCTION("""COMPUTED_VALUE"""),"IG účet")</f>
        <v>IG účet</v>
      </c>
      <c r="F653" s="4" t="str">
        <f ca="1">IFERROR(__xludf.DUMMYFUNCTION("""COMPUTED_VALUE"""),"www.instagram.com")</f>
        <v>www.instagram.com</v>
      </c>
      <c r="G653" s="3" t="str">
        <f ca="1">IFERROR(__xludf.DUMMYFUNCTION("""COMPUTED_VALUE"""),"instagram post high season")</f>
        <v>instagram post high season</v>
      </c>
      <c r="H653" s="3">
        <f ca="1">IFERROR(__xludf.DUMMYFUNCTION("""COMPUTED_VALUE"""),1)</f>
        <v>1</v>
      </c>
      <c r="I653" s="5">
        <f ca="1">IFERROR(__xludf.DUMMYFUNCTION("""COMPUTED_VALUE"""),1)</f>
        <v>1</v>
      </c>
      <c r="J653" s="5">
        <f ca="1">IFERROR(__xludf.DUMMYFUNCTION("""COMPUTED_VALUE"""),25000)</f>
        <v>25000</v>
      </c>
      <c r="K653" s="3"/>
      <c r="L653" s="3" t="str">
        <f ca="1">IFERROR(__xludf.DUMMYFUNCTION("""COMPUTED_VALUE"""),"Cost per instance")</f>
        <v>Cost per instance</v>
      </c>
      <c r="M653" s="3"/>
      <c r="N653" s="3"/>
      <c r="O653" s="3"/>
      <c r="P653" s="3"/>
      <c r="Q653" s="3"/>
      <c r="R653" s="3"/>
      <c r="S653" s="3" t="str">
        <f ca="1">IFERROR(__xludf.DUMMYFUNCTION("""COMPUTED_VALUE"""),"100")</f>
        <v>100</v>
      </c>
      <c r="T653" s="3"/>
      <c r="U653" s="3" t="str">
        <f ca="1">IFERROR(__xludf.DUMMYFUNCTION("""COMPUTED_VALUE"""),"SoMe instagram")</f>
        <v>SoMe instagram</v>
      </c>
      <c r="V653" s="3"/>
      <c r="W653" s="3"/>
      <c r="X653" s="3"/>
      <c r="Y653" s="3"/>
      <c r="Z653" s="3" t="str">
        <f ca="1">IFERROR(__xludf.DUMMYFUNCTION("""COMPUTED_VALUE"""),"podklady@cncenter.cz")</f>
        <v>podklady@cncenter.cz</v>
      </c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 t="str">
        <f ca="1">IFERROR(__xludf.DUMMYFUNCTION("""COMPUTED_VALUE"""),"cross-device")</f>
        <v>cross-device</v>
      </c>
      <c r="AO653" s="3"/>
      <c r="AP653" s="3"/>
      <c r="AQ653" s="3"/>
      <c r="AR653" s="3"/>
      <c r="AS653" s="3"/>
      <c r="AT653" s="3"/>
      <c r="AU653" s="3" t="str">
        <f ca="1">IFERROR(__xludf.DUMMYFUNCTION("""COMPUTED_VALUE"""),"instagram post")</f>
        <v>instagram post</v>
      </c>
    </row>
    <row r="654" spans="1:47" x14ac:dyDescent="0.3">
      <c r="A654" s="3">
        <f ca="1"/>
        <v>2346826</v>
      </c>
      <c r="B654" s="3" t="str">
        <f ca="1"/>
        <v>CZECH NEWS CENTER a. s.</v>
      </c>
      <c r="C654" s="3" t="str">
        <f ca="1">IFERROR(__xludf.DUMMYFUNCTION("""COMPUTED_VALUE"""),"Instagramový profil iSport Life")</f>
        <v>Instagramový profil iSport Life</v>
      </c>
      <c r="D654" s="4" t="str">
        <f ca="1">IFERROR(__xludf.DUMMYFUNCTION("""COMPUTED_VALUE"""),"www.instagram.com")</f>
        <v>www.instagram.com</v>
      </c>
      <c r="E654" s="3" t="str">
        <f ca="1">IFERROR(__xludf.DUMMYFUNCTION("""COMPUTED_VALUE"""),"IG účet")</f>
        <v>IG účet</v>
      </c>
      <c r="F654" s="4" t="str">
        <f ca="1">IFERROR(__xludf.DUMMYFUNCTION("""COMPUTED_VALUE"""),"www.instagram.com")</f>
        <v>www.instagram.com</v>
      </c>
      <c r="G654" s="3" t="str">
        <f ca="1">IFERROR(__xludf.DUMMYFUNCTION("""COMPUTED_VALUE"""),"instagram story high season")</f>
        <v>instagram story high season</v>
      </c>
      <c r="H654" s="3">
        <f ca="1">IFERROR(__xludf.DUMMYFUNCTION("""COMPUTED_VALUE"""),1)</f>
        <v>1</v>
      </c>
      <c r="I654" s="5">
        <f ca="1">IFERROR(__xludf.DUMMYFUNCTION("""COMPUTED_VALUE"""),1)</f>
        <v>1</v>
      </c>
      <c r="J654" s="5">
        <f ca="1">IFERROR(__xludf.DUMMYFUNCTION("""COMPUTED_VALUE"""),23000)</f>
        <v>23000</v>
      </c>
      <c r="K654" s="3"/>
      <c r="L654" s="3" t="str">
        <f ca="1">IFERROR(__xludf.DUMMYFUNCTION("""COMPUTED_VALUE"""),"Cost per instance")</f>
        <v>Cost per instance</v>
      </c>
      <c r="M654" s="3"/>
      <c r="N654" s="3"/>
      <c r="O654" s="3"/>
      <c r="P654" s="3"/>
      <c r="Q654" s="3"/>
      <c r="R654" s="3"/>
      <c r="S654" s="3" t="str">
        <f ca="1">IFERROR(__xludf.DUMMYFUNCTION("""COMPUTED_VALUE"""),"100")</f>
        <v>100</v>
      </c>
      <c r="T654" s="3"/>
      <c r="U654" s="3" t="str">
        <f ca="1">IFERROR(__xludf.DUMMYFUNCTION("""COMPUTED_VALUE"""),"SoMe instagram")</f>
        <v>SoMe instagram</v>
      </c>
      <c r="V654" s="3"/>
      <c r="W654" s="3"/>
      <c r="X654" s="3"/>
      <c r="Y654" s="3"/>
      <c r="Z654" s="3" t="str">
        <f ca="1">IFERROR(__xludf.DUMMYFUNCTION("""COMPUTED_VALUE"""),"podklady@cncenter.cz")</f>
        <v>podklady@cncenter.cz</v>
      </c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 t="str">
        <f ca="1">IFERROR(__xludf.DUMMYFUNCTION("""COMPUTED_VALUE"""),"cross-device")</f>
        <v>cross-device</v>
      </c>
      <c r="AO654" s="3"/>
      <c r="AP654" s="3"/>
      <c r="AQ654" s="3"/>
      <c r="AR654" s="3"/>
      <c r="AS654" s="3"/>
      <c r="AT654" s="3"/>
      <c r="AU654" s="3" t="str">
        <f ca="1">IFERROR(__xludf.DUMMYFUNCTION("""COMPUTED_VALUE"""),"instagram story")</f>
        <v>instagram story</v>
      </c>
    </row>
    <row r="655" spans="1:47" x14ac:dyDescent="0.3">
      <c r="A655" s="3">
        <f ca="1"/>
        <v>2346826</v>
      </c>
      <c r="B655" s="3" t="str">
        <f ca="1"/>
        <v>CZECH NEWS CENTER a. s.</v>
      </c>
      <c r="C655" s="3" t="str">
        <f ca="1">IFERROR(__xludf.DUMMYFUNCTION("""COMPUTED_VALUE"""),"Instagramový profil Lidé a Země")</f>
        <v>Instagramový profil Lidé a Země</v>
      </c>
      <c r="D655" s="4" t="str">
        <f ca="1">IFERROR(__xludf.DUMMYFUNCTION("""COMPUTED_VALUE"""),"www.instagram.com")</f>
        <v>www.instagram.com</v>
      </c>
      <c r="E655" s="3" t="str">
        <f ca="1">IFERROR(__xludf.DUMMYFUNCTION("""COMPUTED_VALUE"""),"IG účet")</f>
        <v>IG účet</v>
      </c>
      <c r="F655" s="4" t="str">
        <f ca="1">IFERROR(__xludf.DUMMYFUNCTION("""COMPUTED_VALUE"""),"www.instagram.com")</f>
        <v>www.instagram.com</v>
      </c>
      <c r="G655" s="3" t="str">
        <f ca="1">IFERROR(__xludf.DUMMYFUNCTION("""COMPUTED_VALUE"""),"instagram post high season")</f>
        <v>instagram post high season</v>
      </c>
      <c r="H655" s="3">
        <f ca="1">IFERROR(__xludf.DUMMYFUNCTION("""COMPUTED_VALUE"""),1)</f>
        <v>1</v>
      </c>
      <c r="I655" s="5">
        <f ca="1">IFERROR(__xludf.DUMMYFUNCTION("""COMPUTED_VALUE"""),1)</f>
        <v>1</v>
      </c>
      <c r="J655" s="5">
        <f ca="1">IFERROR(__xludf.DUMMYFUNCTION("""COMPUTED_VALUE"""),18000)</f>
        <v>18000</v>
      </c>
      <c r="K655" s="3"/>
      <c r="L655" s="3" t="str">
        <f ca="1">IFERROR(__xludf.DUMMYFUNCTION("""COMPUTED_VALUE"""),"Cost per instance")</f>
        <v>Cost per instance</v>
      </c>
      <c r="M655" s="3"/>
      <c r="N655" s="3"/>
      <c r="O655" s="3"/>
      <c r="P655" s="3"/>
      <c r="Q655" s="3"/>
      <c r="R655" s="3"/>
      <c r="S655" s="3" t="str">
        <f ca="1">IFERROR(__xludf.DUMMYFUNCTION("""COMPUTED_VALUE"""),"100")</f>
        <v>100</v>
      </c>
      <c r="T655" s="3"/>
      <c r="U655" s="3" t="str">
        <f ca="1">IFERROR(__xludf.DUMMYFUNCTION("""COMPUTED_VALUE"""),"SoMe instagram")</f>
        <v>SoMe instagram</v>
      </c>
      <c r="V655" s="3"/>
      <c r="W655" s="3"/>
      <c r="X655" s="3"/>
      <c r="Y655" s="3"/>
      <c r="Z655" s="3" t="str">
        <f ca="1">IFERROR(__xludf.DUMMYFUNCTION("""COMPUTED_VALUE"""),"podklady@cncenter.cz")</f>
        <v>podklady@cncenter.cz</v>
      </c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 t="str">
        <f ca="1">IFERROR(__xludf.DUMMYFUNCTION("""COMPUTED_VALUE"""),"cross-device")</f>
        <v>cross-device</v>
      </c>
      <c r="AO655" s="3"/>
      <c r="AP655" s="3"/>
      <c r="AQ655" s="3"/>
      <c r="AR655" s="3"/>
      <c r="AS655" s="3"/>
      <c r="AT655" s="3"/>
      <c r="AU655" s="3" t="str">
        <f ca="1">IFERROR(__xludf.DUMMYFUNCTION("""COMPUTED_VALUE"""),"instagram post")</f>
        <v>instagram post</v>
      </c>
    </row>
    <row r="656" spans="1:47" x14ac:dyDescent="0.3">
      <c r="A656" s="3">
        <f ca="1"/>
        <v>2346826</v>
      </c>
      <c r="B656" s="3" t="str">
        <f ca="1"/>
        <v>CZECH NEWS CENTER a. s.</v>
      </c>
      <c r="C656" s="3" t="str">
        <f ca="1">IFERROR(__xludf.DUMMYFUNCTION("""COMPUTED_VALUE"""),"Instagramový profil Lidé a Země")</f>
        <v>Instagramový profil Lidé a Země</v>
      </c>
      <c r="D656" s="4" t="str">
        <f ca="1">IFERROR(__xludf.DUMMYFUNCTION("""COMPUTED_VALUE"""),"www.instagram.com")</f>
        <v>www.instagram.com</v>
      </c>
      <c r="E656" s="3" t="str">
        <f ca="1">IFERROR(__xludf.DUMMYFUNCTION("""COMPUTED_VALUE"""),"IG účet")</f>
        <v>IG účet</v>
      </c>
      <c r="F656" s="4" t="str">
        <f ca="1">IFERROR(__xludf.DUMMYFUNCTION("""COMPUTED_VALUE"""),"www.instagram.com")</f>
        <v>www.instagram.com</v>
      </c>
      <c r="G656" s="3" t="str">
        <f ca="1">IFERROR(__xludf.DUMMYFUNCTION("""COMPUTED_VALUE"""),"instagram story high season")</f>
        <v>instagram story high season</v>
      </c>
      <c r="H656" s="3">
        <f ca="1">IFERROR(__xludf.DUMMYFUNCTION("""COMPUTED_VALUE"""),1)</f>
        <v>1</v>
      </c>
      <c r="I656" s="5">
        <f ca="1">IFERROR(__xludf.DUMMYFUNCTION("""COMPUTED_VALUE"""),1)</f>
        <v>1</v>
      </c>
      <c r="J656" s="5">
        <f ca="1">IFERROR(__xludf.DUMMYFUNCTION("""COMPUTED_VALUE"""),18000)</f>
        <v>18000</v>
      </c>
      <c r="K656" s="3"/>
      <c r="L656" s="3" t="str">
        <f ca="1">IFERROR(__xludf.DUMMYFUNCTION("""COMPUTED_VALUE"""),"Cost per instance")</f>
        <v>Cost per instance</v>
      </c>
      <c r="M656" s="3"/>
      <c r="N656" s="3"/>
      <c r="O656" s="3"/>
      <c r="P656" s="3"/>
      <c r="Q656" s="3"/>
      <c r="R656" s="3"/>
      <c r="S656" s="3" t="str">
        <f ca="1">IFERROR(__xludf.DUMMYFUNCTION("""COMPUTED_VALUE"""),"100")</f>
        <v>100</v>
      </c>
      <c r="T656" s="3"/>
      <c r="U656" s="3" t="str">
        <f ca="1">IFERROR(__xludf.DUMMYFUNCTION("""COMPUTED_VALUE"""),"SoMe instagram")</f>
        <v>SoMe instagram</v>
      </c>
      <c r="V656" s="3"/>
      <c r="W656" s="3"/>
      <c r="X656" s="3"/>
      <c r="Y656" s="3"/>
      <c r="Z656" s="3" t="str">
        <f ca="1">IFERROR(__xludf.DUMMYFUNCTION("""COMPUTED_VALUE"""),"podklady@cncenter.cz")</f>
        <v>podklady@cncenter.cz</v>
      </c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 t="str">
        <f ca="1">IFERROR(__xludf.DUMMYFUNCTION("""COMPUTED_VALUE"""),"cross-device")</f>
        <v>cross-device</v>
      </c>
      <c r="AO656" s="3"/>
      <c r="AP656" s="3"/>
      <c r="AQ656" s="3"/>
      <c r="AR656" s="3"/>
      <c r="AS656" s="3"/>
      <c r="AT656" s="3"/>
      <c r="AU656" s="3" t="str">
        <f ca="1">IFERROR(__xludf.DUMMYFUNCTION("""COMPUTED_VALUE"""),"instagram story")</f>
        <v>instagram story</v>
      </c>
    </row>
    <row r="657" spans="1:47" x14ac:dyDescent="0.3">
      <c r="A657" s="3">
        <f ca="1"/>
        <v>2346826</v>
      </c>
      <c r="B657" s="3" t="str">
        <f ca="1"/>
        <v>CZECH NEWS CENTER a. s.</v>
      </c>
      <c r="C657" s="3" t="str">
        <f ca="1">IFERROR(__xludf.DUMMYFUNCTION("""COMPUTED_VALUE"""),"Instagramový profil Maminka")</f>
        <v>Instagramový profil Maminka</v>
      </c>
      <c r="D657" s="4" t="str">
        <f ca="1">IFERROR(__xludf.DUMMYFUNCTION("""COMPUTED_VALUE"""),"www.instagram.com")</f>
        <v>www.instagram.com</v>
      </c>
      <c r="E657" s="3" t="str">
        <f ca="1">IFERROR(__xludf.DUMMYFUNCTION("""COMPUTED_VALUE"""),"IG účet")</f>
        <v>IG účet</v>
      </c>
      <c r="F657" s="4" t="str">
        <f ca="1">IFERROR(__xludf.DUMMYFUNCTION("""COMPUTED_VALUE"""),"www.instagram.com")</f>
        <v>www.instagram.com</v>
      </c>
      <c r="G657" s="3" t="str">
        <f ca="1">IFERROR(__xludf.DUMMYFUNCTION("""COMPUTED_VALUE"""),"instagram post high season")</f>
        <v>instagram post high season</v>
      </c>
      <c r="H657" s="3">
        <f ca="1">IFERROR(__xludf.DUMMYFUNCTION("""COMPUTED_VALUE"""),1)</f>
        <v>1</v>
      </c>
      <c r="I657" s="5">
        <f ca="1">IFERROR(__xludf.DUMMYFUNCTION("""COMPUTED_VALUE"""),1)</f>
        <v>1</v>
      </c>
      <c r="J657" s="5">
        <f ca="1">IFERROR(__xludf.DUMMYFUNCTION("""COMPUTED_VALUE"""),23000)</f>
        <v>23000</v>
      </c>
      <c r="K657" s="3"/>
      <c r="L657" s="3" t="str">
        <f ca="1">IFERROR(__xludf.DUMMYFUNCTION("""COMPUTED_VALUE"""),"Cost per instance")</f>
        <v>Cost per instance</v>
      </c>
      <c r="M657" s="3"/>
      <c r="N657" s="3"/>
      <c r="O657" s="3"/>
      <c r="P657" s="3"/>
      <c r="Q657" s="3"/>
      <c r="R657" s="3"/>
      <c r="S657" s="3" t="str">
        <f ca="1">IFERROR(__xludf.DUMMYFUNCTION("""COMPUTED_VALUE"""),"100")</f>
        <v>100</v>
      </c>
      <c r="T657" s="3"/>
      <c r="U657" s="3" t="str">
        <f ca="1">IFERROR(__xludf.DUMMYFUNCTION("""COMPUTED_VALUE"""),"SoMe instagram")</f>
        <v>SoMe instagram</v>
      </c>
      <c r="V657" s="3"/>
      <c r="W657" s="3"/>
      <c r="X657" s="3"/>
      <c r="Y657" s="3"/>
      <c r="Z657" s="3" t="str">
        <f ca="1">IFERROR(__xludf.DUMMYFUNCTION("""COMPUTED_VALUE"""),"podklady@cncenter.cz")</f>
        <v>podklady@cncenter.cz</v>
      </c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 t="str">
        <f ca="1">IFERROR(__xludf.DUMMYFUNCTION("""COMPUTED_VALUE"""),"cross-device")</f>
        <v>cross-device</v>
      </c>
      <c r="AO657" s="3"/>
      <c r="AP657" s="3"/>
      <c r="AQ657" s="3"/>
      <c r="AR657" s="3"/>
      <c r="AS657" s="3"/>
      <c r="AT657" s="3"/>
      <c r="AU657" s="3" t="str">
        <f ca="1">IFERROR(__xludf.DUMMYFUNCTION("""COMPUTED_VALUE"""),"instagram post")</f>
        <v>instagram post</v>
      </c>
    </row>
    <row r="658" spans="1:47" x14ac:dyDescent="0.3">
      <c r="A658" s="3">
        <f ca="1"/>
        <v>2346826</v>
      </c>
      <c r="B658" s="3" t="str">
        <f ca="1"/>
        <v>CZECH NEWS CENTER a. s.</v>
      </c>
      <c r="C658" s="3" t="str">
        <f ca="1">IFERROR(__xludf.DUMMYFUNCTION("""COMPUTED_VALUE"""),"Instagramový profil Maminka")</f>
        <v>Instagramový profil Maminka</v>
      </c>
      <c r="D658" s="4" t="str">
        <f ca="1">IFERROR(__xludf.DUMMYFUNCTION("""COMPUTED_VALUE"""),"www.instagram.com")</f>
        <v>www.instagram.com</v>
      </c>
      <c r="E658" s="3" t="str">
        <f ca="1">IFERROR(__xludf.DUMMYFUNCTION("""COMPUTED_VALUE"""),"IG účet")</f>
        <v>IG účet</v>
      </c>
      <c r="F658" s="4" t="str">
        <f ca="1">IFERROR(__xludf.DUMMYFUNCTION("""COMPUTED_VALUE"""),"www.instagram.com")</f>
        <v>www.instagram.com</v>
      </c>
      <c r="G658" s="3" t="str">
        <f ca="1">IFERROR(__xludf.DUMMYFUNCTION("""COMPUTED_VALUE"""),"instagram story high season")</f>
        <v>instagram story high season</v>
      </c>
      <c r="H658" s="3">
        <f ca="1">IFERROR(__xludf.DUMMYFUNCTION("""COMPUTED_VALUE"""),1)</f>
        <v>1</v>
      </c>
      <c r="I658" s="5">
        <f ca="1">IFERROR(__xludf.DUMMYFUNCTION("""COMPUTED_VALUE"""),1)</f>
        <v>1</v>
      </c>
      <c r="J658" s="5">
        <f ca="1">IFERROR(__xludf.DUMMYFUNCTION("""COMPUTED_VALUE"""),23000)</f>
        <v>23000</v>
      </c>
      <c r="K658" s="3"/>
      <c r="L658" s="3" t="str">
        <f ca="1">IFERROR(__xludf.DUMMYFUNCTION("""COMPUTED_VALUE"""),"Cost per instance")</f>
        <v>Cost per instance</v>
      </c>
      <c r="M658" s="3"/>
      <c r="N658" s="3"/>
      <c r="O658" s="3"/>
      <c r="P658" s="3"/>
      <c r="Q658" s="3"/>
      <c r="R658" s="3"/>
      <c r="S658" s="3" t="str">
        <f ca="1">IFERROR(__xludf.DUMMYFUNCTION("""COMPUTED_VALUE"""),"100")</f>
        <v>100</v>
      </c>
      <c r="T658" s="3"/>
      <c r="U658" s="3" t="str">
        <f ca="1">IFERROR(__xludf.DUMMYFUNCTION("""COMPUTED_VALUE"""),"SoMe instagram")</f>
        <v>SoMe instagram</v>
      </c>
      <c r="V658" s="3"/>
      <c r="W658" s="3"/>
      <c r="X658" s="3"/>
      <c r="Y658" s="3"/>
      <c r="Z658" s="3" t="str">
        <f ca="1">IFERROR(__xludf.DUMMYFUNCTION("""COMPUTED_VALUE"""),"podklady@cncenter.cz")</f>
        <v>podklady@cncenter.cz</v>
      </c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 t="str">
        <f ca="1">IFERROR(__xludf.DUMMYFUNCTION("""COMPUTED_VALUE"""),"cross-device")</f>
        <v>cross-device</v>
      </c>
      <c r="AO658" s="3"/>
      <c r="AP658" s="3"/>
      <c r="AQ658" s="3"/>
      <c r="AR658" s="3"/>
      <c r="AS658" s="3"/>
      <c r="AT658" s="3"/>
      <c r="AU658" s="3" t="str">
        <f ca="1">IFERROR(__xludf.DUMMYFUNCTION("""COMPUTED_VALUE"""),"instagram story")</f>
        <v>instagram story</v>
      </c>
    </row>
    <row r="659" spans="1:47" x14ac:dyDescent="0.3">
      <c r="A659" s="3">
        <f ca="1"/>
        <v>2346826</v>
      </c>
      <c r="B659" s="3" t="str">
        <f ca="1"/>
        <v>CZECH NEWS CENTER a. s.</v>
      </c>
      <c r="C659" s="3" t="str">
        <f ca="1">IFERROR(__xludf.DUMMYFUNCTION("""COMPUTED_VALUE"""),"Instagramový profil Mateřídouška")</f>
        <v>Instagramový profil Mateřídouška</v>
      </c>
      <c r="D659" s="4" t="str">
        <f ca="1">IFERROR(__xludf.DUMMYFUNCTION("""COMPUTED_VALUE"""),"www.instagram.com")</f>
        <v>www.instagram.com</v>
      </c>
      <c r="E659" s="3" t="str">
        <f ca="1">IFERROR(__xludf.DUMMYFUNCTION("""COMPUTED_VALUE"""),"IG účet")</f>
        <v>IG účet</v>
      </c>
      <c r="F659" s="4" t="str">
        <f ca="1">IFERROR(__xludf.DUMMYFUNCTION("""COMPUTED_VALUE"""),"www.instagram.com")</f>
        <v>www.instagram.com</v>
      </c>
      <c r="G659" s="3" t="str">
        <f ca="1">IFERROR(__xludf.DUMMYFUNCTION("""COMPUTED_VALUE"""),"instagram post high season")</f>
        <v>instagram post high season</v>
      </c>
      <c r="H659" s="3">
        <f ca="1">IFERROR(__xludf.DUMMYFUNCTION("""COMPUTED_VALUE"""),1)</f>
        <v>1</v>
      </c>
      <c r="I659" s="5">
        <f ca="1">IFERROR(__xludf.DUMMYFUNCTION("""COMPUTED_VALUE"""),1)</f>
        <v>1</v>
      </c>
      <c r="J659" s="5">
        <f ca="1">IFERROR(__xludf.DUMMYFUNCTION("""COMPUTED_VALUE"""),18000)</f>
        <v>18000</v>
      </c>
      <c r="K659" s="3"/>
      <c r="L659" s="3" t="str">
        <f ca="1">IFERROR(__xludf.DUMMYFUNCTION("""COMPUTED_VALUE"""),"Cost per instance")</f>
        <v>Cost per instance</v>
      </c>
      <c r="M659" s="3"/>
      <c r="N659" s="3"/>
      <c r="O659" s="3"/>
      <c r="P659" s="3"/>
      <c r="Q659" s="3"/>
      <c r="R659" s="3"/>
      <c r="S659" s="3" t="str">
        <f ca="1">IFERROR(__xludf.DUMMYFUNCTION("""COMPUTED_VALUE"""),"100")</f>
        <v>100</v>
      </c>
      <c r="T659" s="3"/>
      <c r="U659" s="3" t="str">
        <f ca="1">IFERROR(__xludf.DUMMYFUNCTION("""COMPUTED_VALUE"""),"SoMe instagram")</f>
        <v>SoMe instagram</v>
      </c>
      <c r="V659" s="3"/>
      <c r="W659" s="3"/>
      <c r="X659" s="3"/>
      <c r="Y659" s="3"/>
      <c r="Z659" s="3" t="str">
        <f ca="1">IFERROR(__xludf.DUMMYFUNCTION("""COMPUTED_VALUE"""),"podklady@cncenter.cz")</f>
        <v>podklady@cncenter.cz</v>
      </c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 t="str">
        <f ca="1">IFERROR(__xludf.DUMMYFUNCTION("""COMPUTED_VALUE"""),"cross-device")</f>
        <v>cross-device</v>
      </c>
      <c r="AO659" s="3"/>
      <c r="AP659" s="3"/>
      <c r="AQ659" s="3"/>
      <c r="AR659" s="3"/>
      <c r="AS659" s="3"/>
      <c r="AT659" s="3"/>
      <c r="AU659" s="3" t="str">
        <f ca="1">IFERROR(__xludf.DUMMYFUNCTION("""COMPUTED_VALUE"""),"instagram post")</f>
        <v>instagram post</v>
      </c>
    </row>
    <row r="660" spans="1:47" x14ac:dyDescent="0.3">
      <c r="A660" s="3">
        <f ca="1"/>
        <v>2346826</v>
      </c>
      <c r="B660" s="3" t="str">
        <f ca="1"/>
        <v>CZECH NEWS CENTER a. s.</v>
      </c>
      <c r="C660" s="3" t="str">
        <f ca="1">IFERROR(__xludf.DUMMYFUNCTION("""COMPUTED_VALUE"""),"Instagramový profil Mateřídouška")</f>
        <v>Instagramový profil Mateřídouška</v>
      </c>
      <c r="D660" s="4" t="str">
        <f ca="1">IFERROR(__xludf.DUMMYFUNCTION("""COMPUTED_VALUE"""),"www.instagram.com")</f>
        <v>www.instagram.com</v>
      </c>
      <c r="E660" s="3" t="str">
        <f ca="1">IFERROR(__xludf.DUMMYFUNCTION("""COMPUTED_VALUE"""),"IG účet")</f>
        <v>IG účet</v>
      </c>
      <c r="F660" s="4" t="str">
        <f ca="1">IFERROR(__xludf.DUMMYFUNCTION("""COMPUTED_VALUE"""),"www.instagram.com")</f>
        <v>www.instagram.com</v>
      </c>
      <c r="G660" s="3" t="str">
        <f ca="1">IFERROR(__xludf.DUMMYFUNCTION("""COMPUTED_VALUE"""),"instagram story high season")</f>
        <v>instagram story high season</v>
      </c>
      <c r="H660" s="3">
        <f ca="1">IFERROR(__xludf.DUMMYFUNCTION("""COMPUTED_VALUE"""),1)</f>
        <v>1</v>
      </c>
      <c r="I660" s="5">
        <f ca="1">IFERROR(__xludf.DUMMYFUNCTION("""COMPUTED_VALUE"""),1)</f>
        <v>1</v>
      </c>
      <c r="J660" s="5">
        <f ca="1">IFERROR(__xludf.DUMMYFUNCTION("""COMPUTED_VALUE"""),18000)</f>
        <v>18000</v>
      </c>
      <c r="K660" s="3"/>
      <c r="L660" s="3" t="str">
        <f ca="1">IFERROR(__xludf.DUMMYFUNCTION("""COMPUTED_VALUE"""),"Cost per instance")</f>
        <v>Cost per instance</v>
      </c>
      <c r="M660" s="3"/>
      <c r="N660" s="3"/>
      <c r="O660" s="3"/>
      <c r="P660" s="3"/>
      <c r="Q660" s="3"/>
      <c r="R660" s="3"/>
      <c r="S660" s="3" t="str">
        <f ca="1">IFERROR(__xludf.DUMMYFUNCTION("""COMPUTED_VALUE"""),"100")</f>
        <v>100</v>
      </c>
      <c r="T660" s="3"/>
      <c r="U660" s="3" t="str">
        <f ca="1">IFERROR(__xludf.DUMMYFUNCTION("""COMPUTED_VALUE"""),"SoMe instagram")</f>
        <v>SoMe instagram</v>
      </c>
      <c r="V660" s="3"/>
      <c r="W660" s="3"/>
      <c r="X660" s="3"/>
      <c r="Y660" s="3"/>
      <c r="Z660" s="3" t="str">
        <f ca="1">IFERROR(__xludf.DUMMYFUNCTION("""COMPUTED_VALUE"""),"podklady@cncenter.cz")</f>
        <v>podklady@cncenter.cz</v>
      </c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 t="str">
        <f ca="1">IFERROR(__xludf.DUMMYFUNCTION("""COMPUTED_VALUE"""),"cross-device")</f>
        <v>cross-device</v>
      </c>
      <c r="AO660" s="3"/>
      <c r="AP660" s="3"/>
      <c r="AQ660" s="3"/>
      <c r="AR660" s="3"/>
      <c r="AS660" s="3"/>
      <c r="AT660" s="3"/>
      <c r="AU660" s="3" t="str">
        <f ca="1">IFERROR(__xludf.DUMMYFUNCTION("""COMPUTED_VALUE"""),"instagram story")</f>
        <v>instagram story</v>
      </c>
    </row>
    <row r="661" spans="1:47" x14ac:dyDescent="0.3">
      <c r="A661" s="3">
        <f ca="1"/>
        <v>2346826</v>
      </c>
      <c r="B661" s="3" t="str">
        <f ca="1"/>
        <v>CZECH NEWS CENTER a. s.</v>
      </c>
      <c r="C661" s="3" t="str">
        <f ca="1">IFERROR(__xludf.DUMMYFUNCTION("""COMPUTED_VALUE"""),"Instagramový profil Mobilmania")</f>
        <v>Instagramový profil Mobilmania</v>
      </c>
      <c r="D661" s="4" t="str">
        <f ca="1">IFERROR(__xludf.DUMMYFUNCTION("""COMPUTED_VALUE"""),"www.instagram.com")</f>
        <v>www.instagram.com</v>
      </c>
      <c r="E661" s="3" t="str">
        <f ca="1">IFERROR(__xludf.DUMMYFUNCTION("""COMPUTED_VALUE"""),"IG účet")</f>
        <v>IG účet</v>
      </c>
      <c r="F661" s="4" t="str">
        <f ca="1">IFERROR(__xludf.DUMMYFUNCTION("""COMPUTED_VALUE"""),"www.instagram.com")</f>
        <v>www.instagram.com</v>
      </c>
      <c r="G661" s="3" t="str">
        <f ca="1">IFERROR(__xludf.DUMMYFUNCTION("""COMPUTED_VALUE"""),"instagram post high season")</f>
        <v>instagram post high season</v>
      </c>
      <c r="H661" s="3">
        <f ca="1">IFERROR(__xludf.DUMMYFUNCTION("""COMPUTED_VALUE"""),1)</f>
        <v>1</v>
      </c>
      <c r="I661" s="5">
        <f ca="1">IFERROR(__xludf.DUMMYFUNCTION("""COMPUTED_VALUE"""),1)</f>
        <v>1</v>
      </c>
      <c r="J661" s="5">
        <f ca="1">IFERROR(__xludf.DUMMYFUNCTION("""COMPUTED_VALUE"""),18000)</f>
        <v>18000</v>
      </c>
      <c r="K661" s="3"/>
      <c r="L661" s="3" t="str">
        <f ca="1">IFERROR(__xludf.DUMMYFUNCTION("""COMPUTED_VALUE"""),"Cost per instance")</f>
        <v>Cost per instance</v>
      </c>
      <c r="M661" s="3"/>
      <c r="N661" s="3"/>
      <c r="O661" s="3"/>
      <c r="P661" s="3"/>
      <c r="Q661" s="3"/>
      <c r="R661" s="3"/>
      <c r="S661" s="3" t="str">
        <f ca="1">IFERROR(__xludf.DUMMYFUNCTION("""COMPUTED_VALUE"""),"100")</f>
        <v>100</v>
      </c>
      <c r="T661" s="3"/>
      <c r="U661" s="3" t="str">
        <f ca="1">IFERROR(__xludf.DUMMYFUNCTION("""COMPUTED_VALUE"""),"SoMe instagram")</f>
        <v>SoMe instagram</v>
      </c>
      <c r="V661" s="3"/>
      <c r="W661" s="3"/>
      <c r="X661" s="3"/>
      <c r="Y661" s="3"/>
      <c r="Z661" s="3" t="str">
        <f ca="1">IFERROR(__xludf.DUMMYFUNCTION("""COMPUTED_VALUE"""),"podklady@cncenter.cz")</f>
        <v>podklady@cncenter.cz</v>
      </c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 t="str">
        <f ca="1">IFERROR(__xludf.DUMMYFUNCTION("""COMPUTED_VALUE"""),"cross-device")</f>
        <v>cross-device</v>
      </c>
      <c r="AO661" s="3"/>
      <c r="AP661" s="3"/>
      <c r="AQ661" s="3"/>
      <c r="AR661" s="3"/>
      <c r="AS661" s="3"/>
      <c r="AT661" s="3"/>
      <c r="AU661" s="3" t="str">
        <f ca="1">IFERROR(__xludf.DUMMYFUNCTION("""COMPUTED_VALUE"""),"instagram post")</f>
        <v>instagram post</v>
      </c>
    </row>
    <row r="662" spans="1:47" x14ac:dyDescent="0.3">
      <c r="A662" s="3">
        <f ca="1"/>
        <v>2346826</v>
      </c>
      <c r="B662" s="3" t="str">
        <f ca="1"/>
        <v>CZECH NEWS CENTER a. s.</v>
      </c>
      <c r="C662" s="3" t="str">
        <f ca="1">IFERROR(__xludf.DUMMYFUNCTION("""COMPUTED_VALUE"""),"Instagramový profil mobilMania")</f>
        <v>Instagramový profil mobilMania</v>
      </c>
      <c r="D662" s="4" t="str">
        <f ca="1">IFERROR(__xludf.DUMMYFUNCTION("""COMPUTED_VALUE"""),"www.instagram.com")</f>
        <v>www.instagram.com</v>
      </c>
      <c r="E662" s="3" t="str">
        <f ca="1">IFERROR(__xludf.DUMMYFUNCTION("""COMPUTED_VALUE"""),"IG účet")</f>
        <v>IG účet</v>
      </c>
      <c r="F662" s="4" t="str">
        <f ca="1">IFERROR(__xludf.DUMMYFUNCTION("""COMPUTED_VALUE"""),"www.instagram.com")</f>
        <v>www.instagram.com</v>
      </c>
      <c r="G662" s="3" t="str">
        <f ca="1">IFERROR(__xludf.DUMMYFUNCTION("""COMPUTED_VALUE"""),"instagram story high season")</f>
        <v>instagram story high season</v>
      </c>
      <c r="H662" s="3">
        <f ca="1">IFERROR(__xludf.DUMMYFUNCTION("""COMPUTED_VALUE"""),1)</f>
        <v>1</v>
      </c>
      <c r="I662" s="5">
        <f ca="1">IFERROR(__xludf.DUMMYFUNCTION("""COMPUTED_VALUE"""),1)</f>
        <v>1</v>
      </c>
      <c r="J662" s="5">
        <f ca="1">IFERROR(__xludf.DUMMYFUNCTION("""COMPUTED_VALUE"""),18000)</f>
        <v>18000</v>
      </c>
      <c r="K662" s="3"/>
      <c r="L662" s="3" t="str">
        <f ca="1">IFERROR(__xludf.DUMMYFUNCTION("""COMPUTED_VALUE"""),"Cost per instance")</f>
        <v>Cost per instance</v>
      </c>
      <c r="M662" s="3"/>
      <c r="N662" s="3"/>
      <c r="O662" s="3"/>
      <c r="P662" s="3"/>
      <c r="Q662" s="3"/>
      <c r="R662" s="3"/>
      <c r="S662" s="3" t="str">
        <f ca="1">IFERROR(__xludf.DUMMYFUNCTION("""COMPUTED_VALUE"""),"100")</f>
        <v>100</v>
      </c>
      <c r="T662" s="3"/>
      <c r="U662" s="3" t="str">
        <f ca="1">IFERROR(__xludf.DUMMYFUNCTION("""COMPUTED_VALUE"""),"SoMe instagram")</f>
        <v>SoMe instagram</v>
      </c>
      <c r="V662" s="3"/>
      <c r="W662" s="3"/>
      <c r="X662" s="3"/>
      <c r="Y662" s="3"/>
      <c r="Z662" s="3" t="str">
        <f ca="1">IFERROR(__xludf.DUMMYFUNCTION("""COMPUTED_VALUE"""),"podklady@cncenter.cz")</f>
        <v>podklady@cncenter.cz</v>
      </c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 t="str">
        <f ca="1">IFERROR(__xludf.DUMMYFUNCTION("""COMPUTED_VALUE"""),"cross-device")</f>
        <v>cross-device</v>
      </c>
      <c r="AO662" s="3"/>
      <c r="AP662" s="3"/>
      <c r="AQ662" s="3"/>
      <c r="AR662" s="3"/>
      <c r="AS662" s="3"/>
      <c r="AT662" s="3"/>
      <c r="AU662" s="3" t="str">
        <f ca="1">IFERROR(__xludf.DUMMYFUNCTION("""COMPUTED_VALUE"""),"instagram story")</f>
        <v>instagram story</v>
      </c>
    </row>
    <row r="663" spans="1:47" x14ac:dyDescent="0.3">
      <c r="A663" s="3">
        <f ca="1"/>
        <v>2346826</v>
      </c>
      <c r="B663" s="3" t="str">
        <f ca="1"/>
        <v>CZECH NEWS CENTER a. s.</v>
      </c>
      <c r="C663" s="3" t="str">
        <f ca="1">IFERROR(__xludf.DUMMYFUNCTION("""COMPUTED_VALUE"""),"Instagramový profil Moje psychologie")</f>
        <v>Instagramový profil Moje psychologie</v>
      </c>
      <c r="D663" s="4" t="str">
        <f ca="1">IFERROR(__xludf.DUMMYFUNCTION("""COMPUTED_VALUE"""),"www.instagram.com")</f>
        <v>www.instagram.com</v>
      </c>
      <c r="E663" s="3" t="str">
        <f ca="1">IFERROR(__xludf.DUMMYFUNCTION("""COMPUTED_VALUE"""),"IG účet")</f>
        <v>IG účet</v>
      </c>
      <c r="F663" s="4" t="str">
        <f ca="1">IFERROR(__xludf.DUMMYFUNCTION("""COMPUTED_VALUE"""),"www.instagram.com")</f>
        <v>www.instagram.com</v>
      </c>
      <c r="G663" s="3" t="str">
        <f ca="1">IFERROR(__xludf.DUMMYFUNCTION("""COMPUTED_VALUE"""),"instagram post high season")</f>
        <v>instagram post high season</v>
      </c>
      <c r="H663" s="3">
        <f ca="1">IFERROR(__xludf.DUMMYFUNCTION("""COMPUTED_VALUE"""),1)</f>
        <v>1</v>
      </c>
      <c r="I663" s="5">
        <f ca="1">IFERROR(__xludf.DUMMYFUNCTION("""COMPUTED_VALUE"""),1)</f>
        <v>1</v>
      </c>
      <c r="J663" s="5">
        <f ca="1">IFERROR(__xludf.DUMMYFUNCTION("""COMPUTED_VALUE"""),18000)</f>
        <v>18000</v>
      </c>
      <c r="K663" s="3"/>
      <c r="L663" s="3" t="str">
        <f ca="1">IFERROR(__xludf.DUMMYFUNCTION("""COMPUTED_VALUE"""),"Cost per instance")</f>
        <v>Cost per instance</v>
      </c>
      <c r="M663" s="3"/>
      <c r="N663" s="3"/>
      <c r="O663" s="3"/>
      <c r="P663" s="3"/>
      <c r="Q663" s="3"/>
      <c r="R663" s="3"/>
      <c r="S663" s="3" t="str">
        <f ca="1">IFERROR(__xludf.DUMMYFUNCTION("""COMPUTED_VALUE"""),"100")</f>
        <v>100</v>
      </c>
      <c r="T663" s="3"/>
      <c r="U663" s="3" t="str">
        <f ca="1">IFERROR(__xludf.DUMMYFUNCTION("""COMPUTED_VALUE"""),"SoMe instagram")</f>
        <v>SoMe instagram</v>
      </c>
      <c r="V663" s="3"/>
      <c r="W663" s="3"/>
      <c r="X663" s="3"/>
      <c r="Y663" s="3"/>
      <c r="Z663" s="3" t="str">
        <f ca="1">IFERROR(__xludf.DUMMYFUNCTION("""COMPUTED_VALUE"""),"podklady@cncenter.cz")</f>
        <v>podklady@cncenter.cz</v>
      </c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 t="str">
        <f ca="1">IFERROR(__xludf.DUMMYFUNCTION("""COMPUTED_VALUE"""),"cross-device")</f>
        <v>cross-device</v>
      </c>
      <c r="AO663" s="3"/>
      <c r="AP663" s="3"/>
      <c r="AQ663" s="3"/>
      <c r="AR663" s="3"/>
      <c r="AS663" s="3"/>
      <c r="AT663" s="3"/>
      <c r="AU663" s="3" t="str">
        <f ca="1">IFERROR(__xludf.DUMMYFUNCTION("""COMPUTED_VALUE"""),"instagram post")</f>
        <v>instagram post</v>
      </c>
    </row>
    <row r="664" spans="1:47" x14ac:dyDescent="0.3">
      <c r="A664" s="3">
        <f ca="1"/>
        <v>2346826</v>
      </c>
      <c r="B664" s="3" t="str">
        <f ca="1"/>
        <v>CZECH NEWS CENTER a. s.</v>
      </c>
      <c r="C664" s="3" t="str">
        <f ca="1">IFERROR(__xludf.DUMMYFUNCTION("""COMPUTED_VALUE"""),"Instagramový profil Moje psychologie")</f>
        <v>Instagramový profil Moje psychologie</v>
      </c>
      <c r="D664" s="4" t="str">
        <f ca="1">IFERROR(__xludf.DUMMYFUNCTION("""COMPUTED_VALUE"""),"www.instagram.com")</f>
        <v>www.instagram.com</v>
      </c>
      <c r="E664" s="3" t="str">
        <f ca="1">IFERROR(__xludf.DUMMYFUNCTION("""COMPUTED_VALUE"""),"IG účet")</f>
        <v>IG účet</v>
      </c>
      <c r="F664" s="4" t="str">
        <f ca="1">IFERROR(__xludf.DUMMYFUNCTION("""COMPUTED_VALUE"""),"www.instagram.com")</f>
        <v>www.instagram.com</v>
      </c>
      <c r="G664" s="3" t="str">
        <f ca="1">IFERROR(__xludf.DUMMYFUNCTION("""COMPUTED_VALUE"""),"instagram story high season")</f>
        <v>instagram story high season</v>
      </c>
      <c r="H664" s="3">
        <f ca="1">IFERROR(__xludf.DUMMYFUNCTION("""COMPUTED_VALUE"""),1)</f>
        <v>1</v>
      </c>
      <c r="I664" s="5">
        <f ca="1">IFERROR(__xludf.DUMMYFUNCTION("""COMPUTED_VALUE"""),1)</f>
        <v>1</v>
      </c>
      <c r="J664" s="5">
        <f ca="1">IFERROR(__xludf.DUMMYFUNCTION("""COMPUTED_VALUE"""),18000)</f>
        <v>18000</v>
      </c>
      <c r="K664" s="3"/>
      <c r="L664" s="3" t="str">
        <f ca="1">IFERROR(__xludf.DUMMYFUNCTION("""COMPUTED_VALUE"""),"Cost per instance")</f>
        <v>Cost per instance</v>
      </c>
      <c r="M664" s="3"/>
      <c r="N664" s="3"/>
      <c r="O664" s="3"/>
      <c r="P664" s="3"/>
      <c r="Q664" s="3"/>
      <c r="R664" s="3"/>
      <c r="S664" s="3" t="str">
        <f ca="1">IFERROR(__xludf.DUMMYFUNCTION("""COMPUTED_VALUE"""),"100")</f>
        <v>100</v>
      </c>
      <c r="T664" s="3"/>
      <c r="U664" s="3" t="str">
        <f ca="1">IFERROR(__xludf.DUMMYFUNCTION("""COMPUTED_VALUE"""),"SoMe instagram")</f>
        <v>SoMe instagram</v>
      </c>
      <c r="V664" s="3"/>
      <c r="W664" s="3"/>
      <c r="X664" s="3"/>
      <c r="Y664" s="3"/>
      <c r="Z664" s="3" t="str">
        <f ca="1">IFERROR(__xludf.DUMMYFUNCTION("""COMPUTED_VALUE"""),"podklady@cncenter.cz")</f>
        <v>podklady@cncenter.cz</v>
      </c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 t="str">
        <f ca="1">IFERROR(__xludf.DUMMYFUNCTION("""COMPUTED_VALUE"""),"cross-device")</f>
        <v>cross-device</v>
      </c>
      <c r="AO664" s="3"/>
      <c r="AP664" s="3"/>
      <c r="AQ664" s="3"/>
      <c r="AR664" s="3"/>
      <c r="AS664" s="3"/>
      <c r="AT664" s="3"/>
      <c r="AU664" s="3" t="str">
        <f ca="1">IFERROR(__xludf.DUMMYFUNCTION("""COMPUTED_VALUE"""),"instagram story")</f>
        <v>instagram story</v>
      </c>
    </row>
    <row r="665" spans="1:47" x14ac:dyDescent="0.3">
      <c r="A665" s="3">
        <f ca="1"/>
        <v>2346826</v>
      </c>
      <c r="B665" s="3" t="str">
        <f ca="1"/>
        <v>CZECH NEWS CENTER a. s.</v>
      </c>
      <c r="C665" s="3" t="str">
        <f ca="1">IFERROR(__xludf.DUMMYFUNCTION("""COMPUTED_VALUE"""),"Instagramový profil Recepty")</f>
        <v>Instagramový profil Recepty</v>
      </c>
      <c r="D665" s="4" t="str">
        <f ca="1">IFERROR(__xludf.DUMMYFUNCTION("""COMPUTED_VALUE"""),"www.instagram.com")</f>
        <v>www.instagram.com</v>
      </c>
      <c r="E665" s="3" t="str">
        <f ca="1">IFERROR(__xludf.DUMMYFUNCTION("""COMPUTED_VALUE"""),"IG účet")</f>
        <v>IG účet</v>
      </c>
      <c r="F665" s="4" t="str">
        <f ca="1">IFERROR(__xludf.DUMMYFUNCTION("""COMPUTED_VALUE"""),"www.instagram.com")</f>
        <v>www.instagram.com</v>
      </c>
      <c r="G665" s="3" t="str">
        <f ca="1">IFERROR(__xludf.DUMMYFUNCTION("""COMPUTED_VALUE"""),"instagram post high season")</f>
        <v>instagram post high season</v>
      </c>
      <c r="H665" s="3">
        <f ca="1">IFERROR(__xludf.DUMMYFUNCTION("""COMPUTED_VALUE"""),1)</f>
        <v>1</v>
      </c>
      <c r="I665" s="5">
        <f ca="1">IFERROR(__xludf.DUMMYFUNCTION("""COMPUTED_VALUE"""),1)</f>
        <v>1</v>
      </c>
      <c r="J665" s="5">
        <f ca="1">IFERROR(__xludf.DUMMYFUNCTION("""COMPUTED_VALUE"""),18000)</f>
        <v>18000</v>
      </c>
      <c r="K665" s="3"/>
      <c r="L665" s="3" t="str">
        <f ca="1">IFERROR(__xludf.DUMMYFUNCTION("""COMPUTED_VALUE"""),"Cost per instance")</f>
        <v>Cost per instance</v>
      </c>
      <c r="M665" s="3"/>
      <c r="N665" s="3"/>
      <c r="O665" s="3"/>
      <c r="P665" s="3"/>
      <c r="Q665" s="3"/>
      <c r="R665" s="3"/>
      <c r="S665" s="3" t="str">
        <f ca="1">IFERROR(__xludf.DUMMYFUNCTION("""COMPUTED_VALUE"""),"100")</f>
        <v>100</v>
      </c>
      <c r="T665" s="3"/>
      <c r="U665" s="3" t="str">
        <f ca="1">IFERROR(__xludf.DUMMYFUNCTION("""COMPUTED_VALUE"""),"SoMe instagram")</f>
        <v>SoMe instagram</v>
      </c>
      <c r="V665" s="3"/>
      <c r="W665" s="3"/>
      <c r="X665" s="3"/>
      <c r="Y665" s="3"/>
      <c r="Z665" s="3" t="str">
        <f ca="1">IFERROR(__xludf.DUMMYFUNCTION("""COMPUTED_VALUE"""),"podklady@cncenter.cz")</f>
        <v>podklady@cncenter.cz</v>
      </c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 t="str">
        <f ca="1">IFERROR(__xludf.DUMMYFUNCTION("""COMPUTED_VALUE"""),"cross-device")</f>
        <v>cross-device</v>
      </c>
      <c r="AO665" s="3"/>
      <c r="AP665" s="3"/>
      <c r="AQ665" s="3"/>
      <c r="AR665" s="3"/>
      <c r="AS665" s="3"/>
      <c r="AT665" s="3"/>
      <c r="AU665" s="3" t="str">
        <f ca="1">IFERROR(__xludf.DUMMYFUNCTION("""COMPUTED_VALUE"""),"instagram post")</f>
        <v>instagram post</v>
      </c>
    </row>
    <row r="666" spans="1:47" x14ac:dyDescent="0.3">
      <c r="A666" s="3">
        <f ca="1"/>
        <v>2346826</v>
      </c>
      <c r="B666" s="3" t="str">
        <f ca="1"/>
        <v>CZECH NEWS CENTER a. s.</v>
      </c>
      <c r="C666" s="3" t="str">
        <f ca="1">IFERROR(__xludf.DUMMYFUNCTION("""COMPUTED_VALUE"""),"Instagramový profil Recepty")</f>
        <v>Instagramový profil Recepty</v>
      </c>
      <c r="D666" s="4" t="str">
        <f ca="1">IFERROR(__xludf.DUMMYFUNCTION("""COMPUTED_VALUE"""),"www.instagram.com")</f>
        <v>www.instagram.com</v>
      </c>
      <c r="E666" s="3" t="str">
        <f ca="1">IFERROR(__xludf.DUMMYFUNCTION("""COMPUTED_VALUE"""),"IG účet")</f>
        <v>IG účet</v>
      </c>
      <c r="F666" s="4" t="str">
        <f ca="1">IFERROR(__xludf.DUMMYFUNCTION("""COMPUTED_VALUE"""),"www.instagram.com")</f>
        <v>www.instagram.com</v>
      </c>
      <c r="G666" s="3" t="str">
        <f ca="1">IFERROR(__xludf.DUMMYFUNCTION("""COMPUTED_VALUE"""),"instagram story high season")</f>
        <v>instagram story high season</v>
      </c>
      <c r="H666" s="3">
        <f ca="1">IFERROR(__xludf.DUMMYFUNCTION("""COMPUTED_VALUE"""),1)</f>
        <v>1</v>
      </c>
      <c r="I666" s="5">
        <f ca="1">IFERROR(__xludf.DUMMYFUNCTION("""COMPUTED_VALUE"""),1)</f>
        <v>1</v>
      </c>
      <c r="J666" s="5">
        <f ca="1">IFERROR(__xludf.DUMMYFUNCTION("""COMPUTED_VALUE"""),18000)</f>
        <v>18000</v>
      </c>
      <c r="K666" s="3"/>
      <c r="L666" s="3" t="str">
        <f ca="1">IFERROR(__xludf.DUMMYFUNCTION("""COMPUTED_VALUE"""),"Cost per instance")</f>
        <v>Cost per instance</v>
      </c>
      <c r="M666" s="3"/>
      <c r="N666" s="3"/>
      <c r="O666" s="3"/>
      <c r="P666" s="3"/>
      <c r="Q666" s="3"/>
      <c r="R666" s="3"/>
      <c r="S666" s="3" t="str">
        <f ca="1">IFERROR(__xludf.DUMMYFUNCTION("""COMPUTED_VALUE"""),"100")</f>
        <v>100</v>
      </c>
      <c r="T666" s="3"/>
      <c r="U666" s="3" t="str">
        <f ca="1">IFERROR(__xludf.DUMMYFUNCTION("""COMPUTED_VALUE"""),"SoMe instagram")</f>
        <v>SoMe instagram</v>
      </c>
      <c r="V666" s="3"/>
      <c r="W666" s="3"/>
      <c r="X666" s="3"/>
      <c r="Y666" s="3"/>
      <c r="Z666" s="3" t="str">
        <f ca="1">IFERROR(__xludf.DUMMYFUNCTION("""COMPUTED_VALUE"""),"podklady@cncenter.cz")</f>
        <v>podklady@cncenter.cz</v>
      </c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 t="str">
        <f ca="1">IFERROR(__xludf.DUMMYFUNCTION("""COMPUTED_VALUE"""),"cross-device")</f>
        <v>cross-device</v>
      </c>
      <c r="AO666" s="3"/>
      <c r="AP666" s="3"/>
      <c r="AQ666" s="3"/>
      <c r="AR666" s="3"/>
      <c r="AS666" s="3"/>
      <c r="AT666" s="3"/>
      <c r="AU666" s="3" t="str">
        <f ca="1">IFERROR(__xludf.DUMMYFUNCTION("""COMPUTED_VALUE"""),"instagram story")</f>
        <v>instagram story</v>
      </c>
    </row>
    <row r="667" spans="1:47" x14ac:dyDescent="0.3">
      <c r="A667" s="3">
        <f ca="1"/>
        <v>2346826</v>
      </c>
      <c r="B667" s="3" t="str">
        <f ca="1"/>
        <v>CZECH NEWS CENTER a. s.</v>
      </c>
      <c r="C667" s="3" t="str">
        <f ca="1">IFERROR(__xludf.DUMMYFUNCTION("""COMPUTED_VALUE"""),"Instagramový profil Reflex")</f>
        <v>Instagramový profil Reflex</v>
      </c>
      <c r="D667" s="4" t="str">
        <f ca="1">IFERROR(__xludf.DUMMYFUNCTION("""COMPUTED_VALUE"""),"www.instagram.com")</f>
        <v>www.instagram.com</v>
      </c>
      <c r="E667" s="3" t="str">
        <f ca="1">IFERROR(__xludf.DUMMYFUNCTION("""COMPUTED_VALUE"""),"IG účet")</f>
        <v>IG účet</v>
      </c>
      <c r="F667" s="4" t="str">
        <f ca="1">IFERROR(__xludf.DUMMYFUNCTION("""COMPUTED_VALUE"""),"www.instagram.com")</f>
        <v>www.instagram.com</v>
      </c>
      <c r="G667" s="3" t="str">
        <f ca="1">IFERROR(__xludf.DUMMYFUNCTION("""COMPUTED_VALUE"""),"instagram post high season")</f>
        <v>instagram post high season</v>
      </c>
      <c r="H667" s="3">
        <f ca="1">IFERROR(__xludf.DUMMYFUNCTION("""COMPUTED_VALUE"""),1)</f>
        <v>1</v>
      </c>
      <c r="I667" s="5">
        <f ca="1">IFERROR(__xludf.DUMMYFUNCTION("""COMPUTED_VALUE"""),1)</f>
        <v>1</v>
      </c>
      <c r="J667" s="5">
        <f ca="1">IFERROR(__xludf.DUMMYFUNCTION("""COMPUTED_VALUE"""),23000)</f>
        <v>23000</v>
      </c>
      <c r="K667" s="3"/>
      <c r="L667" s="3" t="str">
        <f ca="1">IFERROR(__xludf.DUMMYFUNCTION("""COMPUTED_VALUE"""),"Cost per instance")</f>
        <v>Cost per instance</v>
      </c>
      <c r="M667" s="3"/>
      <c r="N667" s="3"/>
      <c r="O667" s="3"/>
      <c r="P667" s="3"/>
      <c r="Q667" s="3"/>
      <c r="R667" s="3"/>
      <c r="S667" s="3" t="str">
        <f ca="1">IFERROR(__xludf.DUMMYFUNCTION("""COMPUTED_VALUE"""),"100")</f>
        <v>100</v>
      </c>
      <c r="T667" s="3"/>
      <c r="U667" s="3" t="str">
        <f ca="1">IFERROR(__xludf.DUMMYFUNCTION("""COMPUTED_VALUE"""),"SoMe instagram")</f>
        <v>SoMe instagram</v>
      </c>
      <c r="V667" s="3"/>
      <c r="W667" s="3"/>
      <c r="X667" s="3"/>
      <c r="Y667" s="3"/>
      <c r="Z667" s="3" t="str">
        <f ca="1">IFERROR(__xludf.DUMMYFUNCTION("""COMPUTED_VALUE"""),"podklady@cncenter.cz")</f>
        <v>podklady@cncenter.cz</v>
      </c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 t="str">
        <f ca="1">IFERROR(__xludf.DUMMYFUNCTION("""COMPUTED_VALUE"""),"cross-device")</f>
        <v>cross-device</v>
      </c>
      <c r="AO667" s="3"/>
      <c r="AP667" s="3"/>
      <c r="AQ667" s="3"/>
      <c r="AR667" s="3"/>
      <c r="AS667" s="3"/>
      <c r="AT667" s="3"/>
      <c r="AU667" s="3" t="str">
        <f ca="1">IFERROR(__xludf.DUMMYFUNCTION("""COMPUTED_VALUE"""),"instagram post")</f>
        <v>instagram post</v>
      </c>
    </row>
    <row r="668" spans="1:47" x14ac:dyDescent="0.3">
      <c r="A668" s="3">
        <f ca="1"/>
        <v>2346826</v>
      </c>
      <c r="B668" s="3" t="str">
        <f ca="1"/>
        <v>CZECH NEWS CENTER a. s.</v>
      </c>
      <c r="C668" s="3" t="str">
        <f ca="1">IFERROR(__xludf.DUMMYFUNCTION("""COMPUTED_VALUE"""),"Instagramový profil Reflex")</f>
        <v>Instagramový profil Reflex</v>
      </c>
      <c r="D668" s="4" t="str">
        <f ca="1">IFERROR(__xludf.DUMMYFUNCTION("""COMPUTED_VALUE"""),"www.instagram.com")</f>
        <v>www.instagram.com</v>
      </c>
      <c r="E668" s="3" t="str">
        <f ca="1">IFERROR(__xludf.DUMMYFUNCTION("""COMPUTED_VALUE"""),"IG účet")</f>
        <v>IG účet</v>
      </c>
      <c r="F668" s="4" t="str">
        <f ca="1">IFERROR(__xludf.DUMMYFUNCTION("""COMPUTED_VALUE"""),"www.instagram.com")</f>
        <v>www.instagram.com</v>
      </c>
      <c r="G668" s="3" t="str">
        <f ca="1">IFERROR(__xludf.DUMMYFUNCTION("""COMPUTED_VALUE"""),"instagram story high season")</f>
        <v>instagram story high season</v>
      </c>
      <c r="H668" s="3">
        <f ca="1">IFERROR(__xludf.DUMMYFUNCTION("""COMPUTED_VALUE"""),1)</f>
        <v>1</v>
      </c>
      <c r="I668" s="5">
        <f ca="1">IFERROR(__xludf.DUMMYFUNCTION("""COMPUTED_VALUE"""),1)</f>
        <v>1</v>
      </c>
      <c r="J668" s="5">
        <f ca="1">IFERROR(__xludf.DUMMYFUNCTION("""COMPUTED_VALUE"""),23000)</f>
        <v>23000</v>
      </c>
      <c r="K668" s="3"/>
      <c r="L668" s="3" t="str">
        <f ca="1">IFERROR(__xludf.DUMMYFUNCTION("""COMPUTED_VALUE"""),"Cost per instance")</f>
        <v>Cost per instance</v>
      </c>
      <c r="M668" s="3"/>
      <c r="N668" s="3"/>
      <c r="O668" s="3"/>
      <c r="P668" s="3"/>
      <c r="Q668" s="3"/>
      <c r="R668" s="3"/>
      <c r="S668" s="3" t="str">
        <f ca="1">IFERROR(__xludf.DUMMYFUNCTION("""COMPUTED_VALUE"""),"100")</f>
        <v>100</v>
      </c>
      <c r="T668" s="3"/>
      <c r="U668" s="3" t="str">
        <f ca="1">IFERROR(__xludf.DUMMYFUNCTION("""COMPUTED_VALUE"""),"SoMe instagram")</f>
        <v>SoMe instagram</v>
      </c>
      <c r="V668" s="3"/>
      <c r="W668" s="3"/>
      <c r="X668" s="3"/>
      <c r="Y668" s="3"/>
      <c r="Z668" s="3" t="str">
        <f ca="1">IFERROR(__xludf.DUMMYFUNCTION("""COMPUTED_VALUE"""),"podklady@cncenter.cz")</f>
        <v>podklady@cncenter.cz</v>
      </c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 t="str">
        <f ca="1">IFERROR(__xludf.DUMMYFUNCTION("""COMPUTED_VALUE"""),"cross-device")</f>
        <v>cross-device</v>
      </c>
      <c r="AO668" s="3"/>
      <c r="AP668" s="3"/>
      <c r="AQ668" s="3"/>
      <c r="AR668" s="3"/>
      <c r="AS668" s="3"/>
      <c r="AT668" s="3"/>
      <c r="AU668" s="3" t="str">
        <f ca="1">IFERROR(__xludf.DUMMYFUNCTION("""COMPUTED_VALUE"""),"instagram story")</f>
        <v>instagram story</v>
      </c>
    </row>
    <row r="669" spans="1:47" x14ac:dyDescent="0.3">
      <c r="A669" s="3">
        <f ca="1"/>
        <v>2346826</v>
      </c>
      <c r="B669" s="3" t="str">
        <f ca="1"/>
        <v>CZECH NEWS CENTER a. s.</v>
      </c>
      <c r="C669" s="3" t="str">
        <f ca="1">IFERROR(__xludf.DUMMYFUNCTION("""COMPUTED_VALUE"""),"Instagramový profil Sluníčko")</f>
        <v>Instagramový profil Sluníčko</v>
      </c>
      <c r="D669" s="4" t="str">
        <f ca="1">IFERROR(__xludf.DUMMYFUNCTION("""COMPUTED_VALUE"""),"www.instagram.com")</f>
        <v>www.instagram.com</v>
      </c>
      <c r="E669" s="3" t="str">
        <f ca="1">IFERROR(__xludf.DUMMYFUNCTION("""COMPUTED_VALUE"""),"IG účet")</f>
        <v>IG účet</v>
      </c>
      <c r="F669" s="4" t="str">
        <f ca="1">IFERROR(__xludf.DUMMYFUNCTION("""COMPUTED_VALUE"""),"www.instagram.com")</f>
        <v>www.instagram.com</v>
      </c>
      <c r="G669" s="3" t="str">
        <f ca="1">IFERROR(__xludf.DUMMYFUNCTION("""COMPUTED_VALUE"""),"instagram post high season")</f>
        <v>instagram post high season</v>
      </c>
      <c r="H669" s="3">
        <f ca="1">IFERROR(__xludf.DUMMYFUNCTION("""COMPUTED_VALUE"""),1)</f>
        <v>1</v>
      </c>
      <c r="I669" s="5">
        <f ca="1">IFERROR(__xludf.DUMMYFUNCTION("""COMPUTED_VALUE"""),1)</f>
        <v>1</v>
      </c>
      <c r="J669" s="5">
        <f ca="1">IFERROR(__xludf.DUMMYFUNCTION("""COMPUTED_VALUE"""),18000)</f>
        <v>18000</v>
      </c>
      <c r="K669" s="3"/>
      <c r="L669" s="3" t="str">
        <f ca="1">IFERROR(__xludf.DUMMYFUNCTION("""COMPUTED_VALUE"""),"Cost per instance")</f>
        <v>Cost per instance</v>
      </c>
      <c r="M669" s="3"/>
      <c r="N669" s="3"/>
      <c r="O669" s="3"/>
      <c r="P669" s="3"/>
      <c r="Q669" s="3"/>
      <c r="R669" s="3"/>
      <c r="S669" s="3" t="str">
        <f ca="1">IFERROR(__xludf.DUMMYFUNCTION("""COMPUTED_VALUE"""),"100")</f>
        <v>100</v>
      </c>
      <c r="T669" s="3"/>
      <c r="U669" s="3" t="str">
        <f ca="1">IFERROR(__xludf.DUMMYFUNCTION("""COMPUTED_VALUE"""),"SoMe instagram")</f>
        <v>SoMe instagram</v>
      </c>
      <c r="V669" s="3"/>
      <c r="W669" s="3"/>
      <c r="X669" s="3"/>
      <c r="Y669" s="3"/>
      <c r="Z669" s="3" t="str">
        <f ca="1">IFERROR(__xludf.DUMMYFUNCTION("""COMPUTED_VALUE"""),"podklady@cncenter.cz")</f>
        <v>podklady@cncenter.cz</v>
      </c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 t="str">
        <f ca="1">IFERROR(__xludf.DUMMYFUNCTION("""COMPUTED_VALUE"""),"cross-device")</f>
        <v>cross-device</v>
      </c>
      <c r="AO669" s="3"/>
      <c r="AP669" s="3"/>
      <c r="AQ669" s="3"/>
      <c r="AR669" s="3"/>
      <c r="AS669" s="3"/>
      <c r="AT669" s="3"/>
      <c r="AU669" s="3" t="str">
        <f ca="1">IFERROR(__xludf.DUMMYFUNCTION("""COMPUTED_VALUE"""),"instagram post")</f>
        <v>instagram post</v>
      </c>
    </row>
    <row r="670" spans="1:47" x14ac:dyDescent="0.3">
      <c r="A670" s="3">
        <f ca="1"/>
        <v>2346826</v>
      </c>
      <c r="B670" s="3" t="str">
        <f ca="1"/>
        <v>CZECH NEWS CENTER a. s.</v>
      </c>
      <c r="C670" s="3" t="str">
        <f ca="1">IFERROR(__xludf.DUMMYFUNCTION("""COMPUTED_VALUE"""),"Instagramový profil Sluníčko")</f>
        <v>Instagramový profil Sluníčko</v>
      </c>
      <c r="D670" s="4" t="str">
        <f ca="1">IFERROR(__xludf.DUMMYFUNCTION("""COMPUTED_VALUE"""),"www.instagram.com")</f>
        <v>www.instagram.com</v>
      </c>
      <c r="E670" s="3" t="str">
        <f ca="1">IFERROR(__xludf.DUMMYFUNCTION("""COMPUTED_VALUE"""),"IG účet")</f>
        <v>IG účet</v>
      </c>
      <c r="F670" s="4" t="str">
        <f ca="1">IFERROR(__xludf.DUMMYFUNCTION("""COMPUTED_VALUE"""),"www.instagram.com")</f>
        <v>www.instagram.com</v>
      </c>
      <c r="G670" s="3" t="str">
        <f ca="1">IFERROR(__xludf.DUMMYFUNCTION("""COMPUTED_VALUE"""),"instagram story high season")</f>
        <v>instagram story high season</v>
      </c>
      <c r="H670" s="3">
        <f ca="1">IFERROR(__xludf.DUMMYFUNCTION("""COMPUTED_VALUE"""),1)</f>
        <v>1</v>
      </c>
      <c r="I670" s="5">
        <f ca="1">IFERROR(__xludf.DUMMYFUNCTION("""COMPUTED_VALUE"""),1)</f>
        <v>1</v>
      </c>
      <c r="J670" s="5">
        <f ca="1">IFERROR(__xludf.DUMMYFUNCTION("""COMPUTED_VALUE"""),18000)</f>
        <v>18000</v>
      </c>
      <c r="K670" s="3"/>
      <c r="L670" s="3" t="str">
        <f ca="1">IFERROR(__xludf.DUMMYFUNCTION("""COMPUTED_VALUE"""),"Cost per instance")</f>
        <v>Cost per instance</v>
      </c>
      <c r="M670" s="3"/>
      <c r="N670" s="3"/>
      <c r="O670" s="3"/>
      <c r="P670" s="3"/>
      <c r="Q670" s="3"/>
      <c r="R670" s="3"/>
      <c r="S670" s="3" t="str">
        <f ca="1">IFERROR(__xludf.DUMMYFUNCTION("""COMPUTED_VALUE"""),"100")</f>
        <v>100</v>
      </c>
      <c r="T670" s="3"/>
      <c r="U670" s="3" t="str">
        <f ca="1">IFERROR(__xludf.DUMMYFUNCTION("""COMPUTED_VALUE"""),"SoMe instagram")</f>
        <v>SoMe instagram</v>
      </c>
      <c r="V670" s="3"/>
      <c r="W670" s="3"/>
      <c r="X670" s="3"/>
      <c r="Y670" s="3"/>
      <c r="Z670" s="3" t="str">
        <f ca="1">IFERROR(__xludf.DUMMYFUNCTION("""COMPUTED_VALUE"""),"podklady@cncenter.cz")</f>
        <v>podklady@cncenter.cz</v>
      </c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 t="str">
        <f ca="1">IFERROR(__xludf.DUMMYFUNCTION("""COMPUTED_VALUE"""),"cross-device")</f>
        <v>cross-device</v>
      </c>
      <c r="AO670" s="3"/>
      <c r="AP670" s="3"/>
      <c r="AQ670" s="3"/>
      <c r="AR670" s="3"/>
      <c r="AS670" s="3"/>
      <c r="AT670" s="3"/>
      <c r="AU670" s="3" t="str">
        <f ca="1">IFERROR(__xludf.DUMMYFUNCTION("""COMPUTED_VALUE"""),"instagram story")</f>
        <v>instagram story</v>
      </c>
    </row>
    <row r="671" spans="1:47" x14ac:dyDescent="0.3">
      <c r="A671" s="3">
        <f ca="1"/>
        <v>2346826</v>
      </c>
      <c r="B671" s="3" t="str">
        <f ca="1"/>
        <v>CZECH NEWS CENTER a. s.</v>
      </c>
      <c r="C671" s="3" t="str">
        <f ca="1">IFERROR(__xludf.DUMMYFUNCTION("""COMPUTED_VALUE"""),"Instagramový profil Svět motorů")</f>
        <v>Instagramový profil Svět motorů</v>
      </c>
      <c r="D671" s="4" t="str">
        <f ca="1">IFERROR(__xludf.DUMMYFUNCTION("""COMPUTED_VALUE"""),"www.instagram.com")</f>
        <v>www.instagram.com</v>
      </c>
      <c r="E671" s="3" t="str">
        <f ca="1">IFERROR(__xludf.DUMMYFUNCTION("""COMPUTED_VALUE"""),"IG účet")</f>
        <v>IG účet</v>
      </c>
      <c r="F671" s="4" t="str">
        <f ca="1">IFERROR(__xludf.DUMMYFUNCTION("""COMPUTED_VALUE"""),"www.instagram.com")</f>
        <v>www.instagram.com</v>
      </c>
      <c r="G671" s="3" t="str">
        <f ca="1">IFERROR(__xludf.DUMMYFUNCTION("""COMPUTED_VALUE"""),"instagram post high season")</f>
        <v>instagram post high season</v>
      </c>
      <c r="H671" s="3">
        <f ca="1">IFERROR(__xludf.DUMMYFUNCTION("""COMPUTED_VALUE"""),1)</f>
        <v>1</v>
      </c>
      <c r="I671" s="5">
        <f ca="1">IFERROR(__xludf.DUMMYFUNCTION("""COMPUTED_VALUE"""),1)</f>
        <v>1</v>
      </c>
      <c r="J671" s="5">
        <f ca="1">IFERROR(__xludf.DUMMYFUNCTION("""COMPUTED_VALUE"""),18000)</f>
        <v>18000</v>
      </c>
      <c r="K671" s="3"/>
      <c r="L671" s="3" t="str">
        <f ca="1">IFERROR(__xludf.DUMMYFUNCTION("""COMPUTED_VALUE"""),"Cost per instance")</f>
        <v>Cost per instance</v>
      </c>
      <c r="M671" s="3"/>
      <c r="N671" s="3"/>
      <c r="O671" s="3"/>
      <c r="P671" s="3"/>
      <c r="Q671" s="3"/>
      <c r="R671" s="3"/>
      <c r="S671" s="3" t="str">
        <f ca="1">IFERROR(__xludf.DUMMYFUNCTION("""COMPUTED_VALUE"""),"100")</f>
        <v>100</v>
      </c>
      <c r="T671" s="3"/>
      <c r="U671" s="3" t="str">
        <f ca="1">IFERROR(__xludf.DUMMYFUNCTION("""COMPUTED_VALUE"""),"SoMe instagram")</f>
        <v>SoMe instagram</v>
      </c>
      <c r="V671" s="3"/>
      <c r="W671" s="3"/>
      <c r="X671" s="3"/>
      <c r="Y671" s="3"/>
      <c r="Z671" s="3" t="str">
        <f ca="1">IFERROR(__xludf.DUMMYFUNCTION("""COMPUTED_VALUE"""),"podklady@cncenter.cz")</f>
        <v>podklady@cncenter.cz</v>
      </c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 t="str">
        <f ca="1">IFERROR(__xludf.DUMMYFUNCTION("""COMPUTED_VALUE"""),"cross-device")</f>
        <v>cross-device</v>
      </c>
      <c r="AO671" s="3"/>
      <c r="AP671" s="3"/>
      <c r="AQ671" s="3"/>
      <c r="AR671" s="3"/>
      <c r="AS671" s="3"/>
      <c r="AT671" s="3"/>
      <c r="AU671" s="3" t="str">
        <f ca="1">IFERROR(__xludf.DUMMYFUNCTION("""COMPUTED_VALUE"""),"instagram post")</f>
        <v>instagram post</v>
      </c>
    </row>
    <row r="672" spans="1:47" x14ac:dyDescent="0.3">
      <c r="A672" s="3">
        <f ca="1"/>
        <v>2346826</v>
      </c>
      <c r="B672" s="3" t="str">
        <f ca="1"/>
        <v>CZECH NEWS CENTER a. s.</v>
      </c>
      <c r="C672" s="3" t="str">
        <f ca="1">IFERROR(__xludf.DUMMYFUNCTION("""COMPUTED_VALUE"""),"Instagramový profil Svět Motorů")</f>
        <v>Instagramový profil Svět Motorů</v>
      </c>
      <c r="D672" s="4" t="str">
        <f ca="1">IFERROR(__xludf.DUMMYFUNCTION("""COMPUTED_VALUE"""),"www.instagram.com")</f>
        <v>www.instagram.com</v>
      </c>
      <c r="E672" s="3" t="str">
        <f ca="1">IFERROR(__xludf.DUMMYFUNCTION("""COMPUTED_VALUE"""),"IG účet")</f>
        <v>IG účet</v>
      </c>
      <c r="F672" s="4" t="str">
        <f ca="1">IFERROR(__xludf.DUMMYFUNCTION("""COMPUTED_VALUE"""),"www.instagram.com")</f>
        <v>www.instagram.com</v>
      </c>
      <c r="G672" s="3" t="str">
        <f ca="1">IFERROR(__xludf.DUMMYFUNCTION("""COMPUTED_VALUE"""),"instagram story high season")</f>
        <v>instagram story high season</v>
      </c>
      <c r="H672" s="3">
        <f ca="1">IFERROR(__xludf.DUMMYFUNCTION("""COMPUTED_VALUE"""),1)</f>
        <v>1</v>
      </c>
      <c r="I672" s="5">
        <f ca="1">IFERROR(__xludf.DUMMYFUNCTION("""COMPUTED_VALUE"""),1)</f>
        <v>1</v>
      </c>
      <c r="J672" s="5">
        <f ca="1">IFERROR(__xludf.DUMMYFUNCTION("""COMPUTED_VALUE"""),18000)</f>
        <v>18000</v>
      </c>
      <c r="K672" s="3"/>
      <c r="L672" s="3" t="str">
        <f ca="1">IFERROR(__xludf.DUMMYFUNCTION("""COMPUTED_VALUE"""),"Cost per instance")</f>
        <v>Cost per instance</v>
      </c>
      <c r="M672" s="3"/>
      <c r="N672" s="3"/>
      <c r="O672" s="3"/>
      <c r="P672" s="3"/>
      <c r="Q672" s="3"/>
      <c r="R672" s="3"/>
      <c r="S672" s="3" t="str">
        <f ca="1">IFERROR(__xludf.DUMMYFUNCTION("""COMPUTED_VALUE"""),"100")</f>
        <v>100</v>
      </c>
      <c r="T672" s="3"/>
      <c r="U672" s="3" t="str">
        <f ca="1">IFERROR(__xludf.DUMMYFUNCTION("""COMPUTED_VALUE"""),"SoMe instagram")</f>
        <v>SoMe instagram</v>
      </c>
      <c r="V672" s="3"/>
      <c r="W672" s="3"/>
      <c r="X672" s="3"/>
      <c r="Y672" s="3"/>
      <c r="Z672" s="3" t="str">
        <f ca="1">IFERROR(__xludf.DUMMYFUNCTION("""COMPUTED_VALUE"""),"podklady@cncenter.cz")</f>
        <v>podklady@cncenter.cz</v>
      </c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 t="str">
        <f ca="1">IFERROR(__xludf.DUMMYFUNCTION("""COMPUTED_VALUE"""),"cross-device")</f>
        <v>cross-device</v>
      </c>
      <c r="AO672" s="3"/>
      <c r="AP672" s="3"/>
      <c r="AQ672" s="3"/>
      <c r="AR672" s="3"/>
      <c r="AS672" s="3"/>
      <c r="AT672" s="3"/>
      <c r="AU672" s="3" t="str">
        <f ca="1">IFERROR(__xludf.DUMMYFUNCTION("""COMPUTED_VALUE"""),"instagram story")</f>
        <v>instagram story</v>
      </c>
    </row>
    <row r="673" spans="1:47" x14ac:dyDescent="0.3">
      <c r="A673" s="3">
        <f ca="1"/>
        <v>2346826</v>
      </c>
      <c r="B673" s="3" t="str">
        <f ca="1"/>
        <v>CZECH NEWS CENTER a. s.</v>
      </c>
      <c r="C673" s="3" t="str">
        <f ca="1">IFERROR(__xludf.DUMMYFUNCTION("""COMPUTED_VALUE"""),"Instagramový profil Ženy")</f>
        <v>Instagramový profil Ženy</v>
      </c>
      <c r="D673" s="4" t="str">
        <f ca="1">IFERROR(__xludf.DUMMYFUNCTION("""COMPUTED_VALUE"""),"www.instagram.com")</f>
        <v>www.instagram.com</v>
      </c>
      <c r="E673" s="3" t="str">
        <f ca="1">IFERROR(__xludf.DUMMYFUNCTION("""COMPUTED_VALUE"""),"IG účet")</f>
        <v>IG účet</v>
      </c>
      <c r="F673" s="4" t="str">
        <f ca="1">IFERROR(__xludf.DUMMYFUNCTION("""COMPUTED_VALUE"""),"www.instagram.com")</f>
        <v>www.instagram.com</v>
      </c>
      <c r="G673" s="3" t="str">
        <f ca="1">IFERROR(__xludf.DUMMYFUNCTION("""COMPUTED_VALUE"""),"instagram post high season")</f>
        <v>instagram post high season</v>
      </c>
      <c r="H673" s="3">
        <f ca="1">IFERROR(__xludf.DUMMYFUNCTION("""COMPUTED_VALUE"""),1)</f>
        <v>1</v>
      </c>
      <c r="I673" s="5">
        <f ca="1">IFERROR(__xludf.DUMMYFUNCTION("""COMPUTED_VALUE"""),1)</f>
        <v>1</v>
      </c>
      <c r="J673" s="5">
        <f ca="1">IFERROR(__xludf.DUMMYFUNCTION("""COMPUTED_VALUE"""),18000)</f>
        <v>18000</v>
      </c>
      <c r="K673" s="3"/>
      <c r="L673" s="3" t="str">
        <f ca="1">IFERROR(__xludf.DUMMYFUNCTION("""COMPUTED_VALUE"""),"Cost per instance")</f>
        <v>Cost per instance</v>
      </c>
      <c r="M673" s="3"/>
      <c r="N673" s="3"/>
      <c r="O673" s="3"/>
      <c r="P673" s="3"/>
      <c r="Q673" s="3"/>
      <c r="R673" s="3"/>
      <c r="S673" s="3" t="str">
        <f ca="1">IFERROR(__xludf.DUMMYFUNCTION("""COMPUTED_VALUE"""),"100")</f>
        <v>100</v>
      </c>
      <c r="T673" s="3"/>
      <c r="U673" s="3" t="str">
        <f ca="1">IFERROR(__xludf.DUMMYFUNCTION("""COMPUTED_VALUE"""),"SoMe instagram")</f>
        <v>SoMe instagram</v>
      </c>
      <c r="V673" s="3"/>
      <c r="W673" s="3"/>
      <c r="X673" s="3"/>
      <c r="Y673" s="3"/>
      <c r="Z673" s="3" t="str">
        <f ca="1">IFERROR(__xludf.DUMMYFUNCTION("""COMPUTED_VALUE"""),"podklady@cncenter.cz")</f>
        <v>podklady@cncenter.cz</v>
      </c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 t="str">
        <f ca="1">IFERROR(__xludf.DUMMYFUNCTION("""COMPUTED_VALUE"""),"cross-device")</f>
        <v>cross-device</v>
      </c>
      <c r="AO673" s="3"/>
      <c r="AP673" s="3"/>
      <c r="AQ673" s="3"/>
      <c r="AR673" s="3"/>
      <c r="AS673" s="3"/>
      <c r="AT673" s="3"/>
      <c r="AU673" s="3" t="str">
        <f ca="1">IFERROR(__xludf.DUMMYFUNCTION("""COMPUTED_VALUE"""),"instagram post")</f>
        <v>instagram post</v>
      </c>
    </row>
    <row r="674" spans="1:47" x14ac:dyDescent="0.3">
      <c r="A674" s="3">
        <f ca="1"/>
        <v>2346826</v>
      </c>
      <c r="B674" s="3" t="str">
        <f ca="1"/>
        <v>CZECH NEWS CENTER a. s.</v>
      </c>
      <c r="C674" s="3" t="str">
        <f ca="1">IFERROR(__xludf.DUMMYFUNCTION("""COMPUTED_VALUE"""),"Instagramový profil Ženy")</f>
        <v>Instagramový profil Ženy</v>
      </c>
      <c r="D674" s="4" t="str">
        <f ca="1">IFERROR(__xludf.DUMMYFUNCTION("""COMPUTED_VALUE"""),"www.instagram.com")</f>
        <v>www.instagram.com</v>
      </c>
      <c r="E674" s="3" t="str">
        <f ca="1">IFERROR(__xludf.DUMMYFUNCTION("""COMPUTED_VALUE"""),"IG účet")</f>
        <v>IG účet</v>
      </c>
      <c r="F674" s="4" t="str">
        <f ca="1">IFERROR(__xludf.DUMMYFUNCTION("""COMPUTED_VALUE"""),"www.instagram.com")</f>
        <v>www.instagram.com</v>
      </c>
      <c r="G674" s="3" t="str">
        <f ca="1">IFERROR(__xludf.DUMMYFUNCTION("""COMPUTED_VALUE"""),"instagram story high season")</f>
        <v>instagram story high season</v>
      </c>
      <c r="H674" s="3">
        <f ca="1">IFERROR(__xludf.DUMMYFUNCTION("""COMPUTED_VALUE"""),1)</f>
        <v>1</v>
      </c>
      <c r="I674" s="5">
        <f ca="1">IFERROR(__xludf.DUMMYFUNCTION("""COMPUTED_VALUE"""),1)</f>
        <v>1</v>
      </c>
      <c r="J674" s="5">
        <f ca="1">IFERROR(__xludf.DUMMYFUNCTION("""COMPUTED_VALUE"""),18000)</f>
        <v>18000</v>
      </c>
      <c r="K674" s="3"/>
      <c r="L674" s="3" t="str">
        <f ca="1">IFERROR(__xludf.DUMMYFUNCTION("""COMPUTED_VALUE"""),"Cost per instance")</f>
        <v>Cost per instance</v>
      </c>
      <c r="M674" s="3"/>
      <c r="N674" s="3"/>
      <c r="O674" s="3"/>
      <c r="P674" s="3"/>
      <c r="Q674" s="3"/>
      <c r="R674" s="3"/>
      <c r="S674" s="3" t="str">
        <f ca="1">IFERROR(__xludf.DUMMYFUNCTION("""COMPUTED_VALUE"""),"100")</f>
        <v>100</v>
      </c>
      <c r="T674" s="3"/>
      <c r="U674" s="3" t="str">
        <f ca="1">IFERROR(__xludf.DUMMYFUNCTION("""COMPUTED_VALUE"""),"SoMe instagram")</f>
        <v>SoMe instagram</v>
      </c>
      <c r="V674" s="3"/>
      <c r="W674" s="3"/>
      <c r="X674" s="3"/>
      <c r="Y674" s="3"/>
      <c r="Z674" s="3" t="str">
        <f ca="1">IFERROR(__xludf.DUMMYFUNCTION("""COMPUTED_VALUE"""),"podklady@cncenter.cz")</f>
        <v>podklady@cncenter.cz</v>
      </c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 t="str">
        <f ca="1">IFERROR(__xludf.DUMMYFUNCTION("""COMPUTED_VALUE"""),"cross-device")</f>
        <v>cross-device</v>
      </c>
      <c r="AO674" s="3"/>
      <c r="AP674" s="3"/>
      <c r="AQ674" s="3"/>
      <c r="AR674" s="3"/>
      <c r="AS674" s="3"/>
      <c r="AT674" s="3"/>
      <c r="AU674" s="3" t="str">
        <f ca="1">IFERROR(__xludf.DUMMYFUNCTION("""COMPUTED_VALUE"""),"instagram story")</f>
        <v>instagram story</v>
      </c>
    </row>
    <row r="675" spans="1:47" x14ac:dyDescent="0.3">
      <c r="A675" s="3">
        <f ca="1"/>
        <v>2346826</v>
      </c>
      <c r="B675" s="3" t="str">
        <f ca="1"/>
        <v>CZECH NEWS CENTER a. s.</v>
      </c>
      <c r="C675" s="3" t="str">
        <f ca="1">IFERROR(__xludf.DUMMYFUNCTION("""COMPUTED_VALUE"""),"Instagramový profil Živě")</f>
        <v>Instagramový profil Živě</v>
      </c>
      <c r="D675" s="4" t="str">
        <f ca="1">IFERROR(__xludf.DUMMYFUNCTION("""COMPUTED_VALUE"""),"www.instagram.com")</f>
        <v>www.instagram.com</v>
      </c>
      <c r="E675" s="3" t="str">
        <f ca="1">IFERROR(__xludf.DUMMYFUNCTION("""COMPUTED_VALUE"""),"IG účet")</f>
        <v>IG účet</v>
      </c>
      <c r="F675" s="4" t="str">
        <f ca="1">IFERROR(__xludf.DUMMYFUNCTION("""COMPUTED_VALUE"""),"www.instagram.com")</f>
        <v>www.instagram.com</v>
      </c>
      <c r="G675" s="3" t="str">
        <f ca="1">IFERROR(__xludf.DUMMYFUNCTION("""COMPUTED_VALUE"""),"instagram post high season")</f>
        <v>instagram post high season</v>
      </c>
      <c r="H675" s="3">
        <f ca="1">IFERROR(__xludf.DUMMYFUNCTION("""COMPUTED_VALUE"""),1)</f>
        <v>1</v>
      </c>
      <c r="I675" s="5">
        <f ca="1">IFERROR(__xludf.DUMMYFUNCTION("""COMPUTED_VALUE"""),1)</f>
        <v>1</v>
      </c>
      <c r="J675" s="5">
        <f ca="1">IFERROR(__xludf.DUMMYFUNCTION("""COMPUTED_VALUE"""),18000)</f>
        <v>18000</v>
      </c>
      <c r="K675" s="3"/>
      <c r="L675" s="3" t="str">
        <f ca="1">IFERROR(__xludf.DUMMYFUNCTION("""COMPUTED_VALUE"""),"Cost per instance")</f>
        <v>Cost per instance</v>
      </c>
      <c r="M675" s="3"/>
      <c r="N675" s="3"/>
      <c r="O675" s="3"/>
      <c r="P675" s="3"/>
      <c r="Q675" s="3"/>
      <c r="R675" s="3"/>
      <c r="S675" s="3" t="str">
        <f ca="1">IFERROR(__xludf.DUMMYFUNCTION("""COMPUTED_VALUE"""),"100")</f>
        <v>100</v>
      </c>
      <c r="T675" s="3"/>
      <c r="U675" s="3" t="str">
        <f ca="1">IFERROR(__xludf.DUMMYFUNCTION("""COMPUTED_VALUE"""),"SoMe instagram")</f>
        <v>SoMe instagram</v>
      </c>
      <c r="V675" s="3"/>
      <c r="W675" s="3"/>
      <c r="X675" s="3"/>
      <c r="Y675" s="3"/>
      <c r="Z675" s="3" t="str">
        <f ca="1">IFERROR(__xludf.DUMMYFUNCTION("""COMPUTED_VALUE"""),"podklady@cncenter.cz")</f>
        <v>podklady@cncenter.cz</v>
      </c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 t="str">
        <f ca="1">IFERROR(__xludf.DUMMYFUNCTION("""COMPUTED_VALUE"""),"cross-device")</f>
        <v>cross-device</v>
      </c>
      <c r="AO675" s="3"/>
      <c r="AP675" s="3"/>
      <c r="AQ675" s="3"/>
      <c r="AR675" s="3"/>
      <c r="AS675" s="3"/>
      <c r="AT675" s="3"/>
      <c r="AU675" s="3" t="str">
        <f ca="1">IFERROR(__xludf.DUMMYFUNCTION("""COMPUTED_VALUE"""),"instagram post")</f>
        <v>instagram post</v>
      </c>
    </row>
    <row r="676" spans="1:47" x14ac:dyDescent="0.3">
      <c r="A676" s="3">
        <f ca="1"/>
        <v>2346826</v>
      </c>
      <c r="B676" s="3" t="str">
        <f ca="1"/>
        <v>CZECH NEWS CENTER a. s.</v>
      </c>
      <c r="C676" s="3" t="str">
        <f ca="1">IFERROR(__xludf.DUMMYFUNCTION("""COMPUTED_VALUE"""),"Instagramový profil Živě")</f>
        <v>Instagramový profil Živě</v>
      </c>
      <c r="D676" s="4" t="str">
        <f ca="1">IFERROR(__xludf.DUMMYFUNCTION("""COMPUTED_VALUE"""),"www.instagram.com")</f>
        <v>www.instagram.com</v>
      </c>
      <c r="E676" s="3" t="str">
        <f ca="1">IFERROR(__xludf.DUMMYFUNCTION("""COMPUTED_VALUE"""),"IG účet")</f>
        <v>IG účet</v>
      </c>
      <c r="F676" s="4" t="str">
        <f ca="1">IFERROR(__xludf.DUMMYFUNCTION("""COMPUTED_VALUE"""),"www.instagram.com")</f>
        <v>www.instagram.com</v>
      </c>
      <c r="G676" s="3" t="str">
        <f ca="1">IFERROR(__xludf.DUMMYFUNCTION("""COMPUTED_VALUE"""),"instagram story high season")</f>
        <v>instagram story high season</v>
      </c>
      <c r="H676" s="3">
        <f ca="1">IFERROR(__xludf.DUMMYFUNCTION("""COMPUTED_VALUE"""),1)</f>
        <v>1</v>
      </c>
      <c r="I676" s="5">
        <f ca="1">IFERROR(__xludf.DUMMYFUNCTION("""COMPUTED_VALUE"""),1)</f>
        <v>1</v>
      </c>
      <c r="J676" s="5">
        <f ca="1">IFERROR(__xludf.DUMMYFUNCTION("""COMPUTED_VALUE"""),18000)</f>
        <v>18000</v>
      </c>
      <c r="K676" s="3"/>
      <c r="L676" s="3" t="str">
        <f ca="1">IFERROR(__xludf.DUMMYFUNCTION("""COMPUTED_VALUE"""),"Cost per instance")</f>
        <v>Cost per instance</v>
      </c>
      <c r="M676" s="3"/>
      <c r="N676" s="3"/>
      <c r="O676" s="3"/>
      <c r="P676" s="3"/>
      <c r="Q676" s="3"/>
      <c r="R676" s="3"/>
      <c r="S676" s="3" t="str">
        <f ca="1">IFERROR(__xludf.DUMMYFUNCTION("""COMPUTED_VALUE"""),"100")</f>
        <v>100</v>
      </c>
      <c r="T676" s="3"/>
      <c r="U676" s="3" t="str">
        <f ca="1">IFERROR(__xludf.DUMMYFUNCTION("""COMPUTED_VALUE"""),"SoMe instagram")</f>
        <v>SoMe instagram</v>
      </c>
      <c r="V676" s="3"/>
      <c r="W676" s="3"/>
      <c r="X676" s="3"/>
      <c r="Y676" s="3"/>
      <c r="Z676" s="3" t="str">
        <f ca="1">IFERROR(__xludf.DUMMYFUNCTION("""COMPUTED_VALUE"""),"podklady@cncenter.cz")</f>
        <v>podklady@cncenter.cz</v>
      </c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 t="str">
        <f ca="1">IFERROR(__xludf.DUMMYFUNCTION("""COMPUTED_VALUE"""),"cross-device")</f>
        <v>cross-device</v>
      </c>
      <c r="AO676" s="3"/>
      <c r="AP676" s="3"/>
      <c r="AQ676" s="3"/>
      <c r="AR676" s="3"/>
      <c r="AS676" s="3"/>
      <c r="AT676" s="3"/>
      <c r="AU676" s="3" t="str">
        <f ca="1">IFERROR(__xludf.DUMMYFUNCTION("""COMPUTED_VALUE"""),"instagram story")</f>
        <v>instagram story</v>
      </c>
    </row>
    <row r="677" spans="1:47" x14ac:dyDescent="0.3">
      <c r="A677" s="3">
        <f ca="1"/>
        <v>2346826</v>
      </c>
      <c r="B677" s="3" t="str">
        <f ca="1"/>
        <v>CZECH NEWS CENTER a. s.</v>
      </c>
      <c r="C677" s="3" t="str">
        <f ca="1">IFERROR(__xludf.DUMMYFUNCTION("""COMPUTED_VALUE"""),"iSport")</f>
        <v>iSport</v>
      </c>
      <c r="D677" s="3" t="str">
        <f ca="1">IFERROR(__xludf.DUMMYFUNCTION("""COMPUTED_VALUE"""),"https://isport.cz, https://sportrevue.cz")</f>
        <v>https://isport.cz, https://sportrevue.cz</v>
      </c>
      <c r="E677" s="3" t="str">
        <f ca="1">IFERROR(__xludf.DUMMYFUNCTION("""COMPUTED_VALUE"""),"celý web")</f>
        <v>celý web</v>
      </c>
      <c r="F677" s="3" t="str">
        <f ca="1">IFERROR(__xludf.DUMMYFUNCTION("""COMPUTED_VALUE"""),"https://isport.cz, https://sportrevue.cz")</f>
        <v>https://isport.cz, https://sportrevue.cz</v>
      </c>
      <c r="G677" s="3" t="str">
        <f ca="1">IFERROR(__xludf.DUMMYFUNCTION("""COMPUTED_VALUE"""),"Advertorial high season")</f>
        <v>Advertorial high season</v>
      </c>
      <c r="H677" s="3">
        <f ca="1">IFERROR(__xludf.DUMMYFUNCTION("""COMPUTED_VALUE"""),1)</f>
        <v>1</v>
      </c>
      <c r="I677" s="5">
        <f ca="1">IFERROR(__xludf.DUMMYFUNCTION("""COMPUTED_VALUE"""),1)</f>
        <v>1</v>
      </c>
      <c r="J677" s="5">
        <f ca="1">IFERROR(__xludf.DUMMYFUNCTION("""COMPUTED_VALUE"""),90000)</f>
        <v>90000</v>
      </c>
      <c r="K677" s="3"/>
      <c r="L677" s="3" t="str">
        <f ca="1">IFERROR(__xludf.DUMMYFUNCTION("""COMPUTED_VALUE"""),"Cost per instance")</f>
        <v>Cost per instance</v>
      </c>
      <c r="M677" s="3"/>
      <c r="N677" s="3"/>
      <c r="O677" s="3"/>
      <c r="P677" s="3"/>
      <c r="Q677" s="3"/>
      <c r="R677" s="3"/>
      <c r="S677" s="3" t="str">
        <f ca="1">IFERROR(__xludf.DUMMYFUNCTION("""COMPUTED_VALUE"""),"100")</f>
        <v>100</v>
      </c>
      <c r="T677" s="3"/>
      <c r="U677" s="3" t="str">
        <f ca="1">IFERROR(__xludf.DUMMYFUNCTION("""COMPUTED_VALUE"""),"pr článek")</f>
        <v>pr článek</v>
      </c>
      <c r="V677" s="3"/>
      <c r="W677" s="3"/>
      <c r="X677" s="3"/>
      <c r="Y677" s="3"/>
      <c r="Z677" s="3" t="str">
        <f ca="1">IFERROR(__xludf.DUMMYFUNCTION("""COMPUTED_VALUE"""),"podklady@cncenter.cz")</f>
        <v>podklady@cncenter.cz</v>
      </c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 t="str">
        <f ca="1">IFERROR(__xludf.DUMMYFUNCTION("""COMPUTED_VALUE"""),"cross-device")</f>
        <v>cross-device</v>
      </c>
      <c r="AO677" s="3"/>
      <c r="AP677" s="3"/>
      <c r="AQ677" s="3"/>
      <c r="AR677" s="3"/>
      <c r="AS677" s="3"/>
      <c r="AT677" s="3"/>
      <c r="AU677" s="3" t="str">
        <f ca="1">IFERROR(__xludf.DUMMYFUNCTION("""COMPUTED_VALUE"""),"Advertorial")</f>
        <v>Advertorial</v>
      </c>
    </row>
    <row r="678" spans="1:47" x14ac:dyDescent="0.3">
      <c r="A678" s="3">
        <f ca="1"/>
        <v>2346826</v>
      </c>
      <c r="B678" s="3" t="str">
        <f ca="1"/>
        <v>CZECH NEWS CENTER a. s.</v>
      </c>
      <c r="C678" s="3" t="str">
        <f ca="1">IFERROR(__xludf.DUMMYFUNCTION("""COMPUTED_VALUE"""),"iSport")</f>
        <v>iSport</v>
      </c>
      <c r="D678" s="3" t="str">
        <f ca="1">IFERROR(__xludf.DUMMYFUNCTION("""COMPUTED_VALUE"""),"https://isport.cz, https://sportrevue.cz")</f>
        <v>https://isport.cz, https://sportrevue.cz</v>
      </c>
      <c r="E678" s="3" t="str">
        <f ca="1">IFERROR(__xludf.DUMMYFUNCTION("""COMPUTED_VALUE"""),"celý web")</f>
        <v>celý web</v>
      </c>
      <c r="F678" s="3" t="str">
        <f ca="1">IFERROR(__xludf.DUMMYFUNCTION("""COMPUTED_VALUE"""),"https://isport.cz, https://sportrevue.cz")</f>
        <v>https://isport.cz, https://sportrevue.cz</v>
      </c>
      <c r="G678" s="3" t="str">
        <f ca="1">IFERROR(__xludf.DUMMYFUNCTION("""COMPUTED_VALUE"""),"billboard bottom high season")</f>
        <v>billboard bottom high season</v>
      </c>
      <c r="H678" s="3">
        <f ca="1">IFERROR(__xludf.DUMMYFUNCTION("""COMPUTED_VALUE"""),7)</f>
        <v>7</v>
      </c>
      <c r="I678" s="5">
        <f ca="1">IFERROR(__xludf.DUMMYFUNCTION("""COMPUTED_VALUE"""),1000)</f>
        <v>1000</v>
      </c>
      <c r="J678" s="5">
        <f ca="1">IFERROR(__xludf.DUMMYFUNCTION("""COMPUTED_VALUE"""),600)</f>
        <v>600</v>
      </c>
      <c r="K678" s="3"/>
      <c r="L678" s="3" t="str">
        <f ca="1">IFERROR(__xludf.DUMMYFUNCTION("""COMPUTED_VALUE"""),"Cost per period")</f>
        <v>Cost per period</v>
      </c>
      <c r="M678" s="3"/>
      <c r="N678" s="3"/>
      <c r="O678" s="3" t="str">
        <f ca="1">IFERROR(__xludf.DUMMYFUNCTION("""COMPUTED_VALUE"""),"970")</f>
        <v>970</v>
      </c>
      <c r="P678" s="3" t="str">
        <f ca="1">IFERROR(__xludf.DUMMYFUNCTION("""COMPUTED_VALUE"""),"250")</f>
        <v>250</v>
      </c>
      <c r="Q678" s="3" t="str">
        <f ca="1">IFERROR(__xludf.DUMMYFUNCTION("""COMPUTED_VALUE"""),"970x250")</f>
        <v>970x250</v>
      </c>
      <c r="R678" s="3"/>
      <c r="S678" s="3" t="str">
        <f ca="1">IFERROR(__xludf.DUMMYFUNCTION("""COMPUTED_VALUE"""),"100 (200 - HTML5)")</f>
        <v>100 (200 - HTML5)</v>
      </c>
      <c r="T678" s="3"/>
      <c r="U678" s="3" t="str">
        <f ca="1">IFERROR(__xludf.DUMMYFUNCTION("""COMPUTED_VALUE"""),"banner standard")</f>
        <v>banner standard</v>
      </c>
      <c r="V678" s="3"/>
      <c r="W678" s="4" t="str">
        <f ca="1">IFERROR(__xludf.DUMMYFUNCTION("""COMPUTED_VALUE"""),"https://reklama.cncenter.cz/Online/billboard-bottom")</f>
        <v>https://reklama.cncenter.cz/Online/billboard-bottom</v>
      </c>
      <c r="X678" s="3"/>
      <c r="Y678" s="3"/>
      <c r="Z678" s="3" t="str">
        <f ca="1">IFERROR(__xludf.DUMMYFUNCTION("""COMPUTED_VALUE"""),"podklady@cncenter.cz")</f>
        <v>podklady@cncenter.cz</v>
      </c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 t="str">
        <f ca="1">IFERROR(__xludf.DUMMYFUNCTION("""COMPUTED_VALUE"""),"desktop")</f>
        <v>desktop</v>
      </c>
      <c r="AO678" s="3"/>
      <c r="AP678" s="3"/>
      <c r="AQ678" s="3"/>
      <c r="AR678" s="3"/>
      <c r="AS678" s="3"/>
      <c r="AT678" s="3"/>
      <c r="AU678" s="3" t="str">
        <f ca="1">IFERROR(__xludf.DUMMYFUNCTION("""COMPUTED_VALUE"""),"billboard bottom")</f>
        <v>billboard bottom</v>
      </c>
    </row>
    <row r="679" spans="1:47" x14ac:dyDescent="0.3">
      <c r="A679" s="3">
        <f ca="1"/>
        <v>2346826</v>
      </c>
      <c r="B679" s="3" t="str">
        <f ca="1"/>
        <v>CZECH NEWS CENTER a. s.</v>
      </c>
      <c r="C679" s="3" t="str">
        <f ca="1">IFERROR(__xludf.DUMMYFUNCTION("""COMPUTED_VALUE"""),"iSport")</f>
        <v>iSport</v>
      </c>
      <c r="D679" s="3" t="str">
        <f ca="1">IFERROR(__xludf.DUMMYFUNCTION("""COMPUTED_VALUE"""),"https://isport.cz, https://sportrevue.cz")</f>
        <v>https://isport.cz, https://sportrevue.cz</v>
      </c>
      <c r="E679" s="3" t="str">
        <f ca="1">IFERROR(__xludf.DUMMYFUNCTION("""COMPUTED_VALUE"""),"celý web")</f>
        <v>celý web</v>
      </c>
      <c r="F679" s="3" t="str">
        <f ca="1">IFERROR(__xludf.DUMMYFUNCTION("""COMPUTED_VALUE"""),"https://isport.cz, https://sportrevue.cz")</f>
        <v>https://isport.cz, https://sportrevue.cz</v>
      </c>
      <c r="G679" s="3" t="str">
        <f ca="1">IFERROR(__xludf.DUMMYFUNCTION("""COMPUTED_VALUE"""),"branding cross-device high season")</f>
        <v>branding cross-device high season</v>
      </c>
      <c r="H679" s="3">
        <f ca="1">IFERROR(__xludf.DUMMYFUNCTION("""COMPUTED_VALUE"""),7)</f>
        <v>7</v>
      </c>
      <c r="I679" s="5">
        <f ca="1">IFERROR(__xludf.DUMMYFUNCTION("""COMPUTED_VALUE"""),1000)</f>
        <v>1000</v>
      </c>
      <c r="J679" s="5">
        <f ca="1">IFERROR(__xludf.DUMMYFUNCTION("""COMPUTED_VALUE"""),850)</f>
        <v>850</v>
      </c>
      <c r="K679" s="3"/>
      <c r="L679" s="3" t="str">
        <f ca="1">IFERROR(__xludf.DUMMYFUNCTION("""COMPUTED_VALUE"""),"Cost per period")</f>
        <v>Cost per period</v>
      </c>
      <c r="M679" s="3"/>
      <c r="N679" s="3"/>
      <c r="O679" s="3" t="str">
        <f ca="1">IFERROR(__xludf.DUMMYFUNCTION("""COMPUTED_VALUE"""),"2000")</f>
        <v>2000</v>
      </c>
      <c r="P679" s="3" t="str">
        <f ca="1">IFERROR(__xludf.DUMMYFUNCTION("""COMPUTED_VALUE"""),"1400")</f>
        <v>1400</v>
      </c>
      <c r="Q679" s="3" t="str">
        <f ca="1">IFERROR(__xludf.DUMMYFUNCTION("""COMPUTED_VALUE"""),"2000x1400 + 600x1080")</f>
        <v>2000x1400 + 600x1080</v>
      </c>
      <c r="R679" s="3"/>
      <c r="S679" s="3" t="str">
        <f ca="1">IFERROR(__xludf.DUMMYFUNCTION("""COMPUTED_VALUE"""),"500 (600 - HTLM5)")</f>
        <v>500 (600 - HTLM5)</v>
      </c>
      <c r="T679" s="3"/>
      <c r="U679" s="3" t="str">
        <f ca="1">IFERROR(__xludf.DUMMYFUNCTION("""COMPUTED_VALUE"""),"banner standard")</f>
        <v>banner standard</v>
      </c>
      <c r="V679" s="3"/>
      <c r="W679" s="4" t="str">
        <f ca="1">IFERROR(__xludf.DUMMYFUNCTION("""COMPUTED_VALUE"""),"https://reklama.cncenter.cz/Online/branding-cross-device")</f>
        <v>https://reklama.cncenter.cz/Online/branding-cross-device</v>
      </c>
      <c r="X679" s="3"/>
      <c r="Y679" s="3"/>
      <c r="Z679" s="3" t="str">
        <f ca="1">IFERROR(__xludf.DUMMYFUNCTION("""COMPUTED_VALUE"""),"podklady@cncenter.cz")</f>
        <v>podklady@cncenter.cz</v>
      </c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 t="str">
        <f ca="1">IFERROR(__xludf.DUMMYFUNCTION("""COMPUTED_VALUE"""),"cross-device")</f>
        <v>cross-device</v>
      </c>
      <c r="AO679" s="3"/>
      <c r="AP679" s="3"/>
      <c r="AQ679" s="3"/>
      <c r="AR679" s="3"/>
      <c r="AS679" s="3"/>
      <c r="AT679" s="3"/>
      <c r="AU679" s="3" t="str">
        <f ca="1">IFERROR(__xludf.DUMMYFUNCTION("""COMPUTED_VALUE"""),"branding cross-device")</f>
        <v>branding cross-device</v>
      </c>
    </row>
    <row r="680" spans="1:47" x14ac:dyDescent="0.3">
      <c r="A680" s="3">
        <f ca="1"/>
        <v>2346826</v>
      </c>
      <c r="B680" s="3" t="str">
        <f ca="1"/>
        <v>CZECH NEWS CENTER a. s.</v>
      </c>
      <c r="C680" s="3" t="str">
        <f ca="1">IFERROR(__xludf.DUMMYFUNCTION("""COMPUTED_VALUE"""),"iSport")</f>
        <v>iSport</v>
      </c>
      <c r="D680" s="3" t="str">
        <f ca="1">IFERROR(__xludf.DUMMYFUNCTION("""COMPUTED_VALUE"""),"https://isport.cz, https://sportrevue.cz")</f>
        <v>https://isport.cz, https://sportrevue.cz</v>
      </c>
      <c r="E680" s="3" t="str">
        <f ca="1">IFERROR(__xludf.DUMMYFUNCTION("""COMPUTED_VALUE"""),"celý web")</f>
        <v>celý web</v>
      </c>
      <c r="F680" s="3" t="str">
        <f ca="1">IFERROR(__xludf.DUMMYFUNCTION("""COMPUTED_VALUE"""),"https://isport.cz, https://sportrevue.cz")</f>
        <v>https://isport.cz, https://sportrevue.cz</v>
      </c>
      <c r="G680" s="3" t="str">
        <f ca="1">IFERROR(__xludf.DUMMYFUNCTION("""COMPUTED_VALUE"""),"branding high season")</f>
        <v>branding high season</v>
      </c>
      <c r="H680" s="3">
        <f ca="1">IFERROR(__xludf.DUMMYFUNCTION("""COMPUTED_VALUE"""),7)</f>
        <v>7</v>
      </c>
      <c r="I680" s="5">
        <f ca="1">IFERROR(__xludf.DUMMYFUNCTION("""COMPUTED_VALUE"""),1000)</f>
        <v>1000</v>
      </c>
      <c r="J680" s="5">
        <f ca="1">IFERROR(__xludf.DUMMYFUNCTION("""COMPUTED_VALUE"""),1390)</f>
        <v>1390</v>
      </c>
      <c r="K680" s="3"/>
      <c r="L680" s="3" t="str">
        <f ca="1">IFERROR(__xludf.DUMMYFUNCTION("""COMPUTED_VALUE"""),"Cost per period")</f>
        <v>Cost per period</v>
      </c>
      <c r="M680" s="3"/>
      <c r="N680" s="3"/>
      <c r="O680" s="3" t="str">
        <f ca="1">IFERROR(__xludf.DUMMYFUNCTION("""COMPUTED_VALUE"""),"2000")</f>
        <v>2000</v>
      </c>
      <c r="P680" s="3" t="str">
        <f ca="1">IFERROR(__xludf.DUMMYFUNCTION("""COMPUTED_VALUE"""),"1400")</f>
        <v>1400</v>
      </c>
      <c r="Q680" s="3" t="str">
        <f ca="1">IFERROR(__xludf.DUMMYFUNCTION("""COMPUTED_VALUE"""),"2000x1400")</f>
        <v>2000x1400</v>
      </c>
      <c r="R680" s="3"/>
      <c r="S680" s="3" t="str">
        <f ca="1">IFERROR(__xludf.DUMMYFUNCTION("""COMPUTED_VALUE"""),"500 + 200 (600+200 HTML5)")</f>
        <v>500 + 200 (600+200 HTML5)</v>
      </c>
      <c r="T680" s="3"/>
      <c r="U680" s="3" t="str">
        <f ca="1">IFERROR(__xludf.DUMMYFUNCTION("""COMPUTED_VALUE"""),"banner standard")</f>
        <v>banner standard</v>
      </c>
      <c r="V680" s="3"/>
      <c r="W680" s="4" t="str">
        <f ca="1">IFERROR(__xludf.DUMMYFUNCTION("""COMPUTED_VALUE"""),"https://reklama.cncenter.cz/Online/branding")</f>
        <v>https://reklama.cncenter.cz/Online/branding</v>
      </c>
      <c r="X680" s="3"/>
      <c r="Y680" s="3"/>
      <c r="Z680" s="3" t="str">
        <f ca="1">IFERROR(__xludf.DUMMYFUNCTION("""COMPUTED_VALUE"""),"podklady@cncenter.cz")</f>
        <v>podklady@cncenter.cz</v>
      </c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 t="str">
        <f ca="1">IFERROR(__xludf.DUMMYFUNCTION("""COMPUTED_VALUE"""),"desktop")</f>
        <v>desktop</v>
      </c>
      <c r="AO680" s="3"/>
      <c r="AP680" s="3"/>
      <c r="AQ680" s="3"/>
      <c r="AR680" s="3"/>
      <c r="AS680" s="3"/>
      <c r="AT680" s="3"/>
      <c r="AU680" s="3" t="str">
        <f ca="1">IFERROR(__xludf.DUMMYFUNCTION("""COMPUTED_VALUE"""),"branding")</f>
        <v>branding</v>
      </c>
    </row>
    <row r="681" spans="1:47" x14ac:dyDescent="0.3">
      <c r="A681" s="3">
        <f ca="1"/>
        <v>2346826</v>
      </c>
      <c r="B681" s="3" t="str">
        <f ca="1"/>
        <v>CZECH NEWS CENTER a. s.</v>
      </c>
      <c r="C681" s="3" t="str">
        <f ca="1">IFERROR(__xludf.DUMMYFUNCTION("""COMPUTED_VALUE"""),"iSport")</f>
        <v>iSport</v>
      </c>
      <c r="D681" s="3" t="str">
        <f ca="1">IFERROR(__xludf.DUMMYFUNCTION("""COMPUTED_VALUE"""),"https://isport.cz, https://sportrevue.cz")</f>
        <v>https://isport.cz, https://sportrevue.cz</v>
      </c>
      <c r="E681" s="3" t="str">
        <f ca="1">IFERROR(__xludf.DUMMYFUNCTION("""COMPUTED_VALUE"""),"celý web")</f>
        <v>celý web</v>
      </c>
      <c r="F681" s="3" t="str">
        <f ca="1">IFERROR(__xludf.DUMMYFUNCTION("""COMPUTED_VALUE"""),"https://isport.cz, https://sportrevue.cz")</f>
        <v>https://isport.cz, https://sportrevue.cz</v>
      </c>
      <c r="G681" s="3" t="str">
        <f ca="1">IFERROR(__xludf.DUMMYFUNCTION("""COMPUTED_VALUE"""),"cílený billboard bottom high season")</f>
        <v>cílený billboard bottom high season</v>
      </c>
      <c r="H681" s="3">
        <f ca="1">IFERROR(__xludf.DUMMYFUNCTION("""COMPUTED_VALUE"""),7)</f>
        <v>7</v>
      </c>
      <c r="I681" s="5">
        <f ca="1">IFERROR(__xludf.DUMMYFUNCTION("""COMPUTED_VALUE"""),1000)</f>
        <v>1000</v>
      </c>
      <c r="J681" s="5">
        <f ca="1">IFERROR(__xludf.DUMMYFUNCTION("""COMPUTED_VALUE"""),720)</f>
        <v>720</v>
      </c>
      <c r="K681" s="3"/>
      <c r="L681" s="3" t="str">
        <f ca="1">IFERROR(__xludf.DUMMYFUNCTION("""COMPUTED_VALUE"""),"Cost per period")</f>
        <v>Cost per period</v>
      </c>
      <c r="M681" s="3"/>
      <c r="N681" s="3"/>
      <c r="O681" s="3" t="str">
        <f ca="1">IFERROR(__xludf.DUMMYFUNCTION("""COMPUTED_VALUE"""),"970")</f>
        <v>970</v>
      </c>
      <c r="P681" s="3" t="str">
        <f ca="1">IFERROR(__xludf.DUMMYFUNCTION("""COMPUTED_VALUE"""),"250")</f>
        <v>250</v>
      </c>
      <c r="Q681" s="3" t="str">
        <f ca="1">IFERROR(__xludf.DUMMYFUNCTION("""COMPUTED_VALUE"""),"970x250")</f>
        <v>970x250</v>
      </c>
      <c r="R681" s="3"/>
      <c r="S681" s="3" t="str">
        <f ca="1">IFERROR(__xludf.DUMMYFUNCTION("""COMPUTED_VALUE"""),"100 (200 - HTML5)")</f>
        <v>100 (200 - HTML5)</v>
      </c>
      <c r="T681" s="3"/>
      <c r="U681" s="3" t="str">
        <f ca="1">IFERROR(__xludf.DUMMYFUNCTION("""COMPUTED_VALUE"""),"banner standard")</f>
        <v>banner standard</v>
      </c>
      <c r="V681" s="3"/>
      <c r="W681" s="4" t="str">
        <f ca="1">IFERROR(__xludf.DUMMYFUNCTION("""COMPUTED_VALUE"""),"https://reklama.cncenter.cz/Online/billboard-bottom")</f>
        <v>https://reklama.cncenter.cz/Online/billboard-bottom</v>
      </c>
      <c r="X681" s="3"/>
      <c r="Y681" s="3"/>
      <c r="Z681" s="3" t="str">
        <f ca="1">IFERROR(__xludf.DUMMYFUNCTION("""COMPUTED_VALUE"""),"podklady@cncenter.cz")</f>
        <v>podklady@cncenter.cz</v>
      </c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 t="str">
        <f ca="1">IFERROR(__xludf.DUMMYFUNCTION("""COMPUTED_VALUE"""),"desktop")</f>
        <v>desktop</v>
      </c>
      <c r="AO681" s="3"/>
      <c r="AP681" s="3"/>
      <c r="AQ681" s="3"/>
      <c r="AR681" s="3"/>
      <c r="AS681" s="3"/>
      <c r="AT681" s="3"/>
      <c r="AU681" s="3" t="str">
        <f ca="1">IFERROR(__xludf.DUMMYFUNCTION("""COMPUTED_VALUE"""),"cílený billboard bottom")</f>
        <v>cílený billboard bottom</v>
      </c>
    </row>
    <row r="682" spans="1:47" x14ac:dyDescent="0.3">
      <c r="A682" s="3">
        <f ca="1"/>
        <v>2346826</v>
      </c>
      <c r="B682" s="3" t="str">
        <f ca="1"/>
        <v>CZECH NEWS CENTER a. s.</v>
      </c>
      <c r="C682" s="3" t="str">
        <f ca="1">IFERROR(__xludf.DUMMYFUNCTION("""COMPUTED_VALUE"""),"iSport")</f>
        <v>iSport</v>
      </c>
      <c r="D682" s="3" t="str">
        <f ca="1">IFERROR(__xludf.DUMMYFUNCTION("""COMPUTED_VALUE"""),"https://isport.cz, https://sportrevue.cz")</f>
        <v>https://isport.cz, https://sportrevue.cz</v>
      </c>
      <c r="E682" s="3" t="str">
        <f ca="1">IFERROR(__xludf.DUMMYFUNCTION("""COMPUTED_VALUE"""),"celý web")</f>
        <v>celý web</v>
      </c>
      <c r="F682" s="3" t="str">
        <f ca="1">IFERROR(__xludf.DUMMYFUNCTION("""COMPUTED_VALUE"""),"https://isport.cz, https://sportrevue.cz")</f>
        <v>https://isport.cz, https://sportrevue.cz</v>
      </c>
      <c r="G682" s="3" t="str">
        <f ca="1">IFERROR(__xludf.DUMMYFUNCTION("""COMPUTED_VALUE"""),"cílený branding cross-device high season")</f>
        <v>cílený branding cross-device high season</v>
      </c>
      <c r="H682" s="3">
        <f ca="1">IFERROR(__xludf.DUMMYFUNCTION("""COMPUTED_VALUE"""),7)</f>
        <v>7</v>
      </c>
      <c r="I682" s="5">
        <f ca="1">IFERROR(__xludf.DUMMYFUNCTION("""COMPUTED_VALUE"""),1000)</f>
        <v>1000</v>
      </c>
      <c r="J682" s="5">
        <f ca="1">IFERROR(__xludf.DUMMYFUNCTION("""COMPUTED_VALUE"""),1020)</f>
        <v>1020</v>
      </c>
      <c r="K682" s="3"/>
      <c r="L682" s="3" t="str">
        <f ca="1">IFERROR(__xludf.DUMMYFUNCTION("""COMPUTED_VALUE"""),"Cost per period")</f>
        <v>Cost per period</v>
      </c>
      <c r="M682" s="3"/>
      <c r="N682" s="3"/>
      <c r="O682" s="3" t="str">
        <f ca="1">IFERROR(__xludf.DUMMYFUNCTION("""COMPUTED_VALUE"""),"2000")</f>
        <v>2000</v>
      </c>
      <c r="P682" s="3" t="str">
        <f ca="1">IFERROR(__xludf.DUMMYFUNCTION("""COMPUTED_VALUE"""),"1400")</f>
        <v>1400</v>
      </c>
      <c r="Q682" s="3" t="str">
        <f ca="1">IFERROR(__xludf.DUMMYFUNCTION("""COMPUTED_VALUE"""),"2000x1400 + 600x1080")</f>
        <v>2000x1400 + 600x1080</v>
      </c>
      <c r="R682" s="3"/>
      <c r="S682" s="3" t="str">
        <f ca="1">IFERROR(__xludf.DUMMYFUNCTION("""COMPUTED_VALUE"""),"500 (600 - HTLM5)")</f>
        <v>500 (600 - HTLM5)</v>
      </c>
      <c r="T682" s="3"/>
      <c r="U682" s="3" t="str">
        <f ca="1">IFERROR(__xludf.DUMMYFUNCTION("""COMPUTED_VALUE"""),"banner standard")</f>
        <v>banner standard</v>
      </c>
      <c r="V682" s="3"/>
      <c r="W682" s="4" t="str">
        <f ca="1">IFERROR(__xludf.DUMMYFUNCTION("""COMPUTED_VALUE"""),"https://reklama.cncenter.cz/Online/branding-cross-device")</f>
        <v>https://reklama.cncenter.cz/Online/branding-cross-device</v>
      </c>
      <c r="X682" s="3"/>
      <c r="Y682" s="3"/>
      <c r="Z682" s="3" t="str">
        <f ca="1">IFERROR(__xludf.DUMMYFUNCTION("""COMPUTED_VALUE"""),"podklady@cncenter.cz")</f>
        <v>podklady@cncenter.cz</v>
      </c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 t="str">
        <f ca="1">IFERROR(__xludf.DUMMYFUNCTION("""COMPUTED_VALUE"""),"cross-device")</f>
        <v>cross-device</v>
      </c>
      <c r="AO682" s="3"/>
      <c r="AP682" s="3"/>
      <c r="AQ682" s="3"/>
      <c r="AR682" s="3"/>
      <c r="AS682" s="3"/>
      <c r="AT682" s="3"/>
      <c r="AU682" s="3" t="str">
        <f ca="1">IFERROR(__xludf.DUMMYFUNCTION("""COMPUTED_VALUE"""),"cílený branding cross-device")</f>
        <v>cílený branding cross-device</v>
      </c>
    </row>
    <row r="683" spans="1:47" x14ac:dyDescent="0.3">
      <c r="A683" s="3">
        <f ca="1"/>
        <v>2346826</v>
      </c>
      <c r="B683" s="3" t="str">
        <f ca="1"/>
        <v>CZECH NEWS CENTER a. s.</v>
      </c>
      <c r="C683" s="3" t="str">
        <f ca="1">IFERROR(__xludf.DUMMYFUNCTION("""COMPUTED_VALUE"""),"iSport")</f>
        <v>iSport</v>
      </c>
      <c r="D683" s="3" t="str">
        <f ca="1">IFERROR(__xludf.DUMMYFUNCTION("""COMPUTED_VALUE"""),"https://isport.cz, https://sportrevue.cz")</f>
        <v>https://isport.cz, https://sportrevue.cz</v>
      </c>
      <c r="E683" s="3" t="str">
        <f ca="1">IFERROR(__xludf.DUMMYFUNCTION("""COMPUTED_VALUE"""),"celý web")</f>
        <v>celý web</v>
      </c>
      <c r="F683" s="3" t="str">
        <f ca="1">IFERROR(__xludf.DUMMYFUNCTION("""COMPUTED_VALUE"""),"https://isport.cz, https://sportrevue.cz")</f>
        <v>https://isport.cz, https://sportrevue.cz</v>
      </c>
      <c r="G683" s="3" t="str">
        <f ca="1">IFERROR(__xludf.DUMMYFUNCTION("""COMPUTED_VALUE"""),"cílený branding high season")</f>
        <v>cílený branding high season</v>
      </c>
      <c r="H683" s="3">
        <f ca="1">IFERROR(__xludf.DUMMYFUNCTION("""COMPUTED_VALUE"""),7)</f>
        <v>7</v>
      </c>
      <c r="I683" s="5">
        <f ca="1">IFERROR(__xludf.DUMMYFUNCTION("""COMPUTED_VALUE"""),1000)</f>
        <v>1000</v>
      </c>
      <c r="J683" s="5">
        <f ca="1">IFERROR(__xludf.DUMMYFUNCTION("""COMPUTED_VALUE"""),1668)</f>
        <v>1668</v>
      </c>
      <c r="K683" s="3"/>
      <c r="L683" s="3" t="str">
        <f ca="1">IFERROR(__xludf.DUMMYFUNCTION("""COMPUTED_VALUE"""),"Cost per period")</f>
        <v>Cost per period</v>
      </c>
      <c r="M683" s="3"/>
      <c r="N683" s="3"/>
      <c r="O683" s="3" t="str">
        <f ca="1">IFERROR(__xludf.DUMMYFUNCTION("""COMPUTED_VALUE"""),"2000")</f>
        <v>2000</v>
      </c>
      <c r="P683" s="3" t="str">
        <f ca="1">IFERROR(__xludf.DUMMYFUNCTION("""COMPUTED_VALUE"""),"1400")</f>
        <v>1400</v>
      </c>
      <c r="Q683" s="3" t="str">
        <f ca="1">IFERROR(__xludf.DUMMYFUNCTION("""COMPUTED_VALUE"""),"2000x1400")</f>
        <v>2000x1400</v>
      </c>
      <c r="R683" s="3"/>
      <c r="S683" s="3" t="str">
        <f ca="1">IFERROR(__xludf.DUMMYFUNCTION("""COMPUTED_VALUE"""),"500 + 200 (600+200 HTML5)")</f>
        <v>500 + 200 (600+200 HTML5)</v>
      </c>
      <c r="T683" s="3"/>
      <c r="U683" s="3" t="str">
        <f ca="1">IFERROR(__xludf.DUMMYFUNCTION("""COMPUTED_VALUE"""),"banner standard")</f>
        <v>banner standard</v>
      </c>
      <c r="V683" s="3"/>
      <c r="W683" s="4" t="str">
        <f ca="1">IFERROR(__xludf.DUMMYFUNCTION("""COMPUTED_VALUE"""),"https://reklama.cncenter.cz/Online/branding")</f>
        <v>https://reklama.cncenter.cz/Online/branding</v>
      </c>
      <c r="X683" s="3"/>
      <c r="Y683" s="3"/>
      <c r="Z683" s="3" t="str">
        <f ca="1">IFERROR(__xludf.DUMMYFUNCTION("""COMPUTED_VALUE"""),"podklady@cncenter.cz")</f>
        <v>podklady@cncenter.cz</v>
      </c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 t="str">
        <f ca="1">IFERROR(__xludf.DUMMYFUNCTION("""COMPUTED_VALUE"""),"desktop")</f>
        <v>desktop</v>
      </c>
      <c r="AO683" s="3"/>
      <c r="AP683" s="3"/>
      <c r="AQ683" s="3"/>
      <c r="AR683" s="3"/>
      <c r="AS683" s="3"/>
      <c r="AT683" s="3"/>
      <c r="AU683" s="3" t="str">
        <f ca="1">IFERROR(__xludf.DUMMYFUNCTION("""COMPUTED_VALUE"""),"cílený branding")</f>
        <v>cílený branding</v>
      </c>
    </row>
    <row r="684" spans="1:47" x14ac:dyDescent="0.3">
      <c r="A684" s="3">
        <f ca="1"/>
        <v>2346826</v>
      </c>
      <c r="B684" s="3" t="str">
        <f ca="1"/>
        <v>CZECH NEWS CENTER a. s.</v>
      </c>
      <c r="C684" s="3" t="str">
        <f ca="1">IFERROR(__xludf.DUMMYFUNCTION("""COMPUTED_VALUE"""),"iSport")</f>
        <v>iSport</v>
      </c>
      <c r="D684" s="3" t="str">
        <f ca="1">IFERROR(__xludf.DUMMYFUNCTION("""COMPUTED_VALUE"""),"https://isport.cz, https://sportrevue.cz")</f>
        <v>https://isport.cz, https://sportrevue.cz</v>
      </c>
      <c r="E684" s="3" t="str">
        <f ca="1">IFERROR(__xludf.DUMMYFUNCTION("""COMPUTED_VALUE"""),"celý web")</f>
        <v>celý web</v>
      </c>
      <c r="F684" s="3" t="str">
        <f ca="1">IFERROR(__xludf.DUMMYFUNCTION("""COMPUTED_VALUE"""),"https://isport.cz, https://sportrevue.cz")</f>
        <v>https://isport.cz, https://sportrevue.cz</v>
      </c>
      <c r="G684" s="3" t="str">
        <f ca="1">IFERROR(__xludf.DUMMYFUNCTION("""COMPUTED_VALUE"""),"cílený double skyscraper high season")</f>
        <v>cílený double skyscraper high season</v>
      </c>
      <c r="H684" s="3">
        <f ca="1">IFERROR(__xludf.DUMMYFUNCTION("""COMPUTED_VALUE"""),7)</f>
        <v>7</v>
      </c>
      <c r="I684" s="5">
        <f ca="1">IFERROR(__xludf.DUMMYFUNCTION("""COMPUTED_VALUE"""),1000)</f>
        <v>1000</v>
      </c>
      <c r="J684" s="5">
        <f ca="1">IFERROR(__xludf.DUMMYFUNCTION("""COMPUTED_VALUE"""),648)</f>
        <v>648</v>
      </c>
      <c r="K684" s="3"/>
      <c r="L684" s="3" t="str">
        <f ca="1">IFERROR(__xludf.DUMMYFUNCTION("""COMPUTED_VALUE"""),"Cost per period")</f>
        <v>Cost per period</v>
      </c>
      <c r="M684" s="3"/>
      <c r="N684" s="3"/>
      <c r="O684" s="3" t="str">
        <f ca="1">IFERROR(__xludf.DUMMYFUNCTION("""COMPUTED_VALUE"""),"300")</f>
        <v>300</v>
      </c>
      <c r="P684" s="3" t="str">
        <f ca="1">IFERROR(__xludf.DUMMYFUNCTION("""COMPUTED_VALUE"""),"600")</f>
        <v>600</v>
      </c>
      <c r="Q684" s="3" t="str">
        <f ca="1">IFERROR(__xludf.DUMMYFUNCTION("""COMPUTED_VALUE"""),"300x600")</f>
        <v>300x600</v>
      </c>
      <c r="R684" s="3"/>
      <c r="S684" s="3" t="str">
        <f ca="1">IFERROR(__xludf.DUMMYFUNCTION("""COMPUTED_VALUE"""),"100 (200 - HTML5)")</f>
        <v>100 (200 - HTML5)</v>
      </c>
      <c r="T684" s="3"/>
      <c r="U684" s="3" t="str">
        <f ca="1">IFERROR(__xludf.DUMMYFUNCTION("""COMPUTED_VALUE"""),"banner standard")</f>
        <v>banner standard</v>
      </c>
      <c r="V684" s="3"/>
      <c r="W684" s="4" t="str">
        <f ca="1">IFERROR(__xludf.DUMMYFUNCTION("""COMPUTED_VALUE"""),"https://reklama.cncenter.cz/Online/double-skyscraper")</f>
        <v>https://reklama.cncenter.cz/Online/double-skyscraper</v>
      </c>
      <c r="X684" s="3"/>
      <c r="Y684" s="3"/>
      <c r="Z684" s="3" t="str">
        <f ca="1">IFERROR(__xludf.DUMMYFUNCTION("""COMPUTED_VALUE"""),"podklady@cncenter.cz")</f>
        <v>podklady@cncenter.cz</v>
      </c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 t="str">
        <f ca="1">IFERROR(__xludf.DUMMYFUNCTION("""COMPUTED_VALUE"""),"desktop")</f>
        <v>desktop</v>
      </c>
      <c r="AO684" s="3"/>
      <c r="AP684" s="3"/>
      <c r="AQ684" s="3"/>
      <c r="AR684" s="3"/>
      <c r="AS684" s="3"/>
      <c r="AT684" s="3"/>
      <c r="AU684" s="3" t="str">
        <f ca="1">IFERROR(__xludf.DUMMYFUNCTION("""COMPUTED_VALUE"""),"cílený double skyscraper")</f>
        <v>cílený double skyscraper</v>
      </c>
    </row>
    <row r="685" spans="1:47" x14ac:dyDescent="0.3">
      <c r="A685" s="3">
        <f ca="1"/>
        <v>2346826</v>
      </c>
      <c r="B685" s="3" t="str">
        <f ca="1"/>
        <v>CZECH NEWS CENTER a. s.</v>
      </c>
      <c r="C685" s="3" t="str">
        <f ca="1">IFERROR(__xludf.DUMMYFUNCTION("""COMPUTED_VALUE"""),"iSport")</f>
        <v>iSport</v>
      </c>
      <c r="D685" s="3" t="str">
        <f ca="1">IFERROR(__xludf.DUMMYFUNCTION("""COMPUTED_VALUE"""),"https://isport.cz, https://sportrevue.cz")</f>
        <v>https://isport.cz, https://sportrevue.cz</v>
      </c>
      <c r="E685" s="3" t="str">
        <f ca="1">IFERROR(__xludf.DUMMYFUNCTION("""COMPUTED_VALUE"""),"celý web")</f>
        <v>celý web</v>
      </c>
      <c r="F685" s="3" t="str">
        <f ca="1">IFERROR(__xludf.DUMMYFUNCTION("""COMPUTED_VALUE"""),"https://isport.cz, https://sportrevue.cz")</f>
        <v>https://isport.cz, https://sportrevue.cz</v>
      </c>
      <c r="G685" s="3" t="str">
        <f ca="1">IFERROR(__xludf.DUMMYFUNCTION("""COMPUTED_VALUE"""),"cílený mini videospot - max. 30 sec. high season")</f>
        <v>cílený mini videospot - max. 30 sec. high season</v>
      </c>
      <c r="H685" s="3">
        <f ca="1">IFERROR(__xludf.DUMMYFUNCTION("""COMPUTED_VALUE"""),7)</f>
        <v>7</v>
      </c>
      <c r="I685" s="5">
        <f ca="1">IFERROR(__xludf.DUMMYFUNCTION("""COMPUTED_VALUE"""),1000)</f>
        <v>1000</v>
      </c>
      <c r="J685" s="5">
        <f ca="1">IFERROR(__xludf.DUMMYFUNCTION("""COMPUTED_VALUE"""),480)</f>
        <v>480</v>
      </c>
      <c r="K685" s="3"/>
      <c r="L685" s="3" t="str">
        <f ca="1">IFERROR(__xludf.DUMMYFUNCTION("""COMPUTED_VALUE"""),"Cost per period")</f>
        <v>Cost per period</v>
      </c>
      <c r="M685" s="3"/>
      <c r="N685" s="3"/>
      <c r="O685" s="3"/>
      <c r="P685" s="3"/>
      <c r="Q685" s="3" t="str">
        <f ca="1">IFERROR(__xludf.DUMMYFUNCTION("""COMPUTED_VALUE"""),"16:9 / umístění po domluvě dle možností")</f>
        <v>16:9 / umístění po domluvě dle možností</v>
      </c>
      <c r="R685" s="3" t="str">
        <f ca="1">IFERROR(__xludf.DUMMYFUNCTION("""COMPUTED_VALUE"""),"přeskočení po 7 sekundách")</f>
        <v>přeskočení po 7 sekundách</v>
      </c>
      <c r="S685" s="3" t="str">
        <f ca="1">IFERROR(__xludf.DUMMYFUNCTION("""COMPUTED_VALUE"""),"100")</f>
        <v>100</v>
      </c>
      <c r="T685" s="3"/>
      <c r="U685" s="3" t="str">
        <f ca="1">IFERROR(__xludf.DUMMYFUNCTION("""COMPUTED_VALUE"""),"videospot")</f>
        <v>videospot</v>
      </c>
      <c r="V685" s="3"/>
      <c r="W685" s="4" t="str">
        <f ca="1">IFERROR(__xludf.DUMMYFUNCTION("""COMPUTED_VALUE"""),"https://reklama.cncenter.cz/Online/Videospot")</f>
        <v>https://reklama.cncenter.cz/Online/Videospot</v>
      </c>
      <c r="X685" s="3"/>
      <c r="Y685" s="3"/>
      <c r="Z685" s="3" t="str">
        <f ca="1">IFERROR(__xludf.DUMMYFUNCTION("""COMPUTED_VALUE"""),"podklady@cncenter.cz")</f>
        <v>podklady@cncenter.cz</v>
      </c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 t="str">
        <f ca="1">IFERROR(__xludf.DUMMYFUNCTION("""COMPUTED_VALUE"""),"desktop")</f>
        <v>desktop</v>
      </c>
      <c r="AO685" s="3"/>
      <c r="AP685" s="3"/>
      <c r="AQ685" s="3"/>
      <c r="AR685" s="3"/>
      <c r="AS685" s="3"/>
      <c r="AT685" s="3"/>
      <c r="AU685" s="3" t="str">
        <f ca="1">IFERROR(__xludf.DUMMYFUNCTION("""COMPUTED_VALUE"""),"cílený mini videospot - max. 30 sec.")</f>
        <v>cílený mini videospot - max. 30 sec.</v>
      </c>
    </row>
    <row r="686" spans="1:47" x14ac:dyDescent="0.3">
      <c r="A686" s="3">
        <f ca="1"/>
        <v>2346826</v>
      </c>
      <c r="B686" s="3" t="str">
        <f ca="1"/>
        <v>CZECH NEWS CENTER a. s.</v>
      </c>
      <c r="C686" s="3" t="str">
        <f ca="1">IFERROR(__xludf.DUMMYFUNCTION("""COMPUTED_VALUE"""),"iSport")</f>
        <v>iSport</v>
      </c>
      <c r="D686" s="3" t="str">
        <f ca="1">IFERROR(__xludf.DUMMYFUNCTION("""COMPUTED_VALUE"""),"https://isport.cz, https://sportrevue.cz")</f>
        <v>https://isport.cz, https://sportrevue.cz</v>
      </c>
      <c r="E686" s="3" t="str">
        <f ca="1">IFERROR(__xludf.DUMMYFUNCTION("""COMPUTED_VALUE"""),"celý web")</f>
        <v>celý web</v>
      </c>
      <c r="F686" s="3" t="str">
        <f ca="1">IFERROR(__xludf.DUMMYFUNCTION("""COMPUTED_VALUE"""),"https://isport.cz, https://sportrevue.cz")</f>
        <v>https://isport.cz, https://sportrevue.cz</v>
      </c>
      <c r="G686" s="3" t="str">
        <f ca="1">IFERROR(__xludf.DUMMYFUNCTION("""COMPUTED_VALUE"""),"cílený mobilní interscroller high season")</f>
        <v>cílený mobilní interscroller high season</v>
      </c>
      <c r="H686" s="3">
        <f ca="1">IFERROR(__xludf.DUMMYFUNCTION("""COMPUTED_VALUE"""),7)</f>
        <v>7</v>
      </c>
      <c r="I686" s="5">
        <f ca="1">IFERROR(__xludf.DUMMYFUNCTION("""COMPUTED_VALUE"""),1000)</f>
        <v>1000</v>
      </c>
      <c r="J686" s="5">
        <f ca="1">IFERROR(__xludf.DUMMYFUNCTION("""COMPUTED_VALUE"""),864)</f>
        <v>864</v>
      </c>
      <c r="K686" s="3"/>
      <c r="L686" s="3" t="str">
        <f ca="1">IFERROR(__xludf.DUMMYFUNCTION("""COMPUTED_VALUE"""),"Cost per period")</f>
        <v>Cost per period</v>
      </c>
      <c r="M686" s="3"/>
      <c r="N686" s="3"/>
      <c r="O686" s="3" t="str">
        <f ca="1">IFERROR(__xludf.DUMMYFUNCTION("""COMPUTED_VALUE"""),"600")</f>
        <v>600</v>
      </c>
      <c r="P686" s="3" t="str">
        <f ca="1">IFERROR(__xludf.DUMMYFUNCTION("""COMPUTED_VALUE"""),"1080")</f>
        <v>1080</v>
      </c>
      <c r="Q686" s="3" t="str">
        <f ca="1">IFERROR(__xludf.DUMMYFUNCTION("""COMPUTED_VALUE"""),"600x1080")</f>
        <v>600x1080</v>
      </c>
      <c r="R686" s="3"/>
      <c r="S686" s="3" t="str">
        <f ca="1">IFERROR(__xludf.DUMMYFUNCTION("""COMPUTED_VALUE"""),"200")</f>
        <v>200</v>
      </c>
      <c r="T686" s="3"/>
      <c r="U686" s="3" t="str">
        <f ca="1">IFERROR(__xludf.DUMMYFUNCTION("""COMPUTED_VALUE"""),"banner standard")</f>
        <v>banner standard</v>
      </c>
      <c r="V686" s="3"/>
      <c r="W686" s="4" t="str">
        <f ca="1">IFERROR(__xludf.DUMMYFUNCTION("""COMPUTED_VALUE"""),"https://reklama.cncenter.cz/Online/mobilni-interscroller")</f>
        <v>https://reklama.cncenter.cz/Online/mobilni-interscroller</v>
      </c>
      <c r="X686" s="3"/>
      <c r="Y686" s="3"/>
      <c r="Z686" s="3" t="str">
        <f ca="1">IFERROR(__xludf.DUMMYFUNCTION("""COMPUTED_VALUE"""),"podklady@cncenter.cz")</f>
        <v>podklady@cncenter.cz</v>
      </c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 t="str">
        <f ca="1">IFERROR(__xludf.DUMMYFUNCTION("""COMPUTED_VALUE"""),"mobile")</f>
        <v>mobile</v>
      </c>
      <c r="AO686" s="3"/>
      <c r="AP686" s="3"/>
      <c r="AQ686" s="3"/>
      <c r="AR686" s="3"/>
      <c r="AS686" s="3"/>
      <c r="AT686" s="3"/>
      <c r="AU686" s="3" t="str">
        <f ca="1">IFERROR(__xludf.DUMMYFUNCTION("""COMPUTED_VALUE"""),"cílený mobilní interscroller")</f>
        <v>cílený mobilní interscroller</v>
      </c>
    </row>
    <row r="687" spans="1:47" x14ac:dyDescent="0.3">
      <c r="A687" s="3">
        <f ca="1"/>
        <v>2346826</v>
      </c>
      <c r="B687" s="3" t="str">
        <f ca="1"/>
        <v>CZECH NEWS CENTER a. s.</v>
      </c>
      <c r="C687" s="3" t="str">
        <f ca="1">IFERROR(__xludf.DUMMYFUNCTION("""COMPUTED_VALUE"""),"iSport")</f>
        <v>iSport</v>
      </c>
      <c r="D687" s="3" t="str">
        <f ca="1">IFERROR(__xludf.DUMMYFUNCTION("""COMPUTED_VALUE"""),"https://isport.cz, https://sportrevue.cz")</f>
        <v>https://isport.cz, https://sportrevue.cz</v>
      </c>
      <c r="E687" s="3" t="str">
        <f ca="1">IFERROR(__xludf.DUMMYFUNCTION("""COMPUTED_VALUE"""),"celý web")</f>
        <v>celý web</v>
      </c>
      <c r="F687" s="3" t="str">
        <f ca="1">IFERROR(__xludf.DUMMYFUNCTION("""COMPUTED_VALUE"""),"https://isport.cz, https://sportrevue.cz")</f>
        <v>https://isport.cz, https://sportrevue.cz</v>
      </c>
      <c r="G687" s="3" t="str">
        <f ca="1">IFERROR(__xludf.DUMMYFUNCTION("""COMPUTED_VALUE"""),"cílený mobilní slide-up high season")</f>
        <v>cílený mobilní slide-up high season</v>
      </c>
      <c r="H687" s="3">
        <f ca="1">IFERROR(__xludf.DUMMYFUNCTION("""COMPUTED_VALUE"""),7)</f>
        <v>7</v>
      </c>
      <c r="I687" s="5">
        <f ca="1">IFERROR(__xludf.DUMMYFUNCTION("""COMPUTED_VALUE"""),1000)</f>
        <v>1000</v>
      </c>
      <c r="J687" s="5">
        <f ca="1">IFERROR(__xludf.DUMMYFUNCTION("""COMPUTED_VALUE"""),1428)</f>
        <v>1428</v>
      </c>
      <c r="K687" s="3"/>
      <c r="L687" s="3" t="str">
        <f ca="1">IFERROR(__xludf.DUMMYFUNCTION("""COMPUTED_VALUE"""),"Cost per period")</f>
        <v>Cost per period</v>
      </c>
      <c r="M687" s="3"/>
      <c r="N687" s="3"/>
      <c r="O687" s="3" t="str">
        <f ca="1">IFERROR(__xludf.DUMMYFUNCTION("""COMPUTED_VALUE"""),"300")</f>
        <v>300</v>
      </c>
      <c r="P687" s="3" t="str">
        <f ca="1">IFERROR(__xludf.DUMMYFUNCTION("""COMPUTED_VALUE"""),"120")</f>
        <v>120</v>
      </c>
      <c r="Q687" s="3" t="str">
        <f ca="1">IFERROR(__xludf.DUMMYFUNCTION("""COMPUTED_VALUE"""),"300x120")</f>
        <v>300x120</v>
      </c>
      <c r="R687" s="3"/>
      <c r="S687" s="3" t="str">
        <f ca="1">IFERROR(__xludf.DUMMYFUNCTION("""COMPUTED_VALUE"""),"100")</f>
        <v>100</v>
      </c>
      <c r="T687" s="3"/>
      <c r="U687" s="3" t="str">
        <f ca="1">IFERROR(__xludf.DUMMYFUNCTION("""COMPUTED_VALUE"""),"banner standard")</f>
        <v>banner standard</v>
      </c>
      <c r="V687" s="3"/>
      <c r="W687" s="4" t="str">
        <f ca="1">IFERROR(__xludf.DUMMYFUNCTION("""COMPUTED_VALUE"""),"https://reklama.cncenter.cz/Online/mobilni-slide-up")</f>
        <v>https://reklama.cncenter.cz/Online/mobilni-slide-up</v>
      </c>
      <c r="X687" s="3"/>
      <c r="Y687" s="3"/>
      <c r="Z687" s="3" t="str">
        <f ca="1">IFERROR(__xludf.DUMMYFUNCTION("""COMPUTED_VALUE"""),"podklady@cncenter.cz")</f>
        <v>podklady@cncenter.cz</v>
      </c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 t="str">
        <f ca="1">IFERROR(__xludf.DUMMYFUNCTION("""COMPUTED_VALUE"""),"mobile")</f>
        <v>mobile</v>
      </c>
      <c r="AO687" s="3"/>
      <c r="AP687" s="3"/>
      <c r="AQ687" s="3"/>
      <c r="AR687" s="3"/>
      <c r="AS687" s="3"/>
      <c r="AT687" s="3"/>
      <c r="AU687" s="3" t="str">
        <f ca="1">IFERROR(__xludf.DUMMYFUNCTION("""COMPUTED_VALUE"""),"cílený mobilní slide-up")</f>
        <v>cílený mobilní slide-up</v>
      </c>
    </row>
    <row r="688" spans="1:47" x14ac:dyDescent="0.3">
      <c r="A688" s="3">
        <f ca="1"/>
        <v>2346826</v>
      </c>
      <c r="B688" s="3" t="str">
        <f ca="1"/>
        <v>CZECH NEWS CENTER a. s.</v>
      </c>
      <c r="C688" s="3" t="str">
        <f ca="1">IFERROR(__xludf.DUMMYFUNCTION("""COMPUTED_VALUE"""),"iSport")</f>
        <v>iSport</v>
      </c>
      <c r="D688" s="3" t="str">
        <f ca="1">IFERROR(__xludf.DUMMYFUNCTION("""COMPUTED_VALUE"""),"https://isport.cz, https://sportrevue.cz")</f>
        <v>https://isport.cz, https://sportrevue.cz</v>
      </c>
      <c r="E688" s="3" t="str">
        <f ca="1">IFERROR(__xludf.DUMMYFUNCTION("""COMPUTED_VALUE"""),"celý web")</f>
        <v>celý web</v>
      </c>
      <c r="F688" s="3" t="str">
        <f ca="1">IFERROR(__xludf.DUMMYFUNCTION("""COMPUTED_VALUE"""),"https://isport.cz, https://sportrevue.cz")</f>
        <v>https://isport.cz, https://sportrevue.cz</v>
      </c>
      <c r="G688" s="3" t="str">
        <f ca="1">IFERROR(__xludf.DUMMYFUNCTION("""COMPUTED_VALUE"""),"cílený mobilní viněta high season")</f>
        <v>cílený mobilní viněta high season</v>
      </c>
      <c r="H688" s="3">
        <f ca="1">IFERROR(__xludf.DUMMYFUNCTION("""COMPUTED_VALUE"""),7)</f>
        <v>7</v>
      </c>
      <c r="I688" s="5">
        <f ca="1">IFERROR(__xludf.DUMMYFUNCTION("""COMPUTED_VALUE"""),1000)</f>
        <v>1000</v>
      </c>
      <c r="J688" s="5">
        <f ca="1">IFERROR(__xludf.DUMMYFUNCTION("""COMPUTED_VALUE"""),1908)</f>
        <v>1908</v>
      </c>
      <c r="K688" s="3"/>
      <c r="L688" s="3" t="str">
        <f ca="1">IFERROR(__xludf.DUMMYFUNCTION("""COMPUTED_VALUE"""),"Cost per period")</f>
        <v>Cost per period</v>
      </c>
      <c r="M688" s="3"/>
      <c r="N688" s="3"/>
      <c r="O688" s="3" t="str">
        <f ca="1">IFERROR(__xludf.DUMMYFUNCTION("""COMPUTED_VALUE"""),"600")</f>
        <v>600</v>
      </c>
      <c r="P688" s="3" t="str">
        <f ca="1">IFERROR(__xludf.DUMMYFUNCTION("""COMPUTED_VALUE"""),"800")</f>
        <v>800</v>
      </c>
      <c r="Q688" s="3" t="str">
        <f ca="1">IFERROR(__xludf.DUMMYFUNCTION("""COMPUTED_VALUE"""),"300x250 nebo 600x800")</f>
        <v>300x250 nebo 600x800</v>
      </c>
      <c r="R688" s="3"/>
      <c r="S688" s="3" t="str">
        <f ca="1">IFERROR(__xludf.DUMMYFUNCTION("""COMPUTED_VALUE"""),"100")</f>
        <v>100</v>
      </c>
      <c r="T688" s="3"/>
      <c r="U688" s="3" t="str">
        <f ca="1">IFERROR(__xludf.DUMMYFUNCTION("""COMPUTED_VALUE"""),"banner standard")</f>
        <v>banner standard</v>
      </c>
      <c r="V688" s="3"/>
      <c r="W688" s="4" t="str">
        <f ca="1">IFERROR(__xludf.DUMMYFUNCTION("""COMPUTED_VALUE"""),"https://reklama.cncenter.cz/Online/mobilni-vineta")</f>
        <v>https://reklama.cncenter.cz/Online/mobilni-vineta</v>
      </c>
      <c r="X688" s="3"/>
      <c r="Y688" s="3"/>
      <c r="Z688" s="3" t="str">
        <f ca="1">IFERROR(__xludf.DUMMYFUNCTION("""COMPUTED_VALUE"""),"podklady@cncenter.cz")</f>
        <v>podklady@cncenter.cz</v>
      </c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 t="str">
        <f ca="1">IFERROR(__xludf.DUMMYFUNCTION("""COMPUTED_VALUE"""),"mobile")</f>
        <v>mobile</v>
      </c>
      <c r="AO688" s="3"/>
      <c r="AP688" s="3"/>
      <c r="AQ688" s="3"/>
      <c r="AR688" s="3"/>
      <c r="AS688" s="3"/>
      <c r="AT688" s="3"/>
      <c r="AU688" s="3" t="str">
        <f ca="1">IFERROR(__xludf.DUMMYFUNCTION("""COMPUTED_VALUE"""),"cílený mobilní viněta")</f>
        <v>cílený mobilní viněta</v>
      </c>
    </row>
    <row r="689" spans="1:47" x14ac:dyDescent="0.3">
      <c r="A689" s="3">
        <f ca="1"/>
        <v>2346826</v>
      </c>
      <c r="B689" s="3" t="str">
        <f ca="1"/>
        <v>CZECH NEWS CENTER a. s.</v>
      </c>
      <c r="C689" s="3" t="str">
        <f ca="1">IFERROR(__xludf.DUMMYFUNCTION("""COMPUTED_VALUE"""),"iSport")</f>
        <v>iSport</v>
      </c>
      <c r="D689" s="3" t="str">
        <f ca="1">IFERROR(__xludf.DUMMYFUNCTION("""COMPUTED_VALUE"""),"https://isport.cz, https://sportrevue.cz")</f>
        <v>https://isport.cz, https://sportrevue.cz</v>
      </c>
      <c r="E689" s="3" t="str">
        <f ca="1">IFERROR(__xludf.DUMMYFUNCTION("""COMPUTED_VALUE"""),"celý web")</f>
        <v>celý web</v>
      </c>
      <c r="F689" s="3" t="str">
        <f ca="1">IFERROR(__xludf.DUMMYFUNCTION("""COMPUTED_VALUE"""),"https://isport.cz, https://sportrevue.cz")</f>
        <v>https://isport.cz, https://sportrevue.cz</v>
      </c>
      <c r="G689" s="3" t="str">
        <f ca="1">IFERROR(__xludf.DUMMYFUNCTION("""COMPUTED_VALUE"""),"cílený nativní rectangle cross-device high season")</f>
        <v>cílený nativní rectangle cross-device high season</v>
      </c>
      <c r="H689" s="3">
        <f ca="1">IFERROR(__xludf.DUMMYFUNCTION("""COMPUTED_VALUE"""),7)</f>
        <v>7</v>
      </c>
      <c r="I689" s="5">
        <f ca="1">IFERROR(__xludf.DUMMYFUNCTION("""COMPUTED_VALUE"""),1000)</f>
        <v>1000</v>
      </c>
      <c r="J689" s="5">
        <f ca="1">IFERROR(__xludf.DUMMYFUNCTION("""COMPUTED_VALUE"""),612)</f>
        <v>612</v>
      </c>
      <c r="K689" s="3"/>
      <c r="L689" s="3" t="str">
        <f ca="1">IFERROR(__xludf.DUMMYFUNCTION("""COMPUTED_VALUE"""),"Cost per period")</f>
        <v>Cost per period</v>
      </c>
      <c r="M689" s="3"/>
      <c r="N689" s="3"/>
      <c r="O689" s="3" t="str">
        <f ca="1">IFERROR(__xludf.DUMMYFUNCTION("""COMPUTED_VALUE"""),"640")</f>
        <v>640</v>
      </c>
      <c r="P689" s="3" t="str">
        <f ca="1">IFERROR(__xludf.DUMMYFUNCTION("""COMPUTED_VALUE"""),"335, 640")</f>
        <v>335, 640</v>
      </c>
      <c r="Q689" s="3" t="str">
        <f ca="1">IFERROR(__xludf.DUMMYFUNCTION("""COMPUTED_VALUE"""),"640x640 a 640x335 + text + logo")</f>
        <v>640x640 a 640x335 + text + logo</v>
      </c>
      <c r="R689" s="3"/>
      <c r="S689" s="3" t="str">
        <f ca="1">IFERROR(__xludf.DUMMYFUNCTION("""COMPUTED_VALUE"""),"45")</f>
        <v>45</v>
      </c>
      <c r="T689" s="3"/>
      <c r="U689" s="3" t="str">
        <f ca="1">IFERROR(__xludf.DUMMYFUNCTION("""COMPUTED_VALUE"""),"nativní reklama")</f>
        <v>nativní reklama</v>
      </c>
      <c r="V689" s="3"/>
      <c r="W689" s="4" t="str">
        <f ca="1">IFERROR(__xludf.DUMMYFUNCTION("""COMPUTED_VALUE"""),"https://reklama.cncenter.cz/Online/nativni-rectangle-cross-device")</f>
        <v>https://reklama.cncenter.cz/Online/nativni-rectangle-cross-device</v>
      </c>
      <c r="X689" s="3"/>
      <c r="Y689" s="3"/>
      <c r="Z689" s="3" t="str">
        <f ca="1">IFERROR(__xludf.DUMMYFUNCTION("""COMPUTED_VALUE"""),"podklady@cncenter.cz")</f>
        <v>podklady@cncenter.cz</v>
      </c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 t="str">
        <f ca="1">IFERROR(__xludf.DUMMYFUNCTION("""COMPUTED_VALUE"""),"cross-device")</f>
        <v>cross-device</v>
      </c>
      <c r="AO689" s="3"/>
      <c r="AP689" s="3"/>
      <c r="AQ689" s="3"/>
      <c r="AR689" s="3"/>
      <c r="AS689" s="3"/>
      <c r="AT689" s="3"/>
      <c r="AU689" s="3" t="str">
        <f ca="1">IFERROR(__xludf.DUMMYFUNCTION("""COMPUTED_VALUE"""),"cílený nativní rectangle cross-device")</f>
        <v>cílený nativní rectangle cross-device</v>
      </c>
    </row>
    <row r="690" spans="1:47" x14ac:dyDescent="0.3">
      <c r="A690" s="3">
        <f ca="1"/>
        <v>2346826</v>
      </c>
      <c r="B690" s="3" t="str">
        <f ca="1"/>
        <v>CZECH NEWS CENTER a. s.</v>
      </c>
      <c r="C690" s="3" t="str">
        <f ca="1">IFERROR(__xludf.DUMMYFUNCTION("""COMPUTED_VALUE"""),"iSport")</f>
        <v>iSport</v>
      </c>
      <c r="D690" s="3" t="str">
        <f ca="1">IFERROR(__xludf.DUMMYFUNCTION("""COMPUTED_VALUE"""),"https://isport.cz, https://sportrevue.cz")</f>
        <v>https://isport.cz, https://sportrevue.cz</v>
      </c>
      <c r="E690" s="3" t="str">
        <f ca="1">IFERROR(__xludf.DUMMYFUNCTION("""COMPUTED_VALUE"""),"celý web")</f>
        <v>celý web</v>
      </c>
      <c r="F690" s="3" t="str">
        <f ca="1">IFERROR(__xludf.DUMMYFUNCTION("""COMPUTED_VALUE"""),"https://isport.cz, https://sportrevue.cz")</f>
        <v>https://isport.cz, https://sportrevue.cz</v>
      </c>
      <c r="G690" s="3" t="str">
        <f ca="1">IFERROR(__xludf.DUMMYFUNCTION("""COMPUTED_VALUE"""),"cílený outstream high season")</f>
        <v>cílený outstream high season</v>
      </c>
      <c r="H690" s="3">
        <f ca="1">IFERROR(__xludf.DUMMYFUNCTION("""COMPUTED_VALUE"""),7)</f>
        <v>7</v>
      </c>
      <c r="I690" s="5">
        <f ca="1">IFERROR(__xludf.DUMMYFUNCTION("""COMPUTED_VALUE"""),1000)</f>
        <v>1000</v>
      </c>
      <c r="J690" s="5">
        <f ca="1">IFERROR(__xludf.DUMMYFUNCTION("""COMPUTED_VALUE"""),780)</f>
        <v>780</v>
      </c>
      <c r="K690" s="3"/>
      <c r="L690" s="3" t="str">
        <f ca="1">IFERROR(__xludf.DUMMYFUNCTION("""COMPUTED_VALUE"""),"Cost per period")</f>
        <v>Cost per period</v>
      </c>
      <c r="M690" s="3"/>
      <c r="N690" s="3"/>
      <c r="O690" s="3" t="str">
        <f ca="1">IFERROR(__xludf.DUMMYFUNCTION("""COMPUTED_VALUE"""),"1280")</f>
        <v>1280</v>
      </c>
      <c r="P690" s="3" t="str">
        <f ca="1">IFERROR(__xludf.DUMMYFUNCTION("""COMPUTED_VALUE"""),"720")</f>
        <v>720</v>
      </c>
      <c r="Q690" s="3" t="str">
        <f ca="1">IFERROR(__xludf.DUMMYFUNCTION("""COMPUTED_VALUE"""),"16:9")</f>
        <v>16:9</v>
      </c>
      <c r="R690" s="3"/>
      <c r="S690" s="3" t="str">
        <f ca="1">IFERROR(__xludf.DUMMYFUNCTION("""COMPUTED_VALUE"""),"100")</f>
        <v>100</v>
      </c>
      <c r="T690" s="3"/>
      <c r="U690" s="3" t="str">
        <f ca="1">IFERROR(__xludf.DUMMYFUNCTION("""COMPUTED_VALUE"""),"videospot")</f>
        <v>videospot</v>
      </c>
      <c r="V690" s="3"/>
      <c r="W690" s="4" t="str">
        <f ca="1">IFERROR(__xludf.DUMMYFUNCTION("""COMPUTED_VALUE"""),"https://reklama.cncenter.cz/Online/Outstream")</f>
        <v>https://reklama.cncenter.cz/Online/Outstream</v>
      </c>
      <c r="X690" s="3"/>
      <c r="Y690" s="3"/>
      <c r="Z690" s="3" t="str">
        <f ca="1">IFERROR(__xludf.DUMMYFUNCTION("""COMPUTED_VALUE"""),"podklady@cncenter.cz")</f>
        <v>podklady@cncenter.cz</v>
      </c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 t="str">
        <f ca="1">IFERROR(__xludf.DUMMYFUNCTION("""COMPUTED_VALUE"""),"cross-device")</f>
        <v>cross-device</v>
      </c>
      <c r="AO690" s="3"/>
      <c r="AP690" s="3"/>
      <c r="AQ690" s="3"/>
      <c r="AR690" s="3"/>
      <c r="AS690" s="3"/>
      <c r="AT690" s="3"/>
      <c r="AU690" s="3" t="str">
        <f ca="1">IFERROR(__xludf.DUMMYFUNCTION("""COMPUTED_VALUE"""),"cílený outstream")</f>
        <v>cílený outstream</v>
      </c>
    </row>
    <row r="691" spans="1:47" x14ac:dyDescent="0.3">
      <c r="A691" s="3">
        <f ca="1"/>
        <v>2346826</v>
      </c>
      <c r="B691" s="3" t="str">
        <f ca="1"/>
        <v>CZECH NEWS CENTER a. s.</v>
      </c>
      <c r="C691" s="3" t="str">
        <f ca="1">IFERROR(__xludf.DUMMYFUNCTION("""COMPUTED_VALUE"""),"iSport")</f>
        <v>iSport</v>
      </c>
      <c r="D691" s="3" t="str">
        <f ca="1">IFERROR(__xludf.DUMMYFUNCTION("""COMPUTED_VALUE"""),"https://isport.cz, https://sportrevue.cz")</f>
        <v>https://isport.cz, https://sportrevue.cz</v>
      </c>
      <c r="E691" s="3" t="str">
        <f ca="1">IFERROR(__xludf.DUMMYFUNCTION("""COMPUTED_VALUE"""),"celý web")</f>
        <v>celý web</v>
      </c>
      <c r="F691" s="3" t="str">
        <f ca="1">IFERROR(__xludf.DUMMYFUNCTION("""COMPUTED_VALUE"""),"https://isport.cz, https://sportrevue.cz")</f>
        <v>https://isport.cz, https://sportrevue.cz</v>
      </c>
      <c r="G691" s="3" t="str">
        <f ca="1">IFERROR(__xludf.DUMMYFUNCTION("""COMPUTED_VALUE"""),"cílený videospot - max. 30 sec. / bumper high season")</f>
        <v>cílený videospot - max. 30 sec. / bumper high season</v>
      </c>
      <c r="H691" s="3">
        <f ca="1">IFERROR(__xludf.DUMMYFUNCTION("""COMPUTED_VALUE"""),7)</f>
        <v>7</v>
      </c>
      <c r="I691" s="5">
        <f ca="1">IFERROR(__xludf.DUMMYFUNCTION("""COMPUTED_VALUE"""),1000)</f>
        <v>1000</v>
      </c>
      <c r="J691" s="5">
        <f ca="1">IFERROR(__xludf.DUMMYFUNCTION("""COMPUTED_VALUE"""),1800)</f>
        <v>1800</v>
      </c>
      <c r="K691" s="3"/>
      <c r="L691" s="3" t="str">
        <f ca="1">IFERROR(__xludf.DUMMYFUNCTION("""COMPUTED_VALUE"""),"Cost per period")</f>
        <v>Cost per period</v>
      </c>
      <c r="M691" s="3"/>
      <c r="N691" s="3"/>
      <c r="O691" s="3" t="str">
        <f ca="1">IFERROR(__xludf.DUMMYFUNCTION("""COMPUTED_VALUE"""),"1280")</f>
        <v>1280</v>
      </c>
      <c r="P691" s="3" t="str">
        <f ca="1">IFERROR(__xludf.DUMMYFUNCTION("""COMPUTED_VALUE"""),"720")</f>
        <v>720</v>
      </c>
      <c r="Q691" s="3" t="str">
        <f ca="1">IFERROR(__xludf.DUMMYFUNCTION("""COMPUTED_VALUE"""),"16:9 / umístění po domluvě dle možností")</f>
        <v>16:9 / umístění po domluvě dle možností</v>
      </c>
      <c r="R691" s="3" t="str">
        <f ca="1">IFERROR(__xludf.DUMMYFUNCTION("""COMPUTED_VALUE"""),"přeskočení po 7 sekundách")</f>
        <v>přeskočení po 7 sekundách</v>
      </c>
      <c r="S691" s="3" t="str">
        <f ca="1">IFERROR(__xludf.DUMMYFUNCTION("""COMPUTED_VALUE"""),"100")</f>
        <v>100</v>
      </c>
      <c r="T691" s="3"/>
      <c r="U691" s="3" t="str">
        <f ca="1">IFERROR(__xludf.DUMMYFUNCTION("""COMPUTED_VALUE"""),"videospot")</f>
        <v>videospot</v>
      </c>
      <c r="V691" s="3"/>
      <c r="W691" s="4" t="str">
        <f ca="1">IFERROR(__xludf.DUMMYFUNCTION("""COMPUTED_VALUE"""),"https://reklama.cncenter.cz/Online/Bumper")</f>
        <v>https://reklama.cncenter.cz/Online/Bumper</v>
      </c>
      <c r="X691" s="3"/>
      <c r="Y691" s="3"/>
      <c r="Z691" s="3" t="str">
        <f ca="1">IFERROR(__xludf.DUMMYFUNCTION("""COMPUTED_VALUE"""),"podklady@cncenter.cz")</f>
        <v>podklady@cncenter.cz</v>
      </c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 t="str">
        <f ca="1">IFERROR(__xludf.DUMMYFUNCTION("""COMPUTED_VALUE"""),"cross-device")</f>
        <v>cross-device</v>
      </c>
      <c r="AO691" s="3"/>
      <c r="AP691" s="3"/>
      <c r="AQ691" s="3"/>
      <c r="AR691" s="3"/>
      <c r="AS691" s="3"/>
      <c r="AT691" s="3"/>
      <c r="AU691" s="3" t="str">
        <f ca="1">IFERROR(__xludf.DUMMYFUNCTION("""COMPUTED_VALUE"""),"cílený videospot - max. 30 sec. / bumper")</f>
        <v>cílený videospot - max. 30 sec. / bumper</v>
      </c>
    </row>
    <row r="692" spans="1:47" x14ac:dyDescent="0.3">
      <c r="A692" s="3">
        <f ca="1"/>
        <v>2346826</v>
      </c>
      <c r="B692" s="3" t="str">
        <f ca="1"/>
        <v>CZECH NEWS CENTER a. s.</v>
      </c>
      <c r="C692" s="3" t="str">
        <f ca="1">IFERROR(__xludf.DUMMYFUNCTION("""COMPUTED_VALUE"""),"iSport")</f>
        <v>iSport</v>
      </c>
      <c r="D692" s="3" t="str">
        <f ca="1">IFERROR(__xludf.DUMMYFUNCTION("""COMPUTED_VALUE"""),"https://isport.cz, https://sportrevue.cz")</f>
        <v>https://isport.cz, https://sportrevue.cz</v>
      </c>
      <c r="E692" s="3" t="str">
        <f ca="1">IFERROR(__xludf.DUMMYFUNCTION("""COMPUTED_VALUE"""),"celý web")</f>
        <v>celý web</v>
      </c>
      <c r="F692" s="3" t="str">
        <f ca="1">IFERROR(__xludf.DUMMYFUNCTION("""COMPUTED_VALUE"""),"https://isport.cz, https://sportrevue.cz")</f>
        <v>https://isport.cz, https://sportrevue.cz</v>
      </c>
      <c r="G692" s="3" t="str">
        <f ca="1">IFERROR(__xludf.DUMMYFUNCTION("""COMPUTED_VALUE"""),"dokoupení proma o 2 týdny - 10 000 PV *** high season")</f>
        <v>dokoupení proma o 2 týdny - 10 000 PV *** high season</v>
      </c>
      <c r="H692" s="3">
        <f ca="1">IFERROR(__xludf.DUMMYFUNCTION("""COMPUTED_VALUE"""),1)</f>
        <v>1</v>
      </c>
      <c r="I692" s="5">
        <f ca="1">IFERROR(__xludf.DUMMYFUNCTION("""COMPUTED_VALUE"""),1)</f>
        <v>1</v>
      </c>
      <c r="J692" s="5">
        <f ca="1">IFERROR(__xludf.DUMMYFUNCTION("""COMPUTED_VALUE"""),60000)</f>
        <v>60000</v>
      </c>
      <c r="K692" s="3"/>
      <c r="L692" s="3" t="str">
        <f ca="1">IFERROR(__xludf.DUMMYFUNCTION("""COMPUTED_VALUE"""),"Cost per instance")</f>
        <v>Cost per instance</v>
      </c>
      <c r="M692" s="3"/>
      <c r="N692" s="3"/>
      <c r="O692" s="3"/>
      <c r="P692" s="3"/>
      <c r="Q692" s="3"/>
      <c r="R692" s="3"/>
      <c r="S692" s="3" t="str">
        <f ca="1">IFERROR(__xludf.DUMMYFUNCTION("""COMPUTED_VALUE"""),"100")</f>
        <v>100</v>
      </c>
      <c r="T692" s="3"/>
      <c r="U692" s="3" t="str">
        <f ca="1">IFERROR(__xludf.DUMMYFUNCTION("""COMPUTED_VALUE"""),"microsite")</f>
        <v>microsite</v>
      </c>
      <c r="V692" s="3"/>
      <c r="W692" s="3"/>
      <c r="X692" s="3"/>
      <c r="Y692" s="3"/>
      <c r="Z692" s="3" t="str">
        <f ca="1">IFERROR(__xludf.DUMMYFUNCTION("""COMPUTED_VALUE"""),"podklady@cncenter.cz")</f>
        <v>podklady@cncenter.cz</v>
      </c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 t="str">
        <f ca="1">IFERROR(__xludf.DUMMYFUNCTION("""COMPUTED_VALUE"""),"cross-device")</f>
        <v>cross-device</v>
      </c>
      <c r="AO692" s="3"/>
      <c r="AP692" s="3"/>
      <c r="AQ692" s="3"/>
      <c r="AR692" s="3"/>
      <c r="AS692" s="3"/>
      <c r="AT692" s="3"/>
      <c r="AU692" s="3" t="str">
        <f ca="1">IFERROR(__xludf.DUMMYFUNCTION("""COMPUTED_VALUE"""),"dokoupení proma o 2 týdny - 10 000 PV ***")</f>
        <v>dokoupení proma o 2 týdny - 10 000 PV ***</v>
      </c>
    </row>
    <row r="693" spans="1:47" x14ac:dyDescent="0.3">
      <c r="A693" s="3">
        <f ca="1"/>
        <v>2346826</v>
      </c>
      <c r="B693" s="3" t="str">
        <f ca="1"/>
        <v>CZECH NEWS CENTER a. s.</v>
      </c>
      <c r="C693" s="3" t="str">
        <f ca="1">IFERROR(__xludf.DUMMYFUNCTION("""COMPUTED_VALUE"""),"iSport")</f>
        <v>iSport</v>
      </c>
      <c r="D693" s="3" t="str">
        <f ca="1">IFERROR(__xludf.DUMMYFUNCTION("""COMPUTED_VALUE"""),"https://isport.cz, https://sportrevue.cz")</f>
        <v>https://isport.cz, https://sportrevue.cz</v>
      </c>
      <c r="E693" s="3" t="str">
        <f ca="1">IFERROR(__xludf.DUMMYFUNCTION("""COMPUTED_VALUE"""),"celý web")</f>
        <v>celý web</v>
      </c>
      <c r="F693" s="3" t="str">
        <f ca="1">IFERROR(__xludf.DUMMYFUNCTION("""COMPUTED_VALUE"""),"https://isport.cz, https://sportrevue.cz")</f>
        <v>https://isport.cz, https://sportrevue.cz</v>
      </c>
      <c r="G693" s="3" t="str">
        <f ca="1">IFERROR(__xludf.DUMMYFUNCTION("""COMPUTED_VALUE"""),"double skyscraper high season")</f>
        <v>double skyscraper high season</v>
      </c>
      <c r="H693" s="3">
        <f ca="1">IFERROR(__xludf.DUMMYFUNCTION("""COMPUTED_VALUE"""),7)</f>
        <v>7</v>
      </c>
      <c r="I693" s="5">
        <f ca="1">IFERROR(__xludf.DUMMYFUNCTION("""COMPUTED_VALUE"""),1000)</f>
        <v>1000</v>
      </c>
      <c r="J693" s="5">
        <f ca="1">IFERROR(__xludf.DUMMYFUNCTION("""COMPUTED_VALUE"""),540)</f>
        <v>540</v>
      </c>
      <c r="K693" s="3"/>
      <c r="L693" s="3" t="str">
        <f ca="1">IFERROR(__xludf.DUMMYFUNCTION("""COMPUTED_VALUE"""),"Cost per period")</f>
        <v>Cost per period</v>
      </c>
      <c r="M693" s="3"/>
      <c r="N693" s="3"/>
      <c r="O693" s="3" t="str">
        <f ca="1">IFERROR(__xludf.DUMMYFUNCTION("""COMPUTED_VALUE"""),"300")</f>
        <v>300</v>
      </c>
      <c r="P693" s="3" t="str">
        <f ca="1">IFERROR(__xludf.DUMMYFUNCTION("""COMPUTED_VALUE"""),"600")</f>
        <v>600</v>
      </c>
      <c r="Q693" s="3" t="str">
        <f ca="1">IFERROR(__xludf.DUMMYFUNCTION("""COMPUTED_VALUE"""),"300x600")</f>
        <v>300x600</v>
      </c>
      <c r="R693" s="3"/>
      <c r="S693" s="3" t="str">
        <f ca="1">IFERROR(__xludf.DUMMYFUNCTION("""COMPUTED_VALUE"""),"100 (200 - HTML5)")</f>
        <v>100 (200 - HTML5)</v>
      </c>
      <c r="T693" s="3"/>
      <c r="U693" s="3" t="str">
        <f ca="1">IFERROR(__xludf.DUMMYFUNCTION("""COMPUTED_VALUE"""),"banner standard")</f>
        <v>banner standard</v>
      </c>
      <c r="V693" s="3"/>
      <c r="W693" s="4" t="str">
        <f ca="1">IFERROR(__xludf.DUMMYFUNCTION("""COMPUTED_VALUE"""),"https://reklama.cncenter.cz/Online/double-skyscraper")</f>
        <v>https://reklama.cncenter.cz/Online/double-skyscraper</v>
      </c>
      <c r="X693" s="3"/>
      <c r="Y693" s="3"/>
      <c r="Z693" s="3" t="str">
        <f ca="1">IFERROR(__xludf.DUMMYFUNCTION("""COMPUTED_VALUE"""),"podklady@cncenter.cz")</f>
        <v>podklady@cncenter.cz</v>
      </c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 t="str">
        <f ca="1">IFERROR(__xludf.DUMMYFUNCTION("""COMPUTED_VALUE"""),"desktop")</f>
        <v>desktop</v>
      </c>
      <c r="AO693" s="3"/>
      <c r="AP693" s="3"/>
      <c r="AQ693" s="3"/>
      <c r="AR693" s="3"/>
      <c r="AS693" s="3"/>
      <c r="AT693" s="3"/>
      <c r="AU693" s="3" t="str">
        <f ca="1">IFERROR(__xludf.DUMMYFUNCTION("""COMPUTED_VALUE"""),"double skyscraper")</f>
        <v>double skyscraper</v>
      </c>
    </row>
    <row r="694" spans="1:47" x14ac:dyDescent="0.3">
      <c r="A694" s="3">
        <f ca="1"/>
        <v>2346826</v>
      </c>
      <c r="B694" s="3" t="str">
        <f ca="1"/>
        <v>CZECH NEWS CENTER a. s.</v>
      </c>
      <c r="C694" s="3" t="str">
        <f ca="1">IFERROR(__xludf.DUMMYFUNCTION("""COMPUTED_VALUE"""),"iSport")</f>
        <v>iSport</v>
      </c>
      <c r="D694" s="3" t="str">
        <f ca="1">IFERROR(__xludf.DUMMYFUNCTION("""COMPUTED_VALUE"""),"https://isport.cz, https://sportrevue.cz")</f>
        <v>https://isport.cz, https://sportrevue.cz</v>
      </c>
      <c r="E694" s="3" t="str">
        <f ca="1">IFERROR(__xludf.DUMMYFUNCTION("""COMPUTED_VALUE"""),"celý web")</f>
        <v>celý web</v>
      </c>
      <c r="F694" s="3" t="str">
        <f ca="1">IFERROR(__xludf.DUMMYFUNCTION("""COMPUTED_VALUE"""),"https://isport.cz, https://sportrevue.cz")</f>
        <v>https://isport.cz, https://sportrevue.cz</v>
      </c>
      <c r="G694" s="3" t="str">
        <f ca="1">IFERROR(__xludf.DUMMYFUNCTION("""COMPUTED_VALUE"""),"mini videospot - max. 30 sec. high season")</f>
        <v>mini videospot - max. 30 sec. high season</v>
      </c>
      <c r="H694" s="3">
        <f ca="1">IFERROR(__xludf.DUMMYFUNCTION("""COMPUTED_VALUE"""),7)</f>
        <v>7</v>
      </c>
      <c r="I694" s="5">
        <f ca="1">IFERROR(__xludf.DUMMYFUNCTION("""COMPUTED_VALUE"""),1000)</f>
        <v>1000</v>
      </c>
      <c r="J694" s="5">
        <f ca="1">IFERROR(__xludf.DUMMYFUNCTION("""COMPUTED_VALUE"""),400)</f>
        <v>400</v>
      </c>
      <c r="K694" s="3"/>
      <c r="L694" s="3" t="str">
        <f ca="1">IFERROR(__xludf.DUMMYFUNCTION("""COMPUTED_VALUE"""),"Cost per period")</f>
        <v>Cost per period</v>
      </c>
      <c r="M694" s="3"/>
      <c r="N694" s="3"/>
      <c r="O694" s="3"/>
      <c r="P694" s="3"/>
      <c r="Q694" s="3" t="str">
        <f ca="1">IFERROR(__xludf.DUMMYFUNCTION("""COMPUTED_VALUE"""),"16:9 / umístění po domluvě dle možností")</f>
        <v>16:9 / umístění po domluvě dle možností</v>
      </c>
      <c r="R694" s="3" t="str">
        <f ca="1">IFERROR(__xludf.DUMMYFUNCTION("""COMPUTED_VALUE"""),"přeskočení po 7 sekundách")</f>
        <v>přeskočení po 7 sekundách</v>
      </c>
      <c r="S694" s="3" t="str">
        <f ca="1">IFERROR(__xludf.DUMMYFUNCTION("""COMPUTED_VALUE"""),"100")</f>
        <v>100</v>
      </c>
      <c r="T694" s="3"/>
      <c r="U694" s="3" t="str">
        <f ca="1">IFERROR(__xludf.DUMMYFUNCTION("""COMPUTED_VALUE"""),"videospot")</f>
        <v>videospot</v>
      </c>
      <c r="V694" s="3"/>
      <c r="W694" s="4" t="str">
        <f ca="1">IFERROR(__xludf.DUMMYFUNCTION("""COMPUTED_VALUE"""),"https://reklama.cncenter.cz/Online/Videospot")</f>
        <v>https://reklama.cncenter.cz/Online/Videospot</v>
      </c>
      <c r="X694" s="3"/>
      <c r="Y694" s="3"/>
      <c r="Z694" s="3" t="str">
        <f ca="1">IFERROR(__xludf.DUMMYFUNCTION("""COMPUTED_VALUE"""),"podklady@cncenter.cz")</f>
        <v>podklady@cncenter.cz</v>
      </c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 t="str">
        <f ca="1">IFERROR(__xludf.DUMMYFUNCTION("""COMPUTED_VALUE"""),"desktop")</f>
        <v>desktop</v>
      </c>
      <c r="AO694" s="3"/>
      <c r="AP694" s="3"/>
      <c r="AQ694" s="3"/>
      <c r="AR694" s="3"/>
      <c r="AS694" s="3"/>
      <c r="AT694" s="3"/>
      <c r="AU694" s="3" t="str">
        <f ca="1">IFERROR(__xludf.DUMMYFUNCTION("""COMPUTED_VALUE"""),"mini videospot - max. 30 sec.")</f>
        <v>mini videospot - max. 30 sec.</v>
      </c>
    </row>
    <row r="695" spans="1:47" x14ac:dyDescent="0.3">
      <c r="A695" s="3">
        <f ca="1"/>
        <v>2346826</v>
      </c>
      <c r="B695" s="3" t="str">
        <f ca="1"/>
        <v>CZECH NEWS CENTER a. s.</v>
      </c>
      <c r="C695" s="3" t="str">
        <f ca="1">IFERROR(__xludf.DUMMYFUNCTION("""COMPUTED_VALUE"""),"iSport")</f>
        <v>iSport</v>
      </c>
      <c r="D695" s="3" t="str">
        <f ca="1">IFERROR(__xludf.DUMMYFUNCTION("""COMPUTED_VALUE"""),"https://isport.cz, https://sportrevue.cz")</f>
        <v>https://isport.cz, https://sportrevue.cz</v>
      </c>
      <c r="E695" s="3" t="str">
        <f ca="1">IFERROR(__xludf.DUMMYFUNCTION("""COMPUTED_VALUE"""),"celý web")</f>
        <v>celý web</v>
      </c>
      <c r="F695" s="3" t="str">
        <f ca="1">IFERROR(__xludf.DUMMYFUNCTION("""COMPUTED_VALUE"""),"https://isport.cz, https://sportrevue.cz")</f>
        <v>https://isport.cz, https://sportrevue.cz</v>
      </c>
      <c r="G695" s="3" t="str">
        <f ca="1">IFERROR(__xludf.DUMMYFUNCTION("""COMPUTED_VALUE"""),"mobilní interscroller high season")</f>
        <v>mobilní interscroller high season</v>
      </c>
      <c r="H695" s="3">
        <f ca="1">IFERROR(__xludf.DUMMYFUNCTION("""COMPUTED_VALUE"""),7)</f>
        <v>7</v>
      </c>
      <c r="I695" s="5">
        <f ca="1">IFERROR(__xludf.DUMMYFUNCTION("""COMPUTED_VALUE"""),1000)</f>
        <v>1000</v>
      </c>
      <c r="J695" s="5">
        <f ca="1">IFERROR(__xludf.DUMMYFUNCTION("""COMPUTED_VALUE"""),720)</f>
        <v>720</v>
      </c>
      <c r="K695" s="3"/>
      <c r="L695" s="3" t="str">
        <f ca="1">IFERROR(__xludf.DUMMYFUNCTION("""COMPUTED_VALUE"""),"Cost per period")</f>
        <v>Cost per period</v>
      </c>
      <c r="M695" s="3"/>
      <c r="N695" s="3"/>
      <c r="O695" s="3" t="str">
        <f ca="1">IFERROR(__xludf.DUMMYFUNCTION("""COMPUTED_VALUE"""),"600")</f>
        <v>600</v>
      </c>
      <c r="P695" s="3" t="str">
        <f ca="1">IFERROR(__xludf.DUMMYFUNCTION("""COMPUTED_VALUE"""),"1080")</f>
        <v>1080</v>
      </c>
      <c r="Q695" s="3" t="str">
        <f ca="1">IFERROR(__xludf.DUMMYFUNCTION("""COMPUTED_VALUE"""),"600x1080")</f>
        <v>600x1080</v>
      </c>
      <c r="R695" s="3"/>
      <c r="S695" s="3" t="str">
        <f ca="1">IFERROR(__xludf.DUMMYFUNCTION("""COMPUTED_VALUE"""),"200")</f>
        <v>200</v>
      </c>
      <c r="T695" s="3"/>
      <c r="U695" s="3" t="str">
        <f ca="1">IFERROR(__xludf.DUMMYFUNCTION("""COMPUTED_VALUE"""),"banner standard")</f>
        <v>banner standard</v>
      </c>
      <c r="V695" s="3"/>
      <c r="W695" s="4" t="str">
        <f ca="1">IFERROR(__xludf.DUMMYFUNCTION("""COMPUTED_VALUE"""),"https://reklama.cncenter.cz/Online/mobilni-interscroller")</f>
        <v>https://reklama.cncenter.cz/Online/mobilni-interscroller</v>
      </c>
      <c r="X695" s="3"/>
      <c r="Y695" s="3"/>
      <c r="Z695" s="3" t="str">
        <f ca="1">IFERROR(__xludf.DUMMYFUNCTION("""COMPUTED_VALUE"""),"podklady@cncenter.cz")</f>
        <v>podklady@cncenter.cz</v>
      </c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 t="str">
        <f ca="1">IFERROR(__xludf.DUMMYFUNCTION("""COMPUTED_VALUE"""),"mobile")</f>
        <v>mobile</v>
      </c>
      <c r="AO695" s="3"/>
      <c r="AP695" s="3"/>
      <c r="AQ695" s="3"/>
      <c r="AR695" s="3"/>
      <c r="AS695" s="3"/>
      <c r="AT695" s="3"/>
      <c r="AU695" s="3" t="str">
        <f ca="1">IFERROR(__xludf.DUMMYFUNCTION("""COMPUTED_VALUE"""),"mobilní interscroller")</f>
        <v>mobilní interscroller</v>
      </c>
    </row>
    <row r="696" spans="1:47" x14ac:dyDescent="0.3">
      <c r="A696" s="3">
        <f ca="1"/>
        <v>2346826</v>
      </c>
      <c r="B696" s="3" t="str">
        <f ca="1"/>
        <v>CZECH NEWS CENTER a. s.</v>
      </c>
      <c r="C696" s="3" t="str">
        <f ca="1">IFERROR(__xludf.DUMMYFUNCTION("""COMPUTED_VALUE"""),"iSport")</f>
        <v>iSport</v>
      </c>
      <c r="D696" s="3" t="str">
        <f ca="1">IFERROR(__xludf.DUMMYFUNCTION("""COMPUTED_VALUE"""),"https://isport.cz, https://sportrevue.cz")</f>
        <v>https://isport.cz, https://sportrevue.cz</v>
      </c>
      <c r="E696" s="3" t="str">
        <f ca="1">IFERROR(__xludf.DUMMYFUNCTION("""COMPUTED_VALUE"""),"celý web")</f>
        <v>celý web</v>
      </c>
      <c r="F696" s="3" t="str">
        <f ca="1">IFERROR(__xludf.DUMMYFUNCTION("""COMPUTED_VALUE"""),"https://isport.cz, https://sportrevue.cz")</f>
        <v>https://isport.cz, https://sportrevue.cz</v>
      </c>
      <c r="G696" s="3" t="str">
        <f ca="1">IFERROR(__xludf.DUMMYFUNCTION("""COMPUTED_VALUE"""),"mobilní slide-up high season")</f>
        <v>mobilní slide-up high season</v>
      </c>
      <c r="H696" s="3">
        <f ca="1">IFERROR(__xludf.DUMMYFUNCTION("""COMPUTED_VALUE"""),7)</f>
        <v>7</v>
      </c>
      <c r="I696" s="5">
        <f ca="1">IFERROR(__xludf.DUMMYFUNCTION("""COMPUTED_VALUE"""),1000)</f>
        <v>1000</v>
      </c>
      <c r="J696" s="5">
        <f ca="1">IFERROR(__xludf.DUMMYFUNCTION("""COMPUTED_VALUE"""),1190)</f>
        <v>1190</v>
      </c>
      <c r="K696" s="3"/>
      <c r="L696" s="3" t="str">
        <f ca="1">IFERROR(__xludf.DUMMYFUNCTION("""COMPUTED_VALUE"""),"Cost per period")</f>
        <v>Cost per period</v>
      </c>
      <c r="M696" s="3"/>
      <c r="N696" s="3"/>
      <c r="O696" s="3" t="str">
        <f ca="1">IFERROR(__xludf.DUMMYFUNCTION("""COMPUTED_VALUE"""),"300")</f>
        <v>300</v>
      </c>
      <c r="P696" s="3" t="str">
        <f ca="1">IFERROR(__xludf.DUMMYFUNCTION("""COMPUTED_VALUE"""),"120")</f>
        <v>120</v>
      </c>
      <c r="Q696" s="3" t="str">
        <f ca="1">IFERROR(__xludf.DUMMYFUNCTION("""COMPUTED_VALUE"""),"300x120")</f>
        <v>300x120</v>
      </c>
      <c r="R696" s="3"/>
      <c r="S696" s="3" t="str">
        <f ca="1">IFERROR(__xludf.DUMMYFUNCTION("""COMPUTED_VALUE"""),"100")</f>
        <v>100</v>
      </c>
      <c r="T696" s="3"/>
      <c r="U696" s="3" t="str">
        <f ca="1">IFERROR(__xludf.DUMMYFUNCTION("""COMPUTED_VALUE"""),"banner standard")</f>
        <v>banner standard</v>
      </c>
      <c r="V696" s="3"/>
      <c r="W696" s="4" t="str">
        <f ca="1">IFERROR(__xludf.DUMMYFUNCTION("""COMPUTED_VALUE"""),"https://reklama.cncenter.cz/Online/mobilni-slide-up")</f>
        <v>https://reklama.cncenter.cz/Online/mobilni-slide-up</v>
      </c>
      <c r="X696" s="3"/>
      <c r="Y696" s="3"/>
      <c r="Z696" s="3" t="str">
        <f ca="1">IFERROR(__xludf.DUMMYFUNCTION("""COMPUTED_VALUE"""),"podklady@cncenter.cz")</f>
        <v>podklady@cncenter.cz</v>
      </c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 t="str">
        <f ca="1">IFERROR(__xludf.DUMMYFUNCTION("""COMPUTED_VALUE"""),"mobile")</f>
        <v>mobile</v>
      </c>
      <c r="AO696" s="3"/>
      <c r="AP696" s="3"/>
      <c r="AQ696" s="3"/>
      <c r="AR696" s="3"/>
      <c r="AS696" s="3"/>
      <c r="AT696" s="3"/>
      <c r="AU696" s="3" t="str">
        <f ca="1">IFERROR(__xludf.DUMMYFUNCTION("""COMPUTED_VALUE"""),"mobilní slide-up")</f>
        <v>mobilní slide-up</v>
      </c>
    </row>
    <row r="697" spans="1:47" x14ac:dyDescent="0.3">
      <c r="A697" s="3">
        <f ca="1"/>
        <v>2346826</v>
      </c>
      <c r="B697" s="3" t="str">
        <f ca="1"/>
        <v>CZECH NEWS CENTER a. s.</v>
      </c>
      <c r="C697" s="3" t="str">
        <f ca="1">IFERROR(__xludf.DUMMYFUNCTION("""COMPUTED_VALUE"""),"iSport")</f>
        <v>iSport</v>
      </c>
      <c r="D697" s="3" t="str">
        <f ca="1">IFERROR(__xludf.DUMMYFUNCTION("""COMPUTED_VALUE"""),"https://isport.cz, https://sportrevue.cz")</f>
        <v>https://isport.cz, https://sportrevue.cz</v>
      </c>
      <c r="E697" s="3" t="str">
        <f ca="1">IFERROR(__xludf.DUMMYFUNCTION("""COMPUTED_VALUE"""),"celý web")</f>
        <v>celý web</v>
      </c>
      <c r="F697" s="3" t="str">
        <f ca="1">IFERROR(__xludf.DUMMYFUNCTION("""COMPUTED_VALUE"""),"https://isport.cz, https://sportrevue.cz")</f>
        <v>https://isport.cz, https://sportrevue.cz</v>
      </c>
      <c r="G697" s="3" t="str">
        <f ca="1">IFERROR(__xludf.DUMMYFUNCTION("""COMPUTED_VALUE"""),"mobilní viněta high season")</f>
        <v>mobilní viněta high season</v>
      </c>
      <c r="H697" s="3">
        <f ca="1">IFERROR(__xludf.DUMMYFUNCTION("""COMPUTED_VALUE"""),7)</f>
        <v>7</v>
      </c>
      <c r="I697" s="5">
        <f ca="1">IFERROR(__xludf.DUMMYFUNCTION("""COMPUTED_VALUE"""),1000)</f>
        <v>1000</v>
      </c>
      <c r="J697" s="5">
        <f ca="1">IFERROR(__xludf.DUMMYFUNCTION("""COMPUTED_VALUE"""),1590)</f>
        <v>1590</v>
      </c>
      <c r="K697" s="3"/>
      <c r="L697" s="3" t="str">
        <f ca="1">IFERROR(__xludf.DUMMYFUNCTION("""COMPUTED_VALUE"""),"Cost per period")</f>
        <v>Cost per period</v>
      </c>
      <c r="M697" s="3"/>
      <c r="N697" s="3"/>
      <c r="O697" s="3" t="str">
        <f ca="1">IFERROR(__xludf.DUMMYFUNCTION("""COMPUTED_VALUE"""),"600")</f>
        <v>600</v>
      </c>
      <c r="P697" s="3" t="str">
        <f ca="1">IFERROR(__xludf.DUMMYFUNCTION("""COMPUTED_VALUE"""),"800")</f>
        <v>800</v>
      </c>
      <c r="Q697" s="3" t="str">
        <f ca="1">IFERROR(__xludf.DUMMYFUNCTION("""COMPUTED_VALUE"""),"300x250 nebo 600x800")</f>
        <v>300x250 nebo 600x800</v>
      </c>
      <c r="R697" s="3"/>
      <c r="S697" s="3" t="str">
        <f ca="1">IFERROR(__xludf.DUMMYFUNCTION("""COMPUTED_VALUE"""),"100")</f>
        <v>100</v>
      </c>
      <c r="T697" s="3"/>
      <c r="U697" s="3" t="str">
        <f ca="1">IFERROR(__xludf.DUMMYFUNCTION("""COMPUTED_VALUE"""),"banner standard")</f>
        <v>banner standard</v>
      </c>
      <c r="V697" s="3"/>
      <c r="W697" s="4" t="str">
        <f ca="1">IFERROR(__xludf.DUMMYFUNCTION("""COMPUTED_VALUE"""),"https://reklama.cncenter.cz/Online/mobilni-vineta")</f>
        <v>https://reklama.cncenter.cz/Online/mobilni-vineta</v>
      </c>
      <c r="X697" s="3"/>
      <c r="Y697" s="3"/>
      <c r="Z697" s="3" t="str">
        <f ca="1">IFERROR(__xludf.DUMMYFUNCTION("""COMPUTED_VALUE"""),"podklady@cncenter.cz")</f>
        <v>podklady@cncenter.cz</v>
      </c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 t="str">
        <f ca="1">IFERROR(__xludf.DUMMYFUNCTION("""COMPUTED_VALUE"""),"mobile")</f>
        <v>mobile</v>
      </c>
      <c r="AO697" s="3"/>
      <c r="AP697" s="3"/>
      <c r="AQ697" s="3"/>
      <c r="AR697" s="3"/>
      <c r="AS697" s="3"/>
      <c r="AT697" s="3"/>
      <c r="AU697" s="3" t="str">
        <f ca="1">IFERROR(__xludf.DUMMYFUNCTION("""COMPUTED_VALUE"""),"mobilní viněta")</f>
        <v>mobilní viněta</v>
      </c>
    </row>
    <row r="698" spans="1:47" x14ac:dyDescent="0.3">
      <c r="A698" s="3">
        <f ca="1"/>
        <v>2346826</v>
      </c>
      <c r="B698" s="3" t="str">
        <f ca="1"/>
        <v>CZECH NEWS CENTER a. s.</v>
      </c>
      <c r="C698" s="3" t="str">
        <f ca="1">IFERROR(__xludf.DUMMYFUNCTION("""COMPUTED_VALUE"""),"iSport")</f>
        <v>iSport</v>
      </c>
      <c r="D698" s="3" t="str">
        <f ca="1">IFERROR(__xludf.DUMMYFUNCTION("""COMPUTED_VALUE"""),"https://isport.cz, https://sportrevue.cz")</f>
        <v>https://isport.cz, https://sportrevue.cz</v>
      </c>
      <c r="E698" s="3" t="str">
        <f ca="1">IFERROR(__xludf.DUMMYFUNCTION("""COMPUTED_VALUE"""),"celý web")</f>
        <v>celý web</v>
      </c>
      <c r="F698" s="3" t="str">
        <f ca="1">IFERROR(__xludf.DUMMYFUNCTION("""COMPUTED_VALUE"""),"https://isport.cz, https://sportrevue.cz")</f>
        <v>https://isport.cz, https://sportrevue.cz</v>
      </c>
      <c r="G698" s="3" t="str">
        <f ca="1">IFERROR(__xludf.DUMMYFUNCTION("""COMPUTED_VALUE"""),"Native Standard high season")</f>
        <v>Native Standard high season</v>
      </c>
      <c r="H698" s="3">
        <f ca="1">IFERROR(__xludf.DUMMYFUNCTION("""COMPUTED_VALUE"""),1)</f>
        <v>1</v>
      </c>
      <c r="I698" s="5">
        <f ca="1">IFERROR(__xludf.DUMMYFUNCTION("""COMPUTED_VALUE"""),1)</f>
        <v>1</v>
      </c>
      <c r="J698" s="5">
        <f ca="1">IFERROR(__xludf.DUMMYFUNCTION("""COMPUTED_VALUE"""),330000)</f>
        <v>330000</v>
      </c>
      <c r="K698" s="3"/>
      <c r="L698" s="3" t="str">
        <f ca="1">IFERROR(__xludf.DUMMYFUNCTION("""COMPUTED_VALUE"""),"Cost per instance")</f>
        <v>Cost per instance</v>
      </c>
      <c r="M698" s="3"/>
      <c r="N698" s="3"/>
      <c r="O698" s="3"/>
      <c r="P698" s="3"/>
      <c r="Q698" s="3"/>
      <c r="R698" s="3"/>
      <c r="S698" s="3" t="str">
        <f ca="1">IFERROR(__xludf.DUMMYFUNCTION("""COMPUTED_VALUE"""),"100")</f>
        <v>100</v>
      </c>
      <c r="T698" s="3"/>
      <c r="U698" s="3" t="str">
        <f ca="1">IFERROR(__xludf.DUMMYFUNCTION("""COMPUTED_VALUE"""),"microsite")</f>
        <v>microsite</v>
      </c>
      <c r="V698" s="3"/>
      <c r="W698" s="3"/>
      <c r="X698" s="3"/>
      <c r="Y698" s="3"/>
      <c r="Z698" s="3" t="str">
        <f ca="1">IFERROR(__xludf.DUMMYFUNCTION("""COMPUTED_VALUE"""),"podklady@cncenter.cz")</f>
        <v>podklady@cncenter.cz</v>
      </c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 t="str">
        <f ca="1">IFERROR(__xludf.DUMMYFUNCTION("""COMPUTED_VALUE"""),"cross-device")</f>
        <v>cross-device</v>
      </c>
      <c r="AO698" s="3"/>
      <c r="AP698" s="3"/>
      <c r="AQ698" s="3"/>
      <c r="AR698" s="3"/>
      <c r="AS698" s="3"/>
      <c r="AT698" s="3"/>
      <c r="AU698" s="3" t="str">
        <f ca="1">IFERROR(__xludf.DUMMYFUNCTION("""COMPUTED_VALUE"""),"Native Standard")</f>
        <v>Native Standard</v>
      </c>
    </row>
    <row r="699" spans="1:47" x14ac:dyDescent="0.3">
      <c r="A699" s="3">
        <f ca="1"/>
        <v>2346826</v>
      </c>
      <c r="B699" s="3" t="str">
        <f ca="1"/>
        <v>CZECH NEWS CENTER a. s.</v>
      </c>
      <c r="C699" s="3" t="str">
        <f ca="1">IFERROR(__xludf.DUMMYFUNCTION("""COMPUTED_VALUE"""),"iSport")</f>
        <v>iSport</v>
      </c>
      <c r="D699" s="3" t="str">
        <f ca="1">IFERROR(__xludf.DUMMYFUNCTION("""COMPUTED_VALUE"""),"https://isport.cz, https://sportrevue.cz")</f>
        <v>https://isport.cz, https://sportrevue.cz</v>
      </c>
      <c r="E699" s="3" t="str">
        <f ca="1">IFERROR(__xludf.DUMMYFUNCTION("""COMPUTED_VALUE"""),"celý web")</f>
        <v>celý web</v>
      </c>
      <c r="F699" s="3" t="str">
        <f ca="1">IFERROR(__xludf.DUMMYFUNCTION("""COMPUTED_VALUE"""),"https://isport.cz, https://sportrevue.cz")</f>
        <v>https://isport.cz, https://sportrevue.cz</v>
      </c>
      <c r="G699" s="3" t="str">
        <f ca="1">IFERROR(__xludf.DUMMYFUNCTION("""COMPUTED_VALUE"""),"nativní rectangle cross-device high season")</f>
        <v>nativní rectangle cross-device high season</v>
      </c>
      <c r="H699" s="3">
        <f ca="1">IFERROR(__xludf.DUMMYFUNCTION("""COMPUTED_VALUE"""),7)</f>
        <v>7</v>
      </c>
      <c r="I699" s="5">
        <f ca="1">IFERROR(__xludf.DUMMYFUNCTION("""COMPUTED_VALUE"""),1000)</f>
        <v>1000</v>
      </c>
      <c r="J699" s="5">
        <f ca="1">IFERROR(__xludf.DUMMYFUNCTION("""COMPUTED_VALUE"""),510)</f>
        <v>510</v>
      </c>
      <c r="K699" s="3"/>
      <c r="L699" s="3" t="str">
        <f ca="1">IFERROR(__xludf.DUMMYFUNCTION("""COMPUTED_VALUE"""),"Cost per period")</f>
        <v>Cost per period</v>
      </c>
      <c r="M699" s="3"/>
      <c r="N699" s="3"/>
      <c r="O699" s="3" t="str">
        <f ca="1">IFERROR(__xludf.DUMMYFUNCTION("""COMPUTED_VALUE"""),"640")</f>
        <v>640</v>
      </c>
      <c r="P699" s="3" t="str">
        <f ca="1">IFERROR(__xludf.DUMMYFUNCTION("""COMPUTED_VALUE"""),"335, 640")</f>
        <v>335, 640</v>
      </c>
      <c r="Q699" s="3" t="str">
        <f ca="1">IFERROR(__xludf.DUMMYFUNCTION("""COMPUTED_VALUE"""),"640x640 a 640x335 + text + logo")</f>
        <v>640x640 a 640x335 + text + logo</v>
      </c>
      <c r="R699" s="3"/>
      <c r="S699" s="3" t="str">
        <f ca="1">IFERROR(__xludf.DUMMYFUNCTION("""COMPUTED_VALUE"""),"45")</f>
        <v>45</v>
      </c>
      <c r="T699" s="3"/>
      <c r="U699" s="3" t="str">
        <f ca="1">IFERROR(__xludf.DUMMYFUNCTION("""COMPUTED_VALUE"""),"nativní reklama")</f>
        <v>nativní reklama</v>
      </c>
      <c r="V699" s="3"/>
      <c r="W699" s="4" t="str">
        <f ca="1">IFERROR(__xludf.DUMMYFUNCTION("""COMPUTED_VALUE"""),"https://reklama.cncenter.cz/Online/nativni-rectangle-cross-device")</f>
        <v>https://reklama.cncenter.cz/Online/nativni-rectangle-cross-device</v>
      </c>
      <c r="X699" s="3"/>
      <c r="Y699" s="3"/>
      <c r="Z699" s="3" t="str">
        <f ca="1">IFERROR(__xludf.DUMMYFUNCTION("""COMPUTED_VALUE"""),"podklady@cncenter.cz")</f>
        <v>podklady@cncenter.cz</v>
      </c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 t="str">
        <f ca="1">IFERROR(__xludf.DUMMYFUNCTION("""COMPUTED_VALUE"""),"cross-device")</f>
        <v>cross-device</v>
      </c>
      <c r="AO699" s="3"/>
      <c r="AP699" s="3"/>
      <c r="AQ699" s="3"/>
      <c r="AR699" s="3"/>
      <c r="AS699" s="3"/>
      <c r="AT699" s="3"/>
      <c r="AU699" s="3" t="str">
        <f ca="1">IFERROR(__xludf.DUMMYFUNCTION("""COMPUTED_VALUE"""),"nativní rectangle cross-device")</f>
        <v>nativní rectangle cross-device</v>
      </c>
    </row>
    <row r="700" spans="1:47" x14ac:dyDescent="0.3">
      <c r="A700" s="3">
        <f ca="1"/>
        <v>2346826</v>
      </c>
      <c r="B700" s="3" t="str">
        <f ca="1"/>
        <v>CZECH NEWS CENTER a. s.</v>
      </c>
      <c r="C700" s="3" t="str">
        <f ca="1">IFERROR(__xludf.DUMMYFUNCTION("""COMPUTED_VALUE"""),"iSport")</f>
        <v>iSport</v>
      </c>
      <c r="D700" s="3" t="str">
        <f ca="1">IFERROR(__xludf.DUMMYFUNCTION("""COMPUTED_VALUE"""),"https://isport.cz, https://sportrevue.cz")</f>
        <v>https://isport.cz, https://sportrevue.cz</v>
      </c>
      <c r="E700" s="3" t="str">
        <f ca="1">IFERROR(__xludf.DUMMYFUNCTION("""COMPUTED_VALUE"""),"celý web")</f>
        <v>celý web</v>
      </c>
      <c r="F700" s="3" t="str">
        <f ca="1">IFERROR(__xludf.DUMMYFUNCTION("""COMPUTED_VALUE"""),"https://isport.cz, https://sportrevue.cz")</f>
        <v>https://isport.cz, https://sportrevue.cz</v>
      </c>
      <c r="G700" s="3" t="str">
        <f ca="1">IFERROR(__xludf.DUMMYFUNCTION("""COMPUTED_VALUE"""),"outstream high season")</f>
        <v>outstream high season</v>
      </c>
      <c r="H700" s="3">
        <f ca="1">IFERROR(__xludf.DUMMYFUNCTION("""COMPUTED_VALUE"""),7)</f>
        <v>7</v>
      </c>
      <c r="I700" s="5">
        <f ca="1">IFERROR(__xludf.DUMMYFUNCTION("""COMPUTED_VALUE"""),1000)</f>
        <v>1000</v>
      </c>
      <c r="J700" s="5">
        <f ca="1">IFERROR(__xludf.DUMMYFUNCTION("""COMPUTED_VALUE"""),650)</f>
        <v>650</v>
      </c>
      <c r="K700" s="3"/>
      <c r="L700" s="3" t="str">
        <f ca="1">IFERROR(__xludf.DUMMYFUNCTION("""COMPUTED_VALUE"""),"Cost per period")</f>
        <v>Cost per period</v>
      </c>
      <c r="M700" s="3"/>
      <c r="N700" s="3"/>
      <c r="O700" s="3" t="str">
        <f ca="1">IFERROR(__xludf.DUMMYFUNCTION("""COMPUTED_VALUE"""),"1280")</f>
        <v>1280</v>
      </c>
      <c r="P700" s="3" t="str">
        <f ca="1">IFERROR(__xludf.DUMMYFUNCTION("""COMPUTED_VALUE"""),"720")</f>
        <v>720</v>
      </c>
      <c r="Q700" s="3" t="str">
        <f ca="1">IFERROR(__xludf.DUMMYFUNCTION("""COMPUTED_VALUE"""),"16:9")</f>
        <v>16:9</v>
      </c>
      <c r="R700" s="3"/>
      <c r="S700" s="3" t="str">
        <f ca="1">IFERROR(__xludf.DUMMYFUNCTION("""COMPUTED_VALUE"""),"100")</f>
        <v>100</v>
      </c>
      <c r="T700" s="3"/>
      <c r="U700" s="3" t="str">
        <f ca="1">IFERROR(__xludf.DUMMYFUNCTION("""COMPUTED_VALUE"""),"videospot")</f>
        <v>videospot</v>
      </c>
      <c r="V700" s="3"/>
      <c r="W700" s="4" t="str">
        <f ca="1">IFERROR(__xludf.DUMMYFUNCTION("""COMPUTED_VALUE"""),"https://reklama.cncenter.cz/Online/Outstream")</f>
        <v>https://reklama.cncenter.cz/Online/Outstream</v>
      </c>
      <c r="X700" s="3"/>
      <c r="Y700" s="3"/>
      <c r="Z700" s="3" t="str">
        <f ca="1">IFERROR(__xludf.DUMMYFUNCTION("""COMPUTED_VALUE"""),"podklady@cncenter.cz")</f>
        <v>podklady@cncenter.cz</v>
      </c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 t="str">
        <f ca="1">IFERROR(__xludf.DUMMYFUNCTION("""COMPUTED_VALUE"""),"cross-device")</f>
        <v>cross-device</v>
      </c>
      <c r="AO700" s="3"/>
      <c r="AP700" s="3"/>
      <c r="AQ700" s="3"/>
      <c r="AR700" s="3"/>
      <c r="AS700" s="3"/>
      <c r="AT700" s="3"/>
      <c r="AU700" s="3" t="str">
        <f ca="1">IFERROR(__xludf.DUMMYFUNCTION("""COMPUTED_VALUE"""),"outstream")</f>
        <v>outstream</v>
      </c>
    </row>
    <row r="701" spans="1:47" x14ac:dyDescent="0.3">
      <c r="A701" s="3">
        <f ca="1"/>
        <v>2346826</v>
      </c>
      <c r="B701" s="3" t="str">
        <f ca="1"/>
        <v>CZECH NEWS CENTER a. s.</v>
      </c>
      <c r="C701" s="3" t="str">
        <f ca="1">IFERROR(__xludf.DUMMYFUNCTION("""COMPUTED_VALUE"""),"iSport")</f>
        <v>iSport</v>
      </c>
      <c r="D701" s="3" t="str">
        <f ca="1">IFERROR(__xludf.DUMMYFUNCTION("""COMPUTED_VALUE"""),"https://isport.cz, https://sportrevue.cz")</f>
        <v>https://isport.cz, https://sportrevue.cz</v>
      </c>
      <c r="E701" s="3" t="str">
        <f ca="1">IFERROR(__xludf.DUMMYFUNCTION("""COMPUTED_VALUE"""),"celý web")</f>
        <v>celý web</v>
      </c>
      <c r="F701" s="3" t="str">
        <f ca="1">IFERROR(__xludf.DUMMYFUNCTION("""COMPUTED_VALUE"""),"https://isport.cz, https://sportrevue.cz")</f>
        <v>https://isport.cz, https://sportrevue.cz</v>
      </c>
      <c r="G701" s="3" t="str">
        <f ca="1">IFERROR(__xludf.DUMMYFUNCTION("""COMPUTED_VALUE"""),"PR článek high season")</f>
        <v>PR článek high season</v>
      </c>
      <c r="H701" s="3">
        <f ca="1">IFERROR(__xludf.DUMMYFUNCTION("""COMPUTED_VALUE"""),1)</f>
        <v>1</v>
      </c>
      <c r="I701" s="5">
        <f ca="1">IFERROR(__xludf.DUMMYFUNCTION("""COMPUTED_VALUE"""),1)</f>
        <v>1</v>
      </c>
      <c r="J701" s="5">
        <f ca="1">IFERROR(__xludf.DUMMYFUNCTION("""COMPUTED_VALUE"""),30000)</f>
        <v>30000</v>
      </c>
      <c r="K701" s="3"/>
      <c r="L701" s="3" t="str">
        <f ca="1">IFERROR(__xludf.DUMMYFUNCTION("""COMPUTED_VALUE"""),"Cost per instance")</f>
        <v>Cost per instance</v>
      </c>
      <c r="M701" s="3"/>
      <c r="N701" s="3"/>
      <c r="O701" s="3"/>
      <c r="P701" s="3"/>
      <c r="Q701" s="3"/>
      <c r="R701" s="3"/>
      <c r="S701" s="3" t="str">
        <f ca="1">IFERROR(__xludf.DUMMYFUNCTION("""COMPUTED_VALUE"""),"100")</f>
        <v>100</v>
      </c>
      <c r="T701" s="3"/>
      <c r="U701" s="3" t="str">
        <f ca="1">IFERROR(__xludf.DUMMYFUNCTION("""COMPUTED_VALUE"""),"pr článek")</f>
        <v>pr článek</v>
      </c>
      <c r="V701" s="3"/>
      <c r="W701" s="4" t="str">
        <f ca="1">IFERROR(__xludf.DUMMYFUNCTION("""COMPUTED_VALUE"""),"https://reklama.cncenter.cz/?ads=PR%2520%25C4%258Dl%25C3%25A1nky")</f>
        <v>https://reklama.cncenter.cz/?ads=PR%2520%25C4%258Dl%25C3%25A1nky</v>
      </c>
      <c r="X701" s="3"/>
      <c r="Y701" s="3"/>
      <c r="Z701" s="3" t="str">
        <f ca="1">IFERROR(__xludf.DUMMYFUNCTION("""COMPUTED_VALUE"""),"podklady@cncenter.cz")</f>
        <v>podklady@cncenter.cz</v>
      </c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 t="str">
        <f ca="1">IFERROR(__xludf.DUMMYFUNCTION("""COMPUTED_VALUE"""),"cross-device")</f>
        <v>cross-device</v>
      </c>
      <c r="AO701" s="3"/>
      <c r="AP701" s="3"/>
      <c r="AQ701" s="3"/>
      <c r="AR701" s="3"/>
      <c r="AS701" s="3"/>
      <c r="AT701" s="3"/>
      <c r="AU701" s="3" t="str">
        <f ca="1">IFERROR(__xludf.DUMMYFUNCTION("""COMPUTED_VALUE"""),"PR článek")</f>
        <v>PR článek</v>
      </c>
    </row>
    <row r="702" spans="1:47" x14ac:dyDescent="0.3">
      <c r="A702" s="3">
        <f ca="1"/>
        <v>2346826</v>
      </c>
      <c r="B702" s="3" t="str">
        <f ca="1"/>
        <v>CZECH NEWS CENTER a. s.</v>
      </c>
      <c r="C702" s="3" t="str">
        <f ca="1">IFERROR(__xludf.DUMMYFUNCTION("""COMPUTED_VALUE"""),"iSport")</f>
        <v>iSport</v>
      </c>
      <c r="D702" s="3" t="str">
        <f ca="1">IFERROR(__xludf.DUMMYFUNCTION("""COMPUTED_VALUE"""),"https://isport.cz, https://sportrevue.cz")</f>
        <v>https://isport.cz, https://sportrevue.cz</v>
      </c>
      <c r="E702" s="3" t="str">
        <f ca="1">IFERROR(__xludf.DUMMYFUNCTION("""COMPUTED_VALUE"""),"celý web")</f>
        <v>celý web</v>
      </c>
      <c r="F702" s="3" t="str">
        <f ca="1">IFERROR(__xludf.DUMMYFUNCTION("""COMPUTED_VALUE"""),"https://isport.cz, https://sportrevue.cz")</f>
        <v>https://isport.cz, https://sportrevue.cz</v>
      </c>
      <c r="G702" s="3" t="str">
        <f ca="1">IFERROR(__xludf.DUMMYFUNCTION("""COMPUTED_VALUE"""),"Prodloužení existující microsite, bez úprav high season")</f>
        <v>Prodloužení existující microsite, bez úprav high season</v>
      </c>
      <c r="H702" s="3">
        <f ca="1">IFERROR(__xludf.DUMMYFUNCTION("""COMPUTED_VALUE"""),1)</f>
        <v>1</v>
      </c>
      <c r="I702" s="5">
        <f ca="1">IFERROR(__xludf.DUMMYFUNCTION("""COMPUTED_VALUE"""),1)</f>
        <v>1</v>
      </c>
      <c r="J702" s="5">
        <f ca="1">IFERROR(__xludf.DUMMYFUNCTION("""COMPUTED_VALUE"""),15000)</f>
        <v>15000</v>
      </c>
      <c r="K702" s="3"/>
      <c r="L702" s="3" t="str">
        <f ca="1">IFERROR(__xludf.DUMMYFUNCTION("""COMPUTED_VALUE"""),"Cost per instance")</f>
        <v>Cost per instance</v>
      </c>
      <c r="M702" s="3"/>
      <c r="N702" s="3"/>
      <c r="O702" s="3"/>
      <c r="P702" s="3"/>
      <c r="Q702" s="3"/>
      <c r="R702" s="3"/>
      <c r="S702" s="3" t="str">
        <f ca="1">IFERROR(__xludf.DUMMYFUNCTION("""COMPUTED_VALUE"""),"100")</f>
        <v>100</v>
      </c>
      <c r="T702" s="3"/>
      <c r="U702" s="3" t="str">
        <f ca="1">IFERROR(__xludf.DUMMYFUNCTION("""COMPUTED_VALUE"""),"microsite")</f>
        <v>microsite</v>
      </c>
      <c r="V702" s="3"/>
      <c r="W702" s="3"/>
      <c r="X702" s="3"/>
      <c r="Y702" s="3"/>
      <c r="Z702" s="3" t="str">
        <f ca="1">IFERROR(__xludf.DUMMYFUNCTION("""COMPUTED_VALUE"""),"podklady@cncenter.cz")</f>
        <v>podklady@cncenter.cz</v>
      </c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 t="str">
        <f ca="1">IFERROR(__xludf.DUMMYFUNCTION("""COMPUTED_VALUE"""),"cross-device")</f>
        <v>cross-device</v>
      </c>
      <c r="AO702" s="3"/>
      <c r="AP702" s="3"/>
      <c r="AQ702" s="3"/>
      <c r="AR702" s="3"/>
      <c r="AS702" s="3"/>
      <c r="AT702" s="3"/>
      <c r="AU702" s="3" t="str">
        <f ca="1">IFERROR(__xludf.DUMMYFUNCTION("""COMPUTED_VALUE"""),"Prodloužení existující microsite, bez úprav")</f>
        <v>Prodloužení existující microsite, bez úprav</v>
      </c>
    </row>
    <row r="703" spans="1:47" x14ac:dyDescent="0.3">
      <c r="A703" s="3">
        <f ca="1"/>
        <v>2346826</v>
      </c>
      <c r="B703" s="3" t="str">
        <f ca="1"/>
        <v>CZECH NEWS CENTER a. s.</v>
      </c>
      <c r="C703" s="3" t="str">
        <f ca="1">IFERROR(__xludf.DUMMYFUNCTION("""COMPUTED_VALUE"""),"iSport")</f>
        <v>iSport</v>
      </c>
      <c r="D703" s="3" t="str">
        <f ca="1">IFERROR(__xludf.DUMMYFUNCTION("""COMPUTED_VALUE"""),"https://isport.cz, https://sportrevue.cz")</f>
        <v>https://isport.cz, https://sportrevue.cz</v>
      </c>
      <c r="E703" s="3" t="str">
        <f ca="1">IFERROR(__xludf.DUMMYFUNCTION("""COMPUTED_VALUE"""),"celý web")</f>
        <v>celý web</v>
      </c>
      <c r="F703" s="3" t="str">
        <f ca="1">IFERROR(__xludf.DUMMYFUNCTION("""COMPUTED_VALUE"""),"https://isport.cz, https://sportrevue.cz")</f>
        <v>https://isport.cz, https://sportrevue.cz</v>
      </c>
      <c r="G703" s="3" t="str">
        <f ca="1">IFERROR(__xludf.DUMMYFUNCTION("""COMPUTED_VALUE"""),"Prodloužení existující microsite, bez úprav high season")</f>
        <v>Prodloužení existující microsite, bez úprav high season</v>
      </c>
      <c r="H703" s="3">
        <f ca="1">IFERROR(__xludf.DUMMYFUNCTION("""COMPUTED_VALUE"""),1)</f>
        <v>1</v>
      </c>
      <c r="I703" s="5">
        <f ca="1">IFERROR(__xludf.DUMMYFUNCTION("""COMPUTED_VALUE"""),1)</f>
        <v>1</v>
      </c>
      <c r="J703" s="5">
        <f ca="1">IFERROR(__xludf.DUMMYFUNCTION("""COMPUTED_VALUE"""),15000)</f>
        <v>15000</v>
      </c>
      <c r="K703" s="3"/>
      <c r="L703" s="3" t="str">
        <f ca="1">IFERROR(__xludf.DUMMYFUNCTION("""COMPUTED_VALUE"""),"Cost per instance")</f>
        <v>Cost per instance</v>
      </c>
      <c r="M703" s="3"/>
      <c r="N703" s="3"/>
      <c r="O703" s="3"/>
      <c r="P703" s="3"/>
      <c r="Q703" s="3"/>
      <c r="R703" s="3"/>
      <c r="S703" s="3" t="str">
        <f ca="1">IFERROR(__xludf.DUMMYFUNCTION("""COMPUTED_VALUE"""),"100")</f>
        <v>100</v>
      </c>
      <c r="T703" s="3"/>
      <c r="U703" s="3" t="str">
        <f ca="1">IFERROR(__xludf.DUMMYFUNCTION("""COMPUTED_VALUE"""),"microsite")</f>
        <v>microsite</v>
      </c>
      <c r="V703" s="3"/>
      <c r="W703" s="3"/>
      <c r="X703" s="3"/>
      <c r="Y703" s="3"/>
      <c r="Z703" s="3" t="str">
        <f ca="1">IFERROR(__xludf.DUMMYFUNCTION("""COMPUTED_VALUE"""),"podklady@cncenter.cz")</f>
        <v>podklady@cncenter.cz</v>
      </c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 t="str">
        <f ca="1">IFERROR(__xludf.DUMMYFUNCTION("""COMPUTED_VALUE"""),"cross-device")</f>
        <v>cross-device</v>
      </c>
      <c r="AO703" s="3"/>
      <c r="AP703" s="3"/>
      <c r="AQ703" s="3"/>
      <c r="AR703" s="3"/>
      <c r="AS703" s="3"/>
      <c r="AT703" s="3"/>
      <c r="AU703" s="3" t="str">
        <f ca="1">IFERROR(__xludf.DUMMYFUNCTION("""COMPUTED_VALUE"""),"Prodloužení existující microsite, bez úprav")</f>
        <v>Prodloužení existující microsite, bez úprav</v>
      </c>
    </row>
    <row r="704" spans="1:47" x14ac:dyDescent="0.3">
      <c r="A704" s="3">
        <f ca="1"/>
        <v>2346826</v>
      </c>
      <c r="B704" s="3" t="str">
        <f ca="1"/>
        <v>CZECH NEWS CENTER a. s.</v>
      </c>
      <c r="C704" s="3" t="str">
        <f ca="1">IFERROR(__xludf.DUMMYFUNCTION("""COMPUTED_VALUE"""),"iSport")</f>
        <v>iSport</v>
      </c>
      <c r="D704" s="3" t="str">
        <f ca="1">IFERROR(__xludf.DUMMYFUNCTION("""COMPUTED_VALUE"""),"https://isport.cz, https://sportrevue.cz")</f>
        <v>https://isport.cz, https://sportrevue.cz</v>
      </c>
      <c r="E704" s="3" t="str">
        <f ca="1">IFERROR(__xludf.DUMMYFUNCTION("""COMPUTED_VALUE"""),"celý web")</f>
        <v>celý web</v>
      </c>
      <c r="F704" s="3" t="str">
        <f ca="1">IFERROR(__xludf.DUMMYFUNCTION("""COMPUTED_VALUE"""),"https://isport.cz, https://sportrevue.cz")</f>
        <v>https://isport.cz, https://sportrevue.cz</v>
      </c>
      <c r="G704" s="3" t="str">
        <f ca="1">IFERROR(__xludf.DUMMYFUNCTION("""COMPUTED_VALUE"""),"Prodloužení existující microsite, bez úprav high season")</f>
        <v>Prodloužení existující microsite, bez úprav high season</v>
      </c>
      <c r="H704" s="3">
        <f ca="1">IFERROR(__xludf.DUMMYFUNCTION("""COMPUTED_VALUE"""),1)</f>
        <v>1</v>
      </c>
      <c r="I704" s="5">
        <f ca="1">IFERROR(__xludf.DUMMYFUNCTION("""COMPUTED_VALUE"""),1)</f>
        <v>1</v>
      </c>
      <c r="J704" s="5">
        <f ca="1">IFERROR(__xludf.DUMMYFUNCTION("""COMPUTED_VALUE"""),15000)</f>
        <v>15000</v>
      </c>
      <c r="K704" s="3"/>
      <c r="L704" s="3" t="str">
        <f ca="1">IFERROR(__xludf.DUMMYFUNCTION("""COMPUTED_VALUE"""),"Cost per instance")</f>
        <v>Cost per instance</v>
      </c>
      <c r="M704" s="3"/>
      <c r="N704" s="3"/>
      <c r="O704" s="3"/>
      <c r="P704" s="3"/>
      <c r="Q704" s="3"/>
      <c r="R704" s="3"/>
      <c r="S704" s="3" t="str">
        <f ca="1">IFERROR(__xludf.DUMMYFUNCTION("""COMPUTED_VALUE"""),"100")</f>
        <v>100</v>
      </c>
      <c r="T704" s="3"/>
      <c r="U704" s="3" t="str">
        <f ca="1">IFERROR(__xludf.DUMMYFUNCTION("""COMPUTED_VALUE"""),"microsite")</f>
        <v>microsite</v>
      </c>
      <c r="V704" s="3"/>
      <c r="W704" s="3"/>
      <c r="X704" s="3"/>
      <c r="Y704" s="3"/>
      <c r="Z704" s="3" t="str">
        <f ca="1">IFERROR(__xludf.DUMMYFUNCTION("""COMPUTED_VALUE"""),"podklady@cncenter.cz")</f>
        <v>podklady@cncenter.cz</v>
      </c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 t="str">
        <f ca="1">IFERROR(__xludf.DUMMYFUNCTION("""COMPUTED_VALUE"""),"cross-device")</f>
        <v>cross-device</v>
      </c>
      <c r="AO704" s="3"/>
      <c r="AP704" s="3"/>
      <c r="AQ704" s="3"/>
      <c r="AR704" s="3"/>
      <c r="AS704" s="3"/>
      <c r="AT704" s="3"/>
      <c r="AU704" s="3" t="str">
        <f ca="1">IFERROR(__xludf.DUMMYFUNCTION("""COMPUTED_VALUE"""),"Prodloužení existující microsite, bez úprav")</f>
        <v>Prodloužení existující microsite, bez úprav</v>
      </c>
    </row>
    <row r="705" spans="1:47" x14ac:dyDescent="0.3">
      <c r="A705" s="3">
        <f ca="1"/>
        <v>2346826</v>
      </c>
      <c r="B705" s="3" t="str">
        <f ca="1"/>
        <v>CZECH NEWS CENTER a. s.</v>
      </c>
      <c r="C705" s="3" t="str">
        <f ca="1">IFERROR(__xludf.DUMMYFUNCTION("""COMPUTED_VALUE"""),"iSport")</f>
        <v>iSport</v>
      </c>
      <c r="D705" s="3" t="str">
        <f ca="1">IFERROR(__xludf.DUMMYFUNCTION("""COMPUTED_VALUE"""),"https://isport.cz, https://sportrevue.cz")</f>
        <v>https://isport.cz, https://sportrevue.cz</v>
      </c>
      <c r="E705" s="3" t="str">
        <f ca="1">IFERROR(__xludf.DUMMYFUNCTION("""COMPUTED_VALUE"""),"celý web")</f>
        <v>celý web</v>
      </c>
      <c r="F705" s="3" t="str">
        <f ca="1">IFERROR(__xludf.DUMMYFUNCTION("""COMPUTED_VALUE"""),"https://isport.cz, https://sportrevue.cz")</f>
        <v>https://isport.cz, https://sportrevue.cz</v>
      </c>
      <c r="G705" s="3" t="str">
        <f ca="1">IFERROR(__xludf.DUMMYFUNCTION("""COMPUTED_VALUE"""),"videospot - max. 30 sec. / bumper high season")</f>
        <v>videospot - max. 30 sec. / bumper high season</v>
      </c>
      <c r="H705" s="3">
        <f ca="1">IFERROR(__xludf.DUMMYFUNCTION("""COMPUTED_VALUE"""),7)</f>
        <v>7</v>
      </c>
      <c r="I705" s="5">
        <f ca="1">IFERROR(__xludf.DUMMYFUNCTION("""COMPUTED_VALUE"""),1000)</f>
        <v>1000</v>
      </c>
      <c r="J705" s="5">
        <f ca="1">IFERROR(__xludf.DUMMYFUNCTION("""COMPUTED_VALUE"""),1500)</f>
        <v>1500</v>
      </c>
      <c r="K705" s="3"/>
      <c r="L705" s="3" t="str">
        <f ca="1">IFERROR(__xludf.DUMMYFUNCTION("""COMPUTED_VALUE"""),"Cost per period")</f>
        <v>Cost per period</v>
      </c>
      <c r="M705" s="3"/>
      <c r="N705" s="3"/>
      <c r="O705" s="3" t="str">
        <f ca="1">IFERROR(__xludf.DUMMYFUNCTION("""COMPUTED_VALUE"""),"1280")</f>
        <v>1280</v>
      </c>
      <c r="P705" s="3" t="str">
        <f ca="1">IFERROR(__xludf.DUMMYFUNCTION("""COMPUTED_VALUE"""),"720")</f>
        <v>720</v>
      </c>
      <c r="Q705" s="3" t="str">
        <f ca="1">IFERROR(__xludf.DUMMYFUNCTION("""COMPUTED_VALUE"""),"16:9 / umístění po domluvě dle možností")</f>
        <v>16:9 / umístění po domluvě dle možností</v>
      </c>
      <c r="R705" s="3" t="str">
        <f ca="1">IFERROR(__xludf.DUMMYFUNCTION("""COMPUTED_VALUE"""),"přeskočení po 7 sekundách")</f>
        <v>přeskočení po 7 sekundách</v>
      </c>
      <c r="S705" s="3" t="str">
        <f ca="1">IFERROR(__xludf.DUMMYFUNCTION("""COMPUTED_VALUE"""),"100")</f>
        <v>100</v>
      </c>
      <c r="T705" s="3"/>
      <c r="U705" s="3" t="str">
        <f ca="1">IFERROR(__xludf.DUMMYFUNCTION("""COMPUTED_VALUE"""),"videospot")</f>
        <v>videospot</v>
      </c>
      <c r="V705" s="3"/>
      <c r="W705" s="4" t="str">
        <f ca="1">IFERROR(__xludf.DUMMYFUNCTION("""COMPUTED_VALUE"""),"https://reklama.cncenter.cz/Online/Bumper")</f>
        <v>https://reklama.cncenter.cz/Online/Bumper</v>
      </c>
      <c r="X705" s="3"/>
      <c r="Y705" s="3"/>
      <c r="Z705" s="3" t="str">
        <f ca="1">IFERROR(__xludf.DUMMYFUNCTION("""COMPUTED_VALUE"""),"podklady@cncenter.cz")</f>
        <v>podklady@cncenter.cz</v>
      </c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 t="str">
        <f ca="1">IFERROR(__xludf.DUMMYFUNCTION("""COMPUTED_VALUE"""),"cross-device")</f>
        <v>cross-device</v>
      </c>
      <c r="AO705" s="3"/>
      <c r="AP705" s="3"/>
      <c r="AQ705" s="3"/>
      <c r="AR705" s="3"/>
      <c r="AS705" s="3"/>
      <c r="AT705" s="3"/>
      <c r="AU705" s="3" t="str">
        <f ca="1">IFERROR(__xludf.DUMMYFUNCTION("""COMPUTED_VALUE"""),"videospot - max. 30 sec. / bumper")</f>
        <v>videospot - max. 30 sec. / bumper</v>
      </c>
    </row>
    <row r="706" spans="1:47" x14ac:dyDescent="0.3">
      <c r="A706" s="3">
        <f ca="1"/>
        <v>2346826</v>
      </c>
      <c r="B706" s="3" t="str">
        <f ca="1"/>
        <v>CZECH NEWS CENTER a. s.</v>
      </c>
      <c r="C706" s="3" t="str">
        <f ca="1">IFERROR(__xludf.DUMMYFUNCTION("""COMPUTED_VALUE"""),"Lidé a země")</f>
        <v>Lidé a země</v>
      </c>
      <c r="D706" s="4" t="str">
        <f ca="1">IFERROR(__xludf.DUMMYFUNCTION("""COMPUTED_VALUE"""),"https://lideazeme.cz")</f>
        <v>https://lideazeme.cz</v>
      </c>
      <c r="E706" s="3" t="str">
        <f ca="1">IFERROR(__xludf.DUMMYFUNCTION("""COMPUTED_VALUE"""),"celý web")</f>
        <v>celý web</v>
      </c>
      <c r="F706" s="4" t="str">
        <f ca="1">IFERROR(__xludf.DUMMYFUNCTION("""COMPUTED_VALUE"""),"https://lideazeme.cz")</f>
        <v>https://lideazeme.cz</v>
      </c>
      <c r="G706" s="3" t="str">
        <f ca="1">IFERROR(__xludf.DUMMYFUNCTION("""COMPUTED_VALUE"""),"Advertorial high season")</f>
        <v>Advertorial high season</v>
      </c>
      <c r="H706" s="3">
        <f ca="1">IFERROR(__xludf.DUMMYFUNCTION("""COMPUTED_VALUE"""),1)</f>
        <v>1</v>
      </c>
      <c r="I706" s="5">
        <f ca="1">IFERROR(__xludf.DUMMYFUNCTION("""COMPUTED_VALUE"""),1)</f>
        <v>1</v>
      </c>
      <c r="J706" s="5">
        <f ca="1">IFERROR(__xludf.DUMMYFUNCTION("""COMPUTED_VALUE"""),90000)</f>
        <v>90000</v>
      </c>
      <c r="K706" s="3"/>
      <c r="L706" s="3" t="str">
        <f ca="1">IFERROR(__xludf.DUMMYFUNCTION("""COMPUTED_VALUE"""),"Cost per instance")</f>
        <v>Cost per instance</v>
      </c>
      <c r="M706" s="3"/>
      <c r="N706" s="3"/>
      <c r="O706" s="3"/>
      <c r="P706" s="3"/>
      <c r="Q706" s="3"/>
      <c r="R706" s="3"/>
      <c r="S706" s="3" t="str">
        <f ca="1">IFERROR(__xludf.DUMMYFUNCTION("""COMPUTED_VALUE"""),"100")</f>
        <v>100</v>
      </c>
      <c r="T706" s="3"/>
      <c r="U706" s="3" t="str">
        <f ca="1">IFERROR(__xludf.DUMMYFUNCTION("""COMPUTED_VALUE"""),"pr článek")</f>
        <v>pr článek</v>
      </c>
      <c r="V706" s="3"/>
      <c r="W706" s="3"/>
      <c r="X706" s="3"/>
      <c r="Y706" s="3"/>
      <c r="Z706" s="3" t="str">
        <f ca="1">IFERROR(__xludf.DUMMYFUNCTION("""COMPUTED_VALUE"""),"podklady@cncenter.cz")</f>
        <v>podklady@cncenter.cz</v>
      </c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 t="str">
        <f ca="1">IFERROR(__xludf.DUMMYFUNCTION("""COMPUTED_VALUE"""),"cross-device")</f>
        <v>cross-device</v>
      </c>
      <c r="AO706" s="3"/>
      <c r="AP706" s="3"/>
      <c r="AQ706" s="3"/>
      <c r="AR706" s="3"/>
      <c r="AS706" s="3"/>
      <c r="AT706" s="3"/>
      <c r="AU706" s="3" t="str">
        <f ca="1">IFERROR(__xludf.DUMMYFUNCTION("""COMPUTED_VALUE"""),"Advertorial")</f>
        <v>Advertorial</v>
      </c>
    </row>
    <row r="707" spans="1:47" x14ac:dyDescent="0.3">
      <c r="A707" s="3">
        <f ca="1"/>
        <v>2346826</v>
      </c>
      <c r="B707" s="3" t="str">
        <f ca="1"/>
        <v>CZECH NEWS CENTER a. s.</v>
      </c>
      <c r="C707" s="3" t="str">
        <f ca="1">IFERROR(__xludf.DUMMYFUNCTION("""COMPUTED_VALUE"""),"Lidé a Země")</f>
        <v>Lidé a Země</v>
      </c>
      <c r="D707" s="4" t="str">
        <f ca="1">IFERROR(__xludf.DUMMYFUNCTION("""COMPUTED_VALUE"""),"https://lideazeme.cz")</f>
        <v>https://lideazeme.cz</v>
      </c>
      <c r="E707" s="3" t="str">
        <f ca="1">IFERROR(__xludf.DUMMYFUNCTION("""COMPUTED_VALUE"""),"celý web")</f>
        <v>celý web</v>
      </c>
      <c r="F707" s="4" t="str">
        <f ca="1">IFERROR(__xludf.DUMMYFUNCTION("""COMPUTED_VALUE"""),"https://lideazeme.cz")</f>
        <v>https://lideazeme.cz</v>
      </c>
      <c r="G707" s="3" t="str">
        <f ca="1">IFERROR(__xludf.DUMMYFUNCTION("""COMPUTED_VALUE"""),"billboard bottom high season")</f>
        <v>billboard bottom high season</v>
      </c>
      <c r="H707" s="3">
        <f ca="1">IFERROR(__xludf.DUMMYFUNCTION("""COMPUTED_VALUE"""),7)</f>
        <v>7</v>
      </c>
      <c r="I707" s="5">
        <f ca="1">IFERROR(__xludf.DUMMYFUNCTION("""COMPUTED_VALUE"""),1000)</f>
        <v>1000</v>
      </c>
      <c r="J707" s="5">
        <f ca="1">IFERROR(__xludf.DUMMYFUNCTION("""COMPUTED_VALUE"""),440)</f>
        <v>440</v>
      </c>
      <c r="K707" s="3"/>
      <c r="L707" s="3" t="str">
        <f ca="1">IFERROR(__xludf.DUMMYFUNCTION("""COMPUTED_VALUE"""),"Cost per period")</f>
        <v>Cost per period</v>
      </c>
      <c r="M707" s="3"/>
      <c r="N707" s="3"/>
      <c r="O707" s="3" t="str">
        <f ca="1">IFERROR(__xludf.DUMMYFUNCTION("""COMPUTED_VALUE"""),"970")</f>
        <v>970</v>
      </c>
      <c r="P707" s="3" t="str">
        <f ca="1">IFERROR(__xludf.DUMMYFUNCTION("""COMPUTED_VALUE"""),"250")</f>
        <v>250</v>
      </c>
      <c r="Q707" s="3" t="str">
        <f ca="1">IFERROR(__xludf.DUMMYFUNCTION("""COMPUTED_VALUE"""),"970x250")</f>
        <v>970x250</v>
      </c>
      <c r="R707" s="3"/>
      <c r="S707" s="3" t="str">
        <f ca="1">IFERROR(__xludf.DUMMYFUNCTION("""COMPUTED_VALUE"""),"100 (200 - HTML5)")</f>
        <v>100 (200 - HTML5)</v>
      </c>
      <c r="T707" s="3"/>
      <c r="U707" s="3" t="str">
        <f ca="1">IFERROR(__xludf.DUMMYFUNCTION("""COMPUTED_VALUE"""),"banner standard")</f>
        <v>banner standard</v>
      </c>
      <c r="V707" s="3"/>
      <c r="W707" s="4" t="str">
        <f ca="1">IFERROR(__xludf.DUMMYFUNCTION("""COMPUTED_VALUE"""),"https://reklama.cncenter.cz/Online/billboard-bottom")</f>
        <v>https://reklama.cncenter.cz/Online/billboard-bottom</v>
      </c>
      <c r="X707" s="3"/>
      <c r="Y707" s="3"/>
      <c r="Z707" s="3" t="str">
        <f ca="1">IFERROR(__xludf.DUMMYFUNCTION("""COMPUTED_VALUE"""),"podklady@cncenter.cz")</f>
        <v>podklady@cncenter.cz</v>
      </c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 t="str">
        <f ca="1">IFERROR(__xludf.DUMMYFUNCTION("""COMPUTED_VALUE"""),"desktop")</f>
        <v>desktop</v>
      </c>
      <c r="AO707" s="3"/>
      <c r="AP707" s="3"/>
      <c r="AQ707" s="3"/>
      <c r="AR707" s="3"/>
      <c r="AS707" s="3"/>
      <c r="AT707" s="3"/>
      <c r="AU707" s="3" t="str">
        <f ca="1">IFERROR(__xludf.DUMMYFUNCTION("""COMPUTED_VALUE"""),"billboard bottom")</f>
        <v>billboard bottom</v>
      </c>
    </row>
    <row r="708" spans="1:47" x14ac:dyDescent="0.3">
      <c r="A708" s="3">
        <f ca="1"/>
        <v>2346826</v>
      </c>
      <c r="B708" s="3" t="str">
        <f ca="1"/>
        <v>CZECH NEWS CENTER a. s.</v>
      </c>
      <c r="C708" s="3" t="str">
        <f ca="1">IFERROR(__xludf.DUMMYFUNCTION("""COMPUTED_VALUE"""),"Lidé a Země")</f>
        <v>Lidé a Země</v>
      </c>
      <c r="D708" s="4" t="str">
        <f ca="1">IFERROR(__xludf.DUMMYFUNCTION("""COMPUTED_VALUE"""),"https://lideazeme.cz")</f>
        <v>https://lideazeme.cz</v>
      </c>
      <c r="E708" s="3" t="str">
        <f ca="1">IFERROR(__xludf.DUMMYFUNCTION("""COMPUTED_VALUE"""),"celý web")</f>
        <v>celý web</v>
      </c>
      <c r="F708" s="4" t="str">
        <f ca="1">IFERROR(__xludf.DUMMYFUNCTION("""COMPUTED_VALUE"""),"https://lideazeme.cz")</f>
        <v>https://lideazeme.cz</v>
      </c>
      <c r="G708" s="3" t="str">
        <f ca="1">IFERROR(__xludf.DUMMYFUNCTION("""COMPUTED_VALUE"""),"branding cross-device high season")</f>
        <v>branding cross-device high season</v>
      </c>
      <c r="H708" s="3">
        <f ca="1">IFERROR(__xludf.DUMMYFUNCTION("""COMPUTED_VALUE"""),7)</f>
        <v>7</v>
      </c>
      <c r="I708" s="5">
        <f ca="1">IFERROR(__xludf.DUMMYFUNCTION("""COMPUTED_VALUE"""),1000)</f>
        <v>1000</v>
      </c>
      <c r="J708" s="5">
        <f ca="1">IFERROR(__xludf.DUMMYFUNCTION("""COMPUTED_VALUE"""),540)</f>
        <v>540</v>
      </c>
      <c r="K708" s="3"/>
      <c r="L708" s="3" t="str">
        <f ca="1">IFERROR(__xludf.DUMMYFUNCTION("""COMPUTED_VALUE"""),"Cost per period")</f>
        <v>Cost per period</v>
      </c>
      <c r="M708" s="3"/>
      <c r="N708" s="3"/>
      <c r="O708" s="3" t="str">
        <f ca="1">IFERROR(__xludf.DUMMYFUNCTION("""COMPUTED_VALUE"""),"2000")</f>
        <v>2000</v>
      </c>
      <c r="P708" s="3" t="str">
        <f ca="1">IFERROR(__xludf.DUMMYFUNCTION("""COMPUTED_VALUE"""),"1400")</f>
        <v>1400</v>
      </c>
      <c r="Q708" s="3" t="str">
        <f ca="1">IFERROR(__xludf.DUMMYFUNCTION("""COMPUTED_VALUE"""),"2000x1400 + 600x1080")</f>
        <v>2000x1400 + 600x1080</v>
      </c>
      <c r="R708" s="3"/>
      <c r="S708" s="3" t="str">
        <f ca="1">IFERROR(__xludf.DUMMYFUNCTION("""COMPUTED_VALUE"""),"500 (600 - HTLM5)")</f>
        <v>500 (600 - HTLM5)</v>
      </c>
      <c r="T708" s="3"/>
      <c r="U708" s="3" t="str">
        <f ca="1">IFERROR(__xludf.DUMMYFUNCTION("""COMPUTED_VALUE"""),"banner standard")</f>
        <v>banner standard</v>
      </c>
      <c r="V708" s="3"/>
      <c r="W708" s="4" t="str">
        <f ca="1">IFERROR(__xludf.DUMMYFUNCTION("""COMPUTED_VALUE"""),"https://reklama.cncenter.cz/Online/branding-cross-device")</f>
        <v>https://reklama.cncenter.cz/Online/branding-cross-device</v>
      </c>
      <c r="X708" s="3"/>
      <c r="Y708" s="3"/>
      <c r="Z708" s="3" t="str">
        <f ca="1">IFERROR(__xludf.DUMMYFUNCTION("""COMPUTED_VALUE"""),"podklady@cncenter.cz")</f>
        <v>podklady@cncenter.cz</v>
      </c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 t="str">
        <f ca="1">IFERROR(__xludf.DUMMYFUNCTION("""COMPUTED_VALUE"""),"cross-device")</f>
        <v>cross-device</v>
      </c>
      <c r="AO708" s="3"/>
      <c r="AP708" s="3"/>
      <c r="AQ708" s="3"/>
      <c r="AR708" s="3"/>
      <c r="AS708" s="3"/>
      <c r="AT708" s="3"/>
      <c r="AU708" s="3" t="str">
        <f ca="1">IFERROR(__xludf.DUMMYFUNCTION("""COMPUTED_VALUE"""),"branding cross-device")</f>
        <v>branding cross-device</v>
      </c>
    </row>
    <row r="709" spans="1:47" x14ac:dyDescent="0.3">
      <c r="A709" s="3">
        <f ca="1"/>
        <v>2346826</v>
      </c>
      <c r="B709" s="3" t="str">
        <f ca="1"/>
        <v>CZECH NEWS CENTER a. s.</v>
      </c>
      <c r="C709" s="3" t="str">
        <f ca="1">IFERROR(__xludf.DUMMYFUNCTION("""COMPUTED_VALUE"""),"Lidé a Země")</f>
        <v>Lidé a Země</v>
      </c>
      <c r="D709" s="4" t="str">
        <f ca="1">IFERROR(__xludf.DUMMYFUNCTION("""COMPUTED_VALUE"""),"https://lideazeme.cz")</f>
        <v>https://lideazeme.cz</v>
      </c>
      <c r="E709" s="3" t="str">
        <f ca="1">IFERROR(__xludf.DUMMYFUNCTION("""COMPUTED_VALUE"""),"celý web")</f>
        <v>celý web</v>
      </c>
      <c r="F709" s="4" t="str">
        <f ca="1">IFERROR(__xludf.DUMMYFUNCTION("""COMPUTED_VALUE"""),"https://lideazeme.cz")</f>
        <v>https://lideazeme.cz</v>
      </c>
      <c r="G709" s="3" t="str">
        <f ca="1">IFERROR(__xludf.DUMMYFUNCTION("""COMPUTED_VALUE"""),"branding high season")</f>
        <v>branding high season</v>
      </c>
      <c r="H709" s="3">
        <f ca="1">IFERROR(__xludf.DUMMYFUNCTION("""COMPUTED_VALUE"""),7)</f>
        <v>7</v>
      </c>
      <c r="I709" s="5">
        <f ca="1">IFERROR(__xludf.DUMMYFUNCTION("""COMPUTED_VALUE"""),1000)</f>
        <v>1000</v>
      </c>
      <c r="J709" s="5">
        <f ca="1">IFERROR(__xludf.DUMMYFUNCTION("""COMPUTED_VALUE"""),890)</f>
        <v>890</v>
      </c>
      <c r="K709" s="3"/>
      <c r="L709" s="3" t="str">
        <f ca="1">IFERROR(__xludf.DUMMYFUNCTION("""COMPUTED_VALUE"""),"Cost per period")</f>
        <v>Cost per period</v>
      </c>
      <c r="M709" s="3"/>
      <c r="N709" s="3"/>
      <c r="O709" s="3" t="str">
        <f ca="1">IFERROR(__xludf.DUMMYFUNCTION("""COMPUTED_VALUE"""),"2000")</f>
        <v>2000</v>
      </c>
      <c r="P709" s="3" t="str">
        <f ca="1">IFERROR(__xludf.DUMMYFUNCTION("""COMPUTED_VALUE"""),"1400")</f>
        <v>1400</v>
      </c>
      <c r="Q709" s="3" t="str">
        <f ca="1">IFERROR(__xludf.DUMMYFUNCTION("""COMPUTED_VALUE"""),"2000x1400")</f>
        <v>2000x1400</v>
      </c>
      <c r="R709" s="3"/>
      <c r="S709" s="3" t="str">
        <f ca="1">IFERROR(__xludf.DUMMYFUNCTION("""COMPUTED_VALUE"""),"500 + 200 (600+200 HTML5)")</f>
        <v>500 + 200 (600+200 HTML5)</v>
      </c>
      <c r="T709" s="3"/>
      <c r="U709" s="3" t="str">
        <f ca="1">IFERROR(__xludf.DUMMYFUNCTION("""COMPUTED_VALUE"""),"banner standard")</f>
        <v>banner standard</v>
      </c>
      <c r="V709" s="3"/>
      <c r="W709" s="4" t="str">
        <f ca="1">IFERROR(__xludf.DUMMYFUNCTION("""COMPUTED_VALUE"""),"https://reklama.cncenter.cz/Online/branding")</f>
        <v>https://reklama.cncenter.cz/Online/branding</v>
      </c>
      <c r="X709" s="3"/>
      <c r="Y709" s="3"/>
      <c r="Z709" s="3" t="str">
        <f ca="1">IFERROR(__xludf.DUMMYFUNCTION("""COMPUTED_VALUE"""),"podklady@cncenter.cz")</f>
        <v>podklady@cncenter.cz</v>
      </c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 t="str">
        <f ca="1">IFERROR(__xludf.DUMMYFUNCTION("""COMPUTED_VALUE"""),"desktop")</f>
        <v>desktop</v>
      </c>
      <c r="AO709" s="3"/>
      <c r="AP709" s="3"/>
      <c r="AQ709" s="3"/>
      <c r="AR709" s="3"/>
      <c r="AS709" s="3"/>
      <c r="AT709" s="3"/>
      <c r="AU709" s="3" t="str">
        <f ca="1">IFERROR(__xludf.DUMMYFUNCTION("""COMPUTED_VALUE"""),"branding")</f>
        <v>branding</v>
      </c>
    </row>
    <row r="710" spans="1:47" x14ac:dyDescent="0.3">
      <c r="A710" s="3">
        <f ca="1"/>
        <v>2346826</v>
      </c>
      <c r="B710" s="3" t="str">
        <f ca="1"/>
        <v>CZECH NEWS CENTER a. s.</v>
      </c>
      <c r="C710" s="3" t="str">
        <f ca="1">IFERROR(__xludf.DUMMYFUNCTION("""COMPUTED_VALUE"""),"Lidé a Země")</f>
        <v>Lidé a Země</v>
      </c>
      <c r="D710" s="4" t="str">
        <f ca="1">IFERROR(__xludf.DUMMYFUNCTION("""COMPUTED_VALUE"""),"https://lideazeme.cz")</f>
        <v>https://lideazeme.cz</v>
      </c>
      <c r="E710" s="3" t="str">
        <f ca="1">IFERROR(__xludf.DUMMYFUNCTION("""COMPUTED_VALUE"""),"celý web")</f>
        <v>celý web</v>
      </c>
      <c r="F710" s="4" t="str">
        <f ca="1">IFERROR(__xludf.DUMMYFUNCTION("""COMPUTED_VALUE"""),"https://lideazeme.cz")</f>
        <v>https://lideazeme.cz</v>
      </c>
      <c r="G710" s="3" t="str">
        <f ca="1">IFERROR(__xludf.DUMMYFUNCTION("""COMPUTED_VALUE"""),"cílený billboard bottom high season")</f>
        <v>cílený billboard bottom high season</v>
      </c>
      <c r="H710" s="3">
        <f ca="1">IFERROR(__xludf.DUMMYFUNCTION("""COMPUTED_VALUE"""),7)</f>
        <v>7</v>
      </c>
      <c r="I710" s="5">
        <f ca="1">IFERROR(__xludf.DUMMYFUNCTION("""COMPUTED_VALUE"""),1000)</f>
        <v>1000</v>
      </c>
      <c r="J710" s="5">
        <f ca="1">IFERROR(__xludf.DUMMYFUNCTION("""COMPUTED_VALUE"""),528)</f>
        <v>528</v>
      </c>
      <c r="K710" s="3"/>
      <c r="L710" s="3" t="str">
        <f ca="1">IFERROR(__xludf.DUMMYFUNCTION("""COMPUTED_VALUE"""),"Cost per period")</f>
        <v>Cost per period</v>
      </c>
      <c r="M710" s="3"/>
      <c r="N710" s="3"/>
      <c r="O710" s="3" t="str">
        <f ca="1">IFERROR(__xludf.DUMMYFUNCTION("""COMPUTED_VALUE"""),"970")</f>
        <v>970</v>
      </c>
      <c r="P710" s="3" t="str">
        <f ca="1">IFERROR(__xludf.DUMMYFUNCTION("""COMPUTED_VALUE"""),"250")</f>
        <v>250</v>
      </c>
      <c r="Q710" s="3" t="str">
        <f ca="1">IFERROR(__xludf.DUMMYFUNCTION("""COMPUTED_VALUE"""),"970x250")</f>
        <v>970x250</v>
      </c>
      <c r="R710" s="3"/>
      <c r="S710" s="3" t="str">
        <f ca="1">IFERROR(__xludf.DUMMYFUNCTION("""COMPUTED_VALUE"""),"100 (200 - HTML5)")</f>
        <v>100 (200 - HTML5)</v>
      </c>
      <c r="T710" s="3"/>
      <c r="U710" s="3" t="str">
        <f ca="1">IFERROR(__xludf.DUMMYFUNCTION("""COMPUTED_VALUE"""),"banner standard")</f>
        <v>banner standard</v>
      </c>
      <c r="V710" s="3"/>
      <c r="W710" s="4" t="str">
        <f ca="1">IFERROR(__xludf.DUMMYFUNCTION("""COMPUTED_VALUE"""),"https://reklama.cncenter.cz/Online/billboard-bottom")</f>
        <v>https://reklama.cncenter.cz/Online/billboard-bottom</v>
      </c>
      <c r="X710" s="3"/>
      <c r="Y710" s="3"/>
      <c r="Z710" s="3" t="str">
        <f ca="1">IFERROR(__xludf.DUMMYFUNCTION("""COMPUTED_VALUE"""),"podklady@cncenter.cz")</f>
        <v>podklady@cncenter.cz</v>
      </c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 t="str">
        <f ca="1">IFERROR(__xludf.DUMMYFUNCTION("""COMPUTED_VALUE"""),"desktop")</f>
        <v>desktop</v>
      </c>
      <c r="AO710" s="3"/>
      <c r="AP710" s="3"/>
      <c r="AQ710" s="3"/>
      <c r="AR710" s="3"/>
      <c r="AS710" s="3"/>
      <c r="AT710" s="3"/>
      <c r="AU710" s="3" t="str">
        <f ca="1">IFERROR(__xludf.DUMMYFUNCTION("""COMPUTED_VALUE"""),"cílený billboard bottom")</f>
        <v>cílený billboard bottom</v>
      </c>
    </row>
    <row r="711" spans="1:47" x14ac:dyDescent="0.3">
      <c r="A711" s="3">
        <f ca="1"/>
        <v>2346826</v>
      </c>
      <c r="B711" s="3" t="str">
        <f ca="1"/>
        <v>CZECH NEWS CENTER a. s.</v>
      </c>
      <c r="C711" s="3" t="str">
        <f ca="1">IFERROR(__xludf.DUMMYFUNCTION("""COMPUTED_VALUE"""),"Lidé a Země")</f>
        <v>Lidé a Země</v>
      </c>
      <c r="D711" s="4" t="str">
        <f ca="1">IFERROR(__xludf.DUMMYFUNCTION("""COMPUTED_VALUE"""),"https://lideazeme.cz")</f>
        <v>https://lideazeme.cz</v>
      </c>
      <c r="E711" s="3" t="str">
        <f ca="1">IFERROR(__xludf.DUMMYFUNCTION("""COMPUTED_VALUE"""),"celý web")</f>
        <v>celý web</v>
      </c>
      <c r="F711" s="4" t="str">
        <f ca="1">IFERROR(__xludf.DUMMYFUNCTION("""COMPUTED_VALUE"""),"https://lideazeme.cz")</f>
        <v>https://lideazeme.cz</v>
      </c>
      <c r="G711" s="3" t="str">
        <f ca="1">IFERROR(__xludf.DUMMYFUNCTION("""COMPUTED_VALUE"""),"cílený branding cross-device high season")</f>
        <v>cílený branding cross-device high season</v>
      </c>
      <c r="H711" s="3">
        <f ca="1">IFERROR(__xludf.DUMMYFUNCTION("""COMPUTED_VALUE"""),7)</f>
        <v>7</v>
      </c>
      <c r="I711" s="5">
        <f ca="1">IFERROR(__xludf.DUMMYFUNCTION("""COMPUTED_VALUE"""),1000)</f>
        <v>1000</v>
      </c>
      <c r="J711" s="5">
        <f ca="1">IFERROR(__xludf.DUMMYFUNCTION("""COMPUTED_VALUE"""),648)</f>
        <v>648</v>
      </c>
      <c r="K711" s="3"/>
      <c r="L711" s="3" t="str">
        <f ca="1">IFERROR(__xludf.DUMMYFUNCTION("""COMPUTED_VALUE"""),"Cost per period")</f>
        <v>Cost per period</v>
      </c>
      <c r="M711" s="3"/>
      <c r="N711" s="3"/>
      <c r="O711" s="3" t="str">
        <f ca="1">IFERROR(__xludf.DUMMYFUNCTION("""COMPUTED_VALUE"""),"2000")</f>
        <v>2000</v>
      </c>
      <c r="P711" s="3" t="str">
        <f ca="1">IFERROR(__xludf.DUMMYFUNCTION("""COMPUTED_VALUE"""),"1400")</f>
        <v>1400</v>
      </c>
      <c r="Q711" s="3" t="str">
        <f ca="1">IFERROR(__xludf.DUMMYFUNCTION("""COMPUTED_VALUE"""),"2000x1400 + 600x1080")</f>
        <v>2000x1400 + 600x1080</v>
      </c>
      <c r="R711" s="3"/>
      <c r="S711" s="3" t="str">
        <f ca="1">IFERROR(__xludf.DUMMYFUNCTION("""COMPUTED_VALUE"""),"500 (600 - HTLM5)")</f>
        <v>500 (600 - HTLM5)</v>
      </c>
      <c r="T711" s="3"/>
      <c r="U711" s="3" t="str">
        <f ca="1">IFERROR(__xludf.DUMMYFUNCTION("""COMPUTED_VALUE"""),"banner standard")</f>
        <v>banner standard</v>
      </c>
      <c r="V711" s="3"/>
      <c r="W711" s="4" t="str">
        <f ca="1">IFERROR(__xludf.DUMMYFUNCTION("""COMPUTED_VALUE"""),"https://reklama.cncenter.cz/Online/branding-cross-device")</f>
        <v>https://reklama.cncenter.cz/Online/branding-cross-device</v>
      </c>
      <c r="X711" s="3"/>
      <c r="Y711" s="3"/>
      <c r="Z711" s="3" t="str">
        <f ca="1">IFERROR(__xludf.DUMMYFUNCTION("""COMPUTED_VALUE"""),"podklady@cncenter.cz")</f>
        <v>podklady@cncenter.cz</v>
      </c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 t="str">
        <f ca="1">IFERROR(__xludf.DUMMYFUNCTION("""COMPUTED_VALUE"""),"cross-device")</f>
        <v>cross-device</v>
      </c>
      <c r="AO711" s="3"/>
      <c r="AP711" s="3"/>
      <c r="AQ711" s="3"/>
      <c r="AR711" s="3"/>
      <c r="AS711" s="3"/>
      <c r="AT711" s="3"/>
      <c r="AU711" s="3" t="str">
        <f ca="1">IFERROR(__xludf.DUMMYFUNCTION("""COMPUTED_VALUE"""),"cílený branding cross-device")</f>
        <v>cílený branding cross-device</v>
      </c>
    </row>
    <row r="712" spans="1:47" x14ac:dyDescent="0.3">
      <c r="A712" s="3">
        <f ca="1"/>
        <v>2346826</v>
      </c>
      <c r="B712" s="3" t="str">
        <f ca="1"/>
        <v>CZECH NEWS CENTER a. s.</v>
      </c>
      <c r="C712" s="3" t="str">
        <f ca="1">IFERROR(__xludf.DUMMYFUNCTION("""COMPUTED_VALUE"""),"Lidé a Země")</f>
        <v>Lidé a Země</v>
      </c>
      <c r="D712" s="4" t="str">
        <f ca="1">IFERROR(__xludf.DUMMYFUNCTION("""COMPUTED_VALUE"""),"https://lideazeme.cz")</f>
        <v>https://lideazeme.cz</v>
      </c>
      <c r="E712" s="3" t="str">
        <f ca="1">IFERROR(__xludf.DUMMYFUNCTION("""COMPUTED_VALUE"""),"celý web")</f>
        <v>celý web</v>
      </c>
      <c r="F712" s="4" t="str">
        <f ca="1">IFERROR(__xludf.DUMMYFUNCTION("""COMPUTED_VALUE"""),"https://lideazeme.cz")</f>
        <v>https://lideazeme.cz</v>
      </c>
      <c r="G712" s="3" t="str">
        <f ca="1">IFERROR(__xludf.DUMMYFUNCTION("""COMPUTED_VALUE"""),"cílený branding high season")</f>
        <v>cílený branding high season</v>
      </c>
      <c r="H712" s="3">
        <f ca="1">IFERROR(__xludf.DUMMYFUNCTION("""COMPUTED_VALUE"""),7)</f>
        <v>7</v>
      </c>
      <c r="I712" s="5">
        <f ca="1">IFERROR(__xludf.DUMMYFUNCTION("""COMPUTED_VALUE"""),1000)</f>
        <v>1000</v>
      </c>
      <c r="J712" s="5">
        <f ca="1">IFERROR(__xludf.DUMMYFUNCTION("""COMPUTED_VALUE"""),1068)</f>
        <v>1068</v>
      </c>
      <c r="K712" s="3"/>
      <c r="L712" s="3" t="str">
        <f ca="1">IFERROR(__xludf.DUMMYFUNCTION("""COMPUTED_VALUE"""),"Cost per period")</f>
        <v>Cost per period</v>
      </c>
      <c r="M712" s="3"/>
      <c r="N712" s="3"/>
      <c r="O712" s="3" t="str">
        <f ca="1">IFERROR(__xludf.DUMMYFUNCTION("""COMPUTED_VALUE"""),"2000")</f>
        <v>2000</v>
      </c>
      <c r="P712" s="3" t="str">
        <f ca="1">IFERROR(__xludf.DUMMYFUNCTION("""COMPUTED_VALUE"""),"1400")</f>
        <v>1400</v>
      </c>
      <c r="Q712" s="3" t="str">
        <f ca="1">IFERROR(__xludf.DUMMYFUNCTION("""COMPUTED_VALUE"""),"2000x1400")</f>
        <v>2000x1400</v>
      </c>
      <c r="R712" s="3"/>
      <c r="S712" s="3" t="str">
        <f ca="1">IFERROR(__xludf.DUMMYFUNCTION("""COMPUTED_VALUE"""),"500 + 200 (600+200 HTML5)")</f>
        <v>500 + 200 (600+200 HTML5)</v>
      </c>
      <c r="T712" s="3"/>
      <c r="U712" s="3" t="str">
        <f ca="1">IFERROR(__xludf.DUMMYFUNCTION("""COMPUTED_VALUE"""),"banner standard")</f>
        <v>banner standard</v>
      </c>
      <c r="V712" s="3"/>
      <c r="W712" s="4" t="str">
        <f ca="1">IFERROR(__xludf.DUMMYFUNCTION("""COMPUTED_VALUE"""),"https://reklama.cncenter.cz/Online/branding")</f>
        <v>https://reklama.cncenter.cz/Online/branding</v>
      </c>
      <c r="X712" s="3"/>
      <c r="Y712" s="3"/>
      <c r="Z712" s="3" t="str">
        <f ca="1">IFERROR(__xludf.DUMMYFUNCTION("""COMPUTED_VALUE"""),"podklady@cncenter.cz")</f>
        <v>podklady@cncenter.cz</v>
      </c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 t="str">
        <f ca="1">IFERROR(__xludf.DUMMYFUNCTION("""COMPUTED_VALUE"""),"desktop")</f>
        <v>desktop</v>
      </c>
      <c r="AO712" s="3"/>
      <c r="AP712" s="3"/>
      <c r="AQ712" s="3"/>
      <c r="AR712" s="3"/>
      <c r="AS712" s="3"/>
      <c r="AT712" s="3"/>
      <c r="AU712" s="3" t="str">
        <f ca="1">IFERROR(__xludf.DUMMYFUNCTION("""COMPUTED_VALUE"""),"cílený branding")</f>
        <v>cílený branding</v>
      </c>
    </row>
    <row r="713" spans="1:47" x14ac:dyDescent="0.3">
      <c r="A713" s="3">
        <f ca="1"/>
        <v>2346826</v>
      </c>
      <c r="B713" s="3" t="str">
        <f ca="1"/>
        <v>CZECH NEWS CENTER a. s.</v>
      </c>
      <c r="C713" s="3" t="str">
        <f ca="1">IFERROR(__xludf.DUMMYFUNCTION("""COMPUTED_VALUE"""),"Lidé a Země")</f>
        <v>Lidé a Země</v>
      </c>
      <c r="D713" s="4" t="str">
        <f ca="1">IFERROR(__xludf.DUMMYFUNCTION("""COMPUTED_VALUE"""),"https://lideazeme.cz")</f>
        <v>https://lideazeme.cz</v>
      </c>
      <c r="E713" s="3" t="str">
        <f ca="1">IFERROR(__xludf.DUMMYFUNCTION("""COMPUTED_VALUE"""),"celý web")</f>
        <v>celý web</v>
      </c>
      <c r="F713" s="4" t="str">
        <f ca="1">IFERROR(__xludf.DUMMYFUNCTION("""COMPUTED_VALUE"""),"https://lideazeme.cz")</f>
        <v>https://lideazeme.cz</v>
      </c>
      <c r="G713" s="3" t="str">
        <f ca="1">IFERROR(__xludf.DUMMYFUNCTION("""COMPUTED_VALUE"""),"cílený double skyscraper high season")</f>
        <v>cílený double skyscraper high season</v>
      </c>
      <c r="H713" s="3">
        <f ca="1">IFERROR(__xludf.DUMMYFUNCTION("""COMPUTED_VALUE"""),7)</f>
        <v>7</v>
      </c>
      <c r="I713" s="5">
        <f ca="1">IFERROR(__xludf.DUMMYFUNCTION("""COMPUTED_VALUE"""),1000)</f>
        <v>1000</v>
      </c>
      <c r="J713" s="5">
        <f ca="1">IFERROR(__xludf.DUMMYFUNCTION("""COMPUTED_VALUE"""),420)</f>
        <v>420</v>
      </c>
      <c r="K713" s="3"/>
      <c r="L713" s="3" t="str">
        <f ca="1">IFERROR(__xludf.DUMMYFUNCTION("""COMPUTED_VALUE"""),"Cost per period")</f>
        <v>Cost per period</v>
      </c>
      <c r="M713" s="3"/>
      <c r="N713" s="3"/>
      <c r="O713" s="3" t="str">
        <f ca="1">IFERROR(__xludf.DUMMYFUNCTION("""COMPUTED_VALUE"""),"300")</f>
        <v>300</v>
      </c>
      <c r="P713" s="3" t="str">
        <f ca="1">IFERROR(__xludf.DUMMYFUNCTION("""COMPUTED_VALUE"""),"600")</f>
        <v>600</v>
      </c>
      <c r="Q713" s="3" t="str">
        <f ca="1">IFERROR(__xludf.DUMMYFUNCTION("""COMPUTED_VALUE"""),"300x600")</f>
        <v>300x600</v>
      </c>
      <c r="R713" s="3"/>
      <c r="S713" s="3" t="str">
        <f ca="1">IFERROR(__xludf.DUMMYFUNCTION("""COMPUTED_VALUE"""),"100 (200 - HTML5)")</f>
        <v>100 (200 - HTML5)</v>
      </c>
      <c r="T713" s="3"/>
      <c r="U713" s="3" t="str">
        <f ca="1">IFERROR(__xludf.DUMMYFUNCTION("""COMPUTED_VALUE"""),"banner standard")</f>
        <v>banner standard</v>
      </c>
      <c r="V713" s="3"/>
      <c r="W713" s="4" t="str">
        <f ca="1">IFERROR(__xludf.DUMMYFUNCTION("""COMPUTED_VALUE"""),"https://reklama.cncenter.cz/Online/double-skyscraper")</f>
        <v>https://reklama.cncenter.cz/Online/double-skyscraper</v>
      </c>
      <c r="X713" s="3"/>
      <c r="Y713" s="3"/>
      <c r="Z713" s="3" t="str">
        <f ca="1">IFERROR(__xludf.DUMMYFUNCTION("""COMPUTED_VALUE"""),"podklady@cncenter.cz")</f>
        <v>podklady@cncenter.cz</v>
      </c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 t="str">
        <f ca="1">IFERROR(__xludf.DUMMYFUNCTION("""COMPUTED_VALUE"""),"desktop")</f>
        <v>desktop</v>
      </c>
      <c r="AO713" s="3"/>
      <c r="AP713" s="3"/>
      <c r="AQ713" s="3"/>
      <c r="AR713" s="3"/>
      <c r="AS713" s="3"/>
      <c r="AT713" s="3"/>
      <c r="AU713" s="3" t="str">
        <f ca="1">IFERROR(__xludf.DUMMYFUNCTION("""COMPUTED_VALUE"""),"cílený double skyscraper")</f>
        <v>cílený double skyscraper</v>
      </c>
    </row>
    <row r="714" spans="1:47" x14ac:dyDescent="0.3">
      <c r="A714" s="3">
        <f ca="1"/>
        <v>2346826</v>
      </c>
      <c r="B714" s="3" t="str">
        <f ca="1"/>
        <v>CZECH NEWS CENTER a. s.</v>
      </c>
      <c r="C714" s="3" t="str">
        <f ca="1">IFERROR(__xludf.DUMMYFUNCTION("""COMPUTED_VALUE"""),"Lidé a Země")</f>
        <v>Lidé a Země</v>
      </c>
      <c r="D714" s="4" t="str">
        <f ca="1">IFERROR(__xludf.DUMMYFUNCTION("""COMPUTED_VALUE"""),"https://lideazeme.cz")</f>
        <v>https://lideazeme.cz</v>
      </c>
      <c r="E714" s="3" t="str">
        <f ca="1">IFERROR(__xludf.DUMMYFUNCTION("""COMPUTED_VALUE"""),"celý web")</f>
        <v>celý web</v>
      </c>
      <c r="F714" s="4" t="str">
        <f ca="1">IFERROR(__xludf.DUMMYFUNCTION("""COMPUTED_VALUE"""),"https://lideazeme.cz")</f>
        <v>https://lideazeme.cz</v>
      </c>
      <c r="G714" s="3" t="str">
        <f ca="1">IFERROR(__xludf.DUMMYFUNCTION("""COMPUTED_VALUE"""),"cílený mobilní interscroller high season")</f>
        <v>cílený mobilní interscroller high season</v>
      </c>
      <c r="H714" s="3">
        <f ca="1">IFERROR(__xludf.DUMMYFUNCTION("""COMPUTED_VALUE"""),7)</f>
        <v>7</v>
      </c>
      <c r="I714" s="5">
        <f ca="1">IFERROR(__xludf.DUMMYFUNCTION("""COMPUTED_VALUE"""),1000)</f>
        <v>1000</v>
      </c>
      <c r="J714" s="5">
        <f ca="1">IFERROR(__xludf.DUMMYFUNCTION("""COMPUTED_VALUE"""),540)</f>
        <v>540</v>
      </c>
      <c r="K714" s="3"/>
      <c r="L714" s="3" t="str">
        <f ca="1">IFERROR(__xludf.DUMMYFUNCTION("""COMPUTED_VALUE"""),"Cost per period")</f>
        <v>Cost per period</v>
      </c>
      <c r="M714" s="3"/>
      <c r="N714" s="3"/>
      <c r="O714" s="3" t="str">
        <f ca="1">IFERROR(__xludf.DUMMYFUNCTION("""COMPUTED_VALUE"""),"600")</f>
        <v>600</v>
      </c>
      <c r="P714" s="3" t="str">
        <f ca="1">IFERROR(__xludf.DUMMYFUNCTION("""COMPUTED_VALUE"""),"1080")</f>
        <v>1080</v>
      </c>
      <c r="Q714" s="3" t="str">
        <f ca="1">IFERROR(__xludf.DUMMYFUNCTION("""COMPUTED_VALUE"""),"600x1080")</f>
        <v>600x1080</v>
      </c>
      <c r="R714" s="3"/>
      <c r="S714" s="3" t="str">
        <f ca="1">IFERROR(__xludf.DUMMYFUNCTION("""COMPUTED_VALUE"""),"200")</f>
        <v>200</v>
      </c>
      <c r="T714" s="3"/>
      <c r="U714" s="3" t="str">
        <f ca="1">IFERROR(__xludf.DUMMYFUNCTION("""COMPUTED_VALUE"""),"banner standard")</f>
        <v>banner standard</v>
      </c>
      <c r="V714" s="3"/>
      <c r="W714" s="4" t="str">
        <f ca="1">IFERROR(__xludf.DUMMYFUNCTION("""COMPUTED_VALUE"""),"https://reklama.cncenter.cz/Online/mobilni-interscroller")</f>
        <v>https://reklama.cncenter.cz/Online/mobilni-interscroller</v>
      </c>
      <c r="X714" s="3"/>
      <c r="Y714" s="3"/>
      <c r="Z714" s="3" t="str">
        <f ca="1">IFERROR(__xludf.DUMMYFUNCTION("""COMPUTED_VALUE"""),"podklady@cncenter.cz")</f>
        <v>podklady@cncenter.cz</v>
      </c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 t="str">
        <f ca="1">IFERROR(__xludf.DUMMYFUNCTION("""COMPUTED_VALUE"""),"mobile")</f>
        <v>mobile</v>
      </c>
      <c r="AO714" s="3"/>
      <c r="AP714" s="3"/>
      <c r="AQ714" s="3"/>
      <c r="AR714" s="3"/>
      <c r="AS714" s="3"/>
      <c r="AT714" s="3"/>
      <c r="AU714" s="3" t="str">
        <f ca="1">IFERROR(__xludf.DUMMYFUNCTION("""COMPUTED_VALUE"""),"cílený mobilní interscroller")</f>
        <v>cílený mobilní interscroller</v>
      </c>
    </row>
    <row r="715" spans="1:47" x14ac:dyDescent="0.3">
      <c r="A715" s="3">
        <f ca="1"/>
        <v>2346826</v>
      </c>
      <c r="B715" s="3" t="str">
        <f ca="1"/>
        <v>CZECH NEWS CENTER a. s.</v>
      </c>
      <c r="C715" s="3" t="str">
        <f ca="1">IFERROR(__xludf.DUMMYFUNCTION("""COMPUTED_VALUE"""),"Lidé a Země")</f>
        <v>Lidé a Země</v>
      </c>
      <c r="D715" s="4" t="str">
        <f ca="1">IFERROR(__xludf.DUMMYFUNCTION("""COMPUTED_VALUE"""),"https://lideazeme.cz")</f>
        <v>https://lideazeme.cz</v>
      </c>
      <c r="E715" s="3" t="str">
        <f ca="1">IFERROR(__xludf.DUMMYFUNCTION("""COMPUTED_VALUE"""),"celý web")</f>
        <v>celý web</v>
      </c>
      <c r="F715" s="4" t="str">
        <f ca="1">IFERROR(__xludf.DUMMYFUNCTION("""COMPUTED_VALUE"""),"https://lideazeme.cz")</f>
        <v>https://lideazeme.cz</v>
      </c>
      <c r="G715" s="3" t="str">
        <f ca="1">IFERROR(__xludf.DUMMYFUNCTION("""COMPUTED_VALUE"""),"cílený mobilní slide-up high season")</f>
        <v>cílený mobilní slide-up high season</v>
      </c>
      <c r="H715" s="3">
        <f ca="1">IFERROR(__xludf.DUMMYFUNCTION("""COMPUTED_VALUE"""),7)</f>
        <v>7</v>
      </c>
      <c r="I715" s="5">
        <f ca="1">IFERROR(__xludf.DUMMYFUNCTION("""COMPUTED_VALUE"""),1000)</f>
        <v>1000</v>
      </c>
      <c r="J715" s="5">
        <f ca="1">IFERROR(__xludf.DUMMYFUNCTION("""COMPUTED_VALUE"""),1104)</f>
        <v>1104</v>
      </c>
      <c r="K715" s="3"/>
      <c r="L715" s="3" t="str">
        <f ca="1">IFERROR(__xludf.DUMMYFUNCTION("""COMPUTED_VALUE"""),"Cost per period")</f>
        <v>Cost per period</v>
      </c>
      <c r="M715" s="3"/>
      <c r="N715" s="3"/>
      <c r="O715" s="3" t="str">
        <f ca="1">IFERROR(__xludf.DUMMYFUNCTION("""COMPUTED_VALUE"""),"300")</f>
        <v>300</v>
      </c>
      <c r="P715" s="3" t="str">
        <f ca="1">IFERROR(__xludf.DUMMYFUNCTION("""COMPUTED_VALUE"""),"120")</f>
        <v>120</v>
      </c>
      <c r="Q715" s="3" t="str">
        <f ca="1">IFERROR(__xludf.DUMMYFUNCTION("""COMPUTED_VALUE"""),"300x120")</f>
        <v>300x120</v>
      </c>
      <c r="R715" s="3"/>
      <c r="S715" s="3" t="str">
        <f ca="1">IFERROR(__xludf.DUMMYFUNCTION("""COMPUTED_VALUE"""),"100")</f>
        <v>100</v>
      </c>
      <c r="T715" s="3"/>
      <c r="U715" s="3" t="str">
        <f ca="1">IFERROR(__xludf.DUMMYFUNCTION("""COMPUTED_VALUE"""),"banner standard")</f>
        <v>banner standard</v>
      </c>
      <c r="V715" s="3"/>
      <c r="W715" s="4" t="str">
        <f ca="1">IFERROR(__xludf.DUMMYFUNCTION("""COMPUTED_VALUE"""),"https://reklama.cncenter.cz/Online/mobilni-slide-up")</f>
        <v>https://reklama.cncenter.cz/Online/mobilni-slide-up</v>
      </c>
      <c r="X715" s="3"/>
      <c r="Y715" s="3"/>
      <c r="Z715" s="3" t="str">
        <f ca="1">IFERROR(__xludf.DUMMYFUNCTION("""COMPUTED_VALUE"""),"podklady@cncenter.cz")</f>
        <v>podklady@cncenter.cz</v>
      </c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 t="str">
        <f ca="1">IFERROR(__xludf.DUMMYFUNCTION("""COMPUTED_VALUE"""),"mobile")</f>
        <v>mobile</v>
      </c>
      <c r="AO715" s="3"/>
      <c r="AP715" s="3"/>
      <c r="AQ715" s="3"/>
      <c r="AR715" s="3"/>
      <c r="AS715" s="3"/>
      <c r="AT715" s="3"/>
      <c r="AU715" s="3" t="str">
        <f ca="1">IFERROR(__xludf.DUMMYFUNCTION("""COMPUTED_VALUE"""),"cílený mobilní slide-up")</f>
        <v>cílený mobilní slide-up</v>
      </c>
    </row>
    <row r="716" spans="1:47" x14ac:dyDescent="0.3">
      <c r="A716" s="3">
        <f ca="1"/>
        <v>2346826</v>
      </c>
      <c r="B716" s="3" t="str">
        <f ca="1"/>
        <v>CZECH NEWS CENTER a. s.</v>
      </c>
      <c r="C716" s="3" t="str">
        <f ca="1">IFERROR(__xludf.DUMMYFUNCTION("""COMPUTED_VALUE"""),"Lidé a Země")</f>
        <v>Lidé a Země</v>
      </c>
      <c r="D716" s="4" t="str">
        <f ca="1">IFERROR(__xludf.DUMMYFUNCTION("""COMPUTED_VALUE"""),"https://lideazeme.cz")</f>
        <v>https://lideazeme.cz</v>
      </c>
      <c r="E716" s="3" t="str">
        <f ca="1">IFERROR(__xludf.DUMMYFUNCTION("""COMPUTED_VALUE"""),"celý web")</f>
        <v>celý web</v>
      </c>
      <c r="F716" s="4" t="str">
        <f ca="1">IFERROR(__xludf.DUMMYFUNCTION("""COMPUTED_VALUE"""),"https://lideazeme.cz")</f>
        <v>https://lideazeme.cz</v>
      </c>
      <c r="G716" s="3" t="str">
        <f ca="1">IFERROR(__xludf.DUMMYFUNCTION("""COMPUTED_VALUE"""),"cílený mobilní viněta high season")</f>
        <v>cílený mobilní viněta high season</v>
      </c>
      <c r="H716" s="3">
        <f ca="1">IFERROR(__xludf.DUMMYFUNCTION("""COMPUTED_VALUE"""),7)</f>
        <v>7</v>
      </c>
      <c r="I716" s="5">
        <f ca="1">IFERROR(__xludf.DUMMYFUNCTION("""COMPUTED_VALUE"""),1000)</f>
        <v>1000</v>
      </c>
      <c r="J716" s="5">
        <f ca="1">IFERROR(__xludf.DUMMYFUNCTION("""COMPUTED_VALUE"""),1908)</f>
        <v>1908</v>
      </c>
      <c r="K716" s="3"/>
      <c r="L716" s="3" t="str">
        <f ca="1">IFERROR(__xludf.DUMMYFUNCTION("""COMPUTED_VALUE"""),"Cost per period")</f>
        <v>Cost per period</v>
      </c>
      <c r="M716" s="3"/>
      <c r="N716" s="3"/>
      <c r="O716" s="3" t="str">
        <f ca="1">IFERROR(__xludf.DUMMYFUNCTION("""COMPUTED_VALUE"""),"600")</f>
        <v>600</v>
      </c>
      <c r="P716" s="3" t="str">
        <f ca="1">IFERROR(__xludf.DUMMYFUNCTION("""COMPUTED_VALUE"""),"800")</f>
        <v>800</v>
      </c>
      <c r="Q716" s="3" t="str">
        <f ca="1">IFERROR(__xludf.DUMMYFUNCTION("""COMPUTED_VALUE"""),"300x250 nebo 600x800")</f>
        <v>300x250 nebo 600x800</v>
      </c>
      <c r="R716" s="3"/>
      <c r="S716" s="3" t="str">
        <f ca="1">IFERROR(__xludf.DUMMYFUNCTION("""COMPUTED_VALUE"""),"100")</f>
        <v>100</v>
      </c>
      <c r="T716" s="3"/>
      <c r="U716" s="3" t="str">
        <f ca="1">IFERROR(__xludf.DUMMYFUNCTION("""COMPUTED_VALUE"""),"banner standard")</f>
        <v>banner standard</v>
      </c>
      <c r="V716" s="3"/>
      <c r="W716" s="4" t="str">
        <f ca="1">IFERROR(__xludf.DUMMYFUNCTION("""COMPUTED_VALUE"""),"https://reklama.cncenter.cz/Online/mobilni-vineta")</f>
        <v>https://reklama.cncenter.cz/Online/mobilni-vineta</v>
      </c>
      <c r="X716" s="3"/>
      <c r="Y716" s="3"/>
      <c r="Z716" s="3" t="str">
        <f ca="1">IFERROR(__xludf.DUMMYFUNCTION("""COMPUTED_VALUE"""),"podklady@cncenter.cz")</f>
        <v>podklady@cncenter.cz</v>
      </c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 t="str">
        <f ca="1">IFERROR(__xludf.DUMMYFUNCTION("""COMPUTED_VALUE"""),"mobile")</f>
        <v>mobile</v>
      </c>
      <c r="AO716" s="3"/>
      <c r="AP716" s="3"/>
      <c r="AQ716" s="3"/>
      <c r="AR716" s="3"/>
      <c r="AS716" s="3"/>
      <c r="AT716" s="3"/>
      <c r="AU716" s="3" t="str">
        <f ca="1">IFERROR(__xludf.DUMMYFUNCTION("""COMPUTED_VALUE"""),"cílený mobilní viněta")</f>
        <v>cílený mobilní viněta</v>
      </c>
    </row>
    <row r="717" spans="1:47" x14ac:dyDescent="0.3">
      <c r="A717" s="3">
        <f ca="1"/>
        <v>2346826</v>
      </c>
      <c r="B717" s="3" t="str">
        <f ca="1"/>
        <v>CZECH NEWS CENTER a. s.</v>
      </c>
      <c r="C717" s="3" t="str">
        <f ca="1">IFERROR(__xludf.DUMMYFUNCTION("""COMPUTED_VALUE"""),"Lidé a Země")</f>
        <v>Lidé a Země</v>
      </c>
      <c r="D717" s="4" t="str">
        <f ca="1">IFERROR(__xludf.DUMMYFUNCTION("""COMPUTED_VALUE"""),"https://lideazeme.cz")</f>
        <v>https://lideazeme.cz</v>
      </c>
      <c r="E717" s="3" t="str">
        <f ca="1">IFERROR(__xludf.DUMMYFUNCTION("""COMPUTED_VALUE"""),"celý web")</f>
        <v>celý web</v>
      </c>
      <c r="F717" s="4" t="str">
        <f ca="1">IFERROR(__xludf.DUMMYFUNCTION("""COMPUTED_VALUE"""),"https://lideazeme.cz")</f>
        <v>https://lideazeme.cz</v>
      </c>
      <c r="G717" s="3" t="str">
        <f ca="1">IFERROR(__xludf.DUMMYFUNCTION("""COMPUTED_VALUE"""),"cílený nativní rectangle cross-device high season")</f>
        <v>cílený nativní rectangle cross-device high season</v>
      </c>
      <c r="H717" s="3">
        <f ca="1">IFERROR(__xludf.DUMMYFUNCTION("""COMPUTED_VALUE"""),7)</f>
        <v>7</v>
      </c>
      <c r="I717" s="5">
        <f ca="1">IFERROR(__xludf.DUMMYFUNCTION("""COMPUTED_VALUE"""),1000)</f>
        <v>1000</v>
      </c>
      <c r="J717" s="5">
        <f ca="1">IFERROR(__xludf.DUMMYFUNCTION("""COMPUTED_VALUE"""),432)</f>
        <v>432</v>
      </c>
      <c r="K717" s="3"/>
      <c r="L717" s="3" t="str">
        <f ca="1">IFERROR(__xludf.DUMMYFUNCTION("""COMPUTED_VALUE"""),"Cost per period")</f>
        <v>Cost per period</v>
      </c>
      <c r="M717" s="3"/>
      <c r="N717" s="3"/>
      <c r="O717" s="3" t="str">
        <f ca="1">IFERROR(__xludf.DUMMYFUNCTION("""COMPUTED_VALUE"""),"640")</f>
        <v>640</v>
      </c>
      <c r="P717" s="3" t="str">
        <f ca="1">IFERROR(__xludf.DUMMYFUNCTION("""COMPUTED_VALUE"""),"335, 640")</f>
        <v>335, 640</v>
      </c>
      <c r="Q717" s="3" t="str">
        <f ca="1">IFERROR(__xludf.DUMMYFUNCTION("""COMPUTED_VALUE"""),"640x640 a 640x335 + text + logo")</f>
        <v>640x640 a 640x335 + text + logo</v>
      </c>
      <c r="R717" s="3"/>
      <c r="S717" s="3" t="str">
        <f ca="1">IFERROR(__xludf.DUMMYFUNCTION("""COMPUTED_VALUE"""),"45")</f>
        <v>45</v>
      </c>
      <c r="T717" s="3"/>
      <c r="U717" s="3" t="str">
        <f ca="1">IFERROR(__xludf.DUMMYFUNCTION("""COMPUTED_VALUE"""),"nativní reklama")</f>
        <v>nativní reklama</v>
      </c>
      <c r="V717" s="3"/>
      <c r="W717" s="4" t="str">
        <f ca="1">IFERROR(__xludf.DUMMYFUNCTION("""COMPUTED_VALUE"""),"https://reklama.cncenter.cz/Online/nativni-rectangle-cross-device")</f>
        <v>https://reklama.cncenter.cz/Online/nativni-rectangle-cross-device</v>
      </c>
      <c r="X717" s="3"/>
      <c r="Y717" s="3"/>
      <c r="Z717" s="3" t="str">
        <f ca="1">IFERROR(__xludf.DUMMYFUNCTION("""COMPUTED_VALUE"""),"podklady@cncenter.cz")</f>
        <v>podklady@cncenter.cz</v>
      </c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 t="str">
        <f ca="1">IFERROR(__xludf.DUMMYFUNCTION("""COMPUTED_VALUE"""),"cross-device")</f>
        <v>cross-device</v>
      </c>
      <c r="AO717" s="3"/>
      <c r="AP717" s="3"/>
      <c r="AQ717" s="3"/>
      <c r="AR717" s="3"/>
      <c r="AS717" s="3"/>
      <c r="AT717" s="3"/>
      <c r="AU717" s="3" t="str">
        <f ca="1">IFERROR(__xludf.DUMMYFUNCTION("""COMPUTED_VALUE"""),"cílený nativní rectangle cross-device")</f>
        <v>cílený nativní rectangle cross-device</v>
      </c>
    </row>
    <row r="718" spans="1:47" x14ac:dyDescent="0.3">
      <c r="A718" s="3">
        <f ca="1"/>
        <v>2346826</v>
      </c>
      <c r="B718" s="3" t="str">
        <f ca="1"/>
        <v>CZECH NEWS CENTER a. s.</v>
      </c>
      <c r="C718" s="3" t="str">
        <f ca="1">IFERROR(__xludf.DUMMYFUNCTION("""COMPUTED_VALUE"""),"Lidé a Země")</f>
        <v>Lidé a Země</v>
      </c>
      <c r="D718" s="4" t="str">
        <f ca="1">IFERROR(__xludf.DUMMYFUNCTION("""COMPUTED_VALUE"""),"https://lideazeme.cz")</f>
        <v>https://lideazeme.cz</v>
      </c>
      <c r="E718" s="3" t="str">
        <f ca="1">IFERROR(__xludf.DUMMYFUNCTION("""COMPUTED_VALUE"""),"celý web")</f>
        <v>celý web</v>
      </c>
      <c r="F718" s="4" t="str">
        <f ca="1">IFERROR(__xludf.DUMMYFUNCTION("""COMPUTED_VALUE"""),"https://lideazeme.cz")</f>
        <v>https://lideazeme.cz</v>
      </c>
      <c r="G718" s="3" t="str">
        <f ca="1">IFERROR(__xludf.DUMMYFUNCTION("""COMPUTED_VALUE"""),"cílený outstream high season")</f>
        <v>cílený outstream high season</v>
      </c>
      <c r="H718" s="3">
        <f ca="1">IFERROR(__xludf.DUMMYFUNCTION("""COMPUTED_VALUE"""),7)</f>
        <v>7</v>
      </c>
      <c r="I718" s="5">
        <f ca="1">IFERROR(__xludf.DUMMYFUNCTION("""COMPUTED_VALUE"""),1000)</f>
        <v>1000</v>
      </c>
      <c r="J718" s="5">
        <f ca="1">IFERROR(__xludf.DUMMYFUNCTION("""COMPUTED_VALUE"""),540)</f>
        <v>540</v>
      </c>
      <c r="K718" s="3"/>
      <c r="L718" s="3" t="str">
        <f ca="1">IFERROR(__xludf.DUMMYFUNCTION("""COMPUTED_VALUE"""),"Cost per period")</f>
        <v>Cost per period</v>
      </c>
      <c r="M718" s="3"/>
      <c r="N718" s="3"/>
      <c r="O718" s="3" t="str">
        <f ca="1">IFERROR(__xludf.DUMMYFUNCTION("""COMPUTED_VALUE"""),"1280")</f>
        <v>1280</v>
      </c>
      <c r="P718" s="3" t="str">
        <f ca="1">IFERROR(__xludf.DUMMYFUNCTION("""COMPUTED_VALUE"""),"720")</f>
        <v>720</v>
      </c>
      <c r="Q718" s="3" t="str">
        <f ca="1">IFERROR(__xludf.DUMMYFUNCTION("""COMPUTED_VALUE"""),"16:9")</f>
        <v>16:9</v>
      </c>
      <c r="R718" s="3"/>
      <c r="S718" s="3" t="str">
        <f ca="1">IFERROR(__xludf.DUMMYFUNCTION("""COMPUTED_VALUE"""),"100")</f>
        <v>100</v>
      </c>
      <c r="T718" s="3"/>
      <c r="U718" s="3" t="str">
        <f ca="1">IFERROR(__xludf.DUMMYFUNCTION("""COMPUTED_VALUE"""),"videospot")</f>
        <v>videospot</v>
      </c>
      <c r="V718" s="3"/>
      <c r="W718" s="4" t="str">
        <f ca="1">IFERROR(__xludf.DUMMYFUNCTION("""COMPUTED_VALUE"""),"https://reklama.cncenter.cz/Online/Outstream")</f>
        <v>https://reklama.cncenter.cz/Online/Outstream</v>
      </c>
      <c r="X718" s="3"/>
      <c r="Y718" s="3"/>
      <c r="Z718" s="3" t="str">
        <f ca="1">IFERROR(__xludf.DUMMYFUNCTION("""COMPUTED_VALUE"""),"podklady@cncenter.cz")</f>
        <v>podklady@cncenter.cz</v>
      </c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 t="str">
        <f ca="1">IFERROR(__xludf.DUMMYFUNCTION("""COMPUTED_VALUE"""),"cross-device")</f>
        <v>cross-device</v>
      </c>
      <c r="AO718" s="3"/>
      <c r="AP718" s="3"/>
      <c r="AQ718" s="3"/>
      <c r="AR718" s="3"/>
      <c r="AS718" s="3"/>
      <c r="AT718" s="3"/>
      <c r="AU718" s="3" t="str">
        <f ca="1">IFERROR(__xludf.DUMMYFUNCTION("""COMPUTED_VALUE"""),"cílený outstream")</f>
        <v>cílený outstream</v>
      </c>
    </row>
    <row r="719" spans="1:47" x14ac:dyDescent="0.3">
      <c r="A719" s="3">
        <f ca="1"/>
        <v>2346826</v>
      </c>
      <c r="B719" s="3" t="str">
        <f ca="1"/>
        <v>CZECH NEWS CENTER a. s.</v>
      </c>
      <c r="C719" s="3" t="str">
        <f ca="1">IFERROR(__xludf.DUMMYFUNCTION("""COMPUTED_VALUE"""),"Lidé a země")</f>
        <v>Lidé a země</v>
      </c>
      <c r="D719" s="4" t="str">
        <f ca="1">IFERROR(__xludf.DUMMYFUNCTION("""COMPUTED_VALUE"""),"https://lideazeme.cz")</f>
        <v>https://lideazeme.cz</v>
      </c>
      <c r="E719" s="3" t="str">
        <f ca="1">IFERROR(__xludf.DUMMYFUNCTION("""COMPUTED_VALUE"""),"celý web")</f>
        <v>celý web</v>
      </c>
      <c r="F719" s="4" t="str">
        <f ca="1">IFERROR(__xludf.DUMMYFUNCTION("""COMPUTED_VALUE"""),"https://lideazeme.cz")</f>
        <v>https://lideazeme.cz</v>
      </c>
      <c r="G719" s="3" t="str">
        <f ca="1">IFERROR(__xludf.DUMMYFUNCTION("""COMPUTED_VALUE"""),"dokoupení proma o 2 týdny - 10 000 PV *** high season")</f>
        <v>dokoupení proma o 2 týdny - 10 000 PV *** high season</v>
      </c>
      <c r="H719" s="3">
        <f ca="1">IFERROR(__xludf.DUMMYFUNCTION("""COMPUTED_VALUE"""),1)</f>
        <v>1</v>
      </c>
      <c r="I719" s="5">
        <f ca="1">IFERROR(__xludf.DUMMYFUNCTION("""COMPUTED_VALUE"""),1)</f>
        <v>1</v>
      </c>
      <c r="J719" s="5">
        <f ca="1">IFERROR(__xludf.DUMMYFUNCTION("""COMPUTED_VALUE"""),60000)</f>
        <v>60000</v>
      </c>
      <c r="K719" s="3"/>
      <c r="L719" s="3" t="str">
        <f ca="1">IFERROR(__xludf.DUMMYFUNCTION("""COMPUTED_VALUE"""),"Cost per instance")</f>
        <v>Cost per instance</v>
      </c>
      <c r="M719" s="3"/>
      <c r="N719" s="3"/>
      <c r="O719" s="3"/>
      <c r="P719" s="3"/>
      <c r="Q719" s="3"/>
      <c r="R719" s="3"/>
      <c r="S719" s="3" t="str">
        <f ca="1">IFERROR(__xludf.DUMMYFUNCTION("""COMPUTED_VALUE"""),"100")</f>
        <v>100</v>
      </c>
      <c r="T719" s="3"/>
      <c r="U719" s="3" t="str">
        <f ca="1">IFERROR(__xludf.DUMMYFUNCTION("""COMPUTED_VALUE"""),"microsite")</f>
        <v>microsite</v>
      </c>
      <c r="V719" s="3"/>
      <c r="W719" s="3"/>
      <c r="X719" s="3"/>
      <c r="Y719" s="3"/>
      <c r="Z719" s="3" t="str">
        <f ca="1">IFERROR(__xludf.DUMMYFUNCTION("""COMPUTED_VALUE"""),"podklady@cncenter.cz")</f>
        <v>podklady@cncenter.cz</v>
      </c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 t="str">
        <f ca="1">IFERROR(__xludf.DUMMYFUNCTION("""COMPUTED_VALUE"""),"cross-device")</f>
        <v>cross-device</v>
      </c>
      <c r="AO719" s="3"/>
      <c r="AP719" s="3"/>
      <c r="AQ719" s="3"/>
      <c r="AR719" s="3"/>
      <c r="AS719" s="3"/>
      <c r="AT719" s="3"/>
      <c r="AU719" s="3" t="str">
        <f ca="1">IFERROR(__xludf.DUMMYFUNCTION("""COMPUTED_VALUE"""),"dokoupení proma o 2 týdny - 10 000 PV ***")</f>
        <v>dokoupení proma o 2 týdny - 10 000 PV ***</v>
      </c>
    </row>
    <row r="720" spans="1:47" x14ac:dyDescent="0.3">
      <c r="A720" s="3">
        <f ca="1"/>
        <v>2346826</v>
      </c>
      <c r="B720" s="3" t="str">
        <f ca="1"/>
        <v>CZECH NEWS CENTER a. s.</v>
      </c>
      <c r="C720" s="3" t="str">
        <f ca="1">IFERROR(__xludf.DUMMYFUNCTION("""COMPUTED_VALUE"""),"Lidé a Země")</f>
        <v>Lidé a Země</v>
      </c>
      <c r="D720" s="4" t="str">
        <f ca="1">IFERROR(__xludf.DUMMYFUNCTION("""COMPUTED_VALUE"""),"https://lideazeme.cz")</f>
        <v>https://lideazeme.cz</v>
      </c>
      <c r="E720" s="3" t="str">
        <f ca="1">IFERROR(__xludf.DUMMYFUNCTION("""COMPUTED_VALUE"""),"celý web")</f>
        <v>celý web</v>
      </c>
      <c r="F720" s="4" t="str">
        <f ca="1">IFERROR(__xludf.DUMMYFUNCTION("""COMPUTED_VALUE"""),"https://lideazeme.cz")</f>
        <v>https://lideazeme.cz</v>
      </c>
      <c r="G720" s="3" t="str">
        <f ca="1">IFERROR(__xludf.DUMMYFUNCTION("""COMPUTED_VALUE"""),"double skyscraper high season")</f>
        <v>double skyscraper high season</v>
      </c>
      <c r="H720" s="3">
        <f ca="1">IFERROR(__xludf.DUMMYFUNCTION("""COMPUTED_VALUE"""),7)</f>
        <v>7</v>
      </c>
      <c r="I720" s="5">
        <f ca="1">IFERROR(__xludf.DUMMYFUNCTION("""COMPUTED_VALUE"""),1000)</f>
        <v>1000</v>
      </c>
      <c r="J720" s="5">
        <f ca="1">IFERROR(__xludf.DUMMYFUNCTION("""COMPUTED_VALUE"""),350)</f>
        <v>350</v>
      </c>
      <c r="K720" s="3"/>
      <c r="L720" s="3" t="str">
        <f ca="1">IFERROR(__xludf.DUMMYFUNCTION("""COMPUTED_VALUE"""),"Cost per period")</f>
        <v>Cost per period</v>
      </c>
      <c r="M720" s="3"/>
      <c r="N720" s="3"/>
      <c r="O720" s="3" t="str">
        <f ca="1">IFERROR(__xludf.DUMMYFUNCTION("""COMPUTED_VALUE"""),"300")</f>
        <v>300</v>
      </c>
      <c r="P720" s="3" t="str">
        <f ca="1">IFERROR(__xludf.DUMMYFUNCTION("""COMPUTED_VALUE"""),"600")</f>
        <v>600</v>
      </c>
      <c r="Q720" s="3" t="str">
        <f ca="1">IFERROR(__xludf.DUMMYFUNCTION("""COMPUTED_VALUE"""),"300x600")</f>
        <v>300x600</v>
      </c>
      <c r="R720" s="3"/>
      <c r="S720" s="3" t="str">
        <f ca="1">IFERROR(__xludf.DUMMYFUNCTION("""COMPUTED_VALUE"""),"100 (200 - HTML5)")</f>
        <v>100 (200 - HTML5)</v>
      </c>
      <c r="T720" s="3"/>
      <c r="U720" s="3" t="str">
        <f ca="1">IFERROR(__xludf.DUMMYFUNCTION("""COMPUTED_VALUE"""),"banner standard")</f>
        <v>banner standard</v>
      </c>
      <c r="V720" s="3"/>
      <c r="W720" s="4" t="str">
        <f ca="1">IFERROR(__xludf.DUMMYFUNCTION("""COMPUTED_VALUE"""),"https://reklama.cncenter.cz/Online/double-skyscraper")</f>
        <v>https://reklama.cncenter.cz/Online/double-skyscraper</v>
      </c>
      <c r="X720" s="3"/>
      <c r="Y720" s="3"/>
      <c r="Z720" s="3" t="str">
        <f ca="1">IFERROR(__xludf.DUMMYFUNCTION("""COMPUTED_VALUE"""),"podklady@cncenter.cz")</f>
        <v>podklady@cncenter.cz</v>
      </c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 t="str">
        <f ca="1">IFERROR(__xludf.DUMMYFUNCTION("""COMPUTED_VALUE"""),"desktop")</f>
        <v>desktop</v>
      </c>
      <c r="AO720" s="3"/>
      <c r="AP720" s="3"/>
      <c r="AQ720" s="3"/>
      <c r="AR720" s="3"/>
      <c r="AS720" s="3"/>
      <c r="AT720" s="3"/>
      <c r="AU720" s="3" t="str">
        <f ca="1">IFERROR(__xludf.DUMMYFUNCTION("""COMPUTED_VALUE"""),"double skyscraper")</f>
        <v>double skyscraper</v>
      </c>
    </row>
    <row r="721" spans="1:47" x14ac:dyDescent="0.3">
      <c r="A721" s="3">
        <f ca="1"/>
        <v>2346826</v>
      </c>
      <c r="B721" s="3" t="str">
        <f ca="1"/>
        <v>CZECH NEWS CENTER a. s.</v>
      </c>
      <c r="C721" s="3" t="str">
        <f ca="1">IFERROR(__xludf.DUMMYFUNCTION("""COMPUTED_VALUE"""),"Lidé a Země")</f>
        <v>Lidé a Země</v>
      </c>
      <c r="D721" s="4" t="str">
        <f ca="1">IFERROR(__xludf.DUMMYFUNCTION("""COMPUTED_VALUE"""),"https://lideazeme.cz")</f>
        <v>https://lideazeme.cz</v>
      </c>
      <c r="E721" s="3" t="str">
        <f ca="1">IFERROR(__xludf.DUMMYFUNCTION("""COMPUTED_VALUE"""),"celý web")</f>
        <v>celý web</v>
      </c>
      <c r="F721" s="4" t="str">
        <f ca="1">IFERROR(__xludf.DUMMYFUNCTION("""COMPUTED_VALUE"""),"https://lideazeme.cz")</f>
        <v>https://lideazeme.cz</v>
      </c>
      <c r="G721" s="3" t="str">
        <f ca="1">IFERROR(__xludf.DUMMYFUNCTION("""COMPUTED_VALUE"""),"mobilní interscroller high season")</f>
        <v>mobilní interscroller high season</v>
      </c>
      <c r="H721" s="3">
        <f ca="1">IFERROR(__xludf.DUMMYFUNCTION("""COMPUTED_VALUE"""),7)</f>
        <v>7</v>
      </c>
      <c r="I721" s="5">
        <f ca="1">IFERROR(__xludf.DUMMYFUNCTION("""COMPUTED_VALUE"""),1000)</f>
        <v>1000</v>
      </c>
      <c r="J721" s="5">
        <f ca="1">IFERROR(__xludf.DUMMYFUNCTION("""COMPUTED_VALUE"""),450)</f>
        <v>450</v>
      </c>
      <c r="K721" s="3"/>
      <c r="L721" s="3" t="str">
        <f ca="1">IFERROR(__xludf.DUMMYFUNCTION("""COMPUTED_VALUE"""),"Cost per period")</f>
        <v>Cost per period</v>
      </c>
      <c r="M721" s="3"/>
      <c r="N721" s="3"/>
      <c r="O721" s="3" t="str">
        <f ca="1">IFERROR(__xludf.DUMMYFUNCTION("""COMPUTED_VALUE"""),"600")</f>
        <v>600</v>
      </c>
      <c r="P721" s="3" t="str">
        <f ca="1">IFERROR(__xludf.DUMMYFUNCTION("""COMPUTED_VALUE"""),"1080")</f>
        <v>1080</v>
      </c>
      <c r="Q721" s="3" t="str">
        <f ca="1">IFERROR(__xludf.DUMMYFUNCTION("""COMPUTED_VALUE"""),"600x1080")</f>
        <v>600x1080</v>
      </c>
      <c r="R721" s="3"/>
      <c r="S721" s="3" t="str">
        <f ca="1">IFERROR(__xludf.DUMMYFUNCTION("""COMPUTED_VALUE"""),"200")</f>
        <v>200</v>
      </c>
      <c r="T721" s="3"/>
      <c r="U721" s="3" t="str">
        <f ca="1">IFERROR(__xludf.DUMMYFUNCTION("""COMPUTED_VALUE"""),"banner standard")</f>
        <v>banner standard</v>
      </c>
      <c r="V721" s="3"/>
      <c r="W721" s="4" t="str">
        <f ca="1">IFERROR(__xludf.DUMMYFUNCTION("""COMPUTED_VALUE"""),"https://reklama.cncenter.cz/Online/mobilni-interscroller")</f>
        <v>https://reklama.cncenter.cz/Online/mobilni-interscroller</v>
      </c>
      <c r="X721" s="3"/>
      <c r="Y721" s="3"/>
      <c r="Z721" s="3" t="str">
        <f ca="1">IFERROR(__xludf.DUMMYFUNCTION("""COMPUTED_VALUE"""),"podklady@cncenter.cz")</f>
        <v>podklady@cncenter.cz</v>
      </c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 t="str">
        <f ca="1">IFERROR(__xludf.DUMMYFUNCTION("""COMPUTED_VALUE"""),"mobile")</f>
        <v>mobile</v>
      </c>
      <c r="AO721" s="3"/>
      <c r="AP721" s="3"/>
      <c r="AQ721" s="3"/>
      <c r="AR721" s="3"/>
      <c r="AS721" s="3"/>
      <c r="AT721" s="3"/>
      <c r="AU721" s="3" t="str">
        <f ca="1">IFERROR(__xludf.DUMMYFUNCTION("""COMPUTED_VALUE"""),"mobilní interscroller")</f>
        <v>mobilní interscroller</v>
      </c>
    </row>
    <row r="722" spans="1:47" x14ac:dyDescent="0.3">
      <c r="A722" s="3">
        <f ca="1"/>
        <v>2346826</v>
      </c>
      <c r="B722" s="3" t="str">
        <f ca="1"/>
        <v>CZECH NEWS CENTER a. s.</v>
      </c>
      <c r="C722" s="3" t="str">
        <f ca="1">IFERROR(__xludf.DUMMYFUNCTION("""COMPUTED_VALUE"""),"Lidé a Země")</f>
        <v>Lidé a Země</v>
      </c>
      <c r="D722" s="4" t="str">
        <f ca="1">IFERROR(__xludf.DUMMYFUNCTION("""COMPUTED_VALUE"""),"https://lideazeme.cz")</f>
        <v>https://lideazeme.cz</v>
      </c>
      <c r="E722" s="3" t="str">
        <f ca="1">IFERROR(__xludf.DUMMYFUNCTION("""COMPUTED_VALUE"""),"celý web")</f>
        <v>celý web</v>
      </c>
      <c r="F722" s="4" t="str">
        <f ca="1">IFERROR(__xludf.DUMMYFUNCTION("""COMPUTED_VALUE"""),"https://lideazeme.cz")</f>
        <v>https://lideazeme.cz</v>
      </c>
      <c r="G722" s="3" t="str">
        <f ca="1">IFERROR(__xludf.DUMMYFUNCTION("""COMPUTED_VALUE"""),"mobilní slide-up high season")</f>
        <v>mobilní slide-up high season</v>
      </c>
      <c r="H722" s="3">
        <f ca="1">IFERROR(__xludf.DUMMYFUNCTION("""COMPUTED_VALUE"""),7)</f>
        <v>7</v>
      </c>
      <c r="I722" s="5">
        <f ca="1">IFERROR(__xludf.DUMMYFUNCTION("""COMPUTED_VALUE"""),1000)</f>
        <v>1000</v>
      </c>
      <c r="J722" s="5">
        <f ca="1">IFERROR(__xludf.DUMMYFUNCTION("""COMPUTED_VALUE"""),920)</f>
        <v>920</v>
      </c>
      <c r="K722" s="3"/>
      <c r="L722" s="3" t="str">
        <f ca="1">IFERROR(__xludf.DUMMYFUNCTION("""COMPUTED_VALUE"""),"Cost per period")</f>
        <v>Cost per period</v>
      </c>
      <c r="M722" s="3"/>
      <c r="N722" s="3"/>
      <c r="O722" s="3" t="str">
        <f ca="1">IFERROR(__xludf.DUMMYFUNCTION("""COMPUTED_VALUE"""),"300")</f>
        <v>300</v>
      </c>
      <c r="P722" s="3" t="str">
        <f ca="1">IFERROR(__xludf.DUMMYFUNCTION("""COMPUTED_VALUE"""),"120")</f>
        <v>120</v>
      </c>
      <c r="Q722" s="3" t="str">
        <f ca="1">IFERROR(__xludf.DUMMYFUNCTION("""COMPUTED_VALUE"""),"300x120")</f>
        <v>300x120</v>
      </c>
      <c r="R722" s="3"/>
      <c r="S722" s="3" t="str">
        <f ca="1">IFERROR(__xludf.DUMMYFUNCTION("""COMPUTED_VALUE"""),"100")</f>
        <v>100</v>
      </c>
      <c r="T722" s="3"/>
      <c r="U722" s="3" t="str">
        <f ca="1">IFERROR(__xludf.DUMMYFUNCTION("""COMPUTED_VALUE"""),"banner standard")</f>
        <v>banner standard</v>
      </c>
      <c r="V722" s="3"/>
      <c r="W722" s="4" t="str">
        <f ca="1">IFERROR(__xludf.DUMMYFUNCTION("""COMPUTED_VALUE"""),"https://reklama.cncenter.cz/Online/mobilni-slide-up")</f>
        <v>https://reklama.cncenter.cz/Online/mobilni-slide-up</v>
      </c>
      <c r="X722" s="3"/>
      <c r="Y722" s="3"/>
      <c r="Z722" s="3" t="str">
        <f ca="1">IFERROR(__xludf.DUMMYFUNCTION("""COMPUTED_VALUE"""),"podklady@cncenter.cz")</f>
        <v>podklady@cncenter.cz</v>
      </c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 t="str">
        <f ca="1">IFERROR(__xludf.DUMMYFUNCTION("""COMPUTED_VALUE"""),"mobile")</f>
        <v>mobile</v>
      </c>
      <c r="AO722" s="3"/>
      <c r="AP722" s="3"/>
      <c r="AQ722" s="3"/>
      <c r="AR722" s="3"/>
      <c r="AS722" s="3"/>
      <c r="AT722" s="3"/>
      <c r="AU722" s="3" t="str">
        <f ca="1">IFERROR(__xludf.DUMMYFUNCTION("""COMPUTED_VALUE"""),"mobilní slide-up")</f>
        <v>mobilní slide-up</v>
      </c>
    </row>
    <row r="723" spans="1:47" x14ac:dyDescent="0.3">
      <c r="A723" s="3">
        <f ca="1"/>
        <v>2346826</v>
      </c>
      <c r="B723" s="3" t="str">
        <f ca="1"/>
        <v>CZECH NEWS CENTER a. s.</v>
      </c>
      <c r="C723" s="3" t="str">
        <f ca="1">IFERROR(__xludf.DUMMYFUNCTION("""COMPUTED_VALUE"""),"Lidé a Země")</f>
        <v>Lidé a Země</v>
      </c>
      <c r="D723" s="4" t="str">
        <f ca="1">IFERROR(__xludf.DUMMYFUNCTION("""COMPUTED_VALUE"""),"https://lideazeme.cz")</f>
        <v>https://lideazeme.cz</v>
      </c>
      <c r="E723" s="3" t="str">
        <f ca="1">IFERROR(__xludf.DUMMYFUNCTION("""COMPUTED_VALUE"""),"celý web")</f>
        <v>celý web</v>
      </c>
      <c r="F723" s="4" t="str">
        <f ca="1">IFERROR(__xludf.DUMMYFUNCTION("""COMPUTED_VALUE"""),"https://lideazeme.cz")</f>
        <v>https://lideazeme.cz</v>
      </c>
      <c r="G723" s="3" t="str">
        <f ca="1">IFERROR(__xludf.DUMMYFUNCTION("""COMPUTED_VALUE"""),"mobilní viněta high season")</f>
        <v>mobilní viněta high season</v>
      </c>
      <c r="H723" s="3">
        <f ca="1">IFERROR(__xludf.DUMMYFUNCTION("""COMPUTED_VALUE"""),7)</f>
        <v>7</v>
      </c>
      <c r="I723" s="5">
        <f ca="1">IFERROR(__xludf.DUMMYFUNCTION("""COMPUTED_VALUE"""),1000)</f>
        <v>1000</v>
      </c>
      <c r="J723" s="5">
        <f ca="1">IFERROR(__xludf.DUMMYFUNCTION("""COMPUTED_VALUE"""),1590)</f>
        <v>1590</v>
      </c>
      <c r="K723" s="3"/>
      <c r="L723" s="3" t="str">
        <f ca="1">IFERROR(__xludf.DUMMYFUNCTION("""COMPUTED_VALUE"""),"Cost per period")</f>
        <v>Cost per period</v>
      </c>
      <c r="M723" s="3"/>
      <c r="N723" s="3"/>
      <c r="O723" s="3" t="str">
        <f ca="1">IFERROR(__xludf.DUMMYFUNCTION("""COMPUTED_VALUE"""),"600")</f>
        <v>600</v>
      </c>
      <c r="P723" s="3" t="str">
        <f ca="1">IFERROR(__xludf.DUMMYFUNCTION("""COMPUTED_VALUE"""),"800")</f>
        <v>800</v>
      </c>
      <c r="Q723" s="3" t="str">
        <f ca="1">IFERROR(__xludf.DUMMYFUNCTION("""COMPUTED_VALUE"""),"300x250 nebo 600x800")</f>
        <v>300x250 nebo 600x800</v>
      </c>
      <c r="R723" s="3"/>
      <c r="S723" s="3" t="str">
        <f ca="1">IFERROR(__xludf.DUMMYFUNCTION("""COMPUTED_VALUE"""),"100")</f>
        <v>100</v>
      </c>
      <c r="T723" s="3"/>
      <c r="U723" s="3" t="str">
        <f ca="1">IFERROR(__xludf.DUMMYFUNCTION("""COMPUTED_VALUE"""),"banner standard")</f>
        <v>banner standard</v>
      </c>
      <c r="V723" s="3"/>
      <c r="W723" s="4" t="str">
        <f ca="1">IFERROR(__xludf.DUMMYFUNCTION("""COMPUTED_VALUE"""),"https://reklama.cncenter.cz/Online/mobilni-vineta")</f>
        <v>https://reklama.cncenter.cz/Online/mobilni-vineta</v>
      </c>
      <c r="X723" s="3"/>
      <c r="Y723" s="3"/>
      <c r="Z723" s="3" t="str">
        <f ca="1">IFERROR(__xludf.DUMMYFUNCTION("""COMPUTED_VALUE"""),"podklady@cncenter.cz")</f>
        <v>podklady@cncenter.cz</v>
      </c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 t="str">
        <f ca="1">IFERROR(__xludf.DUMMYFUNCTION("""COMPUTED_VALUE"""),"mobile")</f>
        <v>mobile</v>
      </c>
      <c r="AO723" s="3"/>
      <c r="AP723" s="3"/>
      <c r="AQ723" s="3"/>
      <c r="AR723" s="3"/>
      <c r="AS723" s="3"/>
      <c r="AT723" s="3"/>
      <c r="AU723" s="3" t="str">
        <f ca="1">IFERROR(__xludf.DUMMYFUNCTION("""COMPUTED_VALUE"""),"mobilní viněta")</f>
        <v>mobilní viněta</v>
      </c>
    </row>
    <row r="724" spans="1:47" x14ac:dyDescent="0.3">
      <c r="A724" s="3">
        <f ca="1"/>
        <v>2346826</v>
      </c>
      <c r="B724" s="3" t="str">
        <f ca="1"/>
        <v>CZECH NEWS CENTER a. s.</v>
      </c>
      <c r="C724" s="3" t="str">
        <f ca="1">IFERROR(__xludf.DUMMYFUNCTION("""COMPUTED_VALUE"""),"Lidé a země")</f>
        <v>Lidé a země</v>
      </c>
      <c r="D724" s="4" t="str">
        <f ca="1">IFERROR(__xludf.DUMMYFUNCTION("""COMPUTED_VALUE"""),"https://lideazeme.cz")</f>
        <v>https://lideazeme.cz</v>
      </c>
      <c r="E724" s="3" t="str">
        <f ca="1">IFERROR(__xludf.DUMMYFUNCTION("""COMPUTED_VALUE"""),"celý web")</f>
        <v>celý web</v>
      </c>
      <c r="F724" s="4" t="str">
        <f ca="1">IFERROR(__xludf.DUMMYFUNCTION("""COMPUTED_VALUE"""),"https://lideazeme.cz")</f>
        <v>https://lideazeme.cz</v>
      </c>
      <c r="G724" s="3" t="str">
        <f ca="1">IFERROR(__xludf.DUMMYFUNCTION("""COMPUTED_VALUE"""),"Native Standard high season")</f>
        <v>Native Standard high season</v>
      </c>
      <c r="H724" s="3">
        <f ca="1">IFERROR(__xludf.DUMMYFUNCTION("""COMPUTED_VALUE"""),1)</f>
        <v>1</v>
      </c>
      <c r="I724" s="5">
        <f ca="1">IFERROR(__xludf.DUMMYFUNCTION("""COMPUTED_VALUE"""),1)</f>
        <v>1</v>
      </c>
      <c r="J724" s="5">
        <f ca="1">IFERROR(__xludf.DUMMYFUNCTION("""COMPUTED_VALUE"""),330000)</f>
        <v>330000</v>
      </c>
      <c r="K724" s="3"/>
      <c r="L724" s="3" t="str">
        <f ca="1">IFERROR(__xludf.DUMMYFUNCTION("""COMPUTED_VALUE"""),"Cost per instance")</f>
        <v>Cost per instance</v>
      </c>
      <c r="M724" s="3"/>
      <c r="N724" s="3"/>
      <c r="O724" s="3"/>
      <c r="P724" s="3"/>
      <c r="Q724" s="3"/>
      <c r="R724" s="3"/>
      <c r="S724" s="3" t="str">
        <f ca="1">IFERROR(__xludf.DUMMYFUNCTION("""COMPUTED_VALUE"""),"100")</f>
        <v>100</v>
      </c>
      <c r="T724" s="3"/>
      <c r="U724" s="3" t="str">
        <f ca="1">IFERROR(__xludf.DUMMYFUNCTION("""COMPUTED_VALUE"""),"microsite")</f>
        <v>microsite</v>
      </c>
      <c r="V724" s="3"/>
      <c r="W724" s="3"/>
      <c r="X724" s="3"/>
      <c r="Y724" s="3"/>
      <c r="Z724" s="3" t="str">
        <f ca="1">IFERROR(__xludf.DUMMYFUNCTION("""COMPUTED_VALUE"""),"podklady@cncenter.cz")</f>
        <v>podklady@cncenter.cz</v>
      </c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 t="str">
        <f ca="1">IFERROR(__xludf.DUMMYFUNCTION("""COMPUTED_VALUE"""),"cross-device")</f>
        <v>cross-device</v>
      </c>
      <c r="AO724" s="3"/>
      <c r="AP724" s="3"/>
      <c r="AQ724" s="3"/>
      <c r="AR724" s="3"/>
      <c r="AS724" s="3"/>
      <c r="AT724" s="3"/>
      <c r="AU724" s="3" t="str">
        <f ca="1">IFERROR(__xludf.DUMMYFUNCTION("""COMPUTED_VALUE"""),"Native Standard")</f>
        <v>Native Standard</v>
      </c>
    </row>
    <row r="725" spans="1:47" x14ac:dyDescent="0.3">
      <c r="A725" s="3">
        <f ca="1"/>
        <v>2346826</v>
      </c>
      <c r="B725" s="3" t="str">
        <f ca="1"/>
        <v>CZECH NEWS CENTER a. s.</v>
      </c>
      <c r="C725" s="3" t="str">
        <f ca="1">IFERROR(__xludf.DUMMYFUNCTION("""COMPUTED_VALUE"""),"Lidé a Země")</f>
        <v>Lidé a Země</v>
      </c>
      <c r="D725" s="4" t="str">
        <f ca="1">IFERROR(__xludf.DUMMYFUNCTION("""COMPUTED_VALUE"""),"https://lideazeme.cz")</f>
        <v>https://lideazeme.cz</v>
      </c>
      <c r="E725" s="3" t="str">
        <f ca="1">IFERROR(__xludf.DUMMYFUNCTION("""COMPUTED_VALUE"""),"celý web")</f>
        <v>celý web</v>
      </c>
      <c r="F725" s="4" t="str">
        <f ca="1">IFERROR(__xludf.DUMMYFUNCTION("""COMPUTED_VALUE"""),"https://lideazeme.cz")</f>
        <v>https://lideazeme.cz</v>
      </c>
      <c r="G725" s="3" t="str">
        <f ca="1">IFERROR(__xludf.DUMMYFUNCTION("""COMPUTED_VALUE"""),"nativní rectangle cross-device high season")</f>
        <v>nativní rectangle cross-device high season</v>
      </c>
      <c r="H725" s="3">
        <f ca="1">IFERROR(__xludf.DUMMYFUNCTION("""COMPUTED_VALUE"""),7)</f>
        <v>7</v>
      </c>
      <c r="I725" s="5">
        <f ca="1">IFERROR(__xludf.DUMMYFUNCTION("""COMPUTED_VALUE"""),1000)</f>
        <v>1000</v>
      </c>
      <c r="J725" s="5">
        <f ca="1">IFERROR(__xludf.DUMMYFUNCTION("""COMPUTED_VALUE"""),360)</f>
        <v>360</v>
      </c>
      <c r="K725" s="3"/>
      <c r="L725" s="3" t="str">
        <f ca="1">IFERROR(__xludf.DUMMYFUNCTION("""COMPUTED_VALUE"""),"Cost per period")</f>
        <v>Cost per period</v>
      </c>
      <c r="M725" s="3"/>
      <c r="N725" s="3"/>
      <c r="O725" s="3" t="str">
        <f ca="1">IFERROR(__xludf.DUMMYFUNCTION("""COMPUTED_VALUE"""),"640")</f>
        <v>640</v>
      </c>
      <c r="P725" s="3" t="str">
        <f ca="1">IFERROR(__xludf.DUMMYFUNCTION("""COMPUTED_VALUE"""),"335, 640")</f>
        <v>335, 640</v>
      </c>
      <c r="Q725" s="3" t="str">
        <f ca="1">IFERROR(__xludf.DUMMYFUNCTION("""COMPUTED_VALUE"""),"640x640 a 640x335 + text + logo")</f>
        <v>640x640 a 640x335 + text + logo</v>
      </c>
      <c r="R725" s="3"/>
      <c r="S725" s="3" t="str">
        <f ca="1">IFERROR(__xludf.DUMMYFUNCTION("""COMPUTED_VALUE"""),"45")</f>
        <v>45</v>
      </c>
      <c r="T725" s="3"/>
      <c r="U725" s="3" t="str">
        <f ca="1">IFERROR(__xludf.DUMMYFUNCTION("""COMPUTED_VALUE"""),"nativní reklama")</f>
        <v>nativní reklama</v>
      </c>
      <c r="V725" s="3"/>
      <c r="W725" s="4" t="str">
        <f ca="1">IFERROR(__xludf.DUMMYFUNCTION("""COMPUTED_VALUE"""),"https://reklama.cncenter.cz/Online/nativni-rectangle-cross-device")</f>
        <v>https://reklama.cncenter.cz/Online/nativni-rectangle-cross-device</v>
      </c>
      <c r="X725" s="3"/>
      <c r="Y725" s="3"/>
      <c r="Z725" s="3" t="str">
        <f ca="1">IFERROR(__xludf.DUMMYFUNCTION("""COMPUTED_VALUE"""),"podklady@cncenter.cz")</f>
        <v>podklady@cncenter.cz</v>
      </c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 t="str">
        <f ca="1">IFERROR(__xludf.DUMMYFUNCTION("""COMPUTED_VALUE"""),"cross-device")</f>
        <v>cross-device</v>
      </c>
      <c r="AO725" s="3"/>
      <c r="AP725" s="3"/>
      <c r="AQ725" s="3"/>
      <c r="AR725" s="3"/>
      <c r="AS725" s="3"/>
      <c r="AT725" s="3"/>
      <c r="AU725" s="3" t="str">
        <f ca="1">IFERROR(__xludf.DUMMYFUNCTION("""COMPUTED_VALUE"""),"nativní rectangle cross-device")</f>
        <v>nativní rectangle cross-device</v>
      </c>
    </row>
    <row r="726" spans="1:47" x14ac:dyDescent="0.3">
      <c r="A726" s="3">
        <f ca="1"/>
        <v>2346826</v>
      </c>
      <c r="B726" s="3" t="str">
        <f ca="1"/>
        <v>CZECH NEWS CENTER a. s.</v>
      </c>
      <c r="C726" s="3" t="str">
        <f ca="1">IFERROR(__xludf.DUMMYFUNCTION("""COMPUTED_VALUE"""),"Lidé a Země")</f>
        <v>Lidé a Země</v>
      </c>
      <c r="D726" s="4" t="str">
        <f ca="1">IFERROR(__xludf.DUMMYFUNCTION("""COMPUTED_VALUE"""),"https://lideazeme.cz")</f>
        <v>https://lideazeme.cz</v>
      </c>
      <c r="E726" s="3" t="str">
        <f ca="1">IFERROR(__xludf.DUMMYFUNCTION("""COMPUTED_VALUE"""),"celý web")</f>
        <v>celý web</v>
      </c>
      <c r="F726" s="4" t="str">
        <f ca="1">IFERROR(__xludf.DUMMYFUNCTION("""COMPUTED_VALUE"""),"https://lideazeme.cz")</f>
        <v>https://lideazeme.cz</v>
      </c>
      <c r="G726" s="3" t="str">
        <f ca="1">IFERROR(__xludf.DUMMYFUNCTION("""COMPUTED_VALUE"""),"outstream high season")</f>
        <v>outstream high season</v>
      </c>
      <c r="H726" s="3">
        <f ca="1">IFERROR(__xludf.DUMMYFUNCTION("""COMPUTED_VALUE"""),7)</f>
        <v>7</v>
      </c>
      <c r="I726" s="5">
        <f ca="1">IFERROR(__xludf.DUMMYFUNCTION("""COMPUTED_VALUE"""),1000)</f>
        <v>1000</v>
      </c>
      <c r="J726" s="5">
        <f ca="1">IFERROR(__xludf.DUMMYFUNCTION("""COMPUTED_VALUE"""),450)</f>
        <v>450</v>
      </c>
      <c r="K726" s="3"/>
      <c r="L726" s="3" t="str">
        <f ca="1">IFERROR(__xludf.DUMMYFUNCTION("""COMPUTED_VALUE"""),"Cost per period")</f>
        <v>Cost per period</v>
      </c>
      <c r="M726" s="3"/>
      <c r="N726" s="3"/>
      <c r="O726" s="3" t="str">
        <f ca="1">IFERROR(__xludf.DUMMYFUNCTION("""COMPUTED_VALUE"""),"1280")</f>
        <v>1280</v>
      </c>
      <c r="P726" s="3" t="str">
        <f ca="1">IFERROR(__xludf.DUMMYFUNCTION("""COMPUTED_VALUE"""),"720")</f>
        <v>720</v>
      </c>
      <c r="Q726" s="3" t="str">
        <f ca="1">IFERROR(__xludf.DUMMYFUNCTION("""COMPUTED_VALUE"""),"16:9")</f>
        <v>16:9</v>
      </c>
      <c r="R726" s="3"/>
      <c r="S726" s="3" t="str">
        <f ca="1">IFERROR(__xludf.DUMMYFUNCTION("""COMPUTED_VALUE"""),"100")</f>
        <v>100</v>
      </c>
      <c r="T726" s="3"/>
      <c r="U726" s="3" t="str">
        <f ca="1">IFERROR(__xludf.DUMMYFUNCTION("""COMPUTED_VALUE"""),"videospot")</f>
        <v>videospot</v>
      </c>
      <c r="V726" s="3"/>
      <c r="W726" s="4" t="str">
        <f ca="1">IFERROR(__xludf.DUMMYFUNCTION("""COMPUTED_VALUE"""),"https://reklama.cncenter.cz/Online/Outstream")</f>
        <v>https://reklama.cncenter.cz/Online/Outstream</v>
      </c>
      <c r="X726" s="3"/>
      <c r="Y726" s="3"/>
      <c r="Z726" s="3" t="str">
        <f ca="1">IFERROR(__xludf.DUMMYFUNCTION("""COMPUTED_VALUE"""),"podklady@cncenter.cz")</f>
        <v>podklady@cncenter.cz</v>
      </c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 t="str">
        <f ca="1">IFERROR(__xludf.DUMMYFUNCTION("""COMPUTED_VALUE"""),"cross-device")</f>
        <v>cross-device</v>
      </c>
      <c r="AO726" s="3"/>
      <c r="AP726" s="3"/>
      <c r="AQ726" s="3"/>
      <c r="AR726" s="3"/>
      <c r="AS726" s="3"/>
      <c r="AT726" s="3"/>
      <c r="AU726" s="3" t="str">
        <f ca="1">IFERROR(__xludf.DUMMYFUNCTION("""COMPUTED_VALUE"""),"outstream")</f>
        <v>outstream</v>
      </c>
    </row>
    <row r="727" spans="1:47" x14ac:dyDescent="0.3">
      <c r="A727" s="3">
        <f ca="1"/>
        <v>2346826</v>
      </c>
      <c r="B727" s="3" t="str">
        <f ca="1"/>
        <v>CZECH NEWS CENTER a. s.</v>
      </c>
      <c r="C727" s="3" t="str">
        <f ca="1">IFERROR(__xludf.DUMMYFUNCTION("""COMPUTED_VALUE"""),"Lidé a země")</f>
        <v>Lidé a země</v>
      </c>
      <c r="D727" s="4" t="str">
        <f ca="1">IFERROR(__xludf.DUMMYFUNCTION("""COMPUTED_VALUE"""),"https://lideazeme.cz")</f>
        <v>https://lideazeme.cz</v>
      </c>
      <c r="E727" s="3" t="str">
        <f ca="1">IFERROR(__xludf.DUMMYFUNCTION("""COMPUTED_VALUE"""),"celý web")</f>
        <v>celý web</v>
      </c>
      <c r="F727" s="4" t="str">
        <f ca="1">IFERROR(__xludf.DUMMYFUNCTION("""COMPUTED_VALUE"""),"https://lideazeme.cz")</f>
        <v>https://lideazeme.cz</v>
      </c>
      <c r="G727" s="3" t="str">
        <f ca="1">IFERROR(__xludf.DUMMYFUNCTION("""COMPUTED_VALUE"""),"PR článek high season")</f>
        <v>PR článek high season</v>
      </c>
      <c r="H727" s="3">
        <f ca="1">IFERROR(__xludf.DUMMYFUNCTION("""COMPUTED_VALUE"""),1)</f>
        <v>1</v>
      </c>
      <c r="I727" s="5">
        <f ca="1">IFERROR(__xludf.DUMMYFUNCTION("""COMPUTED_VALUE"""),1)</f>
        <v>1</v>
      </c>
      <c r="J727" s="5">
        <f ca="1">IFERROR(__xludf.DUMMYFUNCTION("""COMPUTED_VALUE"""),20000)</f>
        <v>20000</v>
      </c>
      <c r="K727" s="3"/>
      <c r="L727" s="3" t="str">
        <f ca="1">IFERROR(__xludf.DUMMYFUNCTION("""COMPUTED_VALUE"""),"Cost per instance")</f>
        <v>Cost per instance</v>
      </c>
      <c r="M727" s="3"/>
      <c r="N727" s="3"/>
      <c r="O727" s="3"/>
      <c r="P727" s="3"/>
      <c r="Q727" s="3"/>
      <c r="R727" s="3"/>
      <c r="S727" s="3" t="str">
        <f ca="1">IFERROR(__xludf.DUMMYFUNCTION("""COMPUTED_VALUE"""),"100")</f>
        <v>100</v>
      </c>
      <c r="T727" s="3"/>
      <c r="U727" s="3" t="str">
        <f ca="1">IFERROR(__xludf.DUMMYFUNCTION("""COMPUTED_VALUE"""),"pr článek")</f>
        <v>pr článek</v>
      </c>
      <c r="V727" s="3"/>
      <c r="W727" s="4" t="str">
        <f ca="1">IFERROR(__xludf.DUMMYFUNCTION("""COMPUTED_VALUE"""),"https://reklama.cncenter.cz/?ads=PR%2520%25C4%258Dl%25C3%25A1nky")</f>
        <v>https://reklama.cncenter.cz/?ads=PR%2520%25C4%258Dl%25C3%25A1nky</v>
      </c>
      <c r="X727" s="3"/>
      <c r="Y727" s="3"/>
      <c r="Z727" s="3" t="str">
        <f ca="1">IFERROR(__xludf.DUMMYFUNCTION("""COMPUTED_VALUE"""),"podklady@cncenter.cz")</f>
        <v>podklady@cncenter.cz</v>
      </c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 t="str">
        <f ca="1">IFERROR(__xludf.DUMMYFUNCTION("""COMPUTED_VALUE"""),"cross-device")</f>
        <v>cross-device</v>
      </c>
      <c r="AO727" s="3"/>
      <c r="AP727" s="3"/>
      <c r="AQ727" s="3"/>
      <c r="AR727" s="3"/>
      <c r="AS727" s="3"/>
      <c r="AT727" s="3"/>
      <c r="AU727" s="3" t="str">
        <f ca="1">IFERROR(__xludf.DUMMYFUNCTION("""COMPUTED_VALUE"""),"PR článek")</f>
        <v>PR článek</v>
      </c>
    </row>
    <row r="728" spans="1:47" x14ac:dyDescent="0.3">
      <c r="A728" s="3">
        <f ca="1"/>
        <v>2346826</v>
      </c>
      <c r="B728" s="3" t="str">
        <f ca="1"/>
        <v>CZECH NEWS CENTER a. s.</v>
      </c>
      <c r="C728" s="3" t="str">
        <f ca="1">IFERROR(__xludf.DUMMYFUNCTION("""COMPUTED_VALUE"""),"Lidé a země")</f>
        <v>Lidé a země</v>
      </c>
      <c r="D728" s="4" t="str">
        <f ca="1">IFERROR(__xludf.DUMMYFUNCTION("""COMPUTED_VALUE"""),"https://lideazeme.cz")</f>
        <v>https://lideazeme.cz</v>
      </c>
      <c r="E728" s="3" t="str">
        <f ca="1">IFERROR(__xludf.DUMMYFUNCTION("""COMPUTED_VALUE"""),"celý web")</f>
        <v>celý web</v>
      </c>
      <c r="F728" s="4" t="str">
        <f ca="1">IFERROR(__xludf.DUMMYFUNCTION("""COMPUTED_VALUE"""),"https://lideazeme.cz")</f>
        <v>https://lideazeme.cz</v>
      </c>
      <c r="G728" s="3" t="str">
        <f ca="1">IFERROR(__xludf.DUMMYFUNCTION("""COMPUTED_VALUE"""),"Prodloužení existující microsite, bez úprav high season")</f>
        <v>Prodloužení existující microsite, bez úprav high season</v>
      </c>
      <c r="H728" s="3">
        <f ca="1">IFERROR(__xludf.DUMMYFUNCTION("""COMPUTED_VALUE"""),1)</f>
        <v>1</v>
      </c>
      <c r="I728" s="5">
        <f ca="1">IFERROR(__xludf.DUMMYFUNCTION("""COMPUTED_VALUE"""),1)</f>
        <v>1</v>
      </c>
      <c r="J728" s="5">
        <f ca="1">IFERROR(__xludf.DUMMYFUNCTION("""COMPUTED_VALUE"""),15000)</f>
        <v>15000</v>
      </c>
      <c r="K728" s="3"/>
      <c r="L728" s="3" t="str">
        <f ca="1">IFERROR(__xludf.DUMMYFUNCTION("""COMPUTED_VALUE"""),"Cost per instance")</f>
        <v>Cost per instance</v>
      </c>
      <c r="M728" s="3"/>
      <c r="N728" s="3"/>
      <c r="O728" s="3"/>
      <c r="P728" s="3"/>
      <c r="Q728" s="3"/>
      <c r="R728" s="3"/>
      <c r="S728" s="3" t="str">
        <f ca="1">IFERROR(__xludf.DUMMYFUNCTION("""COMPUTED_VALUE"""),"100")</f>
        <v>100</v>
      </c>
      <c r="T728" s="3"/>
      <c r="U728" s="3" t="str">
        <f ca="1">IFERROR(__xludf.DUMMYFUNCTION("""COMPUTED_VALUE"""),"microsite")</f>
        <v>microsite</v>
      </c>
      <c r="V728" s="3"/>
      <c r="W728" s="3"/>
      <c r="X728" s="3"/>
      <c r="Y728" s="3"/>
      <c r="Z728" s="3" t="str">
        <f ca="1">IFERROR(__xludf.DUMMYFUNCTION("""COMPUTED_VALUE"""),"podklady@cncenter.cz")</f>
        <v>podklady@cncenter.cz</v>
      </c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 t="str">
        <f ca="1">IFERROR(__xludf.DUMMYFUNCTION("""COMPUTED_VALUE"""),"cross-device")</f>
        <v>cross-device</v>
      </c>
      <c r="AO728" s="3"/>
      <c r="AP728" s="3"/>
      <c r="AQ728" s="3"/>
      <c r="AR728" s="3"/>
      <c r="AS728" s="3"/>
      <c r="AT728" s="3"/>
      <c r="AU728" s="3" t="str">
        <f ca="1">IFERROR(__xludf.DUMMYFUNCTION("""COMPUTED_VALUE"""),"Prodloužení existující microsite, bez úprav")</f>
        <v>Prodloužení existující microsite, bez úprav</v>
      </c>
    </row>
    <row r="729" spans="1:47" x14ac:dyDescent="0.3">
      <c r="A729" s="3">
        <f ca="1"/>
        <v>2346826</v>
      </c>
      <c r="B729" s="3" t="str">
        <f ca="1"/>
        <v>CZECH NEWS CENTER a. s.</v>
      </c>
      <c r="C729" s="3" t="str">
        <f ca="1">IFERROR(__xludf.DUMMYFUNCTION("""COMPUTED_VALUE"""),"Lidé a země")</f>
        <v>Lidé a země</v>
      </c>
      <c r="D729" s="4" t="str">
        <f ca="1">IFERROR(__xludf.DUMMYFUNCTION("""COMPUTED_VALUE"""),"https://lideazeme.cz")</f>
        <v>https://lideazeme.cz</v>
      </c>
      <c r="E729" s="3" t="str">
        <f ca="1">IFERROR(__xludf.DUMMYFUNCTION("""COMPUTED_VALUE"""),"celý web")</f>
        <v>celý web</v>
      </c>
      <c r="F729" s="4" t="str">
        <f ca="1">IFERROR(__xludf.DUMMYFUNCTION("""COMPUTED_VALUE"""),"https://lideazeme.cz")</f>
        <v>https://lideazeme.cz</v>
      </c>
      <c r="G729" s="3" t="str">
        <f ca="1">IFERROR(__xludf.DUMMYFUNCTION("""COMPUTED_VALUE"""),"Prodloužení existující microsite, bez úprav high season")</f>
        <v>Prodloužení existující microsite, bez úprav high season</v>
      </c>
      <c r="H729" s="3">
        <f ca="1">IFERROR(__xludf.DUMMYFUNCTION("""COMPUTED_VALUE"""),1)</f>
        <v>1</v>
      </c>
      <c r="I729" s="5">
        <f ca="1">IFERROR(__xludf.DUMMYFUNCTION("""COMPUTED_VALUE"""),1)</f>
        <v>1</v>
      </c>
      <c r="J729" s="5">
        <f ca="1">IFERROR(__xludf.DUMMYFUNCTION("""COMPUTED_VALUE"""),15000)</f>
        <v>15000</v>
      </c>
      <c r="K729" s="3"/>
      <c r="L729" s="3" t="str">
        <f ca="1">IFERROR(__xludf.DUMMYFUNCTION("""COMPUTED_VALUE"""),"Cost per instance")</f>
        <v>Cost per instance</v>
      </c>
      <c r="M729" s="3"/>
      <c r="N729" s="3"/>
      <c r="O729" s="3"/>
      <c r="P729" s="3"/>
      <c r="Q729" s="3"/>
      <c r="R729" s="3"/>
      <c r="S729" s="3" t="str">
        <f ca="1">IFERROR(__xludf.DUMMYFUNCTION("""COMPUTED_VALUE"""),"100")</f>
        <v>100</v>
      </c>
      <c r="T729" s="3"/>
      <c r="U729" s="3" t="str">
        <f ca="1">IFERROR(__xludf.DUMMYFUNCTION("""COMPUTED_VALUE"""),"microsite")</f>
        <v>microsite</v>
      </c>
      <c r="V729" s="3"/>
      <c r="W729" s="3"/>
      <c r="X729" s="3"/>
      <c r="Y729" s="3"/>
      <c r="Z729" s="3" t="str">
        <f ca="1">IFERROR(__xludf.DUMMYFUNCTION("""COMPUTED_VALUE"""),"podklady@cncenter.cz")</f>
        <v>podklady@cncenter.cz</v>
      </c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 t="str">
        <f ca="1">IFERROR(__xludf.DUMMYFUNCTION("""COMPUTED_VALUE"""),"cross-device")</f>
        <v>cross-device</v>
      </c>
      <c r="AO729" s="3"/>
      <c r="AP729" s="3"/>
      <c r="AQ729" s="3"/>
      <c r="AR729" s="3"/>
      <c r="AS729" s="3"/>
      <c r="AT729" s="3"/>
      <c r="AU729" s="3" t="str">
        <f ca="1">IFERROR(__xludf.DUMMYFUNCTION("""COMPUTED_VALUE"""),"Prodloužení existující microsite, bez úprav")</f>
        <v>Prodloužení existující microsite, bez úprav</v>
      </c>
    </row>
    <row r="730" spans="1:47" x14ac:dyDescent="0.3">
      <c r="A730" s="3">
        <f ca="1"/>
        <v>2346826</v>
      </c>
      <c r="B730" s="3" t="str">
        <f ca="1"/>
        <v>CZECH NEWS CENTER a. s.</v>
      </c>
      <c r="C730" s="3" t="str">
        <f ca="1">IFERROR(__xludf.DUMMYFUNCTION("""COMPUTED_VALUE"""),"Lidé a země")</f>
        <v>Lidé a země</v>
      </c>
      <c r="D730" s="4" t="str">
        <f ca="1">IFERROR(__xludf.DUMMYFUNCTION("""COMPUTED_VALUE"""),"https://lideazeme.cz")</f>
        <v>https://lideazeme.cz</v>
      </c>
      <c r="E730" s="3" t="str">
        <f ca="1">IFERROR(__xludf.DUMMYFUNCTION("""COMPUTED_VALUE"""),"celý web")</f>
        <v>celý web</v>
      </c>
      <c r="F730" s="4" t="str">
        <f ca="1">IFERROR(__xludf.DUMMYFUNCTION("""COMPUTED_VALUE"""),"https://lideazeme.cz")</f>
        <v>https://lideazeme.cz</v>
      </c>
      <c r="G730" s="3" t="str">
        <f ca="1">IFERROR(__xludf.DUMMYFUNCTION("""COMPUTED_VALUE"""),"Prodloužení existující microsite, bez úprav high season")</f>
        <v>Prodloužení existující microsite, bez úprav high season</v>
      </c>
      <c r="H730" s="3">
        <f ca="1">IFERROR(__xludf.DUMMYFUNCTION("""COMPUTED_VALUE"""),1)</f>
        <v>1</v>
      </c>
      <c r="I730" s="5">
        <f ca="1">IFERROR(__xludf.DUMMYFUNCTION("""COMPUTED_VALUE"""),1)</f>
        <v>1</v>
      </c>
      <c r="J730" s="5">
        <f ca="1">IFERROR(__xludf.DUMMYFUNCTION("""COMPUTED_VALUE"""),15000)</f>
        <v>15000</v>
      </c>
      <c r="K730" s="3"/>
      <c r="L730" s="3" t="str">
        <f ca="1">IFERROR(__xludf.DUMMYFUNCTION("""COMPUTED_VALUE"""),"Cost per instance")</f>
        <v>Cost per instance</v>
      </c>
      <c r="M730" s="3"/>
      <c r="N730" s="3"/>
      <c r="O730" s="3"/>
      <c r="P730" s="3"/>
      <c r="Q730" s="3"/>
      <c r="R730" s="3"/>
      <c r="S730" s="3" t="str">
        <f ca="1">IFERROR(__xludf.DUMMYFUNCTION("""COMPUTED_VALUE"""),"100")</f>
        <v>100</v>
      </c>
      <c r="T730" s="3"/>
      <c r="U730" s="3" t="str">
        <f ca="1">IFERROR(__xludf.DUMMYFUNCTION("""COMPUTED_VALUE"""),"microsite")</f>
        <v>microsite</v>
      </c>
      <c r="V730" s="3"/>
      <c r="W730" s="3"/>
      <c r="X730" s="3"/>
      <c r="Y730" s="3"/>
      <c r="Z730" s="3" t="str">
        <f ca="1">IFERROR(__xludf.DUMMYFUNCTION("""COMPUTED_VALUE"""),"podklady@cncenter.cz")</f>
        <v>podklady@cncenter.cz</v>
      </c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 t="str">
        <f ca="1">IFERROR(__xludf.DUMMYFUNCTION("""COMPUTED_VALUE"""),"cross-device")</f>
        <v>cross-device</v>
      </c>
      <c r="AO730" s="3"/>
      <c r="AP730" s="3"/>
      <c r="AQ730" s="3"/>
      <c r="AR730" s="3"/>
      <c r="AS730" s="3"/>
      <c r="AT730" s="3"/>
      <c r="AU730" s="3" t="str">
        <f ca="1">IFERROR(__xludf.DUMMYFUNCTION("""COMPUTED_VALUE"""),"Prodloužení existující microsite, bez úprav")</f>
        <v>Prodloužení existující microsite, bez úprav</v>
      </c>
    </row>
    <row r="731" spans="1:47" x14ac:dyDescent="0.3">
      <c r="A731" s="3">
        <f ca="1"/>
        <v>2346826</v>
      </c>
      <c r="B731" s="3" t="str">
        <f ca="1"/>
        <v>CZECH NEWS CENTER a. s.</v>
      </c>
      <c r="C731" s="3" t="str">
        <f ca="1">IFERROR(__xludf.DUMMYFUNCTION("""COMPUTED_VALUE"""),"Maminka")</f>
        <v>Maminka</v>
      </c>
      <c r="D731" s="4" t="str">
        <f ca="1">IFERROR(__xludf.DUMMYFUNCTION("""COMPUTED_VALUE"""),"https://maminka.cz")</f>
        <v>https://maminka.cz</v>
      </c>
      <c r="E731" s="3" t="str">
        <f ca="1">IFERROR(__xludf.DUMMYFUNCTION("""COMPUTED_VALUE"""),"celý web")</f>
        <v>celý web</v>
      </c>
      <c r="F731" s="4" t="str">
        <f ca="1">IFERROR(__xludf.DUMMYFUNCTION("""COMPUTED_VALUE"""),"https://maminka.cz")</f>
        <v>https://maminka.cz</v>
      </c>
      <c r="G731" s="3" t="str">
        <f ca="1">IFERROR(__xludf.DUMMYFUNCTION("""COMPUTED_VALUE"""),"Advertorial high season")</f>
        <v>Advertorial high season</v>
      </c>
      <c r="H731" s="3">
        <f ca="1">IFERROR(__xludf.DUMMYFUNCTION("""COMPUTED_VALUE"""),1)</f>
        <v>1</v>
      </c>
      <c r="I731" s="5">
        <f ca="1">IFERROR(__xludf.DUMMYFUNCTION("""COMPUTED_VALUE"""),1)</f>
        <v>1</v>
      </c>
      <c r="J731" s="5">
        <f ca="1">IFERROR(__xludf.DUMMYFUNCTION("""COMPUTED_VALUE"""),90000)</f>
        <v>90000</v>
      </c>
      <c r="K731" s="3"/>
      <c r="L731" s="3" t="str">
        <f ca="1">IFERROR(__xludf.DUMMYFUNCTION("""COMPUTED_VALUE"""),"Cost per instance")</f>
        <v>Cost per instance</v>
      </c>
      <c r="M731" s="3"/>
      <c r="N731" s="3"/>
      <c r="O731" s="3"/>
      <c r="P731" s="3"/>
      <c r="Q731" s="3"/>
      <c r="R731" s="3"/>
      <c r="S731" s="3" t="str">
        <f ca="1">IFERROR(__xludf.DUMMYFUNCTION("""COMPUTED_VALUE"""),"100")</f>
        <v>100</v>
      </c>
      <c r="T731" s="3"/>
      <c r="U731" s="3" t="str">
        <f ca="1">IFERROR(__xludf.DUMMYFUNCTION("""COMPUTED_VALUE"""),"pr článek")</f>
        <v>pr článek</v>
      </c>
      <c r="V731" s="3"/>
      <c r="W731" s="3"/>
      <c r="X731" s="3"/>
      <c r="Y731" s="3"/>
      <c r="Z731" s="3" t="str">
        <f ca="1">IFERROR(__xludf.DUMMYFUNCTION("""COMPUTED_VALUE"""),"podklady@cncenter.cz")</f>
        <v>podklady@cncenter.cz</v>
      </c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 t="str">
        <f ca="1">IFERROR(__xludf.DUMMYFUNCTION("""COMPUTED_VALUE"""),"cross-device")</f>
        <v>cross-device</v>
      </c>
      <c r="AO731" s="3"/>
      <c r="AP731" s="3"/>
      <c r="AQ731" s="3"/>
      <c r="AR731" s="3"/>
      <c r="AS731" s="3"/>
      <c r="AT731" s="3"/>
      <c r="AU731" s="3" t="str">
        <f ca="1">IFERROR(__xludf.DUMMYFUNCTION("""COMPUTED_VALUE"""),"Advertorial")</f>
        <v>Advertorial</v>
      </c>
    </row>
    <row r="732" spans="1:47" x14ac:dyDescent="0.3">
      <c r="A732" s="3">
        <f ca="1"/>
        <v>2346826</v>
      </c>
      <c r="B732" s="3" t="str">
        <f ca="1"/>
        <v>CZECH NEWS CENTER a. s.</v>
      </c>
      <c r="C732" s="3" t="str">
        <f ca="1">IFERROR(__xludf.DUMMYFUNCTION("""COMPUTED_VALUE"""),"Maminka")</f>
        <v>Maminka</v>
      </c>
      <c r="D732" s="4" t="str">
        <f ca="1">IFERROR(__xludf.DUMMYFUNCTION("""COMPUTED_VALUE"""),"https://maminka.cz")</f>
        <v>https://maminka.cz</v>
      </c>
      <c r="E732" s="3" t="str">
        <f ca="1">IFERROR(__xludf.DUMMYFUNCTION("""COMPUTED_VALUE"""),"celý web")</f>
        <v>celý web</v>
      </c>
      <c r="F732" s="4" t="str">
        <f ca="1">IFERROR(__xludf.DUMMYFUNCTION("""COMPUTED_VALUE"""),"https://maminka.cz")</f>
        <v>https://maminka.cz</v>
      </c>
      <c r="G732" s="3" t="str">
        <f ca="1">IFERROR(__xludf.DUMMYFUNCTION("""COMPUTED_VALUE"""),"billboard bottom high season")</f>
        <v>billboard bottom high season</v>
      </c>
      <c r="H732" s="3">
        <f ca="1">IFERROR(__xludf.DUMMYFUNCTION("""COMPUTED_VALUE"""),7)</f>
        <v>7</v>
      </c>
      <c r="I732" s="5">
        <f ca="1">IFERROR(__xludf.DUMMYFUNCTION("""COMPUTED_VALUE"""),1000)</f>
        <v>1000</v>
      </c>
      <c r="J732" s="5">
        <f ca="1">IFERROR(__xludf.DUMMYFUNCTION("""COMPUTED_VALUE"""),440)</f>
        <v>440</v>
      </c>
      <c r="K732" s="3"/>
      <c r="L732" s="3" t="str">
        <f ca="1">IFERROR(__xludf.DUMMYFUNCTION("""COMPUTED_VALUE"""),"Cost per period")</f>
        <v>Cost per period</v>
      </c>
      <c r="M732" s="3"/>
      <c r="N732" s="3"/>
      <c r="O732" s="3" t="str">
        <f ca="1">IFERROR(__xludf.DUMMYFUNCTION("""COMPUTED_VALUE"""),"970")</f>
        <v>970</v>
      </c>
      <c r="P732" s="3" t="str">
        <f ca="1">IFERROR(__xludf.DUMMYFUNCTION("""COMPUTED_VALUE"""),"250")</f>
        <v>250</v>
      </c>
      <c r="Q732" s="3" t="str">
        <f ca="1">IFERROR(__xludf.DUMMYFUNCTION("""COMPUTED_VALUE"""),"970x250")</f>
        <v>970x250</v>
      </c>
      <c r="R732" s="3"/>
      <c r="S732" s="3" t="str">
        <f ca="1">IFERROR(__xludf.DUMMYFUNCTION("""COMPUTED_VALUE"""),"100 (200 - HTML5)")</f>
        <v>100 (200 - HTML5)</v>
      </c>
      <c r="T732" s="3"/>
      <c r="U732" s="3" t="str">
        <f ca="1">IFERROR(__xludf.DUMMYFUNCTION("""COMPUTED_VALUE"""),"banner standard")</f>
        <v>banner standard</v>
      </c>
      <c r="V732" s="3"/>
      <c r="W732" s="4" t="str">
        <f ca="1">IFERROR(__xludf.DUMMYFUNCTION("""COMPUTED_VALUE"""),"https://reklama.cncenter.cz/Online/billboard-bottom")</f>
        <v>https://reklama.cncenter.cz/Online/billboard-bottom</v>
      </c>
      <c r="X732" s="3"/>
      <c r="Y732" s="3"/>
      <c r="Z732" s="3" t="str">
        <f ca="1">IFERROR(__xludf.DUMMYFUNCTION("""COMPUTED_VALUE"""),"podklady@cncenter.cz")</f>
        <v>podklady@cncenter.cz</v>
      </c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 t="str">
        <f ca="1">IFERROR(__xludf.DUMMYFUNCTION("""COMPUTED_VALUE"""),"desktop")</f>
        <v>desktop</v>
      </c>
      <c r="AO732" s="3"/>
      <c r="AP732" s="3"/>
      <c r="AQ732" s="3"/>
      <c r="AR732" s="3"/>
      <c r="AS732" s="3"/>
      <c r="AT732" s="3"/>
      <c r="AU732" s="3" t="str">
        <f ca="1">IFERROR(__xludf.DUMMYFUNCTION("""COMPUTED_VALUE"""),"billboard bottom")</f>
        <v>billboard bottom</v>
      </c>
    </row>
    <row r="733" spans="1:47" x14ac:dyDescent="0.3">
      <c r="A733" s="3">
        <f ca="1"/>
        <v>2346826</v>
      </c>
      <c r="B733" s="3" t="str">
        <f ca="1"/>
        <v>CZECH NEWS CENTER a. s.</v>
      </c>
      <c r="C733" s="3" t="str">
        <f ca="1">IFERROR(__xludf.DUMMYFUNCTION("""COMPUTED_VALUE"""),"Maminka")</f>
        <v>Maminka</v>
      </c>
      <c r="D733" s="4" t="str">
        <f ca="1">IFERROR(__xludf.DUMMYFUNCTION("""COMPUTED_VALUE"""),"https://maminka.cz")</f>
        <v>https://maminka.cz</v>
      </c>
      <c r="E733" s="3" t="str">
        <f ca="1">IFERROR(__xludf.DUMMYFUNCTION("""COMPUTED_VALUE"""),"celý web")</f>
        <v>celý web</v>
      </c>
      <c r="F733" s="4" t="str">
        <f ca="1">IFERROR(__xludf.DUMMYFUNCTION("""COMPUTED_VALUE"""),"https://maminka.cz")</f>
        <v>https://maminka.cz</v>
      </c>
      <c r="G733" s="3" t="str">
        <f ca="1">IFERROR(__xludf.DUMMYFUNCTION("""COMPUTED_VALUE"""),"branding cross-device high season")</f>
        <v>branding cross-device high season</v>
      </c>
      <c r="H733" s="3">
        <f ca="1">IFERROR(__xludf.DUMMYFUNCTION("""COMPUTED_VALUE"""),7)</f>
        <v>7</v>
      </c>
      <c r="I733" s="5">
        <f ca="1">IFERROR(__xludf.DUMMYFUNCTION("""COMPUTED_VALUE"""),1000)</f>
        <v>1000</v>
      </c>
      <c r="J733" s="5">
        <f ca="1">IFERROR(__xludf.DUMMYFUNCTION("""COMPUTED_VALUE"""),540)</f>
        <v>540</v>
      </c>
      <c r="K733" s="3"/>
      <c r="L733" s="3" t="str">
        <f ca="1">IFERROR(__xludf.DUMMYFUNCTION("""COMPUTED_VALUE"""),"Cost per period")</f>
        <v>Cost per period</v>
      </c>
      <c r="M733" s="3"/>
      <c r="N733" s="3"/>
      <c r="O733" s="3" t="str">
        <f ca="1">IFERROR(__xludf.DUMMYFUNCTION("""COMPUTED_VALUE"""),"2000")</f>
        <v>2000</v>
      </c>
      <c r="P733" s="3" t="str">
        <f ca="1">IFERROR(__xludf.DUMMYFUNCTION("""COMPUTED_VALUE"""),"1400")</f>
        <v>1400</v>
      </c>
      <c r="Q733" s="3" t="str">
        <f ca="1">IFERROR(__xludf.DUMMYFUNCTION("""COMPUTED_VALUE"""),"2000x1400 + 600x1080")</f>
        <v>2000x1400 + 600x1080</v>
      </c>
      <c r="R733" s="3"/>
      <c r="S733" s="3" t="str">
        <f ca="1">IFERROR(__xludf.DUMMYFUNCTION("""COMPUTED_VALUE"""),"500 (600 - HTLM5)")</f>
        <v>500 (600 - HTLM5)</v>
      </c>
      <c r="T733" s="3"/>
      <c r="U733" s="3" t="str">
        <f ca="1">IFERROR(__xludf.DUMMYFUNCTION("""COMPUTED_VALUE"""),"banner standard")</f>
        <v>banner standard</v>
      </c>
      <c r="V733" s="3"/>
      <c r="W733" s="4" t="str">
        <f ca="1">IFERROR(__xludf.DUMMYFUNCTION("""COMPUTED_VALUE"""),"https://reklama.cncenter.cz/Online/branding-cross-device")</f>
        <v>https://reklama.cncenter.cz/Online/branding-cross-device</v>
      </c>
      <c r="X733" s="3"/>
      <c r="Y733" s="3"/>
      <c r="Z733" s="3" t="str">
        <f ca="1">IFERROR(__xludf.DUMMYFUNCTION("""COMPUTED_VALUE"""),"podklady@cncenter.cz")</f>
        <v>podklady@cncenter.cz</v>
      </c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 t="str">
        <f ca="1">IFERROR(__xludf.DUMMYFUNCTION("""COMPUTED_VALUE"""),"cross-device")</f>
        <v>cross-device</v>
      </c>
      <c r="AO733" s="3"/>
      <c r="AP733" s="3"/>
      <c r="AQ733" s="3"/>
      <c r="AR733" s="3"/>
      <c r="AS733" s="3"/>
      <c r="AT733" s="3"/>
      <c r="AU733" s="3" t="str">
        <f ca="1">IFERROR(__xludf.DUMMYFUNCTION("""COMPUTED_VALUE"""),"branding cross-device")</f>
        <v>branding cross-device</v>
      </c>
    </row>
    <row r="734" spans="1:47" x14ac:dyDescent="0.3">
      <c r="A734" s="3">
        <f ca="1"/>
        <v>2346826</v>
      </c>
      <c r="B734" s="3" t="str">
        <f ca="1"/>
        <v>CZECH NEWS CENTER a. s.</v>
      </c>
      <c r="C734" s="3" t="str">
        <f ca="1">IFERROR(__xludf.DUMMYFUNCTION("""COMPUTED_VALUE"""),"Maminka")</f>
        <v>Maminka</v>
      </c>
      <c r="D734" s="4" t="str">
        <f ca="1">IFERROR(__xludf.DUMMYFUNCTION("""COMPUTED_VALUE"""),"https://maminka.cz")</f>
        <v>https://maminka.cz</v>
      </c>
      <c r="E734" s="3" t="str">
        <f ca="1">IFERROR(__xludf.DUMMYFUNCTION("""COMPUTED_VALUE"""),"celý web")</f>
        <v>celý web</v>
      </c>
      <c r="F734" s="4" t="str">
        <f ca="1">IFERROR(__xludf.DUMMYFUNCTION("""COMPUTED_VALUE"""),"https://maminka.cz")</f>
        <v>https://maminka.cz</v>
      </c>
      <c r="G734" s="3" t="str">
        <f ca="1">IFERROR(__xludf.DUMMYFUNCTION("""COMPUTED_VALUE"""),"branding high season")</f>
        <v>branding high season</v>
      </c>
      <c r="H734" s="3">
        <f ca="1">IFERROR(__xludf.DUMMYFUNCTION("""COMPUTED_VALUE"""),7)</f>
        <v>7</v>
      </c>
      <c r="I734" s="5">
        <f ca="1">IFERROR(__xludf.DUMMYFUNCTION("""COMPUTED_VALUE"""),1000)</f>
        <v>1000</v>
      </c>
      <c r="J734" s="5">
        <f ca="1">IFERROR(__xludf.DUMMYFUNCTION("""COMPUTED_VALUE"""),890)</f>
        <v>890</v>
      </c>
      <c r="K734" s="3"/>
      <c r="L734" s="3" t="str">
        <f ca="1">IFERROR(__xludf.DUMMYFUNCTION("""COMPUTED_VALUE"""),"Cost per period")</f>
        <v>Cost per period</v>
      </c>
      <c r="M734" s="3"/>
      <c r="N734" s="3"/>
      <c r="O734" s="3" t="str">
        <f ca="1">IFERROR(__xludf.DUMMYFUNCTION("""COMPUTED_VALUE"""),"2000")</f>
        <v>2000</v>
      </c>
      <c r="P734" s="3" t="str">
        <f ca="1">IFERROR(__xludf.DUMMYFUNCTION("""COMPUTED_VALUE"""),"1400")</f>
        <v>1400</v>
      </c>
      <c r="Q734" s="3" t="str">
        <f ca="1">IFERROR(__xludf.DUMMYFUNCTION("""COMPUTED_VALUE"""),"2000x1400")</f>
        <v>2000x1400</v>
      </c>
      <c r="R734" s="3"/>
      <c r="S734" s="3" t="str">
        <f ca="1">IFERROR(__xludf.DUMMYFUNCTION("""COMPUTED_VALUE"""),"500 + 200 (600+200 HTML5)")</f>
        <v>500 + 200 (600+200 HTML5)</v>
      </c>
      <c r="T734" s="3"/>
      <c r="U734" s="3" t="str">
        <f ca="1">IFERROR(__xludf.DUMMYFUNCTION("""COMPUTED_VALUE"""),"banner standard")</f>
        <v>banner standard</v>
      </c>
      <c r="V734" s="3"/>
      <c r="W734" s="4" t="str">
        <f ca="1">IFERROR(__xludf.DUMMYFUNCTION("""COMPUTED_VALUE"""),"https://reklama.cncenter.cz/Online/branding")</f>
        <v>https://reklama.cncenter.cz/Online/branding</v>
      </c>
      <c r="X734" s="3"/>
      <c r="Y734" s="3"/>
      <c r="Z734" s="3" t="str">
        <f ca="1">IFERROR(__xludf.DUMMYFUNCTION("""COMPUTED_VALUE"""),"podklady@cncenter.cz")</f>
        <v>podklady@cncenter.cz</v>
      </c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 t="str">
        <f ca="1">IFERROR(__xludf.DUMMYFUNCTION("""COMPUTED_VALUE"""),"desktop")</f>
        <v>desktop</v>
      </c>
      <c r="AO734" s="3"/>
      <c r="AP734" s="3"/>
      <c r="AQ734" s="3"/>
      <c r="AR734" s="3"/>
      <c r="AS734" s="3"/>
      <c r="AT734" s="3"/>
      <c r="AU734" s="3" t="str">
        <f ca="1">IFERROR(__xludf.DUMMYFUNCTION("""COMPUTED_VALUE"""),"branding")</f>
        <v>branding</v>
      </c>
    </row>
    <row r="735" spans="1:47" x14ac:dyDescent="0.3">
      <c r="A735" s="3">
        <f ca="1"/>
        <v>2346826</v>
      </c>
      <c r="B735" s="3" t="str">
        <f ca="1"/>
        <v>CZECH NEWS CENTER a. s.</v>
      </c>
      <c r="C735" s="3" t="str">
        <f ca="1">IFERROR(__xludf.DUMMYFUNCTION("""COMPUTED_VALUE"""),"Maminka")</f>
        <v>Maminka</v>
      </c>
      <c r="D735" s="4" t="str">
        <f ca="1">IFERROR(__xludf.DUMMYFUNCTION("""COMPUTED_VALUE"""),"https://maminka.cz")</f>
        <v>https://maminka.cz</v>
      </c>
      <c r="E735" s="3" t="str">
        <f ca="1">IFERROR(__xludf.DUMMYFUNCTION("""COMPUTED_VALUE"""),"celý web")</f>
        <v>celý web</v>
      </c>
      <c r="F735" s="4" t="str">
        <f ca="1">IFERROR(__xludf.DUMMYFUNCTION("""COMPUTED_VALUE"""),"https://maminka.cz")</f>
        <v>https://maminka.cz</v>
      </c>
      <c r="G735" s="3" t="str">
        <f ca="1">IFERROR(__xludf.DUMMYFUNCTION("""COMPUTED_VALUE"""),"cílený billboard bottom high season")</f>
        <v>cílený billboard bottom high season</v>
      </c>
      <c r="H735" s="3">
        <f ca="1">IFERROR(__xludf.DUMMYFUNCTION("""COMPUTED_VALUE"""),7)</f>
        <v>7</v>
      </c>
      <c r="I735" s="5">
        <f ca="1">IFERROR(__xludf.DUMMYFUNCTION("""COMPUTED_VALUE"""),1000)</f>
        <v>1000</v>
      </c>
      <c r="J735" s="5">
        <f ca="1">IFERROR(__xludf.DUMMYFUNCTION("""COMPUTED_VALUE"""),528)</f>
        <v>528</v>
      </c>
      <c r="K735" s="3"/>
      <c r="L735" s="3" t="str">
        <f ca="1">IFERROR(__xludf.DUMMYFUNCTION("""COMPUTED_VALUE"""),"Cost per period")</f>
        <v>Cost per period</v>
      </c>
      <c r="M735" s="3"/>
      <c r="N735" s="3"/>
      <c r="O735" s="3" t="str">
        <f ca="1">IFERROR(__xludf.DUMMYFUNCTION("""COMPUTED_VALUE"""),"970")</f>
        <v>970</v>
      </c>
      <c r="P735" s="3" t="str">
        <f ca="1">IFERROR(__xludf.DUMMYFUNCTION("""COMPUTED_VALUE"""),"250")</f>
        <v>250</v>
      </c>
      <c r="Q735" s="3" t="str">
        <f ca="1">IFERROR(__xludf.DUMMYFUNCTION("""COMPUTED_VALUE"""),"970x250")</f>
        <v>970x250</v>
      </c>
      <c r="R735" s="3"/>
      <c r="S735" s="3" t="str">
        <f ca="1">IFERROR(__xludf.DUMMYFUNCTION("""COMPUTED_VALUE"""),"100 (200 - HTML5)")</f>
        <v>100 (200 - HTML5)</v>
      </c>
      <c r="T735" s="3"/>
      <c r="U735" s="3" t="str">
        <f ca="1">IFERROR(__xludf.DUMMYFUNCTION("""COMPUTED_VALUE"""),"banner standard")</f>
        <v>banner standard</v>
      </c>
      <c r="V735" s="3"/>
      <c r="W735" s="4" t="str">
        <f ca="1">IFERROR(__xludf.DUMMYFUNCTION("""COMPUTED_VALUE"""),"https://reklama.cncenter.cz/Online/billboard-bottom")</f>
        <v>https://reklama.cncenter.cz/Online/billboard-bottom</v>
      </c>
      <c r="X735" s="3"/>
      <c r="Y735" s="3"/>
      <c r="Z735" s="3" t="str">
        <f ca="1">IFERROR(__xludf.DUMMYFUNCTION("""COMPUTED_VALUE"""),"podklady@cncenter.cz")</f>
        <v>podklady@cncenter.cz</v>
      </c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 t="str">
        <f ca="1">IFERROR(__xludf.DUMMYFUNCTION("""COMPUTED_VALUE"""),"desktop")</f>
        <v>desktop</v>
      </c>
      <c r="AO735" s="3"/>
      <c r="AP735" s="3"/>
      <c r="AQ735" s="3"/>
      <c r="AR735" s="3"/>
      <c r="AS735" s="3"/>
      <c r="AT735" s="3"/>
      <c r="AU735" s="3" t="str">
        <f ca="1">IFERROR(__xludf.DUMMYFUNCTION("""COMPUTED_VALUE"""),"cílený billboard bottom")</f>
        <v>cílený billboard bottom</v>
      </c>
    </row>
    <row r="736" spans="1:47" x14ac:dyDescent="0.3">
      <c r="A736" s="3">
        <f ca="1"/>
        <v>2346826</v>
      </c>
      <c r="B736" s="3" t="str">
        <f ca="1"/>
        <v>CZECH NEWS CENTER a. s.</v>
      </c>
      <c r="C736" s="3" t="str">
        <f ca="1">IFERROR(__xludf.DUMMYFUNCTION("""COMPUTED_VALUE"""),"Maminka")</f>
        <v>Maminka</v>
      </c>
      <c r="D736" s="4" t="str">
        <f ca="1">IFERROR(__xludf.DUMMYFUNCTION("""COMPUTED_VALUE"""),"https://maminka.cz")</f>
        <v>https://maminka.cz</v>
      </c>
      <c r="E736" s="3" t="str">
        <f ca="1">IFERROR(__xludf.DUMMYFUNCTION("""COMPUTED_VALUE"""),"celý web")</f>
        <v>celý web</v>
      </c>
      <c r="F736" s="4" t="str">
        <f ca="1">IFERROR(__xludf.DUMMYFUNCTION("""COMPUTED_VALUE"""),"https://maminka.cz")</f>
        <v>https://maminka.cz</v>
      </c>
      <c r="G736" s="3" t="str">
        <f ca="1">IFERROR(__xludf.DUMMYFUNCTION("""COMPUTED_VALUE"""),"cílený branding cross-device high season")</f>
        <v>cílený branding cross-device high season</v>
      </c>
      <c r="H736" s="3">
        <f ca="1">IFERROR(__xludf.DUMMYFUNCTION("""COMPUTED_VALUE"""),7)</f>
        <v>7</v>
      </c>
      <c r="I736" s="5">
        <f ca="1">IFERROR(__xludf.DUMMYFUNCTION("""COMPUTED_VALUE"""),1000)</f>
        <v>1000</v>
      </c>
      <c r="J736" s="5">
        <f ca="1">IFERROR(__xludf.DUMMYFUNCTION("""COMPUTED_VALUE"""),648)</f>
        <v>648</v>
      </c>
      <c r="K736" s="3"/>
      <c r="L736" s="3" t="str">
        <f ca="1">IFERROR(__xludf.DUMMYFUNCTION("""COMPUTED_VALUE"""),"Cost per period")</f>
        <v>Cost per period</v>
      </c>
      <c r="M736" s="3"/>
      <c r="N736" s="3"/>
      <c r="O736" s="3" t="str">
        <f ca="1">IFERROR(__xludf.DUMMYFUNCTION("""COMPUTED_VALUE"""),"2000")</f>
        <v>2000</v>
      </c>
      <c r="P736" s="3" t="str">
        <f ca="1">IFERROR(__xludf.DUMMYFUNCTION("""COMPUTED_VALUE"""),"1400")</f>
        <v>1400</v>
      </c>
      <c r="Q736" s="3" t="str">
        <f ca="1">IFERROR(__xludf.DUMMYFUNCTION("""COMPUTED_VALUE"""),"2000x1400 + 600x1080")</f>
        <v>2000x1400 + 600x1080</v>
      </c>
      <c r="R736" s="3"/>
      <c r="S736" s="3" t="str">
        <f ca="1">IFERROR(__xludf.DUMMYFUNCTION("""COMPUTED_VALUE"""),"500 (600 - HTLM5)")</f>
        <v>500 (600 - HTLM5)</v>
      </c>
      <c r="T736" s="3"/>
      <c r="U736" s="3" t="str">
        <f ca="1">IFERROR(__xludf.DUMMYFUNCTION("""COMPUTED_VALUE"""),"banner standard")</f>
        <v>banner standard</v>
      </c>
      <c r="V736" s="3"/>
      <c r="W736" s="4" t="str">
        <f ca="1">IFERROR(__xludf.DUMMYFUNCTION("""COMPUTED_VALUE"""),"https://reklama.cncenter.cz/Online/branding-cross-device")</f>
        <v>https://reklama.cncenter.cz/Online/branding-cross-device</v>
      </c>
      <c r="X736" s="3"/>
      <c r="Y736" s="3"/>
      <c r="Z736" s="3" t="str">
        <f ca="1">IFERROR(__xludf.DUMMYFUNCTION("""COMPUTED_VALUE"""),"podklady@cncenter.cz")</f>
        <v>podklady@cncenter.cz</v>
      </c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 t="str">
        <f ca="1">IFERROR(__xludf.DUMMYFUNCTION("""COMPUTED_VALUE"""),"cross-device")</f>
        <v>cross-device</v>
      </c>
      <c r="AO736" s="3"/>
      <c r="AP736" s="3"/>
      <c r="AQ736" s="3"/>
      <c r="AR736" s="3"/>
      <c r="AS736" s="3"/>
      <c r="AT736" s="3"/>
      <c r="AU736" s="3" t="str">
        <f ca="1">IFERROR(__xludf.DUMMYFUNCTION("""COMPUTED_VALUE"""),"cílený branding cross-device")</f>
        <v>cílený branding cross-device</v>
      </c>
    </row>
    <row r="737" spans="1:47" x14ac:dyDescent="0.3">
      <c r="A737" s="3">
        <f ca="1"/>
        <v>2346826</v>
      </c>
      <c r="B737" s="3" t="str">
        <f ca="1"/>
        <v>CZECH NEWS CENTER a. s.</v>
      </c>
      <c r="C737" s="3" t="str">
        <f ca="1">IFERROR(__xludf.DUMMYFUNCTION("""COMPUTED_VALUE"""),"Maminka")</f>
        <v>Maminka</v>
      </c>
      <c r="D737" s="4" t="str">
        <f ca="1">IFERROR(__xludf.DUMMYFUNCTION("""COMPUTED_VALUE"""),"https://maminka.cz")</f>
        <v>https://maminka.cz</v>
      </c>
      <c r="E737" s="3" t="str">
        <f ca="1">IFERROR(__xludf.DUMMYFUNCTION("""COMPUTED_VALUE"""),"celý web")</f>
        <v>celý web</v>
      </c>
      <c r="F737" s="4" t="str">
        <f ca="1">IFERROR(__xludf.DUMMYFUNCTION("""COMPUTED_VALUE"""),"https://maminka.cz")</f>
        <v>https://maminka.cz</v>
      </c>
      <c r="G737" s="3" t="str">
        <f ca="1">IFERROR(__xludf.DUMMYFUNCTION("""COMPUTED_VALUE"""),"cílený branding high season")</f>
        <v>cílený branding high season</v>
      </c>
      <c r="H737" s="3">
        <f ca="1">IFERROR(__xludf.DUMMYFUNCTION("""COMPUTED_VALUE"""),7)</f>
        <v>7</v>
      </c>
      <c r="I737" s="5">
        <f ca="1">IFERROR(__xludf.DUMMYFUNCTION("""COMPUTED_VALUE"""),1000)</f>
        <v>1000</v>
      </c>
      <c r="J737" s="5">
        <f ca="1">IFERROR(__xludf.DUMMYFUNCTION("""COMPUTED_VALUE"""),1068)</f>
        <v>1068</v>
      </c>
      <c r="K737" s="3"/>
      <c r="L737" s="3" t="str">
        <f ca="1">IFERROR(__xludf.DUMMYFUNCTION("""COMPUTED_VALUE"""),"Cost per period")</f>
        <v>Cost per period</v>
      </c>
      <c r="M737" s="3"/>
      <c r="N737" s="3"/>
      <c r="O737" s="3" t="str">
        <f ca="1">IFERROR(__xludf.DUMMYFUNCTION("""COMPUTED_VALUE"""),"2000")</f>
        <v>2000</v>
      </c>
      <c r="P737" s="3" t="str">
        <f ca="1">IFERROR(__xludf.DUMMYFUNCTION("""COMPUTED_VALUE"""),"1400")</f>
        <v>1400</v>
      </c>
      <c r="Q737" s="3" t="str">
        <f ca="1">IFERROR(__xludf.DUMMYFUNCTION("""COMPUTED_VALUE"""),"2000x1400")</f>
        <v>2000x1400</v>
      </c>
      <c r="R737" s="3"/>
      <c r="S737" s="3" t="str">
        <f ca="1">IFERROR(__xludf.DUMMYFUNCTION("""COMPUTED_VALUE"""),"500 + 200 (600+200 HTML5)")</f>
        <v>500 + 200 (600+200 HTML5)</v>
      </c>
      <c r="T737" s="3"/>
      <c r="U737" s="3" t="str">
        <f ca="1">IFERROR(__xludf.DUMMYFUNCTION("""COMPUTED_VALUE"""),"banner standard")</f>
        <v>banner standard</v>
      </c>
      <c r="V737" s="3"/>
      <c r="W737" s="4" t="str">
        <f ca="1">IFERROR(__xludf.DUMMYFUNCTION("""COMPUTED_VALUE"""),"https://reklama.cncenter.cz/Online/branding")</f>
        <v>https://reklama.cncenter.cz/Online/branding</v>
      </c>
      <c r="X737" s="3"/>
      <c r="Y737" s="3"/>
      <c r="Z737" s="3" t="str">
        <f ca="1">IFERROR(__xludf.DUMMYFUNCTION("""COMPUTED_VALUE"""),"podklady@cncenter.cz")</f>
        <v>podklady@cncenter.cz</v>
      </c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 t="str">
        <f ca="1">IFERROR(__xludf.DUMMYFUNCTION("""COMPUTED_VALUE"""),"desktop")</f>
        <v>desktop</v>
      </c>
      <c r="AO737" s="3"/>
      <c r="AP737" s="3"/>
      <c r="AQ737" s="3"/>
      <c r="AR737" s="3"/>
      <c r="AS737" s="3"/>
      <c r="AT737" s="3"/>
      <c r="AU737" s="3" t="str">
        <f ca="1">IFERROR(__xludf.DUMMYFUNCTION("""COMPUTED_VALUE"""),"cílený branding")</f>
        <v>cílený branding</v>
      </c>
    </row>
    <row r="738" spans="1:47" x14ac:dyDescent="0.3">
      <c r="A738" s="3">
        <f ca="1"/>
        <v>2346826</v>
      </c>
      <c r="B738" s="3" t="str">
        <f ca="1"/>
        <v>CZECH NEWS CENTER a. s.</v>
      </c>
      <c r="C738" s="3" t="str">
        <f ca="1">IFERROR(__xludf.DUMMYFUNCTION("""COMPUTED_VALUE"""),"Maminka")</f>
        <v>Maminka</v>
      </c>
      <c r="D738" s="4" t="str">
        <f ca="1">IFERROR(__xludf.DUMMYFUNCTION("""COMPUTED_VALUE"""),"https://maminka.cz")</f>
        <v>https://maminka.cz</v>
      </c>
      <c r="E738" s="3" t="str">
        <f ca="1">IFERROR(__xludf.DUMMYFUNCTION("""COMPUTED_VALUE"""),"celý web")</f>
        <v>celý web</v>
      </c>
      <c r="F738" s="4" t="str">
        <f ca="1">IFERROR(__xludf.DUMMYFUNCTION("""COMPUTED_VALUE"""),"https://maminka.cz")</f>
        <v>https://maminka.cz</v>
      </c>
      <c r="G738" s="3" t="str">
        <f ca="1">IFERROR(__xludf.DUMMYFUNCTION("""COMPUTED_VALUE"""),"cílený double skyscraper high season")</f>
        <v>cílený double skyscraper high season</v>
      </c>
      <c r="H738" s="3">
        <f ca="1">IFERROR(__xludf.DUMMYFUNCTION("""COMPUTED_VALUE"""),7)</f>
        <v>7</v>
      </c>
      <c r="I738" s="5">
        <f ca="1">IFERROR(__xludf.DUMMYFUNCTION("""COMPUTED_VALUE"""),1000)</f>
        <v>1000</v>
      </c>
      <c r="J738" s="5">
        <f ca="1">IFERROR(__xludf.DUMMYFUNCTION("""COMPUTED_VALUE"""),420)</f>
        <v>420</v>
      </c>
      <c r="K738" s="3"/>
      <c r="L738" s="3" t="str">
        <f ca="1">IFERROR(__xludf.DUMMYFUNCTION("""COMPUTED_VALUE"""),"Cost per period")</f>
        <v>Cost per period</v>
      </c>
      <c r="M738" s="3"/>
      <c r="N738" s="3"/>
      <c r="O738" s="3" t="str">
        <f ca="1">IFERROR(__xludf.DUMMYFUNCTION("""COMPUTED_VALUE"""),"300")</f>
        <v>300</v>
      </c>
      <c r="P738" s="3" t="str">
        <f ca="1">IFERROR(__xludf.DUMMYFUNCTION("""COMPUTED_VALUE"""),"600")</f>
        <v>600</v>
      </c>
      <c r="Q738" s="3" t="str">
        <f ca="1">IFERROR(__xludf.DUMMYFUNCTION("""COMPUTED_VALUE"""),"300x600")</f>
        <v>300x600</v>
      </c>
      <c r="R738" s="3"/>
      <c r="S738" s="3" t="str">
        <f ca="1">IFERROR(__xludf.DUMMYFUNCTION("""COMPUTED_VALUE"""),"100 (200 - HTML5)")</f>
        <v>100 (200 - HTML5)</v>
      </c>
      <c r="T738" s="3"/>
      <c r="U738" s="3" t="str">
        <f ca="1">IFERROR(__xludf.DUMMYFUNCTION("""COMPUTED_VALUE"""),"banner standard")</f>
        <v>banner standard</v>
      </c>
      <c r="V738" s="3"/>
      <c r="W738" s="4" t="str">
        <f ca="1">IFERROR(__xludf.DUMMYFUNCTION("""COMPUTED_VALUE"""),"https://reklama.cncenter.cz/Online/double-skyscraper")</f>
        <v>https://reklama.cncenter.cz/Online/double-skyscraper</v>
      </c>
      <c r="X738" s="3"/>
      <c r="Y738" s="3"/>
      <c r="Z738" s="3" t="str">
        <f ca="1">IFERROR(__xludf.DUMMYFUNCTION("""COMPUTED_VALUE"""),"podklady@cncenter.cz")</f>
        <v>podklady@cncenter.cz</v>
      </c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 t="str">
        <f ca="1">IFERROR(__xludf.DUMMYFUNCTION("""COMPUTED_VALUE"""),"desktop")</f>
        <v>desktop</v>
      </c>
      <c r="AO738" s="3"/>
      <c r="AP738" s="3"/>
      <c r="AQ738" s="3"/>
      <c r="AR738" s="3"/>
      <c r="AS738" s="3"/>
      <c r="AT738" s="3"/>
      <c r="AU738" s="3" t="str">
        <f ca="1">IFERROR(__xludf.DUMMYFUNCTION("""COMPUTED_VALUE"""),"cílený double skyscraper")</f>
        <v>cílený double skyscraper</v>
      </c>
    </row>
    <row r="739" spans="1:47" x14ac:dyDescent="0.3">
      <c r="A739" s="3">
        <f ca="1"/>
        <v>2346826</v>
      </c>
      <c r="B739" s="3" t="str">
        <f ca="1"/>
        <v>CZECH NEWS CENTER a. s.</v>
      </c>
      <c r="C739" s="3" t="str">
        <f ca="1">IFERROR(__xludf.DUMMYFUNCTION("""COMPUTED_VALUE"""),"Maminka")</f>
        <v>Maminka</v>
      </c>
      <c r="D739" s="4" t="str">
        <f ca="1">IFERROR(__xludf.DUMMYFUNCTION("""COMPUTED_VALUE"""),"https://maminka.cz")</f>
        <v>https://maminka.cz</v>
      </c>
      <c r="E739" s="3" t="str">
        <f ca="1">IFERROR(__xludf.DUMMYFUNCTION("""COMPUTED_VALUE"""),"celý web")</f>
        <v>celý web</v>
      </c>
      <c r="F739" s="4" t="str">
        <f ca="1">IFERROR(__xludf.DUMMYFUNCTION("""COMPUTED_VALUE"""),"https://maminka.cz")</f>
        <v>https://maminka.cz</v>
      </c>
      <c r="G739" s="3" t="str">
        <f ca="1">IFERROR(__xludf.DUMMYFUNCTION("""COMPUTED_VALUE"""),"cílený mini videospot - max. 30 sec. high season")</f>
        <v>cílený mini videospot - max. 30 sec. high season</v>
      </c>
      <c r="H739" s="3">
        <f ca="1">IFERROR(__xludf.DUMMYFUNCTION("""COMPUTED_VALUE"""),7)</f>
        <v>7</v>
      </c>
      <c r="I739" s="5">
        <f ca="1">IFERROR(__xludf.DUMMYFUNCTION("""COMPUTED_VALUE"""),1000)</f>
        <v>1000</v>
      </c>
      <c r="J739" s="5">
        <f ca="1">IFERROR(__xludf.DUMMYFUNCTION("""COMPUTED_VALUE"""),312)</f>
        <v>312</v>
      </c>
      <c r="K739" s="3"/>
      <c r="L739" s="3" t="str">
        <f ca="1">IFERROR(__xludf.DUMMYFUNCTION("""COMPUTED_VALUE"""),"Cost per period")</f>
        <v>Cost per period</v>
      </c>
      <c r="M739" s="3"/>
      <c r="N739" s="3"/>
      <c r="O739" s="3"/>
      <c r="P739" s="3"/>
      <c r="Q739" s="3" t="str">
        <f ca="1">IFERROR(__xludf.DUMMYFUNCTION("""COMPUTED_VALUE"""),"16:9 / umístění po domluvě dle možností")</f>
        <v>16:9 / umístění po domluvě dle možností</v>
      </c>
      <c r="R739" s="3" t="str">
        <f ca="1">IFERROR(__xludf.DUMMYFUNCTION("""COMPUTED_VALUE"""),"přeskočení po 7 sekundách")</f>
        <v>přeskočení po 7 sekundách</v>
      </c>
      <c r="S739" s="3" t="str">
        <f ca="1">IFERROR(__xludf.DUMMYFUNCTION("""COMPUTED_VALUE"""),"100")</f>
        <v>100</v>
      </c>
      <c r="T739" s="3"/>
      <c r="U739" s="3" t="str">
        <f ca="1">IFERROR(__xludf.DUMMYFUNCTION("""COMPUTED_VALUE"""),"videospot")</f>
        <v>videospot</v>
      </c>
      <c r="V739" s="3"/>
      <c r="W739" s="4" t="str">
        <f ca="1">IFERROR(__xludf.DUMMYFUNCTION("""COMPUTED_VALUE"""),"https://reklama.cncenter.cz/Online/Videospot")</f>
        <v>https://reklama.cncenter.cz/Online/Videospot</v>
      </c>
      <c r="X739" s="3"/>
      <c r="Y739" s="3"/>
      <c r="Z739" s="3" t="str">
        <f ca="1">IFERROR(__xludf.DUMMYFUNCTION("""COMPUTED_VALUE"""),"podklady@cncenter.cz")</f>
        <v>podklady@cncenter.cz</v>
      </c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 t="str">
        <f ca="1">IFERROR(__xludf.DUMMYFUNCTION("""COMPUTED_VALUE"""),"desktop")</f>
        <v>desktop</v>
      </c>
      <c r="AO739" s="3"/>
      <c r="AP739" s="3"/>
      <c r="AQ739" s="3"/>
      <c r="AR739" s="3"/>
      <c r="AS739" s="3"/>
      <c r="AT739" s="3"/>
      <c r="AU739" s="3" t="str">
        <f ca="1">IFERROR(__xludf.DUMMYFUNCTION("""COMPUTED_VALUE"""),"cílený mini videospot - max. 30 sec.")</f>
        <v>cílený mini videospot - max. 30 sec.</v>
      </c>
    </row>
    <row r="740" spans="1:47" x14ac:dyDescent="0.3">
      <c r="A740" s="3">
        <f ca="1"/>
        <v>2346826</v>
      </c>
      <c r="B740" s="3" t="str">
        <f ca="1"/>
        <v>CZECH NEWS CENTER a. s.</v>
      </c>
      <c r="C740" s="3" t="str">
        <f ca="1">IFERROR(__xludf.DUMMYFUNCTION("""COMPUTED_VALUE"""),"Maminka")</f>
        <v>Maminka</v>
      </c>
      <c r="D740" s="4" t="str">
        <f ca="1">IFERROR(__xludf.DUMMYFUNCTION("""COMPUTED_VALUE"""),"https://maminka.cz")</f>
        <v>https://maminka.cz</v>
      </c>
      <c r="E740" s="3" t="str">
        <f ca="1">IFERROR(__xludf.DUMMYFUNCTION("""COMPUTED_VALUE"""),"celý web")</f>
        <v>celý web</v>
      </c>
      <c r="F740" s="4" t="str">
        <f ca="1">IFERROR(__xludf.DUMMYFUNCTION("""COMPUTED_VALUE"""),"https://maminka.cz")</f>
        <v>https://maminka.cz</v>
      </c>
      <c r="G740" s="3" t="str">
        <f ca="1">IFERROR(__xludf.DUMMYFUNCTION("""COMPUTED_VALUE"""),"cílený mobilní interscroller high season")</f>
        <v>cílený mobilní interscroller high season</v>
      </c>
      <c r="H740" s="3">
        <f ca="1">IFERROR(__xludf.DUMMYFUNCTION("""COMPUTED_VALUE"""),7)</f>
        <v>7</v>
      </c>
      <c r="I740" s="5">
        <f ca="1">IFERROR(__xludf.DUMMYFUNCTION("""COMPUTED_VALUE"""),1000)</f>
        <v>1000</v>
      </c>
      <c r="J740" s="5">
        <f ca="1">IFERROR(__xludf.DUMMYFUNCTION("""COMPUTED_VALUE"""),540)</f>
        <v>540</v>
      </c>
      <c r="K740" s="3"/>
      <c r="L740" s="3" t="str">
        <f ca="1">IFERROR(__xludf.DUMMYFUNCTION("""COMPUTED_VALUE"""),"Cost per period")</f>
        <v>Cost per period</v>
      </c>
      <c r="M740" s="3"/>
      <c r="N740" s="3"/>
      <c r="O740" s="3" t="str">
        <f ca="1">IFERROR(__xludf.DUMMYFUNCTION("""COMPUTED_VALUE"""),"600")</f>
        <v>600</v>
      </c>
      <c r="P740" s="3" t="str">
        <f ca="1">IFERROR(__xludf.DUMMYFUNCTION("""COMPUTED_VALUE"""),"1080")</f>
        <v>1080</v>
      </c>
      <c r="Q740" s="3" t="str">
        <f ca="1">IFERROR(__xludf.DUMMYFUNCTION("""COMPUTED_VALUE"""),"600x1080")</f>
        <v>600x1080</v>
      </c>
      <c r="R740" s="3"/>
      <c r="S740" s="3" t="str">
        <f ca="1">IFERROR(__xludf.DUMMYFUNCTION("""COMPUTED_VALUE"""),"200")</f>
        <v>200</v>
      </c>
      <c r="T740" s="3"/>
      <c r="U740" s="3" t="str">
        <f ca="1">IFERROR(__xludf.DUMMYFUNCTION("""COMPUTED_VALUE"""),"banner standard")</f>
        <v>banner standard</v>
      </c>
      <c r="V740" s="3"/>
      <c r="W740" s="4" t="str">
        <f ca="1">IFERROR(__xludf.DUMMYFUNCTION("""COMPUTED_VALUE"""),"https://reklama.cncenter.cz/Online/mobilni-interscroller")</f>
        <v>https://reklama.cncenter.cz/Online/mobilni-interscroller</v>
      </c>
      <c r="X740" s="3"/>
      <c r="Y740" s="3"/>
      <c r="Z740" s="3" t="str">
        <f ca="1">IFERROR(__xludf.DUMMYFUNCTION("""COMPUTED_VALUE"""),"podklady@cncenter.cz")</f>
        <v>podklady@cncenter.cz</v>
      </c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 t="str">
        <f ca="1">IFERROR(__xludf.DUMMYFUNCTION("""COMPUTED_VALUE"""),"mobile")</f>
        <v>mobile</v>
      </c>
      <c r="AO740" s="3"/>
      <c r="AP740" s="3"/>
      <c r="AQ740" s="3"/>
      <c r="AR740" s="3"/>
      <c r="AS740" s="3"/>
      <c r="AT740" s="3"/>
      <c r="AU740" s="3" t="str">
        <f ca="1">IFERROR(__xludf.DUMMYFUNCTION("""COMPUTED_VALUE"""),"cílený mobilní interscroller")</f>
        <v>cílený mobilní interscroller</v>
      </c>
    </row>
    <row r="741" spans="1:47" x14ac:dyDescent="0.3">
      <c r="A741" s="3">
        <f ca="1"/>
        <v>2346826</v>
      </c>
      <c r="B741" s="3" t="str">
        <f ca="1"/>
        <v>CZECH NEWS CENTER a. s.</v>
      </c>
      <c r="C741" s="3" t="str">
        <f ca="1">IFERROR(__xludf.DUMMYFUNCTION("""COMPUTED_VALUE"""),"Maminka")</f>
        <v>Maminka</v>
      </c>
      <c r="D741" s="4" t="str">
        <f ca="1">IFERROR(__xludf.DUMMYFUNCTION("""COMPUTED_VALUE"""),"https://maminka.cz")</f>
        <v>https://maminka.cz</v>
      </c>
      <c r="E741" s="3" t="str">
        <f ca="1">IFERROR(__xludf.DUMMYFUNCTION("""COMPUTED_VALUE"""),"celý web")</f>
        <v>celý web</v>
      </c>
      <c r="F741" s="4" t="str">
        <f ca="1">IFERROR(__xludf.DUMMYFUNCTION("""COMPUTED_VALUE"""),"https://maminka.cz")</f>
        <v>https://maminka.cz</v>
      </c>
      <c r="G741" s="3" t="str">
        <f ca="1">IFERROR(__xludf.DUMMYFUNCTION("""COMPUTED_VALUE"""),"cílený mobilní slide-up high season")</f>
        <v>cílený mobilní slide-up high season</v>
      </c>
      <c r="H741" s="3">
        <f ca="1">IFERROR(__xludf.DUMMYFUNCTION("""COMPUTED_VALUE"""),7)</f>
        <v>7</v>
      </c>
      <c r="I741" s="5">
        <f ca="1">IFERROR(__xludf.DUMMYFUNCTION("""COMPUTED_VALUE"""),1000)</f>
        <v>1000</v>
      </c>
      <c r="J741" s="5">
        <f ca="1">IFERROR(__xludf.DUMMYFUNCTION("""COMPUTED_VALUE"""),1104)</f>
        <v>1104</v>
      </c>
      <c r="K741" s="3"/>
      <c r="L741" s="3" t="str">
        <f ca="1">IFERROR(__xludf.DUMMYFUNCTION("""COMPUTED_VALUE"""),"Cost per period")</f>
        <v>Cost per period</v>
      </c>
      <c r="M741" s="3"/>
      <c r="N741" s="3"/>
      <c r="O741" s="3" t="str">
        <f ca="1">IFERROR(__xludf.DUMMYFUNCTION("""COMPUTED_VALUE"""),"300")</f>
        <v>300</v>
      </c>
      <c r="P741" s="3" t="str">
        <f ca="1">IFERROR(__xludf.DUMMYFUNCTION("""COMPUTED_VALUE"""),"120")</f>
        <v>120</v>
      </c>
      <c r="Q741" s="3" t="str">
        <f ca="1">IFERROR(__xludf.DUMMYFUNCTION("""COMPUTED_VALUE"""),"300x120")</f>
        <v>300x120</v>
      </c>
      <c r="R741" s="3"/>
      <c r="S741" s="3" t="str">
        <f ca="1">IFERROR(__xludf.DUMMYFUNCTION("""COMPUTED_VALUE"""),"100")</f>
        <v>100</v>
      </c>
      <c r="T741" s="3"/>
      <c r="U741" s="3" t="str">
        <f ca="1">IFERROR(__xludf.DUMMYFUNCTION("""COMPUTED_VALUE"""),"banner standard")</f>
        <v>banner standard</v>
      </c>
      <c r="V741" s="3"/>
      <c r="W741" s="4" t="str">
        <f ca="1">IFERROR(__xludf.DUMMYFUNCTION("""COMPUTED_VALUE"""),"https://reklama.cncenter.cz/Online/mobilni-slide-up")</f>
        <v>https://reklama.cncenter.cz/Online/mobilni-slide-up</v>
      </c>
      <c r="X741" s="3"/>
      <c r="Y741" s="3"/>
      <c r="Z741" s="3" t="str">
        <f ca="1">IFERROR(__xludf.DUMMYFUNCTION("""COMPUTED_VALUE"""),"podklady@cncenter.cz")</f>
        <v>podklady@cncenter.cz</v>
      </c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 t="str">
        <f ca="1">IFERROR(__xludf.DUMMYFUNCTION("""COMPUTED_VALUE"""),"mobile")</f>
        <v>mobile</v>
      </c>
      <c r="AO741" s="3"/>
      <c r="AP741" s="3"/>
      <c r="AQ741" s="3"/>
      <c r="AR741" s="3"/>
      <c r="AS741" s="3"/>
      <c r="AT741" s="3"/>
      <c r="AU741" s="3" t="str">
        <f ca="1">IFERROR(__xludf.DUMMYFUNCTION("""COMPUTED_VALUE"""),"cílený mobilní slide-up")</f>
        <v>cílený mobilní slide-up</v>
      </c>
    </row>
    <row r="742" spans="1:47" x14ac:dyDescent="0.3">
      <c r="A742" s="3">
        <f ca="1"/>
        <v>2346826</v>
      </c>
      <c r="B742" s="3" t="str">
        <f ca="1"/>
        <v>CZECH NEWS CENTER a. s.</v>
      </c>
      <c r="C742" s="3" t="str">
        <f ca="1">IFERROR(__xludf.DUMMYFUNCTION("""COMPUTED_VALUE"""),"Maminka")</f>
        <v>Maminka</v>
      </c>
      <c r="D742" s="4" t="str">
        <f ca="1">IFERROR(__xludf.DUMMYFUNCTION("""COMPUTED_VALUE"""),"https://maminka.cz")</f>
        <v>https://maminka.cz</v>
      </c>
      <c r="E742" s="3" t="str">
        <f ca="1">IFERROR(__xludf.DUMMYFUNCTION("""COMPUTED_VALUE"""),"celý web")</f>
        <v>celý web</v>
      </c>
      <c r="F742" s="4" t="str">
        <f ca="1">IFERROR(__xludf.DUMMYFUNCTION("""COMPUTED_VALUE"""),"https://maminka.cz")</f>
        <v>https://maminka.cz</v>
      </c>
      <c r="G742" s="3" t="str">
        <f ca="1">IFERROR(__xludf.DUMMYFUNCTION("""COMPUTED_VALUE"""),"cílený mobilní viněta high season")</f>
        <v>cílený mobilní viněta high season</v>
      </c>
      <c r="H742" s="3">
        <f ca="1">IFERROR(__xludf.DUMMYFUNCTION("""COMPUTED_VALUE"""),7)</f>
        <v>7</v>
      </c>
      <c r="I742" s="5">
        <f ca="1">IFERROR(__xludf.DUMMYFUNCTION("""COMPUTED_VALUE"""),1000)</f>
        <v>1000</v>
      </c>
      <c r="J742" s="5">
        <f ca="1">IFERROR(__xludf.DUMMYFUNCTION("""COMPUTED_VALUE"""),1908)</f>
        <v>1908</v>
      </c>
      <c r="K742" s="3"/>
      <c r="L742" s="3" t="str">
        <f ca="1">IFERROR(__xludf.DUMMYFUNCTION("""COMPUTED_VALUE"""),"Cost per period")</f>
        <v>Cost per period</v>
      </c>
      <c r="M742" s="3"/>
      <c r="N742" s="3"/>
      <c r="O742" s="3" t="str">
        <f ca="1">IFERROR(__xludf.DUMMYFUNCTION("""COMPUTED_VALUE"""),"600")</f>
        <v>600</v>
      </c>
      <c r="P742" s="3" t="str">
        <f ca="1">IFERROR(__xludf.DUMMYFUNCTION("""COMPUTED_VALUE"""),"800")</f>
        <v>800</v>
      </c>
      <c r="Q742" s="3" t="str">
        <f ca="1">IFERROR(__xludf.DUMMYFUNCTION("""COMPUTED_VALUE"""),"300x250 nebo 600x800")</f>
        <v>300x250 nebo 600x800</v>
      </c>
      <c r="R742" s="3"/>
      <c r="S742" s="3" t="str">
        <f ca="1">IFERROR(__xludf.DUMMYFUNCTION("""COMPUTED_VALUE"""),"100")</f>
        <v>100</v>
      </c>
      <c r="T742" s="3"/>
      <c r="U742" s="3" t="str">
        <f ca="1">IFERROR(__xludf.DUMMYFUNCTION("""COMPUTED_VALUE"""),"banner standard")</f>
        <v>banner standard</v>
      </c>
      <c r="V742" s="3"/>
      <c r="W742" s="4" t="str">
        <f ca="1">IFERROR(__xludf.DUMMYFUNCTION("""COMPUTED_VALUE"""),"https://reklama.cncenter.cz/Online/mobilni-vineta")</f>
        <v>https://reklama.cncenter.cz/Online/mobilni-vineta</v>
      </c>
      <c r="X742" s="3"/>
      <c r="Y742" s="3"/>
      <c r="Z742" s="3" t="str">
        <f ca="1">IFERROR(__xludf.DUMMYFUNCTION("""COMPUTED_VALUE"""),"podklady@cncenter.cz")</f>
        <v>podklady@cncenter.cz</v>
      </c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 t="str">
        <f ca="1">IFERROR(__xludf.DUMMYFUNCTION("""COMPUTED_VALUE"""),"mobile")</f>
        <v>mobile</v>
      </c>
      <c r="AO742" s="3"/>
      <c r="AP742" s="3"/>
      <c r="AQ742" s="3"/>
      <c r="AR742" s="3"/>
      <c r="AS742" s="3"/>
      <c r="AT742" s="3"/>
      <c r="AU742" s="3" t="str">
        <f ca="1">IFERROR(__xludf.DUMMYFUNCTION("""COMPUTED_VALUE"""),"cílený mobilní viněta")</f>
        <v>cílený mobilní viněta</v>
      </c>
    </row>
    <row r="743" spans="1:47" x14ac:dyDescent="0.3">
      <c r="A743" s="3">
        <f ca="1"/>
        <v>2346826</v>
      </c>
      <c r="B743" s="3" t="str">
        <f ca="1"/>
        <v>CZECH NEWS CENTER a. s.</v>
      </c>
      <c r="C743" s="3" t="str">
        <f ca="1">IFERROR(__xludf.DUMMYFUNCTION("""COMPUTED_VALUE"""),"Maminka")</f>
        <v>Maminka</v>
      </c>
      <c r="D743" s="4" t="str">
        <f ca="1">IFERROR(__xludf.DUMMYFUNCTION("""COMPUTED_VALUE"""),"https://maminka.cz")</f>
        <v>https://maminka.cz</v>
      </c>
      <c r="E743" s="3" t="str">
        <f ca="1">IFERROR(__xludf.DUMMYFUNCTION("""COMPUTED_VALUE"""),"celý web")</f>
        <v>celý web</v>
      </c>
      <c r="F743" s="4" t="str">
        <f ca="1">IFERROR(__xludf.DUMMYFUNCTION("""COMPUTED_VALUE"""),"https://maminka.cz")</f>
        <v>https://maminka.cz</v>
      </c>
      <c r="G743" s="3" t="str">
        <f ca="1">IFERROR(__xludf.DUMMYFUNCTION("""COMPUTED_VALUE"""),"cílený nativní pr premium high season")</f>
        <v>cílený nativní pr premium high season</v>
      </c>
      <c r="H743" s="3">
        <f ca="1">IFERROR(__xludf.DUMMYFUNCTION("""COMPUTED_VALUE"""),7)</f>
        <v>7</v>
      </c>
      <c r="I743" s="5">
        <f ca="1">IFERROR(__xludf.DUMMYFUNCTION("""COMPUTED_VALUE"""),1000)</f>
        <v>1000</v>
      </c>
      <c r="J743" s="5">
        <f ca="1">IFERROR(__xludf.DUMMYFUNCTION("""COMPUTED_VALUE"""),216)</f>
        <v>216</v>
      </c>
      <c r="K743" s="3"/>
      <c r="L743" s="3" t="str">
        <f ca="1">IFERROR(__xludf.DUMMYFUNCTION("""COMPUTED_VALUE"""),"Cost per period")</f>
        <v>Cost per period</v>
      </c>
      <c r="M743" s="3"/>
      <c r="N743" s="3"/>
      <c r="O743" s="3" t="str">
        <f ca="1">IFERROR(__xludf.DUMMYFUNCTION("""COMPUTED_VALUE"""),"640")</f>
        <v>640</v>
      </c>
      <c r="P743" s="3" t="str">
        <f ca="1">IFERROR(__xludf.DUMMYFUNCTION("""COMPUTED_VALUE"""),"335, 640")</f>
        <v>335, 640</v>
      </c>
      <c r="Q743" s="3" t="str">
        <f ca="1">IFERROR(__xludf.DUMMYFUNCTION("""COMPUTED_VALUE"""),"640x640 a 640x335 + text + logo")</f>
        <v>640x640 a 640x335 + text + logo</v>
      </c>
      <c r="R743" s="3" t="str">
        <f ca="1">IFERROR(__xludf.DUMMYFUNCTION("""COMPUTED_VALUE"""),"detailní specifikace na URL odkaze")</f>
        <v>detailní specifikace na URL odkaze</v>
      </c>
      <c r="S743" s="3" t="str">
        <f ca="1">IFERROR(__xludf.DUMMYFUNCTION("""COMPUTED_VALUE"""),"100")</f>
        <v>100</v>
      </c>
      <c r="T743" s="3"/>
      <c r="U743" s="3" t="str">
        <f ca="1">IFERROR(__xludf.DUMMYFUNCTION("""COMPUTED_VALUE"""),"nativní reklama")</f>
        <v>nativní reklama</v>
      </c>
      <c r="V743" s="3"/>
      <c r="W743" s="4" t="str">
        <f ca="1">IFERROR(__xludf.DUMMYFUNCTION("""COMPUTED_VALUE"""),"https://reklama.cncenter.cz/Online/nativni-PR-premium")</f>
        <v>https://reklama.cncenter.cz/Online/nativni-PR-premium</v>
      </c>
      <c r="X743" s="3"/>
      <c r="Y743" s="3"/>
      <c r="Z743" s="3" t="str">
        <f ca="1">IFERROR(__xludf.DUMMYFUNCTION("""COMPUTED_VALUE"""),"podklady@cncenter.cz")</f>
        <v>podklady@cncenter.cz</v>
      </c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 t="str">
        <f ca="1">IFERROR(__xludf.DUMMYFUNCTION("""COMPUTED_VALUE"""),"cross-device")</f>
        <v>cross-device</v>
      </c>
      <c r="AO743" s="3"/>
      <c r="AP743" s="3"/>
      <c r="AQ743" s="3"/>
      <c r="AR743" s="3"/>
      <c r="AS743" s="3"/>
      <c r="AT743" s="3"/>
      <c r="AU743" s="3" t="str">
        <f ca="1">IFERROR(__xludf.DUMMYFUNCTION("""COMPUTED_VALUE"""),"cílený nativní pr premium")</f>
        <v>cílený nativní pr premium</v>
      </c>
    </row>
    <row r="744" spans="1:47" x14ac:dyDescent="0.3">
      <c r="A744" s="3">
        <f ca="1"/>
        <v>2346826</v>
      </c>
      <c r="B744" s="3" t="str">
        <f ca="1"/>
        <v>CZECH NEWS CENTER a. s.</v>
      </c>
      <c r="C744" s="3" t="str">
        <f ca="1">IFERROR(__xludf.DUMMYFUNCTION("""COMPUTED_VALUE"""),"Maminka")</f>
        <v>Maminka</v>
      </c>
      <c r="D744" s="4" t="str">
        <f ca="1">IFERROR(__xludf.DUMMYFUNCTION("""COMPUTED_VALUE"""),"https://maminka.cz")</f>
        <v>https://maminka.cz</v>
      </c>
      <c r="E744" s="3" t="str">
        <f ca="1">IFERROR(__xludf.DUMMYFUNCTION("""COMPUTED_VALUE"""),"celý web")</f>
        <v>celý web</v>
      </c>
      <c r="F744" s="4" t="str">
        <f ca="1">IFERROR(__xludf.DUMMYFUNCTION("""COMPUTED_VALUE"""),"https://maminka.cz")</f>
        <v>https://maminka.cz</v>
      </c>
      <c r="G744" s="3" t="str">
        <f ca="1">IFERROR(__xludf.DUMMYFUNCTION("""COMPUTED_VALUE"""),"cílený nativní rectangle cross-device high season")</f>
        <v>cílený nativní rectangle cross-device high season</v>
      </c>
      <c r="H744" s="3">
        <f ca="1">IFERROR(__xludf.DUMMYFUNCTION("""COMPUTED_VALUE"""),7)</f>
        <v>7</v>
      </c>
      <c r="I744" s="5">
        <f ca="1">IFERROR(__xludf.DUMMYFUNCTION("""COMPUTED_VALUE"""),1000)</f>
        <v>1000</v>
      </c>
      <c r="J744" s="5">
        <f ca="1">IFERROR(__xludf.DUMMYFUNCTION("""COMPUTED_VALUE"""),432)</f>
        <v>432</v>
      </c>
      <c r="K744" s="3"/>
      <c r="L744" s="3" t="str">
        <f ca="1">IFERROR(__xludf.DUMMYFUNCTION("""COMPUTED_VALUE"""),"Cost per period")</f>
        <v>Cost per period</v>
      </c>
      <c r="M744" s="3"/>
      <c r="N744" s="3"/>
      <c r="O744" s="3" t="str">
        <f ca="1">IFERROR(__xludf.DUMMYFUNCTION("""COMPUTED_VALUE"""),"640")</f>
        <v>640</v>
      </c>
      <c r="P744" s="3" t="str">
        <f ca="1">IFERROR(__xludf.DUMMYFUNCTION("""COMPUTED_VALUE"""),"335, 640")</f>
        <v>335, 640</v>
      </c>
      <c r="Q744" s="3" t="str">
        <f ca="1">IFERROR(__xludf.DUMMYFUNCTION("""COMPUTED_VALUE"""),"640x640 a 640x335 + text + logo")</f>
        <v>640x640 a 640x335 + text + logo</v>
      </c>
      <c r="R744" s="3"/>
      <c r="S744" s="3" t="str">
        <f ca="1">IFERROR(__xludf.DUMMYFUNCTION("""COMPUTED_VALUE"""),"45")</f>
        <v>45</v>
      </c>
      <c r="T744" s="3"/>
      <c r="U744" s="3" t="str">
        <f ca="1">IFERROR(__xludf.DUMMYFUNCTION("""COMPUTED_VALUE"""),"nativní reklama")</f>
        <v>nativní reklama</v>
      </c>
      <c r="V744" s="3"/>
      <c r="W744" s="4" t="str">
        <f ca="1">IFERROR(__xludf.DUMMYFUNCTION("""COMPUTED_VALUE"""),"https://reklama.cncenter.cz/Online/nativni-rectangle-cross-device")</f>
        <v>https://reklama.cncenter.cz/Online/nativni-rectangle-cross-device</v>
      </c>
      <c r="X744" s="3"/>
      <c r="Y744" s="3"/>
      <c r="Z744" s="3" t="str">
        <f ca="1">IFERROR(__xludf.DUMMYFUNCTION("""COMPUTED_VALUE"""),"podklady@cncenter.cz")</f>
        <v>podklady@cncenter.cz</v>
      </c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 t="str">
        <f ca="1">IFERROR(__xludf.DUMMYFUNCTION("""COMPUTED_VALUE"""),"cross-device")</f>
        <v>cross-device</v>
      </c>
      <c r="AO744" s="3"/>
      <c r="AP744" s="3"/>
      <c r="AQ744" s="3"/>
      <c r="AR744" s="3"/>
      <c r="AS744" s="3"/>
      <c r="AT744" s="3"/>
      <c r="AU744" s="3" t="str">
        <f ca="1">IFERROR(__xludf.DUMMYFUNCTION("""COMPUTED_VALUE"""),"cílený nativní rectangle cross-device")</f>
        <v>cílený nativní rectangle cross-device</v>
      </c>
    </row>
    <row r="745" spans="1:47" x14ac:dyDescent="0.3">
      <c r="A745" s="3">
        <f ca="1"/>
        <v>2346826</v>
      </c>
      <c r="B745" s="3" t="str">
        <f ca="1"/>
        <v>CZECH NEWS CENTER a. s.</v>
      </c>
      <c r="C745" s="3" t="str">
        <f ca="1">IFERROR(__xludf.DUMMYFUNCTION("""COMPUTED_VALUE"""),"Maminka")</f>
        <v>Maminka</v>
      </c>
      <c r="D745" s="4" t="str">
        <f ca="1">IFERROR(__xludf.DUMMYFUNCTION("""COMPUTED_VALUE"""),"https://maminka.cz")</f>
        <v>https://maminka.cz</v>
      </c>
      <c r="E745" s="3" t="str">
        <f ca="1">IFERROR(__xludf.DUMMYFUNCTION("""COMPUTED_VALUE"""),"celý web")</f>
        <v>celý web</v>
      </c>
      <c r="F745" s="4" t="str">
        <f ca="1">IFERROR(__xludf.DUMMYFUNCTION("""COMPUTED_VALUE"""),"https://maminka.cz")</f>
        <v>https://maminka.cz</v>
      </c>
      <c r="G745" s="3" t="str">
        <f ca="1">IFERROR(__xludf.DUMMYFUNCTION("""COMPUTED_VALUE"""),"cílený outstream high season")</f>
        <v>cílený outstream high season</v>
      </c>
      <c r="H745" s="3">
        <f ca="1">IFERROR(__xludf.DUMMYFUNCTION("""COMPUTED_VALUE"""),7)</f>
        <v>7</v>
      </c>
      <c r="I745" s="5">
        <f ca="1">IFERROR(__xludf.DUMMYFUNCTION("""COMPUTED_VALUE"""),1000)</f>
        <v>1000</v>
      </c>
      <c r="J745" s="5">
        <f ca="1">IFERROR(__xludf.DUMMYFUNCTION("""COMPUTED_VALUE"""),540)</f>
        <v>540</v>
      </c>
      <c r="K745" s="3"/>
      <c r="L745" s="3" t="str">
        <f ca="1">IFERROR(__xludf.DUMMYFUNCTION("""COMPUTED_VALUE"""),"Cost per period")</f>
        <v>Cost per period</v>
      </c>
      <c r="M745" s="3"/>
      <c r="N745" s="3"/>
      <c r="O745" s="3" t="str">
        <f ca="1">IFERROR(__xludf.DUMMYFUNCTION("""COMPUTED_VALUE"""),"1280")</f>
        <v>1280</v>
      </c>
      <c r="P745" s="3" t="str">
        <f ca="1">IFERROR(__xludf.DUMMYFUNCTION("""COMPUTED_VALUE"""),"720")</f>
        <v>720</v>
      </c>
      <c r="Q745" s="3" t="str">
        <f ca="1">IFERROR(__xludf.DUMMYFUNCTION("""COMPUTED_VALUE"""),"16:9")</f>
        <v>16:9</v>
      </c>
      <c r="R745" s="3"/>
      <c r="S745" s="3" t="str">
        <f ca="1">IFERROR(__xludf.DUMMYFUNCTION("""COMPUTED_VALUE"""),"100")</f>
        <v>100</v>
      </c>
      <c r="T745" s="3"/>
      <c r="U745" s="3" t="str">
        <f ca="1">IFERROR(__xludf.DUMMYFUNCTION("""COMPUTED_VALUE"""),"videospot")</f>
        <v>videospot</v>
      </c>
      <c r="V745" s="3"/>
      <c r="W745" s="4" t="str">
        <f ca="1">IFERROR(__xludf.DUMMYFUNCTION("""COMPUTED_VALUE"""),"https://reklama.cncenter.cz/Online/Outstream")</f>
        <v>https://reklama.cncenter.cz/Online/Outstream</v>
      </c>
      <c r="X745" s="3"/>
      <c r="Y745" s="3"/>
      <c r="Z745" s="3" t="str">
        <f ca="1">IFERROR(__xludf.DUMMYFUNCTION("""COMPUTED_VALUE"""),"podklady@cncenter.cz")</f>
        <v>podklady@cncenter.cz</v>
      </c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 t="str">
        <f ca="1">IFERROR(__xludf.DUMMYFUNCTION("""COMPUTED_VALUE"""),"cross-device")</f>
        <v>cross-device</v>
      </c>
      <c r="AO745" s="3"/>
      <c r="AP745" s="3"/>
      <c r="AQ745" s="3"/>
      <c r="AR745" s="3"/>
      <c r="AS745" s="3"/>
      <c r="AT745" s="3"/>
      <c r="AU745" s="3" t="str">
        <f ca="1">IFERROR(__xludf.DUMMYFUNCTION("""COMPUTED_VALUE"""),"cílený outstream")</f>
        <v>cílený outstream</v>
      </c>
    </row>
    <row r="746" spans="1:47" x14ac:dyDescent="0.3">
      <c r="A746" s="3">
        <f ca="1"/>
        <v>2346826</v>
      </c>
      <c r="B746" s="3" t="str">
        <f ca="1"/>
        <v>CZECH NEWS CENTER a. s.</v>
      </c>
      <c r="C746" s="3" t="str">
        <f ca="1">IFERROR(__xludf.DUMMYFUNCTION("""COMPUTED_VALUE"""),"Maminka")</f>
        <v>Maminka</v>
      </c>
      <c r="D746" s="4" t="str">
        <f ca="1">IFERROR(__xludf.DUMMYFUNCTION("""COMPUTED_VALUE"""),"https://maminka.cz")</f>
        <v>https://maminka.cz</v>
      </c>
      <c r="E746" s="3" t="str">
        <f ca="1">IFERROR(__xludf.DUMMYFUNCTION("""COMPUTED_VALUE"""),"celý web")</f>
        <v>celý web</v>
      </c>
      <c r="F746" s="4" t="str">
        <f ca="1">IFERROR(__xludf.DUMMYFUNCTION("""COMPUTED_VALUE"""),"https://maminka.cz")</f>
        <v>https://maminka.cz</v>
      </c>
      <c r="G746" s="3" t="str">
        <f ca="1">IFERROR(__xludf.DUMMYFUNCTION("""COMPUTED_VALUE"""),"cílený videospot - max. 30 sec. / bumper high season")</f>
        <v>cílený videospot - max. 30 sec. / bumper high season</v>
      </c>
      <c r="H746" s="3">
        <f ca="1">IFERROR(__xludf.DUMMYFUNCTION("""COMPUTED_VALUE"""),7)</f>
        <v>7</v>
      </c>
      <c r="I746" s="5">
        <f ca="1">IFERROR(__xludf.DUMMYFUNCTION("""COMPUTED_VALUE"""),1000)</f>
        <v>1000</v>
      </c>
      <c r="J746" s="5">
        <f ca="1">IFERROR(__xludf.DUMMYFUNCTION("""COMPUTED_VALUE"""),1608)</f>
        <v>1608</v>
      </c>
      <c r="K746" s="3"/>
      <c r="L746" s="3" t="str">
        <f ca="1">IFERROR(__xludf.DUMMYFUNCTION("""COMPUTED_VALUE"""),"Cost per period")</f>
        <v>Cost per period</v>
      </c>
      <c r="M746" s="3"/>
      <c r="N746" s="3"/>
      <c r="O746" s="3" t="str">
        <f ca="1">IFERROR(__xludf.DUMMYFUNCTION("""COMPUTED_VALUE"""),"1280")</f>
        <v>1280</v>
      </c>
      <c r="P746" s="3" t="str">
        <f ca="1">IFERROR(__xludf.DUMMYFUNCTION("""COMPUTED_VALUE"""),"720")</f>
        <v>720</v>
      </c>
      <c r="Q746" s="3" t="str">
        <f ca="1">IFERROR(__xludf.DUMMYFUNCTION("""COMPUTED_VALUE"""),"16:9 / umístění po domluvě dle možností")</f>
        <v>16:9 / umístění po domluvě dle možností</v>
      </c>
      <c r="R746" s="3" t="str">
        <f ca="1">IFERROR(__xludf.DUMMYFUNCTION("""COMPUTED_VALUE"""),"přeskočení po 7 sekundách")</f>
        <v>přeskočení po 7 sekundách</v>
      </c>
      <c r="S746" s="3" t="str">
        <f ca="1">IFERROR(__xludf.DUMMYFUNCTION("""COMPUTED_VALUE"""),"100")</f>
        <v>100</v>
      </c>
      <c r="T746" s="3"/>
      <c r="U746" s="3" t="str">
        <f ca="1">IFERROR(__xludf.DUMMYFUNCTION("""COMPUTED_VALUE"""),"videospot")</f>
        <v>videospot</v>
      </c>
      <c r="V746" s="3"/>
      <c r="W746" s="4" t="str">
        <f ca="1">IFERROR(__xludf.DUMMYFUNCTION("""COMPUTED_VALUE"""),"https://reklama.cncenter.cz/Online/Bumper")</f>
        <v>https://reklama.cncenter.cz/Online/Bumper</v>
      </c>
      <c r="X746" s="3"/>
      <c r="Y746" s="3"/>
      <c r="Z746" s="3" t="str">
        <f ca="1">IFERROR(__xludf.DUMMYFUNCTION("""COMPUTED_VALUE"""),"podklady@cncenter.cz")</f>
        <v>podklady@cncenter.cz</v>
      </c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 t="str">
        <f ca="1">IFERROR(__xludf.DUMMYFUNCTION("""COMPUTED_VALUE"""),"cross-device")</f>
        <v>cross-device</v>
      </c>
      <c r="AO746" s="3"/>
      <c r="AP746" s="3"/>
      <c r="AQ746" s="3"/>
      <c r="AR746" s="3"/>
      <c r="AS746" s="3"/>
      <c r="AT746" s="3"/>
      <c r="AU746" s="3" t="str">
        <f ca="1">IFERROR(__xludf.DUMMYFUNCTION("""COMPUTED_VALUE"""),"cílený videospot - max. 30 sec. / bumper")</f>
        <v>cílený videospot - max. 30 sec. / bumper</v>
      </c>
    </row>
    <row r="747" spans="1:47" x14ac:dyDescent="0.3">
      <c r="A747" s="3">
        <f ca="1"/>
        <v>2346826</v>
      </c>
      <c r="B747" s="3" t="str">
        <f ca="1"/>
        <v>CZECH NEWS CENTER a. s.</v>
      </c>
      <c r="C747" s="3" t="str">
        <f ca="1">IFERROR(__xludf.DUMMYFUNCTION("""COMPUTED_VALUE"""),"Maminka")</f>
        <v>Maminka</v>
      </c>
      <c r="D747" s="4" t="str">
        <f ca="1">IFERROR(__xludf.DUMMYFUNCTION("""COMPUTED_VALUE"""),"https://maminka.cz")</f>
        <v>https://maminka.cz</v>
      </c>
      <c r="E747" s="3" t="str">
        <f ca="1">IFERROR(__xludf.DUMMYFUNCTION("""COMPUTED_VALUE"""),"celý web")</f>
        <v>celý web</v>
      </c>
      <c r="F747" s="4" t="str">
        <f ca="1">IFERROR(__xludf.DUMMYFUNCTION("""COMPUTED_VALUE"""),"https://maminka.cz")</f>
        <v>https://maminka.cz</v>
      </c>
      <c r="G747" s="3" t="str">
        <f ca="1">IFERROR(__xludf.DUMMYFUNCTION("""COMPUTED_VALUE"""),"dokoupení proma o 2 týdny - 10 000 PV *** high season")</f>
        <v>dokoupení proma o 2 týdny - 10 000 PV *** high season</v>
      </c>
      <c r="H747" s="3">
        <f ca="1">IFERROR(__xludf.DUMMYFUNCTION("""COMPUTED_VALUE"""),1)</f>
        <v>1</v>
      </c>
      <c r="I747" s="5">
        <f ca="1">IFERROR(__xludf.DUMMYFUNCTION("""COMPUTED_VALUE"""),1)</f>
        <v>1</v>
      </c>
      <c r="J747" s="5">
        <f ca="1">IFERROR(__xludf.DUMMYFUNCTION("""COMPUTED_VALUE"""),60000)</f>
        <v>60000</v>
      </c>
      <c r="K747" s="3"/>
      <c r="L747" s="3" t="str">
        <f ca="1">IFERROR(__xludf.DUMMYFUNCTION("""COMPUTED_VALUE"""),"Cost per instance")</f>
        <v>Cost per instance</v>
      </c>
      <c r="M747" s="3"/>
      <c r="N747" s="3"/>
      <c r="O747" s="3"/>
      <c r="P747" s="3"/>
      <c r="Q747" s="3"/>
      <c r="R747" s="3"/>
      <c r="S747" s="3" t="str">
        <f ca="1">IFERROR(__xludf.DUMMYFUNCTION("""COMPUTED_VALUE"""),"100")</f>
        <v>100</v>
      </c>
      <c r="T747" s="3"/>
      <c r="U747" s="3" t="str">
        <f ca="1">IFERROR(__xludf.DUMMYFUNCTION("""COMPUTED_VALUE"""),"microsite")</f>
        <v>microsite</v>
      </c>
      <c r="V747" s="3"/>
      <c r="W747" s="3"/>
      <c r="X747" s="3"/>
      <c r="Y747" s="3"/>
      <c r="Z747" s="3" t="str">
        <f ca="1">IFERROR(__xludf.DUMMYFUNCTION("""COMPUTED_VALUE"""),"podklady@cncenter.cz")</f>
        <v>podklady@cncenter.cz</v>
      </c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 t="str">
        <f ca="1">IFERROR(__xludf.DUMMYFUNCTION("""COMPUTED_VALUE"""),"cross-device")</f>
        <v>cross-device</v>
      </c>
      <c r="AO747" s="3"/>
      <c r="AP747" s="3"/>
      <c r="AQ747" s="3"/>
      <c r="AR747" s="3"/>
      <c r="AS747" s="3"/>
      <c r="AT747" s="3"/>
      <c r="AU747" s="3" t="str">
        <f ca="1">IFERROR(__xludf.DUMMYFUNCTION("""COMPUTED_VALUE"""),"dokoupení proma o 2 týdny - 10 000 PV ***")</f>
        <v>dokoupení proma o 2 týdny - 10 000 PV ***</v>
      </c>
    </row>
    <row r="748" spans="1:47" x14ac:dyDescent="0.3">
      <c r="A748" s="3">
        <f ca="1"/>
        <v>2346826</v>
      </c>
      <c r="B748" s="3" t="str">
        <f ca="1"/>
        <v>CZECH NEWS CENTER a. s.</v>
      </c>
      <c r="C748" s="3" t="str">
        <f ca="1">IFERROR(__xludf.DUMMYFUNCTION("""COMPUTED_VALUE"""),"Maminka")</f>
        <v>Maminka</v>
      </c>
      <c r="D748" s="4" t="str">
        <f ca="1">IFERROR(__xludf.DUMMYFUNCTION("""COMPUTED_VALUE"""),"https://maminka.cz")</f>
        <v>https://maminka.cz</v>
      </c>
      <c r="E748" s="3" t="str">
        <f ca="1">IFERROR(__xludf.DUMMYFUNCTION("""COMPUTED_VALUE"""),"celý web")</f>
        <v>celý web</v>
      </c>
      <c r="F748" s="4" t="str">
        <f ca="1">IFERROR(__xludf.DUMMYFUNCTION("""COMPUTED_VALUE"""),"https://maminka.cz")</f>
        <v>https://maminka.cz</v>
      </c>
      <c r="G748" s="3" t="str">
        <f ca="1">IFERROR(__xludf.DUMMYFUNCTION("""COMPUTED_VALUE"""),"double skyscraper high season")</f>
        <v>double skyscraper high season</v>
      </c>
      <c r="H748" s="3">
        <f ca="1">IFERROR(__xludf.DUMMYFUNCTION("""COMPUTED_VALUE"""),7)</f>
        <v>7</v>
      </c>
      <c r="I748" s="5">
        <f ca="1">IFERROR(__xludf.DUMMYFUNCTION("""COMPUTED_VALUE"""),1000)</f>
        <v>1000</v>
      </c>
      <c r="J748" s="5">
        <f ca="1">IFERROR(__xludf.DUMMYFUNCTION("""COMPUTED_VALUE"""),350)</f>
        <v>350</v>
      </c>
      <c r="K748" s="3"/>
      <c r="L748" s="3" t="str">
        <f ca="1">IFERROR(__xludf.DUMMYFUNCTION("""COMPUTED_VALUE"""),"Cost per period")</f>
        <v>Cost per period</v>
      </c>
      <c r="M748" s="3"/>
      <c r="N748" s="3"/>
      <c r="O748" s="3" t="str">
        <f ca="1">IFERROR(__xludf.DUMMYFUNCTION("""COMPUTED_VALUE"""),"300")</f>
        <v>300</v>
      </c>
      <c r="P748" s="3" t="str">
        <f ca="1">IFERROR(__xludf.DUMMYFUNCTION("""COMPUTED_VALUE"""),"600")</f>
        <v>600</v>
      </c>
      <c r="Q748" s="3" t="str">
        <f ca="1">IFERROR(__xludf.DUMMYFUNCTION("""COMPUTED_VALUE"""),"300x600")</f>
        <v>300x600</v>
      </c>
      <c r="R748" s="3"/>
      <c r="S748" s="3" t="str">
        <f ca="1">IFERROR(__xludf.DUMMYFUNCTION("""COMPUTED_VALUE"""),"100 (200 - HTML5)")</f>
        <v>100 (200 - HTML5)</v>
      </c>
      <c r="T748" s="3"/>
      <c r="U748" s="3" t="str">
        <f ca="1">IFERROR(__xludf.DUMMYFUNCTION("""COMPUTED_VALUE"""),"banner standard")</f>
        <v>banner standard</v>
      </c>
      <c r="V748" s="3"/>
      <c r="W748" s="4" t="str">
        <f ca="1">IFERROR(__xludf.DUMMYFUNCTION("""COMPUTED_VALUE"""),"https://reklama.cncenter.cz/Online/double-skyscraper")</f>
        <v>https://reklama.cncenter.cz/Online/double-skyscraper</v>
      </c>
      <c r="X748" s="3"/>
      <c r="Y748" s="3"/>
      <c r="Z748" s="3" t="str">
        <f ca="1">IFERROR(__xludf.DUMMYFUNCTION("""COMPUTED_VALUE"""),"podklady@cncenter.cz")</f>
        <v>podklady@cncenter.cz</v>
      </c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 t="str">
        <f ca="1">IFERROR(__xludf.DUMMYFUNCTION("""COMPUTED_VALUE"""),"desktop")</f>
        <v>desktop</v>
      </c>
      <c r="AO748" s="3"/>
      <c r="AP748" s="3"/>
      <c r="AQ748" s="3"/>
      <c r="AR748" s="3"/>
      <c r="AS748" s="3"/>
      <c r="AT748" s="3"/>
      <c r="AU748" s="3" t="str">
        <f ca="1">IFERROR(__xludf.DUMMYFUNCTION("""COMPUTED_VALUE"""),"double skyscraper")</f>
        <v>double skyscraper</v>
      </c>
    </row>
    <row r="749" spans="1:47" x14ac:dyDescent="0.3">
      <c r="A749" s="3">
        <f ca="1"/>
        <v>2346826</v>
      </c>
      <c r="B749" s="3" t="str">
        <f ca="1"/>
        <v>CZECH NEWS CENTER a. s.</v>
      </c>
      <c r="C749" s="3" t="str">
        <f ca="1">IFERROR(__xludf.DUMMYFUNCTION("""COMPUTED_VALUE"""),"Maminka")</f>
        <v>Maminka</v>
      </c>
      <c r="D749" s="4" t="str">
        <f ca="1">IFERROR(__xludf.DUMMYFUNCTION("""COMPUTED_VALUE"""),"https://maminka.cz")</f>
        <v>https://maminka.cz</v>
      </c>
      <c r="E749" s="3" t="str">
        <f ca="1">IFERROR(__xludf.DUMMYFUNCTION("""COMPUTED_VALUE"""),"celý web")</f>
        <v>celý web</v>
      </c>
      <c r="F749" s="4" t="str">
        <f ca="1">IFERROR(__xludf.DUMMYFUNCTION("""COMPUTED_VALUE"""),"https://maminka.cz")</f>
        <v>https://maminka.cz</v>
      </c>
      <c r="G749" s="3" t="str">
        <f ca="1">IFERROR(__xludf.DUMMYFUNCTION("""COMPUTED_VALUE"""),"mini videospot - max. 30 sec. high season")</f>
        <v>mini videospot - max. 30 sec. high season</v>
      </c>
      <c r="H749" s="3">
        <f ca="1">IFERROR(__xludf.DUMMYFUNCTION("""COMPUTED_VALUE"""),7)</f>
        <v>7</v>
      </c>
      <c r="I749" s="5">
        <f ca="1">IFERROR(__xludf.DUMMYFUNCTION("""COMPUTED_VALUE"""),1000)</f>
        <v>1000</v>
      </c>
      <c r="J749" s="5">
        <f ca="1">IFERROR(__xludf.DUMMYFUNCTION("""COMPUTED_VALUE"""),260)</f>
        <v>260</v>
      </c>
      <c r="K749" s="3"/>
      <c r="L749" s="3" t="str">
        <f ca="1">IFERROR(__xludf.DUMMYFUNCTION("""COMPUTED_VALUE"""),"Cost per period")</f>
        <v>Cost per period</v>
      </c>
      <c r="M749" s="3"/>
      <c r="N749" s="3"/>
      <c r="O749" s="3"/>
      <c r="P749" s="3"/>
      <c r="Q749" s="3" t="str">
        <f ca="1">IFERROR(__xludf.DUMMYFUNCTION("""COMPUTED_VALUE"""),"16:9 / umístění po domluvě dle možností")</f>
        <v>16:9 / umístění po domluvě dle možností</v>
      </c>
      <c r="R749" s="3" t="str">
        <f ca="1">IFERROR(__xludf.DUMMYFUNCTION("""COMPUTED_VALUE"""),"přeskočení po 7 sekundách")</f>
        <v>přeskočení po 7 sekundách</v>
      </c>
      <c r="S749" s="3" t="str">
        <f ca="1">IFERROR(__xludf.DUMMYFUNCTION("""COMPUTED_VALUE"""),"100")</f>
        <v>100</v>
      </c>
      <c r="T749" s="3"/>
      <c r="U749" s="3" t="str">
        <f ca="1">IFERROR(__xludf.DUMMYFUNCTION("""COMPUTED_VALUE"""),"videospot")</f>
        <v>videospot</v>
      </c>
      <c r="V749" s="3"/>
      <c r="W749" s="4" t="str">
        <f ca="1">IFERROR(__xludf.DUMMYFUNCTION("""COMPUTED_VALUE"""),"https://reklama.cncenter.cz/Online/Videospot")</f>
        <v>https://reklama.cncenter.cz/Online/Videospot</v>
      </c>
      <c r="X749" s="3"/>
      <c r="Y749" s="3"/>
      <c r="Z749" s="3" t="str">
        <f ca="1">IFERROR(__xludf.DUMMYFUNCTION("""COMPUTED_VALUE"""),"podklady@cncenter.cz")</f>
        <v>podklady@cncenter.cz</v>
      </c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 t="str">
        <f ca="1">IFERROR(__xludf.DUMMYFUNCTION("""COMPUTED_VALUE"""),"desktop")</f>
        <v>desktop</v>
      </c>
      <c r="AO749" s="3"/>
      <c r="AP749" s="3"/>
      <c r="AQ749" s="3"/>
      <c r="AR749" s="3"/>
      <c r="AS749" s="3"/>
      <c r="AT749" s="3"/>
      <c r="AU749" s="3" t="str">
        <f ca="1">IFERROR(__xludf.DUMMYFUNCTION("""COMPUTED_VALUE"""),"mini videospot - max. 30 sec.")</f>
        <v>mini videospot - max. 30 sec.</v>
      </c>
    </row>
    <row r="750" spans="1:47" x14ac:dyDescent="0.3">
      <c r="A750" s="3">
        <f ca="1"/>
        <v>2346826</v>
      </c>
      <c r="B750" s="3" t="str">
        <f ca="1"/>
        <v>CZECH NEWS CENTER a. s.</v>
      </c>
      <c r="C750" s="3" t="str">
        <f ca="1">IFERROR(__xludf.DUMMYFUNCTION("""COMPUTED_VALUE"""),"Maminka")</f>
        <v>Maminka</v>
      </c>
      <c r="D750" s="4" t="str">
        <f ca="1">IFERROR(__xludf.DUMMYFUNCTION("""COMPUTED_VALUE"""),"https://maminka.cz")</f>
        <v>https://maminka.cz</v>
      </c>
      <c r="E750" s="3" t="str">
        <f ca="1">IFERROR(__xludf.DUMMYFUNCTION("""COMPUTED_VALUE"""),"celý web")</f>
        <v>celý web</v>
      </c>
      <c r="F750" s="4" t="str">
        <f ca="1">IFERROR(__xludf.DUMMYFUNCTION("""COMPUTED_VALUE"""),"https://maminka.cz")</f>
        <v>https://maminka.cz</v>
      </c>
      <c r="G750" s="3" t="str">
        <f ca="1">IFERROR(__xludf.DUMMYFUNCTION("""COMPUTED_VALUE"""),"mobilní interscroller high season")</f>
        <v>mobilní interscroller high season</v>
      </c>
      <c r="H750" s="3">
        <f ca="1">IFERROR(__xludf.DUMMYFUNCTION("""COMPUTED_VALUE"""),7)</f>
        <v>7</v>
      </c>
      <c r="I750" s="5">
        <f ca="1">IFERROR(__xludf.DUMMYFUNCTION("""COMPUTED_VALUE"""),1000)</f>
        <v>1000</v>
      </c>
      <c r="J750" s="5">
        <f ca="1">IFERROR(__xludf.DUMMYFUNCTION("""COMPUTED_VALUE"""),450)</f>
        <v>450</v>
      </c>
      <c r="K750" s="3"/>
      <c r="L750" s="3" t="str">
        <f ca="1">IFERROR(__xludf.DUMMYFUNCTION("""COMPUTED_VALUE"""),"Cost per period")</f>
        <v>Cost per period</v>
      </c>
      <c r="M750" s="3"/>
      <c r="N750" s="3"/>
      <c r="O750" s="3" t="str">
        <f ca="1">IFERROR(__xludf.DUMMYFUNCTION("""COMPUTED_VALUE"""),"600")</f>
        <v>600</v>
      </c>
      <c r="P750" s="3" t="str">
        <f ca="1">IFERROR(__xludf.DUMMYFUNCTION("""COMPUTED_VALUE"""),"1080")</f>
        <v>1080</v>
      </c>
      <c r="Q750" s="3" t="str">
        <f ca="1">IFERROR(__xludf.DUMMYFUNCTION("""COMPUTED_VALUE"""),"600x1080")</f>
        <v>600x1080</v>
      </c>
      <c r="R750" s="3"/>
      <c r="S750" s="3" t="str">
        <f ca="1">IFERROR(__xludf.DUMMYFUNCTION("""COMPUTED_VALUE"""),"200")</f>
        <v>200</v>
      </c>
      <c r="T750" s="3"/>
      <c r="U750" s="3" t="str">
        <f ca="1">IFERROR(__xludf.DUMMYFUNCTION("""COMPUTED_VALUE"""),"banner standard")</f>
        <v>banner standard</v>
      </c>
      <c r="V750" s="3"/>
      <c r="W750" s="4" t="str">
        <f ca="1">IFERROR(__xludf.DUMMYFUNCTION("""COMPUTED_VALUE"""),"https://reklama.cncenter.cz/Online/mobilni-interscroller")</f>
        <v>https://reklama.cncenter.cz/Online/mobilni-interscroller</v>
      </c>
      <c r="X750" s="3"/>
      <c r="Y750" s="3"/>
      <c r="Z750" s="3" t="str">
        <f ca="1">IFERROR(__xludf.DUMMYFUNCTION("""COMPUTED_VALUE"""),"podklady@cncenter.cz")</f>
        <v>podklady@cncenter.cz</v>
      </c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 t="str">
        <f ca="1">IFERROR(__xludf.DUMMYFUNCTION("""COMPUTED_VALUE"""),"mobile")</f>
        <v>mobile</v>
      </c>
      <c r="AO750" s="3"/>
      <c r="AP750" s="3"/>
      <c r="AQ750" s="3"/>
      <c r="AR750" s="3"/>
      <c r="AS750" s="3"/>
      <c r="AT750" s="3"/>
      <c r="AU750" s="3" t="str">
        <f ca="1">IFERROR(__xludf.DUMMYFUNCTION("""COMPUTED_VALUE"""),"mobilní interscroller")</f>
        <v>mobilní interscroller</v>
      </c>
    </row>
    <row r="751" spans="1:47" x14ac:dyDescent="0.3">
      <c r="A751" s="3">
        <f ca="1"/>
        <v>2346826</v>
      </c>
      <c r="B751" s="3" t="str">
        <f ca="1"/>
        <v>CZECH NEWS CENTER a. s.</v>
      </c>
      <c r="C751" s="3" t="str">
        <f ca="1">IFERROR(__xludf.DUMMYFUNCTION("""COMPUTED_VALUE"""),"Maminka")</f>
        <v>Maminka</v>
      </c>
      <c r="D751" s="4" t="str">
        <f ca="1">IFERROR(__xludf.DUMMYFUNCTION("""COMPUTED_VALUE"""),"https://maminka.cz")</f>
        <v>https://maminka.cz</v>
      </c>
      <c r="E751" s="3" t="str">
        <f ca="1">IFERROR(__xludf.DUMMYFUNCTION("""COMPUTED_VALUE"""),"celý web")</f>
        <v>celý web</v>
      </c>
      <c r="F751" s="4" t="str">
        <f ca="1">IFERROR(__xludf.DUMMYFUNCTION("""COMPUTED_VALUE"""),"https://maminka.cz")</f>
        <v>https://maminka.cz</v>
      </c>
      <c r="G751" s="3" t="str">
        <f ca="1">IFERROR(__xludf.DUMMYFUNCTION("""COMPUTED_VALUE"""),"mobilní slide-up high season")</f>
        <v>mobilní slide-up high season</v>
      </c>
      <c r="H751" s="3">
        <f ca="1">IFERROR(__xludf.DUMMYFUNCTION("""COMPUTED_VALUE"""),7)</f>
        <v>7</v>
      </c>
      <c r="I751" s="5">
        <f ca="1">IFERROR(__xludf.DUMMYFUNCTION("""COMPUTED_VALUE"""),1000)</f>
        <v>1000</v>
      </c>
      <c r="J751" s="5">
        <f ca="1">IFERROR(__xludf.DUMMYFUNCTION("""COMPUTED_VALUE"""),920)</f>
        <v>920</v>
      </c>
      <c r="K751" s="3"/>
      <c r="L751" s="3" t="str">
        <f ca="1">IFERROR(__xludf.DUMMYFUNCTION("""COMPUTED_VALUE"""),"Cost per period")</f>
        <v>Cost per period</v>
      </c>
      <c r="M751" s="3"/>
      <c r="N751" s="3"/>
      <c r="O751" s="3" t="str">
        <f ca="1">IFERROR(__xludf.DUMMYFUNCTION("""COMPUTED_VALUE"""),"300")</f>
        <v>300</v>
      </c>
      <c r="P751" s="3" t="str">
        <f ca="1">IFERROR(__xludf.DUMMYFUNCTION("""COMPUTED_VALUE"""),"120")</f>
        <v>120</v>
      </c>
      <c r="Q751" s="3" t="str">
        <f ca="1">IFERROR(__xludf.DUMMYFUNCTION("""COMPUTED_VALUE"""),"300x120")</f>
        <v>300x120</v>
      </c>
      <c r="R751" s="3"/>
      <c r="S751" s="3" t="str">
        <f ca="1">IFERROR(__xludf.DUMMYFUNCTION("""COMPUTED_VALUE"""),"100")</f>
        <v>100</v>
      </c>
      <c r="T751" s="3"/>
      <c r="U751" s="3" t="str">
        <f ca="1">IFERROR(__xludf.DUMMYFUNCTION("""COMPUTED_VALUE"""),"banner standard")</f>
        <v>banner standard</v>
      </c>
      <c r="V751" s="3"/>
      <c r="W751" s="4" t="str">
        <f ca="1">IFERROR(__xludf.DUMMYFUNCTION("""COMPUTED_VALUE"""),"https://reklama.cncenter.cz/Online/mobilni-slide-up")</f>
        <v>https://reklama.cncenter.cz/Online/mobilni-slide-up</v>
      </c>
      <c r="X751" s="3"/>
      <c r="Y751" s="3"/>
      <c r="Z751" s="3" t="str">
        <f ca="1">IFERROR(__xludf.DUMMYFUNCTION("""COMPUTED_VALUE"""),"podklady@cncenter.cz")</f>
        <v>podklady@cncenter.cz</v>
      </c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 t="str">
        <f ca="1">IFERROR(__xludf.DUMMYFUNCTION("""COMPUTED_VALUE"""),"mobile")</f>
        <v>mobile</v>
      </c>
      <c r="AO751" s="3"/>
      <c r="AP751" s="3"/>
      <c r="AQ751" s="3"/>
      <c r="AR751" s="3"/>
      <c r="AS751" s="3"/>
      <c r="AT751" s="3"/>
      <c r="AU751" s="3" t="str">
        <f ca="1">IFERROR(__xludf.DUMMYFUNCTION("""COMPUTED_VALUE"""),"mobilní slide-up")</f>
        <v>mobilní slide-up</v>
      </c>
    </row>
    <row r="752" spans="1:47" x14ac:dyDescent="0.3">
      <c r="A752" s="3">
        <f ca="1"/>
        <v>2346826</v>
      </c>
      <c r="B752" s="3" t="str">
        <f ca="1"/>
        <v>CZECH NEWS CENTER a. s.</v>
      </c>
      <c r="C752" s="3" t="str">
        <f ca="1">IFERROR(__xludf.DUMMYFUNCTION("""COMPUTED_VALUE"""),"Maminka")</f>
        <v>Maminka</v>
      </c>
      <c r="D752" s="4" t="str">
        <f ca="1">IFERROR(__xludf.DUMMYFUNCTION("""COMPUTED_VALUE"""),"https://maminka.cz")</f>
        <v>https://maminka.cz</v>
      </c>
      <c r="E752" s="3" t="str">
        <f ca="1">IFERROR(__xludf.DUMMYFUNCTION("""COMPUTED_VALUE"""),"celý web")</f>
        <v>celý web</v>
      </c>
      <c r="F752" s="4" t="str">
        <f ca="1">IFERROR(__xludf.DUMMYFUNCTION("""COMPUTED_VALUE"""),"https://maminka.cz")</f>
        <v>https://maminka.cz</v>
      </c>
      <c r="G752" s="3" t="str">
        <f ca="1">IFERROR(__xludf.DUMMYFUNCTION("""COMPUTED_VALUE"""),"mobilní viněta high season")</f>
        <v>mobilní viněta high season</v>
      </c>
      <c r="H752" s="3">
        <f ca="1">IFERROR(__xludf.DUMMYFUNCTION("""COMPUTED_VALUE"""),7)</f>
        <v>7</v>
      </c>
      <c r="I752" s="5">
        <f ca="1">IFERROR(__xludf.DUMMYFUNCTION("""COMPUTED_VALUE"""),1000)</f>
        <v>1000</v>
      </c>
      <c r="J752" s="5">
        <f ca="1">IFERROR(__xludf.DUMMYFUNCTION("""COMPUTED_VALUE"""),1590)</f>
        <v>1590</v>
      </c>
      <c r="K752" s="3"/>
      <c r="L752" s="3" t="str">
        <f ca="1">IFERROR(__xludf.DUMMYFUNCTION("""COMPUTED_VALUE"""),"Cost per period")</f>
        <v>Cost per period</v>
      </c>
      <c r="M752" s="3"/>
      <c r="N752" s="3"/>
      <c r="O752" s="3" t="str">
        <f ca="1">IFERROR(__xludf.DUMMYFUNCTION("""COMPUTED_VALUE"""),"600")</f>
        <v>600</v>
      </c>
      <c r="P752" s="3" t="str">
        <f ca="1">IFERROR(__xludf.DUMMYFUNCTION("""COMPUTED_VALUE"""),"800")</f>
        <v>800</v>
      </c>
      <c r="Q752" s="3" t="str">
        <f ca="1">IFERROR(__xludf.DUMMYFUNCTION("""COMPUTED_VALUE"""),"300x250 nebo 600x800")</f>
        <v>300x250 nebo 600x800</v>
      </c>
      <c r="R752" s="3"/>
      <c r="S752" s="3" t="str">
        <f ca="1">IFERROR(__xludf.DUMMYFUNCTION("""COMPUTED_VALUE"""),"100")</f>
        <v>100</v>
      </c>
      <c r="T752" s="3"/>
      <c r="U752" s="3" t="str">
        <f ca="1">IFERROR(__xludf.DUMMYFUNCTION("""COMPUTED_VALUE"""),"banner standard")</f>
        <v>banner standard</v>
      </c>
      <c r="V752" s="3"/>
      <c r="W752" s="4" t="str">
        <f ca="1">IFERROR(__xludf.DUMMYFUNCTION("""COMPUTED_VALUE"""),"https://reklama.cncenter.cz/Online/mobilni-vineta")</f>
        <v>https://reklama.cncenter.cz/Online/mobilni-vineta</v>
      </c>
      <c r="X752" s="3"/>
      <c r="Y752" s="3"/>
      <c r="Z752" s="3" t="str">
        <f ca="1">IFERROR(__xludf.DUMMYFUNCTION("""COMPUTED_VALUE"""),"podklady@cncenter.cz")</f>
        <v>podklady@cncenter.cz</v>
      </c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 t="str">
        <f ca="1">IFERROR(__xludf.DUMMYFUNCTION("""COMPUTED_VALUE"""),"mobile")</f>
        <v>mobile</v>
      </c>
      <c r="AO752" s="3"/>
      <c r="AP752" s="3"/>
      <c r="AQ752" s="3"/>
      <c r="AR752" s="3"/>
      <c r="AS752" s="3"/>
      <c r="AT752" s="3"/>
      <c r="AU752" s="3" t="str">
        <f ca="1">IFERROR(__xludf.DUMMYFUNCTION("""COMPUTED_VALUE"""),"mobilní viněta")</f>
        <v>mobilní viněta</v>
      </c>
    </row>
    <row r="753" spans="1:47" x14ac:dyDescent="0.3">
      <c r="A753" s="3">
        <f ca="1"/>
        <v>2346826</v>
      </c>
      <c r="B753" s="3" t="str">
        <f ca="1"/>
        <v>CZECH NEWS CENTER a. s.</v>
      </c>
      <c r="C753" s="3" t="str">
        <f ca="1">IFERROR(__xludf.DUMMYFUNCTION("""COMPUTED_VALUE"""),"Maminka")</f>
        <v>Maminka</v>
      </c>
      <c r="D753" s="4" t="str">
        <f ca="1">IFERROR(__xludf.DUMMYFUNCTION("""COMPUTED_VALUE"""),"https://maminka.cz")</f>
        <v>https://maminka.cz</v>
      </c>
      <c r="E753" s="3" t="str">
        <f ca="1">IFERROR(__xludf.DUMMYFUNCTION("""COMPUTED_VALUE"""),"celý web")</f>
        <v>celý web</v>
      </c>
      <c r="F753" s="4" t="str">
        <f ca="1">IFERROR(__xludf.DUMMYFUNCTION("""COMPUTED_VALUE"""),"https://maminka.cz")</f>
        <v>https://maminka.cz</v>
      </c>
      <c r="G753" s="3" t="str">
        <f ca="1">IFERROR(__xludf.DUMMYFUNCTION("""COMPUTED_VALUE"""),"Native Standard high season")</f>
        <v>Native Standard high season</v>
      </c>
      <c r="H753" s="3">
        <f ca="1">IFERROR(__xludf.DUMMYFUNCTION("""COMPUTED_VALUE"""),1)</f>
        <v>1</v>
      </c>
      <c r="I753" s="5">
        <f ca="1">IFERROR(__xludf.DUMMYFUNCTION("""COMPUTED_VALUE"""),1)</f>
        <v>1</v>
      </c>
      <c r="J753" s="5">
        <f ca="1">IFERROR(__xludf.DUMMYFUNCTION("""COMPUTED_VALUE"""),330000)</f>
        <v>330000</v>
      </c>
      <c r="K753" s="3"/>
      <c r="L753" s="3" t="str">
        <f ca="1">IFERROR(__xludf.DUMMYFUNCTION("""COMPUTED_VALUE"""),"Cost per instance")</f>
        <v>Cost per instance</v>
      </c>
      <c r="M753" s="3"/>
      <c r="N753" s="3"/>
      <c r="O753" s="3"/>
      <c r="P753" s="3"/>
      <c r="Q753" s="3"/>
      <c r="R753" s="3"/>
      <c r="S753" s="3" t="str">
        <f ca="1">IFERROR(__xludf.DUMMYFUNCTION("""COMPUTED_VALUE"""),"100")</f>
        <v>100</v>
      </c>
      <c r="T753" s="3"/>
      <c r="U753" s="3" t="str">
        <f ca="1">IFERROR(__xludf.DUMMYFUNCTION("""COMPUTED_VALUE"""),"microsite")</f>
        <v>microsite</v>
      </c>
      <c r="V753" s="3"/>
      <c r="W753" s="3"/>
      <c r="X753" s="3"/>
      <c r="Y753" s="3"/>
      <c r="Z753" s="3" t="str">
        <f ca="1">IFERROR(__xludf.DUMMYFUNCTION("""COMPUTED_VALUE"""),"podklady@cncenter.cz")</f>
        <v>podklady@cncenter.cz</v>
      </c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 t="str">
        <f ca="1">IFERROR(__xludf.DUMMYFUNCTION("""COMPUTED_VALUE"""),"cross-device")</f>
        <v>cross-device</v>
      </c>
      <c r="AO753" s="3"/>
      <c r="AP753" s="3"/>
      <c r="AQ753" s="3"/>
      <c r="AR753" s="3"/>
      <c r="AS753" s="3"/>
      <c r="AT753" s="3"/>
      <c r="AU753" s="3" t="str">
        <f ca="1">IFERROR(__xludf.DUMMYFUNCTION("""COMPUTED_VALUE"""),"Native Standard")</f>
        <v>Native Standard</v>
      </c>
    </row>
    <row r="754" spans="1:47" x14ac:dyDescent="0.3">
      <c r="A754" s="3">
        <f ca="1"/>
        <v>2346826</v>
      </c>
      <c r="B754" s="3" t="str">
        <f ca="1"/>
        <v>CZECH NEWS CENTER a. s.</v>
      </c>
      <c r="C754" s="3" t="str">
        <f ca="1">IFERROR(__xludf.DUMMYFUNCTION("""COMPUTED_VALUE"""),"Maminka")</f>
        <v>Maminka</v>
      </c>
      <c r="D754" s="4" t="str">
        <f ca="1">IFERROR(__xludf.DUMMYFUNCTION("""COMPUTED_VALUE"""),"https://maminka.cz")</f>
        <v>https://maminka.cz</v>
      </c>
      <c r="E754" s="3" t="str">
        <f ca="1">IFERROR(__xludf.DUMMYFUNCTION("""COMPUTED_VALUE"""),"celý web")</f>
        <v>celý web</v>
      </c>
      <c r="F754" s="4" t="str">
        <f ca="1">IFERROR(__xludf.DUMMYFUNCTION("""COMPUTED_VALUE"""),"https://maminka.cz")</f>
        <v>https://maminka.cz</v>
      </c>
      <c r="G754" s="3" t="str">
        <f ca="1">IFERROR(__xludf.DUMMYFUNCTION("""COMPUTED_VALUE"""),"nativní pr premium high season")</f>
        <v>nativní pr premium high season</v>
      </c>
      <c r="H754" s="3">
        <f ca="1">IFERROR(__xludf.DUMMYFUNCTION("""COMPUTED_VALUE"""),7)</f>
        <v>7</v>
      </c>
      <c r="I754" s="5">
        <f ca="1">IFERROR(__xludf.DUMMYFUNCTION("""COMPUTED_VALUE"""),1000)</f>
        <v>1000</v>
      </c>
      <c r="J754" s="5">
        <f ca="1">IFERROR(__xludf.DUMMYFUNCTION("""COMPUTED_VALUE"""),180)</f>
        <v>180</v>
      </c>
      <c r="K754" s="3"/>
      <c r="L754" s="3" t="str">
        <f ca="1">IFERROR(__xludf.DUMMYFUNCTION("""COMPUTED_VALUE"""),"Cost per period")</f>
        <v>Cost per period</v>
      </c>
      <c r="M754" s="3"/>
      <c r="N754" s="3"/>
      <c r="O754" s="3" t="str">
        <f ca="1">IFERROR(__xludf.DUMMYFUNCTION("""COMPUTED_VALUE"""),"640")</f>
        <v>640</v>
      </c>
      <c r="P754" s="3" t="str">
        <f ca="1">IFERROR(__xludf.DUMMYFUNCTION("""COMPUTED_VALUE"""),"335, 640")</f>
        <v>335, 640</v>
      </c>
      <c r="Q754" s="3" t="str">
        <f ca="1">IFERROR(__xludf.DUMMYFUNCTION("""COMPUTED_VALUE"""),"640x640 a 640x335 + text + logo")</f>
        <v>640x640 a 640x335 + text + logo</v>
      </c>
      <c r="R754" s="3" t="str">
        <f ca="1">IFERROR(__xludf.DUMMYFUNCTION("""COMPUTED_VALUE"""),"detailní specifikace na URL odkaze")</f>
        <v>detailní specifikace na URL odkaze</v>
      </c>
      <c r="S754" s="3" t="str">
        <f ca="1">IFERROR(__xludf.DUMMYFUNCTION("""COMPUTED_VALUE"""),"100")</f>
        <v>100</v>
      </c>
      <c r="T754" s="3"/>
      <c r="U754" s="3" t="str">
        <f ca="1">IFERROR(__xludf.DUMMYFUNCTION("""COMPUTED_VALUE"""),"nativní reklama")</f>
        <v>nativní reklama</v>
      </c>
      <c r="V754" s="3"/>
      <c r="W754" s="4" t="str">
        <f ca="1">IFERROR(__xludf.DUMMYFUNCTION("""COMPUTED_VALUE"""),"https://reklama.cncenter.cz/Online/nativni-PR-premium")</f>
        <v>https://reklama.cncenter.cz/Online/nativni-PR-premium</v>
      </c>
      <c r="X754" s="3"/>
      <c r="Y754" s="3"/>
      <c r="Z754" s="3" t="str">
        <f ca="1">IFERROR(__xludf.DUMMYFUNCTION("""COMPUTED_VALUE"""),"podklady@cncenter.cz")</f>
        <v>podklady@cncenter.cz</v>
      </c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 t="str">
        <f ca="1">IFERROR(__xludf.DUMMYFUNCTION("""COMPUTED_VALUE"""),"cross-device")</f>
        <v>cross-device</v>
      </c>
      <c r="AO754" s="3"/>
      <c r="AP754" s="3"/>
      <c r="AQ754" s="3"/>
      <c r="AR754" s="3"/>
      <c r="AS754" s="3"/>
      <c r="AT754" s="3"/>
      <c r="AU754" s="3" t="str">
        <f ca="1">IFERROR(__xludf.DUMMYFUNCTION("""COMPUTED_VALUE"""),"nativní pr premium")</f>
        <v>nativní pr premium</v>
      </c>
    </row>
    <row r="755" spans="1:47" x14ac:dyDescent="0.3">
      <c r="A755" s="3">
        <f ca="1"/>
        <v>2346826</v>
      </c>
      <c r="B755" s="3" t="str">
        <f ca="1"/>
        <v>CZECH NEWS CENTER a. s.</v>
      </c>
      <c r="C755" s="3" t="str">
        <f ca="1">IFERROR(__xludf.DUMMYFUNCTION("""COMPUTED_VALUE"""),"Maminka")</f>
        <v>Maminka</v>
      </c>
      <c r="D755" s="4" t="str">
        <f ca="1">IFERROR(__xludf.DUMMYFUNCTION("""COMPUTED_VALUE"""),"https://maminka.cz")</f>
        <v>https://maminka.cz</v>
      </c>
      <c r="E755" s="3" t="str">
        <f ca="1">IFERROR(__xludf.DUMMYFUNCTION("""COMPUTED_VALUE"""),"celý web")</f>
        <v>celý web</v>
      </c>
      <c r="F755" s="4" t="str">
        <f ca="1">IFERROR(__xludf.DUMMYFUNCTION("""COMPUTED_VALUE"""),"https://maminka.cz")</f>
        <v>https://maminka.cz</v>
      </c>
      <c r="G755" s="3" t="str">
        <f ca="1">IFERROR(__xludf.DUMMYFUNCTION("""COMPUTED_VALUE"""),"nativní rectangle cross-device high season")</f>
        <v>nativní rectangle cross-device high season</v>
      </c>
      <c r="H755" s="3">
        <f ca="1">IFERROR(__xludf.DUMMYFUNCTION("""COMPUTED_VALUE"""),7)</f>
        <v>7</v>
      </c>
      <c r="I755" s="5">
        <f ca="1">IFERROR(__xludf.DUMMYFUNCTION("""COMPUTED_VALUE"""),1000)</f>
        <v>1000</v>
      </c>
      <c r="J755" s="5">
        <f ca="1">IFERROR(__xludf.DUMMYFUNCTION("""COMPUTED_VALUE"""),360)</f>
        <v>360</v>
      </c>
      <c r="K755" s="3"/>
      <c r="L755" s="3" t="str">
        <f ca="1">IFERROR(__xludf.DUMMYFUNCTION("""COMPUTED_VALUE"""),"Cost per period")</f>
        <v>Cost per period</v>
      </c>
      <c r="M755" s="3"/>
      <c r="N755" s="3"/>
      <c r="O755" s="3" t="str">
        <f ca="1">IFERROR(__xludf.DUMMYFUNCTION("""COMPUTED_VALUE"""),"640")</f>
        <v>640</v>
      </c>
      <c r="P755" s="3" t="str">
        <f ca="1">IFERROR(__xludf.DUMMYFUNCTION("""COMPUTED_VALUE"""),"335, 640")</f>
        <v>335, 640</v>
      </c>
      <c r="Q755" s="3" t="str">
        <f ca="1">IFERROR(__xludf.DUMMYFUNCTION("""COMPUTED_VALUE"""),"640x640 a 640x335 + text + logo")</f>
        <v>640x640 a 640x335 + text + logo</v>
      </c>
      <c r="R755" s="3"/>
      <c r="S755" s="3" t="str">
        <f ca="1">IFERROR(__xludf.DUMMYFUNCTION("""COMPUTED_VALUE"""),"45")</f>
        <v>45</v>
      </c>
      <c r="T755" s="3"/>
      <c r="U755" s="3" t="str">
        <f ca="1">IFERROR(__xludf.DUMMYFUNCTION("""COMPUTED_VALUE"""),"nativní reklama")</f>
        <v>nativní reklama</v>
      </c>
      <c r="V755" s="3"/>
      <c r="W755" s="4" t="str">
        <f ca="1">IFERROR(__xludf.DUMMYFUNCTION("""COMPUTED_VALUE"""),"https://reklama.cncenter.cz/Online/nativni-rectangle-cross-device")</f>
        <v>https://reklama.cncenter.cz/Online/nativni-rectangle-cross-device</v>
      </c>
      <c r="X755" s="3"/>
      <c r="Y755" s="3"/>
      <c r="Z755" s="3" t="str">
        <f ca="1">IFERROR(__xludf.DUMMYFUNCTION("""COMPUTED_VALUE"""),"podklady@cncenter.cz")</f>
        <v>podklady@cncenter.cz</v>
      </c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 t="str">
        <f ca="1">IFERROR(__xludf.DUMMYFUNCTION("""COMPUTED_VALUE"""),"cross-device")</f>
        <v>cross-device</v>
      </c>
      <c r="AO755" s="3"/>
      <c r="AP755" s="3"/>
      <c r="AQ755" s="3"/>
      <c r="AR755" s="3"/>
      <c r="AS755" s="3"/>
      <c r="AT755" s="3"/>
      <c r="AU755" s="3" t="str">
        <f ca="1">IFERROR(__xludf.DUMMYFUNCTION("""COMPUTED_VALUE"""),"nativní rectangle cross-device")</f>
        <v>nativní rectangle cross-device</v>
      </c>
    </row>
    <row r="756" spans="1:47" x14ac:dyDescent="0.3">
      <c r="A756" s="3">
        <f ca="1"/>
        <v>2346826</v>
      </c>
      <c r="B756" s="3" t="str">
        <f ca="1"/>
        <v>CZECH NEWS CENTER a. s.</v>
      </c>
      <c r="C756" s="3" t="str">
        <f ca="1">IFERROR(__xludf.DUMMYFUNCTION("""COMPUTED_VALUE"""),"Maminka")</f>
        <v>Maminka</v>
      </c>
      <c r="D756" s="4" t="str">
        <f ca="1">IFERROR(__xludf.DUMMYFUNCTION("""COMPUTED_VALUE"""),"https://maminka.cz")</f>
        <v>https://maminka.cz</v>
      </c>
      <c r="E756" s="3" t="str">
        <f ca="1">IFERROR(__xludf.DUMMYFUNCTION("""COMPUTED_VALUE"""),"celý web")</f>
        <v>celý web</v>
      </c>
      <c r="F756" s="4" t="str">
        <f ca="1">IFERROR(__xludf.DUMMYFUNCTION("""COMPUTED_VALUE"""),"https://maminka.cz")</f>
        <v>https://maminka.cz</v>
      </c>
      <c r="G756" s="3" t="str">
        <f ca="1">IFERROR(__xludf.DUMMYFUNCTION("""COMPUTED_VALUE"""),"outstream high season")</f>
        <v>outstream high season</v>
      </c>
      <c r="H756" s="3">
        <f ca="1">IFERROR(__xludf.DUMMYFUNCTION("""COMPUTED_VALUE"""),7)</f>
        <v>7</v>
      </c>
      <c r="I756" s="5">
        <f ca="1">IFERROR(__xludf.DUMMYFUNCTION("""COMPUTED_VALUE"""),1000)</f>
        <v>1000</v>
      </c>
      <c r="J756" s="5">
        <f ca="1">IFERROR(__xludf.DUMMYFUNCTION("""COMPUTED_VALUE"""),450)</f>
        <v>450</v>
      </c>
      <c r="K756" s="3"/>
      <c r="L756" s="3" t="str">
        <f ca="1">IFERROR(__xludf.DUMMYFUNCTION("""COMPUTED_VALUE"""),"Cost per period")</f>
        <v>Cost per period</v>
      </c>
      <c r="M756" s="3"/>
      <c r="N756" s="3"/>
      <c r="O756" s="3" t="str">
        <f ca="1">IFERROR(__xludf.DUMMYFUNCTION("""COMPUTED_VALUE"""),"1280")</f>
        <v>1280</v>
      </c>
      <c r="P756" s="3" t="str">
        <f ca="1">IFERROR(__xludf.DUMMYFUNCTION("""COMPUTED_VALUE"""),"720")</f>
        <v>720</v>
      </c>
      <c r="Q756" s="3" t="str">
        <f ca="1">IFERROR(__xludf.DUMMYFUNCTION("""COMPUTED_VALUE"""),"16:9")</f>
        <v>16:9</v>
      </c>
      <c r="R756" s="3"/>
      <c r="S756" s="3" t="str">
        <f ca="1">IFERROR(__xludf.DUMMYFUNCTION("""COMPUTED_VALUE"""),"100")</f>
        <v>100</v>
      </c>
      <c r="T756" s="3"/>
      <c r="U756" s="3" t="str">
        <f ca="1">IFERROR(__xludf.DUMMYFUNCTION("""COMPUTED_VALUE"""),"videospot")</f>
        <v>videospot</v>
      </c>
      <c r="V756" s="3"/>
      <c r="W756" s="4" t="str">
        <f ca="1">IFERROR(__xludf.DUMMYFUNCTION("""COMPUTED_VALUE"""),"https://reklama.cncenter.cz/Online/Outstream")</f>
        <v>https://reklama.cncenter.cz/Online/Outstream</v>
      </c>
      <c r="X756" s="3"/>
      <c r="Y756" s="3"/>
      <c r="Z756" s="3" t="str">
        <f ca="1">IFERROR(__xludf.DUMMYFUNCTION("""COMPUTED_VALUE"""),"podklady@cncenter.cz")</f>
        <v>podklady@cncenter.cz</v>
      </c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 t="str">
        <f ca="1">IFERROR(__xludf.DUMMYFUNCTION("""COMPUTED_VALUE"""),"cross-device")</f>
        <v>cross-device</v>
      </c>
      <c r="AO756" s="3"/>
      <c r="AP756" s="3"/>
      <c r="AQ756" s="3"/>
      <c r="AR756" s="3"/>
      <c r="AS756" s="3"/>
      <c r="AT756" s="3"/>
      <c r="AU756" s="3" t="str">
        <f ca="1">IFERROR(__xludf.DUMMYFUNCTION("""COMPUTED_VALUE"""),"outstream")</f>
        <v>outstream</v>
      </c>
    </row>
    <row r="757" spans="1:47" x14ac:dyDescent="0.3">
      <c r="A757" s="3">
        <f ca="1"/>
        <v>2346826</v>
      </c>
      <c r="B757" s="3" t="str">
        <f ca="1"/>
        <v>CZECH NEWS CENTER a. s.</v>
      </c>
      <c r="C757" s="3" t="str">
        <f ca="1">IFERROR(__xludf.DUMMYFUNCTION("""COMPUTED_VALUE"""),"Maminka")</f>
        <v>Maminka</v>
      </c>
      <c r="D757" s="4" t="str">
        <f ca="1">IFERROR(__xludf.DUMMYFUNCTION("""COMPUTED_VALUE"""),"https://maminka.cz")</f>
        <v>https://maminka.cz</v>
      </c>
      <c r="E757" s="3" t="str">
        <f ca="1">IFERROR(__xludf.DUMMYFUNCTION("""COMPUTED_VALUE"""),"celý web")</f>
        <v>celý web</v>
      </c>
      <c r="F757" s="4" t="str">
        <f ca="1">IFERROR(__xludf.DUMMYFUNCTION("""COMPUTED_VALUE"""),"https://maminka.cz")</f>
        <v>https://maminka.cz</v>
      </c>
      <c r="G757" s="3" t="str">
        <f ca="1">IFERROR(__xludf.DUMMYFUNCTION("""COMPUTED_VALUE"""),"PR článek high season")</f>
        <v>PR článek high season</v>
      </c>
      <c r="H757" s="3">
        <f ca="1">IFERROR(__xludf.DUMMYFUNCTION("""COMPUTED_VALUE"""),1)</f>
        <v>1</v>
      </c>
      <c r="I757" s="5">
        <f ca="1">IFERROR(__xludf.DUMMYFUNCTION("""COMPUTED_VALUE"""),1)</f>
        <v>1</v>
      </c>
      <c r="J757" s="5">
        <f ca="1">IFERROR(__xludf.DUMMYFUNCTION("""COMPUTED_VALUE"""),20000)</f>
        <v>20000</v>
      </c>
      <c r="K757" s="3"/>
      <c r="L757" s="3" t="str">
        <f ca="1">IFERROR(__xludf.DUMMYFUNCTION("""COMPUTED_VALUE"""),"Cost per instance")</f>
        <v>Cost per instance</v>
      </c>
      <c r="M757" s="3"/>
      <c r="N757" s="3"/>
      <c r="O757" s="3"/>
      <c r="P757" s="3"/>
      <c r="Q757" s="3"/>
      <c r="R757" s="3"/>
      <c r="S757" s="3" t="str">
        <f ca="1">IFERROR(__xludf.DUMMYFUNCTION("""COMPUTED_VALUE"""),"100")</f>
        <v>100</v>
      </c>
      <c r="T757" s="3"/>
      <c r="U757" s="3" t="str">
        <f ca="1">IFERROR(__xludf.DUMMYFUNCTION("""COMPUTED_VALUE"""),"pr článek")</f>
        <v>pr článek</v>
      </c>
      <c r="V757" s="3"/>
      <c r="W757" s="4" t="str">
        <f ca="1">IFERROR(__xludf.DUMMYFUNCTION("""COMPUTED_VALUE"""),"https://reklama.cncenter.cz/?ads=PR%2520%25C4%258Dl%25C3%25A1nky")</f>
        <v>https://reklama.cncenter.cz/?ads=PR%2520%25C4%258Dl%25C3%25A1nky</v>
      </c>
      <c r="X757" s="3"/>
      <c r="Y757" s="3"/>
      <c r="Z757" s="3" t="str">
        <f ca="1">IFERROR(__xludf.DUMMYFUNCTION("""COMPUTED_VALUE"""),"podklady@cncenter.cz")</f>
        <v>podklady@cncenter.cz</v>
      </c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 t="str">
        <f ca="1">IFERROR(__xludf.DUMMYFUNCTION("""COMPUTED_VALUE"""),"cross-device")</f>
        <v>cross-device</v>
      </c>
      <c r="AO757" s="3"/>
      <c r="AP757" s="3"/>
      <c r="AQ757" s="3"/>
      <c r="AR757" s="3"/>
      <c r="AS757" s="3"/>
      <c r="AT757" s="3"/>
      <c r="AU757" s="3" t="str">
        <f ca="1">IFERROR(__xludf.DUMMYFUNCTION("""COMPUTED_VALUE"""),"PR článek")</f>
        <v>PR článek</v>
      </c>
    </row>
    <row r="758" spans="1:47" x14ac:dyDescent="0.3">
      <c r="A758" s="3">
        <f ca="1"/>
        <v>2346826</v>
      </c>
      <c r="B758" s="3" t="str">
        <f ca="1"/>
        <v>CZECH NEWS CENTER a. s.</v>
      </c>
      <c r="C758" s="3" t="str">
        <f ca="1">IFERROR(__xludf.DUMMYFUNCTION("""COMPUTED_VALUE"""),"Maminka")</f>
        <v>Maminka</v>
      </c>
      <c r="D758" s="4" t="str">
        <f ca="1">IFERROR(__xludf.DUMMYFUNCTION("""COMPUTED_VALUE"""),"https://maminka.cz")</f>
        <v>https://maminka.cz</v>
      </c>
      <c r="E758" s="3" t="str">
        <f ca="1">IFERROR(__xludf.DUMMYFUNCTION("""COMPUTED_VALUE"""),"celý web")</f>
        <v>celý web</v>
      </c>
      <c r="F758" s="4" t="str">
        <f ca="1">IFERROR(__xludf.DUMMYFUNCTION("""COMPUTED_VALUE"""),"https://maminka.cz")</f>
        <v>https://maminka.cz</v>
      </c>
      <c r="G758" s="3" t="str">
        <f ca="1">IFERROR(__xludf.DUMMYFUNCTION("""COMPUTED_VALUE"""),"Prodloužení existující microsite, bez úprav high season")</f>
        <v>Prodloužení existující microsite, bez úprav high season</v>
      </c>
      <c r="H758" s="3">
        <f ca="1">IFERROR(__xludf.DUMMYFUNCTION("""COMPUTED_VALUE"""),1)</f>
        <v>1</v>
      </c>
      <c r="I758" s="5">
        <f ca="1">IFERROR(__xludf.DUMMYFUNCTION("""COMPUTED_VALUE"""),1)</f>
        <v>1</v>
      </c>
      <c r="J758" s="5">
        <f ca="1">IFERROR(__xludf.DUMMYFUNCTION("""COMPUTED_VALUE"""),15000)</f>
        <v>15000</v>
      </c>
      <c r="K758" s="3"/>
      <c r="L758" s="3" t="str">
        <f ca="1">IFERROR(__xludf.DUMMYFUNCTION("""COMPUTED_VALUE"""),"Cost per instance")</f>
        <v>Cost per instance</v>
      </c>
      <c r="M758" s="3"/>
      <c r="N758" s="3"/>
      <c r="O758" s="3"/>
      <c r="P758" s="3"/>
      <c r="Q758" s="3"/>
      <c r="R758" s="3"/>
      <c r="S758" s="3" t="str">
        <f ca="1">IFERROR(__xludf.DUMMYFUNCTION("""COMPUTED_VALUE"""),"100")</f>
        <v>100</v>
      </c>
      <c r="T758" s="3"/>
      <c r="U758" s="3" t="str">
        <f ca="1">IFERROR(__xludf.DUMMYFUNCTION("""COMPUTED_VALUE"""),"microsite")</f>
        <v>microsite</v>
      </c>
      <c r="V758" s="3"/>
      <c r="W758" s="3"/>
      <c r="X758" s="3"/>
      <c r="Y758" s="3"/>
      <c r="Z758" s="3" t="str">
        <f ca="1">IFERROR(__xludf.DUMMYFUNCTION("""COMPUTED_VALUE"""),"podklady@cncenter.cz")</f>
        <v>podklady@cncenter.cz</v>
      </c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 t="str">
        <f ca="1">IFERROR(__xludf.DUMMYFUNCTION("""COMPUTED_VALUE"""),"cross-device")</f>
        <v>cross-device</v>
      </c>
      <c r="AO758" s="3"/>
      <c r="AP758" s="3"/>
      <c r="AQ758" s="3"/>
      <c r="AR758" s="3"/>
      <c r="AS758" s="3"/>
      <c r="AT758" s="3"/>
      <c r="AU758" s="3" t="str">
        <f ca="1">IFERROR(__xludf.DUMMYFUNCTION("""COMPUTED_VALUE"""),"Prodloužení existující microsite, bez úprav")</f>
        <v>Prodloužení existující microsite, bez úprav</v>
      </c>
    </row>
    <row r="759" spans="1:47" x14ac:dyDescent="0.3">
      <c r="A759" s="3">
        <f ca="1"/>
        <v>2346826</v>
      </c>
      <c r="B759" s="3" t="str">
        <f ca="1"/>
        <v>CZECH NEWS CENTER a. s.</v>
      </c>
      <c r="C759" s="3" t="str">
        <f ca="1">IFERROR(__xludf.DUMMYFUNCTION("""COMPUTED_VALUE"""),"Maminka")</f>
        <v>Maminka</v>
      </c>
      <c r="D759" s="4" t="str">
        <f ca="1">IFERROR(__xludf.DUMMYFUNCTION("""COMPUTED_VALUE"""),"https://maminka.cz")</f>
        <v>https://maminka.cz</v>
      </c>
      <c r="E759" s="3" t="str">
        <f ca="1">IFERROR(__xludf.DUMMYFUNCTION("""COMPUTED_VALUE"""),"celý web")</f>
        <v>celý web</v>
      </c>
      <c r="F759" s="4" t="str">
        <f ca="1">IFERROR(__xludf.DUMMYFUNCTION("""COMPUTED_VALUE"""),"https://maminka.cz")</f>
        <v>https://maminka.cz</v>
      </c>
      <c r="G759" s="3" t="str">
        <f ca="1">IFERROR(__xludf.DUMMYFUNCTION("""COMPUTED_VALUE"""),"Prodloužení existující microsite, bez úprav high season")</f>
        <v>Prodloužení existující microsite, bez úprav high season</v>
      </c>
      <c r="H759" s="3">
        <f ca="1">IFERROR(__xludf.DUMMYFUNCTION("""COMPUTED_VALUE"""),1)</f>
        <v>1</v>
      </c>
      <c r="I759" s="5">
        <f ca="1">IFERROR(__xludf.DUMMYFUNCTION("""COMPUTED_VALUE"""),1)</f>
        <v>1</v>
      </c>
      <c r="J759" s="5">
        <f ca="1">IFERROR(__xludf.DUMMYFUNCTION("""COMPUTED_VALUE"""),15000)</f>
        <v>15000</v>
      </c>
      <c r="K759" s="3"/>
      <c r="L759" s="3" t="str">
        <f ca="1">IFERROR(__xludf.DUMMYFUNCTION("""COMPUTED_VALUE"""),"Cost per instance")</f>
        <v>Cost per instance</v>
      </c>
      <c r="M759" s="3"/>
      <c r="N759" s="3"/>
      <c r="O759" s="3"/>
      <c r="P759" s="3"/>
      <c r="Q759" s="3"/>
      <c r="R759" s="3"/>
      <c r="S759" s="3" t="str">
        <f ca="1">IFERROR(__xludf.DUMMYFUNCTION("""COMPUTED_VALUE"""),"100")</f>
        <v>100</v>
      </c>
      <c r="T759" s="3"/>
      <c r="U759" s="3" t="str">
        <f ca="1">IFERROR(__xludf.DUMMYFUNCTION("""COMPUTED_VALUE"""),"microsite")</f>
        <v>microsite</v>
      </c>
      <c r="V759" s="3"/>
      <c r="W759" s="3"/>
      <c r="X759" s="3"/>
      <c r="Y759" s="3"/>
      <c r="Z759" s="3" t="str">
        <f ca="1">IFERROR(__xludf.DUMMYFUNCTION("""COMPUTED_VALUE"""),"podklady@cncenter.cz")</f>
        <v>podklady@cncenter.cz</v>
      </c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 t="str">
        <f ca="1">IFERROR(__xludf.DUMMYFUNCTION("""COMPUTED_VALUE"""),"cross-device")</f>
        <v>cross-device</v>
      </c>
      <c r="AO759" s="3"/>
      <c r="AP759" s="3"/>
      <c r="AQ759" s="3"/>
      <c r="AR759" s="3"/>
      <c r="AS759" s="3"/>
      <c r="AT759" s="3"/>
      <c r="AU759" s="3" t="str">
        <f ca="1">IFERROR(__xludf.DUMMYFUNCTION("""COMPUTED_VALUE"""),"Prodloužení existující microsite, bez úprav")</f>
        <v>Prodloužení existující microsite, bez úprav</v>
      </c>
    </row>
    <row r="760" spans="1:47" x14ac:dyDescent="0.3">
      <c r="A760" s="3">
        <f ca="1"/>
        <v>2346826</v>
      </c>
      <c r="B760" s="3" t="str">
        <f ca="1"/>
        <v>CZECH NEWS CENTER a. s.</v>
      </c>
      <c r="C760" s="3" t="str">
        <f ca="1">IFERROR(__xludf.DUMMYFUNCTION("""COMPUTED_VALUE"""),"Maminka")</f>
        <v>Maminka</v>
      </c>
      <c r="D760" s="4" t="str">
        <f ca="1">IFERROR(__xludf.DUMMYFUNCTION("""COMPUTED_VALUE"""),"https://maminka.cz")</f>
        <v>https://maminka.cz</v>
      </c>
      <c r="E760" s="3" t="str">
        <f ca="1">IFERROR(__xludf.DUMMYFUNCTION("""COMPUTED_VALUE"""),"celý web")</f>
        <v>celý web</v>
      </c>
      <c r="F760" s="4" t="str">
        <f ca="1">IFERROR(__xludf.DUMMYFUNCTION("""COMPUTED_VALUE"""),"https://maminka.cz")</f>
        <v>https://maminka.cz</v>
      </c>
      <c r="G760" s="3" t="str">
        <f ca="1">IFERROR(__xludf.DUMMYFUNCTION("""COMPUTED_VALUE"""),"Prodloužení existující microsite, bez úprav high season")</f>
        <v>Prodloužení existující microsite, bez úprav high season</v>
      </c>
      <c r="H760" s="3">
        <f ca="1">IFERROR(__xludf.DUMMYFUNCTION("""COMPUTED_VALUE"""),1)</f>
        <v>1</v>
      </c>
      <c r="I760" s="5">
        <f ca="1">IFERROR(__xludf.DUMMYFUNCTION("""COMPUTED_VALUE"""),1)</f>
        <v>1</v>
      </c>
      <c r="J760" s="5">
        <f ca="1">IFERROR(__xludf.DUMMYFUNCTION("""COMPUTED_VALUE"""),15000)</f>
        <v>15000</v>
      </c>
      <c r="K760" s="3"/>
      <c r="L760" s="3" t="str">
        <f ca="1">IFERROR(__xludf.DUMMYFUNCTION("""COMPUTED_VALUE"""),"Cost per instance")</f>
        <v>Cost per instance</v>
      </c>
      <c r="M760" s="3"/>
      <c r="N760" s="3"/>
      <c r="O760" s="3"/>
      <c r="P760" s="3"/>
      <c r="Q760" s="3"/>
      <c r="R760" s="3"/>
      <c r="S760" s="3" t="str">
        <f ca="1">IFERROR(__xludf.DUMMYFUNCTION("""COMPUTED_VALUE"""),"100")</f>
        <v>100</v>
      </c>
      <c r="T760" s="3"/>
      <c r="U760" s="3" t="str">
        <f ca="1">IFERROR(__xludf.DUMMYFUNCTION("""COMPUTED_VALUE"""),"microsite")</f>
        <v>microsite</v>
      </c>
      <c r="V760" s="3"/>
      <c r="W760" s="3"/>
      <c r="X760" s="3"/>
      <c r="Y760" s="3"/>
      <c r="Z760" s="3" t="str">
        <f ca="1">IFERROR(__xludf.DUMMYFUNCTION("""COMPUTED_VALUE"""),"podklady@cncenter.cz")</f>
        <v>podklady@cncenter.cz</v>
      </c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 t="str">
        <f ca="1">IFERROR(__xludf.DUMMYFUNCTION("""COMPUTED_VALUE"""),"cross-device")</f>
        <v>cross-device</v>
      </c>
      <c r="AO760" s="3"/>
      <c r="AP760" s="3"/>
      <c r="AQ760" s="3"/>
      <c r="AR760" s="3"/>
      <c r="AS760" s="3"/>
      <c r="AT760" s="3"/>
      <c r="AU760" s="3" t="str">
        <f ca="1">IFERROR(__xludf.DUMMYFUNCTION("""COMPUTED_VALUE"""),"Prodloužení existující microsite, bez úprav")</f>
        <v>Prodloužení existující microsite, bez úprav</v>
      </c>
    </row>
    <row r="761" spans="1:47" x14ac:dyDescent="0.3">
      <c r="A761" s="3">
        <f ca="1"/>
        <v>2346826</v>
      </c>
      <c r="B761" s="3" t="str">
        <f ca="1"/>
        <v>CZECH NEWS CENTER a. s.</v>
      </c>
      <c r="C761" s="3" t="str">
        <f ca="1">IFERROR(__xludf.DUMMYFUNCTION("""COMPUTED_VALUE"""),"Maminka")</f>
        <v>Maminka</v>
      </c>
      <c r="D761" s="4" t="str">
        <f ca="1">IFERROR(__xludf.DUMMYFUNCTION("""COMPUTED_VALUE"""),"https://maminka.cz")</f>
        <v>https://maminka.cz</v>
      </c>
      <c r="E761" s="3" t="str">
        <f ca="1">IFERROR(__xludf.DUMMYFUNCTION("""COMPUTED_VALUE"""),"celý web")</f>
        <v>celý web</v>
      </c>
      <c r="F761" s="4" t="str">
        <f ca="1">IFERROR(__xludf.DUMMYFUNCTION("""COMPUTED_VALUE"""),"https://maminka.cz")</f>
        <v>https://maminka.cz</v>
      </c>
      <c r="G761" s="3" t="str">
        <f ca="1">IFERROR(__xludf.DUMMYFUNCTION("""COMPUTED_VALUE"""),"videospot - max. 30 sec. / bumper high season")</f>
        <v>videospot - max. 30 sec. / bumper high season</v>
      </c>
      <c r="H761" s="3">
        <f ca="1">IFERROR(__xludf.DUMMYFUNCTION("""COMPUTED_VALUE"""),7)</f>
        <v>7</v>
      </c>
      <c r="I761" s="5">
        <f ca="1">IFERROR(__xludf.DUMMYFUNCTION("""COMPUTED_VALUE"""),1000)</f>
        <v>1000</v>
      </c>
      <c r="J761" s="5">
        <f ca="1">IFERROR(__xludf.DUMMYFUNCTION("""COMPUTED_VALUE"""),1340)</f>
        <v>1340</v>
      </c>
      <c r="K761" s="3"/>
      <c r="L761" s="3" t="str">
        <f ca="1">IFERROR(__xludf.DUMMYFUNCTION("""COMPUTED_VALUE"""),"Cost per period")</f>
        <v>Cost per period</v>
      </c>
      <c r="M761" s="3"/>
      <c r="N761" s="3"/>
      <c r="O761" s="3" t="str">
        <f ca="1">IFERROR(__xludf.DUMMYFUNCTION("""COMPUTED_VALUE"""),"1280")</f>
        <v>1280</v>
      </c>
      <c r="P761" s="3" t="str">
        <f ca="1">IFERROR(__xludf.DUMMYFUNCTION("""COMPUTED_VALUE"""),"720")</f>
        <v>720</v>
      </c>
      <c r="Q761" s="3" t="str">
        <f ca="1">IFERROR(__xludf.DUMMYFUNCTION("""COMPUTED_VALUE"""),"16:9 / umístění po domluvě dle možností")</f>
        <v>16:9 / umístění po domluvě dle možností</v>
      </c>
      <c r="R761" s="3" t="str">
        <f ca="1">IFERROR(__xludf.DUMMYFUNCTION("""COMPUTED_VALUE"""),"přeskočení po 7 sekundách")</f>
        <v>přeskočení po 7 sekundách</v>
      </c>
      <c r="S761" s="3" t="str">
        <f ca="1">IFERROR(__xludf.DUMMYFUNCTION("""COMPUTED_VALUE"""),"100")</f>
        <v>100</v>
      </c>
      <c r="T761" s="3"/>
      <c r="U761" s="3" t="str">
        <f ca="1">IFERROR(__xludf.DUMMYFUNCTION("""COMPUTED_VALUE"""),"videospot")</f>
        <v>videospot</v>
      </c>
      <c r="V761" s="3"/>
      <c r="W761" s="4" t="str">
        <f ca="1">IFERROR(__xludf.DUMMYFUNCTION("""COMPUTED_VALUE"""),"https://reklama.cncenter.cz/Online/Bumper")</f>
        <v>https://reklama.cncenter.cz/Online/Bumper</v>
      </c>
      <c r="X761" s="3"/>
      <c r="Y761" s="3"/>
      <c r="Z761" s="3" t="str">
        <f ca="1">IFERROR(__xludf.DUMMYFUNCTION("""COMPUTED_VALUE"""),"podklady@cncenter.cz")</f>
        <v>podklady@cncenter.cz</v>
      </c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 t="str">
        <f ca="1">IFERROR(__xludf.DUMMYFUNCTION("""COMPUTED_VALUE"""),"cross-device")</f>
        <v>cross-device</v>
      </c>
      <c r="AO761" s="3"/>
      <c r="AP761" s="3"/>
      <c r="AQ761" s="3"/>
      <c r="AR761" s="3"/>
      <c r="AS761" s="3"/>
      <c r="AT761" s="3"/>
      <c r="AU761" s="3" t="str">
        <f ca="1">IFERROR(__xludf.DUMMYFUNCTION("""COMPUTED_VALUE"""),"videospot - max. 30 sec. / bumper")</f>
        <v>videospot - max. 30 sec. / bumper</v>
      </c>
    </row>
    <row r="762" spans="1:47" x14ac:dyDescent="0.3">
      <c r="A762" s="3">
        <f ca="1"/>
        <v>2346826</v>
      </c>
      <c r="B762" s="3" t="str">
        <f ca="1"/>
        <v>CZECH NEWS CENTER a. s.</v>
      </c>
      <c r="C762" s="3" t="str">
        <f ca="1">IFERROR(__xludf.DUMMYFUNCTION("""COMPUTED_VALUE"""),"Mimibazar")</f>
        <v>Mimibazar</v>
      </c>
      <c r="D762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2" s="3" t="str">
        <f ca="1">IFERROR(__xludf.DUMMYFUNCTION("""COMPUTED_VALUE"""),"celý web")</f>
        <v>celý web</v>
      </c>
      <c r="F762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2" s="3" t="str">
        <f ca="1">IFERROR(__xludf.DUMMYFUNCTION("""COMPUTED_VALUE"""),"Advertorial high season")</f>
        <v>Advertorial high season</v>
      </c>
      <c r="H762" s="3">
        <f ca="1">IFERROR(__xludf.DUMMYFUNCTION("""COMPUTED_VALUE"""),1)</f>
        <v>1</v>
      </c>
      <c r="I762" s="5">
        <f ca="1">IFERROR(__xludf.DUMMYFUNCTION("""COMPUTED_VALUE"""),1)</f>
        <v>1</v>
      </c>
      <c r="J762" s="5">
        <f ca="1">IFERROR(__xludf.DUMMYFUNCTION("""COMPUTED_VALUE"""),90000)</f>
        <v>90000</v>
      </c>
      <c r="K762" s="3"/>
      <c r="L762" s="3" t="str">
        <f ca="1">IFERROR(__xludf.DUMMYFUNCTION("""COMPUTED_VALUE"""),"Cost per instance")</f>
        <v>Cost per instance</v>
      </c>
      <c r="M762" s="3"/>
      <c r="N762" s="3"/>
      <c r="O762" s="3"/>
      <c r="P762" s="3"/>
      <c r="Q762" s="3"/>
      <c r="R762" s="3"/>
      <c r="S762" s="3" t="str">
        <f ca="1">IFERROR(__xludf.DUMMYFUNCTION("""COMPUTED_VALUE"""),"100")</f>
        <v>100</v>
      </c>
      <c r="T762" s="3"/>
      <c r="U762" s="3" t="str">
        <f ca="1">IFERROR(__xludf.DUMMYFUNCTION("""COMPUTED_VALUE"""),"pr článek")</f>
        <v>pr článek</v>
      </c>
      <c r="V762" s="3"/>
      <c r="W762" s="3"/>
      <c r="X762" s="3"/>
      <c r="Y762" s="3"/>
      <c r="Z762" s="3" t="str">
        <f ca="1">IFERROR(__xludf.DUMMYFUNCTION("""COMPUTED_VALUE"""),"podklady@cncenter.cz")</f>
        <v>podklady@cncenter.cz</v>
      </c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 t="str">
        <f ca="1">IFERROR(__xludf.DUMMYFUNCTION("""COMPUTED_VALUE"""),"cross-device")</f>
        <v>cross-device</v>
      </c>
      <c r="AO762" s="3"/>
      <c r="AP762" s="3"/>
      <c r="AQ762" s="3"/>
      <c r="AR762" s="3"/>
      <c r="AS762" s="3"/>
      <c r="AT762" s="3"/>
      <c r="AU762" s="3" t="str">
        <f ca="1">IFERROR(__xludf.DUMMYFUNCTION("""COMPUTED_VALUE"""),"Advertorial")</f>
        <v>Advertorial</v>
      </c>
    </row>
    <row r="763" spans="1:47" x14ac:dyDescent="0.3">
      <c r="A763" s="3">
        <f ca="1"/>
        <v>2346826</v>
      </c>
      <c r="B763" s="3" t="str">
        <f ca="1"/>
        <v>CZECH NEWS CENTER a. s.</v>
      </c>
      <c r="C763" s="3" t="str">
        <f ca="1">IFERROR(__xludf.DUMMYFUNCTION("""COMPUTED_VALUE"""),"Mimibazar")</f>
        <v>Mimibazar</v>
      </c>
      <c r="D763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3" s="3" t="str">
        <f ca="1">IFERROR(__xludf.DUMMYFUNCTION("""COMPUTED_VALUE"""),"celý web")</f>
        <v>celý web</v>
      </c>
      <c r="F763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3" s="3" t="str">
        <f ca="1">IFERROR(__xludf.DUMMYFUNCTION("""COMPUTED_VALUE"""),"billboard bottom high season")</f>
        <v>billboard bottom high season</v>
      </c>
      <c r="H763" s="3">
        <f ca="1">IFERROR(__xludf.DUMMYFUNCTION("""COMPUTED_VALUE"""),7)</f>
        <v>7</v>
      </c>
      <c r="I763" s="5">
        <f ca="1">IFERROR(__xludf.DUMMYFUNCTION("""COMPUTED_VALUE"""),1000)</f>
        <v>1000</v>
      </c>
      <c r="J763" s="5">
        <f ca="1">IFERROR(__xludf.DUMMYFUNCTION("""COMPUTED_VALUE"""),440)</f>
        <v>440</v>
      </c>
      <c r="K763" s="3"/>
      <c r="L763" s="3" t="str">
        <f ca="1">IFERROR(__xludf.DUMMYFUNCTION("""COMPUTED_VALUE"""),"Cost per period")</f>
        <v>Cost per period</v>
      </c>
      <c r="M763" s="3"/>
      <c r="N763" s="3"/>
      <c r="O763" s="3" t="str">
        <f ca="1">IFERROR(__xludf.DUMMYFUNCTION("""COMPUTED_VALUE"""),"970")</f>
        <v>970</v>
      </c>
      <c r="P763" s="3" t="str">
        <f ca="1">IFERROR(__xludf.DUMMYFUNCTION("""COMPUTED_VALUE"""),"250")</f>
        <v>250</v>
      </c>
      <c r="Q763" s="3" t="str">
        <f ca="1">IFERROR(__xludf.DUMMYFUNCTION("""COMPUTED_VALUE"""),"970x250")</f>
        <v>970x250</v>
      </c>
      <c r="R763" s="3"/>
      <c r="S763" s="3" t="str">
        <f ca="1">IFERROR(__xludf.DUMMYFUNCTION("""COMPUTED_VALUE"""),"100 (200 - HTML5)")</f>
        <v>100 (200 - HTML5)</v>
      </c>
      <c r="T763" s="3"/>
      <c r="U763" s="3" t="str">
        <f ca="1">IFERROR(__xludf.DUMMYFUNCTION("""COMPUTED_VALUE"""),"banner standard")</f>
        <v>banner standard</v>
      </c>
      <c r="V763" s="3"/>
      <c r="W763" s="4" t="str">
        <f ca="1">IFERROR(__xludf.DUMMYFUNCTION("""COMPUTED_VALUE"""),"https://reklama.cncenter.cz/Online/billboard-bottom")</f>
        <v>https://reklama.cncenter.cz/Online/billboard-bottom</v>
      </c>
      <c r="X763" s="3"/>
      <c r="Y763" s="3"/>
      <c r="Z763" s="3" t="str">
        <f ca="1">IFERROR(__xludf.DUMMYFUNCTION("""COMPUTED_VALUE"""),"podklady@cncenter.cz")</f>
        <v>podklady@cncenter.cz</v>
      </c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 t="str">
        <f ca="1">IFERROR(__xludf.DUMMYFUNCTION("""COMPUTED_VALUE"""),"desktop")</f>
        <v>desktop</v>
      </c>
      <c r="AO763" s="3"/>
      <c r="AP763" s="3"/>
      <c r="AQ763" s="3"/>
      <c r="AR763" s="3"/>
      <c r="AS763" s="3"/>
      <c r="AT763" s="3"/>
      <c r="AU763" s="3" t="str">
        <f ca="1">IFERROR(__xludf.DUMMYFUNCTION("""COMPUTED_VALUE"""),"billboard bottom")</f>
        <v>billboard bottom</v>
      </c>
    </row>
    <row r="764" spans="1:47" x14ac:dyDescent="0.3">
      <c r="A764" s="3">
        <f ca="1"/>
        <v>2346826</v>
      </c>
      <c r="B764" s="3" t="str">
        <f ca="1"/>
        <v>CZECH NEWS CENTER a. s.</v>
      </c>
      <c r="C764" s="3" t="str">
        <f ca="1">IFERROR(__xludf.DUMMYFUNCTION("""COMPUTED_VALUE"""),"Mimibazar")</f>
        <v>Mimibazar</v>
      </c>
      <c r="D764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4" s="3" t="str">
        <f ca="1">IFERROR(__xludf.DUMMYFUNCTION("""COMPUTED_VALUE"""),"celý web")</f>
        <v>celý web</v>
      </c>
      <c r="F764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4" s="3" t="str">
        <f ca="1">IFERROR(__xludf.DUMMYFUNCTION("""COMPUTED_VALUE"""),"branding cross-device high season")</f>
        <v>branding cross-device high season</v>
      </c>
      <c r="H764" s="3">
        <f ca="1">IFERROR(__xludf.DUMMYFUNCTION("""COMPUTED_VALUE"""),7)</f>
        <v>7</v>
      </c>
      <c r="I764" s="5">
        <f ca="1">IFERROR(__xludf.DUMMYFUNCTION("""COMPUTED_VALUE"""),1000)</f>
        <v>1000</v>
      </c>
      <c r="J764" s="5">
        <f ca="1">IFERROR(__xludf.DUMMYFUNCTION("""COMPUTED_VALUE"""),540)</f>
        <v>540</v>
      </c>
      <c r="K764" s="3"/>
      <c r="L764" s="3" t="str">
        <f ca="1">IFERROR(__xludf.DUMMYFUNCTION("""COMPUTED_VALUE"""),"Cost per period")</f>
        <v>Cost per period</v>
      </c>
      <c r="M764" s="3"/>
      <c r="N764" s="3"/>
      <c r="O764" s="3" t="str">
        <f ca="1">IFERROR(__xludf.DUMMYFUNCTION("""COMPUTED_VALUE"""),"2000")</f>
        <v>2000</v>
      </c>
      <c r="P764" s="3" t="str">
        <f ca="1">IFERROR(__xludf.DUMMYFUNCTION("""COMPUTED_VALUE"""),"1400")</f>
        <v>1400</v>
      </c>
      <c r="Q764" s="3" t="str">
        <f ca="1">IFERROR(__xludf.DUMMYFUNCTION("""COMPUTED_VALUE"""),"2000x1400 + 600x1080")</f>
        <v>2000x1400 + 600x1080</v>
      </c>
      <c r="R764" s="3"/>
      <c r="S764" s="3" t="str">
        <f ca="1">IFERROR(__xludf.DUMMYFUNCTION("""COMPUTED_VALUE"""),"500 (600 - HTLM5)")</f>
        <v>500 (600 - HTLM5)</v>
      </c>
      <c r="T764" s="3"/>
      <c r="U764" s="3" t="str">
        <f ca="1">IFERROR(__xludf.DUMMYFUNCTION("""COMPUTED_VALUE"""),"banner standard")</f>
        <v>banner standard</v>
      </c>
      <c r="V764" s="3"/>
      <c r="W764" s="4" t="str">
        <f ca="1">IFERROR(__xludf.DUMMYFUNCTION("""COMPUTED_VALUE"""),"https://reklama.cncenter.cz/Online/branding-cross-device")</f>
        <v>https://reklama.cncenter.cz/Online/branding-cross-device</v>
      </c>
      <c r="X764" s="3"/>
      <c r="Y764" s="3"/>
      <c r="Z764" s="3" t="str">
        <f ca="1">IFERROR(__xludf.DUMMYFUNCTION("""COMPUTED_VALUE"""),"podklady@cncenter.cz")</f>
        <v>podklady@cncenter.cz</v>
      </c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 t="str">
        <f ca="1">IFERROR(__xludf.DUMMYFUNCTION("""COMPUTED_VALUE"""),"cross-device")</f>
        <v>cross-device</v>
      </c>
      <c r="AO764" s="3"/>
      <c r="AP764" s="3"/>
      <c r="AQ764" s="3"/>
      <c r="AR764" s="3"/>
      <c r="AS764" s="3"/>
      <c r="AT764" s="3"/>
      <c r="AU764" s="3" t="str">
        <f ca="1">IFERROR(__xludf.DUMMYFUNCTION("""COMPUTED_VALUE"""),"branding cross-device")</f>
        <v>branding cross-device</v>
      </c>
    </row>
    <row r="765" spans="1:47" x14ac:dyDescent="0.3">
      <c r="A765" s="3">
        <f ca="1"/>
        <v>2346826</v>
      </c>
      <c r="B765" s="3" t="str">
        <f ca="1"/>
        <v>CZECH NEWS CENTER a. s.</v>
      </c>
      <c r="C765" s="3" t="str">
        <f ca="1">IFERROR(__xludf.DUMMYFUNCTION("""COMPUTED_VALUE"""),"Mimibazar")</f>
        <v>Mimibazar</v>
      </c>
      <c r="D765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5" s="3" t="str">
        <f ca="1">IFERROR(__xludf.DUMMYFUNCTION("""COMPUTED_VALUE"""),"celý web")</f>
        <v>celý web</v>
      </c>
      <c r="F765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5" s="3" t="str">
        <f ca="1">IFERROR(__xludf.DUMMYFUNCTION("""COMPUTED_VALUE"""),"branding high season")</f>
        <v>branding high season</v>
      </c>
      <c r="H765" s="3">
        <f ca="1">IFERROR(__xludf.DUMMYFUNCTION("""COMPUTED_VALUE"""),7)</f>
        <v>7</v>
      </c>
      <c r="I765" s="5">
        <f ca="1">IFERROR(__xludf.DUMMYFUNCTION("""COMPUTED_VALUE"""),1000)</f>
        <v>1000</v>
      </c>
      <c r="J765" s="5">
        <f ca="1">IFERROR(__xludf.DUMMYFUNCTION("""COMPUTED_VALUE"""),890)</f>
        <v>890</v>
      </c>
      <c r="K765" s="3"/>
      <c r="L765" s="3" t="str">
        <f ca="1">IFERROR(__xludf.DUMMYFUNCTION("""COMPUTED_VALUE"""),"Cost per period")</f>
        <v>Cost per period</v>
      </c>
      <c r="M765" s="3"/>
      <c r="N765" s="3"/>
      <c r="O765" s="3" t="str">
        <f ca="1">IFERROR(__xludf.DUMMYFUNCTION("""COMPUTED_VALUE"""),"2000")</f>
        <v>2000</v>
      </c>
      <c r="P765" s="3" t="str">
        <f ca="1">IFERROR(__xludf.DUMMYFUNCTION("""COMPUTED_VALUE"""),"1400")</f>
        <v>1400</v>
      </c>
      <c r="Q765" s="3" t="str">
        <f ca="1">IFERROR(__xludf.DUMMYFUNCTION("""COMPUTED_VALUE"""),"2000x1400")</f>
        <v>2000x1400</v>
      </c>
      <c r="R765" s="3"/>
      <c r="S765" s="3" t="str">
        <f ca="1">IFERROR(__xludf.DUMMYFUNCTION("""COMPUTED_VALUE"""),"500 + 200 (600+200 HTML5)")</f>
        <v>500 + 200 (600+200 HTML5)</v>
      </c>
      <c r="T765" s="3"/>
      <c r="U765" s="3" t="str">
        <f ca="1">IFERROR(__xludf.DUMMYFUNCTION("""COMPUTED_VALUE"""),"banner standard")</f>
        <v>banner standard</v>
      </c>
      <c r="V765" s="3"/>
      <c r="W765" s="4" t="str">
        <f ca="1">IFERROR(__xludf.DUMMYFUNCTION("""COMPUTED_VALUE"""),"https://reklama.cncenter.cz/Online/branding")</f>
        <v>https://reklama.cncenter.cz/Online/branding</v>
      </c>
      <c r="X765" s="3"/>
      <c r="Y765" s="3"/>
      <c r="Z765" s="3" t="str">
        <f ca="1">IFERROR(__xludf.DUMMYFUNCTION("""COMPUTED_VALUE"""),"podklady@cncenter.cz")</f>
        <v>podklady@cncenter.cz</v>
      </c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 t="str">
        <f ca="1">IFERROR(__xludf.DUMMYFUNCTION("""COMPUTED_VALUE"""),"desktop")</f>
        <v>desktop</v>
      </c>
      <c r="AO765" s="3"/>
      <c r="AP765" s="3"/>
      <c r="AQ765" s="3"/>
      <c r="AR765" s="3"/>
      <c r="AS765" s="3"/>
      <c r="AT765" s="3"/>
      <c r="AU765" s="3" t="str">
        <f ca="1">IFERROR(__xludf.DUMMYFUNCTION("""COMPUTED_VALUE"""),"branding")</f>
        <v>branding</v>
      </c>
    </row>
    <row r="766" spans="1:47" x14ac:dyDescent="0.3">
      <c r="A766" s="3">
        <f ca="1"/>
        <v>2346826</v>
      </c>
      <c r="B766" s="3" t="str">
        <f ca="1"/>
        <v>CZECH NEWS CENTER a. s.</v>
      </c>
      <c r="C766" s="3" t="str">
        <f ca="1">IFERROR(__xludf.DUMMYFUNCTION("""COMPUTED_VALUE"""),"Mimibazar")</f>
        <v>Mimibazar</v>
      </c>
      <c r="D766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6" s="3" t="str">
        <f ca="1">IFERROR(__xludf.DUMMYFUNCTION("""COMPUTED_VALUE"""),"celý web")</f>
        <v>celý web</v>
      </c>
      <c r="F766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6" s="3" t="str">
        <f ca="1">IFERROR(__xludf.DUMMYFUNCTION("""COMPUTED_VALUE"""),"cílený billboard bottom high season")</f>
        <v>cílený billboard bottom high season</v>
      </c>
      <c r="H766" s="3">
        <f ca="1">IFERROR(__xludf.DUMMYFUNCTION("""COMPUTED_VALUE"""),7)</f>
        <v>7</v>
      </c>
      <c r="I766" s="5">
        <f ca="1">IFERROR(__xludf.DUMMYFUNCTION("""COMPUTED_VALUE"""),1000)</f>
        <v>1000</v>
      </c>
      <c r="J766" s="5">
        <f ca="1">IFERROR(__xludf.DUMMYFUNCTION("""COMPUTED_VALUE"""),528)</f>
        <v>528</v>
      </c>
      <c r="K766" s="3"/>
      <c r="L766" s="3" t="str">
        <f ca="1">IFERROR(__xludf.DUMMYFUNCTION("""COMPUTED_VALUE"""),"Cost per period")</f>
        <v>Cost per period</v>
      </c>
      <c r="M766" s="3"/>
      <c r="N766" s="3"/>
      <c r="O766" s="3" t="str">
        <f ca="1">IFERROR(__xludf.DUMMYFUNCTION("""COMPUTED_VALUE"""),"970")</f>
        <v>970</v>
      </c>
      <c r="P766" s="3" t="str">
        <f ca="1">IFERROR(__xludf.DUMMYFUNCTION("""COMPUTED_VALUE"""),"250")</f>
        <v>250</v>
      </c>
      <c r="Q766" s="3" t="str">
        <f ca="1">IFERROR(__xludf.DUMMYFUNCTION("""COMPUTED_VALUE"""),"970x250")</f>
        <v>970x250</v>
      </c>
      <c r="R766" s="3"/>
      <c r="S766" s="3" t="str">
        <f ca="1">IFERROR(__xludf.DUMMYFUNCTION("""COMPUTED_VALUE"""),"100 (200 - HTML5)")</f>
        <v>100 (200 - HTML5)</v>
      </c>
      <c r="T766" s="3"/>
      <c r="U766" s="3" t="str">
        <f ca="1">IFERROR(__xludf.DUMMYFUNCTION("""COMPUTED_VALUE"""),"banner standard")</f>
        <v>banner standard</v>
      </c>
      <c r="V766" s="3"/>
      <c r="W766" s="4" t="str">
        <f ca="1">IFERROR(__xludf.DUMMYFUNCTION("""COMPUTED_VALUE"""),"https://reklama.cncenter.cz/Online/billboard-bottom")</f>
        <v>https://reklama.cncenter.cz/Online/billboard-bottom</v>
      </c>
      <c r="X766" s="3"/>
      <c r="Y766" s="3"/>
      <c r="Z766" s="3" t="str">
        <f ca="1">IFERROR(__xludf.DUMMYFUNCTION("""COMPUTED_VALUE"""),"podklady@cncenter.cz")</f>
        <v>podklady@cncenter.cz</v>
      </c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 t="str">
        <f ca="1">IFERROR(__xludf.DUMMYFUNCTION("""COMPUTED_VALUE"""),"desktop")</f>
        <v>desktop</v>
      </c>
      <c r="AO766" s="3"/>
      <c r="AP766" s="3"/>
      <c r="AQ766" s="3"/>
      <c r="AR766" s="3"/>
      <c r="AS766" s="3"/>
      <c r="AT766" s="3"/>
      <c r="AU766" s="3" t="str">
        <f ca="1">IFERROR(__xludf.DUMMYFUNCTION("""COMPUTED_VALUE"""),"cílený billboard bottom")</f>
        <v>cílený billboard bottom</v>
      </c>
    </row>
    <row r="767" spans="1:47" x14ac:dyDescent="0.3">
      <c r="A767" s="3">
        <f ca="1"/>
        <v>2346826</v>
      </c>
      <c r="B767" s="3" t="str">
        <f ca="1"/>
        <v>CZECH NEWS CENTER a. s.</v>
      </c>
      <c r="C767" s="3" t="str">
        <f ca="1">IFERROR(__xludf.DUMMYFUNCTION("""COMPUTED_VALUE"""),"Mimibazar")</f>
        <v>Mimibazar</v>
      </c>
      <c r="D767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7" s="3" t="str">
        <f ca="1">IFERROR(__xludf.DUMMYFUNCTION("""COMPUTED_VALUE"""),"celý web")</f>
        <v>celý web</v>
      </c>
      <c r="F767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7" s="3" t="str">
        <f ca="1">IFERROR(__xludf.DUMMYFUNCTION("""COMPUTED_VALUE"""),"cílený branding cross-device high season")</f>
        <v>cílený branding cross-device high season</v>
      </c>
      <c r="H767" s="3">
        <f ca="1">IFERROR(__xludf.DUMMYFUNCTION("""COMPUTED_VALUE"""),7)</f>
        <v>7</v>
      </c>
      <c r="I767" s="5">
        <f ca="1">IFERROR(__xludf.DUMMYFUNCTION("""COMPUTED_VALUE"""),1000)</f>
        <v>1000</v>
      </c>
      <c r="J767" s="5">
        <f ca="1">IFERROR(__xludf.DUMMYFUNCTION("""COMPUTED_VALUE"""),648)</f>
        <v>648</v>
      </c>
      <c r="K767" s="3"/>
      <c r="L767" s="3" t="str">
        <f ca="1">IFERROR(__xludf.DUMMYFUNCTION("""COMPUTED_VALUE"""),"Cost per period")</f>
        <v>Cost per period</v>
      </c>
      <c r="M767" s="3"/>
      <c r="N767" s="3"/>
      <c r="O767" s="3" t="str">
        <f ca="1">IFERROR(__xludf.DUMMYFUNCTION("""COMPUTED_VALUE"""),"2000")</f>
        <v>2000</v>
      </c>
      <c r="P767" s="3" t="str">
        <f ca="1">IFERROR(__xludf.DUMMYFUNCTION("""COMPUTED_VALUE"""),"1400")</f>
        <v>1400</v>
      </c>
      <c r="Q767" s="3" t="str">
        <f ca="1">IFERROR(__xludf.DUMMYFUNCTION("""COMPUTED_VALUE"""),"2000x1400 + 600x1080")</f>
        <v>2000x1400 + 600x1080</v>
      </c>
      <c r="R767" s="3"/>
      <c r="S767" s="3" t="str">
        <f ca="1">IFERROR(__xludf.DUMMYFUNCTION("""COMPUTED_VALUE"""),"500 (600 - HTLM5)")</f>
        <v>500 (600 - HTLM5)</v>
      </c>
      <c r="T767" s="3"/>
      <c r="U767" s="3" t="str">
        <f ca="1">IFERROR(__xludf.DUMMYFUNCTION("""COMPUTED_VALUE"""),"banner standard")</f>
        <v>banner standard</v>
      </c>
      <c r="V767" s="3"/>
      <c r="W767" s="4" t="str">
        <f ca="1">IFERROR(__xludf.DUMMYFUNCTION("""COMPUTED_VALUE"""),"https://reklama.cncenter.cz/Online/branding-cross-device")</f>
        <v>https://reklama.cncenter.cz/Online/branding-cross-device</v>
      </c>
      <c r="X767" s="3"/>
      <c r="Y767" s="3"/>
      <c r="Z767" s="3" t="str">
        <f ca="1">IFERROR(__xludf.DUMMYFUNCTION("""COMPUTED_VALUE"""),"podklady@cncenter.cz")</f>
        <v>podklady@cncenter.cz</v>
      </c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 t="str">
        <f ca="1">IFERROR(__xludf.DUMMYFUNCTION("""COMPUTED_VALUE"""),"cross-device")</f>
        <v>cross-device</v>
      </c>
      <c r="AO767" s="3"/>
      <c r="AP767" s="3"/>
      <c r="AQ767" s="3"/>
      <c r="AR767" s="3"/>
      <c r="AS767" s="3"/>
      <c r="AT767" s="3"/>
      <c r="AU767" s="3" t="str">
        <f ca="1">IFERROR(__xludf.DUMMYFUNCTION("""COMPUTED_VALUE"""),"cílený branding cross-device")</f>
        <v>cílený branding cross-device</v>
      </c>
    </row>
    <row r="768" spans="1:47" x14ac:dyDescent="0.3">
      <c r="A768" s="3">
        <f ca="1"/>
        <v>2346826</v>
      </c>
      <c r="B768" s="3" t="str">
        <f ca="1"/>
        <v>CZECH NEWS CENTER a. s.</v>
      </c>
      <c r="C768" s="3" t="str">
        <f ca="1">IFERROR(__xludf.DUMMYFUNCTION("""COMPUTED_VALUE"""),"Mimibazar")</f>
        <v>Mimibazar</v>
      </c>
      <c r="D768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8" s="3" t="str">
        <f ca="1">IFERROR(__xludf.DUMMYFUNCTION("""COMPUTED_VALUE"""),"celý web")</f>
        <v>celý web</v>
      </c>
      <c r="F768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8" s="3" t="str">
        <f ca="1">IFERROR(__xludf.DUMMYFUNCTION("""COMPUTED_VALUE"""),"cílený branding high season")</f>
        <v>cílený branding high season</v>
      </c>
      <c r="H768" s="3">
        <f ca="1">IFERROR(__xludf.DUMMYFUNCTION("""COMPUTED_VALUE"""),7)</f>
        <v>7</v>
      </c>
      <c r="I768" s="5">
        <f ca="1">IFERROR(__xludf.DUMMYFUNCTION("""COMPUTED_VALUE"""),1000)</f>
        <v>1000</v>
      </c>
      <c r="J768" s="5">
        <f ca="1">IFERROR(__xludf.DUMMYFUNCTION("""COMPUTED_VALUE"""),1068)</f>
        <v>1068</v>
      </c>
      <c r="K768" s="3"/>
      <c r="L768" s="3" t="str">
        <f ca="1">IFERROR(__xludf.DUMMYFUNCTION("""COMPUTED_VALUE"""),"Cost per period")</f>
        <v>Cost per period</v>
      </c>
      <c r="M768" s="3"/>
      <c r="N768" s="3"/>
      <c r="O768" s="3" t="str">
        <f ca="1">IFERROR(__xludf.DUMMYFUNCTION("""COMPUTED_VALUE"""),"2000")</f>
        <v>2000</v>
      </c>
      <c r="P768" s="3" t="str">
        <f ca="1">IFERROR(__xludf.DUMMYFUNCTION("""COMPUTED_VALUE"""),"1400")</f>
        <v>1400</v>
      </c>
      <c r="Q768" s="3" t="str">
        <f ca="1">IFERROR(__xludf.DUMMYFUNCTION("""COMPUTED_VALUE"""),"2000x1400")</f>
        <v>2000x1400</v>
      </c>
      <c r="R768" s="3"/>
      <c r="S768" s="3" t="str">
        <f ca="1">IFERROR(__xludf.DUMMYFUNCTION("""COMPUTED_VALUE"""),"500 + 200 (600+200 HTML5)")</f>
        <v>500 + 200 (600+200 HTML5)</v>
      </c>
      <c r="T768" s="3"/>
      <c r="U768" s="3" t="str">
        <f ca="1">IFERROR(__xludf.DUMMYFUNCTION("""COMPUTED_VALUE"""),"banner standard")</f>
        <v>banner standard</v>
      </c>
      <c r="V768" s="3"/>
      <c r="W768" s="4" t="str">
        <f ca="1">IFERROR(__xludf.DUMMYFUNCTION("""COMPUTED_VALUE"""),"https://reklama.cncenter.cz/Online/branding")</f>
        <v>https://reklama.cncenter.cz/Online/branding</v>
      </c>
      <c r="X768" s="3"/>
      <c r="Y768" s="3"/>
      <c r="Z768" s="3" t="str">
        <f ca="1">IFERROR(__xludf.DUMMYFUNCTION("""COMPUTED_VALUE"""),"podklady@cncenter.cz")</f>
        <v>podklady@cncenter.cz</v>
      </c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 t="str">
        <f ca="1">IFERROR(__xludf.DUMMYFUNCTION("""COMPUTED_VALUE"""),"desktop")</f>
        <v>desktop</v>
      </c>
      <c r="AO768" s="3"/>
      <c r="AP768" s="3"/>
      <c r="AQ768" s="3"/>
      <c r="AR768" s="3"/>
      <c r="AS768" s="3"/>
      <c r="AT768" s="3"/>
      <c r="AU768" s="3" t="str">
        <f ca="1">IFERROR(__xludf.DUMMYFUNCTION("""COMPUTED_VALUE"""),"cílený branding")</f>
        <v>cílený branding</v>
      </c>
    </row>
    <row r="769" spans="1:47" x14ac:dyDescent="0.3">
      <c r="A769" s="3">
        <f ca="1"/>
        <v>2346826</v>
      </c>
      <c r="B769" s="3" t="str">
        <f ca="1"/>
        <v>CZECH NEWS CENTER a. s.</v>
      </c>
      <c r="C769" s="3" t="str">
        <f ca="1">IFERROR(__xludf.DUMMYFUNCTION("""COMPUTED_VALUE"""),"Mimibazar")</f>
        <v>Mimibazar</v>
      </c>
      <c r="D769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69" s="3" t="str">
        <f ca="1">IFERROR(__xludf.DUMMYFUNCTION("""COMPUTED_VALUE"""),"celý web")</f>
        <v>celý web</v>
      </c>
      <c r="F769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69" s="3" t="str">
        <f ca="1">IFERROR(__xludf.DUMMYFUNCTION("""COMPUTED_VALUE"""),"cílený double skyscraper high season")</f>
        <v>cílený double skyscraper high season</v>
      </c>
      <c r="H769" s="3">
        <f ca="1">IFERROR(__xludf.DUMMYFUNCTION("""COMPUTED_VALUE"""),7)</f>
        <v>7</v>
      </c>
      <c r="I769" s="5">
        <f ca="1">IFERROR(__xludf.DUMMYFUNCTION("""COMPUTED_VALUE"""),1000)</f>
        <v>1000</v>
      </c>
      <c r="J769" s="5">
        <f ca="1">IFERROR(__xludf.DUMMYFUNCTION("""COMPUTED_VALUE"""),420)</f>
        <v>420</v>
      </c>
      <c r="K769" s="3"/>
      <c r="L769" s="3" t="str">
        <f ca="1">IFERROR(__xludf.DUMMYFUNCTION("""COMPUTED_VALUE"""),"Cost per period")</f>
        <v>Cost per period</v>
      </c>
      <c r="M769" s="3"/>
      <c r="N769" s="3"/>
      <c r="O769" s="3" t="str">
        <f ca="1">IFERROR(__xludf.DUMMYFUNCTION("""COMPUTED_VALUE"""),"300")</f>
        <v>300</v>
      </c>
      <c r="P769" s="3" t="str">
        <f ca="1">IFERROR(__xludf.DUMMYFUNCTION("""COMPUTED_VALUE"""),"600")</f>
        <v>600</v>
      </c>
      <c r="Q769" s="3" t="str">
        <f ca="1">IFERROR(__xludf.DUMMYFUNCTION("""COMPUTED_VALUE"""),"300x600")</f>
        <v>300x600</v>
      </c>
      <c r="R769" s="3"/>
      <c r="S769" s="3" t="str">
        <f ca="1">IFERROR(__xludf.DUMMYFUNCTION("""COMPUTED_VALUE"""),"100 (200 - HTML5)")</f>
        <v>100 (200 - HTML5)</v>
      </c>
      <c r="T769" s="3"/>
      <c r="U769" s="3" t="str">
        <f ca="1">IFERROR(__xludf.DUMMYFUNCTION("""COMPUTED_VALUE"""),"banner standard")</f>
        <v>banner standard</v>
      </c>
      <c r="V769" s="3"/>
      <c r="W769" s="4" t="str">
        <f ca="1">IFERROR(__xludf.DUMMYFUNCTION("""COMPUTED_VALUE"""),"https://reklama.cncenter.cz/Online/double-skyscraper")</f>
        <v>https://reklama.cncenter.cz/Online/double-skyscraper</v>
      </c>
      <c r="X769" s="3"/>
      <c r="Y769" s="3"/>
      <c r="Z769" s="3" t="str">
        <f ca="1">IFERROR(__xludf.DUMMYFUNCTION("""COMPUTED_VALUE"""),"podklady@cncenter.cz")</f>
        <v>podklady@cncenter.cz</v>
      </c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 t="str">
        <f ca="1">IFERROR(__xludf.DUMMYFUNCTION("""COMPUTED_VALUE"""),"desktop")</f>
        <v>desktop</v>
      </c>
      <c r="AO769" s="3"/>
      <c r="AP769" s="3"/>
      <c r="AQ769" s="3"/>
      <c r="AR769" s="3"/>
      <c r="AS769" s="3"/>
      <c r="AT769" s="3"/>
      <c r="AU769" s="3" t="str">
        <f ca="1">IFERROR(__xludf.DUMMYFUNCTION("""COMPUTED_VALUE"""),"cílený double skyscraper")</f>
        <v>cílený double skyscraper</v>
      </c>
    </row>
    <row r="770" spans="1:47" x14ac:dyDescent="0.3">
      <c r="A770" s="3">
        <f ca="1"/>
        <v>2346826</v>
      </c>
      <c r="B770" s="3" t="str">
        <f ca="1"/>
        <v>CZECH NEWS CENTER a. s.</v>
      </c>
      <c r="C770" s="3" t="str">
        <f ca="1">IFERROR(__xludf.DUMMYFUNCTION("""COMPUTED_VALUE"""),"Mimibazar")</f>
        <v>Mimibazar</v>
      </c>
      <c r="D770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0" s="3" t="str">
        <f ca="1">IFERROR(__xludf.DUMMYFUNCTION("""COMPUTED_VALUE"""),"celý web")</f>
        <v>celý web</v>
      </c>
      <c r="F770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0" s="3" t="str">
        <f ca="1">IFERROR(__xludf.DUMMYFUNCTION("""COMPUTED_VALUE"""),"cílený mobilní interscroller high season")</f>
        <v>cílený mobilní interscroller high season</v>
      </c>
      <c r="H770" s="3">
        <f ca="1">IFERROR(__xludf.DUMMYFUNCTION("""COMPUTED_VALUE"""),7)</f>
        <v>7</v>
      </c>
      <c r="I770" s="5">
        <f ca="1">IFERROR(__xludf.DUMMYFUNCTION("""COMPUTED_VALUE"""),1000)</f>
        <v>1000</v>
      </c>
      <c r="J770" s="5">
        <f ca="1">IFERROR(__xludf.DUMMYFUNCTION("""COMPUTED_VALUE"""),540)</f>
        <v>540</v>
      </c>
      <c r="K770" s="3"/>
      <c r="L770" s="3" t="str">
        <f ca="1">IFERROR(__xludf.DUMMYFUNCTION("""COMPUTED_VALUE"""),"Cost per period")</f>
        <v>Cost per period</v>
      </c>
      <c r="M770" s="3"/>
      <c r="N770" s="3"/>
      <c r="O770" s="3" t="str">
        <f ca="1">IFERROR(__xludf.DUMMYFUNCTION("""COMPUTED_VALUE"""),"600")</f>
        <v>600</v>
      </c>
      <c r="P770" s="3" t="str">
        <f ca="1">IFERROR(__xludf.DUMMYFUNCTION("""COMPUTED_VALUE"""),"1080")</f>
        <v>1080</v>
      </c>
      <c r="Q770" s="3" t="str">
        <f ca="1">IFERROR(__xludf.DUMMYFUNCTION("""COMPUTED_VALUE"""),"600x1080")</f>
        <v>600x1080</v>
      </c>
      <c r="R770" s="3"/>
      <c r="S770" s="3" t="str">
        <f ca="1">IFERROR(__xludf.DUMMYFUNCTION("""COMPUTED_VALUE"""),"200")</f>
        <v>200</v>
      </c>
      <c r="T770" s="3"/>
      <c r="U770" s="3" t="str">
        <f ca="1">IFERROR(__xludf.DUMMYFUNCTION("""COMPUTED_VALUE"""),"banner standard")</f>
        <v>banner standard</v>
      </c>
      <c r="V770" s="3"/>
      <c r="W770" s="4" t="str">
        <f ca="1">IFERROR(__xludf.DUMMYFUNCTION("""COMPUTED_VALUE"""),"https://reklama.cncenter.cz/Online/mobilni-interscroller")</f>
        <v>https://reklama.cncenter.cz/Online/mobilni-interscroller</v>
      </c>
      <c r="X770" s="3"/>
      <c r="Y770" s="3"/>
      <c r="Z770" s="3" t="str">
        <f ca="1">IFERROR(__xludf.DUMMYFUNCTION("""COMPUTED_VALUE"""),"podklady@cncenter.cz")</f>
        <v>podklady@cncenter.cz</v>
      </c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 t="str">
        <f ca="1">IFERROR(__xludf.DUMMYFUNCTION("""COMPUTED_VALUE"""),"mobile")</f>
        <v>mobile</v>
      </c>
      <c r="AO770" s="3"/>
      <c r="AP770" s="3"/>
      <c r="AQ770" s="3"/>
      <c r="AR770" s="3"/>
      <c r="AS770" s="3"/>
      <c r="AT770" s="3"/>
      <c r="AU770" s="3" t="str">
        <f ca="1">IFERROR(__xludf.DUMMYFUNCTION("""COMPUTED_VALUE"""),"cílený mobilní interscroller")</f>
        <v>cílený mobilní interscroller</v>
      </c>
    </row>
    <row r="771" spans="1:47" x14ac:dyDescent="0.3">
      <c r="A771" s="3">
        <f ca="1"/>
        <v>2346826</v>
      </c>
      <c r="B771" s="3" t="str">
        <f ca="1"/>
        <v>CZECH NEWS CENTER a. s.</v>
      </c>
      <c r="C771" s="3" t="str">
        <f ca="1">IFERROR(__xludf.DUMMYFUNCTION("""COMPUTED_VALUE"""),"Mimibazar")</f>
        <v>Mimibazar</v>
      </c>
      <c r="D771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1" s="3" t="str">
        <f ca="1">IFERROR(__xludf.DUMMYFUNCTION("""COMPUTED_VALUE"""),"celý web")</f>
        <v>celý web</v>
      </c>
      <c r="F771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1" s="3" t="str">
        <f ca="1">IFERROR(__xludf.DUMMYFUNCTION("""COMPUTED_VALUE"""),"cílený mobilní slide-up high season")</f>
        <v>cílený mobilní slide-up high season</v>
      </c>
      <c r="H771" s="3">
        <f ca="1">IFERROR(__xludf.DUMMYFUNCTION("""COMPUTED_VALUE"""),7)</f>
        <v>7</v>
      </c>
      <c r="I771" s="5">
        <f ca="1">IFERROR(__xludf.DUMMYFUNCTION("""COMPUTED_VALUE"""),1000)</f>
        <v>1000</v>
      </c>
      <c r="J771" s="5">
        <f ca="1">IFERROR(__xludf.DUMMYFUNCTION("""COMPUTED_VALUE"""),1104)</f>
        <v>1104</v>
      </c>
      <c r="K771" s="3"/>
      <c r="L771" s="3" t="str">
        <f ca="1">IFERROR(__xludf.DUMMYFUNCTION("""COMPUTED_VALUE"""),"Cost per period")</f>
        <v>Cost per period</v>
      </c>
      <c r="M771" s="3"/>
      <c r="N771" s="3"/>
      <c r="O771" s="3" t="str">
        <f ca="1">IFERROR(__xludf.DUMMYFUNCTION("""COMPUTED_VALUE"""),"300")</f>
        <v>300</v>
      </c>
      <c r="P771" s="3" t="str">
        <f ca="1">IFERROR(__xludf.DUMMYFUNCTION("""COMPUTED_VALUE"""),"120")</f>
        <v>120</v>
      </c>
      <c r="Q771" s="3" t="str">
        <f ca="1">IFERROR(__xludf.DUMMYFUNCTION("""COMPUTED_VALUE"""),"300x120")</f>
        <v>300x120</v>
      </c>
      <c r="R771" s="3"/>
      <c r="S771" s="3" t="str">
        <f ca="1">IFERROR(__xludf.DUMMYFUNCTION("""COMPUTED_VALUE"""),"100")</f>
        <v>100</v>
      </c>
      <c r="T771" s="3"/>
      <c r="U771" s="3" t="str">
        <f ca="1">IFERROR(__xludf.DUMMYFUNCTION("""COMPUTED_VALUE"""),"banner standard")</f>
        <v>banner standard</v>
      </c>
      <c r="V771" s="3"/>
      <c r="W771" s="4" t="str">
        <f ca="1">IFERROR(__xludf.DUMMYFUNCTION("""COMPUTED_VALUE"""),"https://reklama.cncenter.cz/Online/mobilni-slide-up")</f>
        <v>https://reklama.cncenter.cz/Online/mobilni-slide-up</v>
      </c>
      <c r="X771" s="3"/>
      <c r="Y771" s="3"/>
      <c r="Z771" s="3" t="str">
        <f ca="1">IFERROR(__xludf.DUMMYFUNCTION("""COMPUTED_VALUE"""),"podklady@cncenter.cz")</f>
        <v>podklady@cncenter.cz</v>
      </c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 t="str">
        <f ca="1">IFERROR(__xludf.DUMMYFUNCTION("""COMPUTED_VALUE"""),"mobile")</f>
        <v>mobile</v>
      </c>
      <c r="AO771" s="3"/>
      <c r="AP771" s="3"/>
      <c r="AQ771" s="3"/>
      <c r="AR771" s="3"/>
      <c r="AS771" s="3"/>
      <c r="AT771" s="3"/>
      <c r="AU771" s="3" t="str">
        <f ca="1">IFERROR(__xludf.DUMMYFUNCTION("""COMPUTED_VALUE"""),"cílený mobilní slide-up")</f>
        <v>cílený mobilní slide-up</v>
      </c>
    </row>
    <row r="772" spans="1:47" x14ac:dyDescent="0.3">
      <c r="A772" s="3">
        <f ca="1"/>
        <v>2346826</v>
      </c>
      <c r="B772" s="3" t="str">
        <f ca="1"/>
        <v>CZECH NEWS CENTER a. s.</v>
      </c>
      <c r="C772" s="3" t="str">
        <f ca="1">IFERROR(__xludf.DUMMYFUNCTION("""COMPUTED_VALUE"""),"Mimibazar")</f>
        <v>Mimibazar</v>
      </c>
      <c r="D772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2" s="3" t="str">
        <f ca="1">IFERROR(__xludf.DUMMYFUNCTION("""COMPUTED_VALUE"""),"celý web")</f>
        <v>celý web</v>
      </c>
      <c r="F772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2" s="3" t="str">
        <f ca="1">IFERROR(__xludf.DUMMYFUNCTION("""COMPUTED_VALUE"""),"cílený mobilní viněta high season")</f>
        <v>cílený mobilní viněta high season</v>
      </c>
      <c r="H772" s="3">
        <f ca="1">IFERROR(__xludf.DUMMYFUNCTION("""COMPUTED_VALUE"""),7)</f>
        <v>7</v>
      </c>
      <c r="I772" s="5">
        <f ca="1">IFERROR(__xludf.DUMMYFUNCTION("""COMPUTED_VALUE"""),1000)</f>
        <v>1000</v>
      </c>
      <c r="J772" s="5">
        <f ca="1">IFERROR(__xludf.DUMMYFUNCTION("""COMPUTED_VALUE"""),1908)</f>
        <v>1908</v>
      </c>
      <c r="K772" s="3"/>
      <c r="L772" s="3" t="str">
        <f ca="1">IFERROR(__xludf.DUMMYFUNCTION("""COMPUTED_VALUE"""),"Cost per period")</f>
        <v>Cost per period</v>
      </c>
      <c r="M772" s="3"/>
      <c r="N772" s="3"/>
      <c r="O772" s="3" t="str">
        <f ca="1">IFERROR(__xludf.DUMMYFUNCTION("""COMPUTED_VALUE"""),"600")</f>
        <v>600</v>
      </c>
      <c r="P772" s="3" t="str">
        <f ca="1">IFERROR(__xludf.DUMMYFUNCTION("""COMPUTED_VALUE"""),"800")</f>
        <v>800</v>
      </c>
      <c r="Q772" s="3" t="str">
        <f ca="1">IFERROR(__xludf.DUMMYFUNCTION("""COMPUTED_VALUE"""),"300x250 nebo 600x800")</f>
        <v>300x250 nebo 600x800</v>
      </c>
      <c r="R772" s="3"/>
      <c r="S772" s="3" t="str">
        <f ca="1">IFERROR(__xludf.DUMMYFUNCTION("""COMPUTED_VALUE"""),"100")</f>
        <v>100</v>
      </c>
      <c r="T772" s="3"/>
      <c r="U772" s="3" t="str">
        <f ca="1">IFERROR(__xludf.DUMMYFUNCTION("""COMPUTED_VALUE"""),"banner standard")</f>
        <v>banner standard</v>
      </c>
      <c r="V772" s="3"/>
      <c r="W772" s="4" t="str">
        <f ca="1">IFERROR(__xludf.DUMMYFUNCTION("""COMPUTED_VALUE"""),"https://reklama.cncenter.cz/Online/mobilni-vineta")</f>
        <v>https://reklama.cncenter.cz/Online/mobilni-vineta</v>
      </c>
      <c r="X772" s="3"/>
      <c r="Y772" s="3"/>
      <c r="Z772" s="3" t="str">
        <f ca="1">IFERROR(__xludf.DUMMYFUNCTION("""COMPUTED_VALUE"""),"podklady@cncenter.cz")</f>
        <v>podklady@cncenter.cz</v>
      </c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 t="str">
        <f ca="1">IFERROR(__xludf.DUMMYFUNCTION("""COMPUTED_VALUE"""),"mobile")</f>
        <v>mobile</v>
      </c>
      <c r="AO772" s="3"/>
      <c r="AP772" s="3"/>
      <c r="AQ772" s="3"/>
      <c r="AR772" s="3"/>
      <c r="AS772" s="3"/>
      <c r="AT772" s="3"/>
      <c r="AU772" s="3" t="str">
        <f ca="1">IFERROR(__xludf.DUMMYFUNCTION("""COMPUTED_VALUE"""),"cílený mobilní viněta")</f>
        <v>cílený mobilní viněta</v>
      </c>
    </row>
    <row r="773" spans="1:47" x14ac:dyDescent="0.3">
      <c r="A773" s="3">
        <f ca="1"/>
        <v>2346826</v>
      </c>
      <c r="B773" s="3" t="str">
        <f ca="1"/>
        <v>CZECH NEWS CENTER a. s.</v>
      </c>
      <c r="C773" s="3" t="str">
        <f ca="1">IFERROR(__xludf.DUMMYFUNCTION("""COMPUTED_VALUE"""),"Mimibazar")</f>
        <v>Mimibazar</v>
      </c>
      <c r="D773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3" s="3" t="str">
        <f ca="1">IFERROR(__xludf.DUMMYFUNCTION("""COMPUTED_VALUE"""),"celý web")</f>
        <v>celý web</v>
      </c>
      <c r="F773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3" s="3" t="str">
        <f ca="1">IFERROR(__xludf.DUMMYFUNCTION("""COMPUTED_VALUE"""),"cílený nativní rectangle cross-device high season")</f>
        <v>cílený nativní rectangle cross-device high season</v>
      </c>
      <c r="H773" s="3">
        <f ca="1">IFERROR(__xludf.DUMMYFUNCTION("""COMPUTED_VALUE"""),7)</f>
        <v>7</v>
      </c>
      <c r="I773" s="5">
        <f ca="1">IFERROR(__xludf.DUMMYFUNCTION("""COMPUTED_VALUE"""),1000)</f>
        <v>1000</v>
      </c>
      <c r="J773" s="5">
        <f ca="1">IFERROR(__xludf.DUMMYFUNCTION("""COMPUTED_VALUE"""),432)</f>
        <v>432</v>
      </c>
      <c r="K773" s="3"/>
      <c r="L773" s="3" t="str">
        <f ca="1">IFERROR(__xludf.DUMMYFUNCTION("""COMPUTED_VALUE"""),"Cost per period")</f>
        <v>Cost per period</v>
      </c>
      <c r="M773" s="3"/>
      <c r="N773" s="3"/>
      <c r="O773" s="3" t="str">
        <f ca="1">IFERROR(__xludf.DUMMYFUNCTION("""COMPUTED_VALUE"""),"640")</f>
        <v>640</v>
      </c>
      <c r="P773" s="3" t="str">
        <f ca="1">IFERROR(__xludf.DUMMYFUNCTION("""COMPUTED_VALUE"""),"335, 640")</f>
        <v>335, 640</v>
      </c>
      <c r="Q773" s="3" t="str">
        <f ca="1">IFERROR(__xludf.DUMMYFUNCTION("""COMPUTED_VALUE"""),"640x640 a 640x335 + text + logo")</f>
        <v>640x640 a 640x335 + text + logo</v>
      </c>
      <c r="R773" s="3"/>
      <c r="S773" s="3" t="str">
        <f ca="1">IFERROR(__xludf.DUMMYFUNCTION("""COMPUTED_VALUE"""),"45")</f>
        <v>45</v>
      </c>
      <c r="T773" s="3"/>
      <c r="U773" s="3" t="str">
        <f ca="1">IFERROR(__xludf.DUMMYFUNCTION("""COMPUTED_VALUE"""),"nativní reklama")</f>
        <v>nativní reklama</v>
      </c>
      <c r="V773" s="3"/>
      <c r="W773" s="4" t="str">
        <f ca="1">IFERROR(__xludf.DUMMYFUNCTION("""COMPUTED_VALUE"""),"https://reklama.cncenter.cz/Online/nativni-rectangle-cross-device")</f>
        <v>https://reklama.cncenter.cz/Online/nativni-rectangle-cross-device</v>
      </c>
      <c r="X773" s="3"/>
      <c r="Y773" s="3"/>
      <c r="Z773" s="3" t="str">
        <f ca="1">IFERROR(__xludf.DUMMYFUNCTION("""COMPUTED_VALUE"""),"podklady@cncenter.cz")</f>
        <v>podklady@cncenter.cz</v>
      </c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 t="str">
        <f ca="1">IFERROR(__xludf.DUMMYFUNCTION("""COMPUTED_VALUE"""),"cross-device")</f>
        <v>cross-device</v>
      </c>
      <c r="AO773" s="3"/>
      <c r="AP773" s="3"/>
      <c r="AQ773" s="3"/>
      <c r="AR773" s="3"/>
      <c r="AS773" s="3"/>
      <c r="AT773" s="3"/>
      <c r="AU773" s="3" t="str">
        <f ca="1">IFERROR(__xludf.DUMMYFUNCTION("""COMPUTED_VALUE"""),"cílený nativní rectangle cross-device")</f>
        <v>cílený nativní rectangle cross-device</v>
      </c>
    </row>
    <row r="774" spans="1:47" x14ac:dyDescent="0.3">
      <c r="A774" s="3">
        <f ca="1"/>
        <v>2346826</v>
      </c>
      <c r="B774" s="3" t="str">
        <f ca="1"/>
        <v>CZECH NEWS CENTER a. s.</v>
      </c>
      <c r="C774" s="3" t="str">
        <f ca="1">IFERROR(__xludf.DUMMYFUNCTION("""COMPUTED_VALUE"""),"Mimibazar")</f>
        <v>Mimibazar</v>
      </c>
      <c r="D774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4" s="3" t="str">
        <f ca="1">IFERROR(__xludf.DUMMYFUNCTION("""COMPUTED_VALUE"""),"celý web")</f>
        <v>celý web</v>
      </c>
      <c r="F774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4" s="3" t="str">
        <f ca="1">IFERROR(__xludf.DUMMYFUNCTION("""COMPUTED_VALUE"""),"cílený outstream high season")</f>
        <v>cílený outstream high season</v>
      </c>
      <c r="H774" s="3">
        <f ca="1">IFERROR(__xludf.DUMMYFUNCTION("""COMPUTED_VALUE"""),7)</f>
        <v>7</v>
      </c>
      <c r="I774" s="5">
        <f ca="1">IFERROR(__xludf.DUMMYFUNCTION("""COMPUTED_VALUE"""),1000)</f>
        <v>1000</v>
      </c>
      <c r="J774" s="5">
        <f ca="1">IFERROR(__xludf.DUMMYFUNCTION("""COMPUTED_VALUE"""),540)</f>
        <v>540</v>
      </c>
      <c r="K774" s="3"/>
      <c r="L774" s="3" t="str">
        <f ca="1">IFERROR(__xludf.DUMMYFUNCTION("""COMPUTED_VALUE"""),"Cost per period")</f>
        <v>Cost per period</v>
      </c>
      <c r="M774" s="3"/>
      <c r="N774" s="3"/>
      <c r="O774" s="3" t="str">
        <f ca="1">IFERROR(__xludf.DUMMYFUNCTION("""COMPUTED_VALUE"""),"1280")</f>
        <v>1280</v>
      </c>
      <c r="P774" s="3" t="str">
        <f ca="1">IFERROR(__xludf.DUMMYFUNCTION("""COMPUTED_VALUE"""),"720")</f>
        <v>720</v>
      </c>
      <c r="Q774" s="3" t="str">
        <f ca="1">IFERROR(__xludf.DUMMYFUNCTION("""COMPUTED_VALUE"""),"16:9")</f>
        <v>16:9</v>
      </c>
      <c r="R774" s="3"/>
      <c r="S774" s="3" t="str">
        <f ca="1">IFERROR(__xludf.DUMMYFUNCTION("""COMPUTED_VALUE"""),"100")</f>
        <v>100</v>
      </c>
      <c r="T774" s="3"/>
      <c r="U774" s="3" t="str">
        <f ca="1">IFERROR(__xludf.DUMMYFUNCTION("""COMPUTED_VALUE"""),"videospot")</f>
        <v>videospot</v>
      </c>
      <c r="V774" s="3"/>
      <c r="W774" s="4" t="str">
        <f ca="1">IFERROR(__xludf.DUMMYFUNCTION("""COMPUTED_VALUE"""),"https://reklama.cncenter.cz/Online/Outstream")</f>
        <v>https://reklama.cncenter.cz/Online/Outstream</v>
      </c>
      <c r="X774" s="3"/>
      <c r="Y774" s="3"/>
      <c r="Z774" s="3" t="str">
        <f ca="1">IFERROR(__xludf.DUMMYFUNCTION("""COMPUTED_VALUE"""),"podklady@cncenter.cz")</f>
        <v>podklady@cncenter.cz</v>
      </c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 t="str">
        <f ca="1">IFERROR(__xludf.DUMMYFUNCTION("""COMPUTED_VALUE"""),"cross-device")</f>
        <v>cross-device</v>
      </c>
      <c r="AO774" s="3"/>
      <c r="AP774" s="3"/>
      <c r="AQ774" s="3"/>
      <c r="AR774" s="3"/>
      <c r="AS774" s="3"/>
      <c r="AT774" s="3"/>
      <c r="AU774" s="3" t="str">
        <f ca="1">IFERROR(__xludf.DUMMYFUNCTION("""COMPUTED_VALUE"""),"cílený outstream")</f>
        <v>cílený outstream</v>
      </c>
    </row>
    <row r="775" spans="1:47" x14ac:dyDescent="0.3">
      <c r="A775" s="3">
        <f ca="1"/>
        <v>2346826</v>
      </c>
      <c r="B775" s="3" t="str">
        <f ca="1"/>
        <v>CZECH NEWS CENTER a. s.</v>
      </c>
      <c r="C775" s="3" t="str">
        <f ca="1">IFERROR(__xludf.DUMMYFUNCTION("""COMPUTED_VALUE"""),"Mimibazar")</f>
        <v>Mimibazar</v>
      </c>
      <c r="D775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5" s="3" t="str">
        <f ca="1">IFERROR(__xludf.DUMMYFUNCTION("""COMPUTED_VALUE"""),"celý web")</f>
        <v>celý web</v>
      </c>
      <c r="F775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5" s="3" t="str">
        <f ca="1">IFERROR(__xludf.DUMMYFUNCTION("""COMPUTED_VALUE"""),"cílený videospot - max. 30 sec. / bumper high season")</f>
        <v>cílený videospot - max. 30 sec. / bumper high season</v>
      </c>
      <c r="H775" s="3">
        <f ca="1">IFERROR(__xludf.DUMMYFUNCTION("""COMPUTED_VALUE"""),7)</f>
        <v>7</v>
      </c>
      <c r="I775" s="5">
        <f ca="1">IFERROR(__xludf.DUMMYFUNCTION("""COMPUTED_VALUE"""),1000)</f>
        <v>1000</v>
      </c>
      <c r="J775" s="5">
        <f ca="1">IFERROR(__xludf.DUMMYFUNCTION("""COMPUTED_VALUE"""),1608)</f>
        <v>1608</v>
      </c>
      <c r="K775" s="3"/>
      <c r="L775" s="3" t="str">
        <f ca="1">IFERROR(__xludf.DUMMYFUNCTION("""COMPUTED_VALUE"""),"Cost per period")</f>
        <v>Cost per period</v>
      </c>
      <c r="M775" s="3"/>
      <c r="N775" s="3"/>
      <c r="O775" s="3" t="str">
        <f ca="1">IFERROR(__xludf.DUMMYFUNCTION("""COMPUTED_VALUE"""),"1280")</f>
        <v>1280</v>
      </c>
      <c r="P775" s="3" t="str">
        <f ca="1">IFERROR(__xludf.DUMMYFUNCTION("""COMPUTED_VALUE"""),"720")</f>
        <v>720</v>
      </c>
      <c r="Q775" s="3" t="str">
        <f ca="1">IFERROR(__xludf.DUMMYFUNCTION("""COMPUTED_VALUE"""),"16:9 / umístění po domluvě dle možností")</f>
        <v>16:9 / umístění po domluvě dle možností</v>
      </c>
      <c r="R775" s="3" t="str">
        <f ca="1">IFERROR(__xludf.DUMMYFUNCTION("""COMPUTED_VALUE"""),"přeskočení po 7 sekundách")</f>
        <v>přeskočení po 7 sekundách</v>
      </c>
      <c r="S775" s="3" t="str">
        <f ca="1">IFERROR(__xludf.DUMMYFUNCTION("""COMPUTED_VALUE"""),"100")</f>
        <v>100</v>
      </c>
      <c r="T775" s="3"/>
      <c r="U775" s="3" t="str">
        <f ca="1">IFERROR(__xludf.DUMMYFUNCTION("""COMPUTED_VALUE"""),"videospot")</f>
        <v>videospot</v>
      </c>
      <c r="V775" s="3"/>
      <c r="W775" s="4" t="str">
        <f ca="1">IFERROR(__xludf.DUMMYFUNCTION("""COMPUTED_VALUE"""),"https://reklama.cncenter.cz/Online/Bumper")</f>
        <v>https://reklama.cncenter.cz/Online/Bumper</v>
      </c>
      <c r="X775" s="3"/>
      <c r="Y775" s="3"/>
      <c r="Z775" s="3" t="str">
        <f ca="1">IFERROR(__xludf.DUMMYFUNCTION("""COMPUTED_VALUE"""),"podklady@cncenter.cz")</f>
        <v>podklady@cncenter.cz</v>
      </c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 t="str">
        <f ca="1">IFERROR(__xludf.DUMMYFUNCTION("""COMPUTED_VALUE"""),"cross-device")</f>
        <v>cross-device</v>
      </c>
      <c r="AO775" s="3"/>
      <c r="AP775" s="3"/>
      <c r="AQ775" s="3"/>
      <c r="AR775" s="3"/>
      <c r="AS775" s="3"/>
      <c r="AT775" s="3"/>
      <c r="AU775" s="3" t="str">
        <f ca="1">IFERROR(__xludf.DUMMYFUNCTION("""COMPUTED_VALUE"""),"cílený videospot - max. 30 sec. / bumper")</f>
        <v>cílený videospot - max. 30 sec. / bumper</v>
      </c>
    </row>
    <row r="776" spans="1:47" x14ac:dyDescent="0.3">
      <c r="A776" s="3">
        <f ca="1"/>
        <v>2346826</v>
      </c>
      <c r="B776" s="3" t="str">
        <f ca="1"/>
        <v>CZECH NEWS CENTER a. s.</v>
      </c>
      <c r="C776" s="3" t="str">
        <f ca="1">IFERROR(__xludf.DUMMYFUNCTION("""COMPUTED_VALUE"""),"Mimibazar")</f>
        <v>Mimibazar</v>
      </c>
      <c r="D776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6" s="3" t="str">
        <f ca="1">IFERROR(__xludf.DUMMYFUNCTION("""COMPUTED_VALUE"""),"celý web")</f>
        <v>celý web</v>
      </c>
      <c r="F776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6" s="3" t="str">
        <f ca="1">IFERROR(__xludf.DUMMYFUNCTION("""COMPUTED_VALUE"""),"dokoupení proma o 2 týdny - 10 000 PV *** high season")</f>
        <v>dokoupení proma o 2 týdny - 10 000 PV *** high season</v>
      </c>
      <c r="H776" s="3">
        <f ca="1">IFERROR(__xludf.DUMMYFUNCTION("""COMPUTED_VALUE"""),1)</f>
        <v>1</v>
      </c>
      <c r="I776" s="5">
        <f ca="1">IFERROR(__xludf.DUMMYFUNCTION("""COMPUTED_VALUE"""),1)</f>
        <v>1</v>
      </c>
      <c r="J776" s="5">
        <f ca="1">IFERROR(__xludf.DUMMYFUNCTION("""COMPUTED_VALUE"""),60000)</f>
        <v>60000</v>
      </c>
      <c r="K776" s="3"/>
      <c r="L776" s="3" t="str">
        <f ca="1">IFERROR(__xludf.DUMMYFUNCTION("""COMPUTED_VALUE"""),"Cost per instance")</f>
        <v>Cost per instance</v>
      </c>
      <c r="M776" s="3"/>
      <c r="N776" s="3"/>
      <c r="O776" s="3"/>
      <c r="P776" s="3"/>
      <c r="Q776" s="3"/>
      <c r="R776" s="3"/>
      <c r="S776" s="3" t="str">
        <f ca="1">IFERROR(__xludf.DUMMYFUNCTION("""COMPUTED_VALUE"""),"100")</f>
        <v>100</v>
      </c>
      <c r="T776" s="3"/>
      <c r="U776" s="3" t="str">
        <f ca="1">IFERROR(__xludf.DUMMYFUNCTION("""COMPUTED_VALUE"""),"microsite")</f>
        <v>microsite</v>
      </c>
      <c r="V776" s="3"/>
      <c r="W776" s="3"/>
      <c r="X776" s="3"/>
      <c r="Y776" s="3"/>
      <c r="Z776" s="3" t="str">
        <f ca="1">IFERROR(__xludf.DUMMYFUNCTION("""COMPUTED_VALUE"""),"podklady@cncenter.cz")</f>
        <v>podklady@cncenter.cz</v>
      </c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 t="str">
        <f ca="1">IFERROR(__xludf.DUMMYFUNCTION("""COMPUTED_VALUE"""),"cross-device")</f>
        <v>cross-device</v>
      </c>
      <c r="AO776" s="3"/>
      <c r="AP776" s="3"/>
      <c r="AQ776" s="3"/>
      <c r="AR776" s="3"/>
      <c r="AS776" s="3"/>
      <c r="AT776" s="3"/>
      <c r="AU776" s="3" t="str">
        <f ca="1">IFERROR(__xludf.DUMMYFUNCTION("""COMPUTED_VALUE"""),"dokoupení proma o 2 týdny - 10 000 PV ***")</f>
        <v>dokoupení proma o 2 týdny - 10 000 PV ***</v>
      </c>
    </row>
    <row r="777" spans="1:47" x14ac:dyDescent="0.3">
      <c r="A777" s="3">
        <f ca="1"/>
        <v>2346826</v>
      </c>
      <c r="B777" s="3" t="str">
        <f ca="1"/>
        <v>CZECH NEWS CENTER a. s.</v>
      </c>
      <c r="C777" s="3" t="str">
        <f ca="1">IFERROR(__xludf.DUMMYFUNCTION("""COMPUTED_VALUE"""),"Mimibazar")</f>
        <v>Mimibazar</v>
      </c>
      <c r="D777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7" s="3" t="str">
        <f ca="1">IFERROR(__xludf.DUMMYFUNCTION("""COMPUTED_VALUE"""),"celý web")</f>
        <v>celý web</v>
      </c>
      <c r="F777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7" s="3" t="str">
        <f ca="1">IFERROR(__xludf.DUMMYFUNCTION("""COMPUTED_VALUE"""),"double skyscraper high season")</f>
        <v>double skyscraper high season</v>
      </c>
      <c r="H777" s="3">
        <f ca="1">IFERROR(__xludf.DUMMYFUNCTION("""COMPUTED_VALUE"""),7)</f>
        <v>7</v>
      </c>
      <c r="I777" s="5">
        <f ca="1">IFERROR(__xludf.DUMMYFUNCTION("""COMPUTED_VALUE"""),1000)</f>
        <v>1000</v>
      </c>
      <c r="J777" s="5">
        <f ca="1">IFERROR(__xludf.DUMMYFUNCTION("""COMPUTED_VALUE"""),350)</f>
        <v>350</v>
      </c>
      <c r="K777" s="3"/>
      <c r="L777" s="3" t="str">
        <f ca="1">IFERROR(__xludf.DUMMYFUNCTION("""COMPUTED_VALUE"""),"Cost per period")</f>
        <v>Cost per period</v>
      </c>
      <c r="M777" s="3"/>
      <c r="N777" s="3"/>
      <c r="O777" s="3" t="str">
        <f ca="1">IFERROR(__xludf.DUMMYFUNCTION("""COMPUTED_VALUE"""),"300")</f>
        <v>300</v>
      </c>
      <c r="P777" s="3" t="str">
        <f ca="1">IFERROR(__xludf.DUMMYFUNCTION("""COMPUTED_VALUE"""),"600")</f>
        <v>600</v>
      </c>
      <c r="Q777" s="3" t="str">
        <f ca="1">IFERROR(__xludf.DUMMYFUNCTION("""COMPUTED_VALUE"""),"300x600")</f>
        <v>300x600</v>
      </c>
      <c r="R777" s="3"/>
      <c r="S777" s="3" t="str">
        <f ca="1">IFERROR(__xludf.DUMMYFUNCTION("""COMPUTED_VALUE"""),"100 (200 - HTML5)")</f>
        <v>100 (200 - HTML5)</v>
      </c>
      <c r="T777" s="3"/>
      <c r="U777" s="3" t="str">
        <f ca="1">IFERROR(__xludf.DUMMYFUNCTION("""COMPUTED_VALUE"""),"banner standard")</f>
        <v>banner standard</v>
      </c>
      <c r="V777" s="3"/>
      <c r="W777" s="4" t="str">
        <f ca="1">IFERROR(__xludf.DUMMYFUNCTION("""COMPUTED_VALUE"""),"https://reklama.cncenter.cz/Online/double-skyscraper")</f>
        <v>https://reklama.cncenter.cz/Online/double-skyscraper</v>
      </c>
      <c r="X777" s="3"/>
      <c r="Y777" s="3"/>
      <c r="Z777" s="3" t="str">
        <f ca="1">IFERROR(__xludf.DUMMYFUNCTION("""COMPUTED_VALUE"""),"podklady@cncenter.cz")</f>
        <v>podklady@cncenter.cz</v>
      </c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 t="str">
        <f ca="1">IFERROR(__xludf.DUMMYFUNCTION("""COMPUTED_VALUE"""),"desktop")</f>
        <v>desktop</v>
      </c>
      <c r="AO777" s="3"/>
      <c r="AP777" s="3"/>
      <c r="AQ777" s="3"/>
      <c r="AR777" s="3"/>
      <c r="AS777" s="3"/>
      <c r="AT777" s="3"/>
      <c r="AU777" s="3" t="str">
        <f ca="1">IFERROR(__xludf.DUMMYFUNCTION("""COMPUTED_VALUE"""),"double skyscraper")</f>
        <v>double skyscraper</v>
      </c>
    </row>
    <row r="778" spans="1:47" x14ac:dyDescent="0.3">
      <c r="A778" s="3">
        <f ca="1"/>
        <v>2346826</v>
      </c>
      <c r="B778" s="3" t="str">
        <f ca="1"/>
        <v>CZECH NEWS CENTER a. s.</v>
      </c>
      <c r="C778" s="3" t="str">
        <f ca="1">IFERROR(__xludf.DUMMYFUNCTION("""COMPUTED_VALUE"""),"Mimibazar")</f>
        <v>Mimibazar</v>
      </c>
      <c r="D778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8" s="3" t="str">
        <f ca="1">IFERROR(__xludf.DUMMYFUNCTION("""COMPUTED_VALUE"""),"celý web")</f>
        <v>celý web</v>
      </c>
      <c r="F778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8" s="3" t="str">
        <f ca="1">IFERROR(__xludf.DUMMYFUNCTION("""COMPUTED_VALUE"""),"mobilní interscroller high season")</f>
        <v>mobilní interscroller high season</v>
      </c>
      <c r="H778" s="3">
        <f ca="1">IFERROR(__xludf.DUMMYFUNCTION("""COMPUTED_VALUE"""),7)</f>
        <v>7</v>
      </c>
      <c r="I778" s="5">
        <f ca="1">IFERROR(__xludf.DUMMYFUNCTION("""COMPUTED_VALUE"""),1000)</f>
        <v>1000</v>
      </c>
      <c r="J778" s="5">
        <f ca="1">IFERROR(__xludf.DUMMYFUNCTION("""COMPUTED_VALUE"""),450)</f>
        <v>450</v>
      </c>
      <c r="K778" s="3"/>
      <c r="L778" s="3" t="str">
        <f ca="1">IFERROR(__xludf.DUMMYFUNCTION("""COMPUTED_VALUE"""),"Cost per period")</f>
        <v>Cost per period</v>
      </c>
      <c r="M778" s="3"/>
      <c r="N778" s="3"/>
      <c r="O778" s="3" t="str">
        <f ca="1">IFERROR(__xludf.DUMMYFUNCTION("""COMPUTED_VALUE"""),"600")</f>
        <v>600</v>
      </c>
      <c r="P778" s="3" t="str">
        <f ca="1">IFERROR(__xludf.DUMMYFUNCTION("""COMPUTED_VALUE"""),"1080")</f>
        <v>1080</v>
      </c>
      <c r="Q778" s="3" t="str">
        <f ca="1">IFERROR(__xludf.DUMMYFUNCTION("""COMPUTED_VALUE"""),"600x1080")</f>
        <v>600x1080</v>
      </c>
      <c r="R778" s="3"/>
      <c r="S778" s="3" t="str">
        <f ca="1">IFERROR(__xludf.DUMMYFUNCTION("""COMPUTED_VALUE"""),"200")</f>
        <v>200</v>
      </c>
      <c r="T778" s="3"/>
      <c r="U778" s="3" t="str">
        <f ca="1">IFERROR(__xludf.DUMMYFUNCTION("""COMPUTED_VALUE"""),"banner standard")</f>
        <v>banner standard</v>
      </c>
      <c r="V778" s="3"/>
      <c r="W778" s="4" t="str">
        <f ca="1">IFERROR(__xludf.DUMMYFUNCTION("""COMPUTED_VALUE"""),"https://reklama.cncenter.cz/Online/mobilni-interscroller")</f>
        <v>https://reklama.cncenter.cz/Online/mobilni-interscroller</v>
      </c>
      <c r="X778" s="3"/>
      <c r="Y778" s="3"/>
      <c r="Z778" s="3" t="str">
        <f ca="1">IFERROR(__xludf.DUMMYFUNCTION("""COMPUTED_VALUE"""),"podklady@cncenter.cz")</f>
        <v>podklady@cncenter.cz</v>
      </c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 t="str">
        <f ca="1">IFERROR(__xludf.DUMMYFUNCTION("""COMPUTED_VALUE"""),"mobile")</f>
        <v>mobile</v>
      </c>
      <c r="AO778" s="3"/>
      <c r="AP778" s="3"/>
      <c r="AQ778" s="3"/>
      <c r="AR778" s="3"/>
      <c r="AS778" s="3"/>
      <c r="AT778" s="3"/>
      <c r="AU778" s="3" t="str">
        <f ca="1">IFERROR(__xludf.DUMMYFUNCTION("""COMPUTED_VALUE"""),"mobilní interscroller")</f>
        <v>mobilní interscroller</v>
      </c>
    </row>
    <row r="779" spans="1:47" x14ac:dyDescent="0.3">
      <c r="A779" s="3">
        <f ca="1"/>
        <v>2346826</v>
      </c>
      <c r="B779" s="3" t="str">
        <f ca="1"/>
        <v>CZECH NEWS CENTER a. s.</v>
      </c>
      <c r="C779" s="3" t="str">
        <f ca="1">IFERROR(__xludf.DUMMYFUNCTION("""COMPUTED_VALUE"""),"Mimibazar")</f>
        <v>Mimibazar</v>
      </c>
      <c r="D779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79" s="3" t="str">
        <f ca="1">IFERROR(__xludf.DUMMYFUNCTION("""COMPUTED_VALUE"""),"celý web")</f>
        <v>celý web</v>
      </c>
      <c r="F779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79" s="3" t="str">
        <f ca="1">IFERROR(__xludf.DUMMYFUNCTION("""COMPUTED_VALUE"""),"mobilní slide-up high season")</f>
        <v>mobilní slide-up high season</v>
      </c>
      <c r="H779" s="3">
        <f ca="1">IFERROR(__xludf.DUMMYFUNCTION("""COMPUTED_VALUE"""),7)</f>
        <v>7</v>
      </c>
      <c r="I779" s="5">
        <f ca="1">IFERROR(__xludf.DUMMYFUNCTION("""COMPUTED_VALUE"""),1000)</f>
        <v>1000</v>
      </c>
      <c r="J779" s="5">
        <f ca="1">IFERROR(__xludf.DUMMYFUNCTION("""COMPUTED_VALUE"""),920)</f>
        <v>920</v>
      </c>
      <c r="K779" s="3"/>
      <c r="L779" s="3" t="str">
        <f ca="1">IFERROR(__xludf.DUMMYFUNCTION("""COMPUTED_VALUE"""),"Cost per period")</f>
        <v>Cost per period</v>
      </c>
      <c r="M779" s="3"/>
      <c r="N779" s="3"/>
      <c r="O779" s="3" t="str">
        <f ca="1">IFERROR(__xludf.DUMMYFUNCTION("""COMPUTED_VALUE"""),"300")</f>
        <v>300</v>
      </c>
      <c r="P779" s="3" t="str">
        <f ca="1">IFERROR(__xludf.DUMMYFUNCTION("""COMPUTED_VALUE"""),"120")</f>
        <v>120</v>
      </c>
      <c r="Q779" s="3" t="str">
        <f ca="1">IFERROR(__xludf.DUMMYFUNCTION("""COMPUTED_VALUE"""),"300x120")</f>
        <v>300x120</v>
      </c>
      <c r="R779" s="3"/>
      <c r="S779" s="3" t="str">
        <f ca="1">IFERROR(__xludf.DUMMYFUNCTION("""COMPUTED_VALUE"""),"100")</f>
        <v>100</v>
      </c>
      <c r="T779" s="3"/>
      <c r="U779" s="3" t="str">
        <f ca="1">IFERROR(__xludf.DUMMYFUNCTION("""COMPUTED_VALUE"""),"banner standard")</f>
        <v>banner standard</v>
      </c>
      <c r="V779" s="3"/>
      <c r="W779" s="4" t="str">
        <f ca="1">IFERROR(__xludf.DUMMYFUNCTION("""COMPUTED_VALUE"""),"https://reklama.cncenter.cz/Online/mobilni-slide-up")</f>
        <v>https://reklama.cncenter.cz/Online/mobilni-slide-up</v>
      </c>
      <c r="X779" s="3"/>
      <c r="Y779" s="3"/>
      <c r="Z779" s="3" t="str">
        <f ca="1">IFERROR(__xludf.DUMMYFUNCTION("""COMPUTED_VALUE"""),"podklady@cncenter.cz")</f>
        <v>podklady@cncenter.cz</v>
      </c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 t="str">
        <f ca="1">IFERROR(__xludf.DUMMYFUNCTION("""COMPUTED_VALUE"""),"mobile")</f>
        <v>mobile</v>
      </c>
      <c r="AO779" s="3"/>
      <c r="AP779" s="3"/>
      <c r="AQ779" s="3"/>
      <c r="AR779" s="3"/>
      <c r="AS779" s="3"/>
      <c r="AT779" s="3"/>
      <c r="AU779" s="3" t="str">
        <f ca="1">IFERROR(__xludf.DUMMYFUNCTION("""COMPUTED_VALUE"""),"mobilní slide-up")</f>
        <v>mobilní slide-up</v>
      </c>
    </row>
    <row r="780" spans="1:47" x14ac:dyDescent="0.3">
      <c r="A780" s="3">
        <f ca="1"/>
        <v>2346826</v>
      </c>
      <c r="B780" s="3" t="str">
        <f ca="1"/>
        <v>CZECH NEWS CENTER a. s.</v>
      </c>
      <c r="C780" s="3" t="str">
        <f ca="1">IFERROR(__xludf.DUMMYFUNCTION("""COMPUTED_VALUE"""),"Mimibazar")</f>
        <v>Mimibazar</v>
      </c>
      <c r="D780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0" s="3" t="str">
        <f ca="1">IFERROR(__xludf.DUMMYFUNCTION("""COMPUTED_VALUE"""),"celý web")</f>
        <v>celý web</v>
      </c>
      <c r="F780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0" s="3" t="str">
        <f ca="1">IFERROR(__xludf.DUMMYFUNCTION("""COMPUTED_VALUE"""),"mobilní viněta high season")</f>
        <v>mobilní viněta high season</v>
      </c>
      <c r="H780" s="3">
        <f ca="1">IFERROR(__xludf.DUMMYFUNCTION("""COMPUTED_VALUE"""),7)</f>
        <v>7</v>
      </c>
      <c r="I780" s="5">
        <f ca="1">IFERROR(__xludf.DUMMYFUNCTION("""COMPUTED_VALUE"""),1000)</f>
        <v>1000</v>
      </c>
      <c r="J780" s="5">
        <f ca="1">IFERROR(__xludf.DUMMYFUNCTION("""COMPUTED_VALUE"""),1590)</f>
        <v>1590</v>
      </c>
      <c r="K780" s="3"/>
      <c r="L780" s="3" t="str">
        <f ca="1">IFERROR(__xludf.DUMMYFUNCTION("""COMPUTED_VALUE"""),"Cost per period")</f>
        <v>Cost per period</v>
      </c>
      <c r="M780" s="3"/>
      <c r="N780" s="3"/>
      <c r="O780" s="3" t="str">
        <f ca="1">IFERROR(__xludf.DUMMYFUNCTION("""COMPUTED_VALUE"""),"600")</f>
        <v>600</v>
      </c>
      <c r="P780" s="3" t="str">
        <f ca="1">IFERROR(__xludf.DUMMYFUNCTION("""COMPUTED_VALUE"""),"800")</f>
        <v>800</v>
      </c>
      <c r="Q780" s="3" t="str">
        <f ca="1">IFERROR(__xludf.DUMMYFUNCTION("""COMPUTED_VALUE"""),"300x250 nebo 600x800")</f>
        <v>300x250 nebo 600x800</v>
      </c>
      <c r="R780" s="3"/>
      <c r="S780" s="3" t="str">
        <f ca="1">IFERROR(__xludf.DUMMYFUNCTION("""COMPUTED_VALUE"""),"100")</f>
        <v>100</v>
      </c>
      <c r="T780" s="3"/>
      <c r="U780" s="3" t="str">
        <f ca="1">IFERROR(__xludf.DUMMYFUNCTION("""COMPUTED_VALUE"""),"banner standard")</f>
        <v>banner standard</v>
      </c>
      <c r="V780" s="3"/>
      <c r="W780" s="4" t="str">
        <f ca="1">IFERROR(__xludf.DUMMYFUNCTION("""COMPUTED_VALUE"""),"https://reklama.cncenter.cz/Online/mobilni-vineta")</f>
        <v>https://reklama.cncenter.cz/Online/mobilni-vineta</v>
      </c>
      <c r="X780" s="3"/>
      <c r="Y780" s="3"/>
      <c r="Z780" s="3" t="str">
        <f ca="1">IFERROR(__xludf.DUMMYFUNCTION("""COMPUTED_VALUE"""),"podklady@cncenter.cz")</f>
        <v>podklady@cncenter.cz</v>
      </c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 t="str">
        <f ca="1">IFERROR(__xludf.DUMMYFUNCTION("""COMPUTED_VALUE"""),"mobile")</f>
        <v>mobile</v>
      </c>
      <c r="AO780" s="3"/>
      <c r="AP780" s="3"/>
      <c r="AQ780" s="3"/>
      <c r="AR780" s="3"/>
      <c r="AS780" s="3"/>
      <c r="AT780" s="3"/>
      <c r="AU780" s="3" t="str">
        <f ca="1">IFERROR(__xludf.DUMMYFUNCTION("""COMPUTED_VALUE"""),"mobilní viněta")</f>
        <v>mobilní viněta</v>
      </c>
    </row>
    <row r="781" spans="1:47" x14ac:dyDescent="0.3">
      <c r="A781" s="3">
        <f ca="1"/>
        <v>2346826</v>
      </c>
      <c r="B781" s="3" t="str">
        <f ca="1"/>
        <v>CZECH NEWS CENTER a. s.</v>
      </c>
      <c r="C781" s="3" t="str">
        <f ca="1">IFERROR(__xludf.DUMMYFUNCTION("""COMPUTED_VALUE"""),"Mimibazar")</f>
        <v>Mimibazar</v>
      </c>
      <c r="D781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1" s="3" t="str">
        <f ca="1">IFERROR(__xludf.DUMMYFUNCTION("""COMPUTED_VALUE"""),"celý web")</f>
        <v>celý web</v>
      </c>
      <c r="F781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1" s="3" t="str">
        <f ca="1">IFERROR(__xludf.DUMMYFUNCTION("""COMPUTED_VALUE"""),"Native Standard high season")</f>
        <v>Native Standard high season</v>
      </c>
      <c r="H781" s="3">
        <f ca="1">IFERROR(__xludf.DUMMYFUNCTION("""COMPUTED_VALUE"""),1)</f>
        <v>1</v>
      </c>
      <c r="I781" s="5">
        <f ca="1">IFERROR(__xludf.DUMMYFUNCTION("""COMPUTED_VALUE"""),1)</f>
        <v>1</v>
      </c>
      <c r="J781" s="5">
        <f ca="1">IFERROR(__xludf.DUMMYFUNCTION("""COMPUTED_VALUE"""),330000)</f>
        <v>330000</v>
      </c>
      <c r="K781" s="3"/>
      <c r="L781" s="3" t="str">
        <f ca="1">IFERROR(__xludf.DUMMYFUNCTION("""COMPUTED_VALUE"""),"Cost per instance")</f>
        <v>Cost per instance</v>
      </c>
      <c r="M781" s="3"/>
      <c r="N781" s="3"/>
      <c r="O781" s="3"/>
      <c r="P781" s="3"/>
      <c r="Q781" s="3"/>
      <c r="R781" s="3"/>
      <c r="S781" s="3" t="str">
        <f ca="1">IFERROR(__xludf.DUMMYFUNCTION("""COMPUTED_VALUE"""),"100")</f>
        <v>100</v>
      </c>
      <c r="T781" s="3"/>
      <c r="U781" s="3" t="str">
        <f ca="1">IFERROR(__xludf.DUMMYFUNCTION("""COMPUTED_VALUE"""),"microsite")</f>
        <v>microsite</v>
      </c>
      <c r="V781" s="3"/>
      <c r="W781" s="3"/>
      <c r="X781" s="3"/>
      <c r="Y781" s="3"/>
      <c r="Z781" s="3" t="str">
        <f ca="1">IFERROR(__xludf.DUMMYFUNCTION("""COMPUTED_VALUE"""),"podklady@cncenter.cz")</f>
        <v>podklady@cncenter.cz</v>
      </c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 t="str">
        <f ca="1">IFERROR(__xludf.DUMMYFUNCTION("""COMPUTED_VALUE"""),"cross-device")</f>
        <v>cross-device</v>
      </c>
      <c r="AO781" s="3"/>
      <c r="AP781" s="3"/>
      <c r="AQ781" s="3"/>
      <c r="AR781" s="3"/>
      <c r="AS781" s="3"/>
      <c r="AT781" s="3"/>
      <c r="AU781" s="3" t="str">
        <f ca="1">IFERROR(__xludf.DUMMYFUNCTION("""COMPUTED_VALUE"""),"Native Standard")</f>
        <v>Native Standard</v>
      </c>
    </row>
    <row r="782" spans="1:47" x14ac:dyDescent="0.3">
      <c r="A782" s="3">
        <f ca="1"/>
        <v>2346826</v>
      </c>
      <c r="B782" s="3" t="str">
        <f ca="1"/>
        <v>CZECH NEWS CENTER a. s.</v>
      </c>
      <c r="C782" s="3" t="str">
        <f ca="1">IFERROR(__xludf.DUMMYFUNCTION("""COMPUTED_VALUE"""),"Mimibazar")</f>
        <v>Mimibazar</v>
      </c>
      <c r="D782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2" s="3" t="str">
        <f ca="1">IFERROR(__xludf.DUMMYFUNCTION("""COMPUTED_VALUE"""),"celý web")</f>
        <v>celý web</v>
      </c>
      <c r="F782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2" s="3" t="str">
        <f ca="1">IFERROR(__xludf.DUMMYFUNCTION("""COMPUTED_VALUE"""),"nativní rectangle cross-device high season")</f>
        <v>nativní rectangle cross-device high season</v>
      </c>
      <c r="H782" s="3">
        <f ca="1">IFERROR(__xludf.DUMMYFUNCTION("""COMPUTED_VALUE"""),7)</f>
        <v>7</v>
      </c>
      <c r="I782" s="5">
        <f ca="1">IFERROR(__xludf.DUMMYFUNCTION("""COMPUTED_VALUE"""),1000)</f>
        <v>1000</v>
      </c>
      <c r="J782" s="5">
        <f ca="1">IFERROR(__xludf.DUMMYFUNCTION("""COMPUTED_VALUE"""),360)</f>
        <v>360</v>
      </c>
      <c r="K782" s="3"/>
      <c r="L782" s="3" t="str">
        <f ca="1">IFERROR(__xludf.DUMMYFUNCTION("""COMPUTED_VALUE"""),"Cost per period")</f>
        <v>Cost per period</v>
      </c>
      <c r="M782" s="3"/>
      <c r="N782" s="3"/>
      <c r="O782" s="3" t="str">
        <f ca="1">IFERROR(__xludf.DUMMYFUNCTION("""COMPUTED_VALUE"""),"640")</f>
        <v>640</v>
      </c>
      <c r="P782" s="3" t="str">
        <f ca="1">IFERROR(__xludf.DUMMYFUNCTION("""COMPUTED_VALUE"""),"335, 640")</f>
        <v>335, 640</v>
      </c>
      <c r="Q782" s="3" t="str">
        <f ca="1">IFERROR(__xludf.DUMMYFUNCTION("""COMPUTED_VALUE"""),"640x640 a 640x335 + text + logo")</f>
        <v>640x640 a 640x335 + text + logo</v>
      </c>
      <c r="R782" s="3"/>
      <c r="S782" s="3" t="str">
        <f ca="1">IFERROR(__xludf.DUMMYFUNCTION("""COMPUTED_VALUE"""),"45")</f>
        <v>45</v>
      </c>
      <c r="T782" s="3"/>
      <c r="U782" s="3" t="str">
        <f ca="1">IFERROR(__xludf.DUMMYFUNCTION("""COMPUTED_VALUE"""),"nativní reklama")</f>
        <v>nativní reklama</v>
      </c>
      <c r="V782" s="3"/>
      <c r="W782" s="4" t="str">
        <f ca="1">IFERROR(__xludf.DUMMYFUNCTION("""COMPUTED_VALUE"""),"https://reklama.cncenter.cz/Online/nativni-rectangle-cross-device")</f>
        <v>https://reklama.cncenter.cz/Online/nativni-rectangle-cross-device</v>
      </c>
      <c r="X782" s="3"/>
      <c r="Y782" s="3"/>
      <c r="Z782" s="3" t="str">
        <f ca="1">IFERROR(__xludf.DUMMYFUNCTION("""COMPUTED_VALUE"""),"podklady@cncenter.cz")</f>
        <v>podklady@cncenter.cz</v>
      </c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 t="str">
        <f ca="1">IFERROR(__xludf.DUMMYFUNCTION("""COMPUTED_VALUE"""),"cross-device")</f>
        <v>cross-device</v>
      </c>
      <c r="AO782" s="3"/>
      <c r="AP782" s="3"/>
      <c r="AQ782" s="3"/>
      <c r="AR782" s="3"/>
      <c r="AS782" s="3"/>
      <c r="AT782" s="3"/>
      <c r="AU782" s="3" t="str">
        <f ca="1">IFERROR(__xludf.DUMMYFUNCTION("""COMPUTED_VALUE"""),"nativní rectangle cross-device")</f>
        <v>nativní rectangle cross-device</v>
      </c>
    </row>
    <row r="783" spans="1:47" x14ac:dyDescent="0.3">
      <c r="A783" s="3">
        <f ca="1"/>
        <v>2346826</v>
      </c>
      <c r="B783" s="3" t="str">
        <f ca="1"/>
        <v>CZECH NEWS CENTER a. s.</v>
      </c>
      <c r="C783" s="3" t="str">
        <f ca="1">IFERROR(__xludf.DUMMYFUNCTION("""COMPUTED_VALUE"""),"Mimibazar")</f>
        <v>Mimibazar</v>
      </c>
      <c r="D783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3" s="3" t="str">
        <f ca="1">IFERROR(__xludf.DUMMYFUNCTION("""COMPUTED_VALUE"""),"celý web")</f>
        <v>celý web</v>
      </c>
      <c r="F783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3" s="3" t="str">
        <f ca="1">IFERROR(__xludf.DUMMYFUNCTION("""COMPUTED_VALUE"""),"outstream high season")</f>
        <v>outstream high season</v>
      </c>
      <c r="H783" s="3">
        <f ca="1">IFERROR(__xludf.DUMMYFUNCTION("""COMPUTED_VALUE"""),7)</f>
        <v>7</v>
      </c>
      <c r="I783" s="5">
        <f ca="1">IFERROR(__xludf.DUMMYFUNCTION("""COMPUTED_VALUE"""),1000)</f>
        <v>1000</v>
      </c>
      <c r="J783" s="5">
        <f ca="1">IFERROR(__xludf.DUMMYFUNCTION("""COMPUTED_VALUE"""),450)</f>
        <v>450</v>
      </c>
      <c r="K783" s="3"/>
      <c r="L783" s="3" t="str">
        <f ca="1">IFERROR(__xludf.DUMMYFUNCTION("""COMPUTED_VALUE"""),"Cost per period")</f>
        <v>Cost per period</v>
      </c>
      <c r="M783" s="3"/>
      <c r="N783" s="3"/>
      <c r="O783" s="3" t="str">
        <f ca="1">IFERROR(__xludf.DUMMYFUNCTION("""COMPUTED_VALUE"""),"1280")</f>
        <v>1280</v>
      </c>
      <c r="P783" s="3" t="str">
        <f ca="1">IFERROR(__xludf.DUMMYFUNCTION("""COMPUTED_VALUE"""),"720")</f>
        <v>720</v>
      </c>
      <c r="Q783" s="3" t="str">
        <f ca="1">IFERROR(__xludf.DUMMYFUNCTION("""COMPUTED_VALUE"""),"16:9")</f>
        <v>16:9</v>
      </c>
      <c r="R783" s="3"/>
      <c r="S783" s="3" t="str">
        <f ca="1">IFERROR(__xludf.DUMMYFUNCTION("""COMPUTED_VALUE"""),"100")</f>
        <v>100</v>
      </c>
      <c r="T783" s="3"/>
      <c r="U783" s="3" t="str">
        <f ca="1">IFERROR(__xludf.DUMMYFUNCTION("""COMPUTED_VALUE"""),"videospot")</f>
        <v>videospot</v>
      </c>
      <c r="V783" s="3"/>
      <c r="W783" s="4" t="str">
        <f ca="1">IFERROR(__xludf.DUMMYFUNCTION("""COMPUTED_VALUE"""),"https://reklama.cncenter.cz/Online/Outstream")</f>
        <v>https://reklama.cncenter.cz/Online/Outstream</v>
      </c>
      <c r="X783" s="3"/>
      <c r="Y783" s="3"/>
      <c r="Z783" s="3" t="str">
        <f ca="1">IFERROR(__xludf.DUMMYFUNCTION("""COMPUTED_VALUE"""),"podklady@cncenter.cz")</f>
        <v>podklady@cncenter.cz</v>
      </c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 t="str">
        <f ca="1">IFERROR(__xludf.DUMMYFUNCTION("""COMPUTED_VALUE"""),"cross-device")</f>
        <v>cross-device</v>
      </c>
      <c r="AO783" s="3"/>
      <c r="AP783" s="3"/>
      <c r="AQ783" s="3"/>
      <c r="AR783" s="3"/>
      <c r="AS783" s="3"/>
      <c r="AT783" s="3"/>
      <c r="AU783" s="3" t="str">
        <f ca="1">IFERROR(__xludf.DUMMYFUNCTION("""COMPUTED_VALUE"""),"outstream")</f>
        <v>outstream</v>
      </c>
    </row>
    <row r="784" spans="1:47" x14ac:dyDescent="0.3">
      <c r="A784" s="3">
        <f ca="1"/>
        <v>2346826</v>
      </c>
      <c r="B784" s="3" t="str">
        <f ca="1"/>
        <v>CZECH NEWS CENTER a. s.</v>
      </c>
      <c r="C784" s="3" t="str">
        <f ca="1">IFERROR(__xludf.DUMMYFUNCTION("""COMPUTED_VALUE"""),"Mimibazar")</f>
        <v>Mimibazar</v>
      </c>
      <c r="D784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4" s="3" t="str">
        <f ca="1">IFERROR(__xludf.DUMMYFUNCTION("""COMPUTED_VALUE"""),"celý web")</f>
        <v>celý web</v>
      </c>
      <c r="F784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4" s="3" t="str">
        <f ca="1">IFERROR(__xludf.DUMMYFUNCTION("""COMPUTED_VALUE"""),"PR článek high season")</f>
        <v>PR článek high season</v>
      </c>
      <c r="H784" s="3">
        <f ca="1">IFERROR(__xludf.DUMMYFUNCTION("""COMPUTED_VALUE"""),1)</f>
        <v>1</v>
      </c>
      <c r="I784" s="5">
        <f ca="1">IFERROR(__xludf.DUMMYFUNCTION("""COMPUTED_VALUE"""),1)</f>
        <v>1</v>
      </c>
      <c r="J784" s="5">
        <f ca="1">IFERROR(__xludf.DUMMYFUNCTION("""COMPUTED_VALUE"""),20000)</f>
        <v>20000</v>
      </c>
      <c r="K784" s="3"/>
      <c r="L784" s="3" t="str">
        <f ca="1">IFERROR(__xludf.DUMMYFUNCTION("""COMPUTED_VALUE"""),"Cost per instance")</f>
        <v>Cost per instance</v>
      </c>
      <c r="M784" s="3"/>
      <c r="N784" s="3"/>
      <c r="O784" s="3"/>
      <c r="P784" s="3"/>
      <c r="Q784" s="3"/>
      <c r="R784" s="3"/>
      <c r="S784" s="3" t="str">
        <f ca="1">IFERROR(__xludf.DUMMYFUNCTION("""COMPUTED_VALUE"""),"100")</f>
        <v>100</v>
      </c>
      <c r="T784" s="3"/>
      <c r="U784" s="3" t="str">
        <f ca="1">IFERROR(__xludf.DUMMYFUNCTION("""COMPUTED_VALUE"""),"pr článek")</f>
        <v>pr článek</v>
      </c>
      <c r="V784" s="3"/>
      <c r="W784" s="4" t="str">
        <f ca="1">IFERROR(__xludf.DUMMYFUNCTION("""COMPUTED_VALUE"""),"https://reklama.cncenter.cz/?ads=PR%2520%25C4%258Dl%25C3%25A1nky")</f>
        <v>https://reklama.cncenter.cz/?ads=PR%2520%25C4%258Dl%25C3%25A1nky</v>
      </c>
      <c r="X784" s="3"/>
      <c r="Y784" s="3"/>
      <c r="Z784" s="3" t="str">
        <f ca="1">IFERROR(__xludf.DUMMYFUNCTION("""COMPUTED_VALUE"""),"podklady@cncenter.cz")</f>
        <v>podklady@cncenter.cz</v>
      </c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 t="str">
        <f ca="1">IFERROR(__xludf.DUMMYFUNCTION("""COMPUTED_VALUE"""),"cross-device")</f>
        <v>cross-device</v>
      </c>
      <c r="AO784" s="3"/>
      <c r="AP784" s="3"/>
      <c r="AQ784" s="3"/>
      <c r="AR784" s="3"/>
      <c r="AS784" s="3"/>
      <c r="AT784" s="3"/>
      <c r="AU784" s="3" t="str">
        <f ca="1">IFERROR(__xludf.DUMMYFUNCTION("""COMPUTED_VALUE"""),"PR článek")</f>
        <v>PR článek</v>
      </c>
    </row>
    <row r="785" spans="1:47" x14ac:dyDescent="0.3">
      <c r="A785" s="3">
        <f ca="1"/>
        <v>2346826</v>
      </c>
      <c r="B785" s="3" t="str">
        <f ca="1"/>
        <v>CZECH NEWS CENTER a. s.</v>
      </c>
      <c r="C785" s="3" t="str">
        <f ca="1">IFERROR(__xludf.DUMMYFUNCTION("""COMPUTED_VALUE"""),"Mimibazar")</f>
        <v>Mimibazar</v>
      </c>
      <c r="D785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5" s="3" t="str">
        <f ca="1">IFERROR(__xludf.DUMMYFUNCTION("""COMPUTED_VALUE"""),"celý web")</f>
        <v>celý web</v>
      </c>
      <c r="F785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5" s="3" t="str">
        <f ca="1">IFERROR(__xludf.DUMMYFUNCTION("""COMPUTED_VALUE"""),"Prodloužení existující microsite, bez úprav high season")</f>
        <v>Prodloužení existující microsite, bez úprav high season</v>
      </c>
      <c r="H785" s="3">
        <f ca="1">IFERROR(__xludf.DUMMYFUNCTION("""COMPUTED_VALUE"""),1)</f>
        <v>1</v>
      </c>
      <c r="I785" s="5">
        <f ca="1">IFERROR(__xludf.DUMMYFUNCTION("""COMPUTED_VALUE"""),1)</f>
        <v>1</v>
      </c>
      <c r="J785" s="5">
        <f ca="1">IFERROR(__xludf.DUMMYFUNCTION("""COMPUTED_VALUE"""),15000)</f>
        <v>15000</v>
      </c>
      <c r="K785" s="3"/>
      <c r="L785" s="3" t="str">
        <f ca="1">IFERROR(__xludf.DUMMYFUNCTION("""COMPUTED_VALUE"""),"Cost per instance")</f>
        <v>Cost per instance</v>
      </c>
      <c r="M785" s="3"/>
      <c r="N785" s="3"/>
      <c r="O785" s="3"/>
      <c r="P785" s="3"/>
      <c r="Q785" s="3"/>
      <c r="R785" s="3"/>
      <c r="S785" s="3" t="str">
        <f ca="1">IFERROR(__xludf.DUMMYFUNCTION("""COMPUTED_VALUE"""),"100")</f>
        <v>100</v>
      </c>
      <c r="T785" s="3"/>
      <c r="U785" s="3" t="str">
        <f ca="1">IFERROR(__xludf.DUMMYFUNCTION("""COMPUTED_VALUE"""),"microsite")</f>
        <v>microsite</v>
      </c>
      <c r="V785" s="3"/>
      <c r="W785" s="3"/>
      <c r="X785" s="3"/>
      <c r="Y785" s="3"/>
      <c r="Z785" s="3" t="str">
        <f ca="1">IFERROR(__xludf.DUMMYFUNCTION("""COMPUTED_VALUE"""),"podklady@cncenter.cz")</f>
        <v>podklady@cncenter.cz</v>
      </c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 t="str">
        <f ca="1">IFERROR(__xludf.DUMMYFUNCTION("""COMPUTED_VALUE"""),"cross-device")</f>
        <v>cross-device</v>
      </c>
      <c r="AO785" s="3"/>
      <c r="AP785" s="3"/>
      <c r="AQ785" s="3"/>
      <c r="AR785" s="3"/>
      <c r="AS785" s="3"/>
      <c r="AT785" s="3"/>
      <c r="AU785" s="3" t="str">
        <f ca="1">IFERROR(__xludf.DUMMYFUNCTION("""COMPUTED_VALUE"""),"Prodloužení existující microsite, bez úprav")</f>
        <v>Prodloužení existující microsite, bez úprav</v>
      </c>
    </row>
    <row r="786" spans="1:47" x14ac:dyDescent="0.3">
      <c r="A786" s="3">
        <f ca="1"/>
        <v>2346826</v>
      </c>
      <c r="B786" s="3" t="str">
        <f ca="1"/>
        <v>CZECH NEWS CENTER a. s.</v>
      </c>
      <c r="C786" s="3" t="str">
        <f ca="1">IFERROR(__xludf.DUMMYFUNCTION("""COMPUTED_VALUE"""),"Mimibazar")</f>
        <v>Mimibazar</v>
      </c>
      <c r="D786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6" s="3" t="str">
        <f ca="1">IFERROR(__xludf.DUMMYFUNCTION("""COMPUTED_VALUE"""),"celý web")</f>
        <v>celý web</v>
      </c>
      <c r="F786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6" s="3" t="str">
        <f ca="1">IFERROR(__xludf.DUMMYFUNCTION("""COMPUTED_VALUE"""),"Prodloužení existující microsite, bez úprav high season")</f>
        <v>Prodloužení existující microsite, bez úprav high season</v>
      </c>
      <c r="H786" s="3">
        <f ca="1">IFERROR(__xludf.DUMMYFUNCTION("""COMPUTED_VALUE"""),1)</f>
        <v>1</v>
      </c>
      <c r="I786" s="5">
        <f ca="1">IFERROR(__xludf.DUMMYFUNCTION("""COMPUTED_VALUE"""),1)</f>
        <v>1</v>
      </c>
      <c r="J786" s="5">
        <f ca="1">IFERROR(__xludf.DUMMYFUNCTION("""COMPUTED_VALUE"""),15000)</f>
        <v>15000</v>
      </c>
      <c r="K786" s="3"/>
      <c r="L786" s="3" t="str">
        <f ca="1">IFERROR(__xludf.DUMMYFUNCTION("""COMPUTED_VALUE"""),"Cost per instance")</f>
        <v>Cost per instance</v>
      </c>
      <c r="M786" s="3"/>
      <c r="N786" s="3"/>
      <c r="O786" s="3"/>
      <c r="P786" s="3"/>
      <c r="Q786" s="3"/>
      <c r="R786" s="3"/>
      <c r="S786" s="3" t="str">
        <f ca="1">IFERROR(__xludf.DUMMYFUNCTION("""COMPUTED_VALUE"""),"100")</f>
        <v>100</v>
      </c>
      <c r="T786" s="3"/>
      <c r="U786" s="3" t="str">
        <f ca="1">IFERROR(__xludf.DUMMYFUNCTION("""COMPUTED_VALUE"""),"microsite")</f>
        <v>microsite</v>
      </c>
      <c r="V786" s="3"/>
      <c r="W786" s="3"/>
      <c r="X786" s="3"/>
      <c r="Y786" s="3"/>
      <c r="Z786" s="3" t="str">
        <f ca="1">IFERROR(__xludf.DUMMYFUNCTION("""COMPUTED_VALUE"""),"podklady@cncenter.cz")</f>
        <v>podklady@cncenter.cz</v>
      </c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 t="str">
        <f ca="1">IFERROR(__xludf.DUMMYFUNCTION("""COMPUTED_VALUE"""),"cross-device")</f>
        <v>cross-device</v>
      </c>
      <c r="AO786" s="3"/>
      <c r="AP786" s="3"/>
      <c r="AQ786" s="3"/>
      <c r="AR786" s="3"/>
      <c r="AS786" s="3"/>
      <c r="AT786" s="3"/>
      <c r="AU786" s="3" t="str">
        <f ca="1">IFERROR(__xludf.DUMMYFUNCTION("""COMPUTED_VALUE"""),"Prodloužení existující microsite, bez úprav")</f>
        <v>Prodloužení existující microsite, bez úprav</v>
      </c>
    </row>
    <row r="787" spans="1:47" x14ac:dyDescent="0.3">
      <c r="A787" s="3">
        <f ca="1"/>
        <v>2346826</v>
      </c>
      <c r="B787" s="3" t="str">
        <f ca="1"/>
        <v>CZECH NEWS CENTER a. s.</v>
      </c>
      <c r="C787" s="3" t="str">
        <f ca="1">IFERROR(__xludf.DUMMYFUNCTION("""COMPUTED_VALUE"""),"Mimibazar")</f>
        <v>Mimibazar</v>
      </c>
      <c r="D787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7" s="3" t="str">
        <f ca="1">IFERROR(__xludf.DUMMYFUNCTION("""COMPUTED_VALUE"""),"celý web")</f>
        <v>celý web</v>
      </c>
      <c r="F787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7" s="3" t="str">
        <f ca="1">IFERROR(__xludf.DUMMYFUNCTION("""COMPUTED_VALUE"""),"Prodloužení existující microsite, bez úprav high season")</f>
        <v>Prodloužení existující microsite, bez úprav high season</v>
      </c>
      <c r="H787" s="3">
        <f ca="1">IFERROR(__xludf.DUMMYFUNCTION("""COMPUTED_VALUE"""),1)</f>
        <v>1</v>
      </c>
      <c r="I787" s="5">
        <f ca="1">IFERROR(__xludf.DUMMYFUNCTION("""COMPUTED_VALUE"""),1)</f>
        <v>1</v>
      </c>
      <c r="J787" s="5">
        <f ca="1">IFERROR(__xludf.DUMMYFUNCTION("""COMPUTED_VALUE"""),15000)</f>
        <v>15000</v>
      </c>
      <c r="K787" s="3"/>
      <c r="L787" s="3" t="str">
        <f ca="1">IFERROR(__xludf.DUMMYFUNCTION("""COMPUTED_VALUE"""),"Cost per instance")</f>
        <v>Cost per instance</v>
      </c>
      <c r="M787" s="3"/>
      <c r="N787" s="3"/>
      <c r="O787" s="3"/>
      <c r="P787" s="3"/>
      <c r="Q787" s="3"/>
      <c r="R787" s="3"/>
      <c r="S787" s="3" t="str">
        <f ca="1">IFERROR(__xludf.DUMMYFUNCTION("""COMPUTED_VALUE"""),"100")</f>
        <v>100</v>
      </c>
      <c r="T787" s="3"/>
      <c r="U787" s="3" t="str">
        <f ca="1">IFERROR(__xludf.DUMMYFUNCTION("""COMPUTED_VALUE"""),"microsite")</f>
        <v>microsite</v>
      </c>
      <c r="V787" s="3"/>
      <c r="W787" s="3"/>
      <c r="X787" s="3"/>
      <c r="Y787" s="3"/>
      <c r="Z787" s="3" t="str">
        <f ca="1">IFERROR(__xludf.DUMMYFUNCTION("""COMPUTED_VALUE"""),"podklady@cncenter.cz")</f>
        <v>podklady@cncenter.cz</v>
      </c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 t="str">
        <f ca="1">IFERROR(__xludf.DUMMYFUNCTION("""COMPUTED_VALUE"""),"cross-device")</f>
        <v>cross-device</v>
      </c>
      <c r="AO787" s="3"/>
      <c r="AP787" s="3"/>
      <c r="AQ787" s="3"/>
      <c r="AR787" s="3"/>
      <c r="AS787" s="3"/>
      <c r="AT787" s="3"/>
      <c r="AU787" s="3" t="str">
        <f ca="1">IFERROR(__xludf.DUMMYFUNCTION("""COMPUTED_VALUE"""),"Prodloužení existující microsite, bez úprav")</f>
        <v>Prodloužení existující microsite, bez úprav</v>
      </c>
    </row>
    <row r="788" spans="1:47" x14ac:dyDescent="0.3">
      <c r="A788" s="3">
        <f ca="1"/>
        <v>2346826</v>
      </c>
      <c r="B788" s="3" t="str">
        <f ca="1"/>
        <v>CZECH NEWS CENTER a. s.</v>
      </c>
      <c r="C788" s="3" t="str">
        <f ca="1">IFERROR(__xludf.DUMMYFUNCTION("""COMPUTED_VALUE"""),"Mimibazar")</f>
        <v>Mimibazar</v>
      </c>
      <c r="D788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E788" s="3" t="str">
        <f ca="1">IFERROR(__xludf.DUMMYFUNCTION("""COMPUTED_VALUE"""),"celý web")</f>
        <v>celý web</v>
      </c>
      <c r="F788" s="3" t="str">
        <f ca="1">IFERROR(__xludf.DUMMYFUNCTION("""COMPUTED_VALUE"""),"https://mimibazar.cz, https://mimibazar.cz, https://mimishop.cz, https://mimiaukce.cz, https://mimishop.sk, https://mimiaukce.sk")</f>
        <v>https://mimibazar.cz, https://mimibazar.cz, https://mimishop.cz, https://mimiaukce.cz, https://mimishop.sk, https://mimiaukce.sk</v>
      </c>
      <c r="G788" s="3" t="str">
        <f ca="1">IFERROR(__xludf.DUMMYFUNCTION("""COMPUTED_VALUE"""),"videospot - max. 30 sec. / bumper high season")</f>
        <v>videospot - max. 30 sec. / bumper high season</v>
      </c>
      <c r="H788" s="3">
        <f ca="1">IFERROR(__xludf.DUMMYFUNCTION("""COMPUTED_VALUE"""),7)</f>
        <v>7</v>
      </c>
      <c r="I788" s="5">
        <f ca="1">IFERROR(__xludf.DUMMYFUNCTION("""COMPUTED_VALUE"""),1000)</f>
        <v>1000</v>
      </c>
      <c r="J788" s="5">
        <f ca="1">IFERROR(__xludf.DUMMYFUNCTION("""COMPUTED_VALUE"""),1340)</f>
        <v>1340</v>
      </c>
      <c r="K788" s="3"/>
      <c r="L788" s="3" t="str">
        <f ca="1">IFERROR(__xludf.DUMMYFUNCTION("""COMPUTED_VALUE"""),"Cost per period")</f>
        <v>Cost per period</v>
      </c>
      <c r="M788" s="3"/>
      <c r="N788" s="3"/>
      <c r="O788" s="3" t="str">
        <f ca="1">IFERROR(__xludf.DUMMYFUNCTION("""COMPUTED_VALUE"""),"1280")</f>
        <v>1280</v>
      </c>
      <c r="P788" s="3" t="str">
        <f ca="1">IFERROR(__xludf.DUMMYFUNCTION("""COMPUTED_VALUE"""),"720")</f>
        <v>720</v>
      </c>
      <c r="Q788" s="3" t="str">
        <f ca="1">IFERROR(__xludf.DUMMYFUNCTION("""COMPUTED_VALUE"""),"16:9 / umístění po domluvě dle možností")</f>
        <v>16:9 / umístění po domluvě dle možností</v>
      </c>
      <c r="R788" s="3" t="str">
        <f ca="1">IFERROR(__xludf.DUMMYFUNCTION("""COMPUTED_VALUE"""),"přeskočení po 7 sekundách")</f>
        <v>přeskočení po 7 sekundách</v>
      </c>
      <c r="S788" s="3" t="str">
        <f ca="1">IFERROR(__xludf.DUMMYFUNCTION("""COMPUTED_VALUE"""),"100")</f>
        <v>100</v>
      </c>
      <c r="T788" s="3"/>
      <c r="U788" s="3" t="str">
        <f ca="1">IFERROR(__xludf.DUMMYFUNCTION("""COMPUTED_VALUE"""),"videospot")</f>
        <v>videospot</v>
      </c>
      <c r="V788" s="3"/>
      <c r="W788" s="4" t="str">
        <f ca="1">IFERROR(__xludf.DUMMYFUNCTION("""COMPUTED_VALUE"""),"https://reklama.cncenter.cz/Online/Bumper")</f>
        <v>https://reklama.cncenter.cz/Online/Bumper</v>
      </c>
      <c r="X788" s="3"/>
      <c r="Y788" s="3"/>
      <c r="Z788" s="3" t="str">
        <f ca="1">IFERROR(__xludf.DUMMYFUNCTION("""COMPUTED_VALUE"""),"podklady@cncenter.cz")</f>
        <v>podklady@cncenter.cz</v>
      </c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 t="str">
        <f ca="1">IFERROR(__xludf.DUMMYFUNCTION("""COMPUTED_VALUE"""),"cross-device")</f>
        <v>cross-device</v>
      </c>
      <c r="AO788" s="3"/>
      <c r="AP788" s="3"/>
      <c r="AQ788" s="3"/>
      <c r="AR788" s="3"/>
      <c r="AS788" s="3"/>
      <c r="AT788" s="3"/>
      <c r="AU788" s="3" t="str">
        <f ca="1">IFERROR(__xludf.DUMMYFUNCTION("""COMPUTED_VALUE"""),"videospot - max. 30 sec. / bumper")</f>
        <v>videospot - max. 30 sec. / bumper</v>
      </c>
    </row>
    <row r="789" spans="1:47" x14ac:dyDescent="0.3">
      <c r="A789" s="3">
        <f ca="1"/>
        <v>2346826</v>
      </c>
      <c r="B789" s="3" t="str">
        <f ca="1"/>
        <v>CZECH NEWS CENTER a. s.</v>
      </c>
      <c r="C789" s="3" t="str">
        <f ca="1">IFERROR(__xludf.DUMMYFUNCTION("""COMPUTED_VALUE"""),"Mobilmania")</f>
        <v>Mobilmania</v>
      </c>
      <c r="D789" s="4" t="str">
        <f ca="1">IFERROR(__xludf.DUMMYFUNCTION("""COMPUTED_VALUE"""),"https://mobilmania.cz")</f>
        <v>https://mobilmania.cz</v>
      </c>
      <c r="E789" s="3" t="str">
        <f ca="1">IFERROR(__xludf.DUMMYFUNCTION("""COMPUTED_VALUE"""),"celý web")</f>
        <v>celý web</v>
      </c>
      <c r="F789" s="4" t="str">
        <f ca="1">IFERROR(__xludf.DUMMYFUNCTION("""COMPUTED_VALUE"""),"https://mobilmania.cz")</f>
        <v>https://mobilmania.cz</v>
      </c>
      <c r="G789" s="3" t="str">
        <f ca="1">IFERROR(__xludf.DUMMYFUNCTION("""COMPUTED_VALUE"""),"Advertorial high season")</f>
        <v>Advertorial high season</v>
      </c>
      <c r="H789" s="3">
        <f ca="1">IFERROR(__xludf.DUMMYFUNCTION("""COMPUTED_VALUE"""),1)</f>
        <v>1</v>
      </c>
      <c r="I789" s="5">
        <f ca="1">IFERROR(__xludf.DUMMYFUNCTION("""COMPUTED_VALUE"""),1)</f>
        <v>1</v>
      </c>
      <c r="J789" s="5">
        <f ca="1">IFERROR(__xludf.DUMMYFUNCTION("""COMPUTED_VALUE"""),90000)</f>
        <v>90000</v>
      </c>
      <c r="K789" s="3"/>
      <c r="L789" s="3" t="str">
        <f ca="1">IFERROR(__xludf.DUMMYFUNCTION("""COMPUTED_VALUE"""),"Cost per instance")</f>
        <v>Cost per instance</v>
      </c>
      <c r="M789" s="3"/>
      <c r="N789" s="3"/>
      <c r="O789" s="3"/>
      <c r="P789" s="3"/>
      <c r="Q789" s="3"/>
      <c r="R789" s="3"/>
      <c r="S789" s="3" t="str">
        <f ca="1">IFERROR(__xludf.DUMMYFUNCTION("""COMPUTED_VALUE"""),"100")</f>
        <v>100</v>
      </c>
      <c r="T789" s="3"/>
      <c r="U789" s="3" t="str">
        <f ca="1">IFERROR(__xludf.DUMMYFUNCTION("""COMPUTED_VALUE"""),"pr článek")</f>
        <v>pr článek</v>
      </c>
      <c r="V789" s="3"/>
      <c r="W789" s="3"/>
      <c r="X789" s="3"/>
      <c r="Y789" s="3"/>
      <c r="Z789" s="3" t="str">
        <f ca="1">IFERROR(__xludf.DUMMYFUNCTION("""COMPUTED_VALUE"""),"podklady@cncenter.cz")</f>
        <v>podklady@cncenter.cz</v>
      </c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 t="str">
        <f ca="1">IFERROR(__xludf.DUMMYFUNCTION("""COMPUTED_VALUE"""),"cross-device")</f>
        <v>cross-device</v>
      </c>
      <c r="AO789" s="3"/>
      <c r="AP789" s="3"/>
      <c r="AQ789" s="3"/>
      <c r="AR789" s="3"/>
      <c r="AS789" s="3"/>
      <c r="AT789" s="3"/>
      <c r="AU789" s="3" t="str">
        <f ca="1">IFERROR(__xludf.DUMMYFUNCTION("""COMPUTED_VALUE"""),"Advertorial")</f>
        <v>Advertorial</v>
      </c>
    </row>
    <row r="790" spans="1:47" x14ac:dyDescent="0.3">
      <c r="A790" s="3">
        <f ca="1"/>
        <v>2346826</v>
      </c>
      <c r="B790" s="3" t="str">
        <f ca="1"/>
        <v>CZECH NEWS CENTER a. s.</v>
      </c>
      <c r="C790" s="3" t="str">
        <f ca="1">IFERROR(__xludf.DUMMYFUNCTION("""COMPUTED_VALUE"""),"Mobilmania")</f>
        <v>Mobilmania</v>
      </c>
      <c r="D790" s="4" t="str">
        <f ca="1">IFERROR(__xludf.DUMMYFUNCTION("""COMPUTED_VALUE"""),"https://mobilmania.cz")</f>
        <v>https://mobilmania.cz</v>
      </c>
      <c r="E790" s="3" t="str">
        <f ca="1">IFERROR(__xludf.DUMMYFUNCTION("""COMPUTED_VALUE"""),"celý web")</f>
        <v>celý web</v>
      </c>
      <c r="F790" s="4" t="str">
        <f ca="1">IFERROR(__xludf.DUMMYFUNCTION("""COMPUTED_VALUE"""),"https://mobilmania.cz")</f>
        <v>https://mobilmania.cz</v>
      </c>
      <c r="G790" s="3" t="str">
        <f ca="1">IFERROR(__xludf.DUMMYFUNCTION("""COMPUTED_VALUE"""),"billboard bottom high season")</f>
        <v>billboard bottom high season</v>
      </c>
      <c r="H790" s="3">
        <f ca="1">IFERROR(__xludf.DUMMYFUNCTION("""COMPUTED_VALUE"""),7)</f>
        <v>7</v>
      </c>
      <c r="I790" s="5">
        <f ca="1">IFERROR(__xludf.DUMMYFUNCTION("""COMPUTED_VALUE"""),1000)</f>
        <v>1000</v>
      </c>
      <c r="J790" s="5">
        <f ca="1">IFERROR(__xludf.DUMMYFUNCTION("""COMPUTED_VALUE"""),440)</f>
        <v>440</v>
      </c>
      <c r="K790" s="3"/>
      <c r="L790" s="3" t="str">
        <f ca="1">IFERROR(__xludf.DUMMYFUNCTION("""COMPUTED_VALUE"""),"Cost per period")</f>
        <v>Cost per period</v>
      </c>
      <c r="M790" s="3"/>
      <c r="N790" s="3"/>
      <c r="O790" s="3" t="str">
        <f ca="1">IFERROR(__xludf.DUMMYFUNCTION("""COMPUTED_VALUE"""),"970")</f>
        <v>970</v>
      </c>
      <c r="P790" s="3" t="str">
        <f ca="1">IFERROR(__xludf.DUMMYFUNCTION("""COMPUTED_VALUE"""),"250")</f>
        <v>250</v>
      </c>
      <c r="Q790" s="3" t="str">
        <f ca="1">IFERROR(__xludf.DUMMYFUNCTION("""COMPUTED_VALUE"""),"970x250")</f>
        <v>970x250</v>
      </c>
      <c r="R790" s="3"/>
      <c r="S790" s="3" t="str">
        <f ca="1">IFERROR(__xludf.DUMMYFUNCTION("""COMPUTED_VALUE"""),"100 (200 - HTML5)")</f>
        <v>100 (200 - HTML5)</v>
      </c>
      <c r="T790" s="3"/>
      <c r="U790" s="3" t="str">
        <f ca="1">IFERROR(__xludf.DUMMYFUNCTION("""COMPUTED_VALUE"""),"banner standard")</f>
        <v>banner standard</v>
      </c>
      <c r="V790" s="3"/>
      <c r="W790" s="4" t="str">
        <f ca="1">IFERROR(__xludf.DUMMYFUNCTION("""COMPUTED_VALUE"""),"https://reklama.cncenter.cz/Online/billboard-bottom")</f>
        <v>https://reklama.cncenter.cz/Online/billboard-bottom</v>
      </c>
      <c r="X790" s="3"/>
      <c r="Y790" s="3"/>
      <c r="Z790" s="3" t="str">
        <f ca="1">IFERROR(__xludf.DUMMYFUNCTION("""COMPUTED_VALUE"""),"podklady@cncenter.cz")</f>
        <v>podklady@cncenter.cz</v>
      </c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 t="str">
        <f ca="1">IFERROR(__xludf.DUMMYFUNCTION("""COMPUTED_VALUE"""),"desktop")</f>
        <v>desktop</v>
      </c>
      <c r="AO790" s="3"/>
      <c r="AP790" s="3"/>
      <c r="AQ790" s="3"/>
      <c r="AR790" s="3"/>
      <c r="AS790" s="3"/>
      <c r="AT790" s="3"/>
      <c r="AU790" s="3" t="str">
        <f ca="1">IFERROR(__xludf.DUMMYFUNCTION("""COMPUTED_VALUE"""),"billboard bottom")</f>
        <v>billboard bottom</v>
      </c>
    </row>
    <row r="791" spans="1:47" x14ac:dyDescent="0.3">
      <c r="A791" s="3">
        <f ca="1"/>
        <v>2346826</v>
      </c>
      <c r="B791" s="3" t="str">
        <f ca="1"/>
        <v>CZECH NEWS CENTER a. s.</v>
      </c>
      <c r="C791" s="3" t="str">
        <f ca="1">IFERROR(__xludf.DUMMYFUNCTION("""COMPUTED_VALUE"""),"Mobilmania")</f>
        <v>Mobilmania</v>
      </c>
      <c r="D791" s="4" t="str">
        <f ca="1">IFERROR(__xludf.DUMMYFUNCTION("""COMPUTED_VALUE"""),"https://mobilmania.cz")</f>
        <v>https://mobilmania.cz</v>
      </c>
      <c r="E791" s="3" t="str">
        <f ca="1">IFERROR(__xludf.DUMMYFUNCTION("""COMPUTED_VALUE"""),"celý web")</f>
        <v>celý web</v>
      </c>
      <c r="F791" s="4" t="str">
        <f ca="1">IFERROR(__xludf.DUMMYFUNCTION("""COMPUTED_VALUE"""),"https://mobilmania.cz")</f>
        <v>https://mobilmania.cz</v>
      </c>
      <c r="G791" s="3" t="str">
        <f ca="1">IFERROR(__xludf.DUMMYFUNCTION("""COMPUTED_VALUE"""),"branding cross-device high season")</f>
        <v>branding cross-device high season</v>
      </c>
      <c r="H791" s="3">
        <f ca="1">IFERROR(__xludf.DUMMYFUNCTION("""COMPUTED_VALUE"""),7)</f>
        <v>7</v>
      </c>
      <c r="I791" s="5">
        <f ca="1">IFERROR(__xludf.DUMMYFUNCTION("""COMPUTED_VALUE"""),1000)</f>
        <v>1000</v>
      </c>
      <c r="J791" s="5">
        <f ca="1">IFERROR(__xludf.DUMMYFUNCTION("""COMPUTED_VALUE"""),540)</f>
        <v>540</v>
      </c>
      <c r="K791" s="3"/>
      <c r="L791" s="3" t="str">
        <f ca="1">IFERROR(__xludf.DUMMYFUNCTION("""COMPUTED_VALUE"""),"Cost per period")</f>
        <v>Cost per period</v>
      </c>
      <c r="M791" s="3"/>
      <c r="N791" s="3"/>
      <c r="O791" s="3" t="str">
        <f ca="1">IFERROR(__xludf.DUMMYFUNCTION("""COMPUTED_VALUE"""),"2000")</f>
        <v>2000</v>
      </c>
      <c r="P791" s="3" t="str">
        <f ca="1">IFERROR(__xludf.DUMMYFUNCTION("""COMPUTED_VALUE"""),"1400")</f>
        <v>1400</v>
      </c>
      <c r="Q791" s="3" t="str">
        <f ca="1">IFERROR(__xludf.DUMMYFUNCTION("""COMPUTED_VALUE"""),"2000x1400 + 600x1080")</f>
        <v>2000x1400 + 600x1080</v>
      </c>
      <c r="R791" s="3"/>
      <c r="S791" s="3" t="str">
        <f ca="1">IFERROR(__xludf.DUMMYFUNCTION("""COMPUTED_VALUE"""),"500 (600 - HTLM5)")</f>
        <v>500 (600 - HTLM5)</v>
      </c>
      <c r="T791" s="3"/>
      <c r="U791" s="3" t="str">
        <f ca="1">IFERROR(__xludf.DUMMYFUNCTION("""COMPUTED_VALUE"""),"banner standard")</f>
        <v>banner standard</v>
      </c>
      <c r="V791" s="3"/>
      <c r="W791" s="4" t="str">
        <f ca="1">IFERROR(__xludf.DUMMYFUNCTION("""COMPUTED_VALUE"""),"https://reklama.cncenter.cz/Online/branding-cross-device")</f>
        <v>https://reklama.cncenter.cz/Online/branding-cross-device</v>
      </c>
      <c r="X791" s="3"/>
      <c r="Y791" s="3"/>
      <c r="Z791" s="3" t="str">
        <f ca="1">IFERROR(__xludf.DUMMYFUNCTION("""COMPUTED_VALUE"""),"podklady@cncenter.cz")</f>
        <v>podklady@cncenter.cz</v>
      </c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 t="str">
        <f ca="1">IFERROR(__xludf.DUMMYFUNCTION("""COMPUTED_VALUE"""),"cross-device")</f>
        <v>cross-device</v>
      </c>
      <c r="AO791" s="3"/>
      <c r="AP791" s="3"/>
      <c r="AQ791" s="3"/>
      <c r="AR791" s="3"/>
      <c r="AS791" s="3"/>
      <c r="AT791" s="3"/>
      <c r="AU791" s="3" t="str">
        <f ca="1">IFERROR(__xludf.DUMMYFUNCTION("""COMPUTED_VALUE"""),"branding cross-device")</f>
        <v>branding cross-device</v>
      </c>
    </row>
    <row r="792" spans="1:47" x14ac:dyDescent="0.3">
      <c r="A792" s="3">
        <f ca="1"/>
        <v>2346826</v>
      </c>
      <c r="B792" s="3" t="str">
        <f ca="1"/>
        <v>CZECH NEWS CENTER a. s.</v>
      </c>
      <c r="C792" s="3" t="str">
        <f ca="1">IFERROR(__xludf.DUMMYFUNCTION("""COMPUTED_VALUE"""),"Mobilmania")</f>
        <v>Mobilmania</v>
      </c>
      <c r="D792" s="4" t="str">
        <f ca="1">IFERROR(__xludf.DUMMYFUNCTION("""COMPUTED_VALUE"""),"https://mobilmania.cz")</f>
        <v>https://mobilmania.cz</v>
      </c>
      <c r="E792" s="3" t="str">
        <f ca="1">IFERROR(__xludf.DUMMYFUNCTION("""COMPUTED_VALUE"""),"celý web")</f>
        <v>celý web</v>
      </c>
      <c r="F792" s="4" t="str">
        <f ca="1">IFERROR(__xludf.DUMMYFUNCTION("""COMPUTED_VALUE"""),"https://mobilmania.cz")</f>
        <v>https://mobilmania.cz</v>
      </c>
      <c r="G792" s="3" t="str">
        <f ca="1">IFERROR(__xludf.DUMMYFUNCTION("""COMPUTED_VALUE"""),"branding high season")</f>
        <v>branding high season</v>
      </c>
      <c r="H792" s="3">
        <f ca="1">IFERROR(__xludf.DUMMYFUNCTION("""COMPUTED_VALUE"""),7)</f>
        <v>7</v>
      </c>
      <c r="I792" s="5">
        <f ca="1">IFERROR(__xludf.DUMMYFUNCTION("""COMPUTED_VALUE"""),1000)</f>
        <v>1000</v>
      </c>
      <c r="J792" s="5">
        <f ca="1">IFERROR(__xludf.DUMMYFUNCTION("""COMPUTED_VALUE"""),890)</f>
        <v>890</v>
      </c>
      <c r="K792" s="3"/>
      <c r="L792" s="3" t="str">
        <f ca="1">IFERROR(__xludf.DUMMYFUNCTION("""COMPUTED_VALUE"""),"Cost per period")</f>
        <v>Cost per period</v>
      </c>
      <c r="M792" s="3"/>
      <c r="N792" s="3"/>
      <c r="O792" s="3" t="str">
        <f ca="1">IFERROR(__xludf.DUMMYFUNCTION("""COMPUTED_VALUE"""),"2000")</f>
        <v>2000</v>
      </c>
      <c r="P792" s="3" t="str">
        <f ca="1">IFERROR(__xludf.DUMMYFUNCTION("""COMPUTED_VALUE"""),"1400")</f>
        <v>1400</v>
      </c>
      <c r="Q792" s="3" t="str">
        <f ca="1">IFERROR(__xludf.DUMMYFUNCTION("""COMPUTED_VALUE"""),"2000x1400")</f>
        <v>2000x1400</v>
      </c>
      <c r="R792" s="3"/>
      <c r="S792" s="3" t="str">
        <f ca="1">IFERROR(__xludf.DUMMYFUNCTION("""COMPUTED_VALUE"""),"500 + 200 (600+200 HTML5)")</f>
        <v>500 + 200 (600+200 HTML5)</v>
      </c>
      <c r="T792" s="3"/>
      <c r="U792" s="3" t="str">
        <f ca="1">IFERROR(__xludf.DUMMYFUNCTION("""COMPUTED_VALUE"""),"banner standard")</f>
        <v>banner standard</v>
      </c>
      <c r="V792" s="3"/>
      <c r="W792" s="4" t="str">
        <f ca="1">IFERROR(__xludf.DUMMYFUNCTION("""COMPUTED_VALUE"""),"https://reklama.cncenter.cz/Online/branding")</f>
        <v>https://reklama.cncenter.cz/Online/branding</v>
      </c>
      <c r="X792" s="3"/>
      <c r="Y792" s="3"/>
      <c r="Z792" s="3" t="str">
        <f ca="1">IFERROR(__xludf.DUMMYFUNCTION("""COMPUTED_VALUE"""),"podklady@cncenter.cz")</f>
        <v>podklady@cncenter.cz</v>
      </c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 t="str">
        <f ca="1">IFERROR(__xludf.DUMMYFUNCTION("""COMPUTED_VALUE"""),"desktop")</f>
        <v>desktop</v>
      </c>
      <c r="AO792" s="3"/>
      <c r="AP792" s="3"/>
      <c r="AQ792" s="3"/>
      <c r="AR792" s="3"/>
      <c r="AS792" s="3"/>
      <c r="AT792" s="3"/>
      <c r="AU792" s="3" t="str">
        <f ca="1">IFERROR(__xludf.DUMMYFUNCTION("""COMPUTED_VALUE"""),"branding")</f>
        <v>branding</v>
      </c>
    </row>
    <row r="793" spans="1:47" x14ac:dyDescent="0.3">
      <c r="A793" s="3">
        <f ca="1"/>
        <v>2346826</v>
      </c>
      <c r="B793" s="3" t="str">
        <f ca="1"/>
        <v>CZECH NEWS CENTER a. s.</v>
      </c>
      <c r="C793" s="3" t="str">
        <f ca="1">IFERROR(__xludf.DUMMYFUNCTION("""COMPUTED_VALUE"""),"Mobilmania")</f>
        <v>Mobilmania</v>
      </c>
      <c r="D793" s="4" t="str">
        <f ca="1">IFERROR(__xludf.DUMMYFUNCTION("""COMPUTED_VALUE"""),"https://mobilmania.cz")</f>
        <v>https://mobilmania.cz</v>
      </c>
      <c r="E793" s="3" t="str">
        <f ca="1">IFERROR(__xludf.DUMMYFUNCTION("""COMPUTED_VALUE"""),"celý web")</f>
        <v>celý web</v>
      </c>
      <c r="F793" s="4" t="str">
        <f ca="1">IFERROR(__xludf.DUMMYFUNCTION("""COMPUTED_VALUE"""),"https://mobilmania.cz")</f>
        <v>https://mobilmania.cz</v>
      </c>
      <c r="G793" s="3" t="str">
        <f ca="1">IFERROR(__xludf.DUMMYFUNCTION("""COMPUTED_VALUE"""),"cílený billboard bottom high season")</f>
        <v>cílený billboard bottom high season</v>
      </c>
      <c r="H793" s="3">
        <f ca="1">IFERROR(__xludf.DUMMYFUNCTION("""COMPUTED_VALUE"""),7)</f>
        <v>7</v>
      </c>
      <c r="I793" s="5">
        <f ca="1">IFERROR(__xludf.DUMMYFUNCTION("""COMPUTED_VALUE"""),1000)</f>
        <v>1000</v>
      </c>
      <c r="J793" s="5">
        <f ca="1">IFERROR(__xludf.DUMMYFUNCTION("""COMPUTED_VALUE"""),528)</f>
        <v>528</v>
      </c>
      <c r="K793" s="3"/>
      <c r="L793" s="3" t="str">
        <f ca="1">IFERROR(__xludf.DUMMYFUNCTION("""COMPUTED_VALUE"""),"Cost per period")</f>
        <v>Cost per period</v>
      </c>
      <c r="M793" s="3"/>
      <c r="N793" s="3"/>
      <c r="O793" s="3" t="str">
        <f ca="1">IFERROR(__xludf.DUMMYFUNCTION("""COMPUTED_VALUE"""),"970")</f>
        <v>970</v>
      </c>
      <c r="P793" s="3" t="str">
        <f ca="1">IFERROR(__xludf.DUMMYFUNCTION("""COMPUTED_VALUE"""),"250")</f>
        <v>250</v>
      </c>
      <c r="Q793" s="3" t="str">
        <f ca="1">IFERROR(__xludf.DUMMYFUNCTION("""COMPUTED_VALUE"""),"970x250")</f>
        <v>970x250</v>
      </c>
      <c r="R793" s="3"/>
      <c r="S793" s="3" t="str">
        <f ca="1">IFERROR(__xludf.DUMMYFUNCTION("""COMPUTED_VALUE"""),"100 (200 - HTML5)")</f>
        <v>100 (200 - HTML5)</v>
      </c>
      <c r="T793" s="3"/>
      <c r="U793" s="3" t="str">
        <f ca="1">IFERROR(__xludf.DUMMYFUNCTION("""COMPUTED_VALUE"""),"banner standard")</f>
        <v>banner standard</v>
      </c>
      <c r="V793" s="3"/>
      <c r="W793" s="4" t="str">
        <f ca="1">IFERROR(__xludf.DUMMYFUNCTION("""COMPUTED_VALUE"""),"https://reklama.cncenter.cz/Online/billboard-bottom")</f>
        <v>https://reklama.cncenter.cz/Online/billboard-bottom</v>
      </c>
      <c r="X793" s="3"/>
      <c r="Y793" s="3"/>
      <c r="Z793" s="3" t="str">
        <f ca="1">IFERROR(__xludf.DUMMYFUNCTION("""COMPUTED_VALUE"""),"podklady@cncenter.cz")</f>
        <v>podklady@cncenter.cz</v>
      </c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 t="str">
        <f ca="1">IFERROR(__xludf.DUMMYFUNCTION("""COMPUTED_VALUE"""),"desktop")</f>
        <v>desktop</v>
      </c>
      <c r="AO793" s="3"/>
      <c r="AP793" s="3"/>
      <c r="AQ793" s="3"/>
      <c r="AR793" s="3"/>
      <c r="AS793" s="3"/>
      <c r="AT793" s="3"/>
      <c r="AU793" s="3" t="str">
        <f ca="1">IFERROR(__xludf.DUMMYFUNCTION("""COMPUTED_VALUE"""),"cílený billboard bottom")</f>
        <v>cílený billboard bottom</v>
      </c>
    </row>
    <row r="794" spans="1:47" x14ac:dyDescent="0.3">
      <c r="A794" s="3">
        <f ca="1"/>
        <v>2346826</v>
      </c>
      <c r="B794" s="3" t="str">
        <f ca="1"/>
        <v>CZECH NEWS CENTER a. s.</v>
      </c>
      <c r="C794" s="3" t="str">
        <f ca="1">IFERROR(__xludf.DUMMYFUNCTION("""COMPUTED_VALUE"""),"Mobilmania")</f>
        <v>Mobilmania</v>
      </c>
      <c r="D794" s="4" t="str">
        <f ca="1">IFERROR(__xludf.DUMMYFUNCTION("""COMPUTED_VALUE"""),"https://mobilmania.cz")</f>
        <v>https://mobilmania.cz</v>
      </c>
      <c r="E794" s="3" t="str">
        <f ca="1">IFERROR(__xludf.DUMMYFUNCTION("""COMPUTED_VALUE"""),"celý web")</f>
        <v>celý web</v>
      </c>
      <c r="F794" s="4" t="str">
        <f ca="1">IFERROR(__xludf.DUMMYFUNCTION("""COMPUTED_VALUE"""),"https://mobilmania.cz")</f>
        <v>https://mobilmania.cz</v>
      </c>
      <c r="G794" s="3" t="str">
        <f ca="1">IFERROR(__xludf.DUMMYFUNCTION("""COMPUTED_VALUE"""),"cílený branding cross-device high season")</f>
        <v>cílený branding cross-device high season</v>
      </c>
      <c r="H794" s="3">
        <f ca="1">IFERROR(__xludf.DUMMYFUNCTION("""COMPUTED_VALUE"""),7)</f>
        <v>7</v>
      </c>
      <c r="I794" s="5">
        <f ca="1">IFERROR(__xludf.DUMMYFUNCTION("""COMPUTED_VALUE"""),1000)</f>
        <v>1000</v>
      </c>
      <c r="J794" s="5">
        <f ca="1">IFERROR(__xludf.DUMMYFUNCTION("""COMPUTED_VALUE"""),648)</f>
        <v>648</v>
      </c>
      <c r="K794" s="3"/>
      <c r="L794" s="3" t="str">
        <f ca="1">IFERROR(__xludf.DUMMYFUNCTION("""COMPUTED_VALUE"""),"Cost per period")</f>
        <v>Cost per period</v>
      </c>
      <c r="M794" s="3"/>
      <c r="N794" s="3"/>
      <c r="O794" s="3" t="str">
        <f ca="1">IFERROR(__xludf.DUMMYFUNCTION("""COMPUTED_VALUE"""),"2000")</f>
        <v>2000</v>
      </c>
      <c r="P794" s="3" t="str">
        <f ca="1">IFERROR(__xludf.DUMMYFUNCTION("""COMPUTED_VALUE"""),"1400")</f>
        <v>1400</v>
      </c>
      <c r="Q794" s="3" t="str">
        <f ca="1">IFERROR(__xludf.DUMMYFUNCTION("""COMPUTED_VALUE"""),"2000x1400 + 600x1080")</f>
        <v>2000x1400 + 600x1080</v>
      </c>
      <c r="R794" s="3"/>
      <c r="S794" s="3" t="str">
        <f ca="1">IFERROR(__xludf.DUMMYFUNCTION("""COMPUTED_VALUE"""),"500 (600 - HTLM5)")</f>
        <v>500 (600 - HTLM5)</v>
      </c>
      <c r="T794" s="3"/>
      <c r="U794" s="3" t="str">
        <f ca="1">IFERROR(__xludf.DUMMYFUNCTION("""COMPUTED_VALUE"""),"banner standard")</f>
        <v>banner standard</v>
      </c>
      <c r="V794" s="3"/>
      <c r="W794" s="4" t="str">
        <f ca="1">IFERROR(__xludf.DUMMYFUNCTION("""COMPUTED_VALUE"""),"https://reklama.cncenter.cz/Online/branding-cross-device")</f>
        <v>https://reklama.cncenter.cz/Online/branding-cross-device</v>
      </c>
      <c r="X794" s="3"/>
      <c r="Y794" s="3"/>
      <c r="Z794" s="3" t="str">
        <f ca="1">IFERROR(__xludf.DUMMYFUNCTION("""COMPUTED_VALUE"""),"podklady@cncenter.cz")</f>
        <v>podklady@cncenter.cz</v>
      </c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 t="str">
        <f ca="1">IFERROR(__xludf.DUMMYFUNCTION("""COMPUTED_VALUE"""),"cross-device")</f>
        <v>cross-device</v>
      </c>
      <c r="AO794" s="3"/>
      <c r="AP794" s="3"/>
      <c r="AQ794" s="3"/>
      <c r="AR794" s="3"/>
      <c r="AS794" s="3"/>
      <c r="AT794" s="3"/>
      <c r="AU794" s="3" t="str">
        <f ca="1">IFERROR(__xludf.DUMMYFUNCTION("""COMPUTED_VALUE"""),"cílený branding cross-device")</f>
        <v>cílený branding cross-device</v>
      </c>
    </row>
    <row r="795" spans="1:47" x14ac:dyDescent="0.3">
      <c r="A795" s="3">
        <f ca="1"/>
        <v>2346826</v>
      </c>
      <c r="B795" s="3" t="str">
        <f ca="1"/>
        <v>CZECH NEWS CENTER a. s.</v>
      </c>
      <c r="C795" s="3" t="str">
        <f ca="1">IFERROR(__xludf.DUMMYFUNCTION("""COMPUTED_VALUE"""),"Mobilmania")</f>
        <v>Mobilmania</v>
      </c>
      <c r="D795" s="4" t="str">
        <f ca="1">IFERROR(__xludf.DUMMYFUNCTION("""COMPUTED_VALUE"""),"https://mobilmania.cz")</f>
        <v>https://mobilmania.cz</v>
      </c>
      <c r="E795" s="3" t="str">
        <f ca="1">IFERROR(__xludf.DUMMYFUNCTION("""COMPUTED_VALUE"""),"celý web")</f>
        <v>celý web</v>
      </c>
      <c r="F795" s="4" t="str">
        <f ca="1">IFERROR(__xludf.DUMMYFUNCTION("""COMPUTED_VALUE"""),"https://mobilmania.cz")</f>
        <v>https://mobilmania.cz</v>
      </c>
      <c r="G795" s="3" t="str">
        <f ca="1">IFERROR(__xludf.DUMMYFUNCTION("""COMPUTED_VALUE"""),"cílený branding high season")</f>
        <v>cílený branding high season</v>
      </c>
      <c r="H795" s="3">
        <f ca="1">IFERROR(__xludf.DUMMYFUNCTION("""COMPUTED_VALUE"""),7)</f>
        <v>7</v>
      </c>
      <c r="I795" s="5">
        <f ca="1">IFERROR(__xludf.DUMMYFUNCTION("""COMPUTED_VALUE"""),1000)</f>
        <v>1000</v>
      </c>
      <c r="J795" s="5">
        <f ca="1">IFERROR(__xludf.DUMMYFUNCTION("""COMPUTED_VALUE"""),1068)</f>
        <v>1068</v>
      </c>
      <c r="K795" s="3"/>
      <c r="L795" s="3" t="str">
        <f ca="1">IFERROR(__xludf.DUMMYFUNCTION("""COMPUTED_VALUE"""),"Cost per period")</f>
        <v>Cost per period</v>
      </c>
      <c r="M795" s="3"/>
      <c r="N795" s="3"/>
      <c r="O795" s="3" t="str">
        <f ca="1">IFERROR(__xludf.DUMMYFUNCTION("""COMPUTED_VALUE"""),"2000")</f>
        <v>2000</v>
      </c>
      <c r="P795" s="3" t="str">
        <f ca="1">IFERROR(__xludf.DUMMYFUNCTION("""COMPUTED_VALUE"""),"1400")</f>
        <v>1400</v>
      </c>
      <c r="Q795" s="3" t="str">
        <f ca="1">IFERROR(__xludf.DUMMYFUNCTION("""COMPUTED_VALUE"""),"2000x1400")</f>
        <v>2000x1400</v>
      </c>
      <c r="R795" s="3"/>
      <c r="S795" s="3" t="str">
        <f ca="1">IFERROR(__xludf.DUMMYFUNCTION("""COMPUTED_VALUE"""),"500 + 200 (600+200 HTML5)")</f>
        <v>500 + 200 (600+200 HTML5)</v>
      </c>
      <c r="T795" s="3"/>
      <c r="U795" s="3" t="str">
        <f ca="1">IFERROR(__xludf.DUMMYFUNCTION("""COMPUTED_VALUE"""),"banner standard")</f>
        <v>banner standard</v>
      </c>
      <c r="V795" s="3"/>
      <c r="W795" s="4" t="str">
        <f ca="1">IFERROR(__xludf.DUMMYFUNCTION("""COMPUTED_VALUE"""),"https://reklama.cncenter.cz/Online/branding")</f>
        <v>https://reklama.cncenter.cz/Online/branding</v>
      </c>
      <c r="X795" s="3"/>
      <c r="Y795" s="3"/>
      <c r="Z795" s="3" t="str">
        <f ca="1">IFERROR(__xludf.DUMMYFUNCTION("""COMPUTED_VALUE"""),"podklady@cncenter.cz")</f>
        <v>podklady@cncenter.cz</v>
      </c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 t="str">
        <f ca="1">IFERROR(__xludf.DUMMYFUNCTION("""COMPUTED_VALUE"""),"desktop")</f>
        <v>desktop</v>
      </c>
      <c r="AO795" s="3"/>
      <c r="AP795" s="3"/>
      <c r="AQ795" s="3"/>
      <c r="AR795" s="3"/>
      <c r="AS795" s="3"/>
      <c r="AT795" s="3"/>
      <c r="AU795" s="3" t="str">
        <f ca="1">IFERROR(__xludf.DUMMYFUNCTION("""COMPUTED_VALUE"""),"cílený branding")</f>
        <v>cílený branding</v>
      </c>
    </row>
    <row r="796" spans="1:47" x14ac:dyDescent="0.3">
      <c r="A796" s="3">
        <f ca="1"/>
        <v>2346826</v>
      </c>
      <c r="B796" s="3" t="str">
        <f ca="1"/>
        <v>CZECH NEWS CENTER a. s.</v>
      </c>
      <c r="C796" s="3" t="str">
        <f ca="1">IFERROR(__xludf.DUMMYFUNCTION("""COMPUTED_VALUE"""),"Mobilmania")</f>
        <v>Mobilmania</v>
      </c>
      <c r="D796" s="4" t="str">
        <f ca="1">IFERROR(__xludf.DUMMYFUNCTION("""COMPUTED_VALUE"""),"https://mobilmania.cz")</f>
        <v>https://mobilmania.cz</v>
      </c>
      <c r="E796" s="3" t="str">
        <f ca="1">IFERROR(__xludf.DUMMYFUNCTION("""COMPUTED_VALUE"""),"celý web")</f>
        <v>celý web</v>
      </c>
      <c r="F796" s="4" t="str">
        <f ca="1">IFERROR(__xludf.DUMMYFUNCTION("""COMPUTED_VALUE"""),"https://mobilmania.cz")</f>
        <v>https://mobilmania.cz</v>
      </c>
      <c r="G796" s="3" t="str">
        <f ca="1">IFERROR(__xludf.DUMMYFUNCTION("""COMPUTED_VALUE"""),"cílený double skyscraper high season")</f>
        <v>cílený double skyscraper high season</v>
      </c>
      <c r="H796" s="3">
        <f ca="1">IFERROR(__xludf.DUMMYFUNCTION("""COMPUTED_VALUE"""),7)</f>
        <v>7</v>
      </c>
      <c r="I796" s="5">
        <f ca="1">IFERROR(__xludf.DUMMYFUNCTION("""COMPUTED_VALUE"""),1000)</f>
        <v>1000</v>
      </c>
      <c r="J796" s="5">
        <f ca="1">IFERROR(__xludf.DUMMYFUNCTION("""COMPUTED_VALUE"""),420)</f>
        <v>420</v>
      </c>
      <c r="K796" s="3"/>
      <c r="L796" s="3" t="str">
        <f ca="1">IFERROR(__xludf.DUMMYFUNCTION("""COMPUTED_VALUE"""),"Cost per period")</f>
        <v>Cost per period</v>
      </c>
      <c r="M796" s="3"/>
      <c r="N796" s="3"/>
      <c r="O796" s="3" t="str">
        <f ca="1">IFERROR(__xludf.DUMMYFUNCTION("""COMPUTED_VALUE"""),"300")</f>
        <v>300</v>
      </c>
      <c r="P796" s="3" t="str">
        <f ca="1">IFERROR(__xludf.DUMMYFUNCTION("""COMPUTED_VALUE"""),"600")</f>
        <v>600</v>
      </c>
      <c r="Q796" s="3" t="str">
        <f ca="1">IFERROR(__xludf.DUMMYFUNCTION("""COMPUTED_VALUE"""),"300x600")</f>
        <v>300x600</v>
      </c>
      <c r="R796" s="3"/>
      <c r="S796" s="3" t="str">
        <f ca="1">IFERROR(__xludf.DUMMYFUNCTION("""COMPUTED_VALUE"""),"100 (200 - HTML5)")</f>
        <v>100 (200 - HTML5)</v>
      </c>
      <c r="T796" s="3"/>
      <c r="U796" s="3" t="str">
        <f ca="1">IFERROR(__xludf.DUMMYFUNCTION("""COMPUTED_VALUE"""),"banner standard")</f>
        <v>banner standard</v>
      </c>
      <c r="V796" s="3"/>
      <c r="W796" s="4" t="str">
        <f ca="1">IFERROR(__xludf.DUMMYFUNCTION("""COMPUTED_VALUE"""),"https://reklama.cncenter.cz/Online/double-skyscraper")</f>
        <v>https://reklama.cncenter.cz/Online/double-skyscraper</v>
      </c>
      <c r="X796" s="3"/>
      <c r="Y796" s="3"/>
      <c r="Z796" s="3" t="str">
        <f ca="1">IFERROR(__xludf.DUMMYFUNCTION("""COMPUTED_VALUE"""),"podklady@cncenter.cz")</f>
        <v>podklady@cncenter.cz</v>
      </c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 t="str">
        <f ca="1">IFERROR(__xludf.DUMMYFUNCTION("""COMPUTED_VALUE"""),"desktop")</f>
        <v>desktop</v>
      </c>
      <c r="AO796" s="3"/>
      <c r="AP796" s="3"/>
      <c r="AQ796" s="3"/>
      <c r="AR796" s="3"/>
      <c r="AS796" s="3"/>
      <c r="AT796" s="3"/>
      <c r="AU796" s="3" t="str">
        <f ca="1">IFERROR(__xludf.DUMMYFUNCTION("""COMPUTED_VALUE"""),"cílený double skyscraper")</f>
        <v>cílený double skyscraper</v>
      </c>
    </row>
    <row r="797" spans="1:47" x14ac:dyDescent="0.3">
      <c r="A797" s="3">
        <f ca="1"/>
        <v>2346826</v>
      </c>
      <c r="B797" s="3" t="str">
        <f ca="1"/>
        <v>CZECH NEWS CENTER a. s.</v>
      </c>
      <c r="C797" s="3" t="str">
        <f ca="1">IFERROR(__xludf.DUMMYFUNCTION("""COMPUTED_VALUE"""),"Mobilmania")</f>
        <v>Mobilmania</v>
      </c>
      <c r="D797" s="4" t="str">
        <f ca="1">IFERROR(__xludf.DUMMYFUNCTION("""COMPUTED_VALUE"""),"https://mobilmania.cz")</f>
        <v>https://mobilmania.cz</v>
      </c>
      <c r="E797" s="3" t="str">
        <f ca="1">IFERROR(__xludf.DUMMYFUNCTION("""COMPUTED_VALUE"""),"celý web")</f>
        <v>celý web</v>
      </c>
      <c r="F797" s="4" t="str">
        <f ca="1">IFERROR(__xludf.DUMMYFUNCTION("""COMPUTED_VALUE"""),"https://mobilmania.cz")</f>
        <v>https://mobilmania.cz</v>
      </c>
      <c r="G797" s="3" t="str">
        <f ca="1">IFERROR(__xludf.DUMMYFUNCTION("""COMPUTED_VALUE"""),"cílený mobilní interscroller high season")</f>
        <v>cílený mobilní interscroller high season</v>
      </c>
      <c r="H797" s="3">
        <f ca="1">IFERROR(__xludf.DUMMYFUNCTION("""COMPUTED_VALUE"""),7)</f>
        <v>7</v>
      </c>
      <c r="I797" s="5">
        <f ca="1">IFERROR(__xludf.DUMMYFUNCTION("""COMPUTED_VALUE"""),1000)</f>
        <v>1000</v>
      </c>
      <c r="J797" s="5">
        <f ca="1">IFERROR(__xludf.DUMMYFUNCTION("""COMPUTED_VALUE"""),540)</f>
        <v>540</v>
      </c>
      <c r="K797" s="3"/>
      <c r="L797" s="3" t="str">
        <f ca="1">IFERROR(__xludf.DUMMYFUNCTION("""COMPUTED_VALUE"""),"Cost per period")</f>
        <v>Cost per period</v>
      </c>
      <c r="M797" s="3"/>
      <c r="N797" s="3"/>
      <c r="O797" s="3" t="str">
        <f ca="1">IFERROR(__xludf.DUMMYFUNCTION("""COMPUTED_VALUE"""),"600")</f>
        <v>600</v>
      </c>
      <c r="P797" s="3" t="str">
        <f ca="1">IFERROR(__xludf.DUMMYFUNCTION("""COMPUTED_VALUE"""),"1080")</f>
        <v>1080</v>
      </c>
      <c r="Q797" s="3" t="str">
        <f ca="1">IFERROR(__xludf.DUMMYFUNCTION("""COMPUTED_VALUE"""),"600x1080")</f>
        <v>600x1080</v>
      </c>
      <c r="R797" s="3"/>
      <c r="S797" s="3" t="str">
        <f ca="1">IFERROR(__xludf.DUMMYFUNCTION("""COMPUTED_VALUE"""),"200")</f>
        <v>200</v>
      </c>
      <c r="T797" s="3"/>
      <c r="U797" s="3" t="str">
        <f ca="1">IFERROR(__xludf.DUMMYFUNCTION("""COMPUTED_VALUE"""),"banner standard")</f>
        <v>banner standard</v>
      </c>
      <c r="V797" s="3"/>
      <c r="W797" s="4" t="str">
        <f ca="1">IFERROR(__xludf.DUMMYFUNCTION("""COMPUTED_VALUE"""),"https://reklama.cncenter.cz/Online/mobilni-interscroller")</f>
        <v>https://reklama.cncenter.cz/Online/mobilni-interscroller</v>
      </c>
      <c r="X797" s="3"/>
      <c r="Y797" s="3"/>
      <c r="Z797" s="3" t="str">
        <f ca="1">IFERROR(__xludf.DUMMYFUNCTION("""COMPUTED_VALUE"""),"podklady@cncenter.cz")</f>
        <v>podklady@cncenter.cz</v>
      </c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 t="str">
        <f ca="1">IFERROR(__xludf.DUMMYFUNCTION("""COMPUTED_VALUE"""),"mobile")</f>
        <v>mobile</v>
      </c>
      <c r="AO797" s="3"/>
      <c r="AP797" s="3"/>
      <c r="AQ797" s="3"/>
      <c r="AR797" s="3"/>
      <c r="AS797" s="3"/>
      <c r="AT797" s="3"/>
      <c r="AU797" s="3" t="str">
        <f ca="1">IFERROR(__xludf.DUMMYFUNCTION("""COMPUTED_VALUE"""),"cílený mobilní interscroller")</f>
        <v>cílený mobilní interscroller</v>
      </c>
    </row>
    <row r="798" spans="1:47" x14ac:dyDescent="0.3">
      <c r="A798" s="3">
        <f ca="1"/>
        <v>2346826</v>
      </c>
      <c r="B798" s="3" t="str">
        <f ca="1"/>
        <v>CZECH NEWS CENTER a. s.</v>
      </c>
      <c r="C798" s="3" t="str">
        <f ca="1">IFERROR(__xludf.DUMMYFUNCTION("""COMPUTED_VALUE"""),"Mobilmania")</f>
        <v>Mobilmania</v>
      </c>
      <c r="D798" s="4" t="str">
        <f ca="1">IFERROR(__xludf.DUMMYFUNCTION("""COMPUTED_VALUE"""),"https://mobilmania.cz")</f>
        <v>https://mobilmania.cz</v>
      </c>
      <c r="E798" s="3" t="str">
        <f ca="1">IFERROR(__xludf.DUMMYFUNCTION("""COMPUTED_VALUE"""),"celý web")</f>
        <v>celý web</v>
      </c>
      <c r="F798" s="4" t="str">
        <f ca="1">IFERROR(__xludf.DUMMYFUNCTION("""COMPUTED_VALUE"""),"https://mobilmania.cz")</f>
        <v>https://mobilmania.cz</v>
      </c>
      <c r="G798" s="3" t="str">
        <f ca="1">IFERROR(__xludf.DUMMYFUNCTION("""COMPUTED_VALUE"""),"cílený mobilní slide-up high season")</f>
        <v>cílený mobilní slide-up high season</v>
      </c>
      <c r="H798" s="3">
        <f ca="1">IFERROR(__xludf.DUMMYFUNCTION("""COMPUTED_VALUE"""),7)</f>
        <v>7</v>
      </c>
      <c r="I798" s="5">
        <f ca="1">IFERROR(__xludf.DUMMYFUNCTION("""COMPUTED_VALUE"""),1000)</f>
        <v>1000</v>
      </c>
      <c r="J798" s="5">
        <f ca="1">IFERROR(__xludf.DUMMYFUNCTION("""COMPUTED_VALUE"""),1104)</f>
        <v>1104</v>
      </c>
      <c r="K798" s="3"/>
      <c r="L798" s="3" t="str">
        <f ca="1">IFERROR(__xludf.DUMMYFUNCTION("""COMPUTED_VALUE"""),"Cost per period")</f>
        <v>Cost per period</v>
      </c>
      <c r="M798" s="3"/>
      <c r="N798" s="3"/>
      <c r="O798" s="3" t="str">
        <f ca="1">IFERROR(__xludf.DUMMYFUNCTION("""COMPUTED_VALUE"""),"300")</f>
        <v>300</v>
      </c>
      <c r="P798" s="3" t="str">
        <f ca="1">IFERROR(__xludf.DUMMYFUNCTION("""COMPUTED_VALUE"""),"120")</f>
        <v>120</v>
      </c>
      <c r="Q798" s="3" t="str">
        <f ca="1">IFERROR(__xludf.DUMMYFUNCTION("""COMPUTED_VALUE"""),"300x120")</f>
        <v>300x120</v>
      </c>
      <c r="R798" s="3"/>
      <c r="S798" s="3" t="str">
        <f ca="1">IFERROR(__xludf.DUMMYFUNCTION("""COMPUTED_VALUE"""),"100")</f>
        <v>100</v>
      </c>
      <c r="T798" s="3"/>
      <c r="U798" s="3" t="str">
        <f ca="1">IFERROR(__xludf.DUMMYFUNCTION("""COMPUTED_VALUE"""),"banner standard")</f>
        <v>banner standard</v>
      </c>
      <c r="V798" s="3"/>
      <c r="W798" s="4" t="str">
        <f ca="1">IFERROR(__xludf.DUMMYFUNCTION("""COMPUTED_VALUE"""),"https://reklama.cncenter.cz/Online/mobilni-slide-up")</f>
        <v>https://reklama.cncenter.cz/Online/mobilni-slide-up</v>
      </c>
      <c r="X798" s="3"/>
      <c r="Y798" s="3"/>
      <c r="Z798" s="3" t="str">
        <f ca="1">IFERROR(__xludf.DUMMYFUNCTION("""COMPUTED_VALUE"""),"podklady@cncenter.cz")</f>
        <v>podklady@cncenter.cz</v>
      </c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 t="str">
        <f ca="1">IFERROR(__xludf.DUMMYFUNCTION("""COMPUTED_VALUE"""),"mobile")</f>
        <v>mobile</v>
      </c>
      <c r="AO798" s="3"/>
      <c r="AP798" s="3"/>
      <c r="AQ798" s="3"/>
      <c r="AR798" s="3"/>
      <c r="AS798" s="3"/>
      <c r="AT798" s="3"/>
      <c r="AU798" s="3" t="str">
        <f ca="1">IFERROR(__xludf.DUMMYFUNCTION("""COMPUTED_VALUE"""),"cílený mobilní slide-up")</f>
        <v>cílený mobilní slide-up</v>
      </c>
    </row>
    <row r="799" spans="1:47" x14ac:dyDescent="0.3">
      <c r="A799" s="3">
        <f ca="1"/>
        <v>2346826</v>
      </c>
      <c r="B799" s="3" t="str">
        <f ca="1"/>
        <v>CZECH NEWS CENTER a. s.</v>
      </c>
      <c r="C799" s="3" t="str">
        <f ca="1">IFERROR(__xludf.DUMMYFUNCTION("""COMPUTED_VALUE"""),"Mobilmania")</f>
        <v>Mobilmania</v>
      </c>
      <c r="D799" s="4" t="str">
        <f ca="1">IFERROR(__xludf.DUMMYFUNCTION("""COMPUTED_VALUE"""),"https://mobilmania.cz")</f>
        <v>https://mobilmania.cz</v>
      </c>
      <c r="E799" s="3" t="str">
        <f ca="1">IFERROR(__xludf.DUMMYFUNCTION("""COMPUTED_VALUE"""),"celý web")</f>
        <v>celý web</v>
      </c>
      <c r="F799" s="4" t="str">
        <f ca="1">IFERROR(__xludf.DUMMYFUNCTION("""COMPUTED_VALUE"""),"https://mobilmania.cz")</f>
        <v>https://mobilmania.cz</v>
      </c>
      <c r="G799" s="3" t="str">
        <f ca="1">IFERROR(__xludf.DUMMYFUNCTION("""COMPUTED_VALUE"""),"cílený mobilní viněta high season")</f>
        <v>cílený mobilní viněta high season</v>
      </c>
      <c r="H799" s="3">
        <f ca="1">IFERROR(__xludf.DUMMYFUNCTION("""COMPUTED_VALUE"""),7)</f>
        <v>7</v>
      </c>
      <c r="I799" s="5">
        <f ca="1">IFERROR(__xludf.DUMMYFUNCTION("""COMPUTED_VALUE"""),1000)</f>
        <v>1000</v>
      </c>
      <c r="J799" s="5">
        <f ca="1">IFERROR(__xludf.DUMMYFUNCTION("""COMPUTED_VALUE"""),1908)</f>
        <v>1908</v>
      </c>
      <c r="K799" s="3"/>
      <c r="L799" s="3" t="str">
        <f ca="1">IFERROR(__xludf.DUMMYFUNCTION("""COMPUTED_VALUE"""),"Cost per period")</f>
        <v>Cost per period</v>
      </c>
      <c r="M799" s="3"/>
      <c r="N799" s="3"/>
      <c r="O799" s="3" t="str">
        <f ca="1">IFERROR(__xludf.DUMMYFUNCTION("""COMPUTED_VALUE"""),"600")</f>
        <v>600</v>
      </c>
      <c r="P799" s="3" t="str">
        <f ca="1">IFERROR(__xludf.DUMMYFUNCTION("""COMPUTED_VALUE"""),"800")</f>
        <v>800</v>
      </c>
      <c r="Q799" s="3" t="str">
        <f ca="1">IFERROR(__xludf.DUMMYFUNCTION("""COMPUTED_VALUE"""),"300x250 nebo 600x800")</f>
        <v>300x250 nebo 600x800</v>
      </c>
      <c r="R799" s="3"/>
      <c r="S799" s="3" t="str">
        <f ca="1">IFERROR(__xludf.DUMMYFUNCTION("""COMPUTED_VALUE"""),"100")</f>
        <v>100</v>
      </c>
      <c r="T799" s="3"/>
      <c r="U799" s="3" t="str">
        <f ca="1">IFERROR(__xludf.DUMMYFUNCTION("""COMPUTED_VALUE"""),"banner standard")</f>
        <v>banner standard</v>
      </c>
      <c r="V799" s="3"/>
      <c r="W799" s="4" t="str">
        <f ca="1">IFERROR(__xludf.DUMMYFUNCTION("""COMPUTED_VALUE"""),"https://reklama.cncenter.cz/Online/mobilni-vineta")</f>
        <v>https://reklama.cncenter.cz/Online/mobilni-vineta</v>
      </c>
      <c r="X799" s="3"/>
      <c r="Y799" s="3"/>
      <c r="Z799" s="3" t="str">
        <f ca="1">IFERROR(__xludf.DUMMYFUNCTION("""COMPUTED_VALUE"""),"podklady@cncenter.cz")</f>
        <v>podklady@cncenter.cz</v>
      </c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 t="str">
        <f ca="1">IFERROR(__xludf.DUMMYFUNCTION("""COMPUTED_VALUE"""),"mobile")</f>
        <v>mobile</v>
      </c>
      <c r="AO799" s="3"/>
      <c r="AP799" s="3"/>
      <c r="AQ799" s="3"/>
      <c r="AR799" s="3"/>
      <c r="AS799" s="3"/>
      <c r="AT799" s="3"/>
      <c r="AU799" s="3" t="str">
        <f ca="1">IFERROR(__xludf.DUMMYFUNCTION("""COMPUTED_VALUE"""),"cílený mobilní viněta")</f>
        <v>cílený mobilní viněta</v>
      </c>
    </row>
    <row r="800" spans="1:47" x14ac:dyDescent="0.3">
      <c r="A800" s="3">
        <f ca="1"/>
        <v>2346826</v>
      </c>
      <c r="B800" s="3" t="str">
        <f ca="1"/>
        <v>CZECH NEWS CENTER a. s.</v>
      </c>
      <c r="C800" s="3" t="str">
        <f ca="1">IFERROR(__xludf.DUMMYFUNCTION("""COMPUTED_VALUE"""),"Mobilmania")</f>
        <v>Mobilmania</v>
      </c>
      <c r="D800" s="4" t="str">
        <f ca="1">IFERROR(__xludf.DUMMYFUNCTION("""COMPUTED_VALUE"""),"https://mobilmania.cz")</f>
        <v>https://mobilmania.cz</v>
      </c>
      <c r="E800" s="3" t="str">
        <f ca="1">IFERROR(__xludf.DUMMYFUNCTION("""COMPUTED_VALUE"""),"celý web")</f>
        <v>celý web</v>
      </c>
      <c r="F800" s="4" t="str">
        <f ca="1">IFERROR(__xludf.DUMMYFUNCTION("""COMPUTED_VALUE"""),"https://mobilmania.cz")</f>
        <v>https://mobilmania.cz</v>
      </c>
      <c r="G800" s="3" t="str">
        <f ca="1">IFERROR(__xludf.DUMMYFUNCTION("""COMPUTED_VALUE"""),"cílený nativní pr premium high season")</f>
        <v>cílený nativní pr premium high season</v>
      </c>
      <c r="H800" s="3">
        <f ca="1">IFERROR(__xludf.DUMMYFUNCTION("""COMPUTED_VALUE"""),7)</f>
        <v>7</v>
      </c>
      <c r="I800" s="5">
        <f ca="1">IFERROR(__xludf.DUMMYFUNCTION("""COMPUTED_VALUE"""),1000)</f>
        <v>1000</v>
      </c>
      <c r="J800" s="5">
        <f ca="1">IFERROR(__xludf.DUMMYFUNCTION("""COMPUTED_VALUE"""),216)</f>
        <v>216</v>
      </c>
      <c r="K800" s="3"/>
      <c r="L800" s="3" t="str">
        <f ca="1">IFERROR(__xludf.DUMMYFUNCTION("""COMPUTED_VALUE"""),"Cost per period")</f>
        <v>Cost per period</v>
      </c>
      <c r="M800" s="3"/>
      <c r="N800" s="3"/>
      <c r="O800" s="3" t="str">
        <f ca="1">IFERROR(__xludf.DUMMYFUNCTION("""COMPUTED_VALUE"""),"640")</f>
        <v>640</v>
      </c>
      <c r="P800" s="3" t="str">
        <f ca="1">IFERROR(__xludf.DUMMYFUNCTION("""COMPUTED_VALUE"""),"335, 640")</f>
        <v>335, 640</v>
      </c>
      <c r="Q800" s="3" t="str">
        <f ca="1">IFERROR(__xludf.DUMMYFUNCTION("""COMPUTED_VALUE"""),"640x640 a 640x335 + text + logo")</f>
        <v>640x640 a 640x335 + text + logo</v>
      </c>
      <c r="R800" s="3" t="str">
        <f ca="1">IFERROR(__xludf.DUMMYFUNCTION("""COMPUTED_VALUE"""),"detailní specifikace na URL odkaze")</f>
        <v>detailní specifikace na URL odkaze</v>
      </c>
      <c r="S800" s="3" t="str">
        <f ca="1">IFERROR(__xludf.DUMMYFUNCTION("""COMPUTED_VALUE"""),"100")</f>
        <v>100</v>
      </c>
      <c r="T800" s="3"/>
      <c r="U800" s="3" t="str">
        <f ca="1">IFERROR(__xludf.DUMMYFUNCTION("""COMPUTED_VALUE"""),"nativní reklama")</f>
        <v>nativní reklama</v>
      </c>
      <c r="V800" s="3"/>
      <c r="W800" s="4" t="str">
        <f ca="1">IFERROR(__xludf.DUMMYFUNCTION("""COMPUTED_VALUE"""),"https://reklama.cncenter.cz/Online/nativni-PR-premium")</f>
        <v>https://reklama.cncenter.cz/Online/nativni-PR-premium</v>
      </c>
      <c r="X800" s="3"/>
      <c r="Y800" s="3"/>
      <c r="Z800" s="3" t="str">
        <f ca="1">IFERROR(__xludf.DUMMYFUNCTION("""COMPUTED_VALUE"""),"podklady@cncenter.cz")</f>
        <v>podklady@cncenter.cz</v>
      </c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 t="str">
        <f ca="1">IFERROR(__xludf.DUMMYFUNCTION("""COMPUTED_VALUE"""),"cross-device")</f>
        <v>cross-device</v>
      </c>
      <c r="AO800" s="3"/>
      <c r="AP800" s="3"/>
      <c r="AQ800" s="3"/>
      <c r="AR800" s="3"/>
      <c r="AS800" s="3"/>
      <c r="AT800" s="3"/>
      <c r="AU800" s="3" t="str">
        <f ca="1">IFERROR(__xludf.DUMMYFUNCTION("""COMPUTED_VALUE"""),"cílený nativní pr premium")</f>
        <v>cílený nativní pr premium</v>
      </c>
    </row>
    <row r="801" spans="1:47" x14ac:dyDescent="0.3">
      <c r="A801" s="3">
        <f ca="1"/>
        <v>2346826</v>
      </c>
      <c r="B801" s="3" t="str">
        <f ca="1"/>
        <v>CZECH NEWS CENTER a. s.</v>
      </c>
      <c r="C801" s="3" t="str">
        <f ca="1">IFERROR(__xludf.DUMMYFUNCTION("""COMPUTED_VALUE"""),"Mobilmania")</f>
        <v>Mobilmania</v>
      </c>
      <c r="D801" s="4" t="str">
        <f ca="1">IFERROR(__xludf.DUMMYFUNCTION("""COMPUTED_VALUE"""),"https://mobilmania.cz")</f>
        <v>https://mobilmania.cz</v>
      </c>
      <c r="E801" s="3" t="str">
        <f ca="1">IFERROR(__xludf.DUMMYFUNCTION("""COMPUTED_VALUE"""),"celý web")</f>
        <v>celý web</v>
      </c>
      <c r="F801" s="4" t="str">
        <f ca="1">IFERROR(__xludf.DUMMYFUNCTION("""COMPUTED_VALUE"""),"https://mobilmania.cz")</f>
        <v>https://mobilmania.cz</v>
      </c>
      <c r="G801" s="3" t="str">
        <f ca="1">IFERROR(__xludf.DUMMYFUNCTION("""COMPUTED_VALUE"""),"cílený nativní rectangle cross-device high season")</f>
        <v>cílený nativní rectangle cross-device high season</v>
      </c>
      <c r="H801" s="3">
        <f ca="1">IFERROR(__xludf.DUMMYFUNCTION("""COMPUTED_VALUE"""),7)</f>
        <v>7</v>
      </c>
      <c r="I801" s="5">
        <f ca="1">IFERROR(__xludf.DUMMYFUNCTION("""COMPUTED_VALUE"""),1000)</f>
        <v>1000</v>
      </c>
      <c r="J801" s="5">
        <f ca="1">IFERROR(__xludf.DUMMYFUNCTION("""COMPUTED_VALUE"""),432)</f>
        <v>432</v>
      </c>
      <c r="K801" s="3"/>
      <c r="L801" s="3" t="str">
        <f ca="1">IFERROR(__xludf.DUMMYFUNCTION("""COMPUTED_VALUE"""),"Cost per period")</f>
        <v>Cost per period</v>
      </c>
      <c r="M801" s="3"/>
      <c r="N801" s="3"/>
      <c r="O801" s="3" t="str">
        <f ca="1">IFERROR(__xludf.DUMMYFUNCTION("""COMPUTED_VALUE"""),"640")</f>
        <v>640</v>
      </c>
      <c r="P801" s="3" t="str">
        <f ca="1">IFERROR(__xludf.DUMMYFUNCTION("""COMPUTED_VALUE"""),"335, 640")</f>
        <v>335, 640</v>
      </c>
      <c r="Q801" s="3" t="str">
        <f ca="1">IFERROR(__xludf.DUMMYFUNCTION("""COMPUTED_VALUE"""),"640x640 a 640x335 + text + logo")</f>
        <v>640x640 a 640x335 + text + logo</v>
      </c>
      <c r="R801" s="3"/>
      <c r="S801" s="3" t="str">
        <f ca="1">IFERROR(__xludf.DUMMYFUNCTION("""COMPUTED_VALUE"""),"45")</f>
        <v>45</v>
      </c>
      <c r="T801" s="3"/>
      <c r="U801" s="3" t="str">
        <f ca="1">IFERROR(__xludf.DUMMYFUNCTION("""COMPUTED_VALUE"""),"nativní reklama")</f>
        <v>nativní reklama</v>
      </c>
      <c r="V801" s="3"/>
      <c r="W801" s="4" t="str">
        <f ca="1">IFERROR(__xludf.DUMMYFUNCTION("""COMPUTED_VALUE"""),"https://reklama.cncenter.cz/Online/nativni-rectangle-cross-device")</f>
        <v>https://reklama.cncenter.cz/Online/nativni-rectangle-cross-device</v>
      </c>
      <c r="X801" s="3"/>
      <c r="Y801" s="3"/>
      <c r="Z801" s="3" t="str">
        <f ca="1">IFERROR(__xludf.DUMMYFUNCTION("""COMPUTED_VALUE"""),"podklady@cncenter.cz")</f>
        <v>podklady@cncenter.cz</v>
      </c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 t="str">
        <f ca="1">IFERROR(__xludf.DUMMYFUNCTION("""COMPUTED_VALUE"""),"cross-device")</f>
        <v>cross-device</v>
      </c>
      <c r="AO801" s="3"/>
      <c r="AP801" s="3"/>
      <c r="AQ801" s="3"/>
      <c r="AR801" s="3"/>
      <c r="AS801" s="3"/>
      <c r="AT801" s="3"/>
      <c r="AU801" s="3" t="str">
        <f ca="1">IFERROR(__xludf.DUMMYFUNCTION("""COMPUTED_VALUE"""),"cílený nativní rectangle cross-device")</f>
        <v>cílený nativní rectangle cross-device</v>
      </c>
    </row>
    <row r="802" spans="1:47" x14ac:dyDescent="0.3">
      <c r="A802" s="3">
        <f ca="1"/>
        <v>2346826</v>
      </c>
      <c r="B802" s="3" t="str">
        <f ca="1"/>
        <v>CZECH NEWS CENTER a. s.</v>
      </c>
      <c r="C802" s="3" t="str">
        <f ca="1">IFERROR(__xludf.DUMMYFUNCTION("""COMPUTED_VALUE"""),"Mobilmania")</f>
        <v>Mobilmania</v>
      </c>
      <c r="D802" s="4" t="str">
        <f ca="1">IFERROR(__xludf.DUMMYFUNCTION("""COMPUTED_VALUE"""),"https://mobilmania.cz")</f>
        <v>https://mobilmania.cz</v>
      </c>
      <c r="E802" s="3" t="str">
        <f ca="1">IFERROR(__xludf.DUMMYFUNCTION("""COMPUTED_VALUE"""),"celý web")</f>
        <v>celý web</v>
      </c>
      <c r="F802" s="4" t="str">
        <f ca="1">IFERROR(__xludf.DUMMYFUNCTION("""COMPUTED_VALUE"""),"https://mobilmania.cz")</f>
        <v>https://mobilmania.cz</v>
      </c>
      <c r="G802" s="3" t="str">
        <f ca="1">IFERROR(__xludf.DUMMYFUNCTION("""COMPUTED_VALUE"""),"cílený outstream high season")</f>
        <v>cílený outstream high season</v>
      </c>
      <c r="H802" s="3">
        <f ca="1">IFERROR(__xludf.DUMMYFUNCTION("""COMPUTED_VALUE"""),7)</f>
        <v>7</v>
      </c>
      <c r="I802" s="5">
        <f ca="1">IFERROR(__xludf.DUMMYFUNCTION("""COMPUTED_VALUE"""),1000)</f>
        <v>1000</v>
      </c>
      <c r="J802" s="5">
        <f ca="1">IFERROR(__xludf.DUMMYFUNCTION("""COMPUTED_VALUE"""),540)</f>
        <v>540</v>
      </c>
      <c r="K802" s="3"/>
      <c r="L802" s="3" t="str">
        <f ca="1">IFERROR(__xludf.DUMMYFUNCTION("""COMPUTED_VALUE"""),"Cost per period")</f>
        <v>Cost per period</v>
      </c>
      <c r="M802" s="3"/>
      <c r="N802" s="3"/>
      <c r="O802" s="3" t="str">
        <f ca="1">IFERROR(__xludf.DUMMYFUNCTION("""COMPUTED_VALUE"""),"1280")</f>
        <v>1280</v>
      </c>
      <c r="P802" s="3" t="str">
        <f ca="1">IFERROR(__xludf.DUMMYFUNCTION("""COMPUTED_VALUE"""),"720")</f>
        <v>720</v>
      </c>
      <c r="Q802" s="3" t="str">
        <f ca="1">IFERROR(__xludf.DUMMYFUNCTION("""COMPUTED_VALUE"""),"16:9")</f>
        <v>16:9</v>
      </c>
      <c r="R802" s="3"/>
      <c r="S802" s="3" t="str">
        <f ca="1">IFERROR(__xludf.DUMMYFUNCTION("""COMPUTED_VALUE"""),"100")</f>
        <v>100</v>
      </c>
      <c r="T802" s="3"/>
      <c r="U802" s="3" t="str">
        <f ca="1">IFERROR(__xludf.DUMMYFUNCTION("""COMPUTED_VALUE"""),"videospot")</f>
        <v>videospot</v>
      </c>
      <c r="V802" s="3"/>
      <c r="W802" s="4" t="str">
        <f ca="1">IFERROR(__xludf.DUMMYFUNCTION("""COMPUTED_VALUE"""),"https://reklama.cncenter.cz/Online/Outstream")</f>
        <v>https://reklama.cncenter.cz/Online/Outstream</v>
      </c>
      <c r="X802" s="3"/>
      <c r="Y802" s="3"/>
      <c r="Z802" s="3" t="str">
        <f ca="1">IFERROR(__xludf.DUMMYFUNCTION("""COMPUTED_VALUE"""),"podklady@cncenter.cz")</f>
        <v>podklady@cncenter.cz</v>
      </c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 t="str">
        <f ca="1">IFERROR(__xludf.DUMMYFUNCTION("""COMPUTED_VALUE"""),"cross-device")</f>
        <v>cross-device</v>
      </c>
      <c r="AO802" s="3"/>
      <c r="AP802" s="3"/>
      <c r="AQ802" s="3"/>
      <c r="AR802" s="3"/>
      <c r="AS802" s="3"/>
      <c r="AT802" s="3"/>
      <c r="AU802" s="3" t="str">
        <f ca="1">IFERROR(__xludf.DUMMYFUNCTION("""COMPUTED_VALUE"""),"cílený outstream")</f>
        <v>cílený outstream</v>
      </c>
    </row>
    <row r="803" spans="1:47" x14ac:dyDescent="0.3">
      <c r="A803" s="3">
        <f ca="1"/>
        <v>2346826</v>
      </c>
      <c r="B803" s="3" t="str">
        <f ca="1"/>
        <v>CZECH NEWS CENTER a. s.</v>
      </c>
      <c r="C803" s="3" t="str">
        <f ca="1">IFERROR(__xludf.DUMMYFUNCTION("""COMPUTED_VALUE"""),"Mobilmania")</f>
        <v>Mobilmania</v>
      </c>
      <c r="D803" s="4" t="str">
        <f ca="1">IFERROR(__xludf.DUMMYFUNCTION("""COMPUTED_VALUE"""),"https://mobilmania.cz")</f>
        <v>https://mobilmania.cz</v>
      </c>
      <c r="E803" s="3" t="str">
        <f ca="1">IFERROR(__xludf.DUMMYFUNCTION("""COMPUTED_VALUE"""),"celý web")</f>
        <v>celý web</v>
      </c>
      <c r="F803" s="4" t="str">
        <f ca="1">IFERROR(__xludf.DUMMYFUNCTION("""COMPUTED_VALUE"""),"https://mobilmania.cz")</f>
        <v>https://mobilmania.cz</v>
      </c>
      <c r="G803" s="3" t="str">
        <f ca="1">IFERROR(__xludf.DUMMYFUNCTION("""COMPUTED_VALUE"""),"cílený videospot - max. 30 sec. / bumper high season")</f>
        <v>cílený videospot - max. 30 sec. / bumper high season</v>
      </c>
      <c r="H803" s="3">
        <f ca="1">IFERROR(__xludf.DUMMYFUNCTION("""COMPUTED_VALUE"""),7)</f>
        <v>7</v>
      </c>
      <c r="I803" s="5">
        <f ca="1">IFERROR(__xludf.DUMMYFUNCTION("""COMPUTED_VALUE"""),1000)</f>
        <v>1000</v>
      </c>
      <c r="J803" s="5">
        <f ca="1">IFERROR(__xludf.DUMMYFUNCTION("""COMPUTED_VALUE"""),1608)</f>
        <v>1608</v>
      </c>
      <c r="K803" s="3"/>
      <c r="L803" s="3" t="str">
        <f ca="1">IFERROR(__xludf.DUMMYFUNCTION("""COMPUTED_VALUE"""),"Cost per period")</f>
        <v>Cost per period</v>
      </c>
      <c r="M803" s="3"/>
      <c r="N803" s="3"/>
      <c r="O803" s="3" t="str">
        <f ca="1">IFERROR(__xludf.DUMMYFUNCTION("""COMPUTED_VALUE"""),"1280")</f>
        <v>1280</v>
      </c>
      <c r="P803" s="3" t="str">
        <f ca="1">IFERROR(__xludf.DUMMYFUNCTION("""COMPUTED_VALUE"""),"720")</f>
        <v>720</v>
      </c>
      <c r="Q803" s="3" t="str">
        <f ca="1">IFERROR(__xludf.DUMMYFUNCTION("""COMPUTED_VALUE"""),"16:9 / umístění po domluvě dle možností")</f>
        <v>16:9 / umístění po domluvě dle možností</v>
      </c>
      <c r="R803" s="3" t="str">
        <f ca="1">IFERROR(__xludf.DUMMYFUNCTION("""COMPUTED_VALUE"""),"přeskočení po 7 sekundách")</f>
        <v>přeskočení po 7 sekundách</v>
      </c>
      <c r="S803" s="3" t="str">
        <f ca="1">IFERROR(__xludf.DUMMYFUNCTION("""COMPUTED_VALUE"""),"100")</f>
        <v>100</v>
      </c>
      <c r="T803" s="3"/>
      <c r="U803" s="3" t="str">
        <f ca="1">IFERROR(__xludf.DUMMYFUNCTION("""COMPUTED_VALUE"""),"videospot")</f>
        <v>videospot</v>
      </c>
      <c r="V803" s="3"/>
      <c r="W803" s="4" t="str">
        <f ca="1">IFERROR(__xludf.DUMMYFUNCTION("""COMPUTED_VALUE"""),"https://reklama.cncenter.cz/Online/Bumper")</f>
        <v>https://reklama.cncenter.cz/Online/Bumper</v>
      </c>
      <c r="X803" s="3"/>
      <c r="Y803" s="3"/>
      <c r="Z803" s="3" t="str">
        <f ca="1">IFERROR(__xludf.DUMMYFUNCTION("""COMPUTED_VALUE"""),"podklady@cncenter.cz")</f>
        <v>podklady@cncenter.cz</v>
      </c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 t="str">
        <f ca="1">IFERROR(__xludf.DUMMYFUNCTION("""COMPUTED_VALUE"""),"cross-device")</f>
        <v>cross-device</v>
      </c>
      <c r="AO803" s="3"/>
      <c r="AP803" s="3"/>
      <c r="AQ803" s="3"/>
      <c r="AR803" s="3"/>
      <c r="AS803" s="3"/>
      <c r="AT803" s="3"/>
      <c r="AU803" s="3" t="str">
        <f ca="1">IFERROR(__xludf.DUMMYFUNCTION("""COMPUTED_VALUE"""),"cílený videospot - max. 30 sec. / bumper")</f>
        <v>cílený videospot - max. 30 sec. / bumper</v>
      </c>
    </row>
    <row r="804" spans="1:47" x14ac:dyDescent="0.3">
      <c r="A804" s="3">
        <f ca="1"/>
        <v>2346826</v>
      </c>
      <c r="B804" s="3" t="str">
        <f ca="1"/>
        <v>CZECH NEWS CENTER a. s.</v>
      </c>
      <c r="C804" s="3" t="str">
        <f ca="1">IFERROR(__xludf.DUMMYFUNCTION("""COMPUTED_VALUE"""),"Mobilmania")</f>
        <v>Mobilmania</v>
      </c>
      <c r="D804" s="4" t="str">
        <f ca="1">IFERROR(__xludf.DUMMYFUNCTION("""COMPUTED_VALUE"""),"https://mobilmania.cz")</f>
        <v>https://mobilmania.cz</v>
      </c>
      <c r="E804" s="3" t="str">
        <f ca="1">IFERROR(__xludf.DUMMYFUNCTION("""COMPUTED_VALUE"""),"celý web")</f>
        <v>celý web</v>
      </c>
      <c r="F804" s="4" t="str">
        <f ca="1">IFERROR(__xludf.DUMMYFUNCTION("""COMPUTED_VALUE"""),"https://mobilmania.cz")</f>
        <v>https://mobilmania.cz</v>
      </c>
      <c r="G804" s="3" t="str">
        <f ca="1">IFERROR(__xludf.DUMMYFUNCTION("""COMPUTED_VALUE"""),"dokoupení proma o 2 týdny - 10 000 PV *** high season")</f>
        <v>dokoupení proma o 2 týdny - 10 000 PV *** high season</v>
      </c>
      <c r="H804" s="3">
        <f ca="1">IFERROR(__xludf.DUMMYFUNCTION("""COMPUTED_VALUE"""),1)</f>
        <v>1</v>
      </c>
      <c r="I804" s="5">
        <f ca="1">IFERROR(__xludf.DUMMYFUNCTION("""COMPUTED_VALUE"""),1)</f>
        <v>1</v>
      </c>
      <c r="J804" s="5">
        <f ca="1">IFERROR(__xludf.DUMMYFUNCTION("""COMPUTED_VALUE"""),60000)</f>
        <v>60000</v>
      </c>
      <c r="K804" s="3"/>
      <c r="L804" s="3" t="str">
        <f ca="1">IFERROR(__xludf.DUMMYFUNCTION("""COMPUTED_VALUE"""),"Cost per instance")</f>
        <v>Cost per instance</v>
      </c>
      <c r="M804" s="3"/>
      <c r="N804" s="3"/>
      <c r="O804" s="3"/>
      <c r="P804" s="3"/>
      <c r="Q804" s="3"/>
      <c r="R804" s="3"/>
      <c r="S804" s="3" t="str">
        <f ca="1">IFERROR(__xludf.DUMMYFUNCTION("""COMPUTED_VALUE"""),"100")</f>
        <v>100</v>
      </c>
      <c r="T804" s="3"/>
      <c r="U804" s="3" t="str">
        <f ca="1">IFERROR(__xludf.DUMMYFUNCTION("""COMPUTED_VALUE"""),"microsite")</f>
        <v>microsite</v>
      </c>
      <c r="V804" s="3"/>
      <c r="W804" s="3"/>
      <c r="X804" s="3"/>
      <c r="Y804" s="3"/>
      <c r="Z804" s="3" t="str">
        <f ca="1">IFERROR(__xludf.DUMMYFUNCTION("""COMPUTED_VALUE"""),"podklady@cncenter.cz")</f>
        <v>podklady@cncenter.cz</v>
      </c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 t="str">
        <f ca="1">IFERROR(__xludf.DUMMYFUNCTION("""COMPUTED_VALUE"""),"cross-device")</f>
        <v>cross-device</v>
      </c>
      <c r="AO804" s="3"/>
      <c r="AP804" s="3"/>
      <c r="AQ804" s="3"/>
      <c r="AR804" s="3"/>
      <c r="AS804" s="3"/>
      <c r="AT804" s="3"/>
      <c r="AU804" s="3" t="str">
        <f ca="1">IFERROR(__xludf.DUMMYFUNCTION("""COMPUTED_VALUE"""),"dokoupení proma o 2 týdny - 10 000 PV ***")</f>
        <v>dokoupení proma o 2 týdny - 10 000 PV ***</v>
      </c>
    </row>
    <row r="805" spans="1:47" x14ac:dyDescent="0.3">
      <c r="A805" s="3">
        <f ca="1"/>
        <v>2346826</v>
      </c>
      <c r="B805" s="3" t="str">
        <f ca="1"/>
        <v>CZECH NEWS CENTER a. s.</v>
      </c>
      <c r="C805" s="3" t="str">
        <f ca="1">IFERROR(__xludf.DUMMYFUNCTION("""COMPUTED_VALUE"""),"Mobilmania")</f>
        <v>Mobilmania</v>
      </c>
      <c r="D805" s="4" t="str">
        <f ca="1">IFERROR(__xludf.DUMMYFUNCTION("""COMPUTED_VALUE"""),"https://mobilmania.cz")</f>
        <v>https://mobilmania.cz</v>
      </c>
      <c r="E805" s="3" t="str">
        <f ca="1">IFERROR(__xludf.DUMMYFUNCTION("""COMPUTED_VALUE"""),"celý web")</f>
        <v>celý web</v>
      </c>
      <c r="F805" s="4" t="str">
        <f ca="1">IFERROR(__xludf.DUMMYFUNCTION("""COMPUTED_VALUE"""),"https://mobilmania.cz")</f>
        <v>https://mobilmania.cz</v>
      </c>
      <c r="G805" s="3" t="str">
        <f ca="1">IFERROR(__xludf.DUMMYFUNCTION("""COMPUTED_VALUE"""),"double skyscraper high season")</f>
        <v>double skyscraper high season</v>
      </c>
      <c r="H805" s="3">
        <f ca="1">IFERROR(__xludf.DUMMYFUNCTION("""COMPUTED_VALUE"""),7)</f>
        <v>7</v>
      </c>
      <c r="I805" s="5">
        <f ca="1">IFERROR(__xludf.DUMMYFUNCTION("""COMPUTED_VALUE"""),1000)</f>
        <v>1000</v>
      </c>
      <c r="J805" s="5">
        <f ca="1">IFERROR(__xludf.DUMMYFUNCTION("""COMPUTED_VALUE"""),350)</f>
        <v>350</v>
      </c>
      <c r="K805" s="3"/>
      <c r="L805" s="3" t="str">
        <f ca="1">IFERROR(__xludf.DUMMYFUNCTION("""COMPUTED_VALUE"""),"Cost per period")</f>
        <v>Cost per period</v>
      </c>
      <c r="M805" s="3"/>
      <c r="N805" s="3"/>
      <c r="O805" s="3" t="str">
        <f ca="1">IFERROR(__xludf.DUMMYFUNCTION("""COMPUTED_VALUE"""),"300")</f>
        <v>300</v>
      </c>
      <c r="P805" s="3" t="str">
        <f ca="1">IFERROR(__xludf.DUMMYFUNCTION("""COMPUTED_VALUE"""),"600")</f>
        <v>600</v>
      </c>
      <c r="Q805" s="3" t="str">
        <f ca="1">IFERROR(__xludf.DUMMYFUNCTION("""COMPUTED_VALUE"""),"300x600")</f>
        <v>300x600</v>
      </c>
      <c r="R805" s="3"/>
      <c r="S805" s="3" t="str">
        <f ca="1">IFERROR(__xludf.DUMMYFUNCTION("""COMPUTED_VALUE"""),"100 (200 - HTML5)")</f>
        <v>100 (200 - HTML5)</v>
      </c>
      <c r="T805" s="3"/>
      <c r="U805" s="3" t="str">
        <f ca="1">IFERROR(__xludf.DUMMYFUNCTION("""COMPUTED_VALUE"""),"banner standard")</f>
        <v>banner standard</v>
      </c>
      <c r="V805" s="3"/>
      <c r="W805" s="4" t="str">
        <f ca="1">IFERROR(__xludf.DUMMYFUNCTION("""COMPUTED_VALUE"""),"https://reklama.cncenter.cz/Online/double-skyscraper")</f>
        <v>https://reklama.cncenter.cz/Online/double-skyscraper</v>
      </c>
      <c r="X805" s="3"/>
      <c r="Y805" s="3"/>
      <c r="Z805" s="3" t="str">
        <f ca="1">IFERROR(__xludf.DUMMYFUNCTION("""COMPUTED_VALUE"""),"podklady@cncenter.cz")</f>
        <v>podklady@cncenter.cz</v>
      </c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 t="str">
        <f ca="1">IFERROR(__xludf.DUMMYFUNCTION("""COMPUTED_VALUE"""),"desktop")</f>
        <v>desktop</v>
      </c>
      <c r="AO805" s="3"/>
      <c r="AP805" s="3"/>
      <c r="AQ805" s="3"/>
      <c r="AR805" s="3"/>
      <c r="AS805" s="3"/>
      <c r="AT805" s="3"/>
      <c r="AU805" s="3" t="str">
        <f ca="1">IFERROR(__xludf.DUMMYFUNCTION("""COMPUTED_VALUE"""),"double skyscraper")</f>
        <v>double skyscraper</v>
      </c>
    </row>
    <row r="806" spans="1:47" x14ac:dyDescent="0.3">
      <c r="A806" s="3">
        <f ca="1"/>
        <v>2346826</v>
      </c>
      <c r="B806" s="3" t="str">
        <f ca="1"/>
        <v>CZECH NEWS CENTER a. s.</v>
      </c>
      <c r="C806" s="3" t="str">
        <f ca="1">IFERROR(__xludf.DUMMYFUNCTION("""COMPUTED_VALUE"""),"Mobilmania")</f>
        <v>Mobilmania</v>
      </c>
      <c r="D806" s="4" t="str">
        <f ca="1">IFERROR(__xludf.DUMMYFUNCTION("""COMPUTED_VALUE"""),"https://mobilmania.cz")</f>
        <v>https://mobilmania.cz</v>
      </c>
      <c r="E806" s="3" t="str">
        <f ca="1">IFERROR(__xludf.DUMMYFUNCTION("""COMPUTED_VALUE"""),"celý web")</f>
        <v>celý web</v>
      </c>
      <c r="F806" s="4" t="str">
        <f ca="1">IFERROR(__xludf.DUMMYFUNCTION("""COMPUTED_VALUE"""),"https://mobilmania.cz")</f>
        <v>https://mobilmania.cz</v>
      </c>
      <c r="G806" s="3" t="str">
        <f ca="1">IFERROR(__xludf.DUMMYFUNCTION("""COMPUTED_VALUE"""),"mobilní interscroller high season")</f>
        <v>mobilní interscroller high season</v>
      </c>
      <c r="H806" s="3">
        <f ca="1">IFERROR(__xludf.DUMMYFUNCTION("""COMPUTED_VALUE"""),7)</f>
        <v>7</v>
      </c>
      <c r="I806" s="5">
        <f ca="1">IFERROR(__xludf.DUMMYFUNCTION("""COMPUTED_VALUE"""),1000)</f>
        <v>1000</v>
      </c>
      <c r="J806" s="5">
        <f ca="1">IFERROR(__xludf.DUMMYFUNCTION("""COMPUTED_VALUE"""),450)</f>
        <v>450</v>
      </c>
      <c r="K806" s="3"/>
      <c r="L806" s="3" t="str">
        <f ca="1">IFERROR(__xludf.DUMMYFUNCTION("""COMPUTED_VALUE"""),"Cost per period")</f>
        <v>Cost per period</v>
      </c>
      <c r="M806" s="3"/>
      <c r="N806" s="3"/>
      <c r="O806" s="3" t="str">
        <f ca="1">IFERROR(__xludf.DUMMYFUNCTION("""COMPUTED_VALUE"""),"600")</f>
        <v>600</v>
      </c>
      <c r="P806" s="3" t="str">
        <f ca="1">IFERROR(__xludf.DUMMYFUNCTION("""COMPUTED_VALUE"""),"1080")</f>
        <v>1080</v>
      </c>
      <c r="Q806" s="3" t="str">
        <f ca="1">IFERROR(__xludf.DUMMYFUNCTION("""COMPUTED_VALUE"""),"600x1080")</f>
        <v>600x1080</v>
      </c>
      <c r="R806" s="3"/>
      <c r="S806" s="3" t="str">
        <f ca="1">IFERROR(__xludf.DUMMYFUNCTION("""COMPUTED_VALUE"""),"200")</f>
        <v>200</v>
      </c>
      <c r="T806" s="3"/>
      <c r="U806" s="3" t="str">
        <f ca="1">IFERROR(__xludf.DUMMYFUNCTION("""COMPUTED_VALUE"""),"banner standard")</f>
        <v>banner standard</v>
      </c>
      <c r="V806" s="3"/>
      <c r="W806" s="4" t="str">
        <f ca="1">IFERROR(__xludf.DUMMYFUNCTION("""COMPUTED_VALUE"""),"https://reklama.cncenter.cz/Online/mobilni-interscroller")</f>
        <v>https://reklama.cncenter.cz/Online/mobilni-interscroller</v>
      </c>
      <c r="X806" s="3"/>
      <c r="Y806" s="3"/>
      <c r="Z806" s="3" t="str">
        <f ca="1">IFERROR(__xludf.DUMMYFUNCTION("""COMPUTED_VALUE"""),"podklady@cncenter.cz")</f>
        <v>podklady@cncenter.cz</v>
      </c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 t="str">
        <f ca="1">IFERROR(__xludf.DUMMYFUNCTION("""COMPUTED_VALUE"""),"mobile")</f>
        <v>mobile</v>
      </c>
      <c r="AO806" s="3"/>
      <c r="AP806" s="3"/>
      <c r="AQ806" s="3"/>
      <c r="AR806" s="3"/>
      <c r="AS806" s="3"/>
      <c r="AT806" s="3"/>
      <c r="AU806" s="3" t="str">
        <f ca="1">IFERROR(__xludf.DUMMYFUNCTION("""COMPUTED_VALUE"""),"mobilní interscroller")</f>
        <v>mobilní interscroller</v>
      </c>
    </row>
    <row r="807" spans="1:47" x14ac:dyDescent="0.3">
      <c r="A807" s="3">
        <f ca="1"/>
        <v>2346826</v>
      </c>
      <c r="B807" s="3" t="str">
        <f ca="1"/>
        <v>CZECH NEWS CENTER a. s.</v>
      </c>
      <c r="C807" s="3" t="str">
        <f ca="1">IFERROR(__xludf.DUMMYFUNCTION("""COMPUTED_VALUE"""),"Mobilmania")</f>
        <v>Mobilmania</v>
      </c>
      <c r="D807" s="4" t="str">
        <f ca="1">IFERROR(__xludf.DUMMYFUNCTION("""COMPUTED_VALUE"""),"https://mobilmania.cz")</f>
        <v>https://mobilmania.cz</v>
      </c>
      <c r="E807" s="3" t="str">
        <f ca="1">IFERROR(__xludf.DUMMYFUNCTION("""COMPUTED_VALUE"""),"celý web")</f>
        <v>celý web</v>
      </c>
      <c r="F807" s="4" t="str">
        <f ca="1">IFERROR(__xludf.DUMMYFUNCTION("""COMPUTED_VALUE"""),"https://mobilmania.cz")</f>
        <v>https://mobilmania.cz</v>
      </c>
      <c r="G807" s="3" t="str">
        <f ca="1">IFERROR(__xludf.DUMMYFUNCTION("""COMPUTED_VALUE"""),"mobilní slide-up high season")</f>
        <v>mobilní slide-up high season</v>
      </c>
      <c r="H807" s="3">
        <f ca="1">IFERROR(__xludf.DUMMYFUNCTION("""COMPUTED_VALUE"""),7)</f>
        <v>7</v>
      </c>
      <c r="I807" s="5">
        <f ca="1">IFERROR(__xludf.DUMMYFUNCTION("""COMPUTED_VALUE"""),1000)</f>
        <v>1000</v>
      </c>
      <c r="J807" s="5">
        <f ca="1">IFERROR(__xludf.DUMMYFUNCTION("""COMPUTED_VALUE"""),920)</f>
        <v>920</v>
      </c>
      <c r="K807" s="3"/>
      <c r="L807" s="3" t="str">
        <f ca="1">IFERROR(__xludf.DUMMYFUNCTION("""COMPUTED_VALUE"""),"Cost per period")</f>
        <v>Cost per period</v>
      </c>
      <c r="M807" s="3"/>
      <c r="N807" s="3"/>
      <c r="O807" s="3" t="str">
        <f ca="1">IFERROR(__xludf.DUMMYFUNCTION("""COMPUTED_VALUE"""),"300")</f>
        <v>300</v>
      </c>
      <c r="P807" s="3" t="str">
        <f ca="1">IFERROR(__xludf.DUMMYFUNCTION("""COMPUTED_VALUE"""),"120")</f>
        <v>120</v>
      </c>
      <c r="Q807" s="3" t="str">
        <f ca="1">IFERROR(__xludf.DUMMYFUNCTION("""COMPUTED_VALUE"""),"300x120")</f>
        <v>300x120</v>
      </c>
      <c r="R807" s="3"/>
      <c r="S807" s="3" t="str">
        <f ca="1">IFERROR(__xludf.DUMMYFUNCTION("""COMPUTED_VALUE"""),"100")</f>
        <v>100</v>
      </c>
      <c r="T807" s="3"/>
      <c r="U807" s="3" t="str">
        <f ca="1">IFERROR(__xludf.DUMMYFUNCTION("""COMPUTED_VALUE"""),"banner standard")</f>
        <v>banner standard</v>
      </c>
      <c r="V807" s="3"/>
      <c r="W807" s="4" t="str">
        <f ca="1">IFERROR(__xludf.DUMMYFUNCTION("""COMPUTED_VALUE"""),"https://reklama.cncenter.cz/Online/mobilni-slide-up")</f>
        <v>https://reklama.cncenter.cz/Online/mobilni-slide-up</v>
      </c>
      <c r="X807" s="3"/>
      <c r="Y807" s="3"/>
      <c r="Z807" s="3" t="str">
        <f ca="1">IFERROR(__xludf.DUMMYFUNCTION("""COMPUTED_VALUE"""),"podklady@cncenter.cz")</f>
        <v>podklady@cncenter.cz</v>
      </c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 t="str">
        <f ca="1">IFERROR(__xludf.DUMMYFUNCTION("""COMPUTED_VALUE"""),"mobile")</f>
        <v>mobile</v>
      </c>
      <c r="AO807" s="3"/>
      <c r="AP807" s="3"/>
      <c r="AQ807" s="3"/>
      <c r="AR807" s="3"/>
      <c r="AS807" s="3"/>
      <c r="AT807" s="3"/>
      <c r="AU807" s="3" t="str">
        <f ca="1">IFERROR(__xludf.DUMMYFUNCTION("""COMPUTED_VALUE"""),"mobilní slide-up")</f>
        <v>mobilní slide-up</v>
      </c>
    </row>
    <row r="808" spans="1:47" x14ac:dyDescent="0.3">
      <c r="A808" s="3">
        <f ca="1"/>
        <v>2346826</v>
      </c>
      <c r="B808" s="3" t="str">
        <f ca="1"/>
        <v>CZECH NEWS CENTER a. s.</v>
      </c>
      <c r="C808" s="3" t="str">
        <f ca="1">IFERROR(__xludf.DUMMYFUNCTION("""COMPUTED_VALUE"""),"Mobilmania")</f>
        <v>Mobilmania</v>
      </c>
      <c r="D808" s="4" t="str">
        <f ca="1">IFERROR(__xludf.DUMMYFUNCTION("""COMPUTED_VALUE"""),"https://mobilmania.cz")</f>
        <v>https://mobilmania.cz</v>
      </c>
      <c r="E808" s="3" t="str">
        <f ca="1">IFERROR(__xludf.DUMMYFUNCTION("""COMPUTED_VALUE"""),"celý web")</f>
        <v>celý web</v>
      </c>
      <c r="F808" s="4" t="str">
        <f ca="1">IFERROR(__xludf.DUMMYFUNCTION("""COMPUTED_VALUE"""),"https://mobilmania.cz")</f>
        <v>https://mobilmania.cz</v>
      </c>
      <c r="G808" s="3" t="str">
        <f ca="1">IFERROR(__xludf.DUMMYFUNCTION("""COMPUTED_VALUE"""),"mobilní viněta high season")</f>
        <v>mobilní viněta high season</v>
      </c>
      <c r="H808" s="3">
        <f ca="1">IFERROR(__xludf.DUMMYFUNCTION("""COMPUTED_VALUE"""),7)</f>
        <v>7</v>
      </c>
      <c r="I808" s="5">
        <f ca="1">IFERROR(__xludf.DUMMYFUNCTION("""COMPUTED_VALUE"""),1000)</f>
        <v>1000</v>
      </c>
      <c r="J808" s="5">
        <f ca="1">IFERROR(__xludf.DUMMYFUNCTION("""COMPUTED_VALUE"""),1590)</f>
        <v>1590</v>
      </c>
      <c r="K808" s="3"/>
      <c r="L808" s="3" t="str">
        <f ca="1">IFERROR(__xludf.DUMMYFUNCTION("""COMPUTED_VALUE"""),"Cost per period")</f>
        <v>Cost per period</v>
      </c>
      <c r="M808" s="3"/>
      <c r="N808" s="3"/>
      <c r="O808" s="3" t="str">
        <f ca="1">IFERROR(__xludf.DUMMYFUNCTION("""COMPUTED_VALUE"""),"600")</f>
        <v>600</v>
      </c>
      <c r="P808" s="3" t="str">
        <f ca="1">IFERROR(__xludf.DUMMYFUNCTION("""COMPUTED_VALUE"""),"800")</f>
        <v>800</v>
      </c>
      <c r="Q808" s="3" t="str">
        <f ca="1">IFERROR(__xludf.DUMMYFUNCTION("""COMPUTED_VALUE"""),"300x250 nebo 600x800")</f>
        <v>300x250 nebo 600x800</v>
      </c>
      <c r="R808" s="3"/>
      <c r="S808" s="3" t="str">
        <f ca="1">IFERROR(__xludf.DUMMYFUNCTION("""COMPUTED_VALUE"""),"100")</f>
        <v>100</v>
      </c>
      <c r="T808" s="3"/>
      <c r="U808" s="3" t="str">
        <f ca="1">IFERROR(__xludf.DUMMYFUNCTION("""COMPUTED_VALUE"""),"banner standard")</f>
        <v>banner standard</v>
      </c>
      <c r="V808" s="3"/>
      <c r="W808" s="4" t="str">
        <f ca="1">IFERROR(__xludf.DUMMYFUNCTION("""COMPUTED_VALUE"""),"https://reklama.cncenter.cz/Online/mobilni-vineta")</f>
        <v>https://reklama.cncenter.cz/Online/mobilni-vineta</v>
      </c>
      <c r="X808" s="3"/>
      <c r="Y808" s="3"/>
      <c r="Z808" s="3" t="str">
        <f ca="1">IFERROR(__xludf.DUMMYFUNCTION("""COMPUTED_VALUE"""),"podklady@cncenter.cz")</f>
        <v>podklady@cncenter.cz</v>
      </c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 t="str">
        <f ca="1">IFERROR(__xludf.DUMMYFUNCTION("""COMPUTED_VALUE"""),"mobile")</f>
        <v>mobile</v>
      </c>
      <c r="AO808" s="3"/>
      <c r="AP808" s="3"/>
      <c r="AQ808" s="3"/>
      <c r="AR808" s="3"/>
      <c r="AS808" s="3"/>
      <c r="AT808" s="3"/>
      <c r="AU808" s="3" t="str">
        <f ca="1">IFERROR(__xludf.DUMMYFUNCTION("""COMPUTED_VALUE"""),"mobilní viněta")</f>
        <v>mobilní viněta</v>
      </c>
    </row>
    <row r="809" spans="1:47" x14ac:dyDescent="0.3">
      <c r="A809" s="3">
        <f ca="1"/>
        <v>2346826</v>
      </c>
      <c r="B809" s="3" t="str">
        <f ca="1"/>
        <v>CZECH NEWS CENTER a. s.</v>
      </c>
      <c r="C809" s="3" t="str">
        <f ca="1">IFERROR(__xludf.DUMMYFUNCTION("""COMPUTED_VALUE"""),"Mobilmania")</f>
        <v>Mobilmania</v>
      </c>
      <c r="D809" s="4" t="str">
        <f ca="1">IFERROR(__xludf.DUMMYFUNCTION("""COMPUTED_VALUE"""),"https://mobilmania.cz")</f>
        <v>https://mobilmania.cz</v>
      </c>
      <c r="E809" s="3" t="str">
        <f ca="1">IFERROR(__xludf.DUMMYFUNCTION("""COMPUTED_VALUE"""),"celý web")</f>
        <v>celý web</v>
      </c>
      <c r="F809" s="4" t="str">
        <f ca="1">IFERROR(__xludf.DUMMYFUNCTION("""COMPUTED_VALUE"""),"https://mobilmania.cz")</f>
        <v>https://mobilmania.cz</v>
      </c>
      <c r="G809" s="3" t="str">
        <f ca="1">IFERROR(__xludf.DUMMYFUNCTION("""COMPUTED_VALUE"""),"Native Standard high season")</f>
        <v>Native Standard high season</v>
      </c>
      <c r="H809" s="3">
        <f ca="1">IFERROR(__xludf.DUMMYFUNCTION("""COMPUTED_VALUE"""),1)</f>
        <v>1</v>
      </c>
      <c r="I809" s="5">
        <f ca="1">IFERROR(__xludf.DUMMYFUNCTION("""COMPUTED_VALUE"""),1)</f>
        <v>1</v>
      </c>
      <c r="J809" s="5">
        <f ca="1">IFERROR(__xludf.DUMMYFUNCTION("""COMPUTED_VALUE"""),330000)</f>
        <v>330000</v>
      </c>
      <c r="K809" s="3"/>
      <c r="L809" s="3" t="str">
        <f ca="1">IFERROR(__xludf.DUMMYFUNCTION("""COMPUTED_VALUE"""),"Cost per instance")</f>
        <v>Cost per instance</v>
      </c>
      <c r="M809" s="3"/>
      <c r="N809" s="3"/>
      <c r="O809" s="3"/>
      <c r="P809" s="3"/>
      <c r="Q809" s="3"/>
      <c r="R809" s="3"/>
      <c r="S809" s="3" t="str">
        <f ca="1">IFERROR(__xludf.DUMMYFUNCTION("""COMPUTED_VALUE"""),"100")</f>
        <v>100</v>
      </c>
      <c r="T809" s="3"/>
      <c r="U809" s="3" t="str">
        <f ca="1">IFERROR(__xludf.DUMMYFUNCTION("""COMPUTED_VALUE"""),"microsite")</f>
        <v>microsite</v>
      </c>
      <c r="V809" s="3"/>
      <c r="W809" s="3"/>
      <c r="X809" s="3"/>
      <c r="Y809" s="3"/>
      <c r="Z809" s="3" t="str">
        <f ca="1">IFERROR(__xludf.DUMMYFUNCTION("""COMPUTED_VALUE"""),"podklady@cncenter.cz")</f>
        <v>podklady@cncenter.cz</v>
      </c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 t="str">
        <f ca="1">IFERROR(__xludf.DUMMYFUNCTION("""COMPUTED_VALUE"""),"cross-device")</f>
        <v>cross-device</v>
      </c>
      <c r="AO809" s="3"/>
      <c r="AP809" s="3"/>
      <c r="AQ809" s="3"/>
      <c r="AR809" s="3"/>
      <c r="AS809" s="3"/>
      <c r="AT809" s="3"/>
      <c r="AU809" s="3" t="str">
        <f ca="1">IFERROR(__xludf.DUMMYFUNCTION("""COMPUTED_VALUE"""),"Native Standard")</f>
        <v>Native Standard</v>
      </c>
    </row>
    <row r="810" spans="1:47" x14ac:dyDescent="0.3">
      <c r="A810" s="3">
        <f ca="1"/>
        <v>2346826</v>
      </c>
      <c r="B810" s="3" t="str">
        <f ca="1"/>
        <v>CZECH NEWS CENTER a. s.</v>
      </c>
      <c r="C810" s="3" t="str">
        <f ca="1">IFERROR(__xludf.DUMMYFUNCTION("""COMPUTED_VALUE"""),"Mobilmania")</f>
        <v>Mobilmania</v>
      </c>
      <c r="D810" s="4" t="str">
        <f ca="1">IFERROR(__xludf.DUMMYFUNCTION("""COMPUTED_VALUE"""),"https://mobilmania.cz")</f>
        <v>https://mobilmania.cz</v>
      </c>
      <c r="E810" s="3" t="str">
        <f ca="1">IFERROR(__xludf.DUMMYFUNCTION("""COMPUTED_VALUE"""),"celý web")</f>
        <v>celý web</v>
      </c>
      <c r="F810" s="4" t="str">
        <f ca="1">IFERROR(__xludf.DUMMYFUNCTION("""COMPUTED_VALUE"""),"https://mobilmania.cz")</f>
        <v>https://mobilmania.cz</v>
      </c>
      <c r="G810" s="3" t="str">
        <f ca="1">IFERROR(__xludf.DUMMYFUNCTION("""COMPUTED_VALUE"""),"nativní pr premium high season")</f>
        <v>nativní pr premium high season</v>
      </c>
      <c r="H810" s="3">
        <f ca="1">IFERROR(__xludf.DUMMYFUNCTION("""COMPUTED_VALUE"""),7)</f>
        <v>7</v>
      </c>
      <c r="I810" s="5">
        <f ca="1">IFERROR(__xludf.DUMMYFUNCTION("""COMPUTED_VALUE"""),1000)</f>
        <v>1000</v>
      </c>
      <c r="J810" s="5">
        <f ca="1">IFERROR(__xludf.DUMMYFUNCTION("""COMPUTED_VALUE"""),180)</f>
        <v>180</v>
      </c>
      <c r="K810" s="3"/>
      <c r="L810" s="3" t="str">
        <f ca="1">IFERROR(__xludf.DUMMYFUNCTION("""COMPUTED_VALUE"""),"Cost per period")</f>
        <v>Cost per period</v>
      </c>
      <c r="M810" s="3"/>
      <c r="N810" s="3"/>
      <c r="O810" s="3" t="str">
        <f ca="1">IFERROR(__xludf.DUMMYFUNCTION("""COMPUTED_VALUE"""),"640")</f>
        <v>640</v>
      </c>
      <c r="P810" s="3" t="str">
        <f ca="1">IFERROR(__xludf.DUMMYFUNCTION("""COMPUTED_VALUE"""),"335, 640")</f>
        <v>335, 640</v>
      </c>
      <c r="Q810" s="3" t="str">
        <f ca="1">IFERROR(__xludf.DUMMYFUNCTION("""COMPUTED_VALUE"""),"640x640 a 640x335 + text + logo")</f>
        <v>640x640 a 640x335 + text + logo</v>
      </c>
      <c r="R810" s="3" t="str">
        <f ca="1">IFERROR(__xludf.DUMMYFUNCTION("""COMPUTED_VALUE"""),"detailní specifikace na URL odkaze")</f>
        <v>detailní specifikace na URL odkaze</v>
      </c>
      <c r="S810" s="3" t="str">
        <f ca="1">IFERROR(__xludf.DUMMYFUNCTION("""COMPUTED_VALUE"""),"100")</f>
        <v>100</v>
      </c>
      <c r="T810" s="3"/>
      <c r="U810" s="3" t="str">
        <f ca="1">IFERROR(__xludf.DUMMYFUNCTION("""COMPUTED_VALUE"""),"nativní reklama")</f>
        <v>nativní reklama</v>
      </c>
      <c r="V810" s="3"/>
      <c r="W810" s="4" t="str">
        <f ca="1">IFERROR(__xludf.DUMMYFUNCTION("""COMPUTED_VALUE"""),"https://reklama.cncenter.cz/Online/nativni-PR-premium")</f>
        <v>https://reklama.cncenter.cz/Online/nativni-PR-premium</v>
      </c>
      <c r="X810" s="3"/>
      <c r="Y810" s="3"/>
      <c r="Z810" s="3" t="str">
        <f ca="1">IFERROR(__xludf.DUMMYFUNCTION("""COMPUTED_VALUE"""),"podklady@cncenter.cz")</f>
        <v>podklady@cncenter.cz</v>
      </c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 t="str">
        <f ca="1">IFERROR(__xludf.DUMMYFUNCTION("""COMPUTED_VALUE"""),"cross-device")</f>
        <v>cross-device</v>
      </c>
      <c r="AO810" s="3"/>
      <c r="AP810" s="3"/>
      <c r="AQ810" s="3"/>
      <c r="AR810" s="3"/>
      <c r="AS810" s="3"/>
      <c r="AT810" s="3"/>
      <c r="AU810" s="3" t="str">
        <f ca="1">IFERROR(__xludf.DUMMYFUNCTION("""COMPUTED_VALUE"""),"nativní pr premium")</f>
        <v>nativní pr premium</v>
      </c>
    </row>
    <row r="811" spans="1:47" x14ac:dyDescent="0.3">
      <c r="A811" s="3">
        <f ca="1"/>
        <v>2346826</v>
      </c>
      <c r="B811" s="3" t="str">
        <f ca="1"/>
        <v>CZECH NEWS CENTER a. s.</v>
      </c>
      <c r="C811" s="3" t="str">
        <f ca="1">IFERROR(__xludf.DUMMYFUNCTION("""COMPUTED_VALUE"""),"Mobilmania")</f>
        <v>Mobilmania</v>
      </c>
      <c r="D811" s="4" t="str">
        <f ca="1">IFERROR(__xludf.DUMMYFUNCTION("""COMPUTED_VALUE"""),"https://mobilmania.cz")</f>
        <v>https://mobilmania.cz</v>
      </c>
      <c r="E811" s="3" t="str">
        <f ca="1">IFERROR(__xludf.DUMMYFUNCTION("""COMPUTED_VALUE"""),"celý web")</f>
        <v>celý web</v>
      </c>
      <c r="F811" s="4" t="str">
        <f ca="1">IFERROR(__xludf.DUMMYFUNCTION("""COMPUTED_VALUE"""),"https://mobilmania.cz")</f>
        <v>https://mobilmania.cz</v>
      </c>
      <c r="G811" s="3" t="str">
        <f ca="1">IFERROR(__xludf.DUMMYFUNCTION("""COMPUTED_VALUE"""),"nativní rectangle cross-device high season")</f>
        <v>nativní rectangle cross-device high season</v>
      </c>
      <c r="H811" s="3">
        <f ca="1">IFERROR(__xludf.DUMMYFUNCTION("""COMPUTED_VALUE"""),7)</f>
        <v>7</v>
      </c>
      <c r="I811" s="5">
        <f ca="1">IFERROR(__xludf.DUMMYFUNCTION("""COMPUTED_VALUE"""),1000)</f>
        <v>1000</v>
      </c>
      <c r="J811" s="5">
        <f ca="1">IFERROR(__xludf.DUMMYFUNCTION("""COMPUTED_VALUE"""),360)</f>
        <v>360</v>
      </c>
      <c r="K811" s="3"/>
      <c r="L811" s="3" t="str">
        <f ca="1">IFERROR(__xludf.DUMMYFUNCTION("""COMPUTED_VALUE"""),"Cost per period")</f>
        <v>Cost per period</v>
      </c>
      <c r="M811" s="3"/>
      <c r="N811" s="3"/>
      <c r="O811" s="3" t="str">
        <f ca="1">IFERROR(__xludf.DUMMYFUNCTION("""COMPUTED_VALUE"""),"640")</f>
        <v>640</v>
      </c>
      <c r="P811" s="3" t="str">
        <f ca="1">IFERROR(__xludf.DUMMYFUNCTION("""COMPUTED_VALUE"""),"335, 640")</f>
        <v>335, 640</v>
      </c>
      <c r="Q811" s="3" t="str">
        <f ca="1">IFERROR(__xludf.DUMMYFUNCTION("""COMPUTED_VALUE"""),"640x640 a 640x335 + text + logo")</f>
        <v>640x640 a 640x335 + text + logo</v>
      </c>
      <c r="R811" s="3"/>
      <c r="S811" s="3" t="str">
        <f ca="1">IFERROR(__xludf.DUMMYFUNCTION("""COMPUTED_VALUE"""),"45")</f>
        <v>45</v>
      </c>
      <c r="T811" s="3"/>
      <c r="U811" s="3" t="str">
        <f ca="1">IFERROR(__xludf.DUMMYFUNCTION("""COMPUTED_VALUE"""),"nativní reklama")</f>
        <v>nativní reklama</v>
      </c>
      <c r="V811" s="3"/>
      <c r="W811" s="4" t="str">
        <f ca="1">IFERROR(__xludf.DUMMYFUNCTION("""COMPUTED_VALUE"""),"https://reklama.cncenter.cz/Online/nativni-rectangle-cross-device")</f>
        <v>https://reklama.cncenter.cz/Online/nativni-rectangle-cross-device</v>
      </c>
      <c r="X811" s="3"/>
      <c r="Y811" s="3"/>
      <c r="Z811" s="3" t="str">
        <f ca="1">IFERROR(__xludf.DUMMYFUNCTION("""COMPUTED_VALUE"""),"podklady@cncenter.cz")</f>
        <v>podklady@cncenter.cz</v>
      </c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 t="str">
        <f ca="1">IFERROR(__xludf.DUMMYFUNCTION("""COMPUTED_VALUE"""),"cross-device")</f>
        <v>cross-device</v>
      </c>
      <c r="AO811" s="3"/>
      <c r="AP811" s="3"/>
      <c r="AQ811" s="3"/>
      <c r="AR811" s="3"/>
      <c r="AS811" s="3"/>
      <c r="AT811" s="3"/>
      <c r="AU811" s="3" t="str">
        <f ca="1">IFERROR(__xludf.DUMMYFUNCTION("""COMPUTED_VALUE"""),"nativní rectangle cross-device")</f>
        <v>nativní rectangle cross-device</v>
      </c>
    </row>
    <row r="812" spans="1:47" x14ac:dyDescent="0.3">
      <c r="A812" s="3">
        <f ca="1"/>
        <v>2346826</v>
      </c>
      <c r="B812" s="3" t="str">
        <f ca="1"/>
        <v>CZECH NEWS CENTER a. s.</v>
      </c>
      <c r="C812" s="3" t="str">
        <f ca="1">IFERROR(__xludf.DUMMYFUNCTION("""COMPUTED_VALUE"""),"Mobilmania")</f>
        <v>Mobilmania</v>
      </c>
      <c r="D812" s="4" t="str">
        <f ca="1">IFERROR(__xludf.DUMMYFUNCTION("""COMPUTED_VALUE"""),"https://mobilmania.cz")</f>
        <v>https://mobilmania.cz</v>
      </c>
      <c r="E812" s="3" t="str">
        <f ca="1">IFERROR(__xludf.DUMMYFUNCTION("""COMPUTED_VALUE"""),"celý web")</f>
        <v>celý web</v>
      </c>
      <c r="F812" s="4" t="str">
        <f ca="1">IFERROR(__xludf.DUMMYFUNCTION("""COMPUTED_VALUE"""),"https://mobilmania.cz")</f>
        <v>https://mobilmania.cz</v>
      </c>
      <c r="G812" s="3" t="str">
        <f ca="1">IFERROR(__xludf.DUMMYFUNCTION("""COMPUTED_VALUE"""),"outstream high season")</f>
        <v>outstream high season</v>
      </c>
      <c r="H812" s="3">
        <f ca="1">IFERROR(__xludf.DUMMYFUNCTION("""COMPUTED_VALUE"""),7)</f>
        <v>7</v>
      </c>
      <c r="I812" s="5">
        <f ca="1">IFERROR(__xludf.DUMMYFUNCTION("""COMPUTED_VALUE"""),1000)</f>
        <v>1000</v>
      </c>
      <c r="J812" s="5">
        <f ca="1">IFERROR(__xludf.DUMMYFUNCTION("""COMPUTED_VALUE"""),450)</f>
        <v>450</v>
      </c>
      <c r="K812" s="3"/>
      <c r="L812" s="3" t="str">
        <f ca="1">IFERROR(__xludf.DUMMYFUNCTION("""COMPUTED_VALUE"""),"Cost per period")</f>
        <v>Cost per period</v>
      </c>
      <c r="M812" s="3"/>
      <c r="N812" s="3"/>
      <c r="O812" s="3" t="str">
        <f ca="1">IFERROR(__xludf.DUMMYFUNCTION("""COMPUTED_VALUE"""),"1280")</f>
        <v>1280</v>
      </c>
      <c r="P812" s="3" t="str">
        <f ca="1">IFERROR(__xludf.DUMMYFUNCTION("""COMPUTED_VALUE"""),"720")</f>
        <v>720</v>
      </c>
      <c r="Q812" s="3" t="str">
        <f ca="1">IFERROR(__xludf.DUMMYFUNCTION("""COMPUTED_VALUE"""),"16:9")</f>
        <v>16:9</v>
      </c>
      <c r="R812" s="3"/>
      <c r="S812" s="3" t="str">
        <f ca="1">IFERROR(__xludf.DUMMYFUNCTION("""COMPUTED_VALUE"""),"100")</f>
        <v>100</v>
      </c>
      <c r="T812" s="3"/>
      <c r="U812" s="3" t="str">
        <f ca="1">IFERROR(__xludf.DUMMYFUNCTION("""COMPUTED_VALUE"""),"videospot")</f>
        <v>videospot</v>
      </c>
      <c r="V812" s="3"/>
      <c r="W812" s="4" t="str">
        <f ca="1">IFERROR(__xludf.DUMMYFUNCTION("""COMPUTED_VALUE"""),"https://reklama.cncenter.cz/Online/Outstream")</f>
        <v>https://reklama.cncenter.cz/Online/Outstream</v>
      </c>
      <c r="X812" s="3"/>
      <c r="Y812" s="3"/>
      <c r="Z812" s="3" t="str">
        <f ca="1">IFERROR(__xludf.DUMMYFUNCTION("""COMPUTED_VALUE"""),"podklady@cncenter.cz")</f>
        <v>podklady@cncenter.cz</v>
      </c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 t="str">
        <f ca="1">IFERROR(__xludf.DUMMYFUNCTION("""COMPUTED_VALUE"""),"cross-device")</f>
        <v>cross-device</v>
      </c>
      <c r="AO812" s="3"/>
      <c r="AP812" s="3"/>
      <c r="AQ812" s="3"/>
      <c r="AR812" s="3"/>
      <c r="AS812" s="3"/>
      <c r="AT812" s="3"/>
      <c r="AU812" s="3" t="str">
        <f ca="1">IFERROR(__xludf.DUMMYFUNCTION("""COMPUTED_VALUE"""),"outstream")</f>
        <v>outstream</v>
      </c>
    </row>
    <row r="813" spans="1:47" x14ac:dyDescent="0.3">
      <c r="A813" s="3">
        <f ca="1"/>
        <v>2346826</v>
      </c>
      <c r="B813" s="3" t="str">
        <f ca="1"/>
        <v>CZECH NEWS CENTER a. s.</v>
      </c>
      <c r="C813" s="3" t="str">
        <f ca="1">IFERROR(__xludf.DUMMYFUNCTION("""COMPUTED_VALUE"""),"Mobilmania")</f>
        <v>Mobilmania</v>
      </c>
      <c r="D813" s="4" t="str">
        <f ca="1">IFERROR(__xludf.DUMMYFUNCTION("""COMPUTED_VALUE"""),"https://mobilmania.cz")</f>
        <v>https://mobilmania.cz</v>
      </c>
      <c r="E813" s="3" t="str">
        <f ca="1">IFERROR(__xludf.DUMMYFUNCTION("""COMPUTED_VALUE"""),"celý web")</f>
        <v>celý web</v>
      </c>
      <c r="F813" s="4" t="str">
        <f ca="1">IFERROR(__xludf.DUMMYFUNCTION("""COMPUTED_VALUE"""),"https://mobilmania.cz")</f>
        <v>https://mobilmania.cz</v>
      </c>
      <c r="G813" s="3" t="str">
        <f ca="1">IFERROR(__xludf.DUMMYFUNCTION("""COMPUTED_VALUE"""),"PR článek high season")</f>
        <v>PR článek high season</v>
      </c>
      <c r="H813" s="3">
        <f ca="1">IFERROR(__xludf.DUMMYFUNCTION("""COMPUTED_VALUE"""),1)</f>
        <v>1</v>
      </c>
      <c r="I813" s="5">
        <f ca="1">IFERROR(__xludf.DUMMYFUNCTION("""COMPUTED_VALUE"""),1)</f>
        <v>1</v>
      </c>
      <c r="J813" s="5">
        <f ca="1">IFERROR(__xludf.DUMMYFUNCTION("""COMPUTED_VALUE"""),50000)</f>
        <v>50000</v>
      </c>
      <c r="K813" s="3"/>
      <c r="L813" s="3" t="str">
        <f ca="1">IFERROR(__xludf.DUMMYFUNCTION("""COMPUTED_VALUE"""),"Cost per instance")</f>
        <v>Cost per instance</v>
      </c>
      <c r="M813" s="3"/>
      <c r="N813" s="3"/>
      <c r="O813" s="3"/>
      <c r="P813" s="3"/>
      <c r="Q813" s="3"/>
      <c r="R813" s="3"/>
      <c r="S813" s="3" t="str">
        <f ca="1">IFERROR(__xludf.DUMMYFUNCTION("""COMPUTED_VALUE"""),"100")</f>
        <v>100</v>
      </c>
      <c r="T813" s="3"/>
      <c r="U813" s="3" t="str">
        <f ca="1">IFERROR(__xludf.DUMMYFUNCTION("""COMPUTED_VALUE"""),"pr článek")</f>
        <v>pr článek</v>
      </c>
      <c r="V813" s="3"/>
      <c r="W813" s="4" t="str">
        <f ca="1">IFERROR(__xludf.DUMMYFUNCTION("""COMPUTED_VALUE"""),"https://reklama.cncenter.cz/?ads=PR%2520%25C4%258Dl%25C3%25A1nky")</f>
        <v>https://reklama.cncenter.cz/?ads=PR%2520%25C4%258Dl%25C3%25A1nky</v>
      </c>
      <c r="X813" s="3"/>
      <c r="Y813" s="3"/>
      <c r="Z813" s="3" t="str">
        <f ca="1">IFERROR(__xludf.DUMMYFUNCTION("""COMPUTED_VALUE"""),"podklady@cncenter.cz")</f>
        <v>podklady@cncenter.cz</v>
      </c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 t="str">
        <f ca="1">IFERROR(__xludf.DUMMYFUNCTION("""COMPUTED_VALUE"""),"cross-device")</f>
        <v>cross-device</v>
      </c>
      <c r="AO813" s="3"/>
      <c r="AP813" s="3"/>
      <c r="AQ813" s="3"/>
      <c r="AR813" s="3"/>
      <c r="AS813" s="3"/>
      <c r="AT813" s="3"/>
      <c r="AU813" s="3" t="str">
        <f ca="1">IFERROR(__xludf.DUMMYFUNCTION("""COMPUTED_VALUE"""),"PR článek")</f>
        <v>PR článek</v>
      </c>
    </row>
    <row r="814" spans="1:47" x14ac:dyDescent="0.3">
      <c r="A814" s="3">
        <f ca="1"/>
        <v>2346826</v>
      </c>
      <c r="B814" s="3" t="str">
        <f ca="1"/>
        <v>CZECH NEWS CENTER a. s.</v>
      </c>
      <c r="C814" s="3" t="str">
        <f ca="1">IFERROR(__xludf.DUMMYFUNCTION("""COMPUTED_VALUE"""),"Mobilmania")</f>
        <v>Mobilmania</v>
      </c>
      <c r="D814" s="4" t="str">
        <f ca="1">IFERROR(__xludf.DUMMYFUNCTION("""COMPUTED_VALUE"""),"https://mobilmania.cz")</f>
        <v>https://mobilmania.cz</v>
      </c>
      <c r="E814" s="3" t="str">
        <f ca="1">IFERROR(__xludf.DUMMYFUNCTION("""COMPUTED_VALUE"""),"celý web")</f>
        <v>celý web</v>
      </c>
      <c r="F814" s="4" t="str">
        <f ca="1">IFERROR(__xludf.DUMMYFUNCTION("""COMPUTED_VALUE"""),"https://mobilmania.cz")</f>
        <v>https://mobilmania.cz</v>
      </c>
      <c r="G814" s="3" t="str">
        <f ca="1">IFERROR(__xludf.DUMMYFUNCTION("""COMPUTED_VALUE"""),"Prodloužení existující microsite, bez úprav high season")</f>
        <v>Prodloužení existující microsite, bez úprav high season</v>
      </c>
      <c r="H814" s="3">
        <f ca="1">IFERROR(__xludf.DUMMYFUNCTION("""COMPUTED_VALUE"""),1)</f>
        <v>1</v>
      </c>
      <c r="I814" s="5">
        <f ca="1">IFERROR(__xludf.DUMMYFUNCTION("""COMPUTED_VALUE"""),1)</f>
        <v>1</v>
      </c>
      <c r="J814" s="5">
        <f ca="1">IFERROR(__xludf.DUMMYFUNCTION("""COMPUTED_VALUE"""),15000)</f>
        <v>15000</v>
      </c>
      <c r="K814" s="3"/>
      <c r="L814" s="3" t="str">
        <f ca="1">IFERROR(__xludf.DUMMYFUNCTION("""COMPUTED_VALUE"""),"Cost per instance")</f>
        <v>Cost per instance</v>
      </c>
      <c r="M814" s="3"/>
      <c r="N814" s="3"/>
      <c r="O814" s="3"/>
      <c r="P814" s="3"/>
      <c r="Q814" s="3"/>
      <c r="R814" s="3"/>
      <c r="S814" s="3" t="str">
        <f ca="1">IFERROR(__xludf.DUMMYFUNCTION("""COMPUTED_VALUE"""),"100")</f>
        <v>100</v>
      </c>
      <c r="T814" s="3"/>
      <c r="U814" s="3" t="str">
        <f ca="1">IFERROR(__xludf.DUMMYFUNCTION("""COMPUTED_VALUE"""),"microsite")</f>
        <v>microsite</v>
      </c>
      <c r="V814" s="3"/>
      <c r="W814" s="3"/>
      <c r="X814" s="3"/>
      <c r="Y814" s="3"/>
      <c r="Z814" s="3" t="str">
        <f ca="1">IFERROR(__xludf.DUMMYFUNCTION("""COMPUTED_VALUE"""),"podklady@cncenter.cz")</f>
        <v>podklady@cncenter.cz</v>
      </c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 t="str">
        <f ca="1">IFERROR(__xludf.DUMMYFUNCTION("""COMPUTED_VALUE"""),"cross-device")</f>
        <v>cross-device</v>
      </c>
      <c r="AO814" s="3"/>
      <c r="AP814" s="3"/>
      <c r="AQ814" s="3"/>
      <c r="AR814" s="3"/>
      <c r="AS814" s="3"/>
      <c r="AT814" s="3"/>
      <c r="AU814" s="3" t="str">
        <f ca="1">IFERROR(__xludf.DUMMYFUNCTION("""COMPUTED_VALUE"""),"Prodloužení existující microsite, bez úprav")</f>
        <v>Prodloužení existující microsite, bez úprav</v>
      </c>
    </row>
    <row r="815" spans="1:47" x14ac:dyDescent="0.3">
      <c r="A815" s="3">
        <f ca="1"/>
        <v>2346826</v>
      </c>
      <c r="B815" s="3" t="str">
        <f ca="1"/>
        <v>CZECH NEWS CENTER a. s.</v>
      </c>
      <c r="C815" s="3" t="str">
        <f ca="1">IFERROR(__xludf.DUMMYFUNCTION("""COMPUTED_VALUE"""),"Mobilmania")</f>
        <v>Mobilmania</v>
      </c>
      <c r="D815" s="4" t="str">
        <f ca="1">IFERROR(__xludf.DUMMYFUNCTION("""COMPUTED_VALUE"""),"https://mobilmania.cz")</f>
        <v>https://mobilmania.cz</v>
      </c>
      <c r="E815" s="3" t="str">
        <f ca="1">IFERROR(__xludf.DUMMYFUNCTION("""COMPUTED_VALUE"""),"celý web")</f>
        <v>celý web</v>
      </c>
      <c r="F815" s="4" t="str">
        <f ca="1">IFERROR(__xludf.DUMMYFUNCTION("""COMPUTED_VALUE"""),"https://mobilmania.cz")</f>
        <v>https://mobilmania.cz</v>
      </c>
      <c r="G815" s="3" t="str">
        <f ca="1">IFERROR(__xludf.DUMMYFUNCTION("""COMPUTED_VALUE"""),"Prodloužení existující microsite, bez úprav high season")</f>
        <v>Prodloužení existující microsite, bez úprav high season</v>
      </c>
      <c r="H815" s="3">
        <f ca="1">IFERROR(__xludf.DUMMYFUNCTION("""COMPUTED_VALUE"""),1)</f>
        <v>1</v>
      </c>
      <c r="I815" s="5">
        <f ca="1">IFERROR(__xludf.DUMMYFUNCTION("""COMPUTED_VALUE"""),1)</f>
        <v>1</v>
      </c>
      <c r="J815" s="5">
        <f ca="1">IFERROR(__xludf.DUMMYFUNCTION("""COMPUTED_VALUE"""),15000)</f>
        <v>15000</v>
      </c>
      <c r="K815" s="3"/>
      <c r="L815" s="3" t="str">
        <f ca="1">IFERROR(__xludf.DUMMYFUNCTION("""COMPUTED_VALUE"""),"Cost per instance")</f>
        <v>Cost per instance</v>
      </c>
      <c r="M815" s="3"/>
      <c r="N815" s="3"/>
      <c r="O815" s="3"/>
      <c r="P815" s="3"/>
      <c r="Q815" s="3"/>
      <c r="R815" s="3"/>
      <c r="S815" s="3" t="str">
        <f ca="1">IFERROR(__xludf.DUMMYFUNCTION("""COMPUTED_VALUE"""),"100")</f>
        <v>100</v>
      </c>
      <c r="T815" s="3"/>
      <c r="U815" s="3" t="str">
        <f ca="1">IFERROR(__xludf.DUMMYFUNCTION("""COMPUTED_VALUE"""),"microsite")</f>
        <v>microsite</v>
      </c>
      <c r="V815" s="3"/>
      <c r="W815" s="3"/>
      <c r="X815" s="3"/>
      <c r="Y815" s="3"/>
      <c r="Z815" s="3" t="str">
        <f ca="1">IFERROR(__xludf.DUMMYFUNCTION("""COMPUTED_VALUE"""),"podklady@cncenter.cz")</f>
        <v>podklady@cncenter.cz</v>
      </c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 t="str">
        <f ca="1">IFERROR(__xludf.DUMMYFUNCTION("""COMPUTED_VALUE"""),"cross-device")</f>
        <v>cross-device</v>
      </c>
      <c r="AO815" s="3"/>
      <c r="AP815" s="3"/>
      <c r="AQ815" s="3"/>
      <c r="AR815" s="3"/>
      <c r="AS815" s="3"/>
      <c r="AT815" s="3"/>
      <c r="AU815" s="3" t="str">
        <f ca="1">IFERROR(__xludf.DUMMYFUNCTION("""COMPUTED_VALUE"""),"Prodloužení existující microsite, bez úprav")</f>
        <v>Prodloužení existující microsite, bez úprav</v>
      </c>
    </row>
    <row r="816" spans="1:47" x14ac:dyDescent="0.3">
      <c r="A816" s="3">
        <f ca="1"/>
        <v>2346826</v>
      </c>
      <c r="B816" s="3" t="str">
        <f ca="1"/>
        <v>CZECH NEWS CENTER a. s.</v>
      </c>
      <c r="C816" s="3" t="str">
        <f ca="1">IFERROR(__xludf.DUMMYFUNCTION("""COMPUTED_VALUE"""),"Mobilmania")</f>
        <v>Mobilmania</v>
      </c>
      <c r="D816" s="4" t="str">
        <f ca="1">IFERROR(__xludf.DUMMYFUNCTION("""COMPUTED_VALUE"""),"https://mobilmania.cz")</f>
        <v>https://mobilmania.cz</v>
      </c>
      <c r="E816" s="3" t="str">
        <f ca="1">IFERROR(__xludf.DUMMYFUNCTION("""COMPUTED_VALUE"""),"celý web")</f>
        <v>celý web</v>
      </c>
      <c r="F816" s="4" t="str">
        <f ca="1">IFERROR(__xludf.DUMMYFUNCTION("""COMPUTED_VALUE"""),"https://mobilmania.cz")</f>
        <v>https://mobilmania.cz</v>
      </c>
      <c r="G816" s="3" t="str">
        <f ca="1">IFERROR(__xludf.DUMMYFUNCTION("""COMPUTED_VALUE"""),"Prodloužení existující microsite, bez úprav high season")</f>
        <v>Prodloužení existující microsite, bez úprav high season</v>
      </c>
      <c r="H816" s="3">
        <f ca="1">IFERROR(__xludf.DUMMYFUNCTION("""COMPUTED_VALUE"""),1)</f>
        <v>1</v>
      </c>
      <c r="I816" s="5">
        <f ca="1">IFERROR(__xludf.DUMMYFUNCTION("""COMPUTED_VALUE"""),1)</f>
        <v>1</v>
      </c>
      <c r="J816" s="5">
        <f ca="1">IFERROR(__xludf.DUMMYFUNCTION("""COMPUTED_VALUE"""),15000)</f>
        <v>15000</v>
      </c>
      <c r="K816" s="3"/>
      <c r="L816" s="3" t="str">
        <f ca="1">IFERROR(__xludf.DUMMYFUNCTION("""COMPUTED_VALUE"""),"Cost per instance")</f>
        <v>Cost per instance</v>
      </c>
      <c r="M816" s="3"/>
      <c r="N816" s="3"/>
      <c r="O816" s="3"/>
      <c r="P816" s="3"/>
      <c r="Q816" s="3"/>
      <c r="R816" s="3"/>
      <c r="S816" s="3" t="str">
        <f ca="1">IFERROR(__xludf.DUMMYFUNCTION("""COMPUTED_VALUE"""),"100")</f>
        <v>100</v>
      </c>
      <c r="T816" s="3"/>
      <c r="U816" s="3" t="str">
        <f ca="1">IFERROR(__xludf.DUMMYFUNCTION("""COMPUTED_VALUE"""),"microsite")</f>
        <v>microsite</v>
      </c>
      <c r="V816" s="3"/>
      <c r="W816" s="3"/>
      <c r="X816" s="3"/>
      <c r="Y816" s="3"/>
      <c r="Z816" s="3" t="str">
        <f ca="1">IFERROR(__xludf.DUMMYFUNCTION("""COMPUTED_VALUE"""),"podklady@cncenter.cz")</f>
        <v>podklady@cncenter.cz</v>
      </c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 t="str">
        <f ca="1">IFERROR(__xludf.DUMMYFUNCTION("""COMPUTED_VALUE"""),"cross-device")</f>
        <v>cross-device</v>
      </c>
      <c r="AO816" s="3"/>
      <c r="AP816" s="3"/>
      <c r="AQ816" s="3"/>
      <c r="AR816" s="3"/>
      <c r="AS816" s="3"/>
      <c r="AT816" s="3"/>
      <c r="AU816" s="3" t="str">
        <f ca="1">IFERROR(__xludf.DUMMYFUNCTION("""COMPUTED_VALUE"""),"Prodloužení existující microsite, bez úprav")</f>
        <v>Prodloužení existující microsite, bez úprav</v>
      </c>
    </row>
    <row r="817" spans="1:47" x14ac:dyDescent="0.3">
      <c r="A817" s="3">
        <f ca="1"/>
        <v>2346826</v>
      </c>
      <c r="B817" s="3" t="str">
        <f ca="1"/>
        <v>CZECH NEWS CENTER a. s.</v>
      </c>
      <c r="C817" s="3" t="str">
        <f ca="1">IFERROR(__xludf.DUMMYFUNCTION("""COMPUTED_VALUE"""),"Mobilmania")</f>
        <v>Mobilmania</v>
      </c>
      <c r="D817" s="4" t="str">
        <f ca="1">IFERROR(__xludf.DUMMYFUNCTION("""COMPUTED_VALUE"""),"https://mobilmania.cz")</f>
        <v>https://mobilmania.cz</v>
      </c>
      <c r="E817" s="3" t="str">
        <f ca="1">IFERROR(__xludf.DUMMYFUNCTION("""COMPUTED_VALUE"""),"celý web")</f>
        <v>celý web</v>
      </c>
      <c r="F817" s="4" t="str">
        <f ca="1">IFERROR(__xludf.DUMMYFUNCTION("""COMPUTED_VALUE"""),"https://mobilmania.cz")</f>
        <v>https://mobilmania.cz</v>
      </c>
      <c r="G817" s="3" t="str">
        <f ca="1">IFERROR(__xludf.DUMMYFUNCTION("""COMPUTED_VALUE"""),"videospot - max. 30 sec. / bumper high season")</f>
        <v>videospot - max. 30 sec. / bumper high season</v>
      </c>
      <c r="H817" s="3">
        <f ca="1">IFERROR(__xludf.DUMMYFUNCTION("""COMPUTED_VALUE"""),7)</f>
        <v>7</v>
      </c>
      <c r="I817" s="5">
        <f ca="1">IFERROR(__xludf.DUMMYFUNCTION("""COMPUTED_VALUE"""),1000)</f>
        <v>1000</v>
      </c>
      <c r="J817" s="5">
        <f ca="1">IFERROR(__xludf.DUMMYFUNCTION("""COMPUTED_VALUE"""),1340)</f>
        <v>1340</v>
      </c>
      <c r="K817" s="3"/>
      <c r="L817" s="3" t="str">
        <f ca="1">IFERROR(__xludf.DUMMYFUNCTION("""COMPUTED_VALUE"""),"Cost per period")</f>
        <v>Cost per period</v>
      </c>
      <c r="M817" s="3"/>
      <c r="N817" s="3"/>
      <c r="O817" s="3" t="str">
        <f ca="1">IFERROR(__xludf.DUMMYFUNCTION("""COMPUTED_VALUE"""),"1280")</f>
        <v>1280</v>
      </c>
      <c r="P817" s="3" t="str">
        <f ca="1">IFERROR(__xludf.DUMMYFUNCTION("""COMPUTED_VALUE"""),"720")</f>
        <v>720</v>
      </c>
      <c r="Q817" s="3" t="str">
        <f ca="1">IFERROR(__xludf.DUMMYFUNCTION("""COMPUTED_VALUE"""),"16:9 / umístění po domluvě dle možností")</f>
        <v>16:9 / umístění po domluvě dle možností</v>
      </c>
      <c r="R817" s="3" t="str">
        <f ca="1">IFERROR(__xludf.DUMMYFUNCTION("""COMPUTED_VALUE"""),"přeskočení po 7 sekundách")</f>
        <v>přeskočení po 7 sekundách</v>
      </c>
      <c r="S817" s="3" t="str">
        <f ca="1">IFERROR(__xludf.DUMMYFUNCTION("""COMPUTED_VALUE"""),"100")</f>
        <v>100</v>
      </c>
      <c r="T817" s="3"/>
      <c r="U817" s="3" t="str">
        <f ca="1">IFERROR(__xludf.DUMMYFUNCTION("""COMPUTED_VALUE"""),"videospot")</f>
        <v>videospot</v>
      </c>
      <c r="V817" s="3"/>
      <c r="W817" s="4" t="str">
        <f ca="1">IFERROR(__xludf.DUMMYFUNCTION("""COMPUTED_VALUE"""),"https://reklama.cncenter.cz/Online/Bumper")</f>
        <v>https://reklama.cncenter.cz/Online/Bumper</v>
      </c>
      <c r="X817" s="3"/>
      <c r="Y817" s="3"/>
      <c r="Z817" s="3" t="str">
        <f ca="1">IFERROR(__xludf.DUMMYFUNCTION("""COMPUTED_VALUE"""),"podklady@cncenter.cz")</f>
        <v>podklady@cncenter.cz</v>
      </c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 t="str">
        <f ca="1">IFERROR(__xludf.DUMMYFUNCTION("""COMPUTED_VALUE"""),"cross-device")</f>
        <v>cross-device</v>
      </c>
      <c r="AO817" s="3"/>
      <c r="AP817" s="3"/>
      <c r="AQ817" s="3"/>
      <c r="AR817" s="3"/>
      <c r="AS817" s="3"/>
      <c r="AT817" s="3"/>
      <c r="AU817" s="3" t="str">
        <f ca="1">IFERROR(__xludf.DUMMYFUNCTION("""COMPUTED_VALUE"""),"videospot - max. 30 sec. / bumper")</f>
        <v>videospot - max. 30 sec. / bumper</v>
      </c>
    </row>
    <row r="818" spans="1:47" x14ac:dyDescent="0.3">
      <c r="A818" s="3">
        <f ca="1"/>
        <v>2346826</v>
      </c>
      <c r="B818" s="3" t="str">
        <f ca="1"/>
        <v>CZECH NEWS CENTER a. s.</v>
      </c>
      <c r="C818" s="3" t="str">
        <f ca="1">IFERROR(__xludf.DUMMYFUNCTION("""COMPUTED_VALUE"""),"Moje zdraví")</f>
        <v>Moje zdraví</v>
      </c>
      <c r="D818" s="4" t="str">
        <f ca="1">IFERROR(__xludf.DUMMYFUNCTION("""COMPUTED_VALUE"""),"https://mojezdravi.cz")</f>
        <v>https://mojezdravi.cz</v>
      </c>
      <c r="E818" s="3" t="str">
        <f ca="1">IFERROR(__xludf.DUMMYFUNCTION("""COMPUTED_VALUE"""),"celý web")</f>
        <v>celý web</v>
      </c>
      <c r="F818" s="4" t="str">
        <f ca="1">IFERROR(__xludf.DUMMYFUNCTION("""COMPUTED_VALUE"""),"https://mojezdravi.cz")</f>
        <v>https://mojezdravi.cz</v>
      </c>
      <c r="G818" s="3" t="str">
        <f ca="1">IFERROR(__xludf.DUMMYFUNCTION("""COMPUTED_VALUE"""),"Advertorial high season")</f>
        <v>Advertorial high season</v>
      </c>
      <c r="H818" s="3">
        <f ca="1">IFERROR(__xludf.DUMMYFUNCTION("""COMPUTED_VALUE"""),1)</f>
        <v>1</v>
      </c>
      <c r="I818" s="5">
        <f ca="1">IFERROR(__xludf.DUMMYFUNCTION("""COMPUTED_VALUE"""),1)</f>
        <v>1</v>
      </c>
      <c r="J818" s="5">
        <f ca="1">IFERROR(__xludf.DUMMYFUNCTION("""COMPUTED_VALUE"""),90000)</f>
        <v>90000</v>
      </c>
      <c r="K818" s="3"/>
      <c r="L818" s="3" t="str">
        <f ca="1">IFERROR(__xludf.DUMMYFUNCTION("""COMPUTED_VALUE"""),"Cost per instance")</f>
        <v>Cost per instance</v>
      </c>
      <c r="M818" s="3"/>
      <c r="N818" s="3"/>
      <c r="O818" s="3"/>
      <c r="P818" s="3"/>
      <c r="Q818" s="3"/>
      <c r="R818" s="3"/>
      <c r="S818" s="3" t="str">
        <f ca="1">IFERROR(__xludf.DUMMYFUNCTION("""COMPUTED_VALUE"""),"100")</f>
        <v>100</v>
      </c>
      <c r="T818" s="3"/>
      <c r="U818" s="3" t="str">
        <f ca="1">IFERROR(__xludf.DUMMYFUNCTION("""COMPUTED_VALUE"""),"pr článek")</f>
        <v>pr článek</v>
      </c>
      <c r="V818" s="3"/>
      <c r="W818" s="3"/>
      <c r="X818" s="3"/>
      <c r="Y818" s="3"/>
      <c r="Z818" s="3" t="str">
        <f ca="1">IFERROR(__xludf.DUMMYFUNCTION("""COMPUTED_VALUE"""),"podklady@cncenter.cz")</f>
        <v>podklady@cncenter.cz</v>
      </c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 t="str">
        <f ca="1">IFERROR(__xludf.DUMMYFUNCTION("""COMPUTED_VALUE"""),"cross-device")</f>
        <v>cross-device</v>
      </c>
      <c r="AO818" s="3"/>
      <c r="AP818" s="3"/>
      <c r="AQ818" s="3"/>
      <c r="AR818" s="3"/>
      <c r="AS818" s="3"/>
      <c r="AT818" s="3"/>
      <c r="AU818" s="3" t="str">
        <f ca="1">IFERROR(__xludf.DUMMYFUNCTION("""COMPUTED_VALUE"""),"Advertorial")</f>
        <v>Advertorial</v>
      </c>
    </row>
    <row r="819" spans="1:47" x14ac:dyDescent="0.3">
      <c r="A819" s="3">
        <f ca="1"/>
        <v>2346826</v>
      </c>
      <c r="B819" s="3" t="str">
        <f ca="1"/>
        <v>CZECH NEWS CENTER a. s.</v>
      </c>
      <c r="C819" s="3" t="str">
        <f ca="1">IFERROR(__xludf.DUMMYFUNCTION("""COMPUTED_VALUE"""),"Moje zdraví")</f>
        <v>Moje zdraví</v>
      </c>
      <c r="D819" s="4" t="str">
        <f ca="1">IFERROR(__xludf.DUMMYFUNCTION("""COMPUTED_VALUE"""),"https://mojezdravi.cz")</f>
        <v>https://mojezdravi.cz</v>
      </c>
      <c r="E819" s="3" t="str">
        <f ca="1">IFERROR(__xludf.DUMMYFUNCTION("""COMPUTED_VALUE"""),"celý web")</f>
        <v>celý web</v>
      </c>
      <c r="F819" s="4" t="str">
        <f ca="1">IFERROR(__xludf.DUMMYFUNCTION("""COMPUTED_VALUE"""),"https://mojezdravi.cz")</f>
        <v>https://mojezdravi.cz</v>
      </c>
      <c r="G819" s="3" t="str">
        <f ca="1">IFERROR(__xludf.DUMMYFUNCTION("""COMPUTED_VALUE"""),"billboard bottom high season")</f>
        <v>billboard bottom high season</v>
      </c>
      <c r="H819" s="3">
        <f ca="1">IFERROR(__xludf.DUMMYFUNCTION("""COMPUTED_VALUE"""),7)</f>
        <v>7</v>
      </c>
      <c r="I819" s="5">
        <f ca="1">IFERROR(__xludf.DUMMYFUNCTION("""COMPUTED_VALUE"""),1000)</f>
        <v>1000</v>
      </c>
      <c r="J819" s="5">
        <f ca="1">IFERROR(__xludf.DUMMYFUNCTION("""COMPUTED_VALUE"""),440)</f>
        <v>440</v>
      </c>
      <c r="K819" s="3"/>
      <c r="L819" s="3" t="str">
        <f ca="1">IFERROR(__xludf.DUMMYFUNCTION("""COMPUTED_VALUE"""),"Cost per period")</f>
        <v>Cost per period</v>
      </c>
      <c r="M819" s="3"/>
      <c r="N819" s="3"/>
      <c r="O819" s="3" t="str">
        <f ca="1">IFERROR(__xludf.DUMMYFUNCTION("""COMPUTED_VALUE"""),"970")</f>
        <v>970</v>
      </c>
      <c r="P819" s="3" t="str">
        <f ca="1">IFERROR(__xludf.DUMMYFUNCTION("""COMPUTED_VALUE"""),"250")</f>
        <v>250</v>
      </c>
      <c r="Q819" s="3" t="str">
        <f ca="1">IFERROR(__xludf.DUMMYFUNCTION("""COMPUTED_VALUE"""),"970x250")</f>
        <v>970x250</v>
      </c>
      <c r="R819" s="3"/>
      <c r="S819" s="3" t="str">
        <f ca="1">IFERROR(__xludf.DUMMYFUNCTION("""COMPUTED_VALUE"""),"100 (200 - HTML5)")</f>
        <v>100 (200 - HTML5)</v>
      </c>
      <c r="T819" s="3"/>
      <c r="U819" s="3" t="str">
        <f ca="1">IFERROR(__xludf.DUMMYFUNCTION("""COMPUTED_VALUE"""),"banner standard")</f>
        <v>banner standard</v>
      </c>
      <c r="V819" s="3"/>
      <c r="W819" s="4" t="str">
        <f ca="1">IFERROR(__xludf.DUMMYFUNCTION("""COMPUTED_VALUE"""),"https://reklama.cncenter.cz/Online/billboard-bottom")</f>
        <v>https://reklama.cncenter.cz/Online/billboard-bottom</v>
      </c>
      <c r="X819" s="3"/>
      <c r="Y819" s="3"/>
      <c r="Z819" s="3" t="str">
        <f ca="1">IFERROR(__xludf.DUMMYFUNCTION("""COMPUTED_VALUE"""),"podklady@cncenter.cz")</f>
        <v>podklady@cncenter.cz</v>
      </c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 t="str">
        <f ca="1">IFERROR(__xludf.DUMMYFUNCTION("""COMPUTED_VALUE"""),"desktop")</f>
        <v>desktop</v>
      </c>
      <c r="AO819" s="3"/>
      <c r="AP819" s="3"/>
      <c r="AQ819" s="3"/>
      <c r="AR819" s="3"/>
      <c r="AS819" s="3"/>
      <c r="AT819" s="3"/>
      <c r="AU819" s="3" t="str">
        <f ca="1">IFERROR(__xludf.DUMMYFUNCTION("""COMPUTED_VALUE"""),"billboard bottom")</f>
        <v>billboard bottom</v>
      </c>
    </row>
    <row r="820" spans="1:47" x14ac:dyDescent="0.3">
      <c r="A820" s="3">
        <f ca="1"/>
        <v>2346826</v>
      </c>
      <c r="B820" s="3" t="str">
        <f ca="1"/>
        <v>CZECH NEWS CENTER a. s.</v>
      </c>
      <c r="C820" s="3" t="str">
        <f ca="1">IFERROR(__xludf.DUMMYFUNCTION("""COMPUTED_VALUE"""),"Moje zdraví")</f>
        <v>Moje zdraví</v>
      </c>
      <c r="D820" s="4" t="str">
        <f ca="1">IFERROR(__xludf.DUMMYFUNCTION("""COMPUTED_VALUE"""),"https://mojezdravi.cz")</f>
        <v>https://mojezdravi.cz</v>
      </c>
      <c r="E820" s="3" t="str">
        <f ca="1">IFERROR(__xludf.DUMMYFUNCTION("""COMPUTED_VALUE"""),"celý web")</f>
        <v>celý web</v>
      </c>
      <c r="F820" s="4" t="str">
        <f ca="1">IFERROR(__xludf.DUMMYFUNCTION("""COMPUTED_VALUE"""),"https://mojezdravi.cz")</f>
        <v>https://mojezdravi.cz</v>
      </c>
      <c r="G820" s="3" t="str">
        <f ca="1">IFERROR(__xludf.DUMMYFUNCTION("""COMPUTED_VALUE"""),"branding cross-device high season")</f>
        <v>branding cross-device high season</v>
      </c>
      <c r="H820" s="3">
        <f ca="1">IFERROR(__xludf.DUMMYFUNCTION("""COMPUTED_VALUE"""),7)</f>
        <v>7</v>
      </c>
      <c r="I820" s="5">
        <f ca="1">IFERROR(__xludf.DUMMYFUNCTION("""COMPUTED_VALUE"""),1000)</f>
        <v>1000</v>
      </c>
      <c r="J820" s="5">
        <f ca="1">IFERROR(__xludf.DUMMYFUNCTION("""COMPUTED_VALUE"""),540)</f>
        <v>540</v>
      </c>
      <c r="K820" s="3"/>
      <c r="L820" s="3" t="str">
        <f ca="1">IFERROR(__xludf.DUMMYFUNCTION("""COMPUTED_VALUE"""),"Cost per period")</f>
        <v>Cost per period</v>
      </c>
      <c r="M820" s="3"/>
      <c r="N820" s="3"/>
      <c r="O820" s="3" t="str">
        <f ca="1">IFERROR(__xludf.DUMMYFUNCTION("""COMPUTED_VALUE"""),"2000")</f>
        <v>2000</v>
      </c>
      <c r="P820" s="3" t="str">
        <f ca="1">IFERROR(__xludf.DUMMYFUNCTION("""COMPUTED_VALUE"""),"1400")</f>
        <v>1400</v>
      </c>
      <c r="Q820" s="3" t="str">
        <f ca="1">IFERROR(__xludf.DUMMYFUNCTION("""COMPUTED_VALUE"""),"2000x1400 + 600x1080")</f>
        <v>2000x1400 + 600x1080</v>
      </c>
      <c r="R820" s="3"/>
      <c r="S820" s="3" t="str">
        <f ca="1">IFERROR(__xludf.DUMMYFUNCTION("""COMPUTED_VALUE"""),"500 (600 - HTLM5)")</f>
        <v>500 (600 - HTLM5)</v>
      </c>
      <c r="T820" s="3"/>
      <c r="U820" s="3" t="str">
        <f ca="1">IFERROR(__xludf.DUMMYFUNCTION("""COMPUTED_VALUE"""),"banner standard")</f>
        <v>banner standard</v>
      </c>
      <c r="V820" s="3"/>
      <c r="W820" s="4" t="str">
        <f ca="1">IFERROR(__xludf.DUMMYFUNCTION("""COMPUTED_VALUE"""),"https://reklama.cncenter.cz/Online/branding-cross-device")</f>
        <v>https://reklama.cncenter.cz/Online/branding-cross-device</v>
      </c>
      <c r="X820" s="3"/>
      <c r="Y820" s="3"/>
      <c r="Z820" s="3" t="str">
        <f ca="1">IFERROR(__xludf.DUMMYFUNCTION("""COMPUTED_VALUE"""),"podklady@cncenter.cz")</f>
        <v>podklady@cncenter.cz</v>
      </c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 t="str">
        <f ca="1">IFERROR(__xludf.DUMMYFUNCTION("""COMPUTED_VALUE"""),"cross-device")</f>
        <v>cross-device</v>
      </c>
      <c r="AO820" s="3"/>
      <c r="AP820" s="3"/>
      <c r="AQ820" s="3"/>
      <c r="AR820" s="3"/>
      <c r="AS820" s="3"/>
      <c r="AT820" s="3"/>
      <c r="AU820" s="3" t="str">
        <f ca="1">IFERROR(__xludf.DUMMYFUNCTION("""COMPUTED_VALUE"""),"branding cross-device")</f>
        <v>branding cross-device</v>
      </c>
    </row>
    <row r="821" spans="1:47" x14ac:dyDescent="0.3">
      <c r="A821" s="3">
        <f ca="1"/>
        <v>2346826</v>
      </c>
      <c r="B821" s="3" t="str">
        <f ca="1"/>
        <v>CZECH NEWS CENTER a. s.</v>
      </c>
      <c r="C821" s="3" t="str">
        <f ca="1">IFERROR(__xludf.DUMMYFUNCTION("""COMPUTED_VALUE"""),"Moje zdraví")</f>
        <v>Moje zdraví</v>
      </c>
      <c r="D821" s="4" t="str">
        <f ca="1">IFERROR(__xludf.DUMMYFUNCTION("""COMPUTED_VALUE"""),"https://mojezdravi.cz")</f>
        <v>https://mojezdravi.cz</v>
      </c>
      <c r="E821" s="3" t="str">
        <f ca="1">IFERROR(__xludf.DUMMYFUNCTION("""COMPUTED_VALUE"""),"celý web")</f>
        <v>celý web</v>
      </c>
      <c r="F821" s="4" t="str">
        <f ca="1">IFERROR(__xludf.DUMMYFUNCTION("""COMPUTED_VALUE"""),"https://mojezdravi.cz")</f>
        <v>https://mojezdravi.cz</v>
      </c>
      <c r="G821" s="3" t="str">
        <f ca="1">IFERROR(__xludf.DUMMYFUNCTION("""COMPUTED_VALUE"""),"branding high season")</f>
        <v>branding high season</v>
      </c>
      <c r="H821" s="3">
        <f ca="1">IFERROR(__xludf.DUMMYFUNCTION("""COMPUTED_VALUE"""),7)</f>
        <v>7</v>
      </c>
      <c r="I821" s="5">
        <f ca="1">IFERROR(__xludf.DUMMYFUNCTION("""COMPUTED_VALUE"""),1000)</f>
        <v>1000</v>
      </c>
      <c r="J821" s="5">
        <f ca="1">IFERROR(__xludf.DUMMYFUNCTION("""COMPUTED_VALUE"""),890)</f>
        <v>890</v>
      </c>
      <c r="K821" s="3"/>
      <c r="L821" s="3" t="str">
        <f ca="1">IFERROR(__xludf.DUMMYFUNCTION("""COMPUTED_VALUE"""),"Cost per period")</f>
        <v>Cost per period</v>
      </c>
      <c r="M821" s="3"/>
      <c r="N821" s="3"/>
      <c r="O821" s="3" t="str">
        <f ca="1">IFERROR(__xludf.DUMMYFUNCTION("""COMPUTED_VALUE"""),"2000")</f>
        <v>2000</v>
      </c>
      <c r="P821" s="3" t="str">
        <f ca="1">IFERROR(__xludf.DUMMYFUNCTION("""COMPUTED_VALUE"""),"1400")</f>
        <v>1400</v>
      </c>
      <c r="Q821" s="3" t="str">
        <f ca="1">IFERROR(__xludf.DUMMYFUNCTION("""COMPUTED_VALUE"""),"2000x1400")</f>
        <v>2000x1400</v>
      </c>
      <c r="R821" s="3"/>
      <c r="S821" s="3" t="str">
        <f ca="1">IFERROR(__xludf.DUMMYFUNCTION("""COMPUTED_VALUE"""),"500 + 200 (600+200 HTML5)")</f>
        <v>500 + 200 (600+200 HTML5)</v>
      </c>
      <c r="T821" s="3"/>
      <c r="U821" s="3" t="str">
        <f ca="1">IFERROR(__xludf.DUMMYFUNCTION("""COMPUTED_VALUE"""),"banner standard")</f>
        <v>banner standard</v>
      </c>
      <c r="V821" s="3"/>
      <c r="W821" s="4" t="str">
        <f ca="1">IFERROR(__xludf.DUMMYFUNCTION("""COMPUTED_VALUE"""),"https://reklama.cncenter.cz/Online/branding")</f>
        <v>https://reklama.cncenter.cz/Online/branding</v>
      </c>
      <c r="X821" s="3"/>
      <c r="Y821" s="3"/>
      <c r="Z821" s="3" t="str">
        <f ca="1">IFERROR(__xludf.DUMMYFUNCTION("""COMPUTED_VALUE"""),"podklady@cncenter.cz")</f>
        <v>podklady@cncenter.cz</v>
      </c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 t="str">
        <f ca="1">IFERROR(__xludf.DUMMYFUNCTION("""COMPUTED_VALUE"""),"desktop")</f>
        <v>desktop</v>
      </c>
      <c r="AO821" s="3"/>
      <c r="AP821" s="3"/>
      <c r="AQ821" s="3"/>
      <c r="AR821" s="3"/>
      <c r="AS821" s="3"/>
      <c r="AT821" s="3"/>
      <c r="AU821" s="3" t="str">
        <f ca="1">IFERROR(__xludf.DUMMYFUNCTION("""COMPUTED_VALUE"""),"branding")</f>
        <v>branding</v>
      </c>
    </row>
    <row r="822" spans="1:47" x14ac:dyDescent="0.3">
      <c r="A822" s="3">
        <f ca="1"/>
        <v>2346826</v>
      </c>
      <c r="B822" s="3" t="str">
        <f ca="1"/>
        <v>CZECH NEWS CENTER a. s.</v>
      </c>
      <c r="C822" s="3" t="str">
        <f ca="1">IFERROR(__xludf.DUMMYFUNCTION("""COMPUTED_VALUE"""),"Moje zdraví")</f>
        <v>Moje zdraví</v>
      </c>
      <c r="D822" s="4" t="str">
        <f ca="1">IFERROR(__xludf.DUMMYFUNCTION("""COMPUTED_VALUE"""),"https://mojezdravi.cz")</f>
        <v>https://mojezdravi.cz</v>
      </c>
      <c r="E822" s="3" t="str">
        <f ca="1">IFERROR(__xludf.DUMMYFUNCTION("""COMPUTED_VALUE"""),"celý web")</f>
        <v>celý web</v>
      </c>
      <c r="F822" s="4" t="str">
        <f ca="1">IFERROR(__xludf.DUMMYFUNCTION("""COMPUTED_VALUE"""),"https://mojezdravi.cz")</f>
        <v>https://mojezdravi.cz</v>
      </c>
      <c r="G822" s="3" t="str">
        <f ca="1">IFERROR(__xludf.DUMMYFUNCTION("""COMPUTED_VALUE"""),"cílený billboard bottom high season")</f>
        <v>cílený billboard bottom high season</v>
      </c>
      <c r="H822" s="3">
        <f ca="1">IFERROR(__xludf.DUMMYFUNCTION("""COMPUTED_VALUE"""),7)</f>
        <v>7</v>
      </c>
      <c r="I822" s="5">
        <f ca="1">IFERROR(__xludf.DUMMYFUNCTION("""COMPUTED_VALUE"""),1000)</f>
        <v>1000</v>
      </c>
      <c r="J822" s="5">
        <f ca="1">IFERROR(__xludf.DUMMYFUNCTION("""COMPUTED_VALUE"""),528)</f>
        <v>528</v>
      </c>
      <c r="K822" s="3"/>
      <c r="L822" s="3" t="str">
        <f ca="1">IFERROR(__xludf.DUMMYFUNCTION("""COMPUTED_VALUE"""),"Cost per period")</f>
        <v>Cost per period</v>
      </c>
      <c r="M822" s="3"/>
      <c r="N822" s="3"/>
      <c r="O822" s="3" t="str">
        <f ca="1">IFERROR(__xludf.DUMMYFUNCTION("""COMPUTED_VALUE"""),"970")</f>
        <v>970</v>
      </c>
      <c r="P822" s="3" t="str">
        <f ca="1">IFERROR(__xludf.DUMMYFUNCTION("""COMPUTED_VALUE"""),"250")</f>
        <v>250</v>
      </c>
      <c r="Q822" s="3" t="str">
        <f ca="1">IFERROR(__xludf.DUMMYFUNCTION("""COMPUTED_VALUE"""),"970x250")</f>
        <v>970x250</v>
      </c>
      <c r="R822" s="3"/>
      <c r="S822" s="3" t="str">
        <f ca="1">IFERROR(__xludf.DUMMYFUNCTION("""COMPUTED_VALUE"""),"100 (200 - HTML5)")</f>
        <v>100 (200 - HTML5)</v>
      </c>
      <c r="T822" s="3"/>
      <c r="U822" s="3" t="str">
        <f ca="1">IFERROR(__xludf.DUMMYFUNCTION("""COMPUTED_VALUE"""),"banner standard")</f>
        <v>banner standard</v>
      </c>
      <c r="V822" s="3"/>
      <c r="W822" s="4" t="str">
        <f ca="1">IFERROR(__xludf.DUMMYFUNCTION("""COMPUTED_VALUE"""),"https://reklama.cncenter.cz/Online/billboard-bottom")</f>
        <v>https://reklama.cncenter.cz/Online/billboard-bottom</v>
      </c>
      <c r="X822" s="3"/>
      <c r="Y822" s="3"/>
      <c r="Z822" s="3" t="str">
        <f ca="1">IFERROR(__xludf.DUMMYFUNCTION("""COMPUTED_VALUE"""),"podklady@cncenter.cz")</f>
        <v>podklady@cncenter.cz</v>
      </c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 t="str">
        <f ca="1">IFERROR(__xludf.DUMMYFUNCTION("""COMPUTED_VALUE"""),"desktop")</f>
        <v>desktop</v>
      </c>
      <c r="AO822" s="3"/>
      <c r="AP822" s="3"/>
      <c r="AQ822" s="3"/>
      <c r="AR822" s="3"/>
      <c r="AS822" s="3"/>
      <c r="AT822" s="3"/>
      <c r="AU822" s="3" t="str">
        <f ca="1">IFERROR(__xludf.DUMMYFUNCTION("""COMPUTED_VALUE"""),"cílený billboard bottom")</f>
        <v>cílený billboard bottom</v>
      </c>
    </row>
    <row r="823" spans="1:47" x14ac:dyDescent="0.3">
      <c r="A823" s="3">
        <f ca="1"/>
        <v>2346826</v>
      </c>
      <c r="B823" s="3" t="str">
        <f ca="1"/>
        <v>CZECH NEWS CENTER a. s.</v>
      </c>
      <c r="C823" s="3" t="str">
        <f ca="1">IFERROR(__xludf.DUMMYFUNCTION("""COMPUTED_VALUE"""),"Moje zdraví")</f>
        <v>Moje zdraví</v>
      </c>
      <c r="D823" s="4" t="str">
        <f ca="1">IFERROR(__xludf.DUMMYFUNCTION("""COMPUTED_VALUE"""),"https://mojezdravi.cz")</f>
        <v>https://mojezdravi.cz</v>
      </c>
      <c r="E823" s="3" t="str">
        <f ca="1">IFERROR(__xludf.DUMMYFUNCTION("""COMPUTED_VALUE"""),"celý web")</f>
        <v>celý web</v>
      </c>
      <c r="F823" s="4" t="str">
        <f ca="1">IFERROR(__xludf.DUMMYFUNCTION("""COMPUTED_VALUE"""),"https://mojezdravi.cz")</f>
        <v>https://mojezdravi.cz</v>
      </c>
      <c r="G823" s="3" t="str">
        <f ca="1">IFERROR(__xludf.DUMMYFUNCTION("""COMPUTED_VALUE"""),"cílený branding cross-device high season")</f>
        <v>cílený branding cross-device high season</v>
      </c>
      <c r="H823" s="3">
        <f ca="1">IFERROR(__xludf.DUMMYFUNCTION("""COMPUTED_VALUE"""),7)</f>
        <v>7</v>
      </c>
      <c r="I823" s="5">
        <f ca="1">IFERROR(__xludf.DUMMYFUNCTION("""COMPUTED_VALUE"""),1000)</f>
        <v>1000</v>
      </c>
      <c r="J823" s="5">
        <f ca="1">IFERROR(__xludf.DUMMYFUNCTION("""COMPUTED_VALUE"""),648)</f>
        <v>648</v>
      </c>
      <c r="K823" s="3"/>
      <c r="L823" s="3" t="str">
        <f ca="1">IFERROR(__xludf.DUMMYFUNCTION("""COMPUTED_VALUE"""),"Cost per period")</f>
        <v>Cost per period</v>
      </c>
      <c r="M823" s="3"/>
      <c r="N823" s="3"/>
      <c r="O823" s="3" t="str">
        <f ca="1">IFERROR(__xludf.DUMMYFUNCTION("""COMPUTED_VALUE"""),"2000")</f>
        <v>2000</v>
      </c>
      <c r="P823" s="3" t="str">
        <f ca="1">IFERROR(__xludf.DUMMYFUNCTION("""COMPUTED_VALUE"""),"1400")</f>
        <v>1400</v>
      </c>
      <c r="Q823" s="3" t="str">
        <f ca="1">IFERROR(__xludf.DUMMYFUNCTION("""COMPUTED_VALUE"""),"2000x1400 + 600x1080")</f>
        <v>2000x1400 + 600x1080</v>
      </c>
      <c r="R823" s="3"/>
      <c r="S823" s="3" t="str">
        <f ca="1">IFERROR(__xludf.DUMMYFUNCTION("""COMPUTED_VALUE"""),"500 (600 - HTLM5)")</f>
        <v>500 (600 - HTLM5)</v>
      </c>
      <c r="T823" s="3"/>
      <c r="U823" s="3" t="str">
        <f ca="1">IFERROR(__xludf.DUMMYFUNCTION("""COMPUTED_VALUE"""),"banner standard")</f>
        <v>banner standard</v>
      </c>
      <c r="V823" s="3"/>
      <c r="W823" s="4" t="str">
        <f ca="1">IFERROR(__xludf.DUMMYFUNCTION("""COMPUTED_VALUE"""),"https://reklama.cncenter.cz/Online/branding-cross-device")</f>
        <v>https://reklama.cncenter.cz/Online/branding-cross-device</v>
      </c>
      <c r="X823" s="3"/>
      <c r="Y823" s="3"/>
      <c r="Z823" s="3" t="str">
        <f ca="1">IFERROR(__xludf.DUMMYFUNCTION("""COMPUTED_VALUE"""),"podklady@cncenter.cz")</f>
        <v>podklady@cncenter.cz</v>
      </c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 t="str">
        <f ca="1">IFERROR(__xludf.DUMMYFUNCTION("""COMPUTED_VALUE"""),"cross-device")</f>
        <v>cross-device</v>
      </c>
      <c r="AO823" s="3"/>
      <c r="AP823" s="3"/>
      <c r="AQ823" s="3"/>
      <c r="AR823" s="3"/>
      <c r="AS823" s="3"/>
      <c r="AT823" s="3"/>
      <c r="AU823" s="3" t="str">
        <f ca="1">IFERROR(__xludf.DUMMYFUNCTION("""COMPUTED_VALUE"""),"cílený branding cross-device")</f>
        <v>cílený branding cross-device</v>
      </c>
    </row>
    <row r="824" spans="1:47" x14ac:dyDescent="0.3">
      <c r="A824" s="3">
        <f ca="1"/>
        <v>2346826</v>
      </c>
      <c r="B824" s="3" t="str">
        <f ca="1"/>
        <v>CZECH NEWS CENTER a. s.</v>
      </c>
      <c r="C824" s="3" t="str">
        <f ca="1">IFERROR(__xludf.DUMMYFUNCTION("""COMPUTED_VALUE"""),"Moje zdraví")</f>
        <v>Moje zdraví</v>
      </c>
      <c r="D824" s="4" t="str">
        <f ca="1">IFERROR(__xludf.DUMMYFUNCTION("""COMPUTED_VALUE"""),"https://mojezdravi.cz")</f>
        <v>https://mojezdravi.cz</v>
      </c>
      <c r="E824" s="3" t="str">
        <f ca="1">IFERROR(__xludf.DUMMYFUNCTION("""COMPUTED_VALUE"""),"celý web")</f>
        <v>celý web</v>
      </c>
      <c r="F824" s="4" t="str">
        <f ca="1">IFERROR(__xludf.DUMMYFUNCTION("""COMPUTED_VALUE"""),"https://mojezdravi.cz")</f>
        <v>https://mojezdravi.cz</v>
      </c>
      <c r="G824" s="3" t="str">
        <f ca="1">IFERROR(__xludf.DUMMYFUNCTION("""COMPUTED_VALUE"""),"cílený branding high season")</f>
        <v>cílený branding high season</v>
      </c>
      <c r="H824" s="3">
        <f ca="1">IFERROR(__xludf.DUMMYFUNCTION("""COMPUTED_VALUE"""),7)</f>
        <v>7</v>
      </c>
      <c r="I824" s="5">
        <f ca="1">IFERROR(__xludf.DUMMYFUNCTION("""COMPUTED_VALUE"""),1000)</f>
        <v>1000</v>
      </c>
      <c r="J824" s="5">
        <f ca="1">IFERROR(__xludf.DUMMYFUNCTION("""COMPUTED_VALUE"""),1068)</f>
        <v>1068</v>
      </c>
      <c r="K824" s="3"/>
      <c r="L824" s="3" t="str">
        <f ca="1">IFERROR(__xludf.DUMMYFUNCTION("""COMPUTED_VALUE"""),"Cost per period")</f>
        <v>Cost per period</v>
      </c>
      <c r="M824" s="3"/>
      <c r="N824" s="3"/>
      <c r="O824" s="3" t="str">
        <f ca="1">IFERROR(__xludf.DUMMYFUNCTION("""COMPUTED_VALUE"""),"2000")</f>
        <v>2000</v>
      </c>
      <c r="P824" s="3" t="str">
        <f ca="1">IFERROR(__xludf.DUMMYFUNCTION("""COMPUTED_VALUE"""),"1400")</f>
        <v>1400</v>
      </c>
      <c r="Q824" s="3" t="str">
        <f ca="1">IFERROR(__xludf.DUMMYFUNCTION("""COMPUTED_VALUE"""),"2000x1400")</f>
        <v>2000x1400</v>
      </c>
      <c r="R824" s="3"/>
      <c r="S824" s="3" t="str">
        <f ca="1">IFERROR(__xludf.DUMMYFUNCTION("""COMPUTED_VALUE"""),"500 + 200 (600+200 HTML5)")</f>
        <v>500 + 200 (600+200 HTML5)</v>
      </c>
      <c r="T824" s="3"/>
      <c r="U824" s="3" t="str">
        <f ca="1">IFERROR(__xludf.DUMMYFUNCTION("""COMPUTED_VALUE"""),"banner standard")</f>
        <v>banner standard</v>
      </c>
      <c r="V824" s="3"/>
      <c r="W824" s="4" t="str">
        <f ca="1">IFERROR(__xludf.DUMMYFUNCTION("""COMPUTED_VALUE"""),"https://reklama.cncenter.cz/Online/branding")</f>
        <v>https://reklama.cncenter.cz/Online/branding</v>
      </c>
      <c r="X824" s="3"/>
      <c r="Y824" s="3"/>
      <c r="Z824" s="3" t="str">
        <f ca="1">IFERROR(__xludf.DUMMYFUNCTION("""COMPUTED_VALUE"""),"podklady@cncenter.cz")</f>
        <v>podklady@cncenter.cz</v>
      </c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 t="str">
        <f ca="1">IFERROR(__xludf.DUMMYFUNCTION("""COMPUTED_VALUE"""),"desktop")</f>
        <v>desktop</v>
      </c>
      <c r="AO824" s="3"/>
      <c r="AP824" s="3"/>
      <c r="AQ824" s="3"/>
      <c r="AR824" s="3"/>
      <c r="AS824" s="3"/>
      <c r="AT824" s="3"/>
      <c r="AU824" s="3" t="str">
        <f ca="1">IFERROR(__xludf.DUMMYFUNCTION("""COMPUTED_VALUE"""),"cílený branding")</f>
        <v>cílený branding</v>
      </c>
    </row>
    <row r="825" spans="1:47" x14ac:dyDescent="0.3">
      <c r="A825" s="3">
        <f ca="1"/>
        <v>2346826</v>
      </c>
      <c r="B825" s="3" t="str">
        <f ca="1"/>
        <v>CZECH NEWS CENTER a. s.</v>
      </c>
      <c r="C825" s="3" t="str">
        <f ca="1">IFERROR(__xludf.DUMMYFUNCTION("""COMPUTED_VALUE"""),"Moje zdraví")</f>
        <v>Moje zdraví</v>
      </c>
      <c r="D825" s="4" t="str">
        <f ca="1">IFERROR(__xludf.DUMMYFUNCTION("""COMPUTED_VALUE"""),"https://mojezdravi.cz")</f>
        <v>https://mojezdravi.cz</v>
      </c>
      <c r="E825" s="3" t="str">
        <f ca="1">IFERROR(__xludf.DUMMYFUNCTION("""COMPUTED_VALUE"""),"celý web")</f>
        <v>celý web</v>
      </c>
      <c r="F825" s="4" t="str">
        <f ca="1">IFERROR(__xludf.DUMMYFUNCTION("""COMPUTED_VALUE"""),"https://mojezdravi.cz")</f>
        <v>https://mojezdravi.cz</v>
      </c>
      <c r="G825" s="3" t="str">
        <f ca="1">IFERROR(__xludf.DUMMYFUNCTION("""COMPUTED_VALUE"""),"cílený double skyscraper high season")</f>
        <v>cílený double skyscraper high season</v>
      </c>
      <c r="H825" s="3">
        <f ca="1">IFERROR(__xludf.DUMMYFUNCTION("""COMPUTED_VALUE"""),7)</f>
        <v>7</v>
      </c>
      <c r="I825" s="5">
        <f ca="1">IFERROR(__xludf.DUMMYFUNCTION("""COMPUTED_VALUE"""),1000)</f>
        <v>1000</v>
      </c>
      <c r="J825" s="5">
        <f ca="1">IFERROR(__xludf.DUMMYFUNCTION("""COMPUTED_VALUE"""),420)</f>
        <v>420</v>
      </c>
      <c r="K825" s="3"/>
      <c r="L825" s="3" t="str">
        <f ca="1">IFERROR(__xludf.DUMMYFUNCTION("""COMPUTED_VALUE"""),"Cost per period")</f>
        <v>Cost per period</v>
      </c>
      <c r="M825" s="3"/>
      <c r="N825" s="3"/>
      <c r="O825" s="3" t="str">
        <f ca="1">IFERROR(__xludf.DUMMYFUNCTION("""COMPUTED_VALUE"""),"300")</f>
        <v>300</v>
      </c>
      <c r="P825" s="3" t="str">
        <f ca="1">IFERROR(__xludf.DUMMYFUNCTION("""COMPUTED_VALUE"""),"600")</f>
        <v>600</v>
      </c>
      <c r="Q825" s="3" t="str">
        <f ca="1">IFERROR(__xludf.DUMMYFUNCTION("""COMPUTED_VALUE"""),"300x600")</f>
        <v>300x600</v>
      </c>
      <c r="R825" s="3"/>
      <c r="S825" s="3" t="str">
        <f ca="1">IFERROR(__xludf.DUMMYFUNCTION("""COMPUTED_VALUE"""),"100 (200 - HTML5)")</f>
        <v>100 (200 - HTML5)</v>
      </c>
      <c r="T825" s="3"/>
      <c r="U825" s="3" t="str">
        <f ca="1">IFERROR(__xludf.DUMMYFUNCTION("""COMPUTED_VALUE"""),"banner standard")</f>
        <v>banner standard</v>
      </c>
      <c r="V825" s="3"/>
      <c r="W825" s="4" t="str">
        <f ca="1">IFERROR(__xludf.DUMMYFUNCTION("""COMPUTED_VALUE"""),"https://reklama.cncenter.cz/Online/double-skyscraper")</f>
        <v>https://reklama.cncenter.cz/Online/double-skyscraper</v>
      </c>
      <c r="X825" s="3"/>
      <c r="Y825" s="3"/>
      <c r="Z825" s="3" t="str">
        <f ca="1">IFERROR(__xludf.DUMMYFUNCTION("""COMPUTED_VALUE"""),"podklady@cncenter.cz")</f>
        <v>podklady@cncenter.cz</v>
      </c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 t="str">
        <f ca="1">IFERROR(__xludf.DUMMYFUNCTION("""COMPUTED_VALUE"""),"desktop")</f>
        <v>desktop</v>
      </c>
      <c r="AO825" s="3"/>
      <c r="AP825" s="3"/>
      <c r="AQ825" s="3"/>
      <c r="AR825" s="3"/>
      <c r="AS825" s="3"/>
      <c r="AT825" s="3"/>
      <c r="AU825" s="3" t="str">
        <f ca="1">IFERROR(__xludf.DUMMYFUNCTION("""COMPUTED_VALUE"""),"cílený double skyscraper")</f>
        <v>cílený double skyscraper</v>
      </c>
    </row>
    <row r="826" spans="1:47" x14ac:dyDescent="0.3">
      <c r="A826" s="3">
        <f ca="1"/>
        <v>2346826</v>
      </c>
      <c r="B826" s="3" t="str">
        <f ca="1"/>
        <v>CZECH NEWS CENTER a. s.</v>
      </c>
      <c r="C826" s="3" t="str">
        <f ca="1">IFERROR(__xludf.DUMMYFUNCTION("""COMPUTED_VALUE"""),"Moje zdraví")</f>
        <v>Moje zdraví</v>
      </c>
      <c r="D826" s="4" t="str">
        <f ca="1">IFERROR(__xludf.DUMMYFUNCTION("""COMPUTED_VALUE"""),"https://mojezdravi.cz")</f>
        <v>https://mojezdravi.cz</v>
      </c>
      <c r="E826" s="3" t="str">
        <f ca="1">IFERROR(__xludf.DUMMYFUNCTION("""COMPUTED_VALUE"""),"celý web")</f>
        <v>celý web</v>
      </c>
      <c r="F826" s="4" t="str">
        <f ca="1">IFERROR(__xludf.DUMMYFUNCTION("""COMPUTED_VALUE"""),"https://mojezdravi.cz")</f>
        <v>https://mojezdravi.cz</v>
      </c>
      <c r="G826" s="3" t="str">
        <f ca="1">IFERROR(__xludf.DUMMYFUNCTION("""COMPUTED_VALUE"""),"cílený mini videospot - max. 30 sec. high season")</f>
        <v>cílený mini videospot - max. 30 sec. high season</v>
      </c>
      <c r="H826" s="3">
        <f ca="1">IFERROR(__xludf.DUMMYFUNCTION("""COMPUTED_VALUE"""),7)</f>
        <v>7</v>
      </c>
      <c r="I826" s="5">
        <f ca="1">IFERROR(__xludf.DUMMYFUNCTION("""COMPUTED_VALUE"""),1000)</f>
        <v>1000</v>
      </c>
      <c r="J826" s="5">
        <f ca="1">IFERROR(__xludf.DUMMYFUNCTION("""COMPUTED_VALUE"""),312)</f>
        <v>312</v>
      </c>
      <c r="K826" s="3"/>
      <c r="L826" s="3" t="str">
        <f ca="1">IFERROR(__xludf.DUMMYFUNCTION("""COMPUTED_VALUE"""),"Cost per period")</f>
        <v>Cost per period</v>
      </c>
      <c r="M826" s="3"/>
      <c r="N826" s="3"/>
      <c r="O826" s="3"/>
      <c r="P826" s="3"/>
      <c r="Q826" s="3" t="str">
        <f ca="1">IFERROR(__xludf.DUMMYFUNCTION("""COMPUTED_VALUE"""),"16:9 / umístění po domluvě dle možností")</f>
        <v>16:9 / umístění po domluvě dle možností</v>
      </c>
      <c r="R826" s="3" t="str">
        <f ca="1">IFERROR(__xludf.DUMMYFUNCTION("""COMPUTED_VALUE"""),"přeskočení po 7 sekundách")</f>
        <v>přeskočení po 7 sekundách</v>
      </c>
      <c r="S826" s="3" t="str">
        <f ca="1">IFERROR(__xludf.DUMMYFUNCTION("""COMPUTED_VALUE"""),"100")</f>
        <v>100</v>
      </c>
      <c r="T826" s="3"/>
      <c r="U826" s="3" t="str">
        <f ca="1">IFERROR(__xludf.DUMMYFUNCTION("""COMPUTED_VALUE"""),"videospot")</f>
        <v>videospot</v>
      </c>
      <c r="V826" s="3"/>
      <c r="W826" s="4" t="str">
        <f ca="1">IFERROR(__xludf.DUMMYFUNCTION("""COMPUTED_VALUE"""),"https://reklama.cncenter.cz/Online/Videospot")</f>
        <v>https://reklama.cncenter.cz/Online/Videospot</v>
      </c>
      <c r="X826" s="3"/>
      <c r="Y826" s="3"/>
      <c r="Z826" s="3" t="str">
        <f ca="1">IFERROR(__xludf.DUMMYFUNCTION("""COMPUTED_VALUE"""),"podklady@cncenter.cz")</f>
        <v>podklady@cncenter.cz</v>
      </c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 t="str">
        <f ca="1">IFERROR(__xludf.DUMMYFUNCTION("""COMPUTED_VALUE"""),"desktop")</f>
        <v>desktop</v>
      </c>
      <c r="AO826" s="3"/>
      <c r="AP826" s="3"/>
      <c r="AQ826" s="3"/>
      <c r="AR826" s="3"/>
      <c r="AS826" s="3"/>
      <c r="AT826" s="3"/>
      <c r="AU826" s="3" t="str">
        <f ca="1">IFERROR(__xludf.DUMMYFUNCTION("""COMPUTED_VALUE"""),"cílený mini videospot - max. 30 sec.")</f>
        <v>cílený mini videospot - max. 30 sec.</v>
      </c>
    </row>
    <row r="827" spans="1:47" x14ac:dyDescent="0.3">
      <c r="A827" s="3">
        <f ca="1"/>
        <v>2346826</v>
      </c>
      <c r="B827" s="3" t="str">
        <f ca="1"/>
        <v>CZECH NEWS CENTER a. s.</v>
      </c>
      <c r="C827" s="3" t="str">
        <f ca="1">IFERROR(__xludf.DUMMYFUNCTION("""COMPUTED_VALUE"""),"Moje zdraví")</f>
        <v>Moje zdraví</v>
      </c>
      <c r="D827" s="4" t="str">
        <f ca="1">IFERROR(__xludf.DUMMYFUNCTION("""COMPUTED_VALUE"""),"https://mojezdravi.cz")</f>
        <v>https://mojezdravi.cz</v>
      </c>
      <c r="E827" s="3" t="str">
        <f ca="1">IFERROR(__xludf.DUMMYFUNCTION("""COMPUTED_VALUE"""),"celý web")</f>
        <v>celý web</v>
      </c>
      <c r="F827" s="4" t="str">
        <f ca="1">IFERROR(__xludf.DUMMYFUNCTION("""COMPUTED_VALUE"""),"https://mojezdravi.cz")</f>
        <v>https://mojezdravi.cz</v>
      </c>
      <c r="G827" s="3" t="str">
        <f ca="1">IFERROR(__xludf.DUMMYFUNCTION("""COMPUTED_VALUE"""),"cílený mobilní interscroller high season")</f>
        <v>cílený mobilní interscroller high season</v>
      </c>
      <c r="H827" s="3">
        <f ca="1">IFERROR(__xludf.DUMMYFUNCTION("""COMPUTED_VALUE"""),7)</f>
        <v>7</v>
      </c>
      <c r="I827" s="5">
        <f ca="1">IFERROR(__xludf.DUMMYFUNCTION("""COMPUTED_VALUE"""),1000)</f>
        <v>1000</v>
      </c>
      <c r="J827" s="5">
        <f ca="1">IFERROR(__xludf.DUMMYFUNCTION("""COMPUTED_VALUE"""),540)</f>
        <v>540</v>
      </c>
      <c r="K827" s="3"/>
      <c r="L827" s="3" t="str">
        <f ca="1">IFERROR(__xludf.DUMMYFUNCTION("""COMPUTED_VALUE"""),"Cost per period")</f>
        <v>Cost per period</v>
      </c>
      <c r="M827" s="3"/>
      <c r="N827" s="3"/>
      <c r="O827" s="3" t="str">
        <f ca="1">IFERROR(__xludf.DUMMYFUNCTION("""COMPUTED_VALUE"""),"600")</f>
        <v>600</v>
      </c>
      <c r="P827" s="3" t="str">
        <f ca="1">IFERROR(__xludf.DUMMYFUNCTION("""COMPUTED_VALUE"""),"1080")</f>
        <v>1080</v>
      </c>
      <c r="Q827" s="3" t="str">
        <f ca="1">IFERROR(__xludf.DUMMYFUNCTION("""COMPUTED_VALUE"""),"600x1080")</f>
        <v>600x1080</v>
      </c>
      <c r="R827" s="3"/>
      <c r="S827" s="3" t="str">
        <f ca="1">IFERROR(__xludf.DUMMYFUNCTION("""COMPUTED_VALUE"""),"200")</f>
        <v>200</v>
      </c>
      <c r="T827" s="3"/>
      <c r="U827" s="3" t="str">
        <f ca="1">IFERROR(__xludf.DUMMYFUNCTION("""COMPUTED_VALUE"""),"banner standard")</f>
        <v>banner standard</v>
      </c>
      <c r="V827" s="3"/>
      <c r="W827" s="4" t="str">
        <f ca="1">IFERROR(__xludf.DUMMYFUNCTION("""COMPUTED_VALUE"""),"https://reklama.cncenter.cz/Online/mobilni-interscroller")</f>
        <v>https://reklama.cncenter.cz/Online/mobilni-interscroller</v>
      </c>
      <c r="X827" s="3"/>
      <c r="Y827" s="3"/>
      <c r="Z827" s="3" t="str">
        <f ca="1">IFERROR(__xludf.DUMMYFUNCTION("""COMPUTED_VALUE"""),"podklady@cncenter.cz")</f>
        <v>podklady@cncenter.cz</v>
      </c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 t="str">
        <f ca="1">IFERROR(__xludf.DUMMYFUNCTION("""COMPUTED_VALUE"""),"mobile")</f>
        <v>mobile</v>
      </c>
      <c r="AO827" s="3"/>
      <c r="AP827" s="3"/>
      <c r="AQ827" s="3"/>
      <c r="AR827" s="3"/>
      <c r="AS827" s="3"/>
      <c r="AT827" s="3"/>
      <c r="AU827" s="3" t="str">
        <f ca="1">IFERROR(__xludf.DUMMYFUNCTION("""COMPUTED_VALUE"""),"cílený mobilní interscroller")</f>
        <v>cílený mobilní interscroller</v>
      </c>
    </row>
    <row r="828" spans="1:47" x14ac:dyDescent="0.3">
      <c r="A828" s="3">
        <f ca="1"/>
        <v>2346826</v>
      </c>
      <c r="B828" s="3" t="str">
        <f ca="1"/>
        <v>CZECH NEWS CENTER a. s.</v>
      </c>
      <c r="C828" s="3" t="str">
        <f ca="1">IFERROR(__xludf.DUMMYFUNCTION("""COMPUTED_VALUE"""),"Moje zdraví")</f>
        <v>Moje zdraví</v>
      </c>
      <c r="D828" s="4" t="str">
        <f ca="1">IFERROR(__xludf.DUMMYFUNCTION("""COMPUTED_VALUE"""),"https://mojezdravi.cz")</f>
        <v>https://mojezdravi.cz</v>
      </c>
      <c r="E828" s="3" t="str">
        <f ca="1">IFERROR(__xludf.DUMMYFUNCTION("""COMPUTED_VALUE"""),"celý web")</f>
        <v>celý web</v>
      </c>
      <c r="F828" s="4" t="str">
        <f ca="1">IFERROR(__xludf.DUMMYFUNCTION("""COMPUTED_VALUE"""),"https://mojezdravi.cz")</f>
        <v>https://mojezdravi.cz</v>
      </c>
      <c r="G828" s="3" t="str">
        <f ca="1">IFERROR(__xludf.DUMMYFUNCTION("""COMPUTED_VALUE"""),"cílený mobilní slide-up high season")</f>
        <v>cílený mobilní slide-up high season</v>
      </c>
      <c r="H828" s="3">
        <f ca="1">IFERROR(__xludf.DUMMYFUNCTION("""COMPUTED_VALUE"""),7)</f>
        <v>7</v>
      </c>
      <c r="I828" s="5">
        <f ca="1">IFERROR(__xludf.DUMMYFUNCTION("""COMPUTED_VALUE"""),1000)</f>
        <v>1000</v>
      </c>
      <c r="J828" s="5">
        <f ca="1">IFERROR(__xludf.DUMMYFUNCTION("""COMPUTED_VALUE"""),1104)</f>
        <v>1104</v>
      </c>
      <c r="K828" s="3"/>
      <c r="L828" s="3" t="str">
        <f ca="1">IFERROR(__xludf.DUMMYFUNCTION("""COMPUTED_VALUE"""),"Cost per period")</f>
        <v>Cost per period</v>
      </c>
      <c r="M828" s="3"/>
      <c r="N828" s="3"/>
      <c r="O828" s="3" t="str">
        <f ca="1">IFERROR(__xludf.DUMMYFUNCTION("""COMPUTED_VALUE"""),"300")</f>
        <v>300</v>
      </c>
      <c r="P828" s="3" t="str">
        <f ca="1">IFERROR(__xludf.DUMMYFUNCTION("""COMPUTED_VALUE"""),"120")</f>
        <v>120</v>
      </c>
      <c r="Q828" s="3" t="str">
        <f ca="1">IFERROR(__xludf.DUMMYFUNCTION("""COMPUTED_VALUE"""),"300x120")</f>
        <v>300x120</v>
      </c>
      <c r="R828" s="3"/>
      <c r="S828" s="3" t="str">
        <f ca="1">IFERROR(__xludf.DUMMYFUNCTION("""COMPUTED_VALUE"""),"100")</f>
        <v>100</v>
      </c>
      <c r="T828" s="3"/>
      <c r="U828" s="3" t="str">
        <f ca="1">IFERROR(__xludf.DUMMYFUNCTION("""COMPUTED_VALUE"""),"banner standard")</f>
        <v>banner standard</v>
      </c>
      <c r="V828" s="3"/>
      <c r="W828" s="4" t="str">
        <f ca="1">IFERROR(__xludf.DUMMYFUNCTION("""COMPUTED_VALUE"""),"https://reklama.cncenter.cz/Online/mobilni-slide-up")</f>
        <v>https://reklama.cncenter.cz/Online/mobilni-slide-up</v>
      </c>
      <c r="X828" s="3"/>
      <c r="Y828" s="3"/>
      <c r="Z828" s="3" t="str">
        <f ca="1">IFERROR(__xludf.DUMMYFUNCTION("""COMPUTED_VALUE"""),"podklady@cncenter.cz")</f>
        <v>podklady@cncenter.cz</v>
      </c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 t="str">
        <f ca="1">IFERROR(__xludf.DUMMYFUNCTION("""COMPUTED_VALUE"""),"mobile")</f>
        <v>mobile</v>
      </c>
      <c r="AO828" s="3"/>
      <c r="AP828" s="3"/>
      <c r="AQ828" s="3"/>
      <c r="AR828" s="3"/>
      <c r="AS828" s="3"/>
      <c r="AT828" s="3"/>
      <c r="AU828" s="3" t="str">
        <f ca="1">IFERROR(__xludf.DUMMYFUNCTION("""COMPUTED_VALUE"""),"cílený mobilní slide-up")</f>
        <v>cílený mobilní slide-up</v>
      </c>
    </row>
    <row r="829" spans="1:47" x14ac:dyDescent="0.3">
      <c r="A829" s="3">
        <f ca="1"/>
        <v>2346826</v>
      </c>
      <c r="B829" s="3" t="str">
        <f ca="1"/>
        <v>CZECH NEWS CENTER a. s.</v>
      </c>
      <c r="C829" s="3" t="str">
        <f ca="1">IFERROR(__xludf.DUMMYFUNCTION("""COMPUTED_VALUE"""),"Moje zdraví")</f>
        <v>Moje zdraví</v>
      </c>
      <c r="D829" s="4" t="str">
        <f ca="1">IFERROR(__xludf.DUMMYFUNCTION("""COMPUTED_VALUE"""),"https://mojezdravi.cz")</f>
        <v>https://mojezdravi.cz</v>
      </c>
      <c r="E829" s="3" t="str">
        <f ca="1">IFERROR(__xludf.DUMMYFUNCTION("""COMPUTED_VALUE"""),"celý web")</f>
        <v>celý web</v>
      </c>
      <c r="F829" s="4" t="str">
        <f ca="1">IFERROR(__xludf.DUMMYFUNCTION("""COMPUTED_VALUE"""),"https://mojezdravi.cz")</f>
        <v>https://mojezdravi.cz</v>
      </c>
      <c r="G829" s="3" t="str">
        <f ca="1">IFERROR(__xludf.DUMMYFUNCTION("""COMPUTED_VALUE"""),"cílený mobilní viněta high season")</f>
        <v>cílený mobilní viněta high season</v>
      </c>
      <c r="H829" s="3">
        <f ca="1">IFERROR(__xludf.DUMMYFUNCTION("""COMPUTED_VALUE"""),7)</f>
        <v>7</v>
      </c>
      <c r="I829" s="5">
        <f ca="1">IFERROR(__xludf.DUMMYFUNCTION("""COMPUTED_VALUE"""),1000)</f>
        <v>1000</v>
      </c>
      <c r="J829" s="5">
        <f ca="1">IFERROR(__xludf.DUMMYFUNCTION("""COMPUTED_VALUE"""),1908)</f>
        <v>1908</v>
      </c>
      <c r="K829" s="3"/>
      <c r="L829" s="3" t="str">
        <f ca="1">IFERROR(__xludf.DUMMYFUNCTION("""COMPUTED_VALUE"""),"Cost per period")</f>
        <v>Cost per period</v>
      </c>
      <c r="M829" s="3"/>
      <c r="N829" s="3"/>
      <c r="O829" s="3" t="str">
        <f ca="1">IFERROR(__xludf.DUMMYFUNCTION("""COMPUTED_VALUE"""),"600")</f>
        <v>600</v>
      </c>
      <c r="P829" s="3" t="str">
        <f ca="1">IFERROR(__xludf.DUMMYFUNCTION("""COMPUTED_VALUE"""),"800")</f>
        <v>800</v>
      </c>
      <c r="Q829" s="3" t="str">
        <f ca="1">IFERROR(__xludf.DUMMYFUNCTION("""COMPUTED_VALUE"""),"300x250 nebo 600x800")</f>
        <v>300x250 nebo 600x800</v>
      </c>
      <c r="R829" s="3"/>
      <c r="S829" s="3" t="str">
        <f ca="1">IFERROR(__xludf.DUMMYFUNCTION("""COMPUTED_VALUE"""),"100")</f>
        <v>100</v>
      </c>
      <c r="T829" s="3"/>
      <c r="U829" s="3" t="str">
        <f ca="1">IFERROR(__xludf.DUMMYFUNCTION("""COMPUTED_VALUE"""),"banner standard")</f>
        <v>banner standard</v>
      </c>
      <c r="V829" s="3"/>
      <c r="W829" s="4" t="str">
        <f ca="1">IFERROR(__xludf.DUMMYFUNCTION("""COMPUTED_VALUE"""),"https://reklama.cncenter.cz/Online/mobilni-vineta")</f>
        <v>https://reklama.cncenter.cz/Online/mobilni-vineta</v>
      </c>
      <c r="X829" s="3"/>
      <c r="Y829" s="3"/>
      <c r="Z829" s="3" t="str">
        <f ca="1">IFERROR(__xludf.DUMMYFUNCTION("""COMPUTED_VALUE"""),"podklady@cncenter.cz")</f>
        <v>podklady@cncenter.cz</v>
      </c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 t="str">
        <f ca="1">IFERROR(__xludf.DUMMYFUNCTION("""COMPUTED_VALUE"""),"mobile")</f>
        <v>mobile</v>
      </c>
      <c r="AO829" s="3"/>
      <c r="AP829" s="3"/>
      <c r="AQ829" s="3"/>
      <c r="AR829" s="3"/>
      <c r="AS829" s="3"/>
      <c r="AT829" s="3"/>
      <c r="AU829" s="3" t="str">
        <f ca="1">IFERROR(__xludf.DUMMYFUNCTION("""COMPUTED_VALUE"""),"cílený mobilní viněta")</f>
        <v>cílený mobilní viněta</v>
      </c>
    </row>
    <row r="830" spans="1:47" x14ac:dyDescent="0.3">
      <c r="A830" s="3">
        <f ca="1"/>
        <v>2346826</v>
      </c>
      <c r="B830" s="3" t="str">
        <f ca="1"/>
        <v>CZECH NEWS CENTER a. s.</v>
      </c>
      <c r="C830" s="3" t="str">
        <f ca="1">IFERROR(__xludf.DUMMYFUNCTION("""COMPUTED_VALUE"""),"Moje zdraví")</f>
        <v>Moje zdraví</v>
      </c>
      <c r="D830" s="4" t="str">
        <f ca="1">IFERROR(__xludf.DUMMYFUNCTION("""COMPUTED_VALUE"""),"https://mojezdravi.cz")</f>
        <v>https://mojezdravi.cz</v>
      </c>
      <c r="E830" s="3" t="str">
        <f ca="1">IFERROR(__xludf.DUMMYFUNCTION("""COMPUTED_VALUE"""),"celý web")</f>
        <v>celý web</v>
      </c>
      <c r="F830" s="4" t="str">
        <f ca="1">IFERROR(__xludf.DUMMYFUNCTION("""COMPUTED_VALUE"""),"https://mojezdravi.cz")</f>
        <v>https://mojezdravi.cz</v>
      </c>
      <c r="G830" s="3" t="str">
        <f ca="1">IFERROR(__xludf.DUMMYFUNCTION("""COMPUTED_VALUE"""),"cílený nativní rectangle cross-device high season")</f>
        <v>cílený nativní rectangle cross-device high season</v>
      </c>
      <c r="H830" s="3">
        <f ca="1">IFERROR(__xludf.DUMMYFUNCTION("""COMPUTED_VALUE"""),7)</f>
        <v>7</v>
      </c>
      <c r="I830" s="5">
        <f ca="1">IFERROR(__xludf.DUMMYFUNCTION("""COMPUTED_VALUE"""),1000)</f>
        <v>1000</v>
      </c>
      <c r="J830" s="5">
        <f ca="1">IFERROR(__xludf.DUMMYFUNCTION("""COMPUTED_VALUE"""),432)</f>
        <v>432</v>
      </c>
      <c r="K830" s="3"/>
      <c r="L830" s="3" t="str">
        <f ca="1">IFERROR(__xludf.DUMMYFUNCTION("""COMPUTED_VALUE"""),"Cost per period")</f>
        <v>Cost per period</v>
      </c>
      <c r="M830" s="3"/>
      <c r="N830" s="3"/>
      <c r="O830" s="3" t="str">
        <f ca="1">IFERROR(__xludf.DUMMYFUNCTION("""COMPUTED_VALUE"""),"640")</f>
        <v>640</v>
      </c>
      <c r="P830" s="3" t="str">
        <f ca="1">IFERROR(__xludf.DUMMYFUNCTION("""COMPUTED_VALUE"""),"335, 640")</f>
        <v>335, 640</v>
      </c>
      <c r="Q830" s="3" t="str">
        <f ca="1">IFERROR(__xludf.DUMMYFUNCTION("""COMPUTED_VALUE"""),"640x640 a 640x335 + text + logo")</f>
        <v>640x640 a 640x335 + text + logo</v>
      </c>
      <c r="R830" s="3"/>
      <c r="S830" s="3" t="str">
        <f ca="1">IFERROR(__xludf.DUMMYFUNCTION("""COMPUTED_VALUE"""),"45")</f>
        <v>45</v>
      </c>
      <c r="T830" s="3"/>
      <c r="U830" s="3" t="str">
        <f ca="1">IFERROR(__xludf.DUMMYFUNCTION("""COMPUTED_VALUE"""),"nativní reklama")</f>
        <v>nativní reklama</v>
      </c>
      <c r="V830" s="3"/>
      <c r="W830" s="4" t="str">
        <f ca="1">IFERROR(__xludf.DUMMYFUNCTION("""COMPUTED_VALUE"""),"https://reklama.cncenter.cz/Online/nativni-rectangle-cross-device")</f>
        <v>https://reklama.cncenter.cz/Online/nativni-rectangle-cross-device</v>
      </c>
      <c r="X830" s="3"/>
      <c r="Y830" s="3"/>
      <c r="Z830" s="3" t="str">
        <f ca="1">IFERROR(__xludf.DUMMYFUNCTION("""COMPUTED_VALUE"""),"podklady@cncenter.cz")</f>
        <v>podklady@cncenter.cz</v>
      </c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 t="str">
        <f ca="1">IFERROR(__xludf.DUMMYFUNCTION("""COMPUTED_VALUE"""),"cross-device")</f>
        <v>cross-device</v>
      </c>
      <c r="AO830" s="3"/>
      <c r="AP830" s="3"/>
      <c r="AQ830" s="3"/>
      <c r="AR830" s="3"/>
      <c r="AS830" s="3"/>
      <c r="AT830" s="3"/>
      <c r="AU830" s="3" t="str">
        <f ca="1">IFERROR(__xludf.DUMMYFUNCTION("""COMPUTED_VALUE"""),"cílený nativní rectangle cross-device")</f>
        <v>cílený nativní rectangle cross-device</v>
      </c>
    </row>
    <row r="831" spans="1:47" x14ac:dyDescent="0.3">
      <c r="A831" s="3">
        <f ca="1"/>
        <v>2346826</v>
      </c>
      <c r="B831" s="3" t="str">
        <f ca="1"/>
        <v>CZECH NEWS CENTER a. s.</v>
      </c>
      <c r="C831" s="3" t="str">
        <f ca="1">IFERROR(__xludf.DUMMYFUNCTION("""COMPUTED_VALUE"""),"Moje zdraví")</f>
        <v>Moje zdraví</v>
      </c>
      <c r="D831" s="4" t="str">
        <f ca="1">IFERROR(__xludf.DUMMYFUNCTION("""COMPUTED_VALUE"""),"https://mojezdravi.cz")</f>
        <v>https://mojezdravi.cz</v>
      </c>
      <c r="E831" s="3" t="str">
        <f ca="1">IFERROR(__xludf.DUMMYFUNCTION("""COMPUTED_VALUE"""),"celý web")</f>
        <v>celý web</v>
      </c>
      <c r="F831" s="4" t="str">
        <f ca="1">IFERROR(__xludf.DUMMYFUNCTION("""COMPUTED_VALUE"""),"https://mojezdravi.cz")</f>
        <v>https://mojezdravi.cz</v>
      </c>
      <c r="G831" s="3" t="str">
        <f ca="1">IFERROR(__xludf.DUMMYFUNCTION("""COMPUTED_VALUE"""),"cílený outstream high season")</f>
        <v>cílený outstream high season</v>
      </c>
      <c r="H831" s="3">
        <f ca="1">IFERROR(__xludf.DUMMYFUNCTION("""COMPUTED_VALUE"""),7)</f>
        <v>7</v>
      </c>
      <c r="I831" s="5">
        <f ca="1">IFERROR(__xludf.DUMMYFUNCTION("""COMPUTED_VALUE"""),1000)</f>
        <v>1000</v>
      </c>
      <c r="J831" s="5">
        <f ca="1">IFERROR(__xludf.DUMMYFUNCTION("""COMPUTED_VALUE"""),540)</f>
        <v>540</v>
      </c>
      <c r="K831" s="3"/>
      <c r="L831" s="3" t="str">
        <f ca="1">IFERROR(__xludf.DUMMYFUNCTION("""COMPUTED_VALUE"""),"Cost per period")</f>
        <v>Cost per period</v>
      </c>
      <c r="M831" s="3"/>
      <c r="N831" s="3"/>
      <c r="O831" s="3" t="str">
        <f ca="1">IFERROR(__xludf.DUMMYFUNCTION("""COMPUTED_VALUE"""),"1280")</f>
        <v>1280</v>
      </c>
      <c r="P831" s="3" t="str">
        <f ca="1">IFERROR(__xludf.DUMMYFUNCTION("""COMPUTED_VALUE"""),"720")</f>
        <v>720</v>
      </c>
      <c r="Q831" s="3" t="str">
        <f ca="1">IFERROR(__xludf.DUMMYFUNCTION("""COMPUTED_VALUE"""),"16:9")</f>
        <v>16:9</v>
      </c>
      <c r="R831" s="3"/>
      <c r="S831" s="3" t="str">
        <f ca="1">IFERROR(__xludf.DUMMYFUNCTION("""COMPUTED_VALUE"""),"100")</f>
        <v>100</v>
      </c>
      <c r="T831" s="3"/>
      <c r="U831" s="3" t="str">
        <f ca="1">IFERROR(__xludf.DUMMYFUNCTION("""COMPUTED_VALUE"""),"videospot")</f>
        <v>videospot</v>
      </c>
      <c r="V831" s="3"/>
      <c r="W831" s="4" t="str">
        <f ca="1">IFERROR(__xludf.DUMMYFUNCTION("""COMPUTED_VALUE"""),"https://reklama.cncenter.cz/Online/Outstream")</f>
        <v>https://reklama.cncenter.cz/Online/Outstream</v>
      </c>
      <c r="X831" s="3"/>
      <c r="Y831" s="3"/>
      <c r="Z831" s="3" t="str">
        <f ca="1">IFERROR(__xludf.DUMMYFUNCTION("""COMPUTED_VALUE"""),"podklady@cncenter.cz")</f>
        <v>podklady@cncenter.cz</v>
      </c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 t="str">
        <f ca="1">IFERROR(__xludf.DUMMYFUNCTION("""COMPUTED_VALUE"""),"cross-device")</f>
        <v>cross-device</v>
      </c>
      <c r="AO831" s="3"/>
      <c r="AP831" s="3"/>
      <c r="AQ831" s="3"/>
      <c r="AR831" s="3"/>
      <c r="AS831" s="3"/>
      <c r="AT831" s="3"/>
      <c r="AU831" s="3" t="str">
        <f ca="1">IFERROR(__xludf.DUMMYFUNCTION("""COMPUTED_VALUE"""),"cílený outstream")</f>
        <v>cílený outstream</v>
      </c>
    </row>
    <row r="832" spans="1:47" x14ac:dyDescent="0.3">
      <c r="A832" s="3">
        <f ca="1"/>
        <v>2346826</v>
      </c>
      <c r="B832" s="3" t="str">
        <f ca="1"/>
        <v>CZECH NEWS CENTER a. s.</v>
      </c>
      <c r="C832" s="3" t="str">
        <f ca="1">IFERROR(__xludf.DUMMYFUNCTION("""COMPUTED_VALUE"""),"Moje zdraví")</f>
        <v>Moje zdraví</v>
      </c>
      <c r="D832" s="4" t="str">
        <f ca="1">IFERROR(__xludf.DUMMYFUNCTION("""COMPUTED_VALUE"""),"https://mojezdravi.cz")</f>
        <v>https://mojezdravi.cz</v>
      </c>
      <c r="E832" s="3" t="str">
        <f ca="1">IFERROR(__xludf.DUMMYFUNCTION("""COMPUTED_VALUE"""),"celý web")</f>
        <v>celý web</v>
      </c>
      <c r="F832" s="4" t="str">
        <f ca="1">IFERROR(__xludf.DUMMYFUNCTION("""COMPUTED_VALUE"""),"https://mojezdravi.cz")</f>
        <v>https://mojezdravi.cz</v>
      </c>
      <c r="G832" s="3" t="str">
        <f ca="1">IFERROR(__xludf.DUMMYFUNCTION("""COMPUTED_VALUE"""),"cílený videospot - max. 30 sec. / bumper high season")</f>
        <v>cílený videospot - max. 30 sec. / bumper high season</v>
      </c>
      <c r="H832" s="3">
        <f ca="1">IFERROR(__xludf.DUMMYFUNCTION("""COMPUTED_VALUE"""),7)</f>
        <v>7</v>
      </c>
      <c r="I832" s="5">
        <f ca="1">IFERROR(__xludf.DUMMYFUNCTION("""COMPUTED_VALUE"""),1000)</f>
        <v>1000</v>
      </c>
      <c r="J832" s="5">
        <f ca="1">IFERROR(__xludf.DUMMYFUNCTION("""COMPUTED_VALUE"""),1608)</f>
        <v>1608</v>
      </c>
      <c r="K832" s="3"/>
      <c r="L832" s="3" t="str">
        <f ca="1">IFERROR(__xludf.DUMMYFUNCTION("""COMPUTED_VALUE"""),"Cost per period")</f>
        <v>Cost per period</v>
      </c>
      <c r="M832" s="3"/>
      <c r="N832" s="3"/>
      <c r="O832" s="3" t="str">
        <f ca="1">IFERROR(__xludf.DUMMYFUNCTION("""COMPUTED_VALUE"""),"1280")</f>
        <v>1280</v>
      </c>
      <c r="P832" s="3" t="str">
        <f ca="1">IFERROR(__xludf.DUMMYFUNCTION("""COMPUTED_VALUE"""),"720")</f>
        <v>720</v>
      </c>
      <c r="Q832" s="3" t="str">
        <f ca="1">IFERROR(__xludf.DUMMYFUNCTION("""COMPUTED_VALUE"""),"16:9 / umístění po domluvě dle možností")</f>
        <v>16:9 / umístění po domluvě dle možností</v>
      </c>
      <c r="R832" s="3" t="str">
        <f ca="1">IFERROR(__xludf.DUMMYFUNCTION("""COMPUTED_VALUE"""),"přeskočení po 7 sekundách")</f>
        <v>přeskočení po 7 sekundách</v>
      </c>
      <c r="S832" s="3" t="str">
        <f ca="1">IFERROR(__xludf.DUMMYFUNCTION("""COMPUTED_VALUE"""),"100")</f>
        <v>100</v>
      </c>
      <c r="T832" s="3"/>
      <c r="U832" s="3" t="str">
        <f ca="1">IFERROR(__xludf.DUMMYFUNCTION("""COMPUTED_VALUE"""),"videospot")</f>
        <v>videospot</v>
      </c>
      <c r="V832" s="3"/>
      <c r="W832" s="4" t="str">
        <f ca="1">IFERROR(__xludf.DUMMYFUNCTION("""COMPUTED_VALUE"""),"https://reklama.cncenter.cz/Online/Bumper")</f>
        <v>https://reklama.cncenter.cz/Online/Bumper</v>
      </c>
      <c r="X832" s="3"/>
      <c r="Y832" s="3"/>
      <c r="Z832" s="3" t="str">
        <f ca="1">IFERROR(__xludf.DUMMYFUNCTION("""COMPUTED_VALUE"""),"podklady@cncenter.cz")</f>
        <v>podklady@cncenter.cz</v>
      </c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 t="str">
        <f ca="1">IFERROR(__xludf.DUMMYFUNCTION("""COMPUTED_VALUE"""),"cross-device")</f>
        <v>cross-device</v>
      </c>
      <c r="AO832" s="3"/>
      <c r="AP832" s="3"/>
      <c r="AQ832" s="3"/>
      <c r="AR832" s="3"/>
      <c r="AS832" s="3"/>
      <c r="AT832" s="3"/>
      <c r="AU832" s="3" t="str">
        <f ca="1">IFERROR(__xludf.DUMMYFUNCTION("""COMPUTED_VALUE"""),"cílený videospot - max. 30 sec. / bumper")</f>
        <v>cílený videospot - max. 30 sec. / bumper</v>
      </c>
    </row>
    <row r="833" spans="1:47" x14ac:dyDescent="0.3">
      <c r="A833" s="3">
        <f ca="1"/>
        <v>2346826</v>
      </c>
      <c r="B833" s="3" t="str">
        <f ca="1"/>
        <v>CZECH NEWS CENTER a. s.</v>
      </c>
      <c r="C833" s="3" t="str">
        <f ca="1">IFERROR(__xludf.DUMMYFUNCTION("""COMPUTED_VALUE"""),"Moje zdraví")</f>
        <v>Moje zdraví</v>
      </c>
      <c r="D833" s="4" t="str">
        <f ca="1">IFERROR(__xludf.DUMMYFUNCTION("""COMPUTED_VALUE"""),"https://mojezdravi.cz")</f>
        <v>https://mojezdravi.cz</v>
      </c>
      <c r="E833" s="3" t="str">
        <f ca="1">IFERROR(__xludf.DUMMYFUNCTION("""COMPUTED_VALUE"""),"celý web")</f>
        <v>celý web</v>
      </c>
      <c r="F833" s="4" t="str">
        <f ca="1">IFERROR(__xludf.DUMMYFUNCTION("""COMPUTED_VALUE"""),"https://mojezdravi.cz")</f>
        <v>https://mojezdravi.cz</v>
      </c>
      <c r="G833" s="3" t="str">
        <f ca="1">IFERROR(__xludf.DUMMYFUNCTION("""COMPUTED_VALUE"""),"dokoupení proma o 2 týdny - 10 000 PV *** high season")</f>
        <v>dokoupení proma o 2 týdny - 10 000 PV *** high season</v>
      </c>
      <c r="H833" s="3">
        <f ca="1">IFERROR(__xludf.DUMMYFUNCTION("""COMPUTED_VALUE"""),1)</f>
        <v>1</v>
      </c>
      <c r="I833" s="5">
        <f ca="1">IFERROR(__xludf.DUMMYFUNCTION("""COMPUTED_VALUE"""),1)</f>
        <v>1</v>
      </c>
      <c r="J833" s="5">
        <f ca="1">IFERROR(__xludf.DUMMYFUNCTION("""COMPUTED_VALUE"""),60000)</f>
        <v>60000</v>
      </c>
      <c r="K833" s="3"/>
      <c r="L833" s="3" t="str">
        <f ca="1">IFERROR(__xludf.DUMMYFUNCTION("""COMPUTED_VALUE"""),"Cost per instance")</f>
        <v>Cost per instance</v>
      </c>
      <c r="M833" s="3"/>
      <c r="N833" s="3"/>
      <c r="O833" s="3"/>
      <c r="P833" s="3"/>
      <c r="Q833" s="3"/>
      <c r="R833" s="3"/>
      <c r="S833" s="3" t="str">
        <f ca="1">IFERROR(__xludf.DUMMYFUNCTION("""COMPUTED_VALUE"""),"100")</f>
        <v>100</v>
      </c>
      <c r="T833" s="3"/>
      <c r="U833" s="3" t="str">
        <f ca="1">IFERROR(__xludf.DUMMYFUNCTION("""COMPUTED_VALUE"""),"microsite")</f>
        <v>microsite</v>
      </c>
      <c r="V833" s="3"/>
      <c r="W833" s="3"/>
      <c r="X833" s="3"/>
      <c r="Y833" s="3"/>
      <c r="Z833" s="3" t="str">
        <f ca="1">IFERROR(__xludf.DUMMYFUNCTION("""COMPUTED_VALUE"""),"podklady@cncenter.cz")</f>
        <v>podklady@cncenter.cz</v>
      </c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 t="str">
        <f ca="1">IFERROR(__xludf.DUMMYFUNCTION("""COMPUTED_VALUE"""),"cross-device")</f>
        <v>cross-device</v>
      </c>
      <c r="AO833" s="3"/>
      <c r="AP833" s="3"/>
      <c r="AQ833" s="3"/>
      <c r="AR833" s="3"/>
      <c r="AS833" s="3"/>
      <c r="AT833" s="3"/>
      <c r="AU833" s="3" t="str">
        <f ca="1">IFERROR(__xludf.DUMMYFUNCTION("""COMPUTED_VALUE"""),"dokoupení proma o 2 týdny - 10 000 PV ***")</f>
        <v>dokoupení proma o 2 týdny - 10 000 PV ***</v>
      </c>
    </row>
    <row r="834" spans="1:47" x14ac:dyDescent="0.3">
      <c r="A834" s="3">
        <f ca="1"/>
        <v>2346826</v>
      </c>
      <c r="B834" s="3" t="str">
        <f ca="1"/>
        <v>CZECH NEWS CENTER a. s.</v>
      </c>
      <c r="C834" s="3" t="str">
        <f ca="1">IFERROR(__xludf.DUMMYFUNCTION("""COMPUTED_VALUE"""),"Moje zdraví")</f>
        <v>Moje zdraví</v>
      </c>
      <c r="D834" s="4" t="str">
        <f ca="1">IFERROR(__xludf.DUMMYFUNCTION("""COMPUTED_VALUE"""),"https://mojezdravi.cz")</f>
        <v>https://mojezdravi.cz</v>
      </c>
      <c r="E834" s="3" t="str">
        <f ca="1">IFERROR(__xludf.DUMMYFUNCTION("""COMPUTED_VALUE"""),"celý web")</f>
        <v>celý web</v>
      </c>
      <c r="F834" s="4" t="str">
        <f ca="1">IFERROR(__xludf.DUMMYFUNCTION("""COMPUTED_VALUE"""),"https://mojezdravi.cz")</f>
        <v>https://mojezdravi.cz</v>
      </c>
      <c r="G834" s="3" t="str">
        <f ca="1">IFERROR(__xludf.DUMMYFUNCTION("""COMPUTED_VALUE"""),"double skyscraper high season")</f>
        <v>double skyscraper high season</v>
      </c>
      <c r="H834" s="3">
        <f ca="1">IFERROR(__xludf.DUMMYFUNCTION("""COMPUTED_VALUE"""),7)</f>
        <v>7</v>
      </c>
      <c r="I834" s="5">
        <f ca="1">IFERROR(__xludf.DUMMYFUNCTION("""COMPUTED_VALUE"""),1000)</f>
        <v>1000</v>
      </c>
      <c r="J834" s="5">
        <f ca="1">IFERROR(__xludf.DUMMYFUNCTION("""COMPUTED_VALUE"""),350)</f>
        <v>350</v>
      </c>
      <c r="K834" s="3"/>
      <c r="L834" s="3" t="str">
        <f ca="1">IFERROR(__xludf.DUMMYFUNCTION("""COMPUTED_VALUE"""),"Cost per period")</f>
        <v>Cost per period</v>
      </c>
      <c r="M834" s="3"/>
      <c r="N834" s="3"/>
      <c r="O834" s="3" t="str">
        <f ca="1">IFERROR(__xludf.DUMMYFUNCTION("""COMPUTED_VALUE"""),"300")</f>
        <v>300</v>
      </c>
      <c r="P834" s="3" t="str">
        <f ca="1">IFERROR(__xludf.DUMMYFUNCTION("""COMPUTED_VALUE"""),"600")</f>
        <v>600</v>
      </c>
      <c r="Q834" s="3" t="str">
        <f ca="1">IFERROR(__xludf.DUMMYFUNCTION("""COMPUTED_VALUE"""),"300x600")</f>
        <v>300x600</v>
      </c>
      <c r="R834" s="3"/>
      <c r="S834" s="3" t="str">
        <f ca="1">IFERROR(__xludf.DUMMYFUNCTION("""COMPUTED_VALUE"""),"100 (200 - HTML5)")</f>
        <v>100 (200 - HTML5)</v>
      </c>
      <c r="T834" s="3"/>
      <c r="U834" s="3" t="str">
        <f ca="1">IFERROR(__xludf.DUMMYFUNCTION("""COMPUTED_VALUE"""),"banner standard")</f>
        <v>banner standard</v>
      </c>
      <c r="V834" s="3"/>
      <c r="W834" s="4" t="str">
        <f ca="1">IFERROR(__xludf.DUMMYFUNCTION("""COMPUTED_VALUE"""),"https://reklama.cncenter.cz/Online/double-skyscraper")</f>
        <v>https://reklama.cncenter.cz/Online/double-skyscraper</v>
      </c>
      <c r="X834" s="3"/>
      <c r="Y834" s="3"/>
      <c r="Z834" s="3" t="str">
        <f ca="1">IFERROR(__xludf.DUMMYFUNCTION("""COMPUTED_VALUE"""),"podklady@cncenter.cz")</f>
        <v>podklady@cncenter.cz</v>
      </c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 t="str">
        <f ca="1">IFERROR(__xludf.DUMMYFUNCTION("""COMPUTED_VALUE"""),"desktop")</f>
        <v>desktop</v>
      </c>
      <c r="AO834" s="3"/>
      <c r="AP834" s="3"/>
      <c r="AQ834" s="3"/>
      <c r="AR834" s="3"/>
      <c r="AS834" s="3"/>
      <c r="AT834" s="3"/>
      <c r="AU834" s="3" t="str">
        <f ca="1">IFERROR(__xludf.DUMMYFUNCTION("""COMPUTED_VALUE"""),"double skyscraper")</f>
        <v>double skyscraper</v>
      </c>
    </row>
    <row r="835" spans="1:47" x14ac:dyDescent="0.3">
      <c r="A835" s="3">
        <f ca="1"/>
        <v>2346826</v>
      </c>
      <c r="B835" s="3" t="str">
        <f ca="1"/>
        <v>CZECH NEWS CENTER a. s.</v>
      </c>
      <c r="C835" s="3" t="str">
        <f ca="1">IFERROR(__xludf.DUMMYFUNCTION("""COMPUTED_VALUE"""),"Moje zdraví")</f>
        <v>Moje zdraví</v>
      </c>
      <c r="D835" s="4" t="str">
        <f ca="1">IFERROR(__xludf.DUMMYFUNCTION("""COMPUTED_VALUE"""),"https://mojezdravi.cz")</f>
        <v>https://mojezdravi.cz</v>
      </c>
      <c r="E835" s="3" t="str">
        <f ca="1">IFERROR(__xludf.DUMMYFUNCTION("""COMPUTED_VALUE"""),"celý web")</f>
        <v>celý web</v>
      </c>
      <c r="F835" s="4" t="str">
        <f ca="1">IFERROR(__xludf.DUMMYFUNCTION("""COMPUTED_VALUE"""),"https://mojezdravi.cz")</f>
        <v>https://mojezdravi.cz</v>
      </c>
      <c r="G835" s="3" t="str">
        <f ca="1">IFERROR(__xludf.DUMMYFUNCTION("""COMPUTED_VALUE"""),"mini videospot - max. 30 sec. high season")</f>
        <v>mini videospot - max. 30 sec. high season</v>
      </c>
      <c r="H835" s="3">
        <f ca="1">IFERROR(__xludf.DUMMYFUNCTION("""COMPUTED_VALUE"""),7)</f>
        <v>7</v>
      </c>
      <c r="I835" s="5">
        <f ca="1">IFERROR(__xludf.DUMMYFUNCTION("""COMPUTED_VALUE"""),1000)</f>
        <v>1000</v>
      </c>
      <c r="J835" s="5">
        <f ca="1">IFERROR(__xludf.DUMMYFUNCTION("""COMPUTED_VALUE"""),260)</f>
        <v>260</v>
      </c>
      <c r="K835" s="3"/>
      <c r="L835" s="3" t="str">
        <f ca="1">IFERROR(__xludf.DUMMYFUNCTION("""COMPUTED_VALUE"""),"Cost per period")</f>
        <v>Cost per period</v>
      </c>
      <c r="M835" s="3"/>
      <c r="N835" s="3"/>
      <c r="O835" s="3"/>
      <c r="P835" s="3"/>
      <c r="Q835" s="3" t="str">
        <f ca="1">IFERROR(__xludf.DUMMYFUNCTION("""COMPUTED_VALUE"""),"16:9 / umístění po domluvě dle možností")</f>
        <v>16:9 / umístění po domluvě dle možností</v>
      </c>
      <c r="R835" s="3" t="str">
        <f ca="1">IFERROR(__xludf.DUMMYFUNCTION("""COMPUTED_VALUE"""),"přeskočení po 7 sekundách")</f>
        <v>přeskočení po 7 sekundách</v>
      </c>
      <c r="S835" s="3" t="str">
        <f ca="1">IFERROR(__xludf.DUMMYFUNCTION("""COMPUTED_VALUE"""),"100")</f>
        <v>100</v>
      </c>
      <c r="T835" s="3"/>
      <c r="U835" s="3" t="str">
        <f ca="1">IFERROR(__xludf.DUMMYFUNCTION("""COMPUTED_VALUE"""),"videospot")</f>
        <v>videospot</v>
      </c>
      <c r="V835" s="3"/>
      <c r="W835" s="4" t="str">
        <f ca="1">IFERROR(__xludf.DUMMYFUNCTION("""COMPUTED_VALUE"""),"https://reklama.cncenter.cz/Online/Videospot")</f>
        <v>https://reklama.cncenter.cz/Online/Videospot</v>
      </c>
      <c r="X835" s="3"/>
      <c r="Y835" s="3"/>
      <c r="Z835" s="3" t="str">
        <f ca="1">IFERROR(__xludf.DUMMYFUNCTION("""COMPUTED_VALUE"""),"podklady@cncenter.cz")</f>
        <v>podklady@cncenter.cz</v>
      </c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 t="str">
        <f ca="1">IFERROR(__xludf.DUMMYFUNCTION("""COMPUTED_VALUE"""),"desktop")</f>
        <v>desktop</v>
      </c>
      <c r="AO835" s="3"/>
      <c r="AP835" s="3"/>
      <c r="AQ835" s="3"/>
      <c r="AR835" s="3"/>
      <c r="AS835" s="3"/>
      <c r="AT835" s="3"/>
      <c r="AU835" s="3" t="str">
        <f ca="1">IFERROR(__xludf.DUMMYFUNCTION("""COMPUTED_VALUE"""),"mini videospot - max. 30 sec.")</f>
        <v>mini videospot - max. 30 sec.</v>
      </c>
    </row>
    <row r="836" spans="1:47" x14ac:dyDescent="0.3">
      <c r="A836" s="3">
        <f ca="1"/>
        <v>2346826</v>
      </c>
      <c r="B836" s="3" t="str">
        <f ca="1"/>
        <v>CZECH NEWS CENTER a. s.</v>
      </c>
      <c r="C836" s="3" t="str">
        <f ca="1">IFERROR(__xludf.DUMMYFUNCTION("""COMPUTED_VALUE"""),"Moje zdraví")</f>
        <v>Moje zdraví</v>
      </c>
      <c r="D836" s="4" t="str">
        <f ca="1">IFERROR(__xludf.DUMMYFUNCTION("""COMPUTED_VALUE"""),"https://mojezdravi.cz")</f>
        <v>https://mojezdravi.cz</v>
      </c>
      <c r="E836" s="3" t="str">
        <f ca="1">IFERROR(__xludf.DUMMYFUNCTION("""COMPUTED_VALUE"""),"celý web")</f>
        <v>celý web</v>
      </c>
      <c r="F836" s="4" t="str">
        <f ca="1">IFERROR(__xludf.DUMMYFUNCTION("""COMPUTED_VALUE"""),"https://mojezdravi.cz")</f>
        <v>https://mojezdravi.cz</v>
      </c>
      <c r="G836" s="3" t="str">
        <f ca="1">IFERROR(__xludf.DUMMYFUNCTION("""COMPUTED_VALUE"""),"mobilní interscroller high season")</f>
        <v>mobilní interscroller high season</v>
      </c>
      <c r="H836" s="3">
        <f ca="1">IFERROR(__xludf.DUMMYFUNCTION("""COMPUTED_VALUE"""),7)</f>
        <v>7</v>
      </c>
      <c r="I836" s="5">
        <f ca="1">IFERROR(__xludf.DUMMYFUNCTION("""COMPUTED_VALUE"""),1000)</f>
        <v>1000</v>
      </c>
      <c r="J836" s="5">
        <f ca="1">IFERROR(__xludf.DUMMYFUNCTION("""COMPUTED_VALUE"""),450)</f>
        <v>450</v>
      </c>
      <c r="K836" s="3"/>
      <c r="L836" s="3" t="str">
        <f ca="1">IFERROR(__xludf.DUMMYFUNCTION("""COMPUTED_VALUE"""),"Cost per period")</f>
        <v>Cost per period</v>
      </c>
      <c r="M836" s="3"/>
      <c r="N836" s="3"/>
      <c r="O836" s="3" t="str">
        <f ca="1">IFERROR(__xludf.DUMMYFUNCTION("""COMPUTED_VALUE"""),"600")</f>
        <v>600</v>
      </c>
      <c r="P836" s="3" t="str">
        <f ca="1">IFERROR(__xludf.DUMMYFUNCTION("""COMPUTED_VALUE"""),"1080")</f>
        <v>1080</v>
      </c>
      <c r="Q836" s="3" t="str">
        <f ca="1">IFERROR(__xludf.DUMMYFUNCTION("""COMPUTED_VALUE"""),"600x1080")</f>
        <v>600x1080</v>
      </c>
      <c r="R836" s="3"/>
      <c r="S836" s="3" t="str">
        <f ca="1">IFERROR(__xludf.DUMMYFUNCTION("""COMPUTED_VALUE"""),"200")</f>
        <v>200</v>
      </c>
      <c r="T836" s="3"/>
      <c r="U836" s="3" t="str">
        <f ca="1">IFERROR(__xludf.DUMMYFUNCTION("""COMPUTED_VALUE"""),"banner standard")</f>
        <v>banner standard</v>
      </c>
      <c r="V836" s="3"/>
      <c r="W836" s="4" t="str">
        <f ca="1">IFERROR(__xludf.DUMMYFUNCTION("""COMPUTED_VALUE"""),"https://reklama.cncenter.cz/Online/mobilni-interscroller")</f>
        <v>https://reklama.cncenter.cz/Online/mobilni-interscroller</v>
      </c>
      <c r="X836" s="3"/>
      <c r="Y836" s="3"/>
      <c r="Z836" s="3" t="str">
        <f ca="1">IFERROR(__xludf.DUMMYFUNCTION("""COMPUTED_VALUE"""),"podklady@cncenter.cz")</f>
        <v>podklady@cncenter.cz</v>
      </c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 t="str">
        <f ca="1">IFERROR(__xludf.DUMMYFUNCTION("""COMPUTED_VALUE"""),"mobile")</f>
        <v>mobile</v>
      </c>
      <c r="AO836" s="3"/>
      <c r="AP836" s="3"/>
      <c r="AQ836" s="3"/>
      <c r="AR836" s="3"/>
      <c r="AS836" s="3"/>
      <c r="AT836" s="3"/>
      <c r="AU836" s="3" t="str">
        <f ca="1">IFERROR(__xludf.DUMMYFUNCTION("""COMPUTED_VALUE"""),"mobilní interscroller")</f>
        <v>mobilní interscroller</v>
      </c>
    </row>
    <row r="837" spans="1:47" x14ac:dyDescent="0.3">
      <c r="A837" s="3">
        <f ca="1"/>
        <v>2346826</v>
      </c>
      <c r="B837" s="3" t="str">
        <f ca="1"/>
        <v>CZECH NEWS CENTER a. s.</v>
      </c>
      <c r="C837" s="3" t="str">
        <f ca="1">IFERROR(__xludf.DUMMYFUNCTION("""COMPUTED_VALUE"""),"Moje zdraví")</f>
        <v>Moje zdraví</v>
      </c>
      <c r="D837" s="4" t="str">
        <f ca="1">IFERROR(__xludf.DUMMYFUNCTION("""COMPUTED_VALUE"""),"https://mojezdravi.cz")</f>
        <v>https://mojezdravi.cz</v>
      </c>
      <c r="E837" s="3" t="str">
        <f ca="1">IFERROR(__xludf.DUMMYFUNCTION("""COMPUTED_VALUE"""),"celý web")</f>
        <v>celý web</v>
      </c>
      <c r="F837" s="4" t="str">
        <f ca="1">IFERROR(__xludf.DUMMYFUNCTION("""COMPUTED_VALUE"""),"https://mojezdravi.cz")</f>
        <v>https://mojezdravi.cz</v>
      </c>
      <c r="G837" s="3" t="str">
        <f ca="1">IFERROR(__xludf.DUMMYFUNCTION("""COMPUTED_VALUE"""),"mobilní slide-up high season")</f>
        <v>mobilní slide-up high season</v>
      </c>
      <c r="H837" s="3">
        <f ca="1">IFERROR(__xludf.DUMMYFUNCTION("""COMPUTED_VALUE"""),7)</f>
        <v>7</v>
      </c>
      <c r="I837" s="5">
        <f ca="1">IFERROR(__xludf.DUMMYFUNCTION("""COMPUTED_VALUE"""),1000)</f>
        <v>1000</v>
      </c>
      <c r="J837" s="5">
        <f ca="1">IFERROR(__xludf.DUMMYFUNCTION("""COMPUTED_VALUE"""),920)</f>
        <v>920</v>
      </c>
      <c r="K837" s="3"/>
      <c r="L837" s="3" t="str">
        <f ca="1">IFERROR(__xludf.DUMMYFUNCTION("""COMPUTED_VALUE"""),"Cost per period")</f>
        <v>Cost per period</v>
      </c>
      <c r="M837" s="3"/>
      <c r="N837" s="3"/>
      <c r="O837" s="3" t="str">
        <f ca="1">IFERROR(__xludf.DUMMYFUNCTION("""COMPUTED_VALUE"""),"300")</f>
        <v>300</v>
      </c>
      <c r="P837" s="3" t="str">
        <f ca="1">IFERROR(__xludf.DUMMYFUNCTION("""COMPUTED_VALUE"""),"120")</f>
        <v>120</v>
      </c>
      <c r="Q837" s="3" t="str">
        <f ca="1">IFERROR(__xludf.DUMMYFUNCTION("""COMPUTED_VALUE"""),"300x120")</f>
        <v>300x120</v>
      </c>
      <c r="R837" s="3"/>
      <c r="S837" s="3" t="str">
        <f ca="1">IFERROR(__xludf.DUMMYFUNCTION("""COMPUTED_VALUE"""),"100")</f>
        <v>100</v>
      </c>
      <c r="T837" s="3"/>
      <c r="U837" s="3" t="str">
        <f ca="1">IFERROR(__xludf.DUMMYFUNCTION("""COMPUTED_VALUE"""),"banner standard")</f>
        <v>banner standard</v>
      </c>
      <c r="V837" s="3"/>
      <c r="W837" s="4" t="str">
        <f ca="1">IFERROR(__xludf.DUMMYFUNCTION("""COMPUTED_VALUE"""),"https://reklama.cncenter.cz/Online/mobilni-slide-up")</f>
        <v>https://reklama.cncenter.cz/Online/mobilni-slide-up</v>
      </c>
      <c r="X837" s="3"/>
      <c r="Y837" s="3"/>
      <c r="Z837" s="3" t="str">
        <f ca="1">IFERROR(__xludf.DUMMYFUNCTION("""COMPUTED_VALUE"""),"podklady@cncenter.cz")</f>
        <v>podklady@cncenter.cz</v>
      </c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 t="str">
        <f ca="1">IFERROR(__xludf.DUMMYFUNCTION("""COMPUTED_VALUE"""),"mobile")</f>
        <v>mobile</v>
      </c>
      <c r="AO837" s="3"/>
      <c r="AP837" s="3"/>
      <c r="AQ837" s="3"/>
      <c r="AR837" s="3"/>
      <c r="AS837" s="3"/>
      <c r="AT837" s="3"/>
      <c r="AU837" s="3" t="str">
        <f ca="1">IFERROR(__xludf.DUMMYFUNCTION("""COMPUTED_VALUE"""),"mobilní slide-up")</f>
        <v>mobilní slide-up</v>
      </c>
    </row>
    <row r="838" spans="1:47" x14ac:dyDescent="0.3">
      <c r="A838" s="3">
        <f ca="1"/>
        <v>2346826</v>
      </c>
      <c r="B838" s="3" t="str">
        <f ca="1"/>
        <v>CZECH NEWS CENTER a. s.</v>
      </c>
      <c r="C838" s="3" t="str">
        <f ca="1">IFERROR(__xludf.DUMMYFUNCTION("""COMPUTED_VALUE"""),"Moje zdraví")</f>
        <v>Moje zdraví</v>
      </c>
      <c r="D838" s="4" t="str">
        <f ca="1">IFERROR(__xludf.DUMMYFUNCTION("""COMPUTED_VALUE"""),"https://mojezdravi.cz")</f>
        <v>https://mojezdravi.cz</v>
      </c>
      <c r="E838" s="3" t="str">
        <f ca="1">IFERROR(__xludf.DUMMYFUNCTION("""COMPUTED_VALUE"""),"celý web")</f>
        <v>celý web</v>
      </c>
      <c r="F838" s="4" t="str">
        <f ca="1">IFERROR(__xludf.DUMMYFUNCTION("""COMPUTED_VALUE"""),"https://mojezdravi.cz")</f>
        <v>https://mojezdravi.cz</v>
      </c>
      <c r="G838" s="3" t="str">
        <f ca="1">IFERROR(__xludf.DUMMYFUNCTION("""COMPUTED_VALUE"""),"mobilní viněta high season")</f>
        <v>mobilní viněta high season</v>
      </c>
      <c r="H838" s="3">
        <f ca="1">IFERROR(__xludf.DUMMYFUNCTION("""COMPUTED_VALUE"""),7)</f>
        <v>7</v>
      </c>
      <c r="I838" s="5">
        <f ca="1">IFERROR(__xludf.DUMMYFUNCTION("""COMPUTED_VALUE"""),1000)</f>
        <v>1000</v>
      </c>
      <c r="J838" s="5">
        <f ca="1">IFERROR(__xludf.DUMMYFUNCTION("""COMPUTED_VALUE"""),1590)</f>
        <v>1590</v>
      </c>
      <c r="K838" s="3"/>
      <c r="L838" s="3" t="str">
        <f ca="1">IFERROR(__xludf.DUMMYFUNCTION("""COMPUTED_VALUE"""),"Cost per period")</f>
        <v>Cost per period</v>
      </c>
      <c r="M838" s="3"/>
      <c r="N838" s="3"/>
      <c r="O838" s="3" t="str">
        <f ca="1">IFERROR(__xludf.DUMMYFUNCTION("""COMPUTED_VALUE"""),"600")</f>
        <v>600</v>
      </c>
      <c r="P838" s="3" t="str">
        <f ca="1">IFERROR(__xludf.DUMMYFUNCTION("""COMPUTED_VALUE"""),"800")</f>
        <v>800</v>
      </c>
      <c r="Q838" s="3" t="str">
        <f ca="1">IFERROR(__xludf.DUMMYFUNCTION("""COMPUTED_VALUE"""),"300x250 nebo 600x800")</f>
        <v>300x250 nebo 600x800</v>
      </c>
      <c r="R838" s="3"/>
      <c r="S838" s="3" t="str">
        <f ca="1">IFERROR(__xludf.DUMMYFUNCTION("""COMPUTED_VALUE"""),"100")</f>
        <v>100</v>
      </c>
      <c r="T838" s="3"/>
      <c r="U838" s="3" t="str">
        <f ca="1">IFERROR(__xludf.DUMMYFUNCTION("""COMPUTED_VALUE"""),"banner standard")</f>
        <v>banner standard</v>
      </c>
      <c r="V838" s="3"/>
      <c r="W838" s="4" t="str">
        <f ca="1">IFERROR(__xludf.DUMMYFUNCTION("""COMPUTED_VALUE"""),"https://reklama.cncenter.cz/Online/mobilni-vineta")</f>
        <v>https://reklama.cncenter.cz/Online/mobilni-vineta</v>
      </c>
      <c r="X838" s="3"/>
      <c r="Y838" s="3"/>
      <c r="Z838" s="3" t="str">
        <f ca="1">IFERROR(__xludf.DUMMYFUNCTION("""COMPUTED_VALUE"""),"podklady@cncenter.cz")</f>
        <v>podklady@cncenter.cz</v>
      </c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 t="str">
        <f ca="1">IFERROR(__xludf.DUMMYFUNCTION("""COMPUTED_VALUE"""),"mobile")</f>
        <v>mobile</v>
      </c>
      <c r="AO838" s="3"/>
      <c r="AP838" s="3"/>
      <c r="AQ838" s="3"/>
      <c r="AR838" s="3"/>
      <c r="AS838" s="3"/>
      <c r="AT838" s="3"/>
      <c r="AU838" s="3" t="str">
        <f ca="1">IFERROR(__xludf.DUMMYFUNCTION("""COMPUTED_VALUE"""),"mobilní viněta")</f>
        <v>mobilní viněta</v>
      </c>
    </row>
    <row r="839" spans="1:47" x14ac:dyDescent="0.3">
      <c r="A839" s="3">
        <f ca="1"/>
        <v>2346826</v>
      </c>
      <c r="B839" s="3" t="str">
        <f ca="1"/>
        <v>CZECH NEWS CENTER a. s.</v>
      </c>
      <c r="C839" s="3" t="str">
        <f ca="1">IFERROR(__xludf.DUMMYFUNCTION("""COMPUTED_VALUE"""),"Moje zdraví")</f>
        <v>Moje zdraví</v>
      </c>
      <c r="D839" s="4" t="str">
        <f ca="1">IFERROR(__xludf.DUMMYFUNCTION("""COMPUTED_VALUE"""),"https://mojezdravi.cz")</f>
        <v>https://mojezdravi.cz</v>
      </c>
      <c r="E839" s="3" t="str">
        <f ca="1">IFERROR(__xludf.DUMMYFUNCTION("""COMPUTED_VALUE"""),"celý web")</f>
        <v>celý web</v>
      </c>
      <c r="F839" s="4" t="str">
        <f ca="1">IFERROR(__xludf.DUMMYFUNCTION("""COMPUTED_VALUE"""),"https://mojezdravi.cz")</f>
        <v>https://mojezdravi.cz</v>
      </c>
      <c r="G839" s="3" t="str">
        <f ca="1">IFERROR(__xludf.DUMMYFUNCTION("""COMPUTED_VALUE"""),"Native Standard high season")</f>
        <v>Native Standard high season</v>
      </c>
      <c r="H839" s="3">
        <f ca="1">IFERROR(__xludf.DUMMYFUNCTION("""COMPUTED_VALUE"""),1)</f>
        <v>1</v>
      </c>
      <c r="I839" s="5">
        <f ca="1">IFERROR(__xludf.DUMMYFUNCTION("""COMPUTED_VALUE"""),1)</f>
        <v>1</v>
      </c>
      <c r="J839" s="5">
        <f ca="1">IFERROR(__xludf.DUMMYFUNCTION("""COMPUTED_VALUE"""),330000)</f>
        <v>330000</v>
      </c>
      <c r="K839" s="3"/>
      <c r="L839" s="3" t="str">
        <f ca="1">IFERROR(__xludf.DUMMYFUNCTION("""COMPUTED_VALUE"""),"Cost per instance")</f>
        <v>Cost per instance</v>
      </c>
      <c r="M839" s="3"/>
      <c r="N839" s="3"/>
      <c r="O839" s="3"/>
      <c r="P839" s="3"/>
      <c r="Q839" s="3"/>
      <c r="R839" s="3"/>
      <c r="S839" s="3" t="str">
        <f ca="1">IFERROR(__xludf.DUMMYFUNCTION("""COMPUTED_VALUE"""),"100")</f>
        <v>100</v>
      </c>
      <c r="T839" s="3"/>
      <c r="U839" s="3" t="str">
        <f ca="1">IFERROR(__xludf.DUMMYFUNCTION("""COMPUTED_VALUE"""),"microsite")</f>
        <v>microsite</v>
      </c>
      <c r="V839" s="3"/>
      <c r="W839" s="3"/>
      <c r="X839" s="3"/>
      <c r="Y839" s="3"/>
      <c r="Z839" s="3" t="str">
        <f ca="1">IFERROR(__xludf.DUMMYFUNCTION("""COMPUTED_VALUE"""),"podklady@cncenter.cz")</f>
        <v>podklady@cncenter.cz</v>
      </c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 t="str">
        <f ca="1">IFERROR(__xludf.DUMMYFUNCTION("""COMPUTED_VALUE"""),"cross-device")</f>
        <v>cross-device</v>
      </c>
      <c r="AO839" s="3"/>
      <c r="AP839" s="3"/>
      <c r="AQ839" s="3"/>
      <c r="AR839" s="3"/>
      <c r="AS839" s="3"/>
      <c r="AT839" s="3"/>
      <c r="AU839" s="3" t="str">
        <f ca="1">IFERROR(__xludf.DUMMYFUNCTION("""COMPUTED_VALUE"""),"Native Standard")</f>
        <v>Native Standard</v>
      </c>
    </row>
    <row r="840" spans="1:47" x14ac:dyDescent="0.3">
      <c r="A840" s="3">
        <f ca="1"/>
        <v>2346826</v>
      </c>
      <c r="B840" s="3" t="str">
        <f ca="1"/>
        <v>CZECH NEWS CENTER a. s.</v>
      </c>
      <c r="C840" s="3" t="str">
        <f ca="1">IFERROR(__xludf.DUMMYFUNCTION("""COMPUTED_VALUE"""),"Moje zdraví")</f>
        <v>Moje zdraví</v>
      </c>
      <c r="D840" s="4" t="str">
        <f ca="1">IFERROR(__xludf.DUMMYFUNCTION("""COMPUTED_VALUE"""),"https://mojezdravi.cz")</f>
        <v>https://mojezdravi.cz</v>
      </c>
      <c r="E840" s="3" t="str">
        <f ca="1">IFERROR(__xludf.DUMMYFUNCTION("""COMPUTED_VALUE"""),"celý web")</f>
        <v>celý web</v>
      </c>
      <c r="F840" s="4" t="str">
        <f ca="1">IFERROR(__xludf.DUMMYFUNCTION("""COMPUTED_VALUE"""),"https://mojezdravi.cz")</f>
        <v>https://mojezdravi.cz</v>
      </c>
      <c r="G840" s="3" t="str">
        <f ca="1">IFERROR(__xludf.DUMMYFUNCTION("""COMPUTED_VALUE"""),"nativní rectangle cross-device high season")</f>
        <v>nativní rectangle cross-device high season</v>
      </c>
      <c r="H840" s="3">
        <f ca="1">IFERROR(__xludf.DUMMYFUNCTION("""COMPUTED_VALUE"""),7)</f>
        <v>7</v>
      </c>
      <c r="I840" s="5">
        <f ca="1">IFERROR(__xludf.DUMMYFUNCTION("""COMPUTED_VALUE"""),1000)</f>
        <v>1000</v>
      </c>
      <c r="J840" s="5">
        <f ca="1">IFERROR(__xludf.DUMMYFUNCTION("""COMPUTED_VALUE"""),360)</f>
        <v>360</v>
      </c>
      <c r="K840" s="3"/>
      <c r="L840" s="3" t="str">
        <f ca="1">IFERROR(__xludf.DUMMYFUNCTION("""COMPUTED_VALUE"""),"Cost per period")</f>
        <v>Cost per period</v>
      </c>
      <c r="M840" s="3"/>
      <c r="N840" s="3"/>
      <c r="O840" s="3" t="str">
        <f ca="1">IFERROR(__xludf.DUMMYFUNCTION("""COMPUTED_VALUE"""),"640")</f>
        <v>640</v>
      </c>
      <c r="P840" s="3" t="str">
        <f ca="1">IFERROR(__xludf.DUMMYFUNCTION("""COMPUTED_VALUE"""),"335, 640")</f>
        <v>335, 640</v>
      </c>
      <c r="Q840" s="3" t="str">
        <f ca="1">IFERROR(__xludf.DUMMYFUNCTION("""COMPUTED_VALUE"""),"640x640 a 640x335 + text + logo")</f>
        <v>640x640 a 640x335 + text + logo</v>
      </c>
      <c r="R840" s="3"/>
      <c r="S840" s="3" t="str">
        <f ca="1">IFERROR(__xludf.DUMMYFUNCTION("""COMPUTED_VALUE"""),"45")</f>
        <v>45</v>
      </c>
      <c r="T840" s="3"/>
      <c r="U840" s="3" t="str">
        <f ca="1">IFERROR(__xludf.DUMMYFUNCTION("""COMPUTED_VALUE"""),"nativní reklama")</f>
        <v>nativní reklama</v>
      </c>
      <c r="V840" s="3"/>
      <c r="W840" s="4" t="str">
        <f ca="1">IFERROR(__xludf.DUMMYFUNCTION("""COMPUTED_VALUE"""),"https://reklama.cncenter.cz/Online/nativni-rectangle-cross-device")</f>
        <v>https://reklama.cncenter.cz/Online/nativni-rectangle-cross-device</v>
      </c>
      <c r="X840" s="3"/>
      <c r="Y840" s="3"/>
      <c r="Z840" s="3" t="str">
        <f ca="1">IFERROR(__xludf.DUMMYFUNCTION("""COMPUTED_VALUE"""),"podklady@cncenter.cz")</f>
        <v>podklady@cncenter.cz</v>
      </c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 t="str">
        <f ca="1">IFERROR(__xludf.DUMMYFUNCTION("""COMPUTED_VALUE"""),"cross-device")</f>
        <v>cross-device</v>
      </c>
      <c r="AO840" s="3"/>
      <c r="AP840" s="3"/>
      <c r="AQ840" s="3"/>
      <c r="AR840" s="3"/>
      <c r="AS840" s="3"/>
      <c r="AT840" s="3"/>
      <c r="AU840" s="3" t="str">
        <f ca="1">IFERROR(__xludf.DUMMYFUNCTION("""COMPUTED_VALUE"""),"nativní rectangle cross-device")</f>
        <v>nativní rectangle cross-device</v>
      </c>
    </row>
    <row r="841" spans="1:47" x14ac:dyDescent="0.3">
      <c r="A841" s="3">
        <f ca="1"/>
        <v>2346826</v>
      </c>
      <c r="B841" s="3" t="str">
        <f ca="1"/>
        <v>CZECH NEWS CENTER a. s.</v>
      </c>
      <c r="C841" s="3" t="str">
        <f ca="1">IFERROR(__xludf.DUMMYFUNCTION("""COMPUTED_VALUE"""),"Moje zdraví")</f>
        <v>Moje zdraví</v>
      </c>
      <c r="D841" s="4" t="str">
        <f ca="1">IFERROR(__xludf.DUMMYFUNCTION("""COMPUTED_VALUE"""),"https://mojezdravi.cz")</f>
        <v>https://mojezdravi.cz</v>
      </c>
      <c r="E841" s="3" t="str">
        <f ca="1">IFERROR(__xludf.DUMMYFUNCTION("""COMPUTED_VALUE"""),"celý web")</f>
        <v>celý web</v>
      </c>
      <c r="F841" s="4" t="str">
        <f ca="1">IFERROR(__xludf.DUMMYFUNCTION("""COMPUTED_VALUE"""),"https://mojezdravi.cz")</f>
        <v>https://mojezdravi.cz</v>
      </c>
      <c r="G841" s="3" t="str">
        <f ca="1">IFERROR(__xludf.DUMMYFUNCTION("""COMPUTED_VALUE"""),"outstream high season")</f>
        <v>outstream high season</v>
      </c>
      <c r="H841" s="3">
        <f ca="1">IFERROR(__xludf.DUMMYFUNCTION("""COMPUTED_VALUE"""),7)</f>
        <v>7</v>
      </c>
      <c r="I841" s="5">
        <f ca="1">IFERROR(__xludf.DUMMYFUNCTION("""COMPUTED_VALUE"""),1000)</f>
        <v>1000</v>
      </c>
      <c r="J841" s="5">
        <f ca="1">IFERROR(__xludf.DUMMYFUNCTION("""COMPUTED_VALUE"""),450)</f>
        <v>450</v>
      </c>
      <c r="K841" s="3"/>
      <c r="L841" s="3" t="str">
        <f ca="1">IFERROR(__xludf.DUMMYFUNCTION("""COMPUTED_VALUE"""),"Cost per period")</f>
        <v>Cost per period</v>
      </c>
      <c r="M841" s="3"/>
      <c r="N841" s="3"/>
      <c r="O841" s="3" t="str">
        <f ca="1">IFERROR(__xludf.DUMMYFUNCTION("""COMPUTED_VALUE"""),"1280")</f>
        <v>1280</v>
      </c>
      <c r="P841" s="3" t="str">
        <f ca="1">IFERROR(__xludf.DUMMYFUNCTION("""COMPUTED_VALUE"""),"720")</f>
        <v>720</v>
      </c>
      <c r="Q841" s="3" t="str">
        <f ca="1">IFERROR(__xludf.DUMMYFUNCTION("""COMPUTED_VALUE"""),"16:9")</f>
        <v>16:9</v>
      </c>
      <c r="R841" s="3"/>
      <c r="S841" s="3" t="str">
        <f ca="1">IFERROR(__xludf.DUMMYFUNCTION("""COMPUTED_VALUE"""),"100")</f>
        <v>100</v>
      </c>
      <c r="T841" s="3"/>
      <c r="U841" s="3" t="str">
        <f ca="1">IFERROR(__xludf.DUMMYFUNCTION("""COMPUTED_VALUE"""),"videospot")</f>
        <v>videospot</v>
      </c>
      <c r="V841" s="3"/>
      <c r="W841" s="4" t="str">
        <f ca="1">IFERROR(__xludf.DUMMYFUNCTION("""COMPUTED_VALUE"""),"https://reklama.cncenter.cz/Online/Outstream")</f>
        <v>https://reklama.cncenter.cz/Online/Outstream</v>
      </c>
      <c r="X841" s="3"/>
      <c r="Y841" s="3"/>
      <c r="Z841" s="3" t="str">
        <f ca="1">IFERROR(__xludf.DUMMYFUNCTION("""COMPUTED_VALUE"""),"podklady@cncenter.cz")</f>
        <v>podklady@cncenter.cz</v>
      </c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 t="str">
        <f ca="1">IFERROR(__xludf.DUMMYFUNCTION("""COMPUTED_VALUE"""),"cross-device")</f>
        <v>cross-device</v>
      </c>
      <c r="AO841" s="3"/>
      <c r="AP841" s="3"/>
      <c r="AQ841" s="3"/>
      <c r="AR841" s="3"/>
      <c r="AS841" s="3"/>
      <c r="AT841" s="3"/>
      <c r="AU841" s="3" t="str">
        <f ca="1">IFERROR(__xludf.DUMMYFUNCTION("""COMPUTED_VALUE"""),"outstream")</f>
        <v>outstream</v>
      </c>
    </row>
    <row r="842" spans="1:47" x14ac:dyDescent="0.3">
      <c r="A842" s="3">
        <f ca="1"/>
        <v>2346826</v>
      </c>
      <c r="B842" s="3" t="str">
        <f ca="1"/>
        <v>CZECH NEWS CENTER a. s.</v>
      </c>
      <c r="C842" s="3" t="str">
        <f ca="1">IFERROR(__xludf.DUMMYFUNCTION("""COMPUTED_VALUE"""),"Moje zdraví")</f>
        <v>Moje zdraví</v>
      </c>
      <c r="D842" s="4" t="str">
        <f ca="1">IFERROR(__xludf.DUMMYFUNCTION("""COMPUTED_VALUE"""),"https://mojezdravi.cz")</f>
        <v>https://mojezdravi.cz</v>
      </c>
      <c r="E842" s="3" t="str">
        <f ca="1">IFERROR(__xludf.DUMMYFUNCTION("""COMPUTED_VALUE"""),"celý web")</f>
        <v>celý web</v>
      </c>
      <c r="F842" s="4" t="str">
        <f ca="1">IFERROR(__xludf.DUMMYFUNCTION("""COMPUTED_VALUE"""),"https://mojezdravi.cz")</f>
        <v>https://mojezdravi.cz</v>
      </c>
      <c r="G842" s="3" t="str">
        <f ca="1">IFERROR(__xludf.DUMMYFUNCTION("""COMPUTED_VALUE"""),"PR článek high season")</f>
        <v>PR článek high season</v>
      </c>
      <c r="H842" s="3">
        <f ca="1">IFERROR(__xludf.DUMMYFUNCTION("""COMPUTED_VALUE"""),1)</f>
        <v>1</v>
      </c>
      <c r="I842" s="5">
        <f ca="1">IFERROR(__xludf.DUMMYFUNCTION("""COMPUTED_VALUE"""),1)</f>
        <v>1</v>
      </c>
      <c r="J842" s="5">
        <f ca="1">IFERROR(__xludf.DUMMYFUNCTION("""COMPUTED_VALUE"""),25000)</f>
        <v>25000</v>
      </c>
      <c r="K842" s="3"/>
      <c r="L842" s="3" t="str">
        <f ca="1">IFERROR(__xludf.DUMMYFUNCTION("""COMPUTED_VALUE"""),"Cost per instance")</f>
        <v>Cost per instance</v>
      </c>
      <c r="M842" s="3"/>
      <c r="N842" s="3"/>
      <c r="O842" s="3"/>
      <c r="P842" s="3"/>
      <c r="Q842" s="3"/>
      <c r="R842" s="3"/>
      <c r="S842" s="3" t="str">
        <f ca="1">IFERROR(__xludf.DUMMYFUNCTION("""COMPUTED_VALUE"""),"100")</f>
        <v>100</v>
      </c>
      <c r="T842" s="3"/>
      <c r="U842" s="3" t="str">
        <f ca="1">IFERROR(__xludf.DUMMYFUNCTION("""COMPUTED_VALUE"""),"pr článek")</f>
        <v>pr článek</v>
      </c>
      <c r="V842" s="3"/>
      <c r="W842" s="4" t="str">
        <f ca="1">IFERROR(__xludf.DUMMYFUNCTION("""COMPUTED_VALUE"""),"https://reklama.cncenter.cz/?ads=PR%2520%25C4%258Dl%25C3%25A1nky")</f>
        <v>https://reklama.cncenter.cz/?ads=PR%2520%25C4%258Dl%25C3%25A1nky</v>
      </c>
      <c r="X842" s="3"/>
      <c r="Y842" s="3"/>
      <c r="Z842" s="3" t="str">
        <f ca="1">IFERROR(__xludf.DUMMYFUNCTION("""COMPUTED_VALUE"""),"podklady@cncenter.cz")</f>
        <v>podklady@cncenter.cz</v>
      </c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 t="str">
        <f ca="1">IFERROR(__xludf.DUMMYFUNCTION("""COMPUTED_VALUE"""),"cross-device")</f>
        <v>cross-device</v>
      </c>
      <c r="AO842" s="3"/>
      <c r="AP842" s="3"/>
      <c r="AQ842" s="3"/>
      <c r="AR842" s="3"/>
      <c r="AS842" s="3"/>
      <c r="AT842" s="3"/>
      <c r="AU842" s="3" t="str">
        <f ca="1">IFERROR(__xludf.DUMMYFUNCTION("""COMPUTED_VALUE"""),"PR článek")</f>
        <v>PR článek</v>
      </c>
    </row>
    <row r="843" spans="1:47" x14ac:dyDescent="0.3">
      <c r="A843" s="3">
        <f ca="1"/>
        <v>2346826</v>
      </c>
      <c r="B843" s="3" t="str">
        <f ca="1"/>
        <v>CZECH NEWS CENTER a. s.</v>
      </c>
      <c r="C843" s="3" t="str">
        <f ca="1">IFERROR(__xludf.DUMMYFUNCTION("""COMPUTED_VALUE"""),"Moje zdraví")</f>
        <v>Moje zdraví</v>
      </c>
      <c r="D843" s="4" t="str">
        <f ca="1">IFERROR(__xludf.DUMMYFUNCTION("""COMPUTED_VALUE"""),"https://mojezdravi.cz")</f>
        <v>https://mojezdravi.cz</v>
      </c>
      <c r="E843" s="3" t="str">
        <f ca="1">IFERROR(__xludf.DUMMYFUNCTION("""COMPUTED_VALUE"""),"celý web")</f>
        <v>celý web</v>
      </c>
      <c r="F843" s="4" t="str">
        <f ca="1">IFERROR(__xludf.DUMMYFUNCTION("""COMPUTED_VALUE"""),"https://mojezdravi.cz")</f>
        <v>https://mojezdravi.cz</v>
      </c>
      <c r="G843" s="3" t="str">
        <f ca="1">IFERROR(__xludf.DUMMYFUNCTION("""COMPUTED_VALUE"""),"Prodloužení existující microsite, bez úprav high season")</f>
        <v>Prodloužení existující microsite, bez úprav high season</v>
      </c>
      <c r="H843" s="3">
        <f ca="1">IFERROR(__xludf.DUMMYFUNCTION("""COMPUTED_VALUE"""),1)</f>
        <v>1</v>
      </c>
      <c r="I843" s="5">
        <f ca="1">IFERROR(__xludf.DUMMYFUNCTION("""COMPUTED_VALUE"""),1)</f>
        <v>1</v>
      </c>
      <c r="J843" s="5">
        <f ca="1">IFERROR(__xludf.DUMMYFUNCTION("""COMPUTED_VALUE"""),15000)</f>
        <v>15000</v>
      </c>
      <c r="K843" s="3"/>
      <c r="L843" s="3" t="str">
        <f ca="1">IFERROR(__xludf.DUMMYFUNCTION("""COMPUTED_VALUE"""),"Cost per instance")</f>
        <v>Cost per instance</v>
      </c>
      <c r="M843" s="3"/>
      <c r="N843" s="3"/>
      <c r="O843" s="3"/>
      <c r="P843" s="3"/>
      <c r="Q843" s="3"/>
      <c r="R843" s="3"/>
      <c r="S843" s="3" t="str">
        <f ca="1">IFERROR(__xludf.DUMMYFUNCTION("""COMPUTED_VALUE"""),"100")</f>
        <v>100</v>
      </c>
      <c r="T843" s="3"/>
      <c r="U843" s="3" t="str">
        <f ca="1">IFERROR(__xludf.DUMMYFUNCTION("""COMPUTED_VALUE"""),"microsite")</f>
        <v>microsite</v>
      </c>
      <c r="V843" s="3"/>
      <c r="W843" s="3"/>
      <c r="X843" s="3"/>
      <c r="Y843" s="3"/>
      <c r="Z843" s="3" t="str">
        <f ca="1">IFERROR(__xludf.DUMMYFUNCTION("""COMPUTED_VALUE"""),"podklady@cncenter.cz")</f>
        <v>podklady@cncenter.cz</v>
      </c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 t="str">
        <f ca="1">IFERROR(__xludf.DUMMYFUNCTION("""COMPUTED_VALUE"""),"cross-device")</f>
        <v>cross-device</v>
      </c>
      <c r="AO843" s="3"/>
      <c r="AP843" s="3"/>
      <c r="AQ843" s="3"/>
      <c r="AR843" s="3"/>
      <c r="AS843" s="3"/>
      <c r="AT843" s="3"/>
      <c r="AU843" s="3" t="str">
        <f ca="1">IFERROR(__xludf.DUMMYFUNCTION("""COMPUTED_VALUE"""),"Prodloužení existující microsite, bez úprav")</f>
        <v>Prodloužení existující microsite, bez úprav</v>
      </c>
    </row>
    <row r="844" spans="1:47" x14ac:dyDescent="0.3">
      <c r="A844" s="3">
        <f ca="1"/>
        <v>2346826</v>
      </c>
      <c r="B844" s="3" t="str">
        <f ca="1"/>
        <v>CZECH NEWS CENTER a. s.</v>
      </c>
      <c r="C844" s="3" t="str">
        <f ca="1">IFERROR(__xludf.DUMMYFUNCTION("""COMPUTED_VALUE"""),"Moje zdraví")</f>
        <v>Moje zdraví</v>
      </c>
      <c r="D844" s="4" t="str">
        <f ca="1">IFERROR(__xludf.DUMMYFUNCTION("""COMPUTED_VALUE"""),"https://mojezdravi.cz")</f>
        <v>https://mojezdravi.cz</v>
      </c>
      <c r="E844" s="3" t="str">
        <f ca="1">IFERROR(__xludf.DUMMYFUNCTION("""COMPUTED_VALUE"""),"celý web")</f>
        <v>celý web</v>
      </c>
      <c r="F844" s="4" t="str">
        <f ca="1">IFERROR(__xludf.DUMMYFUNCTION("""COMPUTED_VALUE"""),"https://mojezdravi.cz")</f>
        <v>https://mojezdravi.cz</v>
      </c>
      <c r="G844" s="3" t="str">
        <f ca="1">IFERROR(__xludf.DUMMYFUNCTION("""COMPUTED_VALUE"""),"Prodloužení existující microsite, bez úprav high season")</f>
        <v>Prodloužení existující microsite, bez úprav high season</v>
      </c>
      <c r="H844" s="3">
        <f ca="1">IFERROR(__xludf.DUMMYFUNCTION("""COMPUTED_VALUE"""),1)</f>
        <v>1</v>
      </c>
      <c r="I844" s="5">
        <f ca="1">IFERROR(__xludf.DUMMYFUNCTION("""COMPUTED_VALUE"""),1)</f>
        <v>1</v>
      </c>
      <c r="J844" s="5">
        <f ca="1">IFERROR(__xludf.DUMMYFUNCTION("""COMPUTED_VALUE"""),15000)</f>
        <v>15000</v>
      </c>
      <c r="K844" s="3"/>
      <c r="L844" s="3" t="str">
        <f ca="1">IFERROR(__xludf.DUMMYFUNCTION("""COMPUTED_VALUE"""),"Cost per instance")</f>
        <v>Cost per instance</v>
      </c>
      <c r="M844" s="3"/>
      <c r="N844" s="3"/>
      <c r="O844" s="3"/>
      <c r="P844" s="3"/>
      <c r="Q844" s="3"/>
      <c r="R844" s="3"/>
      <c r="S844" s="3" t="str">
        <f ca="1">IFERROR(__xludf.DUMMYFUNCTION("""COMPUTED_VALUE"""),"100")</f>
        <v>100</v>
      </c>
      <c r="T844" s="3"/>
      <c r="U844" s="3" t="str">
        <f ca="1">IFERROR(__xludf.DUMMYFUNCTION("""COMPUTED_VALUE"""),"microsite")</f>
        <v>microsite</v>
      </c>
      <c r="V844" s="3"/>
      <c r="W844" s="3"/>
      <c r="X844" s="3"/>
      <c r="Y844" s="3"/>
      <c r="Z844" s="3" t="str">
        <f ca="1">IFERROR(__xludf.DUMMYFUNCTION("""COMPUTED_VALUE"""),"podklady@cncenter.cz")</f>
        <v>podklady@cncenter.cz</v>
      </c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 t="str">
        <f ca="1">IFERROR(__xludf.DUMMYFUNCTION("""COMPUTED_VALUE"""),"cross-device")</f>
        <v>cross-device</v>
      </c>
      <c r="AO844" s="3"/>
      <c r="AP844" s="3"/>
      <c r="AQ844" s="3"/>
      <c r="AR844" s="3"/>
      <c r="AS844" s="3"/>
      <c r="AT844" s="3"/>
      <c r="AU844" s="3" t="str">
        <f ca="1">IFERROR(__xludf.DUMMYFUNCTION("""COMPUTED_VALUE"""),"Prodloužení existující microsite, bez úprav")</f>
        <v>Prodloužení existující microsite, bez úprav</v>
      </c>
    </row>
    <row r="845" spans="1:47" x14ac:dyDescent="0.3">
      <c r="A845" s="3">
        <f ca="1"/>
        <v>2346826</v>
      </c>
      <c r="B845" s="3" t="str">
        <f ca="1"/>
        <v>CZECH NEWS CENTER a. s.</v>
      </c>
      <c r="C845" s="3" t="str">
        <f ca="1">IFERROR(__xludf.DUMMYFUNCTION("""COMPUTED_VALUE"""),"Moje zdraví")</f>
        <v>Moje zdraví</v>
      </c>
      <c r="D845" s="4" t="str">
        <f ca="1">IFERROR(__xludf.DUMMYFUNCTION("""COMPUTED_VALUE"""),"https://mojezdravi.cz")</f>
        <v>https://mojezdravi.cz</v>
      </c>
      <c r="E845" s="3" t="str">
        <f ca="1">IFERROR(__xludf.DUMMYFUNCTION("""COMPUTED_VALUE"""),"celý web")</f>
        <v>celý web</v>
      </c>
      <c r="F845" s="4" t="str">
        <f ca="1">IFERROR(__xludf.DUMMYFUNCTION("""COMPUTED_VALUE"""),"https://mojezdravi.cz")</f>
        <v>https://mojezdravi.cz</v>
      </c>
      <c r="G845" s="3" t="str">
        <f ca="1">IFERROR(__xludf.DUMMYFUNCTION("""COMPUTED_VALUE"""),"Prodloužení existující microsite, bez úprav high season")</f>
        <v>Prodloužení existující microsite, bez úprav high season</v>
      </c>
      <c r="H845" s="3">
        <f ca="1">IFERROR(__xludf.DUMMYFUNCTION("""COMPUTED_VALUE"""),1)</f>
        <v>1</v>
      </c>
      <c r="I845" s="5">
        <f ca="1">IFERROR(__xludf.DUMMYFUNCTION("""COMPUTED_VALUE"""),1)</f>
        <v>1</v>
      </c>
      <c r="J845" s="5">
        <f ca="1">IFERROR(__xludf.DUMMYFUNCTION("""COMPUTED_VALUE"""),15000)</f>
        <v>15000</v>
      </c>
      <c r="K845" s="3"/>
      <c r="L845" s="3" t="str">
        <f ca="1">IFERROR(__xludf.DUMMYFUNCTION("""COMPUTED_VALUE"""),"Cost per instance")</f>
        <v>Cost per instance</v>
      </c>
      <c r="M845" s="3"/>
      <c r="N845" s="3"/>
      <c r="O845" s="3"/>
      <c r="P845" s="3"/>
      <c r="Q845" s="3"/>
      <c r="R845" s="3"/>
      <c r="S845" s="3" t="str">
        <f ca="1">IFERROR(__xludf.DUMMYFUNCTION("""COMPUTED_VALUE"""),"100")</f>
        <v>100</v>
      </c>
      <c r="T845" s="3"/>
      <c r="U845" s="3" t="str">
        <f ca="1">IFERROR(__xludf.DUMMYFUNCTION("""COMPUTED_VALUE"""),"microsite")</f>
        <v>microsite</v>
      </c>
      <c r="V845" s="3"/>
      <c r="W845" s="3"/>
      <c r="X845" s="3"/>
      <c r="Y845" s="3"/>
      <c r="Z845" s="3" t="str">
        <f ca="1">IFERROR(__xludf.DUMMYFUNCTION("""COMPUTED_VALUE"""),"podklady@cncenter.cz")</f>
        <v>podklady@cncenter.cz</v>
      </c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 t="str">
        <f ca="1">IFERROR(__xludf.DUMMYFUNCTION("""COMPUTED_VALUE"""),"cross-device")</f>
        <v>cross-device</v>
      </c>
      <c r="AO845" s="3"/>
      <c r="AP845" s="3"/>
      <c r="AQ845" s="3"/>
      <c r="AR845" s="3"/>
      <c r="AS845" s="3"/>
      <c r="AT845" s="3"/>
      <c r="AU845" s="3" t="str">
        <f ca="1">IFERROR(__xludf.DUMMYFUNCTION("""COMPUTED_VALUE"""),"Prodloužení existující microsite, bez úprav")</f>
        <v>Prodloužení existující microsite, bez úprav</v>
      </c>
    </row>
    <row r="846" spans="1:47" x14ac:dyDescent="0.3">
      <c r="A846" s="3">
        <f ca="1"/>
        <v>2346826</v>
      </c>
      <c r="B846" s="3" t="str">
        <f ca="1"/>
        <v>CZECH NEWS CENTER a. s.</v>
      </c>
      <c r="C846" s="3" t="str">
        <f ca="1">IFERROR(__xludf.DUMMYFUNCTION("""COMPUTED_VALUE"""),"Moje zdraví")</f>
        <v>Moje zdraví</v>
      </c>
      <c r="D846" s="4" t="str">
        <f ca="1">IFERROR(__xludf.DUMMYFUNCTION("""COMPUTED_VALUE"""),"https://mojezdravi.cz")</f>
        <v>https://mojezdravi.cz</v>
      </c>
      <c r="E846" s="3" t="str">
        <f ca="1">IFERROR(__xludf.DUMMYFUNCTION("""COMPUTED_VALUE"""),"celý web")</f>
        <v>celý web</v>
      </c>
      <c r="F846" s="4" t="str">
        <f ca="1">IFERROR(__xludf.DUMMYFUNCTION("""COMPUTED_VALUE"""),"https://mojezdravi.cz")</f>
        <v>https://mojezdravi.cz</v>
      </c>
      <c r="G846" s="3" t="str">
        <f ca="1">IFERROR(__xludf.DUMMYFUNCTION("""COMPUTED_VALUE"""),"videospot - max. 30 sec. / bumper high season")</f>
        <v>videospot - max. 30 sec. / bumper high season</v>
      </c>
      <c r="H846" s="3">
        <f ca="1">IFERROR(__xludf.DUMMYFUNCTION("""COMPUTED_VALUE"""),7)</f>
        <v>7</v>
      </c>
      <c r="I846" s="5">
        <f ca="1">IFERROR(__xludf.DUMMYFUNCTION("""COMPUTED_VALUE"""),1000)</f>
        <v>1000</v>
      </c>
      <c r="J846" s="5">
        <f ca="1">IFERROR(__xludf.DUMMYFUNCTION("""COMPUTED_VALUE"""),1340)</f>
        <v>1340</v>
      </c>
      <c r="K846" s="3"/>
      <c r="L846" s="3" t="str">
        <f ca="1">IFERROR(__xludf.DUMMYFUNCTION("""COMPUTED_VALUE"""),"Cost per period")</f>
        <v>Cost per period</v>
      </c>
      <c r="M846" s="3"/>
      <c r="N846" s="3"/>
      <c r="O846" s="3" t="str">
        <f ca="1">IFERROR(__xludf.DUMMYFUNCTION("""COMPUTED_VALUE"""),"1280")</f>
        <v>1280</v>
      </c>
      <c r="P846" s="3" t="str">
        <f ca="1">IFERROR(__xludf.DUMMYFUNCTION("""COMPUTED_VALUE"""),"720")</f>
        <v>720</v>
      </c>
      <c r="Q846" s="3" t="str">
        <f ca="1">IFERROR(__xludf.DUMMYFUNCTION("""COMPUTED_VALUE"""),"16:9 / umístění po domluvě dle možností")</f>
        <v>16:9 / umístění po domluvě dle možností</v>
      </c>
      <c r="R846" s="3" t="str">
        <f ca="1">IFERROR(__xludf.DUMMYFUNCTION("""COMPUTED_VALUE"""),"přeskočení po 7 sekundách")</f>
        <v>přeskočení po 7 sekundách</v>
      </c>
      <c r="S846" s="3" t="str">
        <f ca="1">IFERROR(__xludf.DUMMYFUNCTION("""COMPUTED_VALUE"""),"100")</f>
        <v>100</v>
      </c>
      <c r="T846" s="3"/>
      <c r="U846" s="3" t="str">
        <f ca="1">IFERROR(__xludf.DUMMYFUNCTION("""COMPUTED_VALUE"""),"videospot")</f>
        <v>videospot</v>
      </c>
      <c r="V846" s="3"/>
      <c r="W846" s="4" t="str">
        <f ca="1">IFERROR(__xludf.DUMMYFUNCTION("""COMPUTED_VALUE"""),"https://reklama.cncenter.cz/Online/Bumper")</f>
        <v>https://reklama.cncenter.cz/Online/Bumper</v>
      </c>
      <c r="X846" s="3"/>
      <c r="Y846" s="3"/>
      <c r="Z846" s="3" t="str">
        <f ca="1">IFERROR(__xludf.DUMMYFUNCTION("""COMPUTED_VALUE"""),"podklady@cncenter.cz")</f>
        <v>podklady@cncenter.cz</v>
      </c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 t="str">
        <f ca="1">IFERROR(__xludf.DUMMYFUNCTION("""COMPUTED_VALUE"""),"cross-device")</f>
        <v>cross-device</v>
      </c>
      <c r="AO846" s="3"/>
      <c r="AP846" s="3"/>
      <c r="AQ846" s="3"/>
      <c r="AR846" s="3"/>
      <c r="AS846" s="3"/>
      <c r="AT846" s="3"/>
      <c r="AU846" s="3" t="str">
        <f ca="1">IFERROR(__xludf.DUMMYFUNCTION("""COMPUTED_VALUE"""),"videospot - max. 30 sec. / bumper")</f>
        <v>videospot - max. 30 sec. / bumper</v>
      </c>
    </row>
    <row r="847" spans="1:47" x14ac:dyDescent="0.3">
      <c r="A847" s="3">
        <f ca="1"/>
        <v>2346826</v>
      </c>
      <c r="B847" s="3" t="str">
        <f ca="1"/>
        <v>CZECH NEWS CENTER a. s.</v>
      </c>
      <c r="C847" s="3" t="str">
        <f ca="1">IFERROR(__xludf.DUMMYFUNCTION("""COMPUTED_VALUE"""),"Moto GP sport")</f>
        <v>Moto GP sport</v>
      </c>
      <c r="D847" s="4" t="str">
        <f ca="1">IFERROR(__xludf.DUMMYFUNCTION("""COMPUTED_VALUE"""),"https://motogpsport.cz")</f>
        <v>https://motogpsport.cz</v>
      </c>
      <c r="E847" s="3" t="str">
        <f ca="1">IFERROR(__xludf.DUMMYFUNCTION("""COMPUTED_VALUE"""),"celý web")</f>
        <v>celý web</v>
      </c>
      <c r="F847" s="4" t="str">
        <f ca="1">IFERROR(__xludf.DUMMYFUNCTION("""COMPUTED_VALUE"""),"https://motogpsport.cz")</f>
        <v>https://motogpsport.cz</v>
      </c>
      <c r="G847" s="3" t="str">
        <f ca="1">IFERROR(__xludf.DUMMYFUNCTION("""COMPUTED_VALUE"""),"Advertorial high season")</f>
        <v>Advertorial high season</v>
      </c>
      <c r="H847" s="3">
        <f ca="1">IFERROR(__xludf.DUMMYFUNCTION("""COMPUTED_VALUE"""),1)</f>
        <v>1</v>
      </c>
      <c r="I847" s="5">
        <f ca="1">IFERROR(__xludf.DUMMYFUNCTION("""COMPUTED_VALUE"""),1)</f>
        <v>1</v>
      </c>
      <c r="J847" s="5">
        <f ca="1">IFERROR(__xludf.DUMMYFUNCTION("""COMPUTED_VALUE"""),90000)</f>
        <v>90000</v>
      </c>
      <c r="K847" s="3"/>
      <c r="L847" s="3" t="str">
        <f ca="1">IFERROR(__xludf.DUMMYFUNCTION("""COMPUTED_VALUE"""),"Cost per instance")</f>
        <v>Cost per instance</v>
      </c>
      <c r="M847" s="3"/>
      <c r="N847" s="3"/>
      <c r="O847" s="3"/>
      <c r="P847" s="3"/>
      <c r="Q847" s="3"/>
      <c r="R847" s="3"/>
      <c r="S847" s="3" t="str">
        <f ca="1">IFERROR(__xludf.DUMMYFUNCTION("""COMPUTED_VALUE"""),"100")</f>
        <v>100</v>
      </c>
      <c r="T847" s="3"/>
      <c r="U847" s="3" t="str">
        <f ca="1">IFERROR(__xludf.DUMMYFUNCTION("""COMPUTED_VALUE"""),"pr článek")</f>
        <v>pr článek</v>
      </c>
      <c r="V847" s="3"/>
      <c r="W847" s="3"/>
      <c r="X847" s="3"/>
      <c r="Y847" s="3"/>
      <c r="Z847" s="3" t="str">
        <f ca="1">IFERROR(__xludf.DUMMYFUNCTION("""COMPUTED_VALUE"""),"podklady@cncenter.cz")</f>
        <v>podklady@cncenter.cz</v>
      </c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 t="str">
        <f ca="1">IFERROR(__xludf.DUMMYFUNCTION("""COMPUTED_VALUE"""),"cross-device")</f>
        <v>cross-device</v>
      </c>
      <c r="AO847" s="3"/>
      <c r="AP847" s="3"/>
      <c r="AQ847" s="3"/>
      <c r="AR847" s="3"/>
      <c r="AS847" s="3"/>
      <c r="AT847" s="3"/>
      <c r="AU847" s="3" t="str">
        <f ca="1">IFERROR(__xludf.DUMMYFUNCTION("""COMPUTED_VALUE"""),"Advertorial")</f>
        <v>Advertorial</v>
      </c>
    </row>
    <row r="848" spans="1:47" x14ac:dyDescent="0.3">
      <c r="A848" s="3">
        <f ca="1"/>
        <v>2346826</v>
      </c>
      <c r="B848" s="3" t="str">
        <f ca="1"/>
        <v>CZECH NEWS CENTER a. s.</v>
      </c>
      <c r="C848" s="3" t="str">
        <f ca="1">IFERROR(__xludf.DUMMYFUNCTION("""COMPUTED_VALUE"""),"Moto GP sport")</f>
        <v>Moto GP sport</v>
      </c>
      <c r="D848" s="4" t="str">
        <f ca="1">IFERROR(__xludf.DUMMYFUNCTION("""COMPUTED_VALUE"""),"https://motogpsport.cz")</f>
        <v>https://motogpsport.cz</v>
      </c>
      <c r="E848" s="3" t="str">
        <f ca="1">IFERROR(__xludf.DUMMYFUNCTION("""COMPUTED_VALUE"""),"celý web")</f>
        <v>celý web</v>
      </c>
      <c r="F848" s="4" t="str">
        <f ca="1">IFERROR(__xludf.DUMMYFUNCTION("""COMPUTED_VALUE"""),"https://motogpsport.cz")</f>
        <v>https://motogpsport.cz</v>
      </c>
      <c r="G848" s="3" t="str">
        <f ca="1">IFERROR(__xludf.DUMMYFUNCTION("""COMPUTED_VALUE"""),"billboard bottom high season")</f>
        <v>billboard bottom high season</v>
      </c>
      <c r="H848" s="3">
        <f ca="1">IFERROR(__xludf.DUMMYFUNCTION("""COMPUTED_VALUE"""),7)</f>
        <v>7</v>
      </c>
      <c r="I848" s="5">
        <f ca="1">IFERROR(__xludf.DUMMYFUNCTION("""COMPUTED_VALUE"""),1000)</f>
        <v>1000</v>
      </c>
      <c r="J848" s="5">
        <f ca="1">IFERROR(__xludf.DUMMYFUNCTION("""COMPUTED_VALUE"""),440)</f>
        <v>440</v>
      </c>
      <c r="K848" s="3"/>
      <c r="L848" s="3" t="str">
        <f ca="1">IFERROR(__xludf.DUMMYFUNCTION("""COMPUTED_VALUE"""),"Cost per period")</f>
        <v>Cost per period</v>
      </c>
      <c r="M848" s="3"/>
      <c r="N848" s="3"/>
      <c r="O848" s="3" t="str">
        <f ca="1">IFERROR(__xludf.DUMMYFUNCTION("""COMPUTED_VALUE"""),"970")</f>
        <v>970</v>
      </c>
      <c r="P848" s="3" t="str">
        <f ca="1">IFERROR(__xludf.DUMMYFUNCTION("""COMPUTED_VALUE"""),"250")</f>
        <v>250</v>
      </c>
      <c r="Q848" s="3" t="str">
        <f ca="1">IFERROR(__xludf.DUMMYFUNCTION("""COMPUTED_VALUE"""),"970x250")</f>
        <v>970x250</v>
      </c>
      <c r="R848" s="3"/>
      <c r="S848" s="3" t="str">
        <f ca="1">IFERROR(__xludf.DUMMYFUNCTION("""COMPUTED_VALUE"""),"100 (200 - HTML5)")</f>
        <v>100 (200 - HTML5)</v>
      </c>
      <c r="T848" s="3"/>
      <c r="U848" s="3" t="str">
        <f ca="1">IFERROR(__xludf.DUMMYFUNCTION("""COMPUTED_VALUE"""),"banner standard")</f>
        <v>banner standard</v>
      </c>
      <c r="V848" s="3"/>
      <c r="W848" s="4" t="str">
        <f ca="1">IFERROR(__xludf.DUMMYFUNCTION("""COMPUTED_VALUE"""),"https://reklama.cncenter.cz/Online/billboard-bottom")</f>
        <v>https://reklama.cncenter.cz/Online/billboard-bottom</v>
      </c>
      <c r="X848" s="3"/>
      <c r="Y848" s="3"/>
      <c r="Z848" s="3" t="str">
        <f ca="1">IFERROR(__xludf.DUMMYFUNCTION("""COMPUTED_VALUE"""),"podklady@cncenter.cz")</f>
        <v>podklady@cncenter.cz</v>
      </c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 t="str">
        <f ca="1">IFERROR(__xludf.DUMMYFUNCTION("""COMPUTED_VALUE"""),"desktop")</f>
        <v>desktop</v>
      </c>
      <c r="AO848" s="3"/>
      <c r="AP848" s="3"/>
      <c r="AQ848" s="3"/>
      <c r="AR848" s="3"/>
      <c r="AS848" s="3"/>
      <c r="AT848" s="3"/>
      <c r="AU848" s="3" t="str">
        <f ca="1">IFERROR(__xludf.DUMMYFUNCTION("""COMPUTED_VALUE"""),"billboard bottom")</f>
        <v>billboard bottom</v>
      </c>
    </row>
    <row r="849" spans="1:47" x14ac:dyDescent="0.3">
      <c r="A849" s="3">
        <f ca="1"/>
        <v>2346826</v>
      </c>
      <c r="B849" s="3" t="str">
        <f ca="1"/>
        <v>CZECH NEWS CENTER a. s.</v>
      </c>
      <c r="C849" s="3" t="str">
        <f ca="1">IFERROR(__xludf.DUMMYFUNCTION("""COMPUTED_VALUE"""),"Moto GP sport")</f>
        <v>Moto GP sport</v>
      </c>
      <c r="D849" s="4" t="str">
        <f ca="1">IFERROR(__xludf.DUMMYFUNCTION("""COMPUTED_VALUE"""),"https://motogpsport.cz")</f>
        <v>https://motogpsport.cz</v>
      </c>
      <c r="E849" s="3" t="str">
        <f ca="1">IFERROR(__xludf.DUMMYFUNCTION("""COMPUTED_VALUE"""),"celý web")</f>
        <v>celý web</v>
      </c>
      <c r="F849" s="4" t="str">
        <f ca="1">IFERROR(__xludf.DUMMYFUNCTION("""COMPUTED_VALUE"""),"https://motogpsport.cz")</f>
        <v>https://motogpsport.cz</v>
      </c>
      <c r="G849" s="3" t="str">
        <f ca="1">IFERROR(__xludf.DUMMYFUNCTION("""COMPUTED_VALUE"""),"branding cross-device high season")</f>
        <v>branding cross-device high season</v>
      </c>
      <c r="H849" s="3">
        <f ca="1">IFERROR(__xludf.DUMMYFUNCTION("""COMPUTED_VALUE"""),7)</f>
        <v>7</v>
      </c>
      <c r="I849" s="5">
        <f ca="1">IFERROR(__xludf.DUMMYFUNCTION("""COMPUTED_VALUE"""),1000)</f>
        <v>1000</v>
      </c>
      <c r="J849" s="5">
        <f ca="1">IFERROR(__xludf.DUMMYFUNCTION("""COMPUTED_VALUE"""),540)</f>
        <v>540</v>
      </c>
      <c r="K849" s="3"/>
      <c r="L849" s="3" t="str">
        <f ca="1">IFERROR(__xludf.DUMMYFUNCTION("""COMPUTED_VALUE"""),"Cost per period")</f>
        <v>Cost per period</v>
      </c>
      <c r="M849" s="3"/>
      <c r="N849" s="3"/>
      <c r="O849" s="3" t="str">
        <f ca="1">IFERROR(__xludf.DUMMYFUNCTION("""COMPUTED_VALUE"""),"2000")</f>
        <v>2000</v>
      </c>
      <c r="P849" s="3" t="str">
        <f ca="1">IFERROR(__xludf.DUMMYFUNCTION("""COMPUTED_VALUE"""),"1400")</f>
        <v>1400</v>
      </c>
      <c r="Q849" s="3" t="str">
        <f ca="1">IFERROR(__xludf.DUMMYFUNCTION("""COMPUTED_VALUE"""),"2000x1400 + 600x1080")</f>
        <v>2000x1400 + 600x1080</v>
      </c>
      <c r="R849" s="3"/>
      <c r="S849" s="3" t="str">
        <f ca="1">IFERROR(__xludf.DUMMYFUNCTION("""COMPUTED_VALUE"""),"500 (600 - HTLM5)")</f>
        <v>500 (600 - HTLM5)</v>
      </c>
      <c r="T849" s="3"/>
      <c r="U849" s="3" t="str">
        <f ca="1">IFERROR(__xludf.DUMMYFUNCTION("""COMPUTED_VALUE"""),"banner standard")</f>
        <v>banner standard</v>
      </c>
      <c r="V849" s="3"/>
      <c r="W849" s="4" t="str">
        <f ca="1">IFERROR(__xludf.DUMMYFUNCTION("""COMPUTED_VALUE"""),"https://reklama.cncenter.cz/Online/branding-cross-device")</f>
        <v>https://reklama.cncenter.cz/Online/branding-cross-device</v>
      </c>
      <c r="X849" s="3"/>
      <c r="Y849" s="3"/>
      <c r="Z849" s="3" t="str">
        <f ca="1">IFERROR(__xludf.DUMMYFUNCTION("""COMPUTED_VALUE"""),"podklady@cncenter.cz")</f>
        <v>podklady@cncenter.cz</v>
      </c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 t="str">
        <f ca="1">IFERROR(__xludf.DUMMYFUNCTION("""COMPUTED_VALUE"""),"cross-device")</f>
        <v>cross-device</v>
      </c>
      <c r="AO849" s="3"/>
      <c r="AP849" s="3"/>
      <c r="AQ849" s="3"/>
      <c r="AR849" s="3"/>
      <c r="AS849" s="3"/>
      <c r="AT849" s="3"/>
      <c r="AU849" s="3" t="str">
        <f ca="1">IFERROR(__xludf.DUMMYFUNCTION("""COMPUTED_VALUE"""),"branding cross-device")</f>
        <v>branding cross-device</v>
      </c>
    </row>
    <row r="850" spans="1:47" x14ac:dyDescent="0.3">
      <c r="A850" s="3">
        <f ca="1"/>
        <v>2346826</v>
      </c>
      <c r="B850" s="3" t="str">
        <f ca="1"/>
        <v>CZECH NEWS CENTER a. s.</v>
      </c>
      <c r="C850" s="3" t="str">
        <f ca="1">IFERROR(__xludf.DUMMYFUNCTION("""COMPUTED_VALUE"""),"Moto GP sport")</f>
        <v>Moto GP sport</v>
      </c>
      <c r="D850" s="4" t="str">
        <f ca="1">IFERROR(__xludf.DUMMYFUNCTION("""COMPUTED_VALUE"""),"https://motogpsport.cz")</f>
        <v>https://motogpsport.cz</v>
      </c>
      <c r="E850" s="3" t="str">
        <f ca="1">IFERROR(__xludf.DUMMYFUNCTION("""COMPUTED_VALUE"""),"celý web")</f>
        <v>celý web</v>
      </c>
      <c r="F850" s="4" t="str">
        <f ca="1">IFERROR(__xludf.DUMMYFUNCTION("""COMPUTED_VALUE"""),"https://motogpsport.cz")</f>
        <v>https://motogpsport.cz</v>
      </c>
      <c r="G850" s="3" t="str">
        <f ca="1">IFERROR(__xludf.DUMMYFUNCTION("""COMPUTED_VALUE"""),"branding high season")</f>
        <v>branding high season</v>
      </c>
      <c r="H850" s="3">
        <f ca="1">IFERROR(__xludf.DUMMYFUNCTION("""COMPUTED_VALUE"""),7)</f>
        <v>7</v>
      </c>
      <c r="I850" s="5">
        <f ca="1">IFERROR(__xludf.DUMMYFUNCTION("""COMPUTED_VALUE"""),1000)</f>
        <v>1000</v>
      </c>
      <c r="J850" s="5">
        <f ca="1">IFERROR(__xludf.DUMMYFUNCTION("""COMPUTED_VALUE"""),890)</f>
        <v>890</v>
      </c>
      <c r="K850" s="3"/>
      <c r="L850" s="3" t="str">
        <f ca="1">IFERROR(__xludf.DUMMYFUNCTION("""COMPUTED_VALUE"""),"Cost per period")</f>
        <v>Cost per period</v>
      </c>
      <c r="M850" s="3"/>
      <c r="N850" s="3"/>
      <c r="O850" s="3" t="str">
        <f ca="1">IFERROR(__xludf.DUMMYFUNCTION("""COMPUTED_VALUE"""),"2000")</f>
        <v>2000</v>
      </c>
      <c r="P850" s="3" t="str">
        <f ca="1">IFERROR(__xludf.DUMMYFUNCTION("""COMPUTED_VALUE"""),"1400")</f>
        <v>1400</v>
      </c>
      <c r="Q850" s="3" t="str">
        <f ca="1">IFERROR(__xludf.DUMMYFUNCTION("""COMPUTED_VALUE"""),"2000x1400")</f>
        <v>2000x1400</v>
      </c>
      <c r="R850" s="3"/>
      <c r="S850" s="3" t="str">
        <f ca="1">IFERROR(__xludf.DUMMYFUNCTION("""COMPUTED_VALUE"""),"500 + 200 (600+200 HTML5)")</f>
        <v>500 + 200 (600+200 HTML5)</v>
      </c>
      <c r="T850" s="3"/>
      <c r="U850" s="3" t="str">
        <f ca="1">IFERROR(__xludf.DUMMYFUNCTION("""COMPUTED_VALUE"""),"banner standard")</f>
        <v>banner standard</v>
      </c>
      <c r="V850" s="3"/>
      <c r="W850" s="4" t="str">
        <f ca="1">IFERROR(__xludf.DUMMYFUNCTION("""COMPUTED_VALUE"""),"https://reklama.cncenter.cz/Online/branding")</f>
        <v>https://reklama.cncenter.cz/Online/branding</v>
      </c>
      <c r="X850" s="3"/>
      <c r="Y850" s="3"/>
      <c r="Z850" s="3" t="str">
        <f ca="1">IFERROR(__xludf.DUMMYFUNCTION("""COMPUTED_VALUE"""),"podklady@cncenter.cz")</f>
        <v>podklady@cncenter.cz</v>
      </c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 t="str">
        <f ca="1">IFERROR(__xludf.DUMMYFUNCTION("""COMPUTED_VALUE"""),"desktop")</f>
        <v>desktop</v>
      </c>
      <c r="AO850" s="3"/>
      <c r="AP850" s="3"/>
      <c r="AQ850" s="3"/>
      <c r="AR850" s="3"/>
      <c r="AS850" s="3"/>
      <c r="AT850" s="3"/>
      <c r="AU850" s="3" t="str">
        <f ca="1">IFERROR(__xludf.DUMMYFUNCTION("""COMPUTED_VALUE"""),"branding")</f>
        <v>branding</v>
      </c>
    </row>
    <row r="851" spans="1:47" x14ac:dyDescent="0.3">
      <c r="A851" s="3">
        <f ca="1"/>
        <v>2346826</v>
      </c>
      <c r="B851" s="3" t="str">
        <f ca="1"/>
        <v>CZECH NEWS CENTER a. s.</v>
      </c>
      <c r="C851" s="3" t="str">
        <f ca="1">IFERROR(__xludf.DUMMYFUNCTION("""COMPUTED_VALUE"""),"Moto GP sport")</f>
        <v>Moto GP sport</v>
      </c>
      <c r="D851" s="4" t="str">
        <f ca="1">IFERROR(__xludf.DUMMYFUNCTION("""COMPUTED_VALUE"""),"https://motogpsport.cz")</f>
        <v>https://motogpsport.cz</v>
      </c>
      <c r="E851" s="3" t="str">
        <f ca="1">IFERROR(__xludf.DUMMYFUNCTION("""COMPUTED_VALUE"""),"celý web")</f>
        <v>celý web</v>
      </c>
      <c r="F851" s="4" t="str">
        <f ca="1">IFERROR(__xludf.DUMMYFUNCTION("""COMPUTED_VALUE"""),"https://motogpsport.cz")</f>
        <v>https://motogpsport.cz</v>
      </c>
      <c r="G851" s="3" t="str">
        <f ca="1">IFERROR(__xludf.DUMMYFUNCTION("""COMPUTED_VALUE"""),"cílený billboard bottom high season")</f>
        <v>cílený billboard bottom high season</v>
      </c>
      <c r="H851" s="3">
        <f ca="1">IFERROR(__xludf.DUMMYFUNCTION("""COMPUTED_VALUE"""),7)</f>
        <v>7</v>
      </c>
      <c r="I851" s="5">
        <f ca="1">IFERROR(__xludf.DUMMYFUNCTION("""COMPUTED_VALUE"""),1000)</f>
        <v>1000</v>
      </c>
      <c r="J851" s="5">
        <f ca="1">IFERROR(__xludf.DUMMYFUNCTION("""COMPUTED_VALUE"""),528)</f>
        <v>528</v>
      </c>
      <c r="K851" s="3"/>
      <c r="L851" s="3" t="str">
        <f ca="1">IFERROR(__xludf.DUMMYFUNCTION("""COMPUTED_VALUE"""),"Cost per period")</f>
        <v>Cost per period</v>
      </c>
      <c r="M851" s="3"/>
      <c r="N851" s="3"/>
      <c r="O851" s="3" t="str">
        <f ca="1">IFERROR(__xludf.DUMMYFUNCTION("""COMPUTED_VALUE"""),"970")</f>
        <v>970</v>
      </c>
      <c r="P851" s="3" t="str">
        <f ca="1">IFERROR(__xludf.DUMMYFUNCTION("""COMPUTED_VALUE"""),"250")</f>
        <v>250</v>
      </c>
      <c r="Q851" s="3" t="str">
        <f ca="1">IFERROR(__xludf.DUMMYFUNCTION("""COMPUTED_VALUE"""),"970x250")</f>
        <v>970x250</v>
      </c>
      <c r="R851" s="3"/>
      <c r="S851" s="3" t="str">
        <f ca="1">IFERROR(__xludf.DUMMYFUNCTION("""COMPUTED_VALUE"""),"100 (200 - HTML5)")</f>
        <v>100 (200 - HTML5)</v>
      </c>
      <c r="T851" s="3"/>
      <c r="U851" s="3" t="str">
        <f ca="1">IFERROR(__xludf.DUMMYFUNCTION("""COMPUTED_VALUE"""),"banner standard")</f>
        <v>banner standard</v>
      </c>
      <c r="V851" s="3"/>
      <c r="W851" s="4" t="str">
        <f ca="1">IFERROR(__xludf.DUMMYFUNCTION("""COMPUTED_VALUE"""),"https://reklama.cncenter.cz/Online/billboard-bottom")</f>
        <v>https://reklama.cncenter.cz/Online/billboard-bottom</v>
      </c>
      <c r="X851" s="3"/>
      <c r="Y851" s="3"/>
      <c r="Z851" s="3" t="str">
        <f ca="1">IFERROR(__xludf.DUMMYFUNCTION("""COMPUTED_VALUE"""),"podklady@cncenter.cz")</f>
        <v>podklady@cncenter.cz</v>
      </c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 t="str">
        <f ca="1">IFERROR(__xludf.DUMMYFUNCTION("""COMPUTED_VALUE"""),"desktop")</f>
        <v>desktop</v>
      </c>
      <c r="AO851" s="3"/>
      <c r="AP851" s="3"/>
      <c r="AQ851" s="3"/>
      <c r="AR851" s="3"/>
      <c r="AS851" s="3"/>
      <c r="AT851" s="3"/>
      <c r="AU851" s="3" t="str">
        <f ca="1">IFERROR(__xludf.DUMMYFUNCTION("""COMPUTED_VALUE"""),"cílený billboard bottom")</f>
        <v>cílený billboard bottom</v>
      </c>
    </row>
    <row r="852" spans="1:47" x14ac:dyDescent="0.3">
      <c r="A852" s="3">
        <f ca="1"/>
        <v>2346826</v>
      </c>
      <c r="B852" s="3" t="str">
        <f ca="1"/>
        <v>CZECH NEWS CENTER a. s.</v>
      </c>
      <c r="C852" s="3" t="str">
        <f ca="1">IFERROR(__xludf.DUMMYFUNCTION("""COMPUTED_VALUE"""),"Moto GP sport")</f>
        <v>Moto GP sport</v>
      </c>
      <c r="D852" s="4" t="str">
        <f ca="1">IFERROR(__xludf.DUMMYFUNCTION("""COMPUTED_VALUE"""),"https://motogpsport.cz")</f>
        <v>https://motogpsport.cz</v>
      </c>
      <c r="E852" s="3" t="str">
        <f ca="1">IFERROR(__xludf.DUMMYFUNCTION("""COMPUTED_VALUE"""),"celý web")</f>
        <v>celý web</v>
      </c>
      <c r="F852" s="4" t="str">
        <f ca="1">IFERROR(__xludf.DUMMYFUNCTION("""COMPUTED_VALUE"""),"https://motogpsport.cz")</f>
        <v>https://motogpsport.cz</v>
      </c>
      <c r="G852" s="3" t="str">
        <f ca="1">IFERROR(__xludf.DUMMYFUNCTION("""COMPUTED_VALUE"""),"cílený branding cross-device high season")</f>
        <v>cílený branding cross-device high season</v>
      </c>
      <c r="H852" s="3">
        <f ca="1">IFERROR(__xludf.DUMMYFUNCTION("""COMPUTED_VALUE"""),7)</f>
        <v>7</v>
      </c>
      <c r="I852" s="5">
        <f ca="1">IFERROR(__xludf.DUMMYFUNCTION("""COMPUTED_VALUE"""),1000)</f>
        <v>1000</v>
      </c>
      <c r="J852" s="5">
        <f ca="1">IFERROR(__xludf.DUMMYFUNCTION("""COMPUTED_VALUE"""),648)</f>
        <v>648</v>
      </c>
      <c r="K852" s="3"/>
      <c r="L852" s="3" t="str">
        <f ca="1">IFERROR(__xludf.DUMMYFUNCTION("""COMPUTED_VALUE"""),"Cost per period")</f>
        <v>Cost per period</v>
      </c>
      <c r="M852" s="3"/>
      <c r="N852" s="3"/>
      <c r="O852" s="3" t="str">
        <f ca="1">IFERROR(__xludf.DUMMYFUNCTION("""COMPUTED_VALUE"""),"2000")</f>
        <v>2000</v>
      </c>
      <c r="P852" s="3" t="str">
        <f ca="1">IFERROR(__xludf.DUMMYFUNCTION("""COMPUTED_VALUE"""),"1400")</f>
        <v>1400</v>
      </c>
      <c r="Q852" s="3" t="str">
        <f ca="1">IFERROR(__xludf.DUMMYFUNCTION("""COMPUTED_VALUE"""),"2000x1400 + 600x1080")</f>
        <v>2000x1400 + 600x1080</v>
      </c>
      <c r="R852" s="3"/>
      <c r="S852" s="3" t="str">
        <f ca="1">IFERROR(__xludf.DUMMYFUNCTION("""COMPUTED_VALUE"""),"500 (600 - HTLM5)")</f>
        <v>500 (600 - HTLM5)</v>
      </c>
      <c r="T852" s="3"/>
      <c r="U852" s="3" t="str">
        <f ca="1">IFERROR(__xludf.DUMMYFUNCTION("""COMPUTED_VALUE"""),"banner standard")</f>
        <v>banner standard</v>
      </c>
      <c r="V852" s="3"/>
      <c r="W852" s="4" t="str">
        <f ca="1">IFERROR(__xludf.DUMMYFUNCTION("""COMPUTED_VALUE"""),"https://reklama.cncenter.cz/Online/branding-cross-device")</f>
        <v>https://reklama.cncenter.cz/Online/branding-cross-device</v>
      </c>
      <c r="X852" s="3"/>
      <c r="Y852" s="3"/>
      <c r="Z852" s="3" t="str">
        <f ca="1">IFERROR(__xludf.DUMMYFUNCTION("""COMPUTED_VALUE"""),"podklady@cncenter.cz")</f>
        <v>podklady@cncenter.cz</v>
      </c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 t="str">
        <f ca="1">IFERROR(__xludf.DUMMYFUNCTION("""COMPUTED_VALUE"""),"cross-device")</f>
        <v>cross-device</v>
      </c>
      <c r="AO852" s="3"/>
      <c r="AP852" s="3"/>
      <c r="AQ852" s="3"/>
      <c r="AR852" s="3"/>
      <c r="AS852" s="3"/>
      <c r="AT852" s="3"/>
      <c r="AU852" s="3" t="str">
        <f ca="1">IFERROR(__xludf.DUMMYFUNCTION("""COMPUTED_VALUE"""),"cílený branding cross-device")</f>
        <v>cílený branding cross-device</v>
      </c>
    </row>
    <row r="853" spans="1:47" x14ac:dyDescent="0.3">
      <c r="A853" s="3">
        <f ca="1"/>
        <v>2346826</v>
      </c>
      <c r="B853" s="3" t="str">
        <f ca="1"/>
        <v>CZECH NEWS CENTER a. s.</v>
      </c>
      <c r="C853" s="3" t="str">
        <f ca="1">IFERROR(__xludf.DUMMYFUNCTION("""COMPUTED_VALUE"""),"Moto GP sport")</f>
        <v>Moto GP sport</v>
      </c>
      <c r="D853" s="4" t="str">
        <f ca="1">IFERROR(__xludf.DUMMYFUNCTION("""COMPUTED_VALUE"""),"https://motogpsport.cz")</f>
        <v>https://motogpsport.cz</v>
      </c>
      <c r="E853" s="3" t="str">
        <f ca="1">IFERROR(__xludf.DUMMYFUNCTION("""COMPUTED_VALUE"""),"celý web")</f>
        <v>celý web</v>
      </c>
      <c r="F853" s="4" t="str">
        <f ca="1">IFERROR(__xludf.DUMMYFUNCTION("""COMPUTED_VALUE"""),"https://motogpsport.cz")</f>
        <v>https://motogpsport.cz</v>
      </c>
      <c r="G853" s="3" t="str">
        <f ca="1">IFERROR(__xludf.DUMMYFUNCTION("""COMPUTED_VALUE"""),"cílený branding high season")</f>
        <v>cílený branding high season</v>
      </c>
      <c r="H853" s="3">
        <f ca="1">IFERROR(__xludf.DUMMYFUNCTION("""COMPUTED_VALUE"""),7)</f>
        <v>7</v>
      </c>
      <c r="I853" s="5">
        <f ca="1">IFERROR(__xludf.DUMMYFUNCTION("""COMPUTED_VALUE"""),1000)</f>
        <v>1000</v>
      </c>
      <c r="J853" s="5">
        <f ca="1">IFERROR(__xludf.DUMMYFUNCTION("""COMPUTED_VALUE"""),1068)</f>
        <v>1068</v>
      </c>
      <c r="K853" s="3"/>
      <c r="L853" s="3" t="str">
        <f ca="1">IFERROR(__xludf.DUMMYFUNCTION("""COMPUTED_VALUE"""),"Cost per period")</f>
        <v>Cost per period</v>
      </c>
      <c r="M853" s="3"/>
      <c r="N853" s="3"/>
      <c r="O853" s="3" t="str">
        <f ca="1">IFERROR(__xludf.DUMMYFUNCTION("""COMPUTED_VALUE"""),"2000")</f>
        <v>2000</v>
      </c>
      <c r="P853" s="3" t="str">
        <f ca="1">IFERROR(__xludf.DUMMYFUNCTION("""COMPUTED_VALUE"""),"1400")</f>
        <v>1400</v>
      </c>
      <c r="Q853" s="3" t="str">
        <f ca="1">IFERROR(__xludf.DUMMYFUNCTION("""COMPUTED_VALUE"""),"2000x1400")</f>
        <v>2000x1400</v>
      </c>
      <c r="R853" s="3"/>
      <c r="S853" s="3" t="str">
        <f ca="1">IFERROR(__xludf.DUMMYFUNCTION("""COMPUTED_VALUE"""),"500 + 200 (600+200 HTML5)")</f>
        <v>500 + 200 (600+200 HTML5)</v>
      </c>
      <c r="T853" s="3"/>
      <c r="U853" s="3" t="str">
        <f ca="1">IFERROR(__xludf.DUMMYFUNCTION("""COMPUTED_VALUE"""),"banner standard")</f>
        <v>banner standard</v>
      </c>
      <c r="V853" s="3"/>
      <c r="W853" s="4" t="str">
        <f ca="1">IFERROR(__xludf.DUMMYFUNCTION("""COMPUTED_VALUE"""),"https://reklama.cncenter.cz/Online/branding")</f>
        <v>https://reklama.cncenter.cz/Online/branding</v>
      </c>
      <c r="X853" s="3"/>
      <c r="Y853" s="3"/>
      <c r="Z853" s="3" t="str">
        <f ca="1">IFERROR(__xludf.DUMMYFUNCTION("""COMPUTED_VALUE"""),"podklady@cncenter.cz")</f>
        <v>podklady@cncenter.cz</v>
      </c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 t="str">
        <f ca="1">IFERROR(__xludf.DUMMYFUNCTION("""COMPUTED_VALUE"""),"desktop")</f>
        <v>desktop</v>
      </c>
      <c r="AO853" s="3"/>
      <c r="AP853" s="3"/>
      <c r="AQ853" s="3"/>
      <c r="AR853" s="3"/>
      <c r="AS853" s="3"/>
      <c r="AT853" s="3"/>
      <c r="AU853" s="3" t="str">
        <f ca="1">IFERROR(__xludf.DUMMYFUNCTION("""COMPUTED_VALUE"""),"cílený branding")</f>
        <v>cílený branding</v>
      </c>
    </row>
    <row r="854" spans="1:47" x14ac:dyDescent="0.3">
      <c r="A854" s="3">
        <f ca="1"/>
        <v>2346826</v>
      </c>
      <c r="B854" s="3" t="str">
        <f ca="1"/>
        <v>CZECH NEWS CENTER a. s.</v>
      </c>
      <c r="C854" s="3" t="str">
        <f ca="1">IFERROR(__xludf.DUMMYFUNCTION("""COMPUTED_VALUE"""),"Moto GP sport")</f>
        <v>Moto GP sport</v>
      </c>
      <c r="D854" s="4" t="str">
        <f ca="1">IFERROR(__xludf.DUMMYFUNCTION("""COMPUTED_VALUE"""),"https://motogpsport.cz")</f>
        <v>https://motogpsport.cz</v>
      </c>
      <c r="E854" s="3" t="str">
        <f ca="1">IFERROR(__xludf.DUMMYFUNCTION("""COMPUTED_VALUE"""),"celý web")</f>
        <v>celý web</v>
      </c>
      <c r="F854" s="4" t="str">
        <f ca="1">IFERROR(__xludf.DUMMYFUNCTION("""COMPUTED_VALUE"""),"https://motogpsport.cz")</f>
        <v>https://motogpsport.cz</v>
      </c>
      <c r="G854" s="3" t="str">
        <f ca="1">IFERROR(__xludf.DUMMYFUNCTION("""COMPUTED_VALUE"""),"cílený double skyscraper high season")</f>
        <v>cílený double skyscraper high season</v>
      </c>
      <c r="H854" s="3">
        <f ca="1">IFERROR(__xludf.DUMMYFUNCTION("""COMPUTED_VALUE"""),7)</f>
        <v>7</v>
      </c>
      <c r="I854" s="5">
        <f ca="1">IFERROR(__xludf.DUMMYFUNCTION("""COMPUTED_VALUE"""),1000)</f>
        <v>1000</v>
      </c>
      <c r="J854" s="5">
        <f ca="1">IFERROR(__xludf.DUMMYFUNCTION("""COMPUTED_VALUE"""),420)</f>
        <v>420</v>
      </c>
      <c r="K854" s="3"/>
      <c r="L854" s="3" t="str">
        <f ca="1">IFERROR(__xludf.DUMMYFUNCTION("""COMPUTED_VALUE"""),"Cost per period")</f>
        <v>Cost per period</v>
      </c>
      <c r="M854" s="3"/>
      <c r="N854" s="3"/>
      <c r="O854" s="3" t="str">
        <f ca="1">IFERROR(__xludf.DUMMYFUNCTION("""COMPUTED_VALUE"""),"300")</f>
        <v>300</v>
      </c>
      <c r="P854" s="3" t="str">
        <f ca="1">IFERROR(__xludf.DUMMYFUNCTION("""COMPUTED_VALUE"""),"600")</f>
        <v>600</v>
      </c>
      <c r="Q854" s="3" t="str">
        <f ca="1">IFERROR(__xludf.DUMMYFUNCTION("""COMPUTED_VALUE"""),"300x600")</f>
        <v>300x600</v>
      </c>
      <c r="R854" s="3"/>
      <c r="S854" s="3" t="str">
        <f ca="1">IFERROR(__xludf.DUMMYFUNCTION("""COMPUTED_VALUE"""),"100 (200 - HTML5)")</f>
        <v>100 (200 - HTML5)</v>
      </c>
      <c r="T854" s="3"/>
      <c r="U854" s="3" t="str">
        <f ca="1">IFERROR(__xludf.DUMMYFUNCTION("""COMPUTED_VALUE"""),"banner standard")</f>
        <v>banner standard</v>
      </c>
      <c r="V854" s="3"/>
      <c r="W854" s="4" t="str">
        <f ca="1">IFERROR(__xludf.DUMMYFUNCTION("""COMPUTED_VALUE"""),"https://reklama.cncenter.cz/Online/double-skyscraper")</f>
        <v>https://reklama.cncenter.cz/Online/double-skyscraper</v>
      </c>
      <c r="X854" s="3"/>
      <c r="Y854" s="3"/>
      <c r="Z854" s="3" t="str">
        <f ca="1">IFERROR(__xludf.DUMMYFUNCTION("""COMPUTED_VALUE"""),"podklady@cncenter.cz")</f>
        <v>podklady@cncenter.cz</v>
      </c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 t="str">
        <f ca="1">IFERROR(__xludf.DUMMYFUNCTION("""COMPUTED_VALUE"""),"desktop")</f>
        <v>desktop</v>
      </c>
      <c r="AO854" s="3"/>
      <c r="AP854" s="3"/>
      <c r="AQ854" s="3"/>
      <c r="AR854" s="3"/>
      <c r="AS854" s="3"/>
      <c r="AT854" s="3"/>
      <c r="AU854" s="3" t="str">
        <f ca="1">IFERROR(__xludf.DUMMYFUNCTION("""COMPUTED_VALUE"""),"cílený double skyscraper")</f>
        <v>cílený double skyscraper</v>
      </c>
    </row>
    <row r="855" spans="1:47" x14ac:dyDescent="0.3">
      <c r="A855" s="3">
        <f ca="1"/>
        <v>2346826</v>
      </c>
      <c r="B855" s="3" t="str">
        <f ca="1"/>
        <v>CZECH NEWS CENTER a. s.</v>
      </c>
      <c r="C855" s="3" t="str">
        <f ca="1">IFERROR(__xludf.DUMMYFUNCTION("""COMPUTED_VALUE"""),"Moto GP sport")</f>
        <v>Moto GP sport</v>
      </c>
      <c r="D855" s="4" t="str">
        <f ca="1">IFERROR(__xludf.DUMMYFUNCTION("""COMPUTED_VALUE"""),"https://motogpsport.cz")</f>
        <v>https://motogpsport.cz</v>
      </c>
      <c r="E855" s="3" t="str">
        <f ca="1">IFERROR(__xludf.DUMMYFUNCTION("""COMPUTED_VALUE"""),"celý web")</f>
        <v>celý web</v>
      </c>
      <c r="F855" s="4" t="str">
        <f ca="1">IFERROR(__xludf.DUMMYFUNCTION("""COMPUTED_VALUE"""),"https://motogpsport.cz")</f>
        <v>https://motogpsport.cz</v>
      </c>
      <c r="G855" s="3" t="str">
        <f ca="1">IFERROR(__xludf.DUMMYFUNCTION("""COMPUTED_VALUE"""),"cílený mobilní interscroller high season")</f>
        <v>cílený mobilní interscroller high season</v>
      </c>
      <c r="H855" s="3">
        <f ca="1">IFERROR(__xludf.DUMMYFUNCTION("""COMPUTED_VALUE"""),7)</f>
        <v>7</v>
      </c>
      <c r="I855" s="5">
        <f ca="1">IFERROR(__xludf.DUMMYFUNCTION("""COMPUTED_VALUE"""),1000)</f>
        <v>1000</v>
      </c>
      <c r="J855" s="5">
        <f ca="1">IFERROR(__xludf.DUMMYFUNCTION("""COMPUTED_VALUE"""),540)</f>
        <v>540</v>
      </c>
      <c r="K855" s="3"/>
      <c r="L855" s="3" t="str">
        <f ca="1">IFERROR(__xludf.DUMMYFUNCTION("""COMPUTED_VALUE"""),"Cost per period")</f>
        <v>Cost per period</v>
      </c>
      <c r="M855" s="3"/>
      <c r="N855" s="3"/>
      <c r="O855" s="3" t="str">
        <f ca="1">IFERROR(__xludf.DUMMYFUNCTION("""COMPUTED_VALUE"""),"600")</f>
        <v>600</v>
      </c>
      <c r="P855" s="3" t="str">
        <f ca="1">IFERROR(__xludf.DUMMYFUNCTION("""COMPUTED_VALUE"""),"1080")</f>
        <v>1080</v>
      </c>
      <c r="Q855" s="3" t="str">
        <f ca="1">IFERROR(__xludf.DUMMYFUNCTION("""COMPUTED_VALUE"""),"600x1080")</f>
        <v>600x1080</v>
      </c>
      <c r="R855" s="3"/>
      <c r="S855" s="3" t="str">
        <f ca="1">IFERROR(__xludf.DUMMYFUNCTION("""COMPUTED_VALUE"""),"200")</f>
        <v>200</v>
      </c>
      <c r="T855" s="3"/>
      <c r="U855" s="3" t="str">
        <f ca="1">IFERROR(__xludf.DUMMYFUNCTION("""COMPUTED_VALUE"""),"banner standard")</f>
        <v>banner standard</v>
      </c>
      <c r="V855" s="3"/>
      <c r="W855" s="4" t="str">
        <f ca="1">IFERROR(__xludf.DUMMYFUNCTION("""COMPUTED_VALUE"""),"https://reklama.cncenter.cz/Online/mobilni-interscroller")</f>
        <v>https://reklama.cncenter.cz/Online/mobilni-interscroller</v>
      </c>
      <c r="X855" s="3"/>
      <c r="Y855" s="3"/>
      <c r="Z855" s="3" t="str">
        <f ca="1">IFERROR(__xludf.DUMMYFUNCTION("""COMPUTED_VALUE"""),"podklady@cncenter.cz")</f>
        <v>podklady@cncenter.cz</v>
      </c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 t="str">
        <f ca="1">IFERROR(__xludf.DUMMYFUNCTION("""COMPUTED_VALUE"""),"mobile")</f>
        <v>mobile</v>
      </c>
      <c r="AO855" s="3"/>
      <c r="AP855" s="3"/>
      <c r="AQ855" s="3"/>
      <c r="AR855" s="3"/>
      <c r="AS855" s="3"/>
      <c r="AT855" s="3"/>
      <c r="AU855" s="3" t="str">
        <f ca="1">IFERROR(__xludf.DUMMYFUNCTION("""COMPUTED_VALUE"""),"cílený mobilní interscroller")</f>
        <v>cílený mobilní interscroller</v>
      </c>
    </row>
    <row r="856" spans="1:47" x14ac:dyDescent="0.3">
      <c r="A856" s="3">
        <f ca="1"/>
        <v>2346826</v>
      </c>
      <c r="B856" s="3" t="str">
        <f ca="1"/>
        <v>CZECH NEWS CENTER a. s.</v>
      </c>
      <c r="C856" s="3" t="str">
        <f ca="1">IFERROR(__xludf.DUMMYFUNCTION("""COMPUTED_VALUE"""),"Moto GP sport")</f>
        <v>Moto GP sport</v>
      </c>
      <c r="D856" s="4" t="str">
        <f ca="1">IFERROR(__xludf.DUMMYFUNCTION("""COMPUTED_VALUE"""),"https://motogpsport.cz")</f>
        <v>https://motogpsport.cz</v>
      </c>
      <c r="E856" s="3" t="str">
        <f ca="1">IFERROR(__xludf.DUMMYFUNCTION("""COMPUTED_VALUE"""),"celý web")</f>
        <v>celý web</v>
      </c>
      <c r="F856" s="4" t="str">
        <f ca="1">IFERROR(__xludf.DUMMYFUNCTION("""COMPUTED_VALUE"""),"https://motogpsport.cz")</f>
        <v>https://motogpsport.cz</v>
      </c>
      <c r="G856" s="3" t="str">
        <f ca="1">IFERROR(__xludf.DUMMYFUNCTION("""COMPUTED_VALUE"""),"cílený mobilní slide-up high season")</f>
        <v>cílený mobilní slide-up high season</v>
      </c>
      <c r="H856" s="3">
        <f ca="1">IFERROR(__xludf.DUMMYFUNCTION("""COMPUTED_VALUE"""),7)</f>
        <v>7</v>
      </c>
      <c r="I856" s="5">
        <f ca="1">IFERROR(__xludf.DUMMYFUNCTION("""COMPUTED_VALUE"""),1000)</f>
        <v>1000</v>
      </c>
      <c r="J856" s="5">
        <f ca="1">IFERROR(__xludf.DUMMYFUNCTION("""COMPUTED_VALUE"""),1104)</f>
        <v>1104</v>
      </c>
      <c r="K856" s="3"/>
      <c r="L856" s="3" t="str">
        <f ca="1">IFERROR(__xludf.DUMMYFUNCTION("""COMPUTED_VALUE"""),"Cost per period")</f>
        <v>Cost per period</v>
      </c>
      <c r="M856" s="3"/>
      <c r="N856" s="3"/>
      <c r="O856" s="3" t="str">
        <f ca="1">IFERROR(__xludf.DUMMYFUNCTION("""COMPUTED_VALUE"""),"300")</f>
        <v>300</v>
      </c>
      <c r="P856" s="3" t="str">
        <f ca="1">IFERROR(__xludf.DUMMYFUNCTION("""COMPUTED_VALUE"""),"120")</f>
        <v>120</v>
      </c>
      <c r="Q856" s="3" t="str">
        <f ca="1">IFERROR(__xludf.DUMMYFUNCTION("""COMPUTED_VALUE"""),"300x120")</f>
        <v>300x120</v>
      </c>
      <c r="R856" s="3"/>
      <c r="S856" s="3" t="str">
        <f ca="1">IFERROR(__xludf.DUMMYFUNCTION("""COMPUTED_VALUE"""),"100")</f>
        <v>100</v>
      </c>
      <c r="T856" s="3"/>
      <c r="U856" s="3" t="str">
        <f ca="1">IFERROR(__xludf.DUMMYFUNCTION("""COMPUTED_VALUE"""),"banner standard")</f>
        <v>banner standard</v>
      </c>
      <c r="V856" s="3"/>
      <c r="W856" s="4" t="str">
        <f ca="1">IFERROR(__xludf.DUMMYFUNCTION("""COMPUTED_VALUE"""),"https://reklama.cncenter.cz/Online/mobilni-slide-up")</f>
        <v>https://reklama.cncenter.cz/Online/mobilni-slide-up</v>
      </c>
      <c r="X856" s="3"/>
      <c r="Y856" s="3"/>
      <c r="Z856" s="3" t="str">
        <f ca="1">IFERROR(__xludf.DUMMYFUNCTION("""COMPUTED_VALUE"""),"podklady@cncenter.cz")</f>
        <v>podklady@cncenter.cz</v>
      </c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 t="str">
        <f ca="1">IFERROR(__xludf.DUMMYFUNCTION("""COMPUTED_VALUE"""),"mobile")</f>
        <v>mobile</v>
      </c>
      <c r="AO856" s="3"/>
      <c r="AP856" s="3"/>
      <c r="AQ856" s="3"/>
      <c r="AR856" s="3"/>
      <c r="AS856" s="3"/>
      <c r="AT856" s="3"/>
      <c r="AU856" s="3" t="str">
        <f ca="1">IFERROR(__xludf.DUMMYFUNCTION("""COMPUTED_VALUE"""),"cílený mobilní slide-up")</f>
        <v>cílený mobilní slide-up</v>
      </c>
    </row>
    <row r="857" spans="1:47" x14ac:dyDescent="0.3">
      <c r="A857" s="3">
        <f ca="1"/>
        <v>2346826</v>
      </c>
      <c r="B857" s="3" t="str">
        <f ca="1"/>
        <v>CZECH NEWS CENTER a. s.</v>
      </c>
      <c r="C857" s="3" t="str">
        <f ca="1">IFERROR(__xludf.DUMMYFUNCTION("""COMPUTED_VALUE"""),"Moto GP sport")</f>
        <v>Moto GP sport</v>
      </c>
      <c r="D857" s="4" t="str">
        <f ca="1">IFERROR(__xludf.DUMMYFUNCTION("""COMPUTED_VALUE"""),"https://motogpsport.cz")</f>
        <v>https://motogpsport.cz</v>
      </c>
      <c r="E857" s="3" t="str">
        <f ca="1">IFERROR(__xludf.DUMMYFUNCTION("""COMPUTED_VALUE"""),"celý web")</f>
        <v>celý web</v>
      </c>
      <c r="F857" s="4" t="str">
        <f ca="1">IFERROR(__xludf.DUMMYFUNCTION("""COMPUTED_VALUE"""),"https://motogpsport.cz")</f>
        <v>https://motogpsport.cz</v>
      </c>
      <c r="G857" s="3" t="str">
        <f ca="1">IFERROR(__xludf.DUMMYFUNCTION("""COMPUTED_VALUE"""),"cílený mobilní viněta high season")</f>
        <v>cílený mobilní viněta high season</v>
      </c>
      <c r="H857" s="3">
        <f ca="1">IFERROR(__xludf.DUMMYFUNCTION("""COMPUTED_VALUE"""),7)</f>
        <v>7</v>
      </c>
      <c r="I857" s="5">
        <f ca="1">IFERROR(__xludf.DUMMYFUNCTION("""COMPUTED_VALUE"""),1000)</f>
        <v>1000</v>
      </c>
      <c r="J857" s="5">
        <f ca="1">IFERROR(__xludf.DUMMYFUNCTION("""COMPUTED_VALUE"""),1908)</f>
        <v>1908</v>
      </c>
      <c r="K857" s="3"/>
      <c r="L857" s="3" t="str">
        <f ca="1">IFERROR(__xludf.DUMMYFUNCTION("""COMPUTED_VALUE"""),"Cost per period")</f>
        <v>Cost per period</v>
      </c>
      <c r="M857" s="3"/>
      <c r="N857" s="3"/>
      <c r="O857" s="3" t="str">
        <f ca="1">IFERROR(__xludf.DUMMYFUNCTION("""COMPUTED_VALUE"""),"600")</f>
        <v>600</v>
      </c>
      <c r="P857" s="3" t="str">
        <f ca="1">IFERROR(__xludf.DUMMYFUNCTION("""COMPUTED_VALUE"""),"800")</f>
        <v>800</v>
      </c>
      <c r="Q857" s="3" t="str">
        <f ca="1">IFERROR(__xludf.DUMMYFUNCTION("""COMPUTED_VALUE"""),"300x250 nebo 600x800")</f>
        <v>300x250 nebo 600x800</v>
      </c>
      <c r="R857" s="3"/>
      <c r="S857" s="3" t="str">
        <f ca="1">IFERROR(__xludf.DUMMYFUNCTION("""COMPUTED_VALUE"""),"100")</f>
        <v>100</v>
      </c>
      <c r="T857" s="3"/>
      <c r="U857" s="3" t="str">
        <f ca="1">IFERROR(__xludf.DUMMYFUNCTION("""COMPUTED_VALUE"""),"banner standard")</f>
        <v>banner standard</v>
      </c>
      <c r="V857" s="3"/>
      <c r="W857" s="4" t="str">
        <f ca="1">IFERROR(__xludf.DUMMYFUNCTION("""COMPUTED_VALUE"""),"https://reklama.cncenter.cz/Online/mobilni-vineta")</f>
        <v>https://reklama.cncenter.cz/Online/mobilni-vineta</v>
      </c>
      <c r="X857" s="3"/>
      <c r="Y857" s="3"/>
      <c r="Z857" s="3" t="str">
        <f ca="1">IFERROR(__xludf.DUMMYFUNCTION("""COMPUTED_VALUE"""),"podklady@cncenter.cz")</f>
        <v>podklady@cncenter.cz</v>
      </c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 t="str">
        <f ca="1">IFERROR(__xludf.DUMMYFUNCTION("""COMPUTED_VALUE"""),"mobile")</f>
        <v>mobile</v>
      </c>
      <c r="AO857" s="3"/>
      <c r="AP857" s="3"/>
      <c r="AQ857" s="3"/>
      <c r="AR857" s="3"/>
      <c r="AS857" s="3"/>
      <c r="AT857" s="3"/>
      <c r="AU857" s="3" t="str">
        <f ca="1">IFERROR(__xludf.DUMMYFUNCTION("""COMPUTED_VALUE"""),"cílený mobilní viněta")</f>
        <v>cílený mobilní viněta</v>
      </c>
    </row>
    <row r="858" spans="1:47" x14ac:dyDescent="0.3">
      <c r="A858" s="3">
        <f ca="1"/>
        <v>2346826</v>
      </c>
      <c r="B858" s="3" t="str">
        <f ca="1"/>
        <v>CZECH NEWS CENTER a. s.</v>
      </c>
      <c r="C858" s="3" t="str">
        <f ca="1">IFERROR(__xludf.DUMMYFUNCTION("""COMPUTED_VALUE"""),"Moto GP sport")</f>
        <v>Moto GP sport</v>
      </c>
      <c r="D858" s="4" t="str">
        <f ca="1">IFERROR(__xludf.DUMMYFUNCTION("""COMPUTED_VALUE"""),"https://motogpsport.cz")</f>
        <v>https://motogpsport.cz</v>
      </c>
      <c r="E858" s="3" t="str">
        <f ca="1">IFERROR(__xludf.DUMMYFUNCTION("""COMPUTED_VALUE"""),"celý web")</f>
        <v>celý web</v>
      </c>
      <c r="F858" s="4" t="str">
        <f ca="1">IFERROR(__xludf.DUMMYFUNCTION("""COMPUTED_VALUE"""),"https://motogpsport.cz")</f>
        <v>https://motogpsport.cz</v>
      </c>
      <c r="G858" s="3" t="str">
        <f ca="1">IFERROR(__xludf.DUMMYFUNCTION("""COMPUTED_VALUE"""),"cílený nativní rectangle cross-device high season")</f>
        <v>cílený nativní rectangle cross-device high season</v>
      </c>
      <c r="H858" s="3">
        <f ca="1">IFERROR(__xludf.DUMMYFUNCTION("""COMPUTED_VALUE"""),7)</f>
        <v>7</v>
      </c>
      <c r="I858" s="5">
        <f ca="1">IFERROR(__xludf.DUMMYFUNCTION("""COMPUTED_VALUE"""),1000)</f>
        <v>1000</v>
      </c>
      <c r="J858" s="5">
        <f ca="1">IFERROR(__xludf.DUMMYFUNCTION("""COMPUTED_VALUE"""),432)</f>
        <v>432</v>
      </c>
      <c r="K858" s="3"/>
      <c r="L858" s="3" t="str">
        <f ca="1">IFERROR(__xludf.DUMMYFUNCTION("""COMPUTED_VALUE"""),"Cost per period")</f>
        <v>Cost per period</v>
      </c>
      <c r="M858" s="3"/>
      <c r="N858" s="3"/>
      <c r="O858" s="3" t="str">
        <f ca="1">IFERROR(__xludf.DUMMYFUNCTION("""COMPUTED_VALUE"""),"640")</f>
        <v>640</v>
      </c>
      <c r="P858" s="3" t="str">
        <f ca="1">IFERROR(__xludf.DUMMYFUNCTION("""COMPUTED_VALUE"""),"335, 640")</f>
        <v>335, 640</v>
      </c>
      <c r="Q858" s="3" t="str">
        <f ca="1">IFERROR(__xludf.DUMMYFUNCTION("""COMPUTED_VALUE"""),"640x640 a 640x335 + text + logo")</f>
        <v>640x640 a 640x335 + text + logo</v>
      </c>
      <c r="R858" s="3"/>
      <c r="S858" s="3" t="str">
        <f ca="1">IFERROR(__xludf.DUMMYFUNCTION("""COMPUTED_VALUE"""),"45")</f>
        <v>45</v>
      </c>
      <c r="T858" s="3"/>
      <c r="U858" s="3" t="str">
        <f ca="1">IFERROR(__xludf.DUMMYFUNCTION("""COMPUTED_VALUE"""),"nativní reklama")</f>
        <v>nativní reklama</v>
      </c>
      <c r="V858" s="3"/>
      <c r="W858" s="4" t="str">
        <f ca="1">IFERROR(__xludf.DUMMYFUNCTION("""COMPUTED_VALUE"""),"https://reklama.cncenter.cz/Online/nativni-rectangle-cross-device")</f>
        <v>https://reklama.cncenter.cz/Online/nativni-rectangle-cross-device</v>
      </c>
      <c r="X858" s="3"/>
      <c r="Y858" s="3"/>
      <c r="Z858" s="3" t="str">
        <f ca="1">IFERROR(__xludf.DUMMYFUNCTION("""COMPUTED_VALUE"""),"podklady@cncenter.cz")</f>
        <v>podklady@cncenter.cz</v>
      </c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 t="str">
        <f ca="1">IFERROR(__xludf.DUMMYFUNCTION("""COMPUTED_VALUE"""),"cross-device")</f>
        <v>cross-device</v>
      </c>
      <c r="AO858" s="3"/>
      <c r="AP858" s="3"/>
      <c r="AQ858" s="3"/>
      <c r="AR858" s="3"/>
      <c r="AS858" s="3"/>
      <c r="AT858" s="3"/>
      <c r="AU858" s="3" t="str">
        <f ca="1">IFERROR(__xludf.DUMMYFUNCTION("""COMPUTED_VALUE"""),"cílený nativní rectangle cross-device")</f>
        <v>cílený nativní rectangle cross-device</v>
      </c>
    </row>
    <row r="859" spans="1:47" x14ac:dyDescent="0.3">
      <c r="A859" s="3">
        <f ca="1"/>
        <v>2346826</v>
      </c>
      <c r="B859" s="3" t="str">
        <f ca="1"/>
        <v>CZECH NEWS CENTER a. s.</v>
      </c>
      <c r="C859" s="3" t="str">
        <f ca="1">IFERROR(__xludf.DUMMYFUNCTION("""COMPUTED_VALUE"""),"Moto GP sport")</f>
        <v>Moto GP sport</v>
      </c>
      <c r="D859" s="4" t="str">
        <f ca="1">IFERROR(__xludf.DUMMYFUNCTION("""COMPUTED_VALUE"""),"https://motogpsport.cz")</f>
        <v>https://motogpsport.cz</v>
      </c>
      <c r="E859" s="3" t="str">
        <f ca="1">IFERROR(__xludf.DUMMYFUNCTION("""COMPUTED_VALUE"""),"celý web")</f>
        <v>celý web</v>
      </c>
      <c r="F859" s="4" t="str">
        <f ca="1">IFERROR(__xludf.DUMMYFUNCTION("""COMPUTED_VALUE"""),"https://motogpsport.cz")</f>
        <v>https://motogpsport.cz</v>
      </c>
      <c r="G859" s="3" t="str">
        <f ca="1">IFERROR(__xludf.DUMMYFUNCTION("""COMPUTED_VALUE"""),"cílený outstream high season")</f>
        <v>cílený outstream high season</v>
      </c>
      <c r="H859" s="3">
        <f ca="1">IFERROR(__xludf.DUMMYFUNCTION("""COMPUTED_VALUE"""),7)</f>
        <v>7</v>
      </c>
      <c r="I859" s="5">
        <f ca="1">IFERROR(__xludf.DUMMYFUNCTION("""COMPUTED_VALUE"""),1000)</f>
        <v>1000</v>
      </c>
      <c r="J859" s="5">
        <f ca="1">IFERROR(__xludf.DUMMYFUNCTION("""COMPUTED_VALUE"""),540)</f>
        <v>540</v>
      </c>
      <c r="K859" s="3"/>
      <c r="L859" s="3" t="str">
        <f ca="1">IFERROR(__xludf.DUMMYFUNCTION("""COMPUTED_VALUE"""),"Cost per period")</f>
        <v>Cost per period</v>
      </c>
      <c r="M859" s="3"/>
      <c r="N859" s="3"/>
      <c r="O859" s="3" t="str">
        <f ca="1">IFERROR(__xludf.DUMMYFUNCTION("""COMPUTED_VALUE"""),"1280")</f>
        <v>1280</v>
      </c>
      <c r="P859" s="3" t="str">
        <f ca="1">IFERROR(__xludf.DUMMYFUNCTION("""COMPUTED_VALUE"""),"720")</f>
        <v>720</v>
      </c>
      <c r="Q859" s="3" t="str">
        <f ca="1">IFERROR(__xludf.DUMMYFUNCTION("""COMPUTED_VALUE"""),"16:9")</f>
        <v>16:9</v>
      </c>
      <c r="R859" s="3"/>
      <c r="S859" s="3" t="str">
        <f ca="1">IFERROR(__xludf.DUMMYFUNCTION("""COMPUTED_VALUE"""),"100")</f>
        <v>100</v>
      </c>
      <c r="T859" s="3"/>
      <c r="U859" s="3" t="str">
        <f ca="1">IFERROR(__xludf.DUMMYFUNCTION("""COMPUTED_VALUE"""),"videospot")</f>
        <v>videospot</v>
      </c>
      <c r="V859" s="3"/>
      <c r="W859" s="4" t="str">
        <f ca="1">IFERROR(__xludf.DUMMYFUNCTION("""COMPUTED_VALUE"""),"https://reklama.cncenter.cz/Online/Outstream")</f>
        <v>https://reklama.cncenter.cz/Online/Outstream</v>
      </c>
      <c r="X859" s="3"/>
      <c r="Y859" s="3"/>
      <c r="Z859" s="3" t="str">
        <f ca="1">IFERROR(__xludf.DUMMYFUNCTION("""COMPUTED_VALUE"""),"podklady@cncenter.cz")</f>
        <v>podklady@cncenter.cz</v>
      </c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 t="str">
        <f ca="1">IFERROR(__xludf.DUMMYFUNCTION("""COMPUTED_VALUE"""),"cross-device")</f>
        <v>cross-device</v>
      </c>
      <c r="AO859" s="3"/>
      <c r="AP859" s="3"/>
      <c r="AQ859" s="3"/>
      <c r="AR859" s="3"/>
      <c r="AS859" s="3"/>
      <c r="AT859" s="3"/>
      <c r="AU859" s="3" t="str">
        <f ca="1">IFERROR(__xludf.DUMMYFUNCTION("""COMPUTED_VALUE"""),"cílený outstream")</f>
        <v>cílený outstream</v>
      </c>
    </row>
    <row r="860" spans="1:47" x14ac:dyDescent="0.3">
      <c r="A860" s="3">
        <f ca="1"/>
        <v>2346826</v>
      </c>
      <c r="B860" s="3" t="str">
        <f ca="1"/>
        <v>CZECH NEWS CENTER a. s.</v>
      </c>
      <c r="C860" s="3" t="str">
        <f ca="1">IFERROR(__xludf.DUMMYFUNCTION("""COMPUTED_VALUE"""),"Moto GP sport")</f>
        <v>Moto GP sport</v>
      </c>
      <c r="D860" s="4" t="str">
        <f ca="1">IFERROR(__xludf.DUMMYFUNCTION("""COMPUTED_VALUE"""),"https://motogpsport.cz")</f>
        <v>https://motogpsport.cz</v>
      </c>
      <c r="E860" s="3" t="str">
        <f ca="1">IFERROR(__xludf.DUMMYFUNCTION("""COMPUTED_VALUE"""),"celý web")</f>
        <v>celý web</v>
      </c>
      <c r="F860" s="4" t="str">
        <f ca="1">IFERROR(__xludf.DUMMYFUNCTION("""COMPUTED_VALUE"""),"https://motogpsport.cz")</f>
        <v>https://motogpsport.cz</v>
      </c>
      <c r="G860" s="3" t="str">
        <f ca="1">IFERROR(__xludf.DUMMYFUNCTION("""COMPUTED_VALUE"""),"dokoupení proma o 2 týdny - 10 000 PV *** high season")</f>
        <v>dokoupení proma o 2 týdny - 10 000 PV *** high season</v>
      </c>
      <c r="H860" s="3">
        <f ca="1">IFERROR(__xludf.DUMMYFUNCTION("""COMPUTED_VALUE"""),1)</f>
        <v>1</v>
      </c>
      <c r="I860" s="5">
        <f ca="1">IFERROR(__xludf.DUMMYFUNCTION("""COMPUTED_VALUE"""),1)</f>
        <v>1</v>
      </c>
      <c r="J860" s="5">
        <f ca="1">IFERROR(__xludf.DUMMYFUNCTION("""COMPUTED_VALUE"""),60000)</f>
        <v>60000</v>
      </c>
      <c r="K860" s="3"/>
      <c r="L860" s="3" t="str">
        <f ca="1">IFERROR(__xludf.DUMMYFUNCTION("""COMPUTED_VALUE"""),"Cost per instance")</f>
        <v>Cost per instance</v>
      </c>
      <c r="M860" s="3"/>
      <c r="N860" s="3"/>
      <c r="O860" s="3"/>
      <c r="P860" s="3"/>
      <c r="Q860" s="3"/>
      <c r="R860" s="3"/>
      <c r="S860" s="3" t="str">
        <f ca="1">IFERROR(__xludf.DUMMYFUNCTION("""COMPUTED_VALUE"""),"100")</f>
        <v>100</v>
      </c>
      <c r="T860" s="3"/>
      <c r="U860" s="3" t="str">
        <f ca="1">IFERROR(__xludf.DUMMYFUNCTION("""COMPUTED_VALUE"""),"microsite")</f>
        <v>microsite</v>
      </c>
      <c r="V860" s="3"/>
      <c r="W860" s="3"/>
      <c r="X860" s="3"/>
      <c r="Y860" s="3"/>
      <c r="Z860" s="3" t="str">
        <f ca="1">IFERROR(__xludf.DUMMYFUNCTION("""COMPUTED_VALUE"""),"podklady@cncenter.cz")</f>
        <v>podklady@cncenter.cz</v>
      </c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 t="str">
        <f ca="1">IFERROR(__xludf.DUMMYFUNCTION("""COMPUTED_VALUE"""),"cross-device")</f>
        <v>cross-device</v>
      </c>
      <c r="AO860" s="3"/>
      <c r="AP860" s="3"/>
      <c r="AQ860" s="3"/>
      <c r="AR860" s="3"/>
      <c r="AS860" s="3"/>
      <c r="AT860" s="3"/>
      <c r="AU860" s="3" t="str">
        <f ca="1">IFERROR(__xludf.DUMMYFUNCTION("""COMPUTED_VALUE"""),"dokoupení proma o 2 týdny - 10 000 PV ***")</f>
        <v>dokoupení proma o 2 týdny - 10 000 PV ***</v>
      </c>
    </row>
    <row r="861" spans="1:47" x14ac:dyDescent="0.3">
      <c r="A861" s="3">
        <f ca="1"/>
        <v>2346826</v>
      </c>
      <c r="B861" s="3" t="str">
        <f ca="1"/>
        <v>CZECH NEWS CENTER a. s.</v>
      </c>
      <c r="C861" s="3" t="str">
        <f ca="1">IFERROR(__xludf.DUMMYFUNCTION("""COMPUTED_VALUE"""),"Moto GP sport")</f>
        <v>Moto GP sport</v>
      </c>
      <c r="D861" s="4" t="str">
        <f ca="1">IFERROR(__xludf.DUMMYFUNCTION("""COMPUTED_VALUE"""),"https://motogpsport.cz")</f>
        <v>https://motogpsport.cz</v>
      </c>
      <c r="E861" s="3" t="str">
        <f ca="1">IFERROR(__xludf.DUMMYFUNCTION("""COMPUTED_VALUE"""),"celý web")</f>
        <v>celý web</v>
      </c>
      <c r="F861" s="4" t="str">
        <f ca="1">IFERROR(__xludf.DUMMYFUNCTION("""COMPUTED_VALUE"""),"https://motogpsport.cz")</f>
        <v>https://motogpsport.cz</v>
      </c>
      <c r="G861" s="3" t="str">
        <f ca="1">IFERROR(__xludf.DUMMYFUNCTION("""COMPUTED_VALUE"""),"double skyscraper high season")</f>
        <v>double skyscraper high season</v>
      </c>
      <c r="H861" s="3">
        <f ca="1">IFERROR(__xludf.DUMMYFUNCTION("""COMPUTED_VALUE"""),7)</f>
        <v>7</v>
      </c>
      <c r="I861" s="5">
        <f ca="1">IFERROR(__xludf.DUMMYFUNCTION("""COMPUTED_VALUE"""),1000)</f>
        <v>1000</v>
      </c>
      <c r="J861" s="5">
        <f ca="1">IFERROR(__xludf.DUMMYFUNCTION("""COMPUTED_VALUE"""),350)</f>
        <v>350</v>
      </c>
      <c r="K861" s="3"/>
      <c r="L861" s="3" t="str">
        <f ca="1">IFERROR(__xludf.DUMMYFUNCTION("""COMPUTED_VALUE"""),"Cost per period")</f>
        <v>Cost per period</v>
      </c>
      <c r="M861" s="3"/>
      <c r="N861" s="3"/>
      <c r="O861" s="3" t="str">
        <f ca="1">IFERROR(__xludf.DUMMYFUNCTION("""COMPUTED_VALUE"""),"300")</f>
        <v>300</v>
      </c>
      <c r="P861" s="3" t="str">
        <f ca="1">IFERROR(__xludf.DUMMYFUNCTION("""COMPUTED_VALUE"""),"600")</f>
        <v>600</v>
      </c>
      <c r="Q861" s="3" t="str">
        <f ca="1">IFERROR(__xludf.DUMMYFUNCTION("""COMPUTED_VALUE"""),"300x600")</f>
        <v>300x600</v>
      </c>
      <c r="R861" s="3"/>
      <c r="S861" s="3" t="str">
        <f ca="1">IFERROR(__xludf.DUMMYFUNCTION("""COMPUTED_VALUE"""),"100 (200 - HTML5)")</f>
        <v>100 (200 - HTML5)</v>
      </c>
      <c r="T861" s="3"/>
      <c r="U861" s="3" t="str">
        <f ca="1">IFERROR(__xludf.DUMMYFUNCTION("""COMPUTED_VALUE"""),"banner standard")</f>
        <v>banner standard</v>
      </c>
      <c r="V861" s="3"/>
      <c r="W861" s="4" t="str">
        <f ca="1">IFERROR(__xludf.DUMMYFUNCTION("""COMPUTED_VALUE"""),"https://reklama.cncenter.cz/Online/double-skyscraper")</f>
        <v>https://reklama.cncenter.cz/Online/double-skyscraper</v>
      </c>
      <c r="X861" s="3"/>
      <c r="Y861" s="3"/>
      <c r="Z861" s="3" t="str">
        <f ca="1">IFERROR(__xludf.DUMMYFUNCTION("""COMPUTED_VALUE"""),"podklady@cncenter.cz")</f>
        <v>podklady@cncenter.cz</v>
      </c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 t="str">
        <f ca="1">IFERROR(__xludf.DUMMYFUNCTION("""COMPUTED_VALUE"""),"desktop")</f>
        <v>desktop</v>
      </c>
      <c r="AO861" s="3"/>
      <c r="AP861" s="3"/>
      <c r="AQ861" s="3"/>
      <c r="AR861" s="3"/>
      <c r="AS861" s="3"/>
      <c r="AT861" s="3"/>
      <c r="AU861" s="3" t="str">
        <f ca="1">IFERROR(__xludf.DUMMYFUNCTION("""COMPUTED_VALUE"""),"double skyscraper")</f>
        <v>double skyscraper</v>
      </c>
    </row>
    <row r="862" spans="1:47" x14ac:dyDescent="0.3">
      <c r="A862" s="3">
        <f ca="1"/>
        <v>2346826</v>
      </c>
      <c r="B862" s="3" t="str">
        <f ca="1"/>
        <v>CZECH NEWS CENTER a. s.</v>
      </c>
      <c r="C862" s="3" t="str">
        <f ca="1">IFERROR(__xludf.DUMMYFUNCTION("""COMPUTED_VALUE"""),"Moto GP sport")</f>
        <v>Moto GP sport</v>
      </c>
      <c r="D862" s="4" t="str">
        <f ca="1">IFERROR(__xludf.DUMMYFUNCTION("""COMPUTED_VALUE"""),"https://motogpsport.cz")</f>
        <v>https://motogpsport.cz</v>
      </c>
      <c r="E862" s="3" t="str">
        <f ca="1">IFERROR(__xludf.DUMMYFUNCTION("""COMPUTED_VALUE"""),"celý web")</f>
        <v>celý web</v>
      </c>
      <c r="F862" s="4" t="str">
        <f ca="1">IFERROR(__xludf.DUMMYFUNCTION("""COMPUTED_VALUE"""),"https://motogpsport.cz")</f>
        <v>https://motogpsport.cz</v>
      </c>
      <c r="G862" s="3" t="str">
        <f ca="1">IFERROR(__xludf.DUMMYFUNCTION("""COMPUTED_VALUE"""),"mobilní interscroller high season")</f>
        <v>mobilní interscroller high season</v>
      </c>
      <c r="H862" s="3">
        <f ca="1">IFERROR(__xludf.DUMMYFUNCTION("""COMPUTED_VALUE"""),7)</f>
        <v>7</v>
      </c>
      <c r="I862" s="5">
        <f ca="1">IFERROR(__xludf.DUMMYFUNCTION("""COMPUTED_VALUE"""),1000)</f>
        <v>1000</v>
      </c>
      <c r="J862" s="5">
        <f ca="1">IFERROR(__xludf.DUMMYFUNCTION("""COMPUTED_VALUE"""),450)</f>
        <v>450</v>
      </c>
      <c r="K862" s="3"/>
      <c r="L862" s="3" t="str">
        <f ca="1">IFERROR(__xludf.DUMMYFUNCTION("""COMPUTED_VALUE"""),"Cost per period")</f>
        <v>Cost per period</v>
      </c>
      <c r="M862" s="3"/>
      <c r="N862" s="3"/>
      <c r="O862" s="3" t="str">
        <f ca="1">IFERROR(__xludf.DUMMYFUNCTION("""COMPUTED_VALUE"""),"600")</f>
        <v>600</v>
      </c>
      <c r="P862" s="3" t="str">
        <f ca="1">IFERROR(__xludf.DUMMYFUNCTION("""COMPUTED_VALUE"""),"1080")</f>
        <v>1080</v>
      </c>
      <c r="Q862" s="3" t="str">
        <f ca="1">IFERROR(__xludf.DUMMYFUNCTION("""COMPUTED_VALUE"""),"600x1080")</f>
        <v>600x1080</v>
      </c>
      <c r="R862" s="3"/>
      <c r="S862" s="3" t="str">
        <f ca="1">IFERROR(__xludf.DUMMYFUNCTION("""COMPUTED_VALUE"""),"200")</f>
        <v>200</v>
      </c>
      <c r="T862" s="3"/>
      <c r="U862" s="3" t="str">
        <f ca="1">IFERROR(__xludf.DUMMYFUNCTION("""COMPUTED_VALUE"""),"banner standard")</f>
        <v>banner standard</v>
      </c>
      <c r="V862" s="3"/>
      <c r="W862" s="4" t="str">
        <f ca="1">IFERROR(__xludf.DUMMYFUNCTION("""COMPUTED_VALUE"""),"https://reklama.cncenter.cz/Online/mobilni-interscroller")</f>
        <v>https://reklama.cncenter.cz/Online/mobilni-interscroller</v>
      </c>
      <c r="X862" s="3"/>
      <c r="Y862" s="3"/>
      <c r="Z862" s="3" t="str">
        <f ca="1">IFERROR(__xludf.DUMMYFUNCTION("""COMPUTED_VALUE"""),"podklady@cncenter.cz")</f>
        <v>podklady@cncenter.cz</v>
      </c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 t="str">
        <f ca="1">IFERROR(__xludf.DUMMYFUNCTION("""COMPUTED_VALUE"""),"mobile")</f>
        <v>mobile</v>
      </c>
      <c r="AO862" s="3"/>
      <c r="AP862" s="3"/>
      <c r="AQ862" s="3"/>
      <c r="AR862" s="3"/>
      <c r="AS862" s="3"/>
      <c r="AT862" s="3"/>
      <c r="AU862" s="3" t="str">
        <f ca="1">IFERROR(__xludf.DUMMYFUNCTION("""COMPUTED_VALUE"""),"mobilní interscroller")</f>
        <v>mobilní interscroller</v>
      </c>
    </row>
    <row r="863" spans="1:47" x14ac:dyDescent="0.3">
      <c r="A863" s="3">
        <f ca="1"/>
        <v>2346826</v>
      </c>
      <c r="B863" s="3" t="str">
        <f ca="1"/>
        <v>CZECH NEWS CENTER a. s.</v>
      </c>
      <c r="C863" s="3" t="str">
        <f ca="1">IFERROR(__xludf.DUMMYFUNCTION("""COMPUTED_VALUE"""),"Moto GP sport")</f>
        <v>Moto GP sport</v>
      </c>
      <c r="D863" s="4" t="str">
        <f ca="1">IFERROR(__xludf.DUMMYFUNCTION("""COMPUTED_VALUE"""),"https://motogpsport.cz")</f>
        <v>https://motogpsport.cz</v>
      </c>
      <c r="E863" s="3" t="str">
        <f ca="1">IFERROR(__xludf.DUMMYFUNCTION("""COMPUTED_VALUE"""),"celý web")</f>
        <v>celý web</v>
      </c>
      <c r="F863" s="4" t="str">
        <f ca="1">IFERROR(__xludf.DUMMYFUNCTION("""COMPUTED_VALUE"""),"https://motogpsport.cz")</f>
        <v>https://motogpsport.cz</v>
      </c>
      <c r="G863" s="3" t="str">
        <f ca="1">IFERROR(__xludf.DUMMYFUNCTION("""COMPUTED_VALUE"""),"mobilní slide-up high season")</f>
        <v>mobilní slide-up high season</v>
      </c>
      <c r="H863" s="3">
        <f ca="1">IFERROR(__xludf.DUMMYFUNCTION("""COMPUTED_VALUE"""),7)</f>
        <v>7</v>
      </c>
      <c r="I863" s="5">
        <f ca="1">IFERROR(__xludf.DUMMYFUNCTION("""COMPUTED_VALUE"""),1000)</f>
        <v>1000</v>
      </c>
      <c r="J863" s="5">
        <f ca="1">IFERROR(__xludf.DUMMYFUNCTION("""COMPUTED_VALUE"""),920)</f>
        <v>920</v>
      </c>
      <c r="K863" s="3"/>
      <c r="L863" s="3" t="str">
        <f ca="1">IFERROR(__xludf.DUMMYFUNCTION("""COMPUTED_VALUE"""),"Cost per period")</f>
        <v>Cost per period</v>
      </c>
      <c r="M863" s="3"/>
      <c r="N863" s="3"/>
      <c r="O863" s="3" t="str">
        <f ca="1">IFERROR(__xludf.DUMMYFUNCTION("""COMPUTED_VALUE"""),"300")</f>
        <v>300</v>
      </c>
      <c r="P863" s="3" t="str">
        <f ca="1">IFERROR(__xludf.DUMMYFUNCTION("""COMPUTED_VALUE"""),"120")</f>
        <v>120</v>
      </c>
      <c r="Q863" s="3" t="str">
        <f ca="1">IFERROR(__xludf.DUMMYFUNCTION("""COMPUTED_VALUE"""),"300x120")</f>
        <v>300x120</v>
      </c>
      <c r="R863" s="3"/>
      <c r="S863" s="3" t="str">
        <f ca="1">IFERROR(__xludf.DUMMYFUNCTION("""COMPUTED_VALUE"""),"100")</f>
        <v>100</v>
      </c>
      <c r="T863" s="3"/>
      <c r="U863" s="3" t="str">
        <f ca="1">IFERROR(__xludf.DUMMYFUNCTION("""COMPUTED_VALUE"""),"banner standard")</f>
        <v>banner standard</v>
      </c>
      <c r="V863" s="3"/>
      <c r="W863" s="4" t="str">
        <f ca="1">IFERROR(__xludf.DUMMYFUNCTION("""COMPUTED_VALUE"""),"https://reklama.cncenter.cz/Online/mobilni-slide-up")</f>
        <v>https://reklama.cncenter.cz/Online/mobilni-slide-up</v>
      </c>
      <c r="X863" s="3"/>
      <c r="Y863" s="3"/>
      <c r="Z863" s="3" t="str">
        <f ca="1">IFERROR(__xludf.DUMMYFUNCTION("""COMPUTED_VALUE"""),"podklady@cncenter.cz")</f>
        <v>podklady@cncenter.cz</v>
      </c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 t="str">
        <f ca="1">IFERROR(__xludf.DUMMYFUNCTION("""COMPUTED_VALUE"""),"mobile")</f>
        <v>mobile</v>
      </c>
      <c r="AO863" s="3"/>
      <c r="AP863" s="3"/>
      <c r="AQ863" s="3"/>
      <c r="AR863" s="3"/>
      <c r="AS863" s="3"/>
      <c r="AT863" s="3"/>
      <c r="AU863" s="3" t="str">
        <f ca="1">IFERROR(__xludf.DUMMYFUNCTION("""COMPUTED_VALUE"""),"mobilní slide-up")</f>
        <v>mobilní slide-up</v>
      </c>
    </row>
    <row r="864" spans="1:47" x14ac:dyDescent="0.3">
      <c r="A864" s="3">
        <f ca="1"/>
        <v>2346826</v>
      </c>
      <c r="B864" s="3" t="str">
        <f ca="1"/>
        <v>CZECH NEWS CENTER a. s.</v>
      </c>
      <c r="C864" s="3" t="str">
        <f ca="1">IFERROR(__xludf.DUMMYFUNCTION("""COMPUTED_VALUE"""),"Moto GP sport")</f>
        <v>Moto GP sport</v>
      </c>
      <c r="D864" s="4" t="str">
        <f ca="1">IFERROR(__xludf.DUMMYFUNCTION("""COMPUTED_VALUE"""),"https://motogpsport.cz")</f>
        <v>https://motogpsport.cz</v>
      </c>
      <c r="E864" s="3" t="str">
        <f ca="1">IFERROR(__xludf.DUMMYFUNCTION("""COMPUTED_VALUE"""),"celý web")</f>
        <v>celý web</v>
      </c>
      <c r="F864" s="4" t="str">
        <f ca="1">IFERROR(__xludf.DUMMYFUNCTION("""COMPUTED_VALUE"""),"https://motogpsport.cz")</f>
        <v>https://motogpsport.cz</v>
      </c>
      <c r="G864" s="3" t="str">
        <f ca="1">IFERROR(__xludf.DUMMYFUNCTION("""COMPUTED_VALUE"""),"mobilní viněta high season")</f>
        <v>mobilní viněta high season</v>
      </c>
      <c r="H864" s="3">
        <f ca="1">IFERROR(__xludf.DUMMYFUNCTION("""COMPUTED_VALUE"""),7)</f>
        <v>7</v>
      </c>
      <c r="I864" s="5">
        <f ca="1">IFERROR(__xludf.DUMMYFUNCTION("""COMPUTED_VALUE"""),1000)</f>
        <v>1000</v>
      </c>
      <c r="J864" s="5">
        <f ca="1">IFERROR(__xludf.DUMMYFUNCTION("""COMPUTED_VALUE"""),1590)</f>
        <v>1590</v>
      </c>
      <c r="K864" s="3"/>
      <c r="L864" s="3" t="str">
        <f ca="1">IFERROR(__xludf.DUMMYFUNCTION("""COMPUTED_VALUE"""),"Cost per period")</f>
        <v>Cost per period</v>
      </c>
      <c r="M864" s="3"/>
      <c r="N864" s="3"/>
      <c r="O864" s="3" t="str">
        <f ca="1">IFERROR(__xludf.DUMMYFUNCTION("""COMPUTED_VALUE"""),"600")</f>
        <v>600</v>
      </c>
      <c r="P864" s="3" t="str">
        <f ca="1">IFERROR(__xludf.DUMMYFUNCTION("""COMPUTED_VALUE"""),"800")</f>
        <v>800</v>
      </c>
      <c r="Q864" s="3" t="str">
        <f ca="1">IFERROR(__xludf.DUMMYFUNCTION("""COMPUTED_VALUE"""),"300x250 nebo 600x800")</f>
        <v>300x250 nebo 600x800</v>
      </c>
      <c r="R864" s="3"/>
      <c r="S864" s="3" t="str">
        <f ca="1">IFERROR(__xludf.DUMMYFUNCTION("""COMPUTED_VALUE"""),"100")</f>
        <v>100</v>
      </c>
      <c r="T864" s="3"/>
      <c r="U864" s="3" t="str">
        <f ca="1">IFERROR(__xludf.DUMMYFUNCTION("""COMPUTED_VALUE"""),"banner standard")</f>
        <v>banner standard</v>
      </c>
      <c r="V864" s="3"/>
      <c r="W864" s="4" t="str">
        <f ca="1">IFERROR(__xludf.DUMMYFUNCTION("""COMPUTED_VALUE"""),"https://reklama.cncenter.cz/Online/mobilni-vineta")</f>
        <v>https://reklama.cncenter.cz/Online/mobilni-vineta</v>
      </c>
      <c r="X864" s="3"/>
      <c r="Y864" s="3"/>
      <c r="Z864" s="3" t="str">
        <f ca="1">IFERROR(__xludf.DUMMYFUNCTION("""COMPUTED_VALUE"""),"podklady@cncenter.cz")</f>
        <v>podklady@cncenter.cz</v>
      </c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 t="str">
        <f ca="1">IFERROR(__xludf.DUMMYFUNCTION("""COMPUTED_VALUE"""),"mobile")</f>
        <v>mobile</v>
      </c>
      <c r="AO864" s="3"/>
      <c r="AP864" s="3"/>
      <c r="AQ864" s="3"/>
      <c r="AR864" s="3"/>
      <c r="AS864" s="3"/>
      <c r="AT864" s="3"/>
      <c r="AU864" s="3" t="str">
        <f ca="1">IFERROR(__xludf.DUMMYFUNCTION("""COMPUTED_VALUE"""),"mobilní viněta")</f>
        <v>mobilní viněta</v>
      </c>
    </row>
    <row r="865" spans="1:47" x14ac:dyDescent="0.3">
      <c r="A865" s="3">
        <f ca="1"/>
        <v>2346826</v>
      </c>
      <c r="B865" s="3" t="str">
        <f ca="1"/>
        <v>CZECH NEWS CENTER a. s.</v>
      </c>
      <c r="C865" s="3" t="str">
        <f ca="1">IFERROR(__xludf.DUMMYFUNCTION("""COMPUTED_VALUE"""),"Moto GP sport")</f>
        <v>Moto GP sport</v>
      </c>
      <c r="D865" s="4" t="str">
        <f ca="1">IFERROR(__xludf.DUMMYFUNCTION("""COMPUTED_VALUE"""),"https://motogpsport.cz")</f>
        <v>https://motogpsport.cz</v>
      </c>
      <c r="E865" s="3" t="str">
        <f ca="1">IFERROR(__xludf.DUMMYFUNCTION("""COMPUTED_VALUE"""),"celý web")</f>
        <v>celý web</v>
      </c>
      <c r="F865" s="4" t="str">
        <f ca="1">IFERROR(__xludf.DUMMYFUNCTION("""COMPUTED_VALUE"""),"https://motogpsport.cz")</f>
        <v>https://motogpsport.cz</v>
      </c>
      <c r="G865" s="3" t="str">
        <f ca="1">IFERROR(__xludf.DUMMYFUNCTION("""COMPUTED_VALUE"""),"Native Standard high season")</f>
        <v>Native Standard high season</v>
      </c>
      <c r="H865" s="3">
        <f ca="1">IFERROR(__xludf.DUMMYFUNCTION("""COMPUTED_VALUE"""),1)</f>
        <v>1</v>
      </c>
      <c r="I865" s="5">
        <f ca="1">IFERROR(__xludf.DUMMYFUNCTION("""COMPUTED_VALUE"""),1)</f>
        <v>1</v>
      </c>
      <c r="J865" s="5">
        <f ca="1">IFERROR(__xludf.DUMMYFUNCTION("""COMPUTED_VALUE"""),330000)</f>
        <v>330000</v>
      </c>
      <c r="K865" s="3"/>
      <c r="L865" s="3" t="str">
        <f ca="1">IFERROR(__xludf.DUMMYFUNCTION("""COMPUTED_VALUE"""),"Cost per instance")</f>
        <v>Cost per instance</v>
      </c>
      <c r="M865" s="3"/>
      <c r="N865" s="3"/>
      <c r="O865" s="3"/>
      <c r="P865" s="3"/>
      <c r="Q865" s="3"/>
      <c r="R865" s="3"/>
      <c r="S865" s="3" t="str">
        <f ca="1">IFERROR(__xludf.DUMMYFUNCTION("""COMPUTED_VALUE"""),"100")</f>
        <v>100</v>
      </c>
      <c r="T865" s="3"/>
      <c r="U865" s="3" t="str">
        <f ca="1">IFERROR(__xludf.DUMMYFUNCTION("""COMPUTED_VALUE"""),"microsite")</f>
        <v>microsite</v>
      </c>
      <c r="V865" s="3"/>
      <c r="W865" s="3"/>
      <c r="X865" s="3"/>
      <c r="Y865" s="3"/>
      <c r="Z865" s="3" t="str">
        <f ca="1">IFERROR(__xludf.DUMMYFUNCTION("""COMPUTED_VALUE"""),"podklady@cncenter.cz")</f>
        <v>podklady@cncenter.cz</v>
      </c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 t="str">
        <f ca="1">IFERROR(__xludf.DUMMYFUNCTION("""COMPUTED_VALUE"""),"cross-device")</f>
        <v>cross-device</v>
      </c>
      <c r="AO865" s="3"/>
      <c r="AP865" s="3"/>
      <c r="AQ865" s="3"/>
      <c r="AR865" s="3"/>
      <c r="AS865" s="3"/>
      <c r="AT865" s="3"/>
      <c r="AU865" s="3" t="str">
        <f ca="1">IFERROR(__xludf.DUMMYFUNCTION("""COMPUTED_VALUE"""),"Native Standard")</f>
        <v>Native Standard</v>
      </c>
    </row>
    <row r="866" spans="1:47" x14ac:dyDescent="0.3">
      <c r="A866" s="3">
        <f ca="1"/>
        <v>2346826</v>
      </c>
      <c r="B866" s="3" t="str">
        <f ca="1"/>
        <v>CZECH NEWS CENTER a. s.</v>
      </c>
      <c r="C866" s="3" t="str">
        <f ca="1">IFERROR(__xludf.DUMMYFUNCTION("""COMPUTED_VALUE"""),"Moto GP sport")</f>
        <v>Moto GP sport</v>
      </c>
      <c r="D866" s="4" t="str">
        <f ca="1">IFERROR(__xludf.DUMMYFUNCTION("""COMPUTED_VALUE"""),"https://motogpsport.cz")</f>
        <v>https://motogpsport.cz</v>
      </c>
      <c r="E866" s="3" t="str">
        <f ca="1">IFERROR(__xludf.DUMMYFUNCTION("""COMPUTED_VALUE"""),"celý web")</f>
        <v>celý web</v>
      </c>
      <c r="F866" s="4" t="str">
        <f ca="1">IFERROR(__xludf.DUMMYFUNCTION("""COMPUTED_VALUE"""),"https://motogpsport.cz")</f>
        <v>https://motogpsport.cz</v>
      </c>
      <c r="G866" s="3" t="str">
        <f ca="1">IFERROR(__xludf.DUMMYFUNCTION("""COMPUTED_VALUE"""),"nativní rectangle cross-device high season")</f>
        <v>nativní rectangle cross-device high season</v>
      </c>
      <c r="H866" s="3">
        <f ca="1">IFERROR(__xludf.DUMMYFUNCTION("""COMPUTED_VALUE"""),7)</f>
        <v>7</v>
      </c>
      <c r="I866" s="5">
        <f ca="1">IFERROR(__xludf.DUMMYFUNCTION("""COMPUTED_VALUE"""),1000)</f>
        <v>1000</v>
      </c>
      <c r="J866" s="5">
        <f ca="1">IFERROR(__xludf.DUMMYFUNCTION("""COMPUTED_VALUE"""),360)</f>
        <v>360</v>
      </c>
      <c r="K866" s="3"/>
      <c r="L866" s="3" t="str">
        <f ca="1">IFERROR(__xludf.DUMMYFUNCTION("""COMPUTED_VALUE"""),"Cost per period")</f>
        <v>Cost per period</v>
      </c>
      <c r="M866" s="3"/>
      <c r="N866" s="3"/>
      <c r="O866" s="3" t="str">
        <f ca="1">IFERROR(__xludf.DUMMYFUNCTION("""COMPUTED_VALUE"""),"640")</f>
        <v>640</v>
      </c>
      <c r="P866" s="3" t="str">
        <f ca="1">IFERROR(__xludf.DUMMYFUNCTION("""COMPUTED_VALUE"""),"335, 640")</f>
        <v>335, 640</v>
      </c>
      <c r="Q866" s="3" t="str">
        <f ca="1">IFERROR(__xludf.DUMMYFUNCTION("""COMPUTED_VALUE"""),"640x640 a 640x335 + text + logo")</f>
        <v>640x640 a 640x335 + text + logo</v>
      </c>
      <c r="R866" s="3"/>
      <c r="S866" s="3" t="str">
        <f ca="1">IFERROR(__xludf.DUMMYFUNCTION("""COMPUTED_VALUE"""),"45")</f>
        <v>45</v>
      </c>
      <c r="T866" s="3"/>
      <c r="U866" s="3" t="str">
        <f ca="1">IFERROR(__xludf.DUMMYFUNCTION("""COMPUTED_VALUE"""),"nativní reklama")</f>
        <v>nativní reklama</v>
      </c>
      <c r="V866" s="3"/>
      <c r="W866" s="4" t="str">
        <f ca="1">IFERROR(__xludf.DUMMYFUNCTION("""COMPUTED_VALUE"""),"https://reklama.cncenter.cz/Online/nativni-rectangle-cross-device")</f>
        <v>https://reklama.cncenter.cz/Online/nativni-rectangle-cross-device</v>
      </c>
      <c r="X866" s="3"/>
      <c r="Y866" s="3"/>
      <c r="Z866" s="3" t="str">
        <f ca="1">IFERROR(__xludf.DUMMYFUNCTION("""COMPUTED_VALUE"""),"podklady@cncenter.cz")</f>
        <v>podklady@cncenter.cz</v>
      </c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 t="str">
        <f ca="1">IFERROR(__xludf.DUMMYFUNCTION("""COMPUTED_VALUE"""),"cross-device")</f>
        <v>cross-device</v>
      </c>
      <c r="AO866" s="3"/>
      <c r="AP866" s="3"/>
      <c r="AQ866" s="3"/>
      <c r="AR866" s="3"/>
      <c r="AS866" s="3"/>
      <c r="AT866" s="3"/>
      <c r="AU866" s="3" t="str">
        <f ca="1">IFERROR(__xludf.DUMMYFUNCTION("""COMPUTED_VALUE"""),"nativní rectangle cross-device")</f>
        <v>nativní rectangle cross-device</v>
      </c>
    </row>
    <row r="867" spans="1:47" x14ac:dyDescent="0.3">
      <c r="A867" s="3">
        <f ca="1"/>
        <v>2346826</v>
      </c>
      <c r="B867" s="3" t="str">
        <f ca="1"/>
        <v>CZECH NEWS CENTER a. s.</v>
      </c>
      <c r="C867" s="3" t="str">
        <f ca="1">IFERROR(__xludf.DUMMYFUNCTION("""COMPUTED_VALUE"""),"Moto GP sport")</f>
        <v>Moto GP sport</v>
      </c>
      <c r="D867" s="4" t="str">
        <f ca="1">IFERROR(__xludf.DUMMYFUNCTION("""COMPUTED_VALUE"""),"https://motogpsport.cz")</f>
        <v>https://motogpsport.cz</v>
      </c>
      <c r="E867" s="3" t="str">
        <f ca="1">IFERROR(__xludf.DUMMYFUNCTION("""COMPUTED_VALUE"""),"celý web")</f>
        <v>celý web</v>
      </c>
      <c r="F867" s="4" t="str">
        <f ca="1">IFERROR(__xludf.DUMMYFUNCTION("""COMPUTED_VALUE"""),"https://motogpsport.cz")</f>
        <v>https://motogpsport.cz</v>
      </c>
      <c r="G867" s="3" t="str">
        <f ca="1">IFERROR(__xludf.DUMMYFUNCTION("""COMPUTED_VALUE"""),"outstream high season")</f>
        <v>outstream high season</v>
      </c>
      <c r="H867" s="3">
        <f ca="1">IFERROR(__xludf.DUMMYFUNCTION("""COMPUTED_VALUE"""),7)</f>
        <v>7</v>
      </c>
      <c r="I867" s="5">
        <f ca="1">IFERROR(__xludf.DUMMYFUNCTION("""COMPUTED_VALUE"""),1000)</f>
        <v>1000</v>
      </c>
      <c r="J867" s="5">
        <f ca="1">IFERROR(__xludf.DUMMYFUNCTION("""COMPUTED_VALUE"""),450)</f>
        <v>450</v>
      </c>
      <c r="K867" s="3"/>
      <c r="L867" s="3" t="str">
        <f ca="1">IFERROR(__xludf.DUMMYFUNCTION("""COMPUTED_VALUE"""),"Cost per period")</f>
        <v>Cost per period</v>
      </c>
      <c r="M867" s="3"/>
      <c r="N867" s="3"/>
      <c r="O867" s="3" t="str">
        <f ca="1">IFERROR(__xludf.DUMMYFUNCTION("""COMPUTED_VALUE"""),"1280")</f>
        <v>1280</v>
      </c>
      <c r="P867" s="3" t="str">
        <f ca="1">IFERROR(__xludf.DUMMYFUNCTION("""COMPUTED_VALUE"""),"720")</f>
        <v>720</v>
      </c>
      <c r="Q867" s="3" t="str">
        <f ca="1">IFERROR(__xludf.DUMMYFUNCTION("""COMPUTED_VALUE"""),"16:9")</f>
        <v>16:9</v>
      </c>
      <c r="R867" s="3"/>
      <c r="S867" s="3" t="str">
        <f ca="1">IFERROR(__xludf.DUMMYFUNCTION("""COMPUTED_VALUE"""),"100")</f>
        <v>100</v>
      </c>
      <c r="T867" s="3"/>
      <c r="U867" s="3" t="str">
        <f ca="1">IFERROR(__xludf.DUMMYFUNCTION("""COMPUTED_VALUE"""),"videospot")</f>
        <v>videospot</v>
      </c>
      <c r="V867" s="3"/>
      <c r="W867" s="4" t="str">
        <f ca="1">IFERROR(__xludf.DUMMYFUNCTION("""COMPUTED_VALUE"""),"https://reklama.cncenter.cz/Online/Outstream")</f>
        <v>https://reklama.cncenter.cz/Online/Outstream</v>
      </c>
      <c r="X867" s="3"/>
      <c r="Y867" s="3"/>
      <c r="Z867" s="3" t="str">
        <f ca="1">IFERROR(__xludf.DUMMYFUNCTION("""COMPUTED_VALUE"""),"podklady@cncenter.cz")</f>
        <v>podklady@cncenter.cz</v>
      </c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 t="str">
        <f ca="1">IFERROR(__xludf.DUMMYFUNCTION("""COMPUTED_VALUE"""),"cross-device")</f>
        <v>cross-device</v>
      </c>
      <c r="AO867" s="3"/>
      <c r="AP867" s="3"/>
      <c r="AQ867" s="3"/>
      <c r="AR867" s="3"/>
      <c r="AS867" s="3"/>
      <c r="AT867" s="3"/>
      <c r="AU867" s="3" t="str">
        <f ca="1">IFERROR(__xludf.DUMMYFUNCTION("""COMPUTED_VALUE"""),"outstream")</f>
        <v>outstream</v>
      </c>
    </row>
    <row r="868" spans="1:47" x14ac:dyDescent="0.3">
      <c r="A868" s="3">
        <f ca="1"/>
        <v>2346826</v>
      </c>
      <c r="B868" s="3" t="str">
        <f ca="1"/>
        <v>CZECH NEWS CENTER a. s.</v>
      </c>
      <c r="C868" s="3" t="str">
        <f ca="1">IFERROR(__xludf.DUMMYFUNCTION("""COMPUTED_VALUE"""),"Moto GP sport")</f>
        <v>Moto GP sport</v>
      </c>
      <c r="D868" s="4" t="str">
        <f ca="1">IFERROR(__xludf.DUMMYFUNCTION("""COMPUTED_VALUE"""),"https://motogpsport.cz")</f>
        <v>https://motogpsport.cz</v>
      </c>
      <c r="E868" s="3" t="str">
        <f ca="1">IFERROR(__xludf.DUMMYFUNCTION("""COMPUTED_VALUE"""),"celý web")</f>
        <v>celý web</v>
      </c>
      <c r="F868" s="4" t="str">
        <f ca="1">IFERROR(__xludf.DUMMYFUNCTION("""COMPUTED_VALUE"""),"https://motogpsport.cz")</f>
        <v>https://motogpsport.cz</v>
      </c>
      <c r="G868" s="3" t="str">
        <f ca="1">IFERROR(__xludf.DUMMYFUNCTION("""COMPUTED_VALUE"""),"PR článek high season")</f>
        <v>PR článek high season</v>
      </c>
      <c r="H868" s="3">
        <f ca="1">IFERROR(__xludf.DUMMYFUNCTION("""COMPUTED_VALUE"""),1)</f>
        <v>1</v>
      </c>
      <c r="I868" s="5">
        <f ca="1">IFERROR(__xludf.DUMMYFUNCTION("""COMPUTED_VALUE"""),1)</f>
        <v>1</v>
      </c>
      <c r="J868" s="5">
        <f ca="1">IFERROR(__xludf.DUMMYFUNCTION("""COMPUTED_VALUE"""),25000)</f>
        <v>25000</v>
      </c>
      <c r="K868" s="3"/>
      <c r="L868" s="3" t="str">
        <f ca="1">IFERROR(__xludf.DUMMYFUNCTION("""COMPUTED_VALUE"""),"Cost per instance")</f>
        <v>Cost per instance</v>
      </c>
      <c r="M868" s="3"/>
      <c r="N868" s="3"/>
      <c r="O868" s="3"/>
      <c r="P868" s="3"/>
      <c r="Q868" s="3"/>
      <c r="R868" s="3"/>
      <c r="S868" s="3" t="str">
        <f ca="1">IFERROR(__xludf.DUMMYFUNCTION("""COMPUTED_VALUE"""),"100")</f>
        <v>100</v>
      </c>
      <c r="T868" s="3"/>
      <c r="U868" s="3" t="str">
        <f ca="1">IFERROR(__xludf.DUMMYFUNCTION("""COMPUTED_VALUE"""),"pr článek")</f>
        <v>pr článek</v>
      </c>
      <c r="V868" s="3"/>
      <c r="W868" s="4" t="str">
        <f ca="1">IFERROR(__xludf.DUMMYFUNCTION("""COMPUTED_VALUE"""),"https://reklama.cncenter.cz/?ads=PR%2520%25C4%258Dl%25C3%25A1nky")</f>
        <v>https://reklama.cncenter.cz/?ads=PR%2520%25C4%258Dl%25C3%25A1nky</v>
      </c>
      <c r="X868" s="3"/>
      <c r="Y868" s="3"/>
      <c r="Z868" s="3" t="str">
        <f ca="1">IFERROR(__xludf.DUMMYFUNCTION("""COMPUTED_VALUE"""),"podklady@cncenter.cz")</f>
        <v>podklady@cncenter.cz</v>
      </c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 t="str">
        <f ca="1">IFERROR(__xludf.DUMMYFUNCTION("""COMPUTED_VALUE"""),"cross-device")</f>
        <v>cross-device</v>
      </c>
      <c r="AO868" s="3"/>
      <c r="AP868" s="3"/>
      <c r="AQ868" s="3"/>
      <c r="AR868" s="3"/>
      <c r="AS868" s="3"/>
      <c r="AT868" s="3"/>
      <c r="AU868" s="3" t="str">
        <f ca="1">IFERROR(__xludf.DUMMYFUNCTION("""COMPUTED_VALUE"""),"PR článek")</f>
        <v>PR článek</v>
      </c>
    </row>
    <row r="869" spans="1:47" x14ac:dyDescent="0.3">
      <c r="A869" s="3">
        <f ca="1"/>
        <v>2346826</v>
      </c>
      <c r="B869" s="3" t="str">
        <f ca="1"/>
        <v>CZECH NEWS CENTER a. s.</v>
      </c>
      <c r="C869" s="3" t="str">
        <f ca="1">IFERROR(__xludf.DUMMYFUNCTION("""COMPUTED_VALUE"""),"Moto GP sport")</f>
        <v>Moto GP sport</v>
      </c>
      <c r="D869" s="4" t="str">
        <f ca="1">IFERROR(__xludf.DUMMYFUNCTION("""COMPUTED_VALUE"""),"https://motogpsport.cz")</f>
        <v>https://motogpsport.cz</v>
      </c>
      <c r="E869" s="3" t="str">
        <f ca="1">IFERROR(__xludf.DUMMYFUNCTION("""COMPUTED_VALUE"""),"celý web")</f>
        <v>celý web</v>
      </c>
      <c r="F869" s="4" t="str">
        <f ca="1">IFERROR(__xludf.DUMMYFUNCTION("""COMPUTED_VALUE"""),"https://motogpsport.cz")</f>
        <v>https://motogpsport.cz</v>
      </c>
      <c r="G869" s="3" t="str">
        <f ca="1">IFERROR(__xludf.DUMMYFUNCTION("""COMPUTED_VALUE"""),"Prodloužení existující microsite, bez úprav high season")</f>
        <v>Prodloužení existující microsite, bez úprav high season</v>
      </c>
      <c r="H869" s="3">
        <f ca="1">IFERROR(__xludf.DUMMYFUNCTION("""COMPUTED_VALUE"""),1)</f>
        <v>1</v>
      </c>
      <c r="I869" s="5">
        <f ca="1">IFERROR(__xludf.DUMMYFUNCTION("""COMPUTED_VALUE"""),1)</f>
        <v>1</v>
      </c>
      <c r="J869" s="5">
        <f ca="1">IFERROR(__xludf.DUMMYFUNCTION("""COMPUTED_VALUE"""),15000)</f>
        <v>15000</v>
      </c>
      <c r="K869" s="3"/>
      <c r="L869" s="3" t="str">
        <f ca="1">IFERROR(__xludf.DUMMYFUNCTION("""COMPUTED_VALUE"""),"Cost per instance")</f>
        <v>Cost per instance</v>
      </c>
      <c r="M869" s="3"/>
      <c r="N869" s="3"/>
      <c r="O869" s="3"/>
      <c r="P869" s="3"/>
      <c r="Q869" s="3"/>
      <c r="R869" s="3"/>
      <c r="S869" s="3" t="str">
        <f ca="1">IFERROR(__xludf.DUMMYFUNCTION("""COMPUTED_VALUE"""),"100")</f>
        <v>100</v>
      </c>
      <c r="T869" s="3"/>
      <c r="U869" s="3" t="str">
        <f ca="1">IFERROR(__xludf.DUMMYFUNCTION("""COMPUTED_VALUE"""),"microsite")</f>
        <v>microsite</v>
      </c>
      <c r="V869" s="3"/>
      <c r="W869" s="3"/>
      <c r="X869" s="3"/>
      <c r="Y869" s="3"/>
      <c r="Z869" s="3" t="str">
        <f ca="1">IFERROR(__xludf.DUMMYFUNCTION("""COMPUTED_VALUE"""),"podklady@cncenter.cz")</f>
        <v>podklady@cncenter.cz</v>
      </c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 t="str">
        <f ca="1">IFERROR(__xludf.DUMMYFUNCTION("""COMPUTED_VALUE"""),"cross-device")</f>
        <v>cross-device</v>
      </c>
      <c r="AO869" s="3"/>
      <c r="AP869" s="3"/>
      <c r="AQ869" s="3"/>
      <c r="AR869" s="3"/>
      <c r="AS869" s="3"/>
      <c r="AT869" s="3"/>
      <c r="AU869" s="3" t="str">
        <f ca="1">IFERROR(__xludf.DUMMYFUNCTION("""COMPUTED_VALUE"""),"Prodloužení existující microsite, bez úprav")</f>
        <v>Prodloužení existující microsite, bez úprav</v>
      </c>
    </row>
    <row r="870" spans="1:47" x14ac:dyDescent="0.3">
      <c r="A870" s="3">
        <f ca="1"/>
        <v>2346826</v>
      </c>
      <c r="B870" s="3" t="str">
        <f ca="1"/>
        <v>CZECH NEWS CENTER a. s.</v>
      </c>
      <c r="C870" s="3" t="str">
        <f ca="1">IFERROR(__xludf.DUMMYFUNCTION("""COMPUTED_VALUE"""),"Moto GP sport")</f>
        <v>Moto GP sport</v>
      </c>
      <c r="D870" s="4" t="str">
        <f ca="1">IFERROR(__xludf.DUMMYFUNCTION("""COMPUTED_VALUE"""),"https://motogpsport.cz")</f>
        <v>https://motogpsport.cz</v>
      </c>
      <c r="E870" s="3" t="str">
        <f ca="1">IFERROR(__xludf.DUMMYFUNCTION("""COMPUTED_VALUE"""),"celý web")</f>
        <v>celý web</v>
      </c>
      <c r="F870" s="4" t="str">
        <f ca="1">IFERROR(__xludf.DUMMYFUNCTION("""COMPUTED_VALUE"""),"https://motogpsport.cz")</f>
        <v>https://motogpsport.cz</v>
      </c>
      <c r="G870" s="3" t="str">
        <f ca="1">IFERROR(__xludf.DUMMYFUNCTION("""COMPUTED_VALUE"""),"Prodloužení existující microsite, bez úprav high season")</f>
        <v>Prodloužení existující microsite, bez úprav high season</v>
      </c>
      <c r="H870" s="3">
        <f ca="1">IFERROR(__xludf.DUMMYFUNCTION("""COMPUTED_VALUE"""),1)</f>
        <v>1</v>
      </c>
      <c r="I870" s="5">
        <f ca="1">IFERROR(__xludf.DUMMYFUNCTION("""COMPUTED_VALUE"""),1)</f>
        <v>1</v>
      </c>
      <c r="J870" s="5">
        <f ca="1">IFERROR(__xludf.DUMMYFUNCTION("""COMPUTED_VALUE"""),15000)</f>
        <v>15000</v>
      </c>
      <c r="K870" s="3"/>
      <c r="L870" s="3" t="str">
        <f ca="1">IFERROR(__xludf.DUMMYFUNCTION("""COMPUTED_VALUE"""),"Cost per instance")</f>
        <v>Cost per instance</v>
      </c>
      <c r="M870" s="3"/>
      <c r="N870" s="3"/>
      <c r="O870" s="3"/>
      <c r="P870" s="3"/>
      <c r="Q870" s="3"/>
      <c r="R870" s="3"/>
      <c r="S870" s="3" t="str">
        <f ca="1">IFERROR(__xludf.DUMMYFUNCTION("""COMPUTED_VALUE"""),"100")</f>
        <v>100</v>
      </c>
      <c r="T870" s="3"/>
      <c r="U870" s="3" t="str">
        <f ca="1">IFERROR(__xludf.DUMMYFUNCTION("""COMPUTED_VALUE"""),"microsite")</f>
        <v>microsite</v>
      </c>
      <c r="V870" s="3"/>
      <c r="W870" s="3"/>
      <c r="X870" s="3"/>
      <c r="Y870" s="3"/>
      <c r="Z870" s="3" t="str">
        <f ca="1">IFERROR(__xludf.DUMMYFUNCTION("""COMPUTED_VALUE"""),"podklady@cncenter.cz")</f>
        <v>podklady@cncenter.cz</v>
      </c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 t="str">
        <f ca="1">IFERROR(__xludf.DUMMYFUNCTION("""COMPUTED_VALUE"""),"cross-device")</f>
        <v>cross-device</v>
      </c>
      <c r="AO870" s="3"/>
      <c r="AP870" s="3"/>
      <c r="AQ870" s="3"/>
      <c r="AR870" s="3"/>
      <c r="AS870" s="3"/>
      <c r="AT870" s="3"/>
      <c r="AU870" s="3" t="str">
        <f ca="1">IFERROR(__xludf.DUMMYFUNCTION("""COMPUTED_VALUE"""),"Prodloužení existující microsite, bez úprav")</f>
        <v>Prodloužení existující microsite, bez úprav</v>
      </c>
    </row>
    <row r="871" spans="1:47" x14ac:dyDescent="0.3">
      <c r="A871" s="3">
        <f ca="1"/>
        <v>2346826</v>
      </c>
      <c r="B871" s="3" t="str">
        <f ca="1"/>
        <v>CZECH NEWS CENTER a. s.</v>
      </c>
      <c r="C871" s="3" t="str">
        <f ca="1">IFERROR(__xludf.DUMMYFUNCTION("""COMPUTED_VALUE"""),"Moto GP sport")</f>
        <v>Moto GP sport</v>
      </c>
      <c r="D871" s="4" t="str">
        <f ca="1">IFERROR(__xludf.DUMMYFUNCTION("""COMPUTED_VALUE"""),"https://motogpsport.cz")</f>
        <v>https://motogpsport.cz</v>
      </c>
      <c r="E871" s="3" t="str">
        <f ca="1">IFERROR(__xludf.DUMMYFUNCTION("""COMPUTED_VALUE"""),"celý web")</f>
        <v>celý web</v>
      </c>
      <c r="F871" s="4" t="str">
        <f ca="1">IFERROR(__xludf.DUMMYFUNCTION("""COMPUTED_VALUE"""),"https://motogpsport.cz")</f>
        <v>https://motogpsport.cz</v>
      </c>
      <c r="G871" s="3" t="str">
        <f ca="1">IFERROR(__xludf.DUMMYFUNCTION("""COMPUTED_VALUE"""),"Prodloužení existující microsite, bez úprav high season")</f>
        <v>Prodloužení existující microsite, bez úprav high season</v>
      </c>
      <c r="H871" s="3">
        <f ca="1">IFERROR(__xludf.DUMMYFUNCTION("""COMPUTED_VALUE"""),1)</f>
        <v>1</v>
      </c>
      <c r="I871" s="5">
        <f ca="1">IFERROR(__xludf.DUMMYFUNCTION("""COMPUTED_VALUE"""),1)</f>
        <v>1</v>
      </c>
      <c r="J871" s="5">
        <f ca="1">IFERROR(__xludf.DUMMYFUNCTION("""COMPUTED_VALUE"""),15000)</f>
        <v>15000</v>
      </c>
      <c r="K871" s="3"/>
      <c r="L871" s="3" t="str">
        <f ca="1">IFERROR(__xludf.DUMMYFUNCTION("""COMPUTED_VALUE"""),"Cost per instance")</f>
        <v>Cost per instance</v>
      </c>
      <c r="M871" s="3"/>
      <c r="N871" s="3"/>
      <c r="O871" s="3"/>
      <c r="P871" s="3"/>
      <c r="Q871" s="3"/>
      <c r="R871" s="3"/>
      <c r="S871" s="3" t="str">
        <f ca="1">IFERROR(__xludf.DUMMYFUNCTION("""COMPUTED_VALUE"""),"100")</f>
        <v>100</v>
      </c>
      <c r="T871" s="3"/>
      <c r="U871" s="3" t="str">
        <f ca="1">IFERROR(__xludf.DUMMYFUNCTION("""COMPUTED_VALUE"""),"microsite")</f>
        <v>microsite</v>
      </c>
      <c r="V871" s="3"/>
      <c r="W871" s="3"/>
      <c r="X871" s="3"/>
      <c r="Y871" s="3"/>
      <c r="Z871" s="3" t="str">
        <f ca="1">IFERROR(__xludf.DUMMYFUNCTION("""COMPUTED_VALUE"""),"podklady@cncenter.cz")</f>
        <v>podklady@cncenter.cz</v>
      </c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 t="str">
        <f ca="1">IFERROR(__xludf.DUMMYFUNCTION("""COMPUTED_VALUE"""),"cross-device")</f>
        <v>cross-device</v>
      </c>
      <c r="AO871" s="3"/>
      <c r="AP871" s="3"/>
      <c r="AQ871" s="3"/>
      <c r="AR871" s="3"/>
      <c r="AS871" s="3"/>
      <c r="AT871" s="3"/>
      <c r="AU871" s="3" t="str">
        <f ca="1">IFERROR(__xludf.DUMMYFUNCTION("""COMPUTED_VALUE"""),"Prodloužení existující microsite, bez úprav")</f>
        <v>Prodloužení existující microsite, bez úprav</v>
      </c>
    </row>
    <row r="872" spans="1:47" x14ac:dyDescent="0.3">
      <c r="A872" s="3">
        <f ca="1"/>
        <v>2346826</v>
      </c>
      <c r="B872" s="3" t="str">
        <f ca="1"/>
        <v>CZECH NEWS CENTER a. s.</v>
      </c>
      <c r="C872" s="4" t="str">
        <f ca="1">IFERROR(__xludf.DUMMYFUNCTION("""COMPUTED_VALUE"""),"nemovitosti.blesk.cz")</f>
        <v>nemovitosti.blesk.cz</v>
      </c>
      <c r="D872" s="4" t="str">
        <f ca="1">IFERROR(__xludf.DUMMYFUNCTION("""COMPUTED_VALUE"""),"https://nemovitosti.blesk.cz")</f>
        <v>https://nemovitosti.blesk.cz</v>
      </c>
      <c r="E872" s="3" t="str">
        <f ca="1">IFERROR(__xludf.DUMMYFUNCTION("""COMPUTED_VALUE"""),"celý web")</f>
        <v>celý web</v>
      </c>
      <c r="F872" s="4" t="str">
        <f ca="1">IFERROR(__xludf.DUMMYFUNCTION("""COMPUTED_VALUE"""),"https://nemovitosti.blesk.cz")</f>
        <v>https://nemovitosti.blesk.cz</v>
      </c>
      <c r="G872" s="3" t="str">
        <f ca="1">IFERROR(__xludf.DUMMYFUNCTION("""COMPUTED_VALUE"""),"Advertorial high season")</f>
        <v>Advertorial high season</v>
      </c>
      <c r="H872" s="3">
        <f ca="1">IFERROR(__xludf.DUMMYFUNCTION("""COMPUTED_VALUE"""),1)</f>
        <v>1</v>
      </c>
      <c r="I872" s="5">
        <f ca="1">IFERROR(__xludf.DUMMYFUNCTION("""COMPUTED_VALUE"""),1)</f>
        <v>1</v>
      </c>
      <c r="J872" s="5">
        <f ca="1">IFERROR(__xludf.DUMMYFUNCTION("""COMPUTED_VALUE"""),90000)</f>
        <v>90000</v>
      </c>
      <c r="K872" s="3"/>
      <c r="L872" s="3" t="str">
        <f ca="1">IFERROR(__xludf.DUMMYFUNCTION("""COMPUTED_VALUE"""),"Cost per instance")</f>
        <v>Cost per instance</v>
      </c>
      <c r="M872" s="3"/>
      <c r="N872" s="3"/>
      <c r="O872" s="3"/>
      <c r="P872" s="3"/>
      <c r="Q872" s="3"/>
      <c r="R872" s="3"/>
      <c r="S872" s="3" t="str">
        <f ca="1">IFERROR(__xludf.DUMMYFUNCTION("""COMPUTED_VALUE"""),"100")</f>
        <v>100</v>
      </c>
      <c r="T872" s="3"/>
      <c r="U872" s="3" t="str">
        <f ca="1">IFERROR(__xludf.DUMMYFUNCTION("""COMPUTED_VALUE"""),"pr článek")</f>
        <v>pr článek</v>
      </c>
      <c r="V872" s="3"/>
      <c r="W872" s="3"/>
      <c r="X872" s="3"/>
      <c r="Y872" s="3"/>
      <c r="Z872" s="3" t="str">
        <f ca="1">IFERROR(__xludf.DUMMYFUNCTION("""COMPUTED_VALUE"""),"podklady@cncenter.cz")</f>
        <v>podklady@cncenter.cz</v>
      </c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 t="str">
        <f ca="1">IFERROR(__xludf.DUMMYFUNCTION("""COMPUTED_VALUE"""),"cross-device")</f>
        <v>cross-device</v>
      </c>
      <c r="AO872" s="3"/>
      <c r="AP872" s="3"/>
      <c r="AQ872" s="3"/>
      <c r="AR872" s="3"/>
      <c r="AS872" s="3"/>
      <c r="AT872" s="3"/>
      <c r="AU872" s="3" t="str">
        <f ca="1">IFERROR(__xludf.DUMMYFUNCTION("""COMPUTED_VALUE"""),"Advertorial")</f>
        <v>Advertorial</v>
      </c>
    </row>
    <row r="873" spans="1:47" x14ac:dyDescent="0.3">
      <c r="A873" s="3">
        <f ca="1"/>
        <v>2346826</v>
      </c>
      <c r="B873" s="3" t="str">
        <f ca="1"/>
        <v>CZECH NEWS CENTER a. s.</v>
      </c>
      <c r="C873" s="4" t="str">
        <f ca="1">IFERROR(__xludf.DUMMYFUNCTION("""COMPUTED_VALUE"""),"nemovitosti.blesk.cz")</f>
        <v>nemovitosti.blesk.cz</v>
      </c>
      <c r="D873" s="4" t="str">
        <f ca="1">IFERROR(__xludf.DUMMYFUNCTION("""COMPUTED_VALUE"""),"https://nemovitosti.blesk.cz")</f>
        <v>https://nemovitosti.blesk.cz</v>
      </c>
      <c r="E873" s="3" t="str">
        <f ca="1">IFERROR(__xludf.DUMMYFUNCTION("""COMPUTED_VALUE"""),"celý web")</f>
        <v>celý web</v>
      </c>
      <c r="F873" s="4" t="str">
        <f ca="1">IFERROR(__xludf.DUMMYFUNCTION("""COMPUTED_VALUE"""),"https://nemovitosti.blesk.cz")</f>
        <v>https://nemovitosti.blesk.cz</v>
      </c>
      <c r="G873" s="3" t="str">
        <f ca="1">IFERROR(__xludf.DUMMYFUNCTION("""COMPUTED_VALUE"""),"billboard bottom high season")</f>
        <v>billboard bottom high season</v>
      </c>
      <c r="H873" s="3">
        <f ca="1">IFERROR(__xludf.DUMMYFUNCTION("""COMPUTED_VALUE"""),7)</f>
        <v>7</v>
      </c>
      <c r="I873" s="5">
        <f ca="1">IFERROR(__xludf.DUMMYFUNCTION("""COMPUTED_VALUE"""),1000)</f>
        <v>1000</v>
      </c>
      <c r="J873" s="5">
        <f ca="1">IFERROR(__xludf.DUMMYFUNCTION("""COMPUTED_VALUE"""),440)</f>
        <v>440</v>
      </c>
      <c r="K873" s="3"/>
      <c r="L873" s="3" t="str">
        <f ca="1">IFERROR(__xludf.DUMMYFUNCTION("""COMPUTED_VALUE"""),"Cost per period")</f>
        <v>Cost per period</v>
      </c>
      <c r="M873" s="3"/>
      <c r="N873" s="3"/>
      <c r="O873" s="3" t="str">
        <f ca="1">IFERROR(__xludf.DUMMYFUNCTION("""COMPUTED_VALUE"""),"970")</f>
        <v>970</v>
      </c>
      <c r="P873" s="3" t="str">
        <f ca="1">IFERROR(__xludf.DUMMYFUNCTION("""COMPUTED_VALUE"""),"250")</f>
        <v>250</v>
      </c>
      <c r="Q873" s="3" t="str">
        <f ca="1">IFERROR(__xludf.DUMMYFUNCTION("""COMPUTED_VALUE"""),"970x250")</f>
        <v>970x250</v>
      </c>
      <c r="R873" s="3"/>
      <c r="S873" s="3" t="str">
        <f ca="1">IFERROR(__xludf.DUMMYFUNCTION("""COMPUTED_VALUE"""),"100 (200 - HTML5)")</f>
        <v>100 (200 - HTML5)</v>
      </c>
      <c r="T873" s="3"/>
      <c r="U873" s="3" t="str">
        <f ca="1">IFERROR(__xludf.DUMMYFUNCTION("""COMPUTED_VALUE"""),"banner standard")</f>
        <v>banner standard</v>
      </c>
      <c r="V873" s="3"/>
      <c r="W873" s="4" t="str">
        <f ca="1">IFERROR(__xludf.DUMMYFUNCTION("""COMPUTED_VALUE"""),"https://reklama.cncenter.cz/Online/billboard-bottom")</f>
        <v>https://reklama.cncenter.cz/Online/billboard-bottom</v>
      </c>
      <c r="X873" s="3"/>
      <c r="Y873" s="3"/>
      <c r="Z873" s="3" t="str">
        <f ca="1">IFERROR(__xludf.DUMMYFUNCTION("""COMPUTED_VALUE"""),"podklady@cncenter.cz")</f>
        <v>podklady@cncenter.cz</v>
      </c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 t="str">
        <f ca="1">IFERROR(__xludf.DUMMYFUNCTION("""COMPUTED_VALUE"""),"desktop")</f>
        <v>desktop</v>
      </c>
      <c r="AO873" s="3"/>
      <c r="AP873" s="3"/>
      <c r="AQ873" s="3"/>
      <c r="AR873" s="3"/>
      <c r="AS873" s="3"/>
      <c r="AT873" s="3"/>
      <c r="AU873" s="3" t="str">
        <f ca="1">IFERROR(__xludf.DUMMYFUNCTION("""COMPUTED_VALUE"""),"billboard bottom")</f>
        <v>billboard bottom</v>
      </c>
    </row>
    <row r="874" spans="1:47" x14ac:dyDescent="0.3">
      <c r="A874" s="3">
        <f ca="1"/>
        <v>2346826</v>
      </c>
      <c r="B874" s="3" t="str">
        <f ca="1"/>
        <v>CZECH NEWS CENTER a. s.</v>
      </c>
      <c r="C874" s="4" t="str">
        <f ca="1">IFERROR(__xludf.DUMMYFUNCTION("""COMPUTED_VALUE"""),"nemovitosti.blesk.cz")</f>
        <v>nemovitosti.blesk.cz</v>
      </c>
      <c r="D874" s="4" t="str">
        <f ca="1">IFERROR(__xludf.DUMMYFUNCTION("""COMPUTED_VALUE"""),"https://nemovitosti.blesk.cz")</f>
        <v>https://nemovitosti.blesk.cz</v>
      </c>
      <c r="E874" s="3" t="str">
        <f ca="1">IFERROR(__xludf.DUMMYFUNCTION("""COMPUTED_VALUE"""),"celý web")</f>
        <v>celý web</v>
      </c>
      <c r="F874" s="4" t="str">
        <f ca="1">IFERROR(__xludf.DUMMYFUNCTION("""COMPUTED_VALUE"""),"https://nemovitosti.blesk.cz")</f>
        <v>https://nemovitosti.blesk.cz</v>
      </c>
      <c r="G874" s="3" t="str">
        <f ca="1">IFERROR(__xludf.DUMMYFUNCTION("""COMPUTED_VALUE"""),"branding cross-device high season")</f>
        <v>branding cross-device high season</v>
      </c>
      <c r="H874" s="3">
        <f ca="1">IFERROR(__xludf.DUMMYFUNCTION("""COMPUTED_VALUE"""),7)</f>
        <v>7</v>
      </c>
      <c r="I874" s="5">
        <f ca="1">IFERROR(__xludf.DUMMYFUNCTION("""COMPUTED_VALUE"""),1000)</f>
        <v>1000</v>
      </c>
      <c r="J874" s="5">
        <f ca="1">IFERROR(__xludf.DUMMYFUNCTION("""COMPUTED_VALUE"""),540)</f>
        <v>540</v>
      </c>
      <c r="K874" s="3"/>
      <c r="L874" s="3" t="str">
        <f ca="1">IFERROR(__xludf.DUMMYFUNCTION("""COMPUTED_VALUE"""),"Cost per period")</f>
        <v>Cost per period</v>
      </c>
      <c r="M874" s="3"/>
      <c r="N874" s="3"/>
      <c r="O874" s="3" t="str">
        <f ca="1">IFERROR(__xludf.DUMMYFUNCTION("""COMPUTED_VALUE"""),"2000")</f>
        <v>2000</v>
      </c>
      <c r="P874" s="3" t="str">
        <f ca="1">IFERROR(__xludf.DUMMYFUNCTION("""COMPUTED_VALUE"""),"1400")</f>
        <v>1400</v>
      </c>
      <c r="Q874" s="3" t="str">
        <f ca="1">IFERROR(__xludf.DUMMYFUNCTION("""COMPUTED_VALUE"""),"2000x1400 + 600x1080")</f>
        <v>2000x1400 + 600x1080</v>
      </c>
      <c r="R874" s="3"/>
      <c r="S874" s="3" t="str">
        <f ca="1">IFERROR(__xludf.DUMMYFUNCTION("""COMPUTED_VALUE"""),"500 (600 - HTLM5)")</f>
        <v>500 (600 - HTLM5)</v>
      </c>
      <c r="T874" s="3"/>
      <c r="U874" s="3" t="str">
        <f ca="1">IFERROR(__xludf.DUMMYFUNCTION("""COMPUTED_VALUE"""),"banner standard")</f>
        <v>banner standard</v>
      </c>
      <c r="V874" s="3"/>
      <c r="W874" s="4" t="str">
        <f ca="1">IFERROR(__xludf.DUMMYFUNCTION("""COMPUTED_VALUE"""),"https://reklama.cncenter.cz/Online/branding-cross-device")</f>
        <v>https://reklama.cncenter.cz/Online/branding-cross-device</v>
      </c>
      <c r="X874" s="3"/>
      <c r="Y874" s="3"/>
      <c r="Z874" s="3" t="str">
        <f ca="1">IFERROR(__xludf.DUMMYFUNCTION("""COMPUTED_VALUE"""),"podklady@cncenter.cz")</f>
        <v>podklady@cncenter.cz</v>
      </c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 t="str">
        <f ca="1">IFERROR(__xludf.DUMMYFUNCTION("""COMPUTED_VALUE"""),"cross-device")</f>
        <v>cross-device</v>
      </c>
      <c r="AO874" s="3"/>
      <c r="AP874" s="3"/>
      <c r="AQ874" s="3"/>
      <c r="AR874" s="3"/>
      <c r="AS874" s="3"/>
      <c r="AT874" s="3"/>
      <c r="AU874" s="3" t="str">
        <f ca="1">IFERROR(__xludf.DUMMYFUNCTION("""COMPUTED_VALUE"""),"branding cross-device")</f>
        <v>branding cross-device</v>
      </c>
    </row>
    <row r="875" spans="1:47" x14ac:dyDescent="0.3">
      <c r="A875" s="3">
        <f ca="1"/>
        <v>2346826</v>
      </c>
      <c r="B875" s="3" t="str">
        <f ca="1"/>
        <v>CZECH NEWS CENTER a. s.</v>
      </c>
      <c r="C875" s="4" t="str">
        <f ca="1">IFERROR(__xludf.DUMMYFUNCTION("""COMPUTED_VALUE"""),"nemovitosti.blesk.cz")</f>
        <v>nemovitosti.blesk.cz</v>
      </c>
      <c r="D875" s="4" t="str">
        <f ca="1">IFERROR(__xludf.DUMMYFUNCTION("""COMPUTED_VALUE"""),"https://nemovitosti.blesk.cz")</f>
        <v>https://nemovitosti.blesk.cz</v>
      </c>
      <c r="E875" s="3" t="str">
        <f ca="1">IFERROR(__xludf.DUMMYFUNCTION("""COMPUTED_VALUE"""),"celý web")</f>
        <v>celý web</v>
      </c>
      <c r="F875" s="4" t="str">
        <f ca="1">IFERROR(__xludf.DUMMYFUNCTION("""COMPUTED_VALUE"""),"https://nemovitosti.blesk.cz")</f>
        <v>https://nemovitosti.blesk.cz</v>
      </c>
      <c r="G875" s="3" t="str">
        <f ca="1">IFERROR(__xludf.DUMMYFUNCTION("""COMPUTED_VALUE"""),"branding high season")</f>
        <v>branding high season</v>
      </c>
      <c r="H875" s="3">
        <f ca="1">IFERROR(__xludf.DUMMYFUNCTION("""COMPUTED_VALUE"""),7)</f>
        <v>7</v>
      </c>
      <c r="I875" s="5">
        <f ca="1">IFERROR(__xludf.DUMMYFUNCTION("""COMPUTED_VALUE"""),1000)</f>
        <v>1000</v>
      </c>
      <c r="J875" s="5">
        <f ca="1">IFERROR(__xludf.DUMMYFUNCTION("""COMPUTED_VALUE"""),890)</f>
        <v>890</v>
      </c>
      <c r="K875" s="3"/>
      <c r="L875" s="3" t="str">
        <f ca="1">IFERROR(__xludf.DUMMYFUNCTION("""COMPUTED_VALUE"""),"Cost per period")</f>
        <v>Cost per period</v>
      </c>
      <c r="M875" s="3"/>
      <c r="N875" s="3"/>
      <c r="O875" s="3" t="str">
        <f ca="1">IFERROR(__xludf.DUMMYFUNCTION("""COMPUTED_VALUE"""),"2000")</f>
        <v>2000</v>
      </c>
      <c r="P875" s="3" t="str">
        <f ca="1">IFERROR(__xludf.DUMMYFUNCTION("""COMPUTED_VALUE"""),"1400")</f>
        <v>1400</v>
      </c>
      <c r="Q875" s="3" t="str">
        <f ca="1">IFERROR(__xludf.DUMMYFUNCTION("""COMPUTED_VALUE"""),"2000x1400")</f>
        <v>2000x1400</v>
      </c>
      <c r="R875" s="3"/>
      <c r="S875" s="3" t="str">
        <f ca="1">IFERROR(__xludf.DUMMYFUNCTION("""COMPUTED_VALUE"""),"500 + 200 (600+200 HTML5)")</f>
        <v>500 + 200 (600+200 HTML5)</v>
      </c>
      <c r="T875" s="3"/>
      <c r="U875" s="3" t="str">
        <f ca="1">IFERROR(__xludf.DUMMYFUNCTION("""COMPUTED_VALUE"""),"banner standard")</f>
        <v>banner standard</v>
      </c>
      <c r="V875" s="3"/>
      <c r="W875" s="4" t="str">
        <f ca="1">IFERROR(__xludf.DUMMYFUNCTION("""COMPUTED_VALUE"""),"https://reklama.cncenter.cz/Online/branding")</f>
        <v>https://reklama.cncenter.cz/Online/branding</v>
      </c>
      <c r="X875" s="3"/>
      <c r="Y875" s="3"/>
      <c r="Z875" s="3" t="str">
        <f ca="1">IFERROR(__xludf.DUMMYFUNCTION("""COMPUTED_VALUE"""),"podklady@cncenter.cz")</f>
        <v>podklady@cncenter.cz</v>
      </c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 t="str">
        <f ca="1">IFERROR(__xludf.DUMMYFUNCTION("""COMPUTED_VALUE"""),"desktop")</f>
        <v>desktop</v>
      </c>
      <c r="AO875" s="3"/>
      <c r="AP875" s="3"/>
      <c r="AQ875" s="3"/>
      <c r="AR875" s="3"/>
      <c r="AS875" s="3"/>
      <c r="AT875" s="3"/>
      <c r="AU875" s="3" t="str">
        <f ca="1">IFERROR(__xludf.DUMMYFUNCTION("""COMPUTED_VALUE"""),"branding")</f>
        <v>branding</v>
      </c>
    </row>
    <row r="876" spans="1:47" x14ac:dyDescent="0.3">
      <c r="A876" s="3">
        <f ca="1"/>
        <v>2346826</v>
      </c>
      <c r="B876" s="3" t="str">
        <f ca="1"/>
        <v>CZECH NEWS CENTER a. s.</v>
      </c>
      <c r="C876" s="4" t="str">
        <f ca="1">IFERROR(__xludf.DUMMYFUNCTION("""COMPUTED_VALUE"""),"nemovitosti.blesk.cz")</f>
        <v>nemovitosti.blesk.cz</v>
      </c>
      <c r="D876" s="4" t="str">
        <f ca="1">IFERROR(__xludf.DUMMYFUNCTION("""COMPUTED_VALUE"""),"https://nemovitosti.blesk.cz")</f>
        <v>https://nemovitosti.blesk.cz</v>
      </c>
      <c r="E876" s="3" t="str">
        <f ca="1">IFERROR(__xludf.DUMMYFUNCTION("""COMPUTED_VALUE"""),"celý web")</f>
        <v>celý web</v>
      </c>
      <c r="F876" s="4" t="str">
        <f ca="1">IFERROR(__xludf.DUMMYFUNCTION("""COMPUTED_VALUE"""),"https://nemovitosti.blesk.cz")</f>
        <v>https://nemovitosti.blesk.cz</v>
      </c>
      <c r="G876" s="3" t="str">
        <f ca="1">IFERROR(__xludf.DUMMYFUNCTION("""COMPUTED_VALUE"""),"cílený billboard bottom high season")</f>
        <v>cílený billboard bottom high season</v>
      </c>
      <c r="H876" s="3">
        <f ca="1">IFERROR(__xludf.DUMMYFUNCTION("""COMPUTED_VALUE"""),7)</f>
        <v>7</v>
      </c>
      <c r="I876" s="5">
        <f ca="1">IFERROR(__xludf.DUMMYFUNCTION("""COMPUTED_VALUE"""),1000)</f>
        <v>1000</v>
      </c>
      <c r="J876" s="5">
        <f ca="1">IFERROR(__xludf.DUMMYFUNCTION("""COMPUTED_VALUE"""),528)</f>
        <v>528</v>
      </c>
      <c r="K876" s="3"/>
      <c r="L876" s="3" t="str">
        <f ca="1">IFERROR(__xludf.DUMMYFUNCTION("""COMPUTED_VALUE"""),"Cost per period")</f>
        <v>Cost per period</v>
      </c>
      <c r="M876" s="3"/>
      <c r="N876" s="3"/>
      <c r="O876" s="3" t="str">
        <f ca="1">IFERROR(__xludf.DUMMYFUNCTION("""COMPUTED_VALUE"""),"970")</f>
        <v>970</v>
      </c>
      <c r="P876" s="3" t="str">
        <f ca="1">IFERROR(__xludf.DUMMYFUNCTION("""COMPUTED_VALUE"""),"250")</f>
        <v>250</v>
      </c>
      <c r="Q876" s="3" t="str">
        <f ca="1">IFERROR(__xludf.DUMMYFUNCTION("""COMPUTED_VALUE"""),"970x250")</f>
        <v>970x250</v>
      </c>
      <c r="R876" s="3"/>
      <c r="S876" s="3" t="str">
        <f ca="1">IFERROR(__xludf.DUMMYFUNCTION("""COMPUTED_VALUE"""),"100 (200 - HTML5)")</f>
        <v>100 (200 - HTML5)</v>
      </c>
      <c r="T876" s="3"/>
      <c r="U876" s="3" t="str">
        <f ca="1">IFERROR(__xludf.DUMMYFUNCTION("""COMPUTED_VALUE"""),"banner standard")</f>
        <v>banner standard</v>
      </c>
      <c r="V876" s="3"/>
      <c r="W876" s="4" t="str">
        <f ca="1">IFERROR(__xludf.DUMMYFUNCTION("""COMPUTED_VALUE"""),"https://reklama.cncenter.cz/Online/billboard-bottom")</f>
        <v>https://reklama.cncenter.cz/Online/billboard-bottom</v>
      </c>
      <c r="X876" s="3"/>
      <c r="Y876" s="3"/>
      <c r="Z876" s="3" t="str">
        <f ca="1">IFERROR(__xludf.DUMMYFUNCTION("""COMPUTED_VALUE"""),"podklady@cncenter.cz")</f>
        <v>podklady@cncenter.cz</v>
      </c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 t="str">
        <f ca="1">IFERROR(__xludf.DUMMYFUNCTION("""COMPUTED_VALUE"""),"desktop")</f>
        <v>desktop</v>
      </c>
      <c r="AO876" s="3"/>
      <c r="AP876" s="3"/>
      <c r="AQ876" s="3"/>
      <c r="AR876" s="3"/>
      <c r="AS876" s="3"/>
      <c r="AT876" s="3"/>
      <c r="AU876" s="3" t="str">
        <f ca="1">IFERROR(__xludf.DUMMYFUNCTION("""COMPUTED_VALUE"""),"cílený billboard bottom")</f>
        <v>cílený billboard bottom</v>
      </c>
    </row>
    <row r="877" spans="1:47" x14ac:dyDescent="0.3">
      <c r="A877" s="3">
        <f ca="1"/>
        <v>2346826</v>
      </c>
      <c r="B877" s="3" t="str">
        <f ca="1"/>
        <v>CZECH NEWS CENTER a. s.</v>
      </c>
      <c r="C877" s="4" t="str">
        <f ca="1">IFERROR(__xludf.DUMMYFUNCTION("""COMPUTED_VALUE"""),"nemovitosti.blesk.cz")</f>
        <v>nemovitosti.blesk.cz</v>
      </c>
      <c r="D877" s="4" t="str">
        <f ca="1">IFERROR(__xludf.DUMMYFUNCTION("""COMPUTED_VALUE"""),"https://nemovitosti.blesk.cz")</f>
        <v>https://nemovitosti.blesk.cz</v>
      </c>
      <c r="E877" s="3" t="str">
        <f ca="1">IFERROR(__xludf.DUMMYFUNCTION("""COMPUTED_VALUE"""),"celý web")</f>
        <v>celý web</v>
      </c>
      <c r="F877" s="4" t="str">
        <f ca="1">IFERROR(__xludf.DUMMYFUNCTION("""COMPUTED_VALUE"""),"https://nemovitosti.blesk.cz")</f>
        <v>https://nemovitosti.blesk.cz</v>
      </c>
      <c r="G877" s="3" t="str">
        <f ca="1">IFERROR(__xludf.DUMMYFUNCTION("""COMPUTED_VALUE"""),"cílený branding cross-device high season")</f>
        <v>cílený branding cross-device high season</v>
      </c>
      <c r="H877" s="3">
        <f ca="1">IFERROR(__xludf.DUMMYFUNCTION("""COMPUTED_VALUE"""),7)</f>
        <v>7</v>
      </c>
      <c r="I877" s="5">
        <f ca="1">IFERROR(__xludf.DUMMYFUNCTION("""COMPUTED_VALUE"""),1000)</f>
        <v>1000</v>
      </c>
      <c r="J877" s="5">
        <f ca="1">IFERROR(__xludf.DUMMYFUNCTION("""COMPUTED_VALUE"""),648)</f>
        <v>648</v>
      </c>
      <c r="K877" s="3"/>
      <c r="L877" s="3" t="str">
        <f ca="1">IFERROR(__xludf.DUMMYFUNCTION("""COMPUTED_VALUE"""),"Cost per period")</f>
        <v>Cost per period</v>
      </c>
      <c r="M877" s="3"/>
      <c r="N877" s="3"/>
      <c r="O877" s="3" t="str">
        <f ca="1">IFERROR(__xludf.DUMMYFUNCTION("""COMPUTED_VALUE"""),"2000")</f>
        <v>2000</v>
      </c>
      <c r="P877" s="3" t="str">
        <f ca="1">IFERROR(__xludf.DUMMYFUNCTION("""COMPUTED_VALUE"""),"1400")</f>
        <v>1400</v>
      </c>
      <c r="Q877" s="3" t="str">
        <f ca="1">IFERROR(__xludf.DUMMYFUNCTION("""COMPUTED_VALUE"""),"2000x1400 + 600x1080")</f>
        <v>2000x1400 + 600x1080</v>
      </c>
      <c r="R877" s="3"/>
      <c r="S877" s="3" t="str">
        <f ca="1">IFERROR(__xludf.DUMMYFUNCTION("""COMPUTED_VALUE"""),"500 (600 - HTLM5)")</f>
        <v>500 (600 - HTLM5)</v>
      </c>
      <c r="T877" s="3"/>
      <c r="U877" s="3" t="str">
        <f ca="1">IFERROR(__xludf.DUMMYFUNCTION("""COMPUTED_VALUE"""),"banner standard")</f>
        <v>banner standard</v>
      </c>
      <c r="V877" s="3"/>
      <c r="W877" s="4" t="str">
        <f ca="1">IFERROR(__xludf.DUMMYFUNCTION("""COMPUTED_VALUE"""),"https://reklama.cncenter.cz/Online/branding-cross-device")</f>
        <v>https://reklama.cncenter.cz/Online/branding-cross-device</v>
      </c>
      <c r="X877" s="3"/>
      <c r="Y877" s="3"/>
      <c r="Z877" s="3" t="str">
        <f ca="1">IFERROR(__xludf.DUMMYFUNCTION("""COMPUTED_VALUE"""),"podklady@cncenter.cz")</f>
        <v>podklady@cncenter.cz</v>
      </c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 t="str">
        <f ca="1">IFERROR(__xludf.DUMMYFUNCTION("""COMPUTED_VALUE"""),"cross-device")</f>
        <v>cross-device</v>
      </c>
      <c r="AO877" s="3"/>
      <c r="AP877" s="3"/>
      <c r="AQ877" s="3"/>
      <c r="AR877" s="3"/>
      <c r="AS877" s="3"/>
      <c r="AT877" s="3"/>
      <c r="AU877" s="3" t="str">
        <f ca="1">IFERROR(__xludf.DUMMYFUNCTION("""COMPUTED_VALUE"""),"cílený branding cross-device")</f>
        <v>cílený branding cross-device</v>
      </c>
    </row>
    <row r="878" spans="1:47" x14ac:dyDescent="0.3">
      <c r="A878" s="3">
        <f ca="1"/>
        <v>2346826</v>
      </c>
      <c r="B878" s="3" t="str">
        <f ca="1"/>
        <v>CZECH NEWS CENTER a. s.</v>
      </c>
      <c r="C878" s="4" t="str">
        <f ca="1">IFERROR(__xludf.DUMMYFUNCTION("""COMPUTED_VALUE"""),"nemovitosti.blesk.cz")</f>
        <v>nemovitosti.blesk.cz</v>
      </c>
      <c r="D878" s="4" t="str">
        <f ca="1">IFERROR(__xludf.DUMMYFUNCTION("""COMPUTED_VALUE"""),"https://nemovitosti.blesk.cz")</f>
        <v>https://nemovitosti.blesk.cz</v>
      </c>
      <c r="E878" s="3" t="str">
        <f ca="1">IFERROR(__xludf.DUMMYFUNCTION("""COMPUTED_VALUE"""),"celý web")</f>
        <v>celý web</v>
      </c>
      <c r="F878" s="4" t="str">
        <f ca="1">IFERROR(__xludf.DUMMYFUNCTION("""COMPUTED_VALUE"""),"https://nemovitosti.blesk.cz")</f>
        <v>https://nemovitosti.blesk.cz</v>
      </c>
      <c r="G878" s="3" t="str">
        <f ca="1">IFERROR(__xludf.DUMMYFUNCTION("""COMPUTED_VALUE"""),"cílený branding high season")</f>
        <v>cílený branding high season</v>
      </c>
      <c r="H878" s="3">
        <f ca="1">IFERROR(__xludf.DUMMYFUNCTION("""COMPUTED_VALUE"""),7)</f>
        <v>7</v>
      </c>
      <c r="I878" s="5">
        <f ca="1">IFERROR(__xludf.DUMMYFUNCTION("""COMPUTED_VALUE"""),1000)</f>
        <v>1000</v>
      </c>
      <c r="J878" s="5">
        <f ca="1">IFERROR(__xludf.DUMMYFUNCTION("""COMPUTED_VALUE"""),1068)</f>
        <v>1068</v>
      </c>
      <c r="K878" s="3"/>
      <c r="L878" s="3" t="str">
        <f ca="1">IFERROR(__xludf.DUMMYFUNCTION("""COMPUTED_VALUE"""),"Cost per period")</f>
        <v>Cost per period</v>
      </c>
      <c r="M878" s="3"/>
      <c r="N878" s="3"/>
      <c r="O878" s="3" t="str">
        <f ca="1">IFERROR(__xludf.DUMMYFUNCTION("""COMPUTED_VALUE"""),"2000")</f>
        <v>2000</v>
      </c>
      <c r="P878" s="3" t="str">
        <f ca="1">IFERROR(__xludf.DUMMYFUNCTION("""COMPUTED_VALUE"""),"1400")</f>
        <v>1400</v>
      </c>
      <c r="Q878" s="3" t="str">
        <f ca="1">IFERROR(__xludf.DUMMYFUNCTION("""COMPUTED_VALUE"""),"2000x1400")</f>
        <v>2000x1400</v>
      </c>
      <c r="R878" s="3"/>
      <c r="S878" s="3" t="str">
        <f ca="1">IFERROR(__xludf.DUMMYFUNCTION("""COMPUTED_VALUE"""),"500 + 200 (600+200 HTML5)")</f>
        <v>500 + 200 (600+200 HTML5)</v>
      </c>
      <c r="T878" s="3"/>
      <c r="U878" s="3" t="str">
        <f ca="1">IFERROR(__xludf.DUMMYFUNCTION("""COMPUTED_VALUE"""),"banner standard")</f>
        <v>banner standard</v>
      </c>
      <c r="V878" s="3"/>
      <c r="W878" s="4" t="str">
        <f ca="1">IFERROR(__xludf.DUMMYFUNCTION("""COMPUTED_VALUE"""),"https://reklama.cncenter.cz/Online/branding")</f>
        <v>https://reklama.cncenter.cz/Online/branding</v>
      </c>
      <c r="X878" s="3"/>
      <c r="Y878" s="3"/>
      <c r="Z878" s="3" t="str">
        <f ca="1">IFERROR(__xludf.DUMMYFUNCTION("""COMPUTED_VALUE"""),"podklady@cncenter.cz")</f>
        <v>podklady@cncenter.cz</v>
      </c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 t="str">
        <f ca="1">IFERROR(__xludf.DUMMYFUNCTION("""COMPUTED_VALUE"""),"desktop")</f>
        <v>desktop</v>
      </c>
      <c r="AO878" s="3"/>
      <c r="AP878" s="3"/>
      <c r="AQ878" s="3"/>
      <c r="AR878" s="3"/>
      <c r="AS878" s="3"/>
      <c r="AT878" s="3"/>
      <c r="AU878" s="3" t="str">
        <f ca="1">IFERROR(__xludf.DUMMYFUNCTION("""COMPUTED_VALUE"""),"cílený branding")</f>
        <v>cílený branding</v>
      </c>
    </row>
    <row r="879" spans="1:47" x14ac:dyDescent="0.3">
      <c r="A879" s="3">
        <f ca="1"/>
        <v>2346826</v>
      </c>
      <c r="B879" s="3" t="str">
        <f ca="1"/>
        <v>CZECH NEWS CENTER a. s.</v>
      </c>
      <c r="C879" s="4" t="str">
        <f ca="1">IFERROR(__xludf.DUMMYFUNCTION("""COMPUTED_VALUE"""),"nemovitosti.blesk.cz")</f>
        <v>nemovitosti.blesk.cz</v>
      </c>
      <c r="D879" s="4" t="str">
        <f ca="1">IFERROR(__xludf.DUMMYFUNCTION("""COMPUTED_VALUE"""),"https://nemovitosti.blesk.cz")</f>
        <v>https://nemovitosti.blesk.cz</v>
      </c>
      <c r="E879" s="3" t="str">
        <f ca="1">IFERROR(__xludf.DUMMYFUNCTION("""COMPUTED_VALUE"""),"celý web")</f>
        <v>celý web</v>
      </c>
      <c r="F879" s="4" t="str">
        <f ca="1">IFERROR(__xludf.DUMMYFUNCTION("""COMPUTED_VALUE"""),"https://nemovitosti.blesk.cz")</f>
        <v>https://nemovitosti.blesk.cz</v>
      </c>
      <c r="G879" s="3" t="str">
        <f ca="1">IFERROR(__xludf.DUMMYFUNCTION("""COMPUTED_VALUE"""),"cílený double skyscraper high season")</f>
        <v>cílený double skyscraper high season</v>
      </c>
      <c r="H879" s="3">
        <f ca="1">IFERROR(__xludf.DUMMYFUNCTION("""COMPUTED_VALUE"""),7)</f>
        <v>7</v>
      </c>
      <c r="I879" s="5">
        <f ca="1">IFERROR(__xludf.DUMMYFUNCTION("""COMPUTED_VALUE"""),1000)</f>
        <v>1000</v>
      </c>
      <c r="J879" s="5">
        <f ca="1">IFERROR(__xludf.DUMMYFUNCTION("""COMPUTED_VALUE"""),420)</f>
        <v>420</v>
      </c>
      <c r="K879" s="3"/>
      <c r="L879" s="3" t="str">
        <f ca="1">IFERROR(__xludf.DUMMYFUNCTION("""COMPUTED_VALUE"""),"Cost per period")</f>
        <v>Cost per period</v>
      </c>
      <c r="M879" s="3"/>
      <c r="N879" s="3"/>
      <c r="O879" s="3" t="str">
        <f ca="1">IFERROR(__xludf.DUMMYFUNCTION("""COMPUTED_VALUE"""),"300")</f>
        <v>300</v>
      </c>
      <c r="P879" s="3" t="str">
        <f ca="1">IFERROR(__xludf.DUMMYFUNCTION("""COMPUTED_VALUE"""),"600")</f>
        <v>600</v>
      </c>
      <c r="Q879" s="3" t="str">
        <f ca="1">IFERROR(__xludf.DUMMYFUNCTION("""COMPUTED_VALUE"""),"300x600")</f>
        <v>300x600</v>
      </c>
      <c r="R879" s="3"/>
      <c r="S879" s="3" t="str">
        <f ca="1">IFERROR(__xludf.DUMMYFUNCTION("""COMPUTED_VALUE"""),"100 (200 - HTML5)")</f>
        <v>100 (200 - HTML5)</v>
      </c>
      <c r="T879" s="3"/>
      <c r="U879" s="3" t="str">
        <f ca="1">IFERROR(__xludf.DUMMYFUNCTION("""COMPUTED_VALUE"""),"banner standard")</f>
        <v>banner standard</v>
      </c>
      <c r="V879" s="3"/>
      <c r="W879" s="4" t="str">
        <f ca="1">IFERROR(__xludf.DUMMYFUNCTION("""COMPUTED_VALUE"""),"https://reklama.cncenter.cz/Online/double-skyscraper")</f>
        <v>https://reklama.cncenter.cz/Online/double-skyscraper</v>
      </c>
      <c r="X879" s="3"/>
      <c r="Y879" s="3"/>
      <c r="Z879" s="3" t="str">
        <f ca="1">IFERROR(__xludf.DUMMYFUNCTION("""COMPUTED_VALUE"""),"podklady@cncenter.cz")</f>
        <v>podklady@cncenter.cz</v>
      </c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 t="str">
        <f ca="1">IFERROR(__xludf.DUMMYFUNCTION("""COMPUTED_VALUE"""),"desktop")</f>
        <v>desktop</v>
      </c>
      <c r="AO879" s="3"/>
      <c r="AP879" s="3"/>
      <c r="AQ879" s="3"/>
      <c r="AR879" s="3"/>
      <c r="AS879" s="3"/>
      <c r="AT879" s="3"/>
      <c r="AU879" s="3" t="str">
        <f ca="1">IFERROR(__xludf.DUMMYFUNCTION("""COMPUTED_VALUE"""),"cílený double skyscraper")</f>
        <v>cílený double skyscraper</v>
      </c>
    </row>
    <row r="880" spans="1:47" x14ac:dyDescent="0.3">
      <c r="A880" s="3">
        <f ca="1"/>
        <v>2346826</v>
      </c>
      <c r="B880" s="3" t="str">
        <f ca="1"/>
        <v>CZECH NEWS CENTER a. s.</v>
      </c>
      <c r="C880" s="4" t="str">
        <f ca="1">IFERROR(__xludf.DUMMYFUNCTION("""COMPUTED_VALUE"""),"nemovitosti.blesk.cz")</f>
        <v>nemovitosti.blesk.cz</v>
      </c>
      <c r="D880" s="4" t="str">
        <f ca="1">IFERROR(__xludf.DUMMYFUNCTION("""COMPUTED_VALUE"""),"https://nemovitosti.blesk.cz")</f>
        <v>https://nemovitosti.blesk.cz</v>
      </c>
      <c r="E880" s="3" t="str">
        <f ca="1">IFERROR(__xludf.DUMMYFUNCTION("""COMPUTED_VALUE"""),"celý web")</f>
        <v>celý web</v>
      </c>
      <c r="F880" s="4" t="str">
        <f ca="1">IFERROR(__xludf.DUMMYFUNCTION("""COMPUTED_VALUE"""),"https://nemovitosti.blesk.cz")</f>
        <v>https://nemovitosti.blesk.cz</v>
      </c>
      <c r="G880" s="3" t="str">
        <f ca="1">IFERROR(__xludf.DUMMYFUNCTION("""COMPUTED_VALUE"""),"cílený mobilní interscroller high season")</f>
        <v>cílený mobilní interscroller high season</v>
      </c>
      <c r="H880" s="3">
        <f ca="1">IFERROR(__xludf.DUMMYFUNCTION("""COMPUTED_VALUE"""),7)</f>
        <v>7</v>
      </c>
      <c r="I880" s="5">
        <f ca="1">IFERROR(__xludf.DUMMYFUNCTION("""COMPUTED_VALUE"""),1000)</f>
        <v>1000</v>
      </c>
      <c r="J880" s="5">
        <f ca="1">IFERROR(__xludf.DUMMYFUNCTION("""COMPUTED_VALUE"""),540)</f>
        <v>540</v>
      </c>
      <c r="K880" s="3"/>
      <c r="L880" s="3" t="str">
        <f ca="1">IFERROR(__xludf.DUMMYFUNCTION("""COMPUTED_VALUE"""),"Cost per period")</f>
        <v>Cost per period</v>
      </c>
      <c r="M880" s="3"/>
      <c r="N880" s="3"/>
      <c r="O880" s="3" t="str">
        <f ca="1">IFERROR(__xludf.DUMMYFUNCTION("""COMPUTED_VALUE"""),"600")</f>
        <v>600</v>
      </c>
      <c r="P880" s="3" t="str">
        <f ca="1">IFERROR(__xludf.DUMMYFUNCTION("""COMPUTED_VALUE"""),"1080")</f>
        <v>1080</v>
      </c>
      <c r="Q880" s="3" t="str">
        <f ca="1">IFERROR(__xludf.DUMMYFUNCTION("""COMPUTED_VALUE"""),"600x1080")</f>
        <v>600x1080</v>
      </c>
      <c r="R880" s="3"/>
      <c r="S880" s="3" t="str">
        <f ca="1">IFERROR(__xludf.DUMMYFUNCTION("""COMPUTED_VALUE"""),"200")</f>
        <v>200</v>
      </c>
      <c r="T880" s="3"/>
      <c r="U880" s="3" t="str">
        <f ca="1">IFERROR(__xludf.DUMMYFUNCTION("""COMPUTED_VALUE"""),"banner standard")</f>
        <v>banner standard</v>
      </c>
      <c r="V880" s="3"/>
      <c r="W880" s="4" t="str">
        <f ca="1">IFERROR(__xludf.DUMMYFUNCTION("""COMPUTED_VALUE"""),"https://reklama.cncenter.cz/Online/mobilni-interscroller")</f>
        <v>https://reklama.cncenter.cz/Online/mobilni-interscroller</v>
      </c>
      <c r="X880" s="3"/>
      <c r="Y880" s="3"/>
      <c r="Z880" s="3" t="str">
        <f ca="1">IFERROR(__xludf.DUMMYFUNCTION("""COMPUTED_VALUE"""),"podklady@cncenter.cz")</f>
        <v>podklady@cncenter.cz</v>
      </c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 t="str">
        <f ca="1">IFERROR(__xludf.DUMMYFUNCTION("""COMPUTED_VALUE"""),"mobile")</f>
        <v>mobile</v>
      </c>
      <c r="AO880" s="3"/>
      <c r="AP880" s="3"/>
      <c r="AQ880" s="3"/>
      <c r="AR880" s="3"/>
      <c r="AS880" s="3"/>
      <c r="AT880" s="3"/>
      <c r="AU880" s="3" t="str">
        <f ca="1">IFERROR(__xludf.DUMMYFUNCTION("""COMPUTED_VALUE"""),"cílený mobilní interscroller")</f>
        <v>cílený mobilní interscroller</v>
      </c>
    </row>
    <row r="881" spans="1:47" x14ac:dyDescent="0.3">
      <c r="A881" s="3">
        <f ca="1"/>
        <v>2346826</v>
      </c>
      <c r="B881" s="3" t="str">
        <f ca="1"/>
        <v>CZECH NEWS CENTER a. s.</v>
      </c>
      <c r="C881" s="4" t="str">
        <f ca="1">IFERROR(__xludf.DUMMYFUNCTION("""COMPUTED_VALUE"""),"nemovitosti.blesk.cz")</f>
        <v>nemovitosti.blesk.cz</v>
      </c>
      <c r="D881" s="4" t="str">
        <f ca="1">IFERROR(__xludf.DUMMYFUNCTION("""COMPUTED_VALUE"""),"https://nemovitosti.blesk.cz")</f>
        <v>https://nemovitosti.blesk.cz</v>
      </c>
      <c r="E881" s="3" t="str">
        <f ca="1">IFERROR(__xludf.DUMMYFUNCTION("""COMPUTED_VALUE"""),"celý web")</f>
        <v>celý web</v>
      </c>
      <c r="F881" s="4" t="str">
        <f ca="1">IFERROR(__xludf.DUMMYFUNCTION("""COMPUTED_VALUE"""),"https://nemovitosti.blesk.cz")</f>
        <v>https://nemovitosti.blesk.cz</v>
      </c>
      <c r="G881" s="3" t="str">
        <f ca="1">IFERROR(__xludf.DUMMYFUNCTION("""COMPUTED_VALUE"""),"cílený nativní pr premium high season")</f>
        <v>cílený nativní pr premium high season</v>
      </c>
      <c r="H881" s="3">
        <f ca="1">IFERROR(__xludf.DUMMYFUNCTION("""COMPUTED_VALUE"""),7)</f>
        <v>7</v>
      </c>
      <c r="I881" s="5">
        <f ca="1">IFERROR(__xludf.DUMMYFUNCTION("""COMPUTED_VALUE"""),1000)</f>
        <v>1000</v>
      </c>
      <c r="J881" s="5">
        <f ca="1">IFERROR(__xludf.DUMMYFUNCTION("""COMPUTED_VALUE"""),216)</f>
        <v>216</v>
      </c>
      <c r="K881" s="3"/>
      <c r="L881" s="3" t="str">
        <f ca="1">IFERROR(__xludf.DUMMYFUNCTION("""COMPUTED_VALUE"""),"Cost per period")</f>
        <v>Cost per period</v>
      </c>
      <c r="M881" s="3"/>
      <c r="N881" s="3"/>
      <c r="O881" s="3" t="str">
        <f ca="1">IFERROR(__xludf.DUMMYFUNCTION("""COMPUTED_VALUE"""),"640")</f>
        <v>640</v>
      </c>
      <c r="P881" s="3" t="str">
        <f ca="1">IFERROR(__xludf.DUMMYFUNCTION("""COMPUTED_VALUE"""),"335, 640")</f>
        <v>335, 640</v>
      </c>
      <c r="Q881" s="3" t="str">
        <f ca="1">IFERROR(__xludf.DUMMYFUNCTION("""COMPUTED_VALUE"""),"640x640 a 640x335 + text + logo")</f>
        <v>640x640 a 640x335 + text + logo</v>
      </c>
      <c r="R881" s="3" t="str">
        <f ca="1">IFERROR(__xludf.DUMMYFUNCTION("""COMPUTED_VALUE"""),"detailní specifikace na URL odkaze")</f>
        <v>detailní specifikace na URL odkaze</v>
      </c>
      <c r="S881" s="3" t="str">
        <f ca="1">IFERROR(__xludf.DUMMYFUNCTION("""COMPUTED_VALUE"""),"100")</f>
        <v>100</v>
      </c>
      <c r="T881" s="3"/>
      <c r="U881" s="3" t="str">
        <f ca="1">IFERROR(__xludf.DUMMYFUNCTION("""COMPUTED_VALUE"""),"nativní reklama")</f>
        <v>nativní reklama</v>
      </c>
      <c r="V881" s="3"/>
      <c r="W881" s="4" t="str">
        <f ca="1">IFERROR(__xludf.DUMMYFUNCTION("""COMPUTED_VALUE"""),"https://reklama.cncenter.cz/Online/nativni-PR-premium")</f>
        <v>https://reklama.cncenter.cz/Online/nativni-PR-premium</v>
      </c>
      <c r="X881" s="3"/>
      <c r="Y881" s="3"/>
      <c r="Z881" s="3" t="str">
        <f ca="1">IFERROR(__xludf.DUMMYFUNCTION("""COMPUTED_VALUE"""),"podklady@cncenter.cz")</f>
        <v>podklady@cncenter.cz</v>
      </c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 t="str">
        <f ca="1">IFERROR(__xludf.DUMMYFUNCTION("""COMPUTED_VALUE"""),"cross-device")</f>
        <v>cross-device</v>
      </c>
      <c r="AO881" s="3"/>
      <c r="AP881" s="3"/>
      <c r="AQ881" s="3"/>
      <c r="AR881" s="3"/>
      <c r="AS881" s="3"/>
      <c r="AT881" s="3"/>
      <c r="AU881" s="3" t="str">
        <f ca="1">IFERROR(__xludf.DUMMYFUNCTION("""COMPUTED_VALUE"""),"cílený nativní pr premium")</f>
        <v>cílený nativní pr premium</v>
      </c>
    </row>
    <row r="882" spans="1:47" x14ac:dyDescent="0.3">
      <c r="A882" s="3">
        <f ca="1"/>
        <v>2346826</v>
      </c>
      <c r="B882" s="3" t="str">
        <f ca="1"/>
        <v>CZECH NEWS CENTER a. s.</v>
      </c>
      <c r="C882" s="4" t="str">
        <f ca="1">IFERROR(__xludf.DUMMYFUNCTION("""COMPUTED_VALUE"""),"nemovitosti.blesk.cz")</f>
        <v>nemovitosti.blesk.cz</v>
      </c>
      <c r="D882" s="4" t="str">
        <f ca="1">IFERROR(__xludf.DUMMYFUNCTION("""COMPUTED_VALUE"""),"https://nemovitosti.blesk.cz")</f>
        <v>https://nemovitosti.blesk.cz</v>
      </c>
      <c r="E882" s="3" t="str">
        <f ca="1">IFERROR(__xludf.DUMMYFUNCTION("""COMPUTED_VALUE"""),"celý web")</f>
        <v>celý web</v>
      </c>
      <c r="F882" s="4" t="str">
        <f ca="1">IFERROR(__xludf.DUMMYFUNCTION("""COMPUTED_VALUE"""),"https://nemovitosti.blesk.cz")</f>
        <v>https://nemovitosti.blesk.cz</v>
      </c>
      <c r="G882" s="3" t="str">
        <f ca="1">IFERROR(__xludf.DUMMYFUNCTION("""COMPUTED_VALUE"""),"cílený nativní rectangle cross-device high season")</f>
        <v>cílený nativní rectangle cross-device high season</v>
      </c>
      <c r="H882" s="3">
        <f ca="1">IFERROR(__xludf.DUMMYFUNCTION("""COMPUTED_VALUE"""),7)</f>
        <v>7</v>
      </c>
      <c r="I882" s="5">
        <f ca="1">IFERROR(__xludf.DUMMYFUNCTION("""COMPUTED_VALUE"""),1000)</f>
        <v>1000</v>
      </c>
      <c r="J882" s="5">
        <f ca="1">IFERROR(__xludf.DUMMYFUNCTION("""COMPUTED_VALUE"""),432)</f>
        <v>432</v>
      </c>
      <c r="K882" s="3"/>
      <c r="L882" s="3" t="str">
        <f ca="1">IFERROR(__xludf.DUMMYFUNCTION("""COMPUTED_VALUE"""),"Cost per period")</f>
        <v>Cost per period</v>
      </c>
      <c r="M882" s="3"/>
      <c r="N882" s="3"/>
      <c r="O882" s="3" t="str">
        <f ca="1">IFERROR(__xludf.DUMMYFUNCTION("""COMPUTED_VALUE"""),"640")</f>
        <v>640</v>
      </c>
      <c r="P882" s="3" t="str">
        <f ca="1">IFERROR(__xludf.DUMMYFUNCTION("""COMPUTED_VALUE"""),"335, 640")</f>
        <v>335, 640</v>
      </c>
      <c r="Q882" s="3" t="str">
        <f ca="1">IFERROR(__xludf.DUMMYFUNCTION("""COMPUTED_VALUE"""),"640x640 a 640x335 + text + logo")</f>
        <v>640x640 a 640x335 + text + logo</v>
      </c>
      <c r="R882" s="3"/>
      <c r="S882" s="3" t="str">
        <f ca="1">IFERROR(__xludf.DUMMYFUNCTION("""COMPUTED_VALUE"""),"45")</f>
        <v>45</v>
      </c>
      <c r="T882" s="3"/>
      <c r="U882" s="3" t="str">
        <f ca="1">IFERROR(__xludf.DUMMYFUNCTION("""COMPUTED_VALUE"""),"nativní reklama")</f>
        <v>nativní reklama</v>
      </c>
      <c r="V882" s="3"/>
      <c r="W882" s="4" t="str">
        <f ca="1">IFERROR(__xludf.DUMMYFUNCTION("""COMPUTED_VALUE"""),"https://reklama.cncenter.cz/Online/nativni-rectangle-cross-device")</f>
        <v>https://reklama.cncenter.cz/Online/nativni-rectangle-cross-device</v>
      </c>
      <c r="X882" s="3"/>
      <c r="Y882" s="3"/>
      <c r="Z882" s="3" t="str">
        <f ca="1">IFERROR(__xludf.DUMMYFUNCTION("""COMPUTED_VALUE"""),"podklady@cncenter.cz")</f>
        <v>podklady@cncenter.cz</v>
      </c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 t="str">
        <f ca="1">IFERROR(__xludf.DUMMYFUNCTION("""COMPUTED_VALUE"""),"cross-device")</f>
        <v>cross-device</v>
      </c>
      <c r="AO882" s="3"/>
      <c r="AP882" s="3"/>
      <c r="AQ882" s="3"/>
      <c r="AR882" s="3"/>
      <c r="AS882" s="3"/>
      <c r="AT882" s="3"/>
      <c r="AU882" s="3" t="str">
        <f ca="1">IFERROR(__xludf.DUMMYFUNCTION("""COMPUTED_VALUE"""),"cílený nativní rectangle cross-device")</f>
        <v>cílený nativní rectangle cross-device</v>
      </c>
    </row>
    <row r="883" spans="1:47" x14ac:dyDescent="0.3">
      <c r="A883" s="3">
        <f ca="1"/>
        <v>2346826</v>
      </c>
      <c r="B883" s="3" t="str">
        <f ca="1"/>
        <v>CZECH NEWS CENTER a. s.</v>
      </c>
      <c r="C883" s="4" t="str">
        <f ca="1">IFERROR(__xludf.DUMMYFUNCTION("""COMPUTED_VALUE"""),"nemovitosti.blesk.cz")</f>
        <v>nemovitosti.blesk.cz</v>
      </c>
      <c r="D883" s="4" t="str">
        <f ca="1">IFERROR(__xludf.DUMMYFUNCTION("""COMPUTED_VALUE"""),"https://nemovitosti.blesk.cz")</f>
        <v>https://nemovitosti.blesk.cz</v>
      </c>
      <c r="E883" s="3" t="str">
        <f ca="1">IFERROR(__xludf.DUMMYFUNCTION("""COMPUTED_VALUE"""),"celý web")</f>
        <v>celý web</v>
      </c>
      <c r="F883" s="4" t="str">
        <f ca="1">IFERROR(__xludf.DUMMYFUNCTION("""COMPUTED_VALUE"""),"https://nemovitosti.blesk.cz")</f>
        <v>https://nemovitosti.blesk.cz</v>
      </c>
      <c r="G883" s="3" t="str">
        <f ca="1">IFERROR(__xludf.DUMMYFUNCTION("""COMPUTED_VALUE"""),"cílený outstream high season")</f>
        <v>cílený outstream high season</v>
      </c>
      <c r="H883" s="3">
        <f ca="1">IFERROR(__xludf.DUMMYFUNCTION("""COMPUTED_VALUE"""),7)</f>
        <v>7</v>
      </c>
      <c r="I883" s="5">
        <f ca="1">IFERROR(__xludf.DUMMYFUNCTION("""COMPUTED_VALUE"""),1000)</f>
        <v>1000</v>
      </c>
      <c r="J883" s="5">
        <f ca="1">IFERROR(__xludf.DUMMYFUNCTION("""COMPUTED_VALUE"""),540)</f>
        <v>540</v>
      </c>
      <c r="K883" s="3"/>
      <c r="L883" s="3" t="str">
        <f ca="1">IFERROR(__xludf.DUMMYFUNCTION("""COMPUTED_VALUE"""),"Cost per period")</f>
        <v>Cost per period</v>
      </c>
      <c r="M883" s="3"/>
      <c r="N883" s="3"/>
      <c r="O883" s="3" t="str">
        <f ca="1">IFERROR(__xludf.DUMMYFUNCTION("""COMPUTED_VALUE"""),"1280")</f>
        <v>1280</v>
      </c>
      <c r="P883" s="3" t="str">
        <f ca="1">IFERROR(__xludf.DUMMYFUNCTION("""COMPUTED_VALUE"""),"720")</f>
        <v>720</v>
      </c>
      <c r="Q883" s="3" t="str">
        <f ca="1">IFERROR(__xludf.DUMMYFUNCTION("""COMPUTED_VALUE"""),"16:9")</f>
        <v>16:9</v>
      </c>
      <c r="R883" s="3"/>
      <c r="S883" s="3" t="str">
        <f ca="1">IFERROR(__xludf.DUMMYFUNCTION("""COMPUTED_VALUE"""),"100")</f>
        <v>100</v>
      </c>
      <c r="T883" s="3"/>
      <c r="U883" s="3" t="str">
        <f ca="1">IFERROR(__xludf.DUMMYFUNCTION("""COMPUTED_VALUE"""),"videospot")</f>
        <v>videospot</v>
      </c>
      <c r="V883" s="3"/>
      <c r="W883" s="4" t="str">
        <f ca="1">IFERROR(__xludf.DUMMYFUNCTION("""COMPUTED_VALUE"""),"https://reklama.cncenter.cz/Online/Outstream")</f>
        <v>https://reklama.cncenter.cz/Online/Outstream</v>
      </c>
      <c r="X883" s="3"/>
      <c r="Y883" s="3"/>
      <c r="Z883" s="3" t="str">
        <f ca="1">IFERROR(__xludf.DUMMYFUNCTION("""COMPUTED_VALUE"""),"podklady@cncenter.cz")</f>
        <v>podklady@cncenter.cz</v>
      </c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 t="str">
        <f ca="1">IFERROR(__xludf.DUMMYFUNCTION("""COMPUTED_VALUE"""),"cross-device")</f>
        <v>cross-device</v>
      </c>
      <c r="AO883" s="3"/>
      <c r="AP883" s="3"/>
      <c r="AQ883" s="3"/>
      <c r="AR883" s="3"/>
      <c r="AS883" s="3"/>
      <c r="AT883" s="3"/>
      <c r="AU883" s="3" t="str">
        <f ca="1">IFERROR(__xludf.DUMMYFUNCTION("""COMPUTED_VALUE"""),"cílený outstream")</f>
        <v>cílený outstream</v>
      </c>
    </row>
    <row r="884" spans="1:47" x14ac:dyDescent="0.3">
      <c r="A884" s="3">
        <f ca="1"/>
        <v>2346826</v>
      </c>
      <c r="B884" s="3" t="str">
        <f ca="1"/>
        <v>CZECH NEWS CENTER a. s.</v>
      </c>
      <c r="C884" s="4" t="str">
        <f ca="1">IFERROR(__xludf.DUMMYFUNCTION("""COMPUTED_VALUE"""),"nemovitosti.blesk.cz")</f>
        <v>nemovitosti.blesk.cz</v>
      </c>
      <c r="D884" s="4" t="str">
        <f ca="1">IFERROR(__xludf.DUMMYFUNCTION("""COMPUTED_VALUE"""),"https://nemovitosti.blesk.cz")</f>
        <v>https://nemovitosti.blesk.cz</v>
      </c>
      <c r="E884" s="3" t="str">
        <f ca="1">IFERROR(__xludf.DUMMYFUNCTION("""COMPUTED_VALUE"""),"celý web")</f>
        <v>celý web</v>
      </c>
      <c r="F884" s="4" t="str">
        <f ca="1">IFERROR(__xludf.DUMMYFUNCTION("""COMPUTED_VALUE"""),"https://nemovitosti.blesk.cz")</f>
        <v>https://nemovitosti.blesk.cz</v>
      </c>
      <c r="G884" s="3" t="str">
        <f ca="1">IFERROR(__xludf.DUMMYFUNCTION("""COMPUTED_VALUE"""),"dokoupení proma o 2 týdny - 10 000 PV *** high season")</f>
        <v>dokoupení proma o 2 týdny - 10 000 PV *** high season</v>
      </c>
      <c r="H884" s="3">
        <f ca="1">IFERROR(__xludf.DUMMYFUNCTION("""COMPUTED_VALUE"""),1)</f>
        <v>1</v>
      </c>
      <c r="I884" s="5">
        <f ca="1">IFERROR(__xludf.DUMMYFUNCTION("""COMPUTED_VALUE"""),1)</f>
        <v>1</v>
      </c>
      <c r="J884" s="5">
        <f ca="1">IFERROR(__xludf.DUMMYFUNCTION("""COMPUTED_VALUE"""),60000)</f>
        <v>60000</v>
      </c>
      <c r="K884" s="3"/>
      <c r="L884" s="3" t="str">
        <f ca="1">IFERROR(__xludf.DUMMYFUNCTION("""COMPUTED_VALUE"""),"Cost per instance")</f>
        <v>Cost per instance</v>
      </c>
      <c r="M884" s="3"/>
      <c r="N884" s="3"/>
      <c r="O884" s="3"/>
      <c r="P884" s="3"/>
      <c r="Q884" s="3"/>
      <c r="R884" s="3"/>
      <c r="S884" s="3" t="str">
        <f ca="1">IFERROR(__xludf.DUMMYFUNCTION("""COMPUTED_VALUE"""),"100")</f>
        <v>100</v>
      </c>
      <c r="T884" s="3"/>
      <c r="U884" s="3" t="str">
        <f ca="1">IFERROR(__xludf.DUMMYFUNCTION("""COMPUTED_VALUE"""),"microsite")</f>
        <v>microsite</v>
      </c>
      <c r="V884" s="3"/>
      <c r="W884" s="3"/>
      <c r="X884" s="3"/>
      <c r="Y884" s="3"/>
      <c r="Z884" s="3" t="str">
        <f ca="1">IFERROR(__xludf.DUMMYFUNCTION("""COMPUTED_VALUE"""),"podklady@cncenter.cz")</f>
        <v>podklady@cncenter.cz</v>
      </c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 t="str">
        <f ca="1">IFERROR(__xludf.DUMMYFUNCTION("""COMPUTED_VALUE"""),"cross-device")</f>
        <v>cross-device</v>
      </c>
      <c r="AO884" s="3"/>
      <c r="AP884" s="3"/>
      <c r="AQ884" s="3"/>
      <c r="AR884" s="3"/>
      <c r="AS884" s="3"/>
      <c r="AT884" s="3"/>
      <c r="AU884" s="3" t="str">
        <f ca="1">IFERROR(__xludf.DUMMYFUNCTION("""COMPUTED_VALUE"""),"dokoupení proma o 2 týdny - 10 000 PV ***")</f>
        <v>dokoupení proma o 2 týdny - 10 000 PV ***</v>
      </c>
    </row>
    <row r="885" spans="1:47" x14ac:dyDescent="0.3">
      <c r="A885" s="3">
        <f ca="1"/>
        <v>2346826</v>
      </c>
      <c r="B885" s="3" t="str">
        <f ca="1"/>
        <v>CZECH NEWS CENTER a. s.</v>
      </c>
      <c r="C885" s="4" t="str">
        <f ca="1">IFERROR(__xludf.DUMMYFUNCTION("""COMPUTED_VALUE"""),"nemovitosti.blesk.cz")</f>
        <v>nemovitosti.blesk.cz</v>
      </c>
      <c r="D885" s="4" t="str">
        <f ca="1">IFERROR(__xludf.DUMMYFUNCTION("""COMPUTED_VALUE"""),"https://nemovitosti.blesk.cz")</f>
        <v>https://nemovitosti.blesk.cz</v>
      </c>
      <c r="E885" s="3" t="str">
        <f ca="1">IFERROR(__xludf.DUMMYFUNCTION("""COMPUTED_VALUE"""),"celý web")</f>
        <v>celý web</v>
      </c>
      <c r="F885" s="4" t="str">
        <f ca="1">IFERROR(__xludf.DUMMYFUNCTION("""COMPUTED_VALUE"""),"https://nemovitosti.blesk.cz")</f>
        <v>https://nemovitosti.blesk.cz</v>
      </c>
      <c r="G885" s="3" t="str">
        <f ca="1">IFERROR(__xludf.DUMMYFUNCTION("""COMPUTED_VALUE"""),"double skyscraper high season")</f>
        <v>double skyscraper high season</v>
      </c>
      <c r="H885" s="3">
        <f ca="1">IFERROR(__xludf.DUMMYFUNCTION("""COMPUTED_VALUE"""),7)</f>
        <v>7</v>
      </c>
      <c r="I885" s="5">
        <f ca="1">IFERROR(__xludf.DUMMYFUNCTION("""COMPUTED_VALUE"""),1000)</f>
        <v>1000</v>
      </c>
      <c r="J885" s="5">
        <f ca="1">IFERROR(__xludf.DUMMYFUNCTION("""COMPUTED_VALUE"""),350)</f>
        <v>350</v>
      </c>
      <c r="K885" s="3"/>
      <c r="L885" s="3" t="str">
        <f ca="1">IFERROR(__xludf.DUMMYFUNCTION("""COMPUTED_VALUE"""),"Cost per period")</f>
        <v>Cost per period</v>
      </c>
      <c r="M885" s="3"/>
      <c r="N885" s="3"/>
      <c r="O885" s="3" t="str">
        <f ca="1">IFERROR(__xludf.DUMMYFUNCTION("""COMPUTED_VALUE"""),"300")</f>
        <v>300</v>
      </c>
      <c r="P885" s="3" t="str">
        <f ca="1">IFERROR(__xludf.DUMMYFUNCTION("""COMPUTED_VALUE"""),"600")</f>
        <v>600</v>
      </c>
      <c r="Q885" s="3" t="str">
        <f ca="1">IFERROR(__xludf.DUMMYFUNCTION("""COMPUTED_VALUE"""),"300x600")</f>
        <v>300x600</v>
      </c>
      <c r="R885" s="3"/>
      <c r="S885" s="3" t="str">
        <f ca="1">IFERROR(__xludf.DUMMYFUNCTION("""COMPUTED_VALUE"""),"100 (200 - HTML5)")</f>
        <v>100 (200 - HTML5)</v>
      </c>
      <c r="T885" s="3"/>
      <c r="U885" s="3" t="str">
        <f ca="1">IFERROR(__xludf.DUMMYFUNCTION("""COMPUTED_VALUE"""),"banner standard")</f>
        <v>banner standard</v>
      </c>
      <c r="V885" s="3"/>
      <c r="W885" s="4" t="str">
        <f ca="1">IFERROR(__xludf.DUMMYFUNCTION("""COMPUTED_VALUE"""),"https://reklama.cncenter.cz/Online/double-skyscraper")</f>
        <v>https://reklama.cncenter.cz/Online/double-skyscraper</v>
      </c>
      <c r="X885" s="3"/>
      <c r="Y885" s="3"/>
      <c r="Z885" s="3" t="str">
        <f ca="1">IFERROR(__xludf.DUMMYFUNCTION("""COMPUTED_VALUE"""),"podklady@cncenter.cz")</f>
        <v>podklady@cncenter.cz</v>
      </c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 t="str">
        <f ca="1">IFERROR(__xludf.DUMMYFUNCTION("""COMPUTED_VALUE"""),"desktop")</f>
        <v>desktop</v>
      </c>
      <c r="AO885" s="3"/>
      <c r="AP885" s="3"/>
      <c r="AQ885" s="3"/>
      <c r="AR885" s="3"/>
      <c r="AS885" s="3"/>
      <c r="AT885" s="3"/>
      <c r="AU885" s="3" t="str">
        <f ca="1">IFERROR(__xludf.DUMMYFUNCTION("""COMPUTED_VALUE"""),"double skyscraper")</f>
        <v>double skyscraper</v>
      </c>
    </row>
    <row r="886" spans="1:47" x14ac:dyDescent="0.3">
      <c r="A886" s="3">
        <f ca="1"/>
        <v>2346826</v>
      </c>
      <c r="B886" s="3" t="str">
        <f ca="1"/>
        <v>CZECH NEWS CENTER a. s.</v>
      </c>
      <c r="C886" s="4" t="str">
        <f ca="1">IFERROR(__xludf.DUMMYFUNCTION("""COMPUTED_VALUE"""),"nemovitosti.blesk.cz")</f>
        <v>nemovitosti.blesk.cz</v>
      </c>
      <c r="D886" s="4" t="str">
        <f ca="1">IFERROR(__xludf.DUMMYFUNCTION("""COMPUTED_VALUE"""),"https://nemovitosti.blesk.cz")</f>
        <v>https://nemovitosti.blesk.cz</v>
      </c>
      <c r="E886" s="3" t="str">
        <f ca="1">IFERROR(__xludf.DUMMYFUNCTION("""COMPUTED_VALUE"""),"celý web")</f>
        <v>celý web</v>
      </c>
      <c r="F886" s="4" t="str">
        <f ca="1">IFERROR(__xludf.DUMMYFUNCTION("""COMPUTED_VALUE"""),"https://nemovitosti.blesk.cz")</f>
        <v>https://nemovitosti.blesk.cz</v>
      </c>
      <c r="G886" s="3" t="str">
        <f ca="1">IFERROR(__xludf.DUMMYFUNCTION("""COMPUTED_VALUE"""),"mobilní interscroller high season")</f>
        <v>mobilní interscroller high season</v>
      </c>
      <c r="H886" s="3">
        <f ca="1">IFERROR(__xludf.DUMMYFUNCTION("""COMPUTED_VALUE"""),7)</f>
        <v>7</v>
      </c>
      <c r="I886" s="5">
        <f ca="1">IFERROR(__xludf.DUMMYFUNCTION("""COMPUTED_VALUE"""),1000)</f>
        <v>1000</v>
      </c>
      <c r="J886" s="5">
        <f ca="1">IFERROR(__xludf.DUMMYFUNCTION("""COMPUTED_VALUE"""),450)</f>
        <v>450</v>
      </c>
      <c r="K886" s="3"/>
      <c r="L886" s="3" t="str">
        <f ca="1">IFERROR(__xludf.DUMMYFUNCTION("""COMPUTED_VALUE"""),"Cost per period")</f>
        <v>Cost per period</v>
      </c>
      <c r="M886" s="3"/>
      <c r="N886" s="3"/>
      <c r="O886" s="3" t="str">
        <f ca="1">IFERROR(__xludf.DUMMYFUNCTION("""COMPUTED_VALUE"""),"600")</f>
        <v>600</v>
      </c>
      <c r="P886" s="3" t="str">
        <f ca="1">IFERROR(__xludf.DUMMYFUNCTION("""COMPUTED_VALUE"""),"1080")</f>
        <v>1080</v>
      </c>
      <c r="Q886" s="3" t="str">
        <f ca="1">IFERROR(__xludf.DUMMYFUNCTION("""COMPUTED_VALUE"""),"600x1080")</f>
        <v>600x1080</v>
      </c>
      <c r="R886" s="3"/>
      <c r="S886" s="3" t="str">
        <f ca="1">IFERROR(__xludf.DUMMYFUNCTION("""COMPUTED_VALUE"""),"200")</f>
        <v>200</v>
      </c>
      <c r="T886" s="3"/>
      <c r="U886" s="3" t="str">
        <f ca="1">IFERROR(__xludf.DUMMYFUNCTION("""COMPUTED_VALUE"""),"banner standard")</f>
        <v>banner standard</v>
      </c>
      <c r="V886" s="3"/>
      <c r="W886" s="4" t="str">
        <f ca="1">IFERROR(__xludf.DUMMYFUNCTION("""COMPUTED_VALUE"""),"https://reklama.cncenter.cz/Online/mobilni-interscroller")</f>
        <v>https://reklama.cncenter.cz/Online/mobilni-interscroller</v>
      </c>
      <c r="X886" s="3"/>
      <c r="Y886" s="3"/>
      <c r="Z886" s="3" t="str">
        <f ca="1">IFERROR(__xludf.DUMMYFUNCTION("""COMPUTED_VALUE"""),"podklady@cncenter.cz")</f>
        <v>podklady@cncenter.cz</v>
      </c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 t="str">
        <f ca="1">IFERROR(__xludf.DUMMYFUNCTION("""COMPUTED_VALUE"""),"mobile")</f>
        <v>mobile</v>
      </c>
      <c r="AO886" s="3"/>
      <c r="AP886" s="3"/>
      <c r="AQ886" s="3"/>
      <c r="AR886" s="3"/>
      <c r="AS886" s="3"/>
      <c r="AT886" s="3"/>
      <c r="AU886" s="3" t="str">
        <f ca="1">IFERROR(__xludf.DUMMYFUNCTION("""COMPUTED_VALUE"""),"mobilní interscroller")</f>
        <v>mobilní interscroller</v>
      </c>
    </row>
    <row r="887" spans="1:47" x14ac:dyDescent="0.3">
      <c r="A887" s="3">
        <f ca="1"/>
        <v>2346826</v>
      </c>
      <c r="B887" s="3" t="str">
        <f ca="1"/>
        <v>CZECH NEWS CENTER a. s.</v>
      </c>
      <c r="C887" s="4" t="str">
        <f ca="1">IFERROR(__xludf.DUMMYFUNCTION("""COMPUTED_VALUE"""),"nemovitosti.blesk.cz")</f>
        <v>nemovitosti.blesk.cz</v>
      </c>
      <c r="D887" s="4" t="str">
        <f ca="1">IFERROR(__xludf.DUMMYFUNCTION("""COMPUTED_VALUE"""),"https://nemovitosti.blesk.cz")</f>
        <v>https://nemovitosti.blesk.cz</v>
      </c>
      <c r="E887" s="3" t="str">
        <f ca="1">IFERROR(__xludf.DUMMYFUNCTION("""COMPUTED_VALUE"""),"celý web")</f>
        <v>celý web</v>
      </c>
      <c r="F887" s="4" t="str">
        <f ca="1">IFERROR(__xludf.DUMMYFUNCTION("""COMPUTED_VALUE"""),"https://nemovitosti.blesk.cz")</f>
        <v>https://nemovitosti.blesk.cz</v>
      </c>
      <c r="G887" s="3" t="str">
        <f ca="1">IFERROR(__xludf.DUMMYFUNCTION("""COMPUTED_VALUE"""),"Native Premium high season")</f>
        <v>Native Premium high season</v>
      </c>
      <c r="H887" s="3">
        <f ca="1">IFERROR(__xludf.DUMMYFUNCTION("""COMPUTED_VALUE"""),1)</f>
        <v>1</v>
      </c>
      <c r="I887" s="5">
        <f ca="1">IFERROR(__xludf.DUMMYFUNCTION("""COMPUTED_VALUE"""),1)</f>
        <v>1</v>
      </c>
      <c r="J887" s="5">
        <f ca="1">IFERROR(__xludf.DUMMYFUNCTION("""COMPUTED_VALUE"""),740000)</f>
        <v>740000</v>
      </c>
      <c r="K887" s="3"/>
      <c r="L887" s="3" t="str">
        <f ca="1">IFERROR(__xludf.DUMMYFUNCTION("""COMPUTED_VALUE"""),"Cost per instance")</f>
        <v>Cost per instance</v>
      </c>
      <c r="M887" s="3"/>
      <c r="N887" s="3"/>
      <c r="O887" s="3"/>
      <c r="P887" s="3"/>
      <c r="Q887" s="3"/>
      <c r="R887" s="3"/>
      <c r="S887" s="3" t="str">
        <f ca="1">IFERROR(__xludf.DUMMYFUNCTION("""COMPUTED_VALUE"""),"100")</f>
        <v>100</v>
      </c>
      <c r="T887" s="3"/>
      <c r="U887" s="3" t="str">
        <f ca="1">IFERROR(__xludf.DUMMYFUNCTION("""COMPUTED_VALUE"""),"microsite")</f>
        <v>microsite</v>
      </c>
      <c r="V887" s="3"/>
      <c r="W887" s="3"/>
      <c r="X887" s="3"/>
      <c r="Y887" s="3"/>
      <c r="Z887" s="3" t="str">
        <f ca="1">IFERROR(__xludf.DUMMYFUNCTION("""COMPUTED_VALUE"""),"podklady@cncenter.cz")</f>
        <v>podklady@cncenter.cz</v>
      </c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 t="str">
        <f ca="1">IFERROR(__xludf.DUMMYFUNCTION("""COMPUTED_VALUE"""),"cross-device")</f>
        <v>cross-device</v>
      </c>
      <c r="AO887" s="3"/>
      <c r="AP887" s="3"/>
      <c r="AQ887" s="3"/>
      <c r="AR887" s="3"/>
      <c r="AS887" s="3"/>
      <c r="AT887" s="3"/>
      <c r="AU887" s="3" t="str">
        <f ca="1">IFERROR(__xludf.DUMMYFUNCTION("""COMPUTED_VALUE"""),"Native Premium")</f>
        <v>Native Premium</v>
      </c>
    </row>
    <row r="888" spans="1:47" x14ac:dyDescent="0.3">
      <c r="A888" s="3">
        <f ca="1"/>
        <v>2346826</v>
      </c>
      <c r="B888" s="3" t="str">
        <f ca="1"/>
        <v>CZECH NEWS CENTER a. s.</v>
      </c>
      <c r="C888" s="4" t="str">
        <f ca="1">IFERROR(__xludf.DUMMYFUNCTION("""COMPUTED_VALUE"""),"nemovitosti.blesk.cz")</f>
        <v>nemovitosti.blesk.cz</v>
      </c>
      <c r="D888" s="4" t="str">
        <f ca="1">IFERROR(__xludf.DUMMYFUNCTION("""COMPUTED_VALUE"""),"https://nemovitosti.blesk.cz")</f>
        <v>https://nemovitosti.blesk.cz</v>
      </c>
      <c r="E888" s="3" t="str">
        <f ca="1">IFERROR(__xludf.DUMMYFUNCTION("""COMPUTED_VALUE"""),"celý web")</f>
        <v>celý web</v>
      </c>
      <c r="F888" s="4" t="str">
        <f ca="1">IFERROR(__xludf.DUMMYFUNCTION("""COMPUTED_VALUE"""),"https://nemovitosti.blesk.cz")</f>
        <v>https://nemovitosti.blesk.cz</v>
      </c>
      <c r="G888" s="3" t="str">
        <f ca="1">IFERROR(__xludf.DUMMYFUNCTION("""COMPUTED_VALUE"""),"Native Standard + high season")</f>
        <v>Native Standard + high season</v>
      </c>
      <c r="H888" s="3">
        <f ca="1">IFERROR(__xludf.DUMMYFUNCTION("""COMPUTED_VALUE"""),1)</f>
        <v>1</v>
      </c>
      <c r="I888" s="5">
        <f ca="1">IFERROR(__xludf.DUMMYFUNCTION("""COMPUTED_VALUE"""),1)</f>
        <v>1</v>
      </c>
      <c r="J888" s="5">
        <f ca="1">IFERROR(__xludf.DUMMYFUNCTION("""COMPUTED_VALUE"""),420000)</f>
        <v>420000</v>
      </c>
      <c r="K888" s="3"/>
      <c r="L888" s="3" t="str">
        <f ca="1">IFERROR(__xludf.DUMMYFUNCTION("""COMPUTED_VALUE"""),"Cost per instance")</f>
        <v>Cost per instance</v>
      </c>
      <c r="M888" s="3"/>
      <c r="N888" s="3"/>
      <c r="O888" s="3"/>
      <c r="P888" s="3"/>
      <c r="Q888" s="3"/>
      <c r="R888" s="3"/>
      <c r="S888" s="3" t="str">
        <f ca="1">IFERROR(__xludf.DUMMYFUNCTION("""COMPUTED_VALUE"""),"100")</f>
        <v>100</v>
      </c>
      <c r="T888" s="3"/>
      <c r="U888" s="3" t="str">
        <f ca="1">IFERROR(__xludf.DUMMYFUNCTION("""COMPUTED_VALUE"""),"microsite")</f>
        <v>microsite</v>
      </c>
      <c r="V888" s="3"/>
      <c r="W888" s="3"/>
      <c r="X888" s="3"/>
      <c r="Y888" s="3"/>
      <c r="Z888" s="3" t="str">
        <f ca="1">IFERROR(__xludf.DUMMYFUNCTION("""COMPUTED_VALUE"""),"podklady@cncenter.cz")</f>
        <v>podklady@cncenter.cz</v>
      </c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 t="str">
        <f ca="1">IFERROR(__xludf.DUMMYFUNCTION("""COMPUTED_VALUE"""),"cross-device")</f>
        <v>cross-device</v>
      </c>
      <c r="AO888" s="3"/>
      <c r="AP888" s="3"/>
      <c r="AQ888" s="3"/>
      <c r="AR888" s="3"/>
      <c r="AS888" s="3"/>
      <c r="AT888" s="3"/>
      <c r="AU888" s="3" t="str">
        <f ca="1">IFERROR(__xludf.DUMMYFUNCTION("""COMPUTED_VALUE"""),"Native Standard +")</f>
        <v>Native Standard +</v>
      </c>
    </row>
    <row r="889" spans="1:47" x14ac:dyDescent="0.3">
      <c r="A889" s="3">
        <f ca="1"/>
        <v>2346826</v>
      </c>
      <c r="B889" s="3" t="str">
        <f ca="1"/>
        <v>CZECH NEWS CENTER a. s.</v>
      </c>
      <c r="C889" s="4" t="str">
        <f ca="1">IFERROR(__xludf.DUMMYFUNCTION("""COMPUTED_VALUE"""),"nemovitosti.blesk.cz")</f>
        <v>nemovitosti.blesk.cz</v>
      </c>
      <c r="D889" s="4" t="str">
        <f ca="1">IFERROR(__xludf.DUMMYFUNCTION("""COMPUTED_VALUE"""),"https://nemovitosti.blesk.cz")</f>
        <v>https://nemovitosti.blesk.cz</v>
      </c>
      <c r="E889" s="3" t="str">
        <f ca="1">IFERROR(__xludf.DUMMYFUNCTION("""COMPUTED_VALUE"""),"celý web")</f>
        <v>celý web</v>
      </c>
      <c r="F889" s="4" t="str">
        <f ca="1">IFERROR(__xludf.DUMMYFUNCTION("""COMPUTED_VALUE"""),"https://nemovitosti.blesk.cz")</f>
        <v>https://nemovitosti.blesk.cz</v>
      </c>
      <c r="G889" s="3" t="str">
        <f ca="1">IFERROR(__xludf.DUMMYFUNCTION("""COMPUTED_VALUE"""),"Native Standard high season")</f>
        <v>Native Standard high season</v>
      </c>
      <c r="H889" s="3">
        <f ca="1">IFERROR(__xludf.DUMMYFUNCTION("""COMPUTED_VALUE"""),1)</f>
        <v>1</v>
      </c>
      <c r="I889" s="5">
        <f ca="1">IFERROR(__xludf.DUMMYFUNCTION("""COMPUTED_VALUE"""),1)</f>
        <v>1</v>
      </c>
      <c r="J889" s="5">
        <f ca="1">IFERROR(__xludf.DUMMYFUNCTION("""COMPUTED_VALUE"""),330000)</f>
        <v>330000</v>
      </c>
      <c r="K889" s="3"/>
      <c r="L889" s="3" t="str">
        <f ca="1">IFERROR(__xludf.DUMMYFUNCTION("""COMPUTED_VALUE"""),"Cost per instance")</f>
        <v>Cost per instance</v>
      </c>
      <c r="M889" s="3"/>
      <c r="N889" s="3"/>
      <c r="O889" s="3"/>
      <c r="P889" s="3"/>
      <c r="Q889" s="3"/>
      <c r="R889" s="3"/>
      <c r="S889" s="3" t="str">
        <f ca="1">IFERROR(__xludf.DUMMYFUNCTION("""COMPUTED_VALUE"""),"100")</f>
        <v>100</v>
      </c>
      <c r="T889" s="3"/>
      <c r="U889" s="3" t="str">
        <f ca="1">IFERROR(__xludf.DUMMYFUNCTION("""COMPUTED_VALUE"""),"microsite")</f>
        <v>microsite</v>
      </c>
      <c r="V889" s="3"/>
      <c r="W889" s="3"/>
      <c r="X889" s="3"/>
      <c r="Y889" s="3"/>
      <c r="Z889" s="3" t="str">
        <f ca="1">IFERROR(__xludf.DUMMYFUNCTION("""COMPUTED_VALUE"""),"podklady@cncenter.cz")</f>
        <v>podklady@cncenter.cz</v>
      </c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 t="str">
        <f ca="1">IFERROR(__xludf.DUMMYFUNCTION("""COMPUTED_VALUE"""),"cross-device")</f>
        <v>cross-device</v>
      </c>
      <c r="AO889" s="3"/>
      <c r="AP889" s="3"/>
      <c r="AQ889" s="3"/>
      <c r="AR889" s="3"/>
      <c r="AS889" s="3"/>
      <c r="AT889" s="3"/>
      <c r="AU889" s="3" t="str">
        <f ca="1">IFERROR(__xludf.DUMMYFUNCTION("""COMPUTED_VALUE"""),"Native Standard")</f>
        <v>Native Standard</v>
      </c>
    </row>
    <row r="890" spans="1:47" x14ac:dyDescent="0.3">
      <c r="A890" s="3">
        <f ca="1"/>
        <v>2346826</v>
      </c>
      <c r="B890" s="3" t="str">
        <f ca="1"/>
        <v>CZECH NEWS CENTER a. s.</v>
      </c>
      <c r="C890" s="4" t="str">
        <f ca="1">IFERROR(__xludf.DUMMYFUNCTION("""COMPUTED_VALUE"""),"nemovitosti.blesk.cz")</f>
        <v>nemovitosti.blesk.cz</v>
      </c>
      <c r="D890" s="4" t="str">
        <f ca="1">IFERROR(__xludf.DUMMYFUNCTION("""COMPUTED_VALUE"""),"https://nemovitosti.blesk.cz")</f>
        <v>https://nemovitosti.blesk.cz</v>
      </c>
      <c r="E890" s="3" t="str">
        <f ca="1">IFERROR(__xludf.DUMMYFUNCTION("""COMPUTED_VALUE"""),"celý web")</f>
        <v>celý web</v>
      </c>
      <c r="F890" s="4" t="str">
        <f ca="1">IFERROR(__xludf.DUMMYFUNCTION("""COMPUTED_VALUE"""),"https://nemovitosti.blesk.cz")</f>
        <v>https://nemovitosti.blesk.cz</v>
      </c>
      <c r="G890" s="3" t="str">
        <f ca="1">IFERROR(__xludf.DUMMYFUNCTION("""COMPUTED_VALUE"""),"nativní pr premium high season")</f>
        <v>nativní pr premium high season</v>
      </c>
      <c r="H890" s="3">
        <f ca="1">IFERROR(__xludf.DUMMYFUNCTION("""COMPUTED_VALUE"""),7)</f>
        <v>7</v>
      </c>
      <c r="I890" s="5">
        <f ca="1">IFERROR(__xludf.DUMMYFUNCTION("""COMPUTED_VALUE"""),1000)</f>
        <v>1000</v>
      </c>
      <c r="J890" s="5">
        <f ca="1">IFERROR(__xludf.DUMMYFUNCTION("""COMPUTED_VALUE"""),180)</f>
        <v>180</v>
      </c>
      <c r="K890" s="3"/>
      <c r="L890" s="3" t="str">
        <f ca="1">IFERROR(__xludf.DUMMYFUNCTION("""COMPUTED_VALUE"""),"Cost per period")</f>
        <v>Cost per period</v>
      </c>
      <c r="M890" s="3"/>
      <c r="N890" s="3"/>
      <c r="O890" s="3" t="str">
        <f ca="1">IFERROR(__xludf.DUMMYFUNCTION("""COMPUTED_VALUE"""),"640")</f>
        <v>640</v>
      </c>
      <c r="P890" s="3" t="str">
        <f ca="1">IFERROR(__xludf.DUMMYFUNCTION("""COMPUTED_VALUE"""),"335, 640")</f>
        <v>335, 640</v>
      </c>
      <c r="Q890" s="3" t="str">
        <f ca="1">IFERROR(__xludf.DUMMYFUNCTION("""COMPUTED_VALUE"""),"640x640 a 640x335 + text + logo")</f>
        <v>640x640 a 640x335 + text + logo</v>
      </c>
      <c r="R890" s="3" t="str">
        <f ca="1">IFERROR(__xludf.DUMMYFUNCTION("""COMPUTED_VALUE"""),"detailní specifikace na URL odkaze")</f>
        <v>detailní specifikace na URL odkaze</v>
      </c>
      <c r="S890" s="3" t="str">
        <f ca="1">IFERROR(__xludf.DUMMYFUNCTION("""COMPUTED_VALUE"""),"100")</f>
        <v>100</v>
      </c>
      <c r="T890" s="3"/>
      <c r="U890" s="3" t="str">
        <f ca="1">IFERROR(__xludf.DUMMYFUNCTION("""COMPUTED_VALUE"""),"nativní reklama")</f>
        <v>nativní reklama</v>
      </c>
      <c r="V890" s="3"/>
      <c r="W890" s="4" t="str">
        <f ca="1">IFERROR(__xludf.DUMMYFUNCTION("""COMPUTED_VALUE"""),"https://reklama.cncenter.cz/Online/nativni-PR-premium")</f>
        <v>https://reklama.cncenter.cz/Online/nativni-PR-premium</v>
      </c>
      <c r="X890" s="3"/>
      <c r="Y890" s="3"/>
      <c r="Z890" s="3" t="str">
        <f ca="1">IFERROR(__xludf.DUMMYFUNCTION("""COMPUTED_VALUE"""),"podklady@cncenter.cz")</f>
        <v>podklady@cncenter.cz</v>
      </c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 t="str">
        <f ca="1">IFERROR(__xludf.DUMMYFUNCTION("""COMPUTED_VALUE"""),"cross-device")</f>
        <v>cross-device</v>
      </c>
      <c r="AO890" s="3"/>
      <c r="AP890" s="3"/>
      <c r="AQ890" s="3"/>
      <c r="AR890" s="3"/>
      <c r="AS890" s="3"/>
      <c r="AT890" s="3"/>
      <c r="AU890" s="3" t="str">
        <f ca="1">IFERROR(__xludf.DUMMYFUNCTION("""COMPUTED_VALUE"""),"nativní pr premium")</f>
        <v>nativní pr premium</v>
      </c>
    </row>
    <row r="891" spans="1:47" x14ac:dyDescent="0.3">
      <c r="A891" s="3">
        <f ca="1"/>
        <v>2346826</v>
      </c>
      <c r="B891" s="3" t="str">
        <f ca="1"/>
        <v>CZECH NEWS CENTER a. s.</v>
      </c>
      <c r="C891" s="4" t="str">
        <f ca="1">IFERROR(__xludf.DUMMYFUNCTION("""COMPUTED_VALUE"""),"nemovitosti.blesk.cz")</f>
        <v>nemovitosti.blesk.cz</v>
      </c>
      <c r="D891" s="4" t="str">
        <f ca="1">IFERROR(__xludf.DUMMYFUNCTION("""COMPUTED_VALUE"""),"https://nemovitosti.blesk.cz")</f>
        <v>https://nemovitosti.blesk.cz</v>
      </c>
      <c r="E891" s="3" t="str">
        <f ca="1">IFERROR(__xludf.DUMMYFUNCTION("""COMPUTED_VALUE"""),"celý web")</f>
        <v>celý web</v>
      </c>
      <c r="F891" s="4" t="str">
        <f ca="1">IFERROR(__xludf.DUMMYFUNCTION("""COMPUTED_VALUE"""),"https://nemovitosti.blesk.cz")</f>
        <v>https://nemovitosti.blesk.cz</v>
      </c>
      <c r="G891" s="3" t="str">
        <f ca="1">IFERROR(__xludf.DUMMYFUNCTION("""COMPUTED_VALUE"""),"nativní rectangle cross-device high season")</f>
        <v>nativní rectangle cross-device high season</v>
      </c>
      <c r="H891" s="3">
        <f ca="1">IFERROR(__xludf.DUMMYFUNCTION("""COMPUTED_VALUE"""),7)</f>
        <v>7</v>
      </c>
      <c r="I891" s="5">
        <f ca="1">IFERROR(__xludf.DUMMYFUNCTION("""COMPUTED_VALUE"""),1000)</f>
        <v>1000</v>
      </c>
      <c r="J891" s="5">
        <f ca="1">IFERROR(__xludf.DUMMYFUNCTION("""COMPUTED_VALUE"""),360)</f>
        <v>360</v>
      </c>
      <c r="K891" s="3"/>
      <c r="L891" s="3" t="str">
        <f ca="1">IFERROR(__xludf.DUMMYFUNCTION("""COMPUTED_VALUE"""),"Cost per period")</f>
        <v>Cost per period</v>
      </c>
      <c r="M891" s="3"/>
      <c r="N891" s="3"/>
      <c r="O891" s="3" t="str">
        <f ca="1">IFERROR(__xludf.DUMMYFUNCTION("""COMPUTED_VALUE"""),"640")</f>
        <v>640</v>
      </c>
      <c r="P891" s="3" t="str">
        <f ca="1">IFERROR(__xludf.DUMMYFUNCTION("""COMPUTED_VALUE"""),"335, 640")</f>
        <v>335, 640</v>
      </c>
      <c r="Q891" s="3" t="str">
        <f ca="1">IFERROR(__xludf.DUMMYFUNCTION("""COMPUTED_VALUE"""),"640x640 a 640x335 + text + logo")</f>
        <v>640x640 a 640x335 + text + logo</v>
      </c>
      <c r="R891" s="3"/>
      <c r="S891" s="3" t="str">
        <f ca="1">IFERROR(__xludf.DUMMYFUNCTION("""COMPUTED_VALUE"""),"45")</f>
        <v>45</v>
      </c>
      <c r="T891" s="3"/>
      <c r="U891" s="3" t="str">
        <f ca="1">IFERROR(__xludf.DUMMYFUNCTION("""COMPUTED_VALUE"""),"nativní reklama")</f>
        <v>nativní reklama</v>
      </c>
      <c r="V891" s="3"/>
      <c r="W891" s="4" t="str">
        <f ca="1">IFERROR(__xludf.DUMMYFUNCTION("""COMPUTED_VALUE"""),"https://reklama.cncenter.cz/Online/nativni-rectangle-cross-device")</f>
        <v>https://reklama.cncenter.cz/Online/nativni-rectangle-cross-device</v>
      </c>
      <c r="X891" s="3"/>
      <c r="Y891" s="3"/>
      <c r="Z891" s="3" t="str">
        <f ca="1">IFERROR(__xludf.DUMMYFUNCTION("""COMPUTED_VALUE"""),"podklady@cncenter.cz")</f>
        <v>podklady@cncenter.cz</v>
      </c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 t="str">
        <f ca="1">IFERROR(__xludf.DUMMYFUNCTION("""COMPUTED_VALUE"""),"cross-device")</f>
        <v>cross-device</v>
      </c>
      <c r="AO891" s="3"/>
      <c r="AP891" s="3"/>
      <c r="AQ891" s="3"/>
      <c r="AR891" s="3"/>
      <c r="AS891" s="3"/>
      <c r="AT891" s="3"/>
      <c r="AU891" s="3" t="str">
        <f ca="1">IFERROR(__xludf.DUMMYFUNCTION("""COMPUTED_VALUE"""),"nativní rectangle cross-device")</f>
        <v>nativní rectangle cross-device</v>
      </c>
    </row>
    <row r="892" spans="1:47" x14ac:dyDescent="0.3">
      <c r="A892" s="3">
        <f ca="1"/>
        <v>2346826</v>
      </c>
      <c r="B892" s="3" t="str">
        <f ca="1"/>
        <v>CZECH NEWS CENTER a. s.</v>
      </c>
      <c r="C892" s="4" t="str">
        <f ca="1">IFERROR(__xludf.DUMMYFUNCTION("""COMPUTED_VALUE"""),"nemovitosti.blesk.cz")</f>
        <v>nemovitosti.blesk.cz</v>
      </c>
      <c r="D892" s="4" t="str">
        <f ca="1">IFERROR(__xludf.DUMMYFUNCTION("""COMPUTED_VALUE"""),"https://nemovitosti.blesk.cz")</f>
        <v>https://nemovitosti.blesk.cz</v>
      </c>
      <c r="E892" s="3" t="str">
        <f ca="1">IFERROR(__xludf.DUMMYFUNCTION("""COMPUTED_VALUE"""),"celý web")</f>
        <v>celý web</v>
      </c>
      <c r="F892" s="4" t="str">
        <f ca="1">IFERROR(__xludf.DUMMYFUNCTION("""COMPUTED_VALUE"""),"https://nemovitosti.blesk.cz")</f>
        <v>https://nemovitosti.blesk.cz</v>
      </c>
      <c r="G892" s="3" t="str">
        <f ca="1">IFERROR(__xludf.DUMMYFUNCTION("""COMPUTED_VALUE"""),"outstream high season")</f>
        <v>outstream high season</v>
      </c>
      <c r="H892" s="3">
        <f ca="1">IFERROR(__xludf.DUMMYFUNCTION("""COMPUTED_VALUE"""),7)</f>
        <v>7</v>
      </c>
      <c r="I892" s="5">
        <f ca="1">IFERROR(__xludf.DUMMYFUNCTION("""COMPUTED_VALUE"""),1000)</f>
        <v>1000</v>
      </c>
      <c r="J892" s="5">
        <f ca="1">IFERROR(__xludf.DUMMYFUNCTION("""COMPUTED_VALUE"""),450)</f>
        <v>450</v>
      </c>
      <c r="K892" s="3"/>
      <c r="L892" s="3" t="str">
        <f ca="1">IFERROR(__xludf.DUMMYFUNCTION("""COMPUTED_VALUE"""),"Cost per period")</f>
        <v>Cost per period</v>
      </c>
      <c r="M892" s="3"/>
      <c r="N892" s="3"/>
      <c r="O892" s="3" t="str">
        <f ca="1">IFERROR(__xludf.DUMMYFUNCTION("""COMPUTED_VALUE"""),"1280")</f>
        <v>1280</v>
      </c>
      <c r="P892" s="3" t="str">
        <f ca="1">IFERROR(__xludf.DUMMYFUNCTION("""COMPUTED_VALUE"""),"720")</f>
        <v>720</v>
      </c>
      <c r="Q892" s="3" t="str">
        <f ca="1">IFERROR(__xludf.DUMMYFUNCTION("""COMPUTED_VALUE"""),"16:9")</f>
        <v>16:9</v>
      </c>
      <c r="R892" s="3"/>
      <c r="S892" s="3" t="str">
        <f ca="1">IFERROR(__xludf.DUMMYFUNCTION("""COMPUTED_VALUE"""),"100")</f>
        <v>100</v>
      </c>
      <c r="T892" s="3"/>
      <c r="U892" s="3" t="str">
        <f ca="1">IFERROR(__xludf.DUMMYFUNCTION("""COMPUTED_VALUE"""),"videospot")</f>
        <v>videospot</v>
      </c>
      <c r="V892" s="3"/>
      <c r="W892" s="4" t="str">
        <f ca="1">IFERROR(__xludf.DUMMYFUNCTION("""COMPUTED_VALUE"""),"https://reklama.cncenter.cz/Online/Outstream")</f>
        <v>https://reklama.cncenter.cz/Online/Outstream</v>
      </c>
      <c r="X892" s="3"/>
      <c r="Y892" s="3"/>
      <c r="Z892" s="3" t="str">
        <f ca="1">IFERROR(__xludf.DUMMYFUNCTION("""COMPUTED_VALUE"""),"podklady@cncenter.cz")</f>
        <v>podklady@cncenter.cz</v>
      </c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 t="str">
        <f ca="1">IFERROR(__xludf.DUMMYFUNCTION("""COMPUTED_VALUE"""),"cross-device")</f>
        <v>cross-device</v>
      </c>
      <c r="AO892" s="3"/>
      <c r="AP892" s="3"/>
      <c r="AQ892" s="3"/>
      <c r="AR892" s="3"/>
      <c r="AS892" s="3"/>
      <c r="AT892" s="3"/>
      <c r="AU892" s="3" t="str">
        <f ca="1">IFERROR(__xludf.DUMMYFUNCTION("""COMPUTED_VALUE"""),"outstream")</f>
        <v>outstream</v>
      </c>
    </row>
    <row r="893" spans="1:47" x14ac:dyDescent="0.3">
      <c r="A893" s="3">
        <f ca="1"/>
        <v>2346826</v>
      </c>
      <c r="B893" s="3" t="str">
        <f ca="1"/>
        <v>CZECH NEWS CENTER a. s.</v>
      </c>
      <c r="C893" s="4" t="str">
        <f ca="1">IFERROR(__xludf.DUMMYFUNCTION("""COMPUTED_VALUE"""),"nemovitosti.blesk.cz")</f>
        <v>nemovitosti.blesk.cz</v>
      </c>
      <c r="D893" s="4" t="str">
        <f ca="1">IFERROR(__xludf.DUMMYFUNCTION("""COMPUTED_VALUE"""),"https://nemovitosti.blesk.cz")</f>
        <v>https://nemovitosti.blesk.cz</v>
      </c>
      <c r="E893" s="3" t="str">
        <f ca="1">IFERROR(__xludf.DUMMYFUNCTION("""COMPUTED_VALUE"""),"celý web")</f>
        <v>celý web</v>
      </c>
      <c r="F893" s="4" t="str">
        <f ca="1">IFERROR(__xludf.DUMMYFUNCTION("""COMPUTED_VALUE"""),"https://nemovitosti.blesk.cz")</f>
        <v>https://nemovitosti.blesk.cz</v>
      </c>
      <c r="G893" s="3" t="str">
        <f ca="1">IFERROR(__xludf.DUMMYFUNCTION("""COMPUTED_VALUE"""),"PR článek high season")</f>
        <v>PR článek high season</v>
      </c>
      <c r="H893" s="3">
        <f ca="1">IFERROR(__xludf.DUMMYFUNCTION("""COMPUTED_VALUE"""),1)</f>
        <v>1</v>
      </c>
      <c r="I893" s="5">
        <f ca="1">IFERROR(__xludf.DUMMYFUNCTION("""COMPUTED_VALUE"""),1)</f>
        <v>1</v>
      </c>
      <c r="J893" s="5">
        <f ca="1">IFERROR(__xludf.DUMMYFUNCTION("""COMPUTED_VALUE"""),33000)</f>
        <v>33000</v>
      </c>
      <c r="K893" s="3"/>
      <c r="L893" s="3" t="str">
        <f ca="1">IFERROR(__xludf.DUMMYFUNCTION("""COMPUTED_VALUE"""),"Cost per instance")</f>
        <v>Cost per instance</v>
      </c>
      <c r="M893" s="3"/>
      <c r="N893" s="3"/>
      <c r="O893" s="3"/>
      <c r="P893" s="3"/>
      <c r="Q893" s="3"/>
      <c r="R893" s="3"/>
      <c r="S893" s="3" t="str">
        <f ca="1">IFERROR(__xludf.DUMMYFUNCTION("""COMPUTED_VALUE"""),"100")</f>
        <v>100</v>
      </c>
      <c r="T893" s="3"/>
      <c r="U893" s="3" t="str">
        <f ca="1">IFERROR(__xludf.DUMMYFUNCTION("""COMPUTED_VALUE"""),"pr článek")</f>
        <v>pr článek</v>
      </c>
      <c r="V893" s="3"/>
      <c r="W893" s="4" t="str">
        <f ca="1">IFERROR(__xludf.DUMMYFUNCTION("""COMPUTED_VALUE"""),"https://reklama.cncenter.cz/?ads=PR%2520%25C4%258Dl%25C3%25A1nky")</f>
        <v>https://reklama.cncenter.cz/?ads=PR%2520%25C4%258Dl%25C3%25A1nky</v>
      </c>
      <c r="X893" s="3"/>
      <c r="Y893" s="3"/>
      <c r="Z893" s="3" t="str">
        <f ca="1">IFERROR(__xludf.DUMMYFUNCTION("""COMPUTED_VALUE"""),"podklady@cncenter.cz")</f>
        <v>podklady@cncenter.cz</v>
      </c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 t="str">
        <f ca="1">IFERROR(__xludf.DUMMYFUNCTION("""COMPUTED_VALUE"""),"cross-device")</f>
        <v>cross-device</v>
      </c>
      <c r="AO893" s="3"/>
      <c r="AP893" s="3"/>
      <c r="AQ893" s="3"/>
      <c r="AR893" s="3"/>
      <c r="AS893" s="3"/>
      <c r="AT893" s="3"/>
      <c r="AU893" s="3" t="str">
        <f ca="1">IFERROR(__xludf.DUMMYFUNCTION("""COMPUTED_VALUE"""),"PR článek")</f>
        <v>PR článek</v>
      </c>
    </row>
    <row r="894" spans="1:47" x14ac:dyDescent="0.3">
      <c r="A894" s="3">
        <f ca="1"/>
        <v>2346826</v>
      </c>
      <c r="B894" s="3" t="str">
        <f ca="1"/>
        <v>CZECH NEWS CENTER a. s.</v>
      </c>
      <c r="C894" s="4" t="str">
        <f ca="1">IFERROR(__xludf.DUMMYFUNCTION("""COMPUTED_VALUE"""),"nemovitosti.blesk.cz")</f>
        <v>nemovitosti.blesk.cz</v>
      </c>
      <c r="D894" s="4" t="str">
        <f ca="1">IFERROR(__xludf.DUMMYFUNCTION("""COMPUTED_VALUE"""),"https://nemovitosti.blesk.cz")</f>
        <v>https://nemovitosti.blesk.cz</v>
      </c>
      <c r="E894" s="3" t="str">
        <f ca="1">IFERROR(__xludf.DUMMYFUNCTION("""COMPUTED_VALUE"""),"celý web")</f>
        <v>celý web</v>
      </c>
      <c r="F894" s="4" t="str">
        <f ca="1">IFERROR(__xludf.DUMMYFUNCTION("""COMPUTED_VALUE"""),"https://nemovitosti.blesk.cz")</f>
        <v>https://nemovitosti.blesk.cz</v>
      </c>
      <c r="G894" s="3" t="str">
        <f ca="1">IFERROR(__xludf.DUMMYFUNCTION("""COMPUTED_VALUE"""),"Prodloužení existující microsite, bez úprav high season")</f>
        <v>Prodloužení existující microsite, bez úprav high season</v>
      </c>
      <c r="H894" s="3">
        <f ca="1">IFERROR(__xludf.DUMMYFUNCTION("""COMPUTED_VALUE"""),1)</f>
        <v>1</v>
      </c>
      <c r="I894" s="5">
        <f ca="1">IFERROR(__xludf.DUMMYFUNCTION("""COMPUTED_VALUE"""),1)</f>
        <v>1</v>
      </c>
      <c r="J894" s="5">
        <f ca="1">IFERROR(__xludf.DUMMYFUNCTION("""COMPUTED_VALUE"""),15000)</f>
        <v>15000</v>
      </c>
      <c r="K894" s="3"/>
      <c r="L894" s="3" t="str">
        <f ca="1">IFERROR(__xludf.DUMMYFUNCTION("""COMPUTED_VALUE"""),"Cost per instance")</f>
        <v>Cost per instance</v>
      </c>
      <c r="M894" s="3"/>
      <c r="N894" s="3"/>
      <c r="O894" s="3"/>
      <c r="P894" s="3"/>
      <c r="Q894" s="3"/>
      <c r="R894" s="3"/>
      <c r="S894" s="3" t="str">
        <f ca="1">IFERROR(__xludf.DUMMYFUNCTION("""COMPUTED_VALUE"""),"100")</f>
        <v>100</v>
      </c>
      <c r="T894" s="3"/>
      <c r="U894" s="3" t="str">
        <f ca="1">IFERROR(__xludf.DUMMYFUNCTION("""COMPUTED_VALUE"""),"microsite")</f>
        <v>microsite</v>
      </c>
      <c r="V894" s="3"/>
      <c r="W894" s="3"/>
      <c r="X894" s="3"/>
      <c r="Y894" s="3"/>
      <c r="Z894" s="3" t="str">
        <f ca="1">IFERROR(__xludf.DUMMYFUNCTION("""COMPUTED_VALUE"""),"podklady@cncenter.cz")</f>
        <v>podklady@cncenter.cz</v>
      </c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 t="str">
        <f ca="1">IFERROR(__xludf.DUMMYFUNCTION("""COMPUTED_VALUE"""),"cross-device")</f>
        <v>cross-device</v>
      </c>
      <c r="AO894" s="3"/>
      <c r="AP894" s="3"/>
      <c r="AQ894" s="3"/>
      <c r="AR894" s="3"/>
      <c r="AS894" s="3"/>
      <c r="AT894" s="3"/>
      <c r="AU894" s="3" t="str">
        <f ca="1">IFERROR(__xludf.DUMMYFUNCTION("""COMPUTED_VALUE"""),"Prodloužení existující microsite, bez úprav")</f>
        <v>Prodloužení existující microsite, bez úprav</v>
      </c>
    </row>
    <row r="895" spans="1:47" x14ac:dyDescent="0.3">
      <c r="A895" s="3">
        <f ca="1"/>
        <v>2346826</v>
      </c>
      <c r="B895" s="3" t="str">
        <f ca="1"/>
        <v>CZECH NEWS CENTER a. s.</v>
      </c>
      <c r="C895" s="4" t="str">
        <f ca="1">IFERROR(__xludf.DUMMYFUNCTION("""COMPUTED_VALUE"""),"nemovitosti.blesk.cz")</f>
        <v>nemovitosti.blesk.cz</v>
      </c>
      <c r="D895" s="4" t="str">
        <f ca="1">IFERROR(__xludf.DUMMYFUNCTION("""COMPUTED_VALUE"""),"https://nemovitosti.blesk.cz")</f>
        <v>https://nemovitosti.blesk.cz</v>
      </c>
      <c r="E895" s="3" t="str">
        <f ca="1">IFERROR(__xludf.DUMMYFUNCTION("""COMPUTED_VALUE"""),"celý web")</f>
        <v>celý web</v>
      </c>
      <c r="F895" s="4" t="str">
        <f ca="1">IFERROR(__xludf.DUMMYFUNCTION("""COMPUTED_VALUE"""),"https://nemovitosti.blesk.cz")</f>
        <v>https://nemovitosti.blesk.cz</v>
      </c>
      <c r="G895" s="3" t="str">
        <f ca="1">IFERROR(__xludf.DUMMYFUNCTION("""COMPUTED_VALUE"""),"Prodloužení existující microsite, bez úprav high season")</f>
        <v>Prodloužení existující microsite, bez úprav high season</v>
      </c>
      <c r="H895" s="3">
        <f ca="1">IFERROR(__xludf.DUMMYFUNCTION("""COMPUTED_VALUE"""),1)</f>
        <v>1</v>
      </c>
      <c r="I895" s="5">
        <f ca="1">IFERROR(__xludf.DUMMYFUNCTION("""COMPUTED_VALUE"""),1)</f>
        <v>1</v>
      </c>
      <c r="J895" s="5">
        <f ca="1">IFERROR(__xludf.DUMMYFUNCTION("""COMPUTED_VALUE"""),15000)</f>
        <v>15000</v>
      </c>
      <c r="K895" s="3"/>
      <c r="L895" s="3" t="str">
        <f ca="1">IFERROR(__xludf.DUMMYFUNCTION("""COMPUTED_VALUE"""),"Cost per instance")</f>
        <v>Cost per instance</v>
      </c>
      <c r="M895" s="3"/>
      <c r="N895" s="3"/>
      <c r="O895" s="3"/>
      <c r="P895" s="3"/>
      <c r="Q895" s="3"/>
      <c r="R895" s="3"/>
      <c r="S895" s="3" t="str">
        <f ca="1">IFERROR(__xludf.DUMMYFUNCTION("""COMPUTED_VALUE"""),"100")</f>
        <v>100</v>
      </c>
      <c r="T895" s="3"/>
      <c r="U895" s="3" t="str">
        <f ca="1">IFERROR(__xludf.DUMMYFUNCTION("""COMPUTED_VALUE"""),"microsite")</f>
        <v>microsite</v>
      </c>
      <c r="V895" s="3"/>
      <c r="W895" s="3"/>
      <c r="X895" s="3"/>
      <c r="Y895" s="3"/>
      <c r="Z895" s="3" t="str">
        <f ca="1">IFERROR(__xludf.DUMMYFUNCTION("""COMPUTED_VALUE"""),"podklady@cncenter.cz")</f>
        <v>podklady@cncenter.cz</v>
      </c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 t="str">
        <f ca="1">IFERROR(__xludf.DUMMYFUNCTION("""COMPUTED_VALUE"""),"cross-device")</f>
        <v>cross-device</v>
      </c>
      <c r="AO895" s="3"/>
      <c r="AP895" s="3"/>
      <c r="AQ895" s="3"/>
      <c r="AR895" s="3"/>
      <c r="AS895" s="3"/>
      <c r="AT895" s="3"/>
      <c r="AU895" s="3" t="str">
        <f ca="1">IFERROR(__xludf.DUMMYFUNCTION("""COMPUTED_VALUE"""),"Prodloužení existující microsite, bez úprav")</f>
        <v>Prodloužení existující microsite, bez úprav</v>
      </c>
    </row>
    <row r="896" spans="1:47" x14ac:dyDescent="0.3">
      <c r="A896" s="3">
        <f ca="1"/>
        <v>2346826</v>
      </c>
      <c r="B896" s="3" t="str">
        <f ca="1"/>
        <v>CZECH NEWS CENTER a. s.</v>
      </c>
      <c r="C896" s="4" t="str">
        <f ca="1">IFERROR(__xludf.DUMMYFUNCTION("""COMPUTED_VALUE"""),"nemovitosti.blesk.cz")</f>
        <v>nemovitosti.blesk.cz</v>
      </c>
      <c r="D896" s="4" t="str">
        <f ca="1">IFERROR(__xludf.DUMMYFUNCTION("""COMPUTED_VALUE"""),"https://nemovitosti.blesk.cz")</f>
        <v>https://nemovitosti.blesk.cz</v>
      </c>
      <c r="E896" s="3" t="str">
        <f ca="1">IFERROR(__xludf.DUMMYFUNCTION("""COMPUTED_VALUE"""),"celý web")</f>
        <v>celý web</v>
      </c>
      <c r="F896" s="4" t="str">
        <f ca="1">IFERROR(__xludf.DUMMYFUNCTION("""COMPUTED_VALUE"""),"https://nemovitosti.blesk.cz")</f>
        <v>https://nemovitosti.blesk.cz</v>
      </c>
      <c r="G896" s="3" t="str">
        <f ca="1">IFERROR(__xludf.DUMMYFUNCTION("""COMPUTED_VALUE"""),"Prodloužení existující microsite, bez úprav high season")</f>
        <v>Prodloužení existující microsite, bez úprav high season</v>
      </c>
      <c r="H896" s="3">
        <f ca="1">IFERROR(__xludf.DUMMYFUNCTION("""COMPUTED_VALUE"""),1)</f>
        <v>1</v>
      </c>
      <c r="I896" s="5">
        <f ca="1">IFERROR(__xludf.DUMMYFUNCTION("""COMPUTED_VALUE"""),1)</f>
        <v>1</v>
      </c>
      <c r="J896" s="5">
        <f ca="1">IFERROR(__xludf.DUMMYFUNCTION("""COMPUTED_VALUE"""),15000)</f>
        <v>15000</v>
      </c>
      <c r="K896" s="3"/>
      <c r="L896" s="3" t="str">
        <f ca="1">IFERROR(__xludf.DUMMYFUNCTION("""COMPUTED_VALUE"""),"Cost per instance")</f>
        <v>Cost per instance</v>
      </c>
      <c r="M896" s="3"/>
      <c r="N896" s="3"/>
      <c r="O896" s="3"/>
      <c r="P896" s="3"/>
      <c r="Q896" s="3"/>
      <c r="R896" s="3"/>
      <c r="S896" s="3" t="str">
        <f ca="1">IFERROR(__xludf.DUMMYFUNCTION("""COMPUTED_VALUE"""),"100")</f>
        <v>100</v>
      </c>
      <c r="T896" s="3"/>
      <c r="U896" s="3" t="str">
        <f ca="1">IFERROR(__xludf.DUMMYFUNCTION("""COMPUTED_VALUE"""),"microsite")</f>
        <v>microsite</v>
      </c>
      <c r="V896" s="3"/>
      <c r="W896" s="3"/>
      <c r="X896" s="3"/>
      <c r="Y896" s="3"/>
      <c r="Z896" s="3" t="str">
        <f ca="1">IFERROR(__xludf.DUMMYFUNCTION("""COMPUTED_VALUE"""),"podklady@cncenter.cz")</f>
        <v>podklady@cncenter.cz</v>
      </c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 t="str">
        <f ca="1">IFERROR(__xludf.DUMMYFUNCTION("""COMPUTED_VALUE"""),"cross-device")</f>
        <v>cross-device</v>
      </c>
      <c r="AO896" s="3"/>
      <c r="AP896" s="3"/>
      <c r="AQ896" s="3"/>
      <c r="AR896" s="3"/>
      <c r="AS896" s="3"/>
      <c r="AT896" s="3"/>
      <c r="AU896" s="3" t="str">
        <f ca="1">IFERROR(__xludf.DUMMYFUNCTION("""COMPUTED_VALUE"""),"Prodloužení existující microsite, bez úprav")</f>
        <v>Prodloužení existující microsite, bez úprav</v>
      </c>
    </row>
    <row r="897" spans="1:47" x14ac:dyDescent="0.3">
      <c r="A897" s="3">
        <f ca="1"/>
        <v>2346826</v>
      </c>
      <c r="B897" s="3" t="str">
        <f ca="1"/>
        <v>CZECH NEWS CENTER a. s.</v>
      </c>
      <c r="C897" s="3" t="str">
        <f ca="1">IFERROR(__xludf.DUMMYFUNCTION("""COMPUTED_VALUE"""),"Poggers")</f>
        <v>Poggers</v>
      </c>
      <c r="D897" s="4" t="str">
        <f ca="1">IFERROR(__xludf.DUMMYFUNCTION("""COMPUTED_VALUE"""),"https://www.poggers.cz")</f>
        <v>https://www.poggers.cz</v>
      </c>
      <c r="E897" s="3" t="str">
        <f ca="1">IFERROR(__xludf.DUMMYFUNCTION("""COMPUTED_VALUE"""),"celý web")</f>
        <v>celý web</v>
      </c>
      <c r="F897" s="4" t="str">
        <f ca="1">IFERROR(__xludf.DUMMYFUNCTION("""COMPUTED_VALUE"""),"https://www.poggers.cz")</f>
        <v>https://www.poggers.cz</v>
      </c>
      <c r="G897" s="3" t="str">
        <f ca="1">IFERROR(__xludf.DUMMYFUNCTION("""COMPUTED_VALUE"""),"branding cross-device high season")</f>
        <v>branding cross-device high season</v>
      </c>
      <c r="H897" s="3">
        <f ca="1">IFERROR(__xludf.DUMMYFUNCTION("""COMPUTED_VALUE"""),7)</f>
        <v>7</v>
      </c>
      <c r="I897" s="5">
        <f ca="1">IFERROR(__xludf.DUMMYFUNCTION("""COMPUTED_VALUE"""),1000)</f>
        <v>1000</v>
      </c>
      <c r="J897" s="5">
        <f ca="1">IFERROR(__xludf.DUMMYFUNCTION("""COMPUTED_VALUE"""),66667)</f>
        <v>66667</v>
      </c>
      <c r="K897" s="3"/>
      <c r="L897" s="3" t="str">
        <f ca="1">IFERROR(__xludf.DUMMYFUNCTION("""COMPUTED_VALUE"""),"Cost per period")</f>
        <v>Cost per period</v>
      </c>
      <c r="M897" s="3"/>
      <c r="N897" s="3"/>
      <c r="O897" s="3" t="str">
        <f ca="1">IFERROR(__xludf.DUMMYFUNCTION("""COMPUTED_VALUE"""),"2000")</f>
        <v>2000</v>
      </c>
      <c r="P897" s="3" t="str">
        <f ca="1">IFERROR(__xludf.DUMMYFUNCTION("""COMPUTED_VALUE"""),"1400")</f>
        <v>1400</v>
      </c>
      <c r="Q897" s="3" t="str">
        <f ca="1">IFERROR(__xludf.DUMMYFUNCTION("""COMPUTED_VALUE"""),"2000x1400 + 600x1080")</f>
        <v>2000x1400 + 600x1080</v>
      </c>
      <c r="R897" s="3"/>
      <c r="S897" s="3" t="str">
        <f ca="1">IFERROR(__xludf.DUMMYFUNCTION("""COMPUTED_VALUE"""),"500 (600 - HTLM5)")</f>
        <v>500 (600 - HTLM5)</v>
      </c>
      <c r="T897" s="3"/>
      <c r="U897" s="3" t="str">
        <f ca="1">IFERROR(__xludf.DUMMYFUNCTION("""COMPUTED_VALUE"""),"banner standard")</f>
        <v>banner standard</v>
      </c>
      <c r="V897" s="3"/>
      <c r="W897" s="4" t="str">
        <f ca="1">IFERROR(__xludf.DUMMYFUNCTION("""COMPUTED_VALUE"""),"https://reklama.cncenter.cz/Online/branding-cross-device")</f>
        <v>https://reklama.cncenter.cz/Online/branding-cross-device</v>
      </c>
      <c r="X897" s="3"/>
      <c r="Y897" s="3"/>
      <c r="Z897" s="3" t="str">
        <f ca="1">IFERROR(__xludf.DUMMYFUNCTION("""COMPUTED_VALUE"""),"podklady@cncenter.cz")</f>
        <v>podklady@cncenter.cz</v>
      </c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 t="str">
        <f ca="1">IFERROR(__xludf.DUMMYFUNCTION("""COMPUTED_VALUE"""),"cross-device")</f>
        <v>cross-device</v>
      </c>
      <c r="AO897" s="3"/>
      <c r="AP897" s="3"/>
      <c r="AQ897" s="3"/>
      <c r="AR897" s="3"/>
      <c r="AS897" s="3"/>
      <c r="AT897" s="3"/>
      <c r="AU897" s="3" t="str">
        <f ca="1">IFERROR(__xludf.DUMMYFUNCTION("""COMPUTED_VALUE"""),"branding cross-device")</f>
        <v>branding cross-device</v>
      </c>
    </row>
    <row r="898" spans="1:47" x14ac:dyDescent="0.3">
      <c r="A898" s="3">
        <f ca="1"/>
        <v>2346826</v>
      </c>
      <c r="B898" s="3" t="str">
        <f ca="1"/>
        <v>CZECH NEWS CENTER a. s.</v>
      </c>
      <c r="C898" s="3" t="str">
        <f ca="1">IFERROR(__xludf.DUMMYFUNCTION("""COMPUTED_VALUE"""),"Poggers")</f>
        <v>Poggers</v>
      </c>
      <c r="D898" s="4" t="str">
        <f ca="1">IFERROR(__xludf.DUMMYFUNCTION("""COMPUTED_VALUE"""),"https://www.poggers.cz")</f>
        <v>https://www.poggers.cz</v>
      </c>
      <c r="E898" s="3" t="str">
        <f ca="1">IFERROR(__xludf.DUMMYFUNCTION("""COMPUTED_VALUE"""),"celý web")</f>
        <v>celý web</v>
      </c>
      <c r="F898" s="4" t="str">
        <f ca="1">IFERROR(__xludf.DUMMYFUNCTION("""COMPUTED_VALUE"""),"https://www.poggers.cz")</f>
        <v>https://www.poggers.cz</v>
      </c>
      <c r="G898" s="3" t="str">
        <f ca="1">IFERROR(__xludf.DUMMYFUNCTION("""COMPUTED_VALUE"""),"double skyscraper high season")</f>
        <v>double skyscraper high season</v>
      </c>
      <c r="H898" s="3">
        <f ca="1">IFERROR(__xludf.DUMMYFUNCTION("""COMPUTED_VALUE"""),7)</f>
        <v>7</v>
      </c>
      <c r="I898" s="5">
        <f ca="1">IFERROR(__xludf.DUMMYFUNCTION("""COMPUTED_VALUE"""),1000)</f>
        <v>1000</v>
      </c>
      <c r="J898" s="5">
        <f ca="1">IFERROR(__xludf.DUMMYFUNCTION("""COMPUTED_VALUE"""),50000)</f>
        <v>50000</v>
      </c>
      <c r="K898" s="3"/>
      <c r="L898" s="3" t="str">
        <f ca="1">IFERROR(__xludf.DUMMYFUNCTION("""COMPUTED_VALUE"""),"Cost per period")</f>
        <v>Cost per period</v>
      </c>
      <c r="M898" s="3"/>
      <c r="N898" s="3"/>
      <c r="O898" s="3" t="str">
        <f ca="1">IFERROR(__xludf.DUMMYFUNCTION("""COMPUTED_VALUE"""),"300")</f>
        <v>300</v>
      </c>
      <c r="P898" s="3" t="str">
        <f ca="1">IFERROR(__xludf.DUMMYFUNCTION("""COMPUTED_VALUE"""),"600")</f>
        <v>600</v>
      </c>
      <c r="Q898" s="3" t="str">
        <f ca="1">IFERROR(__xludf.DUMMYFUNCTION("""COMPUTED_VALUE"""),"300x600")</f>
        <v>300x600</v>
      </c>
      <c r="R898" s="3"/>
      <c r="S898" s="3" t="str">
        <f ca="1">IFERROR(__xludf.DUMMYFUNCTION("""COMPUTED_VALUE"""),"100 (200 - HTML5)")</f>
        <v>100 (200 - HTML5)</v>
      </c>
      <c r="T898" s="3"/>
      <c r="U898" s="3" t="str">
        <f ca="1">IFERROR(__xludf.DUMMYFUNCTION("""COMPUTED_VALUE"""),"banner standard")</f>
        <v>banner standard</v>
      </c>
      <c r="V898" s="3"/>
      <c r="W898" s="4" t="str">
        <f ca="1">IFERROR(__xludf.DUMMYFUNCTION("""COMPUTED_VALUE"""),"https://reklama.cncenter.cz/Online/double-skyscraper")</f>
        <v>https://reklama.cncenter.cz/Online/double-skyscraper</v>
      </c>
      <c r="X898" s="3"/>
      <c r="Y898" s="3"/>
      <c r="Z898" s="3" t="str">
        <f ca="1">IFERROR(__xludf.DUMMYFUNCTION("""COMPUTED_VALUE"""),"podklady@cncenter.cz")</f>
        <v>podklady@cncenter.cz</v>
      </c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 t="str">
        <f ca="1">IFERROR(__xludf.DUMMYFUNCTION("""COMPUTED_VALUE"""),"desktop")</f>
        <v>desktop</v>
      </c>
      <c r="AO898" s="3"/>
      <c r="AP898" s="3"/>
      <c r="AQ898" s="3"/>
      <c r="AR898" s="3"/>
      <c r="AS898" s="3"/>
      <c r="AT898" s="3"/>
      <c r="AU898" s="3" t="str">
        <f ca="1">IFERROR(__xludf.DUMMYFUNCTION("""COMPUTED_VALUE"""),"double skyscraper")</f>
        <v>double skyscraper</v>
      </c>
    </row>
    <row r="899" spans="1:47" x14ac:dyDescent="0.3">
      <c r="A899" s="3">
        <f ca="1"/>
        <v>2346826</v>
      </c>
      <c r="B899" s="3" t="str">
        <f ca="1"/>
        <v>CZECH NEWS CENTER a. s.</v>
      </c>
      <c r="C899" s="3" t="str">
        <f ca="1">IFERROR(__xludf.DUMMYFUNCTION("""COMPUTED_VALUE"""),"Poggers")</f>
        <v>Poggers</v>
      </c>
      <c r="D899" s="4" t="str">
        <f ca="1">IFERROR(__xludf.DUMMYFUNCTION("""COMPUTED_VALUE"""),"https://www.poggers.cz")</f>
        <v>https://www.poggers.cz</v>
      </c>
      <c r="E899" s="3" t="str">
        <f ca="1">IFERROR(__xludf.DUMMYFUNCTION("""COMPUTED_VALUE"""),"celý web")</f>
        <v>celý web</v>
      </c>
      <c r="F899" s="4" t="str">
        <f ca="1">IFERROR(__xludf.DUMMYFUNCTION("""COMPUTED_VALUE"""),"https://www.poggers.cz")</f>
        <v>https://www.poggers.cz</v>
      </c>
      <c r="G899" s="3" t="str">
        <f ca="1">IFERROR(__xludf.DUMMYFUNCTION("""COMPUTED_VALUE"""),"nativní rectangle cross-device high season")</f>
        <v>nativní rectangle cross-device high season</v>
      </c>
      <c r="H899" s="3">
        <f ca="1">IFERROR(__xludf.DUMMYFUNCTION("""COMPUTED_VALUE"""),7)</f>
        <v>7</v>
      </c>
      <c r="I899" s="5">
        <f ca="1">IFERROR(__xludf.DUMMYFUNCTION("""COMPUTED_VALUE"""),1000)</f>
        <v>1000</v>
      </c>
      <c r="J899" s="5">
        <f ca="1">IFERROR(__xludf.DUMMYFUNCTION("""COMPUTED_VALUE"""),50000)</f>
        <v>50000</v>
      </c>
      <c r="K899" s="3"/>
      <c r="L899" s="3" t="str">
        <f ca="1">IFERROR(__xludf.DUMMYFUNCTION("""COMPUTED_VALUE"""),"Cost per period")</f>
        <v>Cost per period</v>
      </c>
      <c r="M899" s="3"/>
      <c r="N899" s="3"/>
      <c r="O899" s="3" t="str">
        <f ca="1">IFERROR(__xludf.DUMMYFUNCTION("""COMPUTED_VALUE"""),"640")</f>
        <v>640</v>
      </c>
      <c r="P899" s="3" t="str">
        <f ca="1">IFERROR(__xludf.DUMMYFUNCTION("""COMPUTED_VALUE"""),"335, 640")</f>
        <v>335, 640</v>
      </c>
      <c r="Q899" s="3" t="str">
        <f ca="1">IFERROR(__xludf.DUMMYFUNCTION("""COMPUTED_VALUE"""),"640x640 a 640x335 + text + logo")</f>
        <v>640x640 a 640x335 + text + logo</v>
      </c>
      <c r="R899" s="3"/>
      <c r="S899" s="3" t="str">
        <f ca="1">IFERROR(__xludf.DUMMYFUNCTION("""COMPUTED_VALUE"""),"45")</f>
        <v>45</v>
      </c>
      <c r="T899" s="3"/>
      <c r="U899" s="3" t="str">
        <f ca="1">IFERROR(__xludf.DUMMYFUNCTION("""COMPUTED_VALUE"""),"nativní reklama")</f>
        <v>nativní reklama</v>
      </c>
      <c r="V899" s="3"/>
      <c r="W899" s="4" t="str">
        <f ca="1">IFERROR(__xludf.DUMMYFUNCTION("""COMPUTED_VALUE"""),"https://reklama.cncenter.cz/Online/nativni-rectangle-cross-device")</f>
        <v>https://reklama.cncenter.cz/Online/nativni-rectangle-cross-device</v>
      </c>
      <c r="X899" s="3"/>
      <c r="Y899" s="3"/>
      <c r="Z899" s="3" t="str">
        <f ca="1">IFERROR(__xludf.DUMMYFUNCTION("""COMPUTED_VALUE"""),"podklady@cncenter.cz")</f>
        <v>podklady@cncenter.cz</v>
      </c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 t="str">
        <f ca="1">IFERROR(__xludf.DUMMYFUNCTION("""COMPUTED_VALUE"""),"cross-device")</f>
        <v>cross-device</v>
      </c>
      <c r="AO899" s="3"/>
      <c r="AP899" s="3"/>
      <c r="AQ899" s="3"/>
      <c r="AR899" s="3"/>
      <c r="AS899" s="3"/>
      <c r="AT899" s="3"/>
      <c r="AU899" s="3" t="str">
        <f ca="1">IFERROR(__xludf.DUMMYFUNCTION("""COMPUTED_VALUE"""),"nativní rectangle cross-device")</f>
        <v>nativní rectangle cross-device</v>
      </c>
    </row>
    <row r="900" spans="1:47" x14ac:dyDescent="0.3">
      <c r="A900" s="3">
        <f ca="1"/>
        <v>2346826</v>
      </c>
      <c r="B900" s="3" t="str">
        <f ca="1"/>
        <v>CZECH NEWS CENTER a. s.</v>
      </c>
      <c r="C900" s="3" t="str">
        <f ca="1">IFERROR(__xludf.DUMMYFUNCTION("""COMPUTED_VALUE"""),"Realitní trh")</f>
        <v>Realitní trh</v>
      </c>
      <c r="D900" s="4" t="str">
        <f ca="1">IFERROR(__xludf.DUMMYFUNCTION("""COMPUTED_VALUE"""),"https://www.realitnitrh.cz")</f>
        <v>https://www.realitnitrh.cz</v>
      </c>
      <c r="E900" s="3" t="str">
        <f ca="1">IFERROR(__xludf.DUMMYFUNCTION("""COMPUTED_VALUE"""),"celý web")</f>
        <v>celý web</v>
      </c>
      <c r="F900" s="4" t="str">
        <f ca="1">IFERROR(__xludf.DUMMYFUNCTION("""COMPUTED_VALUE"""),"https://www.realitnitrh.cz")</f>
        <v>https://www.realitnitrh.cz</v>
      </c>
      <c r="G900" s="3" t="str">
        <f ca="1">IFERROR(__xludf.DUMMYFUNCTION("""COMPUTED_VALUE"""),"Advertorial high season")</f>
        <v>Advertorial high season</v>
      </c>
      <c r="H900" s="3">
        <f ca="1">IFERROR(__xludf.DUMMYFUNCTION("""COMPUTED_VALUE"""),1)</f>
        <v>1</v>
      </c>
      <c r="I900" s="5">
        <f ca="1">IFERROR(__xludf.DUMMYFUNCTION("""COMPUTED_VALUE"""),1)</f>
        <v>1</v>
      </c>
      <c r="J900" s="5">
        <f ca="1">IFERROR(__xludf.DUMMYFUNCTION("""COMPUTED_VALUE"""),90000)</f>
        <v>90000</v>
      </c>
      <c r="K900" s="3"/>
      <c r="L900" s="3" t="str">
        <f ca="1">IFERROR(__xludf.DUMMYFUNCTION("""COMPUTED_VALUE"""),"Cost per instance")</f>
        <v>Cost per instance</v>
      </c>
      <c r="M900" s="3"/>
      <c r="N900" s="3"/>
      <c r="O900" s="3"/>
      <c r="P900" s="3"/>
      <c r="Q900" s="3"/>
      <c r="R900" s="3"/>
      <c r="S900" s="3" t="str">
        <f ca="1">IFERROR(__xludf.DUMMYFUNCTION("""COMPUTED_VALUE"""),"100")</f>
        <v>100</v>
      </c>
      <c r="T900" s="3"/>
      <c r="U900" s="3" t="str">
        <f ca="1">IFERROR(__xludf.DUMMYFUNCTION("""COMPUTED_VALUE"""),"pr článek")</f>
        <v>pr článek</v>
      </c>
      <c r="V900" s="3"/>
      <c r="W900" s="3"/>
      <c r="X900" s="3"/>
      <c r="Y900" s="3"/>
      <c r="Z900" s="3" t="str">
        <f ca="1">IFERROR(__xludf.DUMMYFUNCTION("""COMPUTED_VALUE"""),"podklady@cncenter.cz")</f>
        <v>podklady@cncenter.cz</v>
      </c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 t="str">
        <f ca="1">IFERROR(__xludf.DUMMYFUNCTION("""COMPUTED_VALUE"""),"cross-device")</f>
        <v>cross-device</v>
      </c>
      <c r="AO900" s="3"/>
      <c r="AP900" s="3"/>
      <c r="AQ900" s="3"/>
      <c r="AR900" s="3"/>
      <c r="AS900" s="3"/>
      <c r="AT900" s="3"/>
      <c r="AU900" s="3" t="str">
        <f ca="1">IFERROR(__xludf.DUMMYFUNCTION("""COMPUTED_VALUE"""),"Advertorial")</f>
        <v>Advertorial</v>
      </c>
    </row>
    <row r="901" spans="1:47" x14ac:dyDescent="0.3">
      <c r="A901" s="3">
        <f ca="1"/>
        <v>2346826</v>
      </c>
      <c r="B901" s="3" t="str">
        <f ca="1"/>
        <v>CZECH NEWS CENTER a. s.</v>
      </c>
      <c r="C901" s="3" t="str">
        <f ca="1">IFERROR(__xludf.DUMMYFUNCTION("""COMPUTED_VALUE"""),"Realitní trh")</f>
        <v>Realitní trh</v>
      </c>
      <c r="D901" s="4" t="str">
        <f ca="1">IFERROR(__xludf.DUMMYFUNCTION("""COMPUTED_VALUE"""),"https://www.realitnitrh.cz")</f>
        <v>https://www.realitnitrh.cz</v>
      </c>
      <c r="E901" s="3" t="str">
        <f ca="1">IFERROR(__xludf.DUMMYFUNCTION("""COMPUTED_VALUE"""),"celý web")</f>
        <v>celý web</v>
      </c>
      <c r="F901" s="4" t="str">
        <f ca="1">IFERROR(__xludf.DUMMYFUNCTION("""COMPUTED_VALUE"""),"https://www.realitnitrh.cz")</f>
        <v>https://www.realitnitrh.cz</v>
      </c>
      <c r="G901" s="3" t="str">
        <f ca="1">IFERROR(__xludf.DUMMYFUNCTION("""COMPUTED_VALUE"""),"billboard bottom high season")</f>
        <v>billboard bottom high season</v>
      </c>
      <c r="H901" s="3">
        <f ca="1">IFERROR(__xludf.DUMMYFUNCTION("""COMPUTED_VALUE"""),7)</f>
        <v>7</v>
      </c>
      <c r="I901" s="5">
        <f ca="1">IFERROR(__xludf.DUMMYFUNCTION("""COMPUTED_VALUE"""),1000)</f>
        <v>1000</v>
      </c>
      <c r="J901" s="5">
        <f ca="1">IFERROR(__xludf.DUMMYFUNCTION("""COMPUTED_VALUE"""),440)</f>
        <v>440</v>
      </c>
      <c r="K901" s="3"/>
      <c r="L901" s="3" t="str">
        <f ca="1">IFERROR(__xludf.DUMMYFUNCTION("""COMPUTED_VALUE"""),"Cost per period")</f>
        <v>Cost per period</v>
      </c>
      <c r="M901" s="3"/>
      <c r="N901" s="3"/>
      <c r="O901" s="3" t="str">
        <f ca="1">IFERROR(__xludf.DUMMYFUNCTION("""COMPUTED_VALUE"""),"970")</f>
        <v>970</v>
      </c>
      <c r="P901" s="3" t="str">
        <f ca="1">IFERROR(__xludf.DUMMYFUNCTION("""COMPUTED_VALUE"""),"250")</f>
        <v>250</v>
      </c>
      <c r="Q901" s="3" t="str">
        <f ca="1">IFERROR(__xludf.DUMMYFUNCTION("""COMPUTED_VALUE"""),"970x250")</f>
        <v>970x250</v>
      </c>
      <c r="R901" s="3"/>
      <c r="S901" s="3" t="str">
        <f ca="1">IFERROR(__xludf.DUMMYFUNCTION("""COMPUTED_VALUE"""),"100 (200 - HTML5)")</f>
        <v>100 (200 - HTML5)</v>
      </c>
      <c r="T901" s="3"/>
      <c r="U901" s="3" t="str">
        <f ca="1">IFERROR(__xludf.DUMMYFUNCTION("""COMPUTED_VALUE"""),"banner standard")</f>
        <v>banner standard</v>
      </c>
      <c r="V901" s="3"/>
      <c r="W901" s="4" t="str">
        <f ca="1">IFERROR(__xludf.DUMMYFUNCTION("""COMPUTED_VALUE"""),"https://reklama.cncenter.cz/Online/billboard-bottom")</f>
        <v>https://reklama.cncenter.cz/Online/billboard-bottom</v>
      </c>
      <c r="X901" s="3"/>
      <c r="Y901" s="3"/>
      <c r="Z901" s="3" t="str">
        <f ca="1">IFERROR(__xludf.DUMMYFUNCTION("""COMPUTED_VALUE"""),"podklady@cncenter.cz")</f>
        <v>podklady@cncenter.cz</v>
      </c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 t="str">
        <f ca="1">IFERROR(__xludf.DUMMYFUNCTION("""COMPUTED_VALUE"""),"desktop")</f>
        <v>desktop</v>
      </c>
      <c r="AO901" s="3"/>
      <c r="AP901" s="3"/>
      <c r="AQ901" s="3"/>
      <c r="AR901" s="3"/>
      <c r="AS901" s="3"/>
      <c r="AT901" s="3"/>
      <c r="AU901" s="3" t="str">
        <f ca="1">IFERROR(__xludf.DUMMYFUNCTION("""COMPUTED_VALUE"""),"billboard bottom")</f>
        <v>billboard bottom</v>
      </c>
    </row>
    <row r="902" spans="1:47" x14ac:dyDescent="0.3">
      <c r="A902" s="3">
        <f ca="1"/>
        <v>2346826</v>
      </c>
      <c r="B902" s="3" t="str">
        <f ca="1"/>
        <v>CZECH NEWS CENTER a. s.</v>
      </c>
      <c r="C902" s="3" t="str">
        <f ca="1">IFERROR(__xludf.DUMMYFUNCTION("""COMPUTED_VALUE"""),"Realitní trh")</f>
        <v>Realitní trh</v>
      </c>
      <c r="D902" s="4" t="str">
        <f ca="1">IFERROR(__xludf.DUMMYFUNCTION("""COMPUTED_VALUE"""),"https://www.realitnitrh.cz")</f>
        <v>https://www.realitnitrh.cz</v>
      </c>
      <c r="E902" s="3" t="str">
        <f ca="1">IFERROR(__xludf.DUMMYFUNCTION("""COMPUTED_VALUE"""),"celý web")</f>
        <v>celý web</v>
      </c>
      <c r="F902" s="4" t="str">
        <f ca="1">IFERROR(__xludf.DUMMYFUNCTION("""COMPUTED_VALUE"""),"https://www.realitnitrh.cz")</f>
        <v>https://www.realitnitrh.cz</v>
      </c>
      <c r="G902" s="3" t="str">
        <f ca="1">IFERROR(__xludf.DUMMYFUNCTION("""COMPUTED_VALUE"""),"branding cross-device high season")</f>
        <v>branding cross-device high season</v>
      </c>
      <c r="H902" s="3">
        <f ca="1">IFERROR(__xludf.DUMMYFUNCTION("""COMPUTED_VALUE"""),7)</f>
        <v>7</v>
      </c>
      <c r="I902" s="5">
        <f ca="1">IFERROR(__xludf.DUMMYFUNCTION("""COMPUTED_VALUE"""),1000)</f>
        <v>1000</v>
      </c>
      <c r="J902" s="5">
        <f ca="1">IFERROR(__xludf.DUMMYFUNCTION("""COMPUTED_VALUE"""),540)</f>
        <v>540</v>
      </c>
      <c r="K902" s="3"/>
      <c r="L902" s="3" t="str">
        <f ca="1">IFERROR(__xludf.DUMMYFUNCTION("""COMPUTED_VALUE"""),"Cost per period")</f>
        <v>Cost per period</v>
      </c>
      <c r="M902" s="3"/>
      <c r="N902" s="3"/>
      <c r="O902" s="3" t="str">
        <f ca="1">IFERROR(__xludf.DUMMYFUNCTION("""COMPUTED_VALUE"""),"2000")</f>
        <v>2000</v>
      </c>
      <c r="P902" s="3" t="str">
        <f ca="1">IFERROR(__xludf.DUMMYFUNCTION("""COMPUTED_VALUE"""),"1400")</f>
        <v>1400</v>
      </c>
      <c r="Q902" s="3" t="str">
        <f ca="1">IFERROR(__xludf.DUMMYFUNCTION("""COMPUTED_VALUE"""),"2000x1400 + 600x1080")</f>
        <v>2000x1400 + 600x1080</v>
      </c>
      <c r="R902" s="3"/>
      <c r="S902" s="3" t="str">
        <f ca="1">IFERROR(__xludf.DUMMYFUNCTION("""COMPUTED_VALUE"""),"500 (600 - HTLM5)")</f>
        <v>500 (600 - HTLM5)</v>
      </c>
      <c r="T902" s="3"/>
      <c r="U902" s="3" t="str">
        <f ca="1">IFERROR(__xludf.DUMMYFUNCTION("""COMPUTED_VALUE"""),"banner standard")</f>
        <v>banner standard</v>
      </c>
      <c r="V902" s="3"/>
      <c r="W902" s="4" t="str">
        <f ca="1">IFERROR(__xludf.DUMMYFUNCTION("""COMPUTED_VALUE"""),"https://reklama.cncenter.cz/Online/branding-cross-device")</f>
        <v>https://reklama.cncenter.cz/Online/branding-cross-device</v>
      </c>
      <c r="X902" s="3"/>
      <c r="Y902" s="3"/>
      <c r="Z902" s="3" t="str">
        <f ca="1">IFERROR(__xludf.DUMMYFUNCTION("""COMPUTED_VALUE"""),"podklady@cncenter.cz")</f>
        <v>podklady@cncenter.cz</v>
      </c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 t="str">
        <f ca="1">IFERROR(__xludf.DUMMYFUNCTION("""COMPUTED_VALUE"""),"cross-device")</f>
        <v>cross-device</v>
      </c>
      <c r="AO902" s="3"/>
      <c r="AP902" s="3"/>
      <c r="AQ902" s="3"/>
      <c r="AR902" s="3"/>
      <c r="AS902" s="3"/>
      <c r="AT902" s="3"/>
      <c r="AU902" s="3" t="str">
        <f ca="1">IFERROR(__xludf.DUMMYFUNCTION("""COMPUTED_VALUE"""),"branding cross-device")</f>
        <v>branding cross-device</v>
      </c>
    </row>
    <row r="903" spans="1:47" x14ac:dyDescent="0.3">
      <c r="A903" s="3">
        <f ca="1"/>
        <v>2346826</v>
      </c>
      <c r="B903" s="3" t="str">
        <f ca="1"/>
        <v>CZECH NEWS CENTER a. s.</v>
      </c>
      <c r="C903" s="3" t="str">
        <f ca="1">IFERROR(__xludf.DUMMYFUNCTION("""COMPUTED_VALUE"""),"Realitní trh")</f>
        <v>Realitní trh</v>
      </c>
      <c r="D903" s="4" t="str">
        <f ca="1">IFERROR(__xludf.DUMMYFUNCTION("""COMPUTED_VALUE"""),"https://www.realitnitrh.cz")</f>
        <v>https://www.realitnitrh.cz</v>
      </c>
      <c r="E903" s="3" t="str">
        <f ca="1">IFERROR(__xludf.DUMMYFUNCTION("""COMPUTED_VALUE"""),"celý web")</f>
        <v>celý web</v>
      </c>
      <c r="F903" s="4" t="str">
        <f ca="1">IFERROR(__xludf.DUMMYFUNCTION("""COMPUTED_VALUE"""),"https://www.realitnitrh.cz")</f>
        <v>https://www.realitnitrh.cz</v>
      </c>
      <c r="G903" s="3" t="str">
        <f ca="1">IFERROR(__xludf.DUMMYFUNCTION("""COMPUTED_VALUE"""),"branding high season")</f>
        <v>branding high season</v>
      </c>
      <c r="H903" s="3">
        <f ca="1">IFERROR(__xludf.DUMMYFUNCTION("""COMPUTED_VALUE"""),7)</f>
        <v>7</v>
      </c>
      <c r="I903" s="5">
        <f ca="1">IFERROR(__xludf.DUMMYFUNCTION("""COMPUTED_VALUE"""),1000)</f>
        <v>1000</v>
      </c>
      <c r="J903" s="5">
        <f ca="1">IFERROR(__xludf.DUMMYFUNCTION("""COMPUTED_VALUE"""),890)</f>
        <v>890</v>
      </c>
      <c r="K903" s="3"/>
      <c r="L903" s="3" t="str">
        <f ca="1">IFERROR(__xludf.DUMMYFUNCTION("""COMPUTED_VALUE"""),"Cost per period")</f>
        <v>Cost per period</v>
      </c>
      <c r="M903" s="3"/>
      <c r="N903" s="3"/>
      <c r="O903" s="3" t="str">
        <f ca="1">IFERROR(__xludf.DUMMYFUNCTION("""COMPUTED_VALUE"""),"2000")</f>
        <v>2000</v>
      </c>
      <c r="P903" s="3" t="str">
        <f ca="1">IFERROR(__xludf.DUMMYFUNCTION("""COMPUTED_VALUE"""),"1400")</f>
        <v>1400</v>
      </c>
      <c r="Q903" s="3" t="str">
        <f ca="1">IFERROR(__xludf.DUMMYFUNCTION("""COMPUTED_VALUE"""),"2000x1400")</f>
        <v>2000x1400</v>
      </c>
      <c r="R903" s="3"/>
      <c r="S903" s="3" t="str">
        <f ca="1">IFERROR(__xludf.DUMMYFUNCTION("""COMPUTED_VALUE"""),"500 + 200 (600+200 HTML5)")</f>
        <v>500 + 200 (600+200 HTML5)</v>
      </c>
      <c r="T903" s="3"/>
      <c r="U903" s="3" t="str">
        <f ca="1">IFERROR(__xludf.DUMMYFUNCTION("""COMPUTED_VALUE"""),"banner standard")</f>
        <v>banner standard</v>
      </c>
      <c r="V903" s="3"/>
      <c r="W903" s="4" t="str">
        <f ca="1">IFERROR(__xludf.DUMMYFUNCTION("""COMPUTED_VALUE"""),"https://reklama.cncenter.cz/Online/branding")</f>
        <v>https://reklama.cncenter.cz/Online/branding</v>
      </c>
      <c r="X903" s="3"/>
      <c r="Y903" s="3"/>
      <c r="Z903" s="3" t="str">
        <f ca="1">IFERROR(__xludf.DUMMYFUNCTION("""COMPUTED_VALUE"""),"podklady@cncenter.cz")</f>
        <v>podklady@cncenter.cz</v>
      </c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 t="str">
        <f ca="1">IFERROR(__xludf.DUMMYFUNCTION("""COMPUTED_VALUE"""),"desktop")</f>
        <v>desktop</v>
      </c>
      <c r="AO903" s="3"/>
      <c r="AP903" s="3"/>
      <c r="AQ903" s="3"/>
      <c r="AR903" s="3"/>
      <c r="AS903" s="3"/>
      <c r="AT903" s="3"/>
      <c r="AU903" s="3" t="str">
        <f ca="1">IFERROR(__xludf.DUMMYFUNCTION("""COMPUTED_VALUE"""),"branding")</f>
        <v>branding</v>
      </c>
    </row>
    <row r="904" spans="1:47" x14ac:dyDescent="0.3">
      <c r="A904" s="3">
        <f ca="1"/>
        <v>2346826</v>
      </c>
      <c r="B904" s="3" t="str">
        <f ca="1"/>
        <v>CZECH NEWS CENTER a. s.</v>
      </c>
      <c r="C904" s="3" t="str">
        <f ca="1">IFERROR(__xludf.DUMMYFUNCTION("""COMPUTED_VALUE"""),"Realitní trh")</f>
        <v>Realitní trh</v>
      </c>
      <c r="D904" s="4" t="str">
        <f ca="1">IFERROR(__xludf.DUMMYFUNCTION("""COMPUTED_VALUE"""),"https://www.realitnitrh.cz")</f>
        <v>https://www.realitnitrh.cz</v>
      </c>
      <c r="E904" s="3" t="str">
        <f ca="1">IFERROR(__xludf.DUMMYFUNCTION("""COMPUTED_VALUE"""),"celý web")</f>
        <v>celý web</v>
      </c>
      <c r="F904" s="4" t="str">
        <f ca="1">IFERROR(__xludf.DUMMYFUNCTION("""COMPUTED_VALUE"""),"https://www.realitnitrh.cz")</f>
        <v>https://www.realitnitrh.cz</v>
      </c>
      <c r="G904" s="3" t="str">
        <f ca="1">IFERROR(__xludf.DUMMYFUNCTION("""COMPUTED_VALUE"""),"cílený billboard bottom high season")</f>
        <v>cílený billboard bottom high season</v>
      </c>
      <c r="H904" s="3">
        <f ca="1">IFERROR(__xludf.DUMMYFUNCTION("""COMPUTED_VALUE"""),7)</f>
        <v>7</v>
      </c>
      <c r="I904" s="5">
        <f ca="1">IFERROR(__xludf.DUMMYFUNCTION("""COMPUTED_VALUE"""),1000)</f>
        <v>1000</v>
      </c>
      <c r="J904" s="5">
        <f ca="1">IFERROR(__xludf.DUMMYFUNCTION("""COMPUTED_VALUE"""),528)</f>
        <v>528</v>
      </c>
      <c r="K904" s="3"/>
      <c r="L904" s="3" t="str">
        <f ca="1">IFERROR(__xludf.DUMMYFUNCTION("""COMPUTED_VALUE"""),"Cost per period")</f>
        <v>Cost per period</v>
      </c>
      <c r="M904" s="3"/>
      <c r="N904" s="3"/>
      <c r="O904" s="3" t="str">
        <f ca="1">IFERROR(__xludf.DUMMYFUNCTION("""COMPUTED_VALUE"""),"970")</f>
        <v>970</v>
      </c>
      <c r="P904" s="3" t="str">
        <f ca="1">IFERROR(__xludf.DUMMYFUNCTION("""COMPUTED_VALUE"""),"250")</f>
        <v>250</v>
      </c>
      <c r="Q904" s="3" t="str">
        <f ca="1">IFERROR(__xludf.DUMMYFUNCTION("""COMPUTED_VALUE"""),"970x250")</f>
        <v>970x250</v>
      </c>
      <c r="R904" s="3"/>
      <c r="S904" s="3" t="str">
        <f ca="1">IFERROR(__xludf.DUMMYFUNCTION("""COMPUTED_VALUE"""),"100 (200 - HTML5)")</f>
        <v>100 (200 - HTML5)</v>
      </c>
      <c r="T904" s="3"/>
      <c r="U904" s="3" t="str">
        <f ca="1">IFERROR(__xludf.DUMMYFUNCTION("""COMPUTED_VALUE"""),"banner standard")</f>
        <v>banner standard</v>
      </c>
      <c r="V904" s="3"/>
      <c r="W904" s="4" t="str">
        <f ca="1">IFERROR(__xludf.DUMMYFUNCTION("""COMPUTED_VALUE"""),"https://reklama.cncenter.cz/Online/billboard-bottom")</f>
        <v>https://reklama.cncenter.cz/Online/billboard-bottom</v>
      </c>
      <c r="X904" s="3"/>
      <c r="Y904" s="3"/>
      <c r="Z904" s="3" t="str">
        <f ca="1">IFERROR(__xludf.DUMMYFUNCTION("""COMPUTED_VALUE"""),"podklady@cncenter.cz")</f>
        <v>podklady@cncenter.cz</v>
      </c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 t="str">
        <f ca="1">IFERROR(__xludf.DUMMYFUNCTION("""COMPUTED_VALUE"""),"desktop")</f>
        <v>desktop</v>
      </c>
      <c r="AO904" s="3"/>
      <c r="AP904" s="3"/>
      <c r="AQ904" s="3"/>
      <c r="AR904" s="3"/>
      <c r="AS904" s="3"/>
      <c r="AT904" s="3"/>
      <c r="AU904" s="3" t="str">
        <f ca="1">IFERROR(__xludf.DUMMYFUNCTION("""COMPUTED_VALUE"""),"cílený billboard bottom")</f>
        <v>cílený billboard bottom</v>
      </c>
    </row>
    <row r="905" spans="1:47" x14ac:dyDescent="0.3">
      <c r="A905" s="3">
        <f ca="1"/>
        <v>2346826</v>
      </c>
      <c r="B905" s="3" t="str">
        <f ca="1"/>
        <v>CZECH NEWS CENTER a. s.</v>
      </c>
      <c r="C905" s="3" t="str">
        <f ca="1">IFERROR(__xludf.DUMMYFUNCTION("""COMPUTED_VALUE"""),"Realitní trh")</f>
        <v>Realitní trh</v>
      </c>
      <c r="D905" s="4" t="str">
        <f ca="1">IFERROR(__xludf.DUMMYFUNCTION("""COMPUTED_VALUE"""),"https://www.realitnitrh.cz")</f>
        <v>https://www.realitnitrh.cz</v>
      </c>
      <c r="E905" s="3" t="str">
        <f ca="1">IFERROR(__xludf.DUMMYFUNCTION("""COMPUTED_VALUE"""),"celý web")</f>
        <v>celý web</v>
      </c>
      <c r="F905" s="4" t="str">
        <f ca="1">IFERROR(__xludf.DUMMYFUNCTION("""COMPUTED_VALUE"""),"https://www.realitnitrh.cz")</f>
        <v>https://www.realitnitrh.cz</v>
      </c>
      <c r="G905" s="3" t="str">
        <f ca="1">IFERROR(__xludf.DUMMYFUNCTION("""COMPUTED_VALUE"""),"cílený branding cross-device high season")</f>
        <v>cílený branding cross-device high season</v>
      </c>
      <c r="H905" s="3">
        <f ca="1">IFERROR(__xludf.DUMMYFUNCTION("""COMPUTED_VALUE"""),7)</f>
        <v>7</v>
      </c>
      <c r="I905" s="5">
        <f ca="1">IFERROR(__xludf.DUMMYFUNCTION("""COMPUTED_VALUE"""),1000)</f>
        <v>1000</v>
      </c>
      <c r="J905" s="5">
        <f ca="1">IFERROR(__xludf.DUMMYFUNCTION("""COMPUTED_VALUE"""),648)</f>
        <v>648</v>
      </c>
      <c r="K905" s="3"/>
      <c r="L905" s="3" t="str">
        <f ca="1">IFERROR(__xludf.DUMMYFUNCTION("""COMPUTED_VALUE"""),"Cost per period")</f>
        <v>Cost per period</v>
      </c>
      <c r="M905" s="3"/>
      <c r="N905" s="3"/>
      <c r="O905" s="3" t="str">
        <f ca="1">IFERROR(__xludf.DUMMYFUNCTION("""COMPUTED_VALUE"""),"2000")</f>
        <v>2000</v>
      </c>
      <c r="P905" s="3" t="str">
        <f ca="1">IFERROR(__xludf.DUMMYFUNCTION("""COMPUTED_VALUE"""),"1400")</f>
        <v>1400</v>
      </c>
      <c r="Q905" s="3" t="str">
        <f ca="1">IFERROR(__xludf.DUMMYFUNCTION("""COMPUTED_VALUE"""),"2000x1400 + 600x1080")</f>
        <v>2000x1400 + 600x1080</v>
      </c>
      <c r="R905" s="3"/>
      <c r="S905" s="3" t="str">
        <f ca="1">IFERROR(__xludf.DUMMYFUNCTION("""COMPUTED_VALUE"""),"500 (600 - HTLM5)")</f>
        <v>500 (600 - HTLM5)</v>
      </c>
      <c r="T905" s="3"/>
      <c r="U905" s="3" t="str">
        <f ca="1">IFERROR(__xludf.DUMMYFUNCTION("""COMPUTED_VALUE"""),"banner standard")</f>
        <v>banner standard</v>
      </c>
      <c r="V905" s="3"/>
      <c r="W905" s="4" t="str">
        <f ca="1">IFERROR(__xludf.DUMMYFUNCTION("""COMPUTED_VALUE"""),"https://reklama.cncenter.cz/Online/branding-cross-device")</f>
        <v>https://reklama.cncenter.cz/Online/branding-cross-device</v>
      </c>
      <c r="X905" s="3"/>
      <c r="Y905" s="3"/>
      <c r="Z905" s="3" t="str">
        <f ca="1">IFERROR(__xludf.DUMMYFUNCTION("""COMPUTED_VALUE"""),"podklady@cncenter.cz")</f>
        <v>podklady@cncenter.cz</v>
      </c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 t="str">
        <f ca="1">IFERROR(__xludf.DUMMYFUNCTION("""COMPUTED_VALUE"""),"cross-device")</f>
        <v>cross-device</v>
      </c>
      <c r="AO905" s="3"/>
      <c r="AP905" s="3"/>
      <c r="AQ905" s="3"/>
      <c r="AR905" s="3"/>
      <c r="AS905" s="3"/>
      <c r="AT905" s="3"/>
      <c r="AU905" s="3" t="str">
        <f ca="1">IFERROR(__xludf.DUMMYFUNCTION("""COMPUTED_VALUE"""),"cílený branding cross-device")</f>
        <v>cílený branding cross-device</v>
      </c>
    </row>
    <row r="906" spans="1:47" x14ac:dyDescent="0.3">
      <c r="A906" s="3">
        <f ca="1"/>
        <v>2346826</v>
      </c>
      <c r="B906" s="3" t="str">
        <f ca="1"/>
        <v>CZECH NEWS CENTER a. s.</v>
      </c>
      <c r="C906" s="3" t="str">
        <f ca="1">IFERROR(__xludf.DUMMYFUNCTION("""COMPUTED_VALUE"""),"Realitní trh")</f>
        <v>Realitní trh</v>
      </c>
      <c r="D906" s="4" t="str">
        <f ca="1">IFERROR(__xludf.DUMMYFUNCTION("""COMPUTED_VALUE"""),"https://www.realitnitrh.cz")</f>
        <v>https://www.realitnitrh.cz</v>
      </c>
      <c r="E906" s="3" t="str">
        <f ca="1">IFERROR(__xludf.DUMMYFUNCTION("""COMPUTED_VALUE"""),"celý web")</f>
        <v>celý web</v>
      </c>
      <c r="F906" s="4" t="str">
        <f ca="1">IFERROR(__xludf.DUMMYFUNCTION("""COMPUTED_VALUE"""),"https://www.realitnitrh.cz")</f>
        <v>https://www.realitnitrh.cz</v>
      </c>
      <c r="G906" s="3" t="str">
        <f ca="1">IFERROR(__xludf.DUMMYFUNCTION("""COMPUTED_VALUE"""),"cílený branding high season")</f>
        <v>cílený branding high season</v>
      </c>
      <c r="H906" s="3">
        <f ca="1">IFERROR(__xludf.DUMMYFUNCTION("""COMPUTED_VALUE"""),7)</f>
        <v>7</v>
      </c>
      <c r="I906" s="5">
        <f ca="1">IFERROR(__xludf.DUMMYFUNCTION("""COMPUTED_VALUE"""),1000)</f>
        <v>1000</v>
      </c>
      <c r="J906" s="5">
        <f ca="1">IFERROR(__xludf.DUMMYFUNCTION("""COMPUTED_VALUE"""),1068)</f>
        <v>1068</v>
      </c>
      <c r="K906" s="3"/>
      <c r="L906" s="3" t="str">
        <f ca="1">IFERROR(__xludf.DUMMYFUNCTION("""COMPUTED_VALUE"""),"Cost per period")</f>
        <v>Cost per period</v>
      </c>
      <c r="M906" s="3"/>
      <c r="N906" s="3"/>
      <c r="O906" s="3" t="str">
        <f ca="1">IFERROR(__xludf.DUMMYFUNCTION("""COMPUTED_VALUE"""),"2000")</f>
        <v>2000</v>
      </c>
      <c r="P906" s="3" t="str">
        <f ca="1">IFERROR(__xludf.DUMMYFUNCTION("""COMPUTED_VALUE"""),"1400")</f>
        <v>1400</v>
      </c>
      <c r="Q906" s="3" t="str">
        <f ca="1">IFERROR(__xludf.DUMMYFUNCTION("""COMPUTED_VALUE"""),"2000x1400")</f>
        <v>2000x1400</v>
      </c>
      <c r="R906" s="3"/>
      <c r="S906" s="3" t="str">
        <f ca="1">IFERROR(__xludf.DUMMYFUNCTION("""COMPUTED_VALUE"""),"500 + 200 (600+200 HTML5)")</f>
        <v>500 + 200 (600+200 HTML5)</v>
      </c>
      <c r="T906" s="3"/>
      <c r="U906" s="3" t="str">
        <f ca="1">IFERROR(__xludf.DUMMYFUNCTION("""COMPUTED_VALUE"""),"banner standard")</f>
        <v>banner standard</v>
      </c>
      <c r="V906" s="3"/>
      <c r="W906" s="4" t="str">
        <f ca="1">IFERROR(__xludf.DUMMYFUNCTION("""COMPUTED_VALUE"""),"https://reklama.cncenter.cz/Online/branding")</f>
        <v>https://reklama.cncenter.cz/Online/branding</v>
      </c>
      <c r="X906" s="3"/>
      <c r="Y906" s="3"/>
      <c r="Z906" s="3" t="str">
        <f ca="1">IFERROR(__xludf.DUMMYFUNCTION("""COMPUTED_VALUE"""),"podklady@cncenter.cz")</f>
        <v>podklady@cncenter.cz</v>
      </c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 t="str">
        <f ca="1">IFERROR(__xludf.DUMMYFUNCTION("""COMPUTED_VALUE"""),"desktop")</f>
        <v>desktop</v>
      </c>
      <c r="AO906" s="3"/>
      <c r="AP906" s="3"/>
      <c r="AQ906" s="3"/>
      <c r="AR906" s="3"/>
      <c r="AS906" s="3"/>
      <c r="AT906" s="3"/>
      <c r="AU906" s="3" t="str">
        <f ca="1">IFERROR(__xludf.DUMMYFUNCTION("""COMPUTED_VALUE"""),"cílený branding")</f>
        <v>cílený branding</v>
      </c>
    </row>
    <row r="907" spans="1:47" x14ac:dyDescent="0.3">
      <c r="A907" s="3">
        <f ca="1"/>
        <v>2346826</v>
      </c>
      <c r="B907" s="3" t="str">
        <f ca="1"/>
        <v>CZECH NEWS CENTER a. s.</v>
      </c>
      <c r="C907" s="3" t="str">
        <f ca="1">IFERROR(__xludf.DUMMYFUNCTION("""COMPUTED_VALUE"""),"Realitní trh")</f>
        <v>Realitní trh</v>
      </c>
      <c r="D907" s="4" t="str">
        <f ca="1">IFERROR(__xludf.DUMMYFUNCTION("""COMPUTED_VALUE"""),"https://www.realitnitrh.cz")</f>
        <v>https://www.realitnitrh.cz</v>
      </c>
      <c r="E907" s="3" t="str">
        <f ca="1">IFERROR(__xludf.DUMMYFUNCTION("""COMPUTED_VALUE"""),"celý web")</f>
        <v>celý web</v>
      </c>
      <c r="F907" s="4" t="str">
        <f ca="1">IFERROR(__xludf.DUMMYFUNCTION("""COMPUTED_VALUE"""),"https://www.realitnitrh.cz")</f>
        <v>https://www.realitnitrh.cz</v>
      </c>
      <c r="G907" s="3" t="str">
        <f ca="1">IFERROR(__xludf.DUMMYFUNCTION("""COMPUTED_VALUE"""),"cílený double skyscraper high season")</f>
        <v>cílený double skyscraper high season</v>
      </c>
      <c r="H907" s="3">
        <f ca="1">IFERROR(__xludf.DUMMYFUNCTION("""COMPUTED_VALUE"""),7)</f>
        <v>7</v>
      </c>
      <c r="I907" s="5">
        <f ca="1">IFERROR(__xludf.DUMMYFUNCTION("""COMPUTED_VALUE"""),1000)</f>
        <v>1000</v>
      </c>
      <c r="J907" s="5">
        <f ca="1">IFERROR(__xludf.DUMMYFUNCTION("""COMPUTED_VALUE"""),420)</f>
        <v>420</v>
      </c>
      <c r="K907" s="3"/>
      <c r="L907" s="3" t="str">
        <f ca="1">IFERROR(__xludf.DUMMYFUNCTION("""COMPUTED_VALUE"""),"Cost per period")</f>
        <v>Cost per period</v>
      </c>
      <c r="M907" s="3"/>
      <c r="N907" s="3"/>
      <c r="O907" s="3" t="str">
        <f ca="1">IFERROR(__xludf.DUMMYFUNCTION("""COMPUTED_VALUE"""),"300")</f>
        <v>300</v>
      </c>
      <c r="P907" s="3" t="str">
        <f ca="1">IFERROR(__xludf.DUMMYFUNCTION("""COMPUTED_VALUE"""),"600")</f>
        <v>600</v>
      </c>
      <c r="Q907" s="3" t="str">
        <f ca="1">IFERROR(__xludf.DUMMYFUNCTION("""COMPUTED_VALUE"""),"300x600")</f>
        <v>300x600</v>
      </c>
      <c r="R907" s="3"/>
      <c r="S907" s="3" t="str">
        <f ca="1">IFERROR(__xludf.DUMMYFUNCTION("""COMPUTED_VALUE"""),"100 (200 - HTML5)")</f>
        <v>100 (200 - HTML5)</v>
      </c>
      <c r="T907" s="3"/>
      <c r="U907" s="3" t="str">
        <f ca="1">IFERROR(__xludf.DUMMYFUNCTION("""COMPUTED_VALUE"""),"banner standard")</f>
        <v>banner standard</v>
      </c>
      <c r="V907" s="3"/>
      <c r="W907" s="4" t="str">
        <f ca="1">IFERROR(__xludf.DUMMYFUNCTION("""COMPUTED_VALUE"""),"https://reklama.cncenter.cz/Online/double-skyscraper")</f>
        <v>https://reklama.cncenter.cz/Online/double-skyscraper</v>
      </c>
      <c r="X907" s="3"/>
      <c r="Y907" s="3"/>
      <c r="Z907" s="3" t="str">
        <f ca="1">IFERROR(__xludf.DUMMYFUNCTION("""COMPUTED_VALUE"""),"podklady@cncenter.cz")</f>
        <v>podklady@cncenter.cz</v>
      </c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 t="str">
        <f ca="1">IFERROR(__xludf.DUMMYFUNCTION("""COMPUTED_VALUE"""),"desktop")</f>
        <v>desktop</v>
      </c>
      <c r="AO907" s="3"/>
      <c r="AP907" s="3"/>
      <c r="AQ907" s="3"/>
      <c r="AR907" s="3"/>
      <c r="AS907" s="3"/>
      <c r="AT907" s="3"/>
      <c r="AU907" s="3" t="str">
        <f ca="1">IFERROR(__xludf.DUMMYFUNCTION("""COMPUTED_VALUE"""),"cílený double skyscraper")</f>
        <v>cílený double skyscraper</v>
      </c>
    </row>
    <row r="908" spans="1:47" x14ac:dyDescent="0.3">
      <c r="A908" s="3">
        <f ca="1"/>
        <v>2346826</v>
      </c>
      <c r="B908" s="3" t="str">
        <f ca="1"/>
        <v>CZECH NEWS CENTER a. s.</v>
      </c>
      <c r="C908" s="3" t="str">
        <f ca="1">IFERROR(__xludf.DUMMYFUNCTION("""COMPUTED_VALUE"""),"Realitní trh")</f>
        <v>Realitní trh</v>
      </c>
      <c r="D908" s="4" t="str">
        <f ca="1">IFERROR(__xludf.DUMMYFUNCTION("""COMPUTED_VALUE"""),"https://www.realitnitrh.cz")</f>
        <v>https://www.realitnitrh.cz</v>
      </c>
      <c r="E908" s="3" t="str">
        <f ca="1">IFERROR(__xludf.DUMMYFUNCTION("""COMPUTED_VALUE"""),"celý web")</f>
        <v>celý web</v>
      </c>
      <c r="F908" s="4" t="str">
        <f ca="1">IFERROR(__xludf.DUMMYFUNCTION("""COMPUTED_VALUE"""),"https://www.realitnitrh.cz")</f>
        <v>https://www.realitnitrh.cz</v>
      </c>
      <c r="G908" s="3" t="str">
        <f ca="1">IFERROR(__xludf.DUMMYFUNCTION("""COMPUTED_VALUE"""),"cílený mobilní interscroller high season")</f>
        <v>cílený mobilní interscroller high season</v>
      </c>
      <c r="H908" s="3">
        <f ca="1">IFERROR(__xludf.DUMMYFUNCTION("""COMPUTED_VALUE"""),7)</f>
        <v>7</v>
      </c>
      <c r="I908" s="5">
        <f ca="1">IFERROR(__xludf.DUMMYFUNCTION("""COMPUTED_VALUE"""),1000)</f>
        <v>1000</v>
      </c>
      <c r="J908" s="5">
        <f ca="1">IFERROR(__xludf.DUMMYFUNCTION("""COMPUTED_VALUE"""),540)</f>
        <v>540</v>
      </c>
      <c r="K908" s="3"/>
      <c r="L908" s="3" t="str">
        <f ca="1">IFERROR(__xludf.DUMMYFUNCTION("""COMPUTED_VALUE"""),"Cost per period")</f>
        <v>Cost per period</v>
      </c>
      <c r="M908" s="3"/>
      <c r="N908" s="3"/>
      <c r="O908" s="3" t="str">
        <f ca="1">IFERROR(__xludf.DUMMYFUNCTION("""COMPUTED_VALUE"""),"600")</f>
        <v>600</v>
      </c>
      <c r="P908" s="3" t="str">
        <f ca="1">IFERROR(__xludf.DUMMYFUNCTION("""COMPUTED_VALUE"""),"1080")</f>
        <v>1080</v>
      </c>
      <c r="Q908" s="3" t="str">
        <f ca="1">IFERROR(__xludf.DUMMYFUNCTION("""COMPUTED_VALUE"""),"600x1080")</f>
        <v>600x1080</v>
      </c>
      <c r="R908" s="3"/>
      <c r="S908" s="3" t="str">
        <f ca="1">IFERROR(__xludf.DUMMYFUNCTION("""COMPUTED_VALUE"""),"200")</f>
        <v>200</v>
      </c>
      <c r="T908" s="3"/>
      <c r="U908" s="3" t="str">
        <f ca="1">IFERROR(__xludf.DUMMYFUNCTION("""COMPUTED_VALUE"""),"banner standard")</f>
        <v>banner standard</v>
      </c>
      <c r="V908" s="3"/>
      <c r="W908" s="4" t="str">
        <f ca="1">IFERROR(__xludf.DUMMYFUNCTION("""COMPUTED_VALUE"""),"https://reklama.cncenter.cz/Online/mobilni-interscroller")</f>
        <v>https://reklama.cncenter.cz/Online/mobilni-interscroller</v>
      </c>
      <c r="X908" s="3"/>
      <c r="Y908" s="3"/>
      <c r="Z908" s="3" t="str">
        <f ca="1">IFERROR(__xludf.DUMMYFUNCTION("""COMPUTED_VALUE"""),"podklady@cncenter.cz")</f>
        <v>podklady@cncenter.cz</v>
      </c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 t="str">
        <f ca="1">IFERROR(__xludf.DUMMYFUNCTION("""COMPUTED_VALUE"""),"mobile")</f>
        <v>mobile</v>
      </c>
      <c r="AO908" s="3"/>
      <c r="AP908" s="3"/>
      <c r="AQ908" s="3"/>
      <c r="AR908" s="3"/>
      <c r="AS908" s="3"/>
      <c r="AT908" s="3"/>
      <c r="AU908" s="3" t="str">
        <f ca="1">IFERROR(__xludf.DUMMYFUNCTION("""COMPUTED_VALUE"""),"cílený mobilní interscroller")</f>
        <v>cílený mobilní interscroller</v>
      </c>
    </row>
    <row r="909" spans="1:47" x14ac:dyDescent="0.3">
      <c r="A909" s="3">
        <f ca="1"/>
        <v>2346826</v>
      </c>
      <c r="B909" s="3" t="str">
        <f ca="1"/>
        <v>CZECH NEWS CENTER a. s.</v>
      </c>
      <c r="C909" s="3" t="str">
        <f ca="1">IFERROR(__xludf.DUMMYFUNCTION("""COMPUTED_VALUE"""),"Realitní trh")</f>
        <v>Realitní trh</v>
      </c>
      <c r="D909" s="4" t="str">
        <f ca="1">IFERROR(__xludf.DUMMYFUNCTION("""COMPUTED_VALUE"""),"https://www.realitnitrh.cz")</f>
        <v>https://www.realitnitrh.cz</v>
      </c>
      <c r="E909" s="3" t="str">
        <f ca="1">IFERROR(__xludf.DUMMYFUNCTION("""COMPUTED_VALUE"""),"celý web")</f>
        <v>celý web</v>
      </c>
      <c r="F909" s="4" t="str">
        <f ca="1">IFERROR(__xludf.DUMMYFUNCTION("""COMPUTED_VALUE"""),"https://www.realitnitrh.cz")</f>
        <v>https://www.realitnitrh.cz</v>
      </c>
      <c r="G909" s="3" t="str">
        <f ca="1">IFERROR(__xludf.DUMMYFUNCTION("""COMPUTED_VALUE"""),"cílený nativní pr premium high season")</f>
        <v>cílený nativní pr premium high season</v>
      </c>
      <c r="H909" s="3">
        <f ca="1">IFERROR(__xludf.DUMMYFUNCTION("""COMPUTED_VALUE"""),7)</f>
        <v>7</v>
      </c>
      <c r="I909" s="5">
        <f ca="1">IFERROR(__xludf.DUMMYFUNCTION("""COMPUTED_VALUE"""),1000)</f>
        <v>1000</v>
      </c>
      <c r="J909" s="5">
        <f ca="1">IFERROR(__xludf.DUMMYFUNCTION("""COMPUTED_VALUE"""),216)</f>
        <v>216</v>
      </c>
      <c r="K909" s="3"/>
      <c r="L909" s="3" t="str">
        <f ca="1">IFERROR(__xludf.DUMMYFUNCTION("""COMPUTED_VALUE"""),"Cost per period")</f>
        <v>Cost per period</v>
      </c>
      <c r="M909" s="3"/>
      <c r="N909" s="3"/>
      <c r="O909" s="3" t="str">
        <f ca="1">IFERROR(__xludf.DUMMYFUNCTION("""COMPUTED_VALUE"""),"640")</f>
        <v>640</v>
      </c>
      <c r="P909" s="3" t="str">
        <f ca="1">IFERROR(__xludf.DUMMYFUNCTION("""COMPUTED_VALUE"""),"335, 640")</f>
        <v>335, 640</v>
      </c>
      <c r="Q909" s="3" t="str">
        <f ca="1">IFERROR(__xludf.DUMMYFUNCTION("""COMPUTED_VALUE"""),"640x640 a 640x335 + text + logo")</f>
        <v>640x640 a 640x335 + text + logo</v>
      </c>
      <c r="R909" s="3" t="str">
        <f ca="1">IFERROR(__xludf.DUMMYFUNCTION("""COMPUTED_VALUE"""),"detailní specifikace na URL odkaze")</f>
        <v>detailní specifikace na URL odkaze</v>
      </c>
      <c r="S909" s="3" t="str">
        <f ca="1">IFERROR(__xludf.DUMMYFUNCTION("""COMPUTED_VALUE"""),"100")</f>
        <v>100</v>
      </c>
      <c r="T909" s="3"/>
      <c r="U909" s="3" t="str">
        <f ca="1">IFERROR(__xludf.DUMMYFUNCTION("""COMPUTED_VALUE"""),"nativní reklama")</f>
        <v>nativní reklama</v>
      </c>
      <c r="V909" s="3"/>
      <c r="W909" s="4" t="str">
        <f ca="1">IFERROR(__xludf.DUMMYFUNCTION("""COMPUTED_VALUE"""),"https://reklama.cncenter.cz/Online/nativni-PR-premium")</f>
        <v>https://reklama.cncenter.cz/Online/nativni-PR-premium</v>
      </c>
      <c r="X909" s="3"/>
      <c r="Y909" s="3"/>
      <c r="Z909" s="3" t="str">
        <f ca="1">IFERROR(__xludf.DUMMYFUNCTION("""COMPUTED_VALUE"""),"podklady@cncenter.cz")</f>
        <v>podklady@cncenter.cz</v>
      </c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 t="str">
        <f ca="1">IFERROR(__xludf.DUMMYFUNCTION("""COMPUTED_VALUE"""),"cross-device")</f>
        <v>cross-device</v>
      </c>
      <c r="AO909" s="3"/>
      <c r="AP909" s="3"/>
      <c r="AQ909" s="3"/>
      <c r="AR909" s="3"/>
      <c r="AS909" s="3"/>
      <c r="AT909" s="3"/>
      <c r="AU909" s="3" t="str">
        <f ca="1">IFERROR(__xludf.DUMMYFUNCTION("""COMPUTED_VALUE"""),"cílený nativní pr premium")</f>
        <v>cílený nativní pr premium</v>
      </c>
    </row>
    <row r="910" spans="1:47" x14ac:dyDescent="0.3">
      <c r="A910" s="3">
        <f ca="1"/>
        <v>2346826</v>
      </c>
      <c r="B910" s="3" t="str">
        <f ca="1"/>
        <v>CZECH NEWS CENTER a. s.</v>
      </c>
      <c r="C910" s="3" t="str">
        <f ca="1">IFERROR(__xludf.DUMMYFUNCTION("""COMPUTED_VALUE"""),"Realitní trh")</f>
        <v>Realitní trh</v>
      </c>
      <c r="D910" s="4" t="str">
        <f ca="1">IFERROR(__xludf.DUMMYFUNCTION("""COMPUTED_VALUE"""),"https://www.realitnitrh.cz")</f>
        <v>https://www.realitnitrh.cz</v>
      </c>
      <c r="E910" s="3" t="str">
        <f ca="1">IFERROR(__xludf.DUMMYFUNCTION("""COMPUTED_VALUE"""),"celý web")</f>
        <v>celý web</v>
      </c>
      <c r="F910" s="4" t="str">
        <f ca="1">IFERROR(__xludf.DUMMYFUNCTION("""COMPUTED_VALUE"""),"https://www.realitnitrh.cz")</f>
        <v>https://www.realitnitrh.cz</v>
      </c>
      <c r="G910" s="3" t="str">
        <f ca="1">IFERROR(__xludf.DUMMYFUNCTION("""COMPUTED_VALUE"""),"cílený nativní rectangle cross-device high season")</f>
        <v>cílený nativní rectangle cross-device high season</v>
      </c>
      <c r="H910" s="3">
        <f ca="1">IFERROR(__xludf.DUMMYFUNCTION("""COMPUTED_VALUE"""),7)</f>
        <v>7</v>
      </c>
      <c r="I910" s="5">
        <f ca="1">IFERROR(__xludf.DUMMYFUNCTION("""COMPUTED_VALUE"""),1000)</f>
        <v>1000</v>
      </c>
      <c r="J910" s="5">
        <f ca="1">IFERROR(__xludf.DUMMYFUNCTION("""COMPUTED_VALUE"""),432)</f>
        <v>432</v>
      </c>
      <c r="K910" s="3"/>
      <c r="L910" s="3" t="str">
        <f ca="1">IFERROR(__xludf.DUMMYFUNCTION("""COMPUTED_VALUE"""),"Cost per period")</f>
        <v>Cost per period</v>
      </c>
      <c r="M910" s="3"/>
      <c r="N910" s="3"/>
      <c r="O910" s="3" t="str">
        <f ca="1">IFERROR(__xludf.DUMMYFUNCTION("""COMPUTED_VALUE"""),"640")</f>
        <v>640</v>
      </c>
      <c r="P910" s="3" t="str">
        <f ca="1">IFERROR(__xludf.DUMMYFUNCTION("""COMPUTED_VALUE"""),"335, 640")</f>
        <v>335, 640</v>
      </c>
      <c r="Q910" s="3" t="str">
        <f ca="1">IFERROR(__xludf.DUMMYFUNCTION("""COMPUTED_VALUE"""),"640x640 a 640x335 + text + logo")</f>
        <v>640x640 a 640x335 + text + logo</v>
      </c>
      <c r="R910" s="3"/>
      <c r="S910" s="3" t="str">
        <f ca="1">IFERROR(__xludf.DUMMYFUNCTION("""COMPUTED_VALUE"""),"45")</f>
        <v>45</v>
      </c>
      <c r="T910" s="3"/>
      <c r="U910" s="3" t="str">
        <f ca="1">IFERROR(__xludf.DUMMYFUNCTION("""COMPUTED_VALUE"""),"nativní reklama")</f>
        <v>nativní reklama</v>
      </c>
      <c r="V910" s="3"/>
      <c r="W910" s="4" t="str">
        <f ca="1">IFERROR(__xludf.DUMMYFUNCTION("""COMPUTED_VALUE"""),"https://reklama.cncenter.cz/Online/nativni-rectangle-cross-device")</f>
        <v>https://reklama.cncenter.cz/Online/nativni-rectangle-cross-device</v>
      </c>
      <c r="X910" s="3"/>
      <c r="Y910" s="3"/>
      <c r="Z910" s="3" t="str">
        <f ca="1">IFERROR(__xludf.DUMMYFUNCTION("""COMPUTED_VALUE"""),"podklady@cncenter.cz")</f>
        <v>podklady@cncenter.cz</v>
      </c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 t="str">
        <f ca="1">IFERROR(__xludf.DUMMYFUNCTION("""COMPUTED_VALUE"""),"cross-device")</f>
        <v>cross-device</v>
      </c>
      <c r="AO910" s="3"/>
      <c r="AP910" s="3"/>
      <c r="AQ910" s="3"/>
      <c r="AR910" s="3"/>
      <c r="AS910" s="3"/>
      <c r="AT910" s="3"/>
      <c r="AU910" s="3" t="str">
        <f ca="1">IFERROR(__xludf.DUMMYFUNCTION("""COMPUTED_VALUE"""),"cílený nativní rectangle cross-device")</f>
        <v>cílený nativní rectangle cross-device</v>
      </c>
    </row>
    <row r="911" spans="1:47" x14ac:dyDescent="0.3">
      <c r="A911" s="3">
        <f ca="1"/>
        <v>2346826</v>
      </c>
      <c r="B911" s="3" t="str">
        <f ca="1"/>
        <v>CZECH NEWS CENTER a. s.</v>
      </c>
      <c r="C911" s="3" t="str">
        <f ca="1">IFERROR(__xludf.DUMMYFUNCTION("""COMPUTED_VALUE"""),"Realitní trh")</f>
        <v>Realitní trh</v>
      </c>
      <c r="D911" s="4" t="str">
        <f ca="1">IFERROR(__xludf.DUMMYFUNCTION("""COMPUTED_VALUE"""),"https://www.realitnitrh.cz")</f>
        <v>https://www.realitnitrh.cz</v>
      </c>
      <c r="E911" s="3" t="str">
        <f ca="1">IFERROR(__xludf.DUMMYFUNCTION("""COMPUTED_VALUE"""),"celý web")</f>
        <v>celý web</v>
      </c>
      <c r="F911" s="4" t="str">
        <f ca="1">IFERROR(__xludf.DUMMYFUNCTION("""COMPUTED_VALUE"""),"https://www.realitnitrh.cz")</f>
        <v>https://www.realitnitrh.cz</v>
      </c>
      <c r="G911" s="3" t="str">
        <f ca="1">IFERROR(__xludf.DUMMYFUNCTION("""COMPUTED_VALUE"""),"cílený outstream high season")</f>
        <v>cílený outstream high season</v>
      </c>
      <c r="H911" s="3">
        <f ca="1">IFERROR(__xludf.DUMMYFUNCTION("""COMPUTED_VALUE"""),7)</f>
        <v>7</v>
      </c>
      <c r="I911" s="5">
        <f ca="1">IFERROR(__xludf.DUMMYFUNCTION("""COMPUTED_VALUE"""),1000)</f>
        <v>1000</v>
      </c>
      <c r="J911" s="5">
        <f ca="1">IFERROR(__xludf.DUMMYFUNCTION("""COMPUTED_VALUE"""),540)</f>
        <v>540</v>
      </c>
      <c r="K911" s="3"/>
      <c r="L911" s="3" t="str">
        <f ca="1">IFERROR(__xludf.DUMMYFUNCTION("""COMPUTED_VALUE"""),"Cost per period")</f>
        <v>Cost per period</v>
      </c>
      <c r="M911" s="3"/>
      <c r="N911" s="3"/>
      <c r="O911" s="3" t="str">
        <f ca="1">IFERROR(__xludf.DUMMYFUNCTION("""COMPUTED_VALUE"""),"1280")</f>
        <v>1280</v>
      </c>
      <c r="P911" s="3" t="str">
        <f ca="1">IFERROR(__xludf.DUMMYFUNCTION("""COMPUTED_VALUE"""),"720")</f>
        <v>720</v>
      </c>
      <c r="Q911" s="3" t="str">
        <f ca="1">IFERROR(__xludf.DUMMYFUNCTION("""COMPUTED_VALUE"""),"16:9")</f>
        <v>16:9</v>
      </c>
      <c r="R911" s="3"/>
      <c r="S911" s="3" t="str">
        <f ca="1">IFERROR(__xludf.DUMMYFUNCTION("""COMPUTED_VALUE"""),"100")</f>
        <v>100</v>
      </c>
      <c r="T911" s="3"/>
      <c r="U911" s="3" t="str">
        <f ca="1">IFERROR(__xludf.DUMMYFUNCTION("""COMPUTED_VALUE"""),"videospot")</f>
        <v>videospot</v>
      </c>
      <c r="V911" s="3"/>
      <c r="W911" s="4" t="str">
        <f ca="1">IFERROR(__xludf.DUMMYFUNCTION("""COMPUTED_VALUE"""),"https://reklama.cncenter.cz/Online/Outstream")</f>
        <v>https://reklama.cncenter.cz/Online/Outstream</v>
      </c>
      <c r="X911" s="3"/>
      <c r="Y911" s="3"/>
      <c r="Z911" s="3" t="str">
        <f ca="1">IFERROR(__xludf.DUMMYFUNCTION("""COMPUTED_VALUE"""),"podklady@cncenter.cz")</f>
        <v>podklady@cncenter.cz</v>
      </c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 t="str">
        <f ca="1">IFERROR(__xludf.DUMMYFUNCTION("""COMPUTED_VALUE"""),"cross-device")</f>
        <v>cross-device</v>
      </c>
      <c r="AO911" s="3"/>
      <c r="AP911" s="3"/>
      <c r="AQ911" s="3"/>
      <c r="AR911" s="3"/>
      <c r="AS911" s="3"/>
      <c r="AT911" s="3"/>
      <c r="AU911" s="3" t="str">
        <f ca="1">IFERROR(__xludf.DUMMYFUNCTION("""COMPUTED_VALUE"""),"cílený outstream")</f>
        <v>cílený outstream</v>
      </c>
    </row>
    <row r="912" spans="1:47" x14ac:dyDescent="0.3">
      <c r="A912" s="3">
        <f ca="1"/>
        <v>2346826</v>
      </c>
      <c r="B912" s="3" t="str">
        <f ca="1"/>
        <v>CZECH NEWS CENTER a. s.</v>
      </c>
      <c r="C912" s="3" t="str">
        <f ca="1">IFERROR(__xludf.DUMMYFUNCTION("""COMPUTED_VALUE"""),"Realitní trh")</f>
        <v>Realitní trh</v>
      </c>
      <c r="D912" s="4" t="str">
        <f ca="1">IFERROR(__xludf.DUMMYFUNCTION("""COMPUTED_VALUE"""),"https://www.realitnitrh.cz")</f>
        <v>https://www.realitnitrh.cz</v>
      </c>
      <c r="E912" s="3" t="str">
        <f ca="1">IFERROR(__xludf.DUMMYFUNCTION("""COMPUTED_VALUE"""),"celý web")</f>
        <v>celý web</v>
      </c>
      <c r="F912" s="4" t="str">
        <f ca="1">IFERROR(__xludf.DUMMYFUNCTION("""COMPUTED_VALUE"""),"https://www.realitnitrh.cz")</f>
        <v>https://www.realitnitrh.cz</v>
      </c>
      <c r="G912" s="3" t="str">
        <f ca="1">IFERROR(__xludf.DUMMYFUNCTION("""COMPUTED_VALUE"""),"dokoupení proma o 2 týdny - 10 000 PV *** high season")</f>
        <v>dokoupení proma o 2 týdny - 10 000 PV *** high season</v>
      </c>
      <c r="H912" s="3">
        <f ca="1">IFERROR(__xludf.DUMMYFUNCTION("""COMPUTED_VALUE"""),1)</f>
        <v>1</v>
      </c>
      <c r="I912" s="5">
        <f ca="1">IFERROR(__xludf.DUMMYFUNCTION("""COMPUTED_VALUE"""),1)</f>
        <v>1</v>
      </c>
      <c r="J912" s="5">
        <f ca="1">IFERROR(__xludf.DUMMYFUNCTION("""COMPUTED_VALUE"""),60000)</f>
        <v>60000</v>
      </c>
      <c r="K912" s="3"/>
      <c r="L912" s="3" t="str">
        <f ca="1">IFERROR(__xludf.DUMMYFUNCTION("""COMPUTED_VALUE"""),"Cost per instance")</f>
        <v>Cost per instance</v>
      </c>
      <c r="M912" s="3"/>
      <c r="N912" s="3"/>
      <c r="O912" s="3"/>
      <c r="P912" s="3"/>
      <c r="Q912" s="3"/>
      <c r="R912" s="3"/>
      <c r="S912" s="3" t="str">
        <f ca="1">IFERROR(__xludf.DUMMYFUNCTION("""COMPUTED_VALUE"""),"100")</f>
        <v>100</v>
      </c>
      <c r="T912" s="3"/>
      <c r="U912" s="3" t="str">
        <f ca="1">IFERROR(__xludf.DUMMYFUNCTION("""COMPUTED_VALUE"""),"microsite")</f>
        <v>microsite</v>
      </c>
      <c r="V912" s="3"/>
      <c r="W912" s="3"/>
      <c r="X912" s="3"/>
      <c r="Y912" s="3"/>
      <c r="Z912" s="3" t="str">
        <f ca="1">IFERROR(__xludf.DUMMYFUNCTION("""COMPUTED_VALUE"""),"podklady@cncenter.cz")</f>
        <v>podklady@cncenter.cz</v>
      </c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 t="str">
        <f ca="1">IFERROR(__xludf.DUMMYFUNCTION("""COMPUTED_VALUE"""),"cross-device")</f>
        <v>cross-device</v>
      </c>
      <c r="AO912" s="3"/>
      <c r="AP912" s="3"/>
      <c r="AQ912" s="3"/>
      <c r="AR912" s="3"/>
      <c r="AS912" s="3"/>
      <c r="AT912" s="3"/>
      <c r="AU912" s="3" t="str">
        <f ca="1">IFERROR(__xludf.DUMMYFUNCTION("""COMPUTED_VALUE"""),"dokoupení proma o 2 týdny - 10 000 PV ***")</f>
        <v>dokoupení proma o 2 týdny - 10 000 PV ***</v>
      </c>
    </row>
    <row r="913" spans="1:47" x14ac:dyDescent="0.3">
      <c r="A913" s="3">
        <f ca="1"/>
        <v>2346826</v>
      </c>
      <c r="B913" s="3" t="str">
        <f ca="1"/>
        <v>CZECH NEWS CENTER a. s.</v>
      </c>
      <c r="C913" s="3" t="str">
        <f ca="1">IFERROR(__xludf.DUMMYFUNCTION("""COMPUTED_VALUE"""),"Realitní trh")</f>
        <v>Realitní trh</v>
      </c>
      <c r="D913" s="4" t="str">
        <f ca="1">IFERROR(__xludf.DUMMYFUNCTION("""COMPUTED_VALUE"""),"https://www.realitnitrh.cz")</f>
        <v>https://www.realitnitrh.cz</v>
      </c>
      <c r="E913" s="3" t="str">
        <f ca="1">IFERROR(__xludf.DUMMYFUNCTION("""COMPUTED_VALUE"""),"celý web")</f>
        <v>celý web</v>
      </c>
      <c r="F913" s="4" t="str">
        <f ca="1">IFERROR(__xludf.DUMMYFUNCTION("""COMPUTED_VALUE"""),"https://www.realitnitrh.cz")</f>
        <v>https://www.realitnitrh.cz</v>
      </c>
      <c r="G913" s="3" t="str">
        <f ca="1">IFERROR(__xludf.DUMMYFUNCTION("""COMPUTED_VALUE"""),"double skyscraper high season")</f>
        <v>double skyscraper high season</v>
      </c>
      <c r="H913" s="3">
        <f ca="1">IFERROR(__xludf.DUMMYFUNCTION("""COMPUTED_VALUE"""),7)</f>
        <v>7</v>
      </c>
      <c r="I913" s="5">
        <f ca="1">IFERROR(__xludf.DUMMYFUNCTION("""COMPUTED_VALUE"""),1000)</f>
        <v>1000</v>
      </c>
      <c r="J913" s="5">
        <f ca="1">IFERROR(__xludf.DUMMYFUNCTION("""COMPUTED_VALUE"""),350)</f>
        <v>350</v>
      </c>
      <c r="K913" s="3"/>
      <c r="L913" s="3" t="str">
        <f ca="1">IFERROR(__xludf.DUMMYFUNCTION("""COMPUTED_VALUE"""),"Cost per period")</f>
        <v>Cost per period</v>
      </c>
      <c r="M913" s="3"/>
      <c r="N913" s="3"/>
      <c r="O913" s="3" t="str">
        <f ca="1">IFERROR(__xludf.DUMMYFUNCTION("""COMPUTED_VALUE"""),"300")</f>
        <v>300</v>
      </c>
      <c r="P913" s="3" t="str">
        <f ca="1">IFERROR(__xludf.DUMMYFUNCTION("""COMPUTED_VALUE"""),"600")</f>
        <v>600</v>
      </c>
      <c r="Q913" s="3" t="str">
        <f ca="1">IFERROR(__xludf.DUMMYFUNCTION("""COMPUTED_VALUE"""),"300x600")</f>
        <v>300x600</v>
      </c>
      <c r="R913" s="3"/>
      <c r="S913" s="3" t="str">
        <f ca="1">IFERROR(__xludf.DUMMYFUNCTION("""COMPUTED_VALUE"""),"100 (200 - HTML5)")</f>
        <v>100 (200 - HTML5)</v>
      </c>
      <c r="T913" s="3"/>
      <c r="U913" s="3" t="str">
        <f ca="1">IFERROR(__xludf.DUMMYFUNCTION("""COMPUTED_VALUE"""),"banner standard")</f>
        <v>banner standard</v>
      </c>
      <c r="V913" s="3"/>
      <c r="W913" s="4" t="str">
        <f ca="1">IFERROR(__xludf.DUMMYFUNCTION("""COMPUTED_VALUE"""),"https://reklama.cncenter.cz/Online/double-skyscraper")</f>
        <v>https://reklama.cncenter.cz/Online/double-skyscraper</v>
      </c>
      <c r="X913" s="3"/>
      <c r="Y913" s="3"/>
      <c r="Z913" s="3" t="str">
        <f ca="1">IFERROR(__xludf.DUMMYFUNCTION("""COMPUTED_VALUE"""),"podklady@cncenter.cz")</f>
        <v>podklady@cncenter.cz</v>
      </c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 t="str">
        <f ca="1">IFERROR(__xludf.DUMMYFUNCTION("""COMPUTED_VALUE"""),"desktop")</f>
        <v>desktop</v>
      </c>
      <c r="AO913" s="3"/>
      <c r="AP913" s="3"/>
      <c r="AQ913" s="3"/>
      <c r="AR913" s="3"/>
      <c r="AS913" s="3"/>
      <c r="AT913" s="3"/>
      <c r="AU913" s="3" t="str">
        <f ca="1">IFERROR(__xludf.DUMMYFUNCTION("""COMPUTED_VALUE"""),"double skyscraper")</f>
        <v>double skyscraper</v>
      </c>
    </row>
    <row r="914" spans="1:47" x14ac:dyDescent="0.3">
      <c r="A914" s="3">
        <f ca="1"/>
        <v>2346826</v>
      </c>
      <c r="B914" s="3" t="str">
        <f ca="1"/>
        <v>CZECH NEWS CENTER a. s.</v>
      </c>
      <c r="C914" s="3" t="str">
        <f ca="1">IFERROR(__xludf.DUMMYFUNCTION("""COMPUTED_VALUE"""),"Realitní trh")</f>
        <v>Realitní trh</v>
      </c>
      <c r="D914" s="4" t="str">
        <f ca="1">IFERROR(__xludf.DUMMYFUNCTION("""COMPUTED_VALUE"""),"https://www.realitnitrh.cz")</f>
        <v>https://www.realitnitrh.cz</v>
      </c>
      <c r="E914" s="3" t="str">
        <f ca="1">IFERROR(__xludf.DUMMYFUNCTION("""COMPUTED_VALUE"""),"celý web")</f>
        <v>celý web</v>
      </c>
      <c r="F914" s="4" t="str">
        <f ca="1">IFERROR(__xludf.DUMMYFUNCTION("""COMPUTED_VALUE"""),"https://www.realitnitrh.cz")</f>
        <v>https://www.realitnitrh.cz</v>
      </c>
      <c r="G914" s="3" t="str">
        <f ca="1">IFERROR(__xludf.DUMMYFUNCTION("""COMPUTED_VALUE"""),"mobilní interscroller high season")</f>
        <v>mobilní interscroller high season</v>
      </c>
      <c r="H914" s="3">
        <f ca="1">IFERROR(__xludf.DUMMYFUNCTION("""COMPUTED_VALUE"""),7)</f>
        <v>7</v>
      </c>
      <c r="I914" s="5">
        <f ca="1">IFERROR(__xludf.DUMMYFUNCTION("""COMPUTED_VALUE"""),1000)</f>
        <v>1000</v>
      </c>
      <c r="J914" s="5">
        <f ca="1">IFERROR(__xludf.DUMMYFUNCTION("""COMPUTED_VALUE"""),450)</f>
        <v>450</v>
      </c>
      <c r="K914" s="3"/>
      <c r="L914" s="3" t="str">
        <f ca="1">IFERROR(__xludf.DUMMYFUNCTION("""COMPUTED_VALUE"""),"Cost per period")</f>
        <v>Cost per period</v>
      </c>
      <c r="M914" s="3"/>
      <c r="N914" s="3"/>
      <c r="O914" s="3" t="str">
        <f ca="1">IFERROR(__xludf.DUMMYFUNCTION("""COMPUTED_VALUE"""),"600")</f>
        <v>600</v>
      </c>
      <c r="P914" s="3" t="str">
        <f ca="1">IFERROR(__xludf.DUMMYFUNCTION("""COMPUTED_VALUE"""),"1080")</f>
        <v>1080</v>
      </c>
      <c r="Q914" s="3" t="str">
        <f ca="1">IFERROR(__xludf.DUMMYFUNCTION("""COMPUTED_VALUE"""),"600x1080")</f>
        <v>600x1080</v>
      </c>
      <c r="R914" s="3"/>
      <c r="S914" s="3" t="str">
        <f ca="1">IFERROR(__xludf.DUMMYFUNCTION("""COMPUTED_VALUE"""),"200")</f>
        <v>200</v>
      </c>
      <c r="T914" s="3"/>
      <c r="U914" s="3" t="str">
        <f ca="1">IFERROR(__xludf.DUMMYFUNCTION("""COMPUTED_VALUE"""),"banner standard")</f>
        <v>banner standard</v>
      </c>
      <c r="V914" s="3"/>
      <c r="W914" s="4" t="str">
        <f ca="1">IFERROR(__xludf.DUMMYFUNCTION("""COMPUTED_VALUE"""),"https://reklama.cncenter.cz/Online/mobilni-interscroller")</f>
        <v>https://reklama.cncenter.cz/Online/mobilni-interscroller</v>
      </c>
      <c r="X914" s="3"/>
      <c r="Y914" s="3"/>
      <c r="Z914" s="3" t="str">
        <f ca="1">IFERROR(__xludf.DUMMYFUNCTION("""COMPUTED_VALUE"""),"podklady@cncenter.cz")</f>
        <v>podklady@cncenter.cz</v>
      </c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 t="str">
        <f ca="1">IFERROR(__xludf.DUMMYFUNCTION("""COMPUTED_VALUE"""),"mobile")</f>
        <v>mobile</v>
      </c>
      <c r="AO914" s="3"/>
      <c r="AP914" s="3"/>
      <c r="AQ914" s="3"/>
      <c r="AR914" s="3"/>
      <c r="AS914" s="3"/>
      <c r="AT914" s="3"/>
      <c r="AU914" s="3" t="str">
        <f ca="1">IFERROR(__xludf.DUMMYFUNCTION("""COMPUTED_VALUE"""),"mobilní interscroller")</f>
        <v>mobilní interscroller</v>
      </c>
    </row>
    <row r="915" spans="1:47" x14ac:dyDescent="0.3">
      <c r="A915" s="3">
        <f ca="1"/>
        <v>2346826</v>
      </c>
      <c r="B915" s="3" t="str">
        <f ca="1"/>
        <v>CZECH NEWS CENTER a. s.</v>
      </c>
      <c r="C915" s="3" t="str">
        <f ca="1">IFERROR(__xludf.DUMMYFUNCTION("""COMPUTED_VALUE"""),"Realitní trh")</f>
        <v>Realitní trh</v>
      </c>
      <c r="D915" s="4" t="str">
        <f ca="1">IFERROR(__xludf.DUMMYFUNCTION("""COMPUTED_VALUE"""),"https://www.realitnitrh.cz")</f>
        <v>https://www.realitnitrh.cz</v>
      </c>
      <c r="E915" s="3" t="str">
        <f ca="1">IFERROR(__xludf.DUMMYFUNCTION("""COMPUTED_VALUE"""),"celý web")</f>
        <v>celý web</v>
      </c>
      <c r="F915" s="4" t="str">
        <f ca="1">IFERROR(__xludf.DUMMYFUNCTION("""COMPUTED_VALUE"""),"https://www.realitnitrh.cz")</f>
        <v>https://www.realitnitrh.cz</v>
      </c>
      <c r="G915" s="3" t="str">
        <f ca="1">IFERROR(__xludf.DUMMYFUNCTION("""COMPUTED_VALUE"""),"Native Standard high season")</f>
        <v>Native Standard high season</v>
      </c>
      <c r="H915" s="3">
        <f ca="1">IFERROR(__xludf.DUMMYFUNCTION("""COMPUTED_VALUE"""),1)</f>
        <v>1</v>
      </c>
      <c r="I915" s="5">
        <f ca="1">IFERROR(__xludf.DUMMYFUNCTION("""COMPUTED_VALUE"""),1)</f>
        <v>1</v>
      </c>
      <c r="J915" s="5">
        <f ca="1">IFERROR(__xludf.DUMMYFUNCTION("""COMPUTED_VALUE"""),330000)</f>
        <v>330000</v>
      </c>
      <c r="K915" s="3"/>
      <c r="L915" s="3" t="str">
        <f ca="1">IFERROR(__xludf.DUMMYFUNCTION("""COMPUTED_VALUE"""),"Cost per instance")</f>
        <v>Cost per instance</v>
      </c>
      <c r="M915" s="3"/>
      <c r="N915" s="3"/>
      <c r="O915" s="3"/>
      <c r="P915" s="3"/>
      <c r="Q915" s="3"/>
      <c r="R915" s="3"/>
      <c r="S915" s="3" t="str">
        <f ca="1">IFERROR(__xludf.DUMMYFUNCTION("""COMPUTED_VALUE"""),"100")</f>
        <v>100</v>
      </c>
      <c r="T915" s="3"/>
      <c r="U915" s="3" t="str">
        <f ca="1">IFERROR(__xludf.DUMMYFUNCTION("""COMPUTED_VALUE"""),"microsite")</f>
        <v>microsite</v>
      </c>
      <c r="V915" s="3"/>
      <c r="W915" s="3"/>
      <c r="X915" s="3"/>
      <c r="Y915" s="3"/>
      <c r="Z915" s="3" t="str">
        <f ca="1">IFERROR(__xludf.DUMMYFUNCTION("""COMPUTED_VALUE"""),"podklady@cncenter.cz")</f>
        <v>podklady@cncenter.cz</v>
      </c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 t="str">
        <f ca="1">IFERROR(__xludf.DUMMYFUNCTION("""COMPUTED_VALUE"""),"cross-device")</f>
        <v>cross-device</v>
      </c>
      <c r="AO915" s="3"/>
      <c r="AP915" s="3"/>
      <c r="AQ915" s="3"/>
      <c r="AR915" s="3"/>
      <c r="AS915" s="3"/>
      <c r="AT915" s="3"/>
      <c r="AU915" s="3" t="str">
        <f ca="1">IFERROR(__xludf.DUMMYFUNCTION("""COMPUTED_VALUE"""),"Native Standard")</f>
        <v>Native Standard</v>
      </c>
    </row>
    <row r="916" spans="1:47" x14ac:dyDescent="0.3">
      <c r="A916" s="3">
        <f ca="1"/>
        <v>2346826</v>
      </c>
      <c r="B916" s="3" t="str">
        <f ca="1"/>
        <v>CZECH NEWS CENTER a. s.</v>
      </c>
      <c r="C916" s="3" t="str">
        <f ca="1">IFERROR(__xludf.DUMMYFUNCTION("""COMPUTED_VALUE"""),"Realitní trh")</f>
        <v>Realitní trh</v>
      </c>
      <c r="D916" s="4" t="str">
        <f ca="1">IFERROR(__xludf.DUMMYFUNCTION("""COMPUTED_VALUE"""),"https://www.realitnitrh.cz")</f>
        <v>https://www.realitnitrh.cz</v>
      </c>
      <c r="E916" s="3" t="str">
        <f ca="1">IFERROR(__xludf.DUMMYFUNCTION("""COMPUTED_VALUE"""),"celý web")</f>
        <v>celý web</v>
      </c>
      <c r="F916" s="4" t="str">
        <f ca="1">IFERROR(__xludf.DUMMYFUNCTION("""COMPUTED_VALUE"""),"https://www.realitnitrh.cz")</f>
        <v>https://www.realitnitrh.cz</v>
      </c>
      <c r="G916" s="3" t="str">
        <f ca="1">IFERROR(__xludf.DUMMYFUNCTION("""COMPUTED_VALUE"""),"nativní pr premium high season")</f>
        <v>nativní pr premium high season</v>
      </c>
      <c r="H916" s="3">
        <f ca="1">IFERROR(__xludf.DUMMYFUNCTION("""COMPUTED_VALUE"""),7)</f>
        <v>7</v>
      </c>
      <c r="I916" s="5">
        <f ca="1">IFERROR(__xludf.DUMMYFUNCTION("""COMPUTED_VALUE"""),1000)</f>
        <v>1000</v>
      </c>
      <c r="J916" s="5">
        <f ca="1">IFERROR(__xludf.DUMMYFUNCTION("""COMPUTED_VALUE"""),180)</f>
        <v>180</v>
      </c>
      <c r="K916" s="3"/>
      <c r="L916" s="3" t="str">
        <f ca="1">IFERROR(__xludf.DUMMYFUNCTION("""COMPUTED_VALUE"""),"Cost per period")</f>
        <v>Cost per period</v>
      </c>
      <c r="M916" s="3"/>
      <c r="N916" s="3"/>
      <c r="O916" s="3" t="str">
        <f ca="1">IFERROR(__xludf.DUMMYFUNCTION("""COMPUTED_VALUE"""),"640")</f>
        <v>640</v>
      </c>
      <c r="P916" s="3" t="str">
        <f ca="1">IFERROR(__xludf.DUMMYFUNCTION("""COMPUTED_VALUE"""),"335, 640")</f>
        <v>335, 640</v>
      </c>
      <c r="Q916" s="3" t="str">
        <f ca="1">IFERROR(__xludf.DUMMYFUNCTION("""COMPUTED_VALUE"""),"640x640 a 640x335 + text + logo")</f>
        <v>640x640 a 640x335 + text + logo</v>
      </c>
      <c r="R916" s="3" t="str">
        <f ca="1">IFERROR(__xludf.DUMMYFUNCTION("""COMPUTED_VALUE"""),"detailní specifikace na URL odkaze")</f>
        <v>detailní specifikace na URL odkaze</v>
      </c>
      <c r="S916" s="3" t="str">
        <f ca="1">IFERROR(__xludf.DUMMYFUNCTION("""COMPUTED_VALUE"""),"100")</f>
        <v>100</v>
      </c>
      <c r="T916" s="3"/>
      <c r="U916" s="3" t="str">
        <f ca="1">IFERROR(__xludf.DUMMYFUNCTION("""COMPUTED_VALUE"""),"nativní reklama")</f>
        <v>nativní reklama</v>
      </c>
      <c r="V916" s="3"/>
      <c r="W916" s="4" t="str">
        <f ca="1">IFERROR(__xludf.DUMMYFUNCTION("""COMPUTED_VALUE"""),"https://reklama.cncenter.cz/Online/nativni-PR-premium")</f>
        <v>https://reklama.cncenter.cz/Online/nativni-PR-premium</v>
      </c>
      <c r="X916" s="3"/>
      <c r="Y916" s="3"/>
      <c r="Z916" s="3" t="str">
        <f ca="1">IFERROR(__xludf.DUMMYFUNCTION("""COMPUTED_VALUE"""),"podklady@cncenter.cz")</f>
        <v>podklady@cncenter.cz</v>
      </c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 t="str">
        <f ca="1">IFERROR(__xludf.DUMMYFUNCTION("""COMPUTED_VALUE"""),"cross-device")</f>
        <v>cross-device</v>
      </c>
      <c r="AO916" s="3"/>
      <c r="AP916" s="3"/>
      <c r="AQ916" s="3"/>
      <c r="AR916" s="3"/>
      <c r="AS916" s="3"/>
      <c r="AT916" s="3"/>
      <c r="AU916" s="3" t="str">
        <f ca="1">IFERROR(__xludf.DUMMYFUNCTION("""COMPUTED_VALUE"""),"nativní pr premium")</f>
        <v>nativní pr premium</v>
      </c>
    </row>
    <row r="917" spans="1:47" x14ac:dyDescent="0.3">
      <c r="A917" s="3">
        <f ca="1"/>
        <v>2346826</v>
      </c>
      <c r="B917" s="3" t="str">
        <f ca="1"/>
        <v>CZECH NEWS CENTER a. s.</v>
      </c>
      <c r="C917" s="3" t="str">
        <f ca="1">IFERROR(__xludf.DUMMYFUNCTION("""COMPUTED_VALUE"""),"Realitní trh")</f>
        <v>Realitní trh</v>
      </c>
      <c r="D917" s="4" t="str">
        <f ca="1">IFERROR(__xludf.DUMMYFUNCTION("""COMPUTED_VALUE"""),"https://www.realitnitrh.cz")</f>
        <v>https://www.realitnitrh.cz</v>
      </c>
      <c r="E917" s="3" t="str">
        <f ca="1">IFERROR(__xludf.DUMMYFUNCTION("""COMPUTED_VALUE"""),"celý web")</f>
        <v>celý web</v>
      </c>
      <c r="F917" s="4" t="str">
        <f ca="1">IFERROR(__xludf.DUMMYFUNCTION("""COMPUTED_VALUE"""),"https://www.realitnitrh.cz")</f>
        <v>https://www.realitnitrh.cz</v>
      </c>
      <c r="G917" s="3" t="str">
        <f ca="1">IFERROR(__xludf.DUMMYFUNCTION("""COMPUTED_VALUE"""),"nativní rectangle cross-device high season")</f>
        <v>nativní rectangle cross-device high season</v>
      </c>
      <c r="H917" s="3">
        <f ca="1">IFERROR(__xludf.DUMMYFUNCTION("""COMPUTED_VALUE"""),7)</f>
        <v>7</v>
      </c>
      <c r="I917" s="5">
        <f ca="1">IFERROR(__xludf.DUMMYFUNCTION("""COMPUTED_VALUE"""),1000)</f>
        <v>1000</v>
      </c>
      <c r="J917" s="5">
        <f ca="1">IFERROR(__xludf.DUMMYFUNCTION("""COMPUTED_VALUE"""),360)</f>
        <v>360</v>
      </c>
      <c r="K917" s="3"/>
      <c r="L917" s="3" t="str">
        <f ca="1">IFERROR(__xludf.DUMMYFUNCTION("""COMPUTED_VALUE"""),"Cost per period")</f>
        <v>Cost per period</v>
      </c>
      <c r="M917" s="3"/>
      <c r="N917" s="3"/>
      <c r="O917" s="3" t="str">
        <f ca="1">IFERROR(__xludf.DUMMYFUNCTION("""COMPUTED_VALUE"""),"640")</f>
        <v>640</v>
      </c>
      <c r="P917" s="3" t="str">
        <f ca="1">IFERROR(__xludf.DUMMYFUNCTION("""COMPUTED_VALUE"""),"335, 640")</f>
        <v>335, 640</v>
      </c>
      <c r="Q917" s="3" t="str">
        <f ca="1">IFERROR(__xludf.DUMMYFUNCTION("""COMPUTED_VALUE"""),"640x640 a 640x335 + text + logo")</f>
        <v>640x640 a 640x335 + text + logo</v>
      </c>
      <c r="R917" s="3"/>
      <c r="S917" s="3" t="str">
        <f ca="1">IFERROR(__xludf.DUMMYFUNCTION("""COMPUTED_VALUE"""),"45")</f>
        <v>45</v>
      </c>
      <c r="T917" s="3"/>
      <c r="U917" s="3" t="str">
        <f ca="1">IFERROR(__xludf.DUMMYFUNCTION("""COMPUTED_VALUE"""),"nativní reklama")</f>
        <v>nativní reklama</v>
      </c>
      <c r="V917" s="3"/>
      <c r="W917" s="4" t="str">
        <f ca="1">IFERROR(__xludf.DUMMYFUNCTION("""COMPUTED_VALUE"""),"https://reklama.cncenter.cz/Online/nativni-rectangle-cross-device")</f>
        <v>https://reklama.cncenter.cz/Online/nativni-rectangle-cross-device</v>
      </c>
      <c r="X917" s="3"/>
      <c r="Y917" s="3"/>
      <c r="Z917" s="3" t="str">
        <f ca="1">IFERROR(__xludf.DUMMYFUNCTION("""COMPUTED_VALUE"""),"podklady@cncenter.cz")</f>
        <v>podklady@cncenter.cz</v>
      </c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 t="str">
        <f ca="1">IFERROR(__xludf.DUMMYFUNCTION("""COMPUTED_VALUE"""),"cross-device")</f>
        <v>cross-device</v>
      </c>
      <c r="AO917" s="3"/>
      <c r="AP917" s="3"/>
      <c r="AQ917" s="3"/>
      <c r="AR917" s="3"/>
      <c r="AS917" s="3"/>
      <c r="AT917" s="3"/>
      <c r="AU917" s="3" t="str">
        <f ca="1">IFERROR(__xludf.DUMMYFUNCTION("""COMPUTED_VALUE"""),"nativní rectangle cross-device")</f>
        <v>nativní rectangle cross-device</v>
      </c>
    </row>
    <row r="918" spans="1:47" x14ac:dyDescent="0.3">
      <c r="A918" s="3">
        <f ca="1"/>
        <v>2346826</v>
      </c>
      <c r="B918" s="3" t="str">
        <f ca="1"/>
        <v>CZECH NEWS CENTER a. s.</v>
      </c>
      <c r="C918" s="3" t="str">
        <f ca="1">IFERROR(__xludf.DUMMYFUNCTION("""COMPUTED_VALUE"""),"Realitní trh")</f>
        <v>Realitní trh</v>
      </c>
      <c r="D918" s="4" t="str">
        <f ca="1">IFERROR(__xludf.DUMMYFUNCTION("""COMPUTED_VALUE"""),"https://www.realitnitrh.cz")</f>
        <v>https://www.realitnitrh.cz</v>
      </c>
      <c r="E918" s="3" t="str">
        <f ca="1">IFERROR(__xludf.DUMMYFUNCTION("""COMPUTED_VALUE"""),"celý web")</f>
        <v>celý web</v>
      </c>
      <c r="F918" s="4" t="str">
        <f ca="1">IFERROR(__xludf.DUMMYFUNCTION("""COMPUTED_VALUE"""),"https://www.realitnitrh.cz")</f>
        <v>https://www.realitnitrh.cz</v>
      </c>
      <c r="G918" s="3" t="str">
        <f ca="1">IFERROR(__xludf.DUMMYFUNCTION("""COMPUTED_VALUE"""),"outstream high season")</f>
        <v>outstream high season</v>
      </c>
      <c r="H918" s="3">
        <f ca="1">IFERROR(__xludf.DUMMYFUNCTION("""COMPUTED_VALUE"""),7)</f>
        <v>7</v>
      </c>
      <c r="I918" s="5">
        <f ca="1">IFERROR(__xludf.DUMMYFUNCTION("""COMPUTED_VALUE"""),1000)</f>
        <v>1000</v>
      </c>
      <c r="J918" s="5">
        <f ca="1">IFERROR(__xludf.DUMMYFUNCTION("""COMPUTED_VALUE"""),450)</f>
        <v>450</v>
      </c>
      <c r="K918" s="3"/>
      <c r="L918" s="3" t="str">
        <f ca="1">IFERROR(__xludf.DUMMYFUNCTION("""COMPUTED_VALUE"""),"Cost per period")</f>
        <v>Cost per period</v>
      </c>
      <c r="M918" s="3"/>
      <c r="N918" s="3"/>
      <c r="O918" s="3" t="str">
        <f ca="1">IFERROR(__xludf.DUMMYFUNCTION("""COMPUTED_VALUE"""),"1280")</f>
        <v>1280</v>
      </c>
      <c r="P918" s="3" t="str">
        <f ca="1">IFERROR(__xludf.DUMMYFUNCTION("""COMPUTED_VALUE"""),"720")</f>
        <v>720</v>
      </c>
      <c r="Q918" s="3" t="str">
        <f ca="1">IFERROR(__xludf.DUMMYFUNCTION("""COMPUTED_VALUE"""),"16:9")</f>
        <v>16:9</v>
      </c>
      <c r="R918" s="3"/>
      <c r="S918" s="3" t="str">
        <f ca="1">IFERROR(__xludf.DUMMYFUNCTION("""COMPUTED_VALUE"""),"100")</f>
        <v>100</v>
      </c>
      <c r="T918" s="3"/>
      <c r="U918" s="3" t="str">
        <f ca="1">IFERROR(__xludf.DUMMYFUNCTION("""COMPUTED_VALUE"""),"videospot")</f>
        <v>videospot</v>
      </c>
      <c r="V918" s="3"/>
      <c r="W918" s="4" t="str">
        <f ca="1">IFERROR(__xludf.DUMMYFUNCTION("""COMPUTED_VALUE"""),"https://reklama.cncenter.cz/Online/Outstream")</f>
        <v>https://reklama.cncenter.cz/Online/Outstream</v>
      </c>
      <c r="X918" s="3"/>
      <c r="Y918" s="3"/>
      <c r="Z918" s="3" t="str">
        <f ca="1">IFERROR(__xludf.DUMMYFUNCTION("""COMPUTED_VALUE"""),"podklady@cncenter.cz")</f>
        <v>podklady@cncenter.cz</v>
      </c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 t="str">
        <f ca="1">IFERROR(__xludf.DUMMYFUNCTION("""COMPUTED_VALUE"""),"cross-device")</f>
        <v>cross-device</v>
      </c>
      <c r="AO918" s="3"/>
      <c r="AP918" s="3"/>
      <c r="AQ918" s="3"/>
      <c r="AR918" s="3"/>
      <c r="AS918" s="3"/>
      <c r="AT918" s="3"/>
      <c r="AU918" s="3" t="str">
        <f ca="1">IFERROR(__xludf.DUMMYFUNCTION("""COMPUTED_VALUE"""),"outstream")</f>
        <v>outstream</v>
      </c>
    </row>
    <row r="919" spans="1:47" x14ac:dyDescent="0.3">
      <c r="A919" s="3">
        <f ca="1"/>
        <v>2346826</v>
      </c>
      <c r="B919" s="3" t="str">
        <f ca="1"/>
        <v>CZECH NEWS CENTER a. s.</v>
      </c>
      <c r="C919" s="3" t="str">
        <f ca="1">IFERROR(__xludf.DUMMYFUNCTION("""COMPUTED_VALUE"""),"Realitní trh")</f>
        <v>Realitní trh</v>
      </c>
      <c r="D919" s="4" t="str">
        <f ca="1">IFERROR(__xludf.DUMMYFUNCTION("""COMPUTED_VALUE"""),"https://www.realitnitrh.cz")</f>
        <v>https://www.realitnitrh.cz</v>
      </c>
      <c r="E919" s="3" t="str">
        <f ca="1">IFERROR(__xludf.DUMMYFUNCTION("""COMPUTED_VALUE"""),"celý web")</f>
        <v>celý web</v>
      </c>
      <c r="F919" s="4" t="str">
        <f ca="1">IFERROR(__xludf.DUMMYFUNCTION("""COMPUTED_VALUE"""),"https://www.realitnitrh.cz")</f>
        <v>https://www.realitnitrh.cz</v>
      </c>
      <c r="G919" s="3" t="str">
        <f ca="1">IFERROR(__xludf.DUMMYFUNCTION("""COMPUTED_VALUE"""),"PR článek high season")</f>
        <v>PR článek high season</v>
      </c>
      <c r="H919" s="3">
        <f ca="1">IFERROR(__xludf.DUMMYFUNCTION("""COMPUTED_VALUE"""),1)</f>
        <v>1</v>
      </c>
      <c r="I919" s="5">
        <f ca="1">IFERROR(__xludf.DUMMYFUNCTION("""COMPUTED_VALUE"""),1)</f>
        <v>1</v>
      </c>
      <c r="J919" s="5">
        <f ca="1">IFERROR(__xludf.DUMMYFUNCTION("""COMPUTED_VALUE"""),33000)</f>
        <v>33000</v>
      </c>
      <c r="K919" s="3"/>
      <c r="L919" s="3" t="str">
        <f ca="1">IFERROR(__xludf.DUMMYFUNCTION("""COMPUTED_VALUE"""),"Cost per instance")</f>
        <v>Cost per instance</v>
      </c>
      <c r="M919" s="3"/>
      <c r="N919" s="3"/>
      <c r="O919" s="3"/>
      <c r="P919" s="3"/>
      <c r="Q919" s="3"/>
      <c r="R919" s="3"/>
      <c r="S919" s="3" t="str">
        <f ca="1">IFERROR(__xludf.DUMMYFUNCTION("""COMPUTED_VALUE"""),"100")</f>
        <v>100</v>
      </c>
      <c r="T919" s="3"/>
      <c r="U919" s="3" t="str">
        <f ca="1">IFERROR(__xludf.DUMMYFUNCTION("""COMPUTED_VALUE"""),"pr článek")</f>
        <v>pr článek</v>
      </c>
      <c r="V919" s="3"/>
      <c r="W919" s="4" t="str">
        <f ca="1">IFERROR(__xludf.DUMMYFUNCTION("""COMPUTED_VALUE"""),"https://reklama.cncenter.cz/?ads=PR%2520%25C4%258Dl%25C3%25A1nky")</f>
        <v>https://reklama.cncenter.cz/?ads=PR%2520%25C4%258Dl%25C3%25A1nky</v>
      </c>
      <c r="X919" s="3"/>
      <c r="Y919" s="3"/>
      <c r="Z919" s="3" t="str">
        <f ca="1">IFERROR(__xludf.DUMMYFUNCTION("""COMPUTED_VALUE"""),"podklady@cncenter.cz")</f>
        <v>podklady@cncenter.cz</v>
      </c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 t="str">
        <f ca="1">IFERROR(__xludf.DUMMYFUNCTION("""COMPUTED_VALUE"""),"cross-device")</f>
        <v>cross-device</v>
      </c>
      <c r="AO919" s="3"/>
      <c r="AP919" s="3"/>
      <c r="AQ919" s="3"/>
      <c r="AR919" s="3"/>
      <c r="AS919" s="3"/>
      <c r="AT919" s="3"/>
      <c r="AU919" s="3" t="str">
        <f ca="1">IFERROR(__xludf.DUMMYFUNCTION("""COMPUTED_VALUE"""),"PR článek")</f>
        <v>PR článek</v>
      </c>
    </row>
    <row r="920" spans="1:47" x14ac:dyDescent="0.3">
      <c r="A920" s="3">
        <f ca="1"/>
        <v>2346826</v>
      </c>
      <c r="B920" s="3" t="str">
        <f ca="1"/>
        <v>CZECH NEWS CENTER a. s.</v>
      </c>
      <c r="C920" s="3" t="str">
        <f ca="1">IFERROR(__xludf.DUMMYFUNCTION("""COMPUTED_VALUE"""),"Realitní trh")</f>
        <v>Realitní trh</v>
      </c>
      <c r="D920" s="4" t="str">
        <f ca="1">IFERROR(__xludf.DUMMYFUNCTION("""COMPUTED_VALUE"""),"https://www.realitnitrh.cz")</f>
        <v>https://www.realitnitrh.cz</v>
      </c>
      <c r="E920" s="3" t="str">
        <f ca="1">IFERROR(__xludf.DUMMYFUNCTION("""COMPUTED_VALUE"""),"celý web")</f>
        <v>celý web</v>
      </c>
      <c r="F920" s="4" t="str">
        <f ca="1">IFERROR(__xludf.DUMMYFUNCTION("""COMPUTED_VALUE"""),"https://www.realitnitrh.cz")</f>
        <v>https://www.realitnitrh.cz</v>
      </c>
      <c r="G920" s="3" t="str">
        <f ca="1">IFERROR(__xludf.DUMMYFUNCTION("""COMPUTED_VALUE"""),"Prodloužení existující microsite, bez úprav high season")</f>
        <v>Prodloužení existující microsite, bez úprav high season</v>
      </c>
      <c r="H920" s="3">
        <f ca="1">IFERROR(__xludf.DUMMYFUNCTION("""COMPUTED_VALUE"""),1)</f>
        <v>1</v>
      </c>
      <c r="I920" s="5">
        <f ca="1">IFERROR(__xludf.DUMMYFUNCTION("""COMPUTED_VALUE"""),1)</f>
        <v>1</v>
      </c>
      <c r="J920" s="5">
        <f ca="1">IFERROR(__xludf.DUMMYFUNCTION("""COMPUTED_VALUE"""),15000)</f>
        <v>15000</v>
      </c>
      <c r="K920" s="3"/>
      <c r="L920" s="3" t="str">
        <f ca="1">IFERROR(__xludf.DUMMYFUNCTION("""COMPUTED_VALUE"""),"Cost per instance")</f>
        <v>Cost per instance</v>
      </c>
      <c r="M920" s="3"/>
      <c r="N920" s="3"/>
      <c r="O920" s="3"/>
      <c r="P920" s="3"/>
      <c r="Q920" s="3"/>
      <c r="R920" s="3"/>
      <c r="S920" s="3" t="str">
        <f ca="1">IFERROR(__xludf.DUMMYFUNCTION("""COMPUTED_VALUE"""),"100")</f>
        <v>100</v>
      </c>
      <c r="T920" s="3"/>
      <c r="U920" s="3" t="str">
        <f ca="1">IFERROR(__xludf.DUMMYFUNCTION("""COMPUTED_VALUE"""),"microsite")</f>
        <v>microsite</v>
      </c>
      <c r="V920" s="3"/>
      <c r="W920" s="3"/>
      <c r="X920" s="3"/>
      <c r="Y920" s="3"/>
      <c r="Z920" s="3" t="str">
        <f ca="1">IFERROR(__xludf.DUMMYFUNCTION("""COMPUTED_VALUE"""),"podklady@cncenter.cz")</f>
        <v>podklady@cncenter.cz</v>
      </c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 t="str">
        <f ca="1">IFERROR(__xludf.DUMMYFUNCTION("""COMPUTED_VALUE"""),"cross-device")</f>
        <v>cross-device</v>
      </c>
      <c r="AO920" s="3"/>
      <c r="AP920" s="3"/>
      <c r="AQ920" s="3"/>
      <c r="AR920" s="3"/>
      <c r="AS920" s="3"/>
      <c r="AT920" s="3"/>
      <c r="AU920" s="3" t="str">
        <f ca="1">IFERROR(__xludf.DUMMYFUNCTION("""COMPUTED_VALUE"""),"Prodloužení existující microsite, bez úprav")</f>
        <v>Prodloužení existující microsite, bez úprav</v>
      </c>
    </row>
    <row r="921" spans="1:47" x14ac:dyDescent="0.3">
      <c r="A921" s="3">
        <f ca="1"/>
        <v>2346826</v>
      </c>
      <c r="B921" s="3" t="str">
        <f ca="1"/>
        <v>CZECH NEWS CENTER a. s.</v>
      </c>
      <c r="C921" s="3" t="str">
        <f ca="1">IFERROR(__xludf.DUMMYFUNCTION("""COMPUTED_VALUE"""),"Realitní trh")</f>
        <v>Realitní trh</v>
      </c>
      <c r="D921" s="4" t="str">
        <f ca="1">IFERROR(__xludf.DUMMYFUNCTION("""COMPUTED_VALUE"""),"https://www.realitnitrh.cz")</f>
        <v>https://www.realitnitrh.cz</v>
      </c>
      <c r="E921" s="3" t="str">
        <f ca="1">IFERROR(__xludf.DUMMYFUNCTION("""COMPUTED_VALUE"""),"celý web")</f>
        <v>celý web</v>
      </c>
      <c r="F921" s="4" t="str">
        <f ca="1">IFERROR(__xludf.DUMMYFUNCTION("""COMPUTED_VALUE"""),"https://www.realitnitrh.cz")</f>
        <v>https://www.realitnitrh.cz</v>
      </c>
      <c r="G921" s="3" t="str">
        <f ca="1">IFERROR(__xludf.DUMMYFUNCTION("""COMPUTED_VALUE"""),"Prodloužení existující microsite, bez úprav high season")</f>
        <v>Prodloužení existující microsite, bez úprav high season</v>
      </c>
      <c r="H921" s="3">
        <f ca="1">IFERROR(__xludf.DUMMYFUNCTION("""COMPUTED_VALUE"""),1)</f>
        <v>1</v>
      </c>
      <c r="I921" s="5">
        <f ca="1">IFERROR(__xludf.DUMMYFUNCTION("""COMPUTED_VALUE"""),1)</f>
        <v>1</v>
      </c>
      <c r="J921" s="5">
        <f ca="1">IFERROR(__xludf.DUMMYFUNCTION("""COMPUTED_VALUE"""),15000)</f>
        <v>15000</v>
      </c>
      <c r="K921" s="3"/>
      <c r="L921" s="3" t="str">
        <f ca="1">IFERROR(__xludf.DUMMYFUNCTION("""COMPUTED_VALUE"""),"Cost per instance")</f>
        <v>Cost per instance</v>
      </c>
      <c r="M921" s="3"/>
      <c r="N921" s="3"/>
      <c r="O921" s="3"/>
      <c r="P921" s="3"/>
      <c r="Q921" s="3"/>
      <c r="R921" s="3"/>
      <c r="S921" s="3" t="str">
        <f ca="1">IFERROR(__xludf.DUMMYFUNCTION("""COMPUTED_VALUE"""),"100")</f>
        <v>100</v>
      </c>
      <c r="T921" s="3"/>
      <c r="U921" s="3" t="str">
        <f ca="1">IFERROR(__xludf.DUMMYFUNCTION("""COMPUTED_VALUE"""),"microsite")</f>
        <v>microsite</v>
      </c>
      <c r="V921" s="3"/>
      <c r="W921" s="3"/>
      <c r="X921" s="3"/>
      <c r="Y921" s="3"/>
      <c r="Z921" s="3" t="str">
        <f ca="1">IFERROR(__xludf.DUMMYFUNCTION("""COMPUTED_VALUE"""),"podklady@cncenter.cz")</f>
        <v>podklady@cncenter.cz</v>
      </c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 t="str">
        <f ca="1">IFERROR(__xludf.DUMMYFUNCTION("""COMPUTED_VALUE"""),"cross-device")</f>
        <v>cross-device</v>
      </c>
      <c r="AO921" s="3"/>
      <c r="AP921" s="3"/>
      <c r="AQ921" s="3"/>
      <c r="AR921" s="3"/>
      <c r="AS921" s="3"/>
      <c r="AT921" s="3"/>
      <c r="AU921" s="3" t="str">
        <f ca="1">IFERROR(__xludf.DUMMYFUNCTION("""COMPUTED_VALUE"""),"Prodloužení existující microsite, bez úprav")</f>
        <v>Prodloužení existující microsite, bez úprav</v>
      </c>
    </row>
    <row r="922" spans="1:47" x14ac:dyDescent="0.3">
      <c r="A922" s="3">
        <f ca="1"/>
        <v>2346826</v>
      </c>
      <c r="B922" s="3" t="str">
        <f ca="1"/>
        <v>CZECH NEWS CENTER a. s.</v>
      </c>
      <c r="C922" s="3" t="str">
        <f ca="1">IFERROR(__xludf.DUMMYFUNCTION("""COMPUTED_VALUE"""),"Realitní trh")</f>
        <v>Realitní trh</v>
      </c>
      <c r="D922" s="4" t="str">
        <f ca="1">IFERROR(__xludf.DUMMYFUNCTION("""COMPUTED_VALUE"""),"https://www.realitnitrh.cz")</f>
        <v>https://www.realitnitrh.cz</v>
      </c>
      <c r="E922" s="3" t="str">
        <f ca="1">IFERROR(__xludf.DUMMYFUNCTION("""COMPUTED_VALUE"""),"celý web")</f>
        <v>celý web</v>
      </c>
      <c r="F922" s="4" t="str">
        <f ca="1">IFERROR(__xludf.DUMMYFUNCTION("""COMPUTED_VALUE"""),"https://www.realitnitrh.cz")</f>
        <v>https://www.realitnitrh.cz</v>
      </c>
      <c r="G922" s="3" t="str">
        <f ca="1">IFERROR(__xludf.DUMMYFUNCTION("""COMPUTED_VALUE"""),"Prodloužení existující microsite, bez úprav high season")</f>
        <v>Prodloužení existující microsite, bez úprav high season</v>
      </c>
      <c r="H922" s="3">
        <f ca="1">IFERROR(__xludf.DUMMYFUNCTION("""COMPUTED_VALUE"""),1)</f>
        <v>1</v>
      </c>
      <c r="I922" s="5">
        <f ca="1">IFERROR(__xludf.DUMMYFUNCTION("""COMPUTED_VALUE"""),1)</f>
        <v>1</v>
      </c>
      <c r="J922" s="5">
        <f ca="1">IFERROR(__xludf.DUMMYFUNCTION("""COMPUTED_VALUE"""),15000)</f>
        <v>15000</v>
      </c>
      <c r="K922" s="3"/>
      <c r="L922" s="3" t="str">
        <f ca="1">IFERROR(__xludf.DUMMYFUNCTION("""COMPUTED_VALUE"""),"Cost per instance")</f>
        <v>Cost per instance</v>
      </c>
      <c r="M922" s="3"/>
      <c r="N922" s="3"/>
      <c r="O922" s="3"/>
      <c r="P922" s="3"/>
      <c r="Q922" s="3"/>
      <c r="R922" s="3"/>
      <c r="S922" s="3" t="str">
        <f ca="1">IFERROR(__xludf.DUMMYFUNCTION("""COMPUTED_VALUE"""),"100")</f>
        <v>100</v>
      </c>
      <c r="T922" s="3"/>
      <c r="U922" s="3" t="str">
        <f ca="1">IFERROR(__xludf.DUMMYFUNCTION("""COMPUTED_VALUE"""),"microsite")</f>
        <v>microsite</v>
      </c>
      <c r="V922" s="3"/>
      <c r="W922" s="3"/>
      <c r="X922" s="3"/>
      <c r="Y922" s="3"/>
      <c r="Z922" s="3" t="str">
        <f ca="1">IFERROR(__xludf.DUMMYFUNCTION("""COMPUTED_VALUE"""),"podklady@cncenter.cz")</f>
        <v>podklady@cncenter.cz</v>
      </c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 t="str">
        <f ca="1">IFERROR(__xludf.DUMMYFUNCTION("""COMPUTED_VALUE"""),"cross-device")</f>
        <v>cross-device</v>
      </c>
      <c r="AO922" s="3"/>
      <c r="AP922" s="3"/>
      <c r="AQ922" s="3"/>
      <c r="AR922" s="3"/>
      <c r="AS922" s="3"/>
      <c r="AT922" s="3"/>
      <c r="AU922" s="3" t="str">
        <f ca="1">IFERROR(__xludf.DUMMYFUNCTION("""COMPUTED_VALUE"""),"Prodloužení existující microsite, bez úprav")</f>
        <v>Prodloužení existující microsite, bez úprav</v>
      </c>
    </row>
    <row r="923" spans="1:47" x14ac:dyDescent="0.3">
      <c r="A923" s="3">
        <f ca="1"/>
        <v>2346826</v>
      </c>
      <c r="B923" s="3" t="str">
        <f ca="1"/>
        <v>CZECH NEWS CENTER a. s.</v>
      </c>
      <c r="C923" s="3" t="str">
        <f ca="1">IFERROR(__xludf.DUMMYFUNCTION("""COMPUTED_VALUE"""),"Recepty")</f>
        <v>Recepty</v>
      </c>
      <c r="D923" s="4" t="str">
        <f ca="1">IFERROR(__xludf.DUMMYFUNCTION("""COMPUTED_VALUE"""),"https://recepty.cz")</f>
        <v>https://recepty.cz</v>
      </c>
      <c r="E923" s="3" t="str">
        <f ca="1">IFERROR(__xludf.DUMMYFUNCTION("""COMPUTED_VALUE"""),"celý web")</f>
        <v>celý web</v>
      </c>
      <c r="F923" s="4" t="str">
        <f ca="1">IFERROR(__xludf.DUMMYFUNCTION("""COMPUTED_VALUE"""),"https://recepty.cz")</f>
        <v>https://recepty.cz</v>
      </c>
      <c r="G923" s="3" t="str">
        <f ca="1">IFERROR(__xludf.DUMMYFUNCTION("""COMPUTED_VALUE"""),"Advertorial high season")</f>
        <v>Advertorial high season</v>
      </c>
      <c r="H923" s="3">
        <f ca="1">IFERROR(__xludf.DUMMYFUNCTION("""COMPUTED_VALUE"""),1)</f>
        <v>1</v>
      </c>
      <c r="I923" s="5">
        <f ca="1">IFERROR(__xludf.DUMMYFUNCTION("""COMPUTED_VALUE"""),1)</f>
        <v>1</v>
      </c>
      <c r="J923" s="5">
        <f ca="1">IFERROR(__xludf.DUMMYFUNCTION("""COMPUTED_VALUE"""),90000)</f>
        <v>90000</v>
      </c>
      <c r="K923" s="3"/>
      <c r="L923" s="3" t="str">
        <f ca="1">IFERROR(__xludf.DUMMYFUNCTION("""COMPUTED_VALUE"""),"Cost per instance")</f>
        <v>Cost per instance</v>
      </c>
      <c r="M923" s="3"/>
      <c r="N923" s="3"/>
      <c r="O923" s="3"/>
      <c r="P923" s="3"/>
      <c r="Q923" s="3"/>
      <c r="R923" s="3"/>
      <c r="S923" s="3" t="str">
        <f ca="1">IFERROR(__xludf.DUMMYFUNCTION("""COMPUTED_VALUE"""),"100")</f>
        <v>100</v>
      </c>
      <c r="T923" s="3"/>
      <c r="U923" s="3" t="str">
        <f ca="1">IFERROR(__xludf.DUMMYFUNCTION("""COMPUTED_VALUE"""),"pr článek")</f>
        <v>pr článek</v>
      </c>
      <c r="V923" s="3"/>
      <c r="W923" s="3"/>
      <c r="X923" s="3"/>
      <c r="Y923" s="3"/>
      <c r="Z923" s="3" t="str">
        <f ca="1">IFERROR(__xludf.DUMMYFUNCTION("""COMPUTED_VALUE"""),"podklady@cncenter.cz")</f>
        <v>podklady@cncenter.cz</v>
      </c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 t="str">
        <f ca="1">IFERROR(__xludf.DUMMYFUNCTION("""COMPUTED_VALUE"""),"cross-device")</f>
        <v>cross-device</v>
      </c>
      <c r="AO923" s="3"/>
      <c r="AP923" s="3"/>
      <c r="AQ923" s="3"/>
      <c r="AR923" s="3"/>
      <c r="AS923" s="3"/>
      <c r="AT923" s="3"/>
      <c r="AU923" s="3" t="str">
        <f ca="1">IFERROR(__xludf.DUMMYFUNCTION("""COMPUTED_VALUE"""),"Advertorial")</f>
        <v>Advertorial</v>
      </c>
    </row>
    <row r="924" spans="1:47" x14ac:dyDescent="0.3">
      <c r="A924" s="3">
        <f ca="1"/>
        <v>2346826</v>
      </c>
      <c r="B924" s="3" t="str">
        <f ca="1"/>
        <v>CZECH NEWS CENTER a. s.</v>
      </c>
      <c r="C924" s="3" t="str">
        <f ca="1">IFERROR(__xludf.DUMMYFUNCTION("""COMPUTED_VALUE"""),"Recepty")</f>
        <v>Recepty</v>
      </c>
      <c r="D924" s="4" t="str">
        <f ca="1">IFERROR(__xludf.DUMMYFUNCTION("""COMPUTED_VALUE"""),"https://recepty.cz")</f>
        <v>https://recepty.cz</v>
      </c>
      <c r="E924" s="3" t="str">
        <f ca="1">IFERROR(__xludf.DUMMYFUNCTION("""COMPUTED_VALUE"""),"celý web")</f>
        <v>celý web</v>
      </c>
      <c r="F924" s="4" t="str">
        <f ca="1">IFERROR(__xludf.DUMMYFUNCTION("""COMPUTED_VALUE"""),"https://recepty.cz")</f>
        <v>https://recepty.cz</v>
      </c>
      <c r="G924" s="3" t="str">
        <f ca="1">IFERROR(__xludf.DUMMYFUNCTION("""COMPUTED_VALUE"""),"billboard bottom high season")</f>
        <v>billboard bottom high season</v>
      </c>
      <c r="H924" s="3">
        <f ca="1">IFERROR(__xludf.DUMMYFUNCTION("""COMPUTED_VALUE"""),7)</f>
        <v>7</v>
      </c>
      <c r="I924" s="5">
        <f ca="1">IFERROR(__xludf.DUMMYFUNCTION("""COMPUTED_VALUE"""),1000)</f>
        <v>1000</v>
      </c>
      <c r="J924" s="5">
        <f ca="1">IFERROR(__xludf.DUMMYFUNCTION("""COMPUTED_VALUE"""),440)</f>
        <v>440</v>
      </c>
      <c r="K924" s="3"/>
      <c r="L924" s="3" t="str">
        <f ca="1">IFERROR(__xludf.DUMMYFUNCTION("""COMPUTED_VALUE"""),"Cost per period")</f>
        <v>Cost per period</v>
      </c>
      <c r="M924" s="3"/>
      <c r="N924" s="3"/>
      <c r="O924" s="3" t="str">
        <f ca="1">IFERROR(__xludf.DUMMYFUNCTION("""COMPUTED_VALUE"""),"970")</f>
        <v>970</v>
      </c>
      <c r="P924" s="3" t="str">
        <f ca="1">IFERROR(__xludf.DUMMYFUNCTION("""COMPUTED_VALUE"""),"250")</f>
        <v>250</v>
      </c>
      <c r="Q924" s="3" t="str">
        <f ca="1">IFERROR(__xludf.DUMMYFUNCTION("""COMPUTED_VALUE"""),"970x250")</f>
        <v>970x250</v>
      </c>
      <c r="R924" s="3"/>
      <c r="S924" s="3" t="str">
        <f ca="1">IFERROR(__xludf.DUMMYFUNCTION("""COMPUTED_VALUE"""),"100 (200 - HTML5)")</f>
        <v>100 (200 - HTML5)</v>
      </c>
      <c r="T924" s="3"/>
      <c r="U924" s="3" t="str">
        <f ca="1">IFERROR(__xludf.DUMMYFUNCTION("""COMPUTED_VALUE"""),"banner standard")</f>
        <v>banner standard</v>
      </c>
      <c r="V924" s="3"/>
      <c r="W924" s="4" t="str">
        <f ca="1">IFERROR(__xludf.DUMMYFUNCTION("""COMPUTED_VALUE"""),"https://reklama.cncenter.cz/Online/billboard-bottom")</f>
        <v>https://reklama.cncenter.cz/Online/billboard-bottom</v>
      </c>
      <c r="X924" s="3"/>
      <c r="Y924" s="3"/>
      <c r="Z924" s="3" t="str">
        <f ca="1">IFERROR(__xludf.DUMMYFUNCTION("""COMPUTED_VALUE"""),"podklady@cncenter.cz")</f>
        <v>podklady@cncenter.cz</v>
      </c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 t="str">
        <f ca="1">IFERROR(__xludf.DUMMYFUNCTION("""COMPUTED_VALUE"""),"desktop")</f>
        <v>desktop</v>
      </c>
      <c r="AO924" s="3"/>
      <c r="AP924" s="3"/>
      <c r="AQ924" s="3"/>
      <c r="AR924" s="3"/>
      <c r="AS924" s="3"/>
      <c r="AT924" s="3"/>
      <c r="AU924" s="3" t="str">
        <f ca="1">IFERROR(__xludf.DUMMYFUNCTION("""COMPUTED_VALUE"""),"billboard bottom")</f>
        <v>billboard bottom</v>
      </c>
    </row>
    <row r="925" spans="1:47" x14ac:dyDescent="0.3">
      <c r="A925" s="3">
        <f ca="1"/>
        <v>2346826</v>
      </c>
      <c r="B925" s="3" t="str">
        <f ca="1"/>
        <v>CZECH NEWS CENTER a. s.</v>
      </c>
      <c r="C925" s="3" t="str">
        <f ca="1">IFERROR(__xludf.DUMMYFUNCTION("""COMPUTED_VALUE"""),"Recepty")</f>
        <v>Recepty</v>
      </c>
      <c r="D925" s="4" t="str">
        <f ca="1">IFERROR(__xludf.DUMMYFUNCTION("""COMPUTED_VALUE"""),"https://recepty.cz")</f>
        <v>https://recepty.cz</v>
      </c>
      <c r="E925" s="3" t="str">
        <f ca="1">IFERROR(__xludf.DUMMYFUNCTION("""COMPUTED_VALUE"""),"celý web")</f>
        <v>celý web</v>
      </c>
      <c r="F925" s="4" t="str">
        <f ca="1">IFERROR(__xludf.DUMMYFUNCTION("""COMPUTED_VALUE"""),"https://recepty.cz")</f>
        <v>https://recepty.cz</v>
      </c>
      <c r="G925" s="3" t="str">
        <f ca="1">IFERROR(__xludf.DUMMYFUNCTION("""COMPUTED_VALUE"""),"branding cross-device high season")</f>
        <v>branding cross-device high season</v>
      </c>
      <c r="H925" s="3">
        <f ca="1">IFERROR(__xludf.DUMMYFUNCTION("""COMPUTED_VALUE"""),7)</f>
        <v>7</v>
      </c>
      <c r="I925" s="5">
        <f ca="1">IFERROR(__xludf.DUMMYFUNCTION("""COMPUTED_VALUE"""),1000)</f>
        <v>1000</v>
      </c>
      <c r="J925" s="5">
        <f ca="1">IFERROR(__xludf.DUMMYFUNCTION("""COMPUTED_VALUE"""),540)</f>
        <v>540</v>
      </c>
      <c r="K925" s="3"/>
      <c r="L925" s="3" t="str">
        <f ca="1">IFERROR(__xludf.DUMMYFUNCTION("""COMPUTED_VALUE"""),"Cost per period")</f>
        <v>Cost per period</v>
      </c>
      <c r="M925" s="3"/>
      <c r="N925" s="3"/>
      <c r="O925" s="3" t="str">
        <f ca="1">IFERROR(__xludf.DUMMYFUNCTION("""COMPUTED_VALUE"""),"2000")</f>
        <v>2000</v>
      </c>
      <c r="P925" s="3" t="str">
        <f ca="1">IFERROR(__xludf.DUMMYFUNCTION("""COMPUTED_VALUE"""),"1400")</f>
        <v>1400</v>
      </c>
      <c r="Q925" s="3" t="str">
        <f ca="1">IFERROR(__xludf.DUMMYFUNCTION("""COMPUTED_VALUE"""),"2000x1400 + 600x1080")</f>
        <v>2000x1400 + 600x1080</v>
      </c>
      <c r="R925" s="3"/>
      <c r="S925" s="3" t="str">
        <f ca="1">IFERROR(__xludf.DUMMYFUNCTION("""COMPUTED_VALUE"""),"500 (600 - HTLM5)")</f>
        <v>500 (600 - HTLM5)</v>
      </c>
      <c r="T925" s="3"/>
      <c r="U925" s="3" t="str">
        <f ca="1">IFERROR(__xludf.DUMMYFUNCTION("""COMPUTED_VALUE"""),"banner standard")</f>
        <v>banner standard</v>
      </c>
      <c r="V925" s="3"/>
      <c r="W925" s="4" t="str">
        <f ca="1">IFERROR(__xludf.DUMMYFUNCTION("""COMPUTED_VALUE"""),"https://reklama.cncenter.cz/Online/branding-cross-device")</f>
        <v>https://reklama.cncenter.cz/Online/branding-cross-device</v>
      </c>
      <c r="X925" s="3"/>
      <c r="Y925" s="3"/>
      <c r="Z925" s="3" t="str">
        <f ca="1">IFERROR(__xludf.DUMMYFUNCTION("""COMPUTED_VALUE"""),"podklady@cncenter.cz")</f>
        <v>podklady@cncenter.cz</v>
      </c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 t="str">
        <f ca="1">IFERROR(__xludf.DUMMYFUNCTION("""COMPUTED_VALUE"""),"cross-device")</f>
        <v>cross-device</v>
      </c>
      <c r="AO925" s="3"/>
      <c r="AP925" s="3"/>
      <c r="AQ925" s="3"/>
      <c r="AR925" s="3"/>
      <c r="AS925" s="3"/>
      <c r="AT925" s="3"/>
      <c r="AU925" s="3" t="str">
        <f ca="1">IFERROR(__xludf.DUMMYFUNCTION("""COMPUTED_VALUE"""),"branding cross-device")</f>
        <v>branding cross-device</v>
      </c>
    </row>
    <row r="926" spans="1:47" x14ac:dyDescent="0.3">
      <c r="A926" s="3">
        <f ca="1"/>
        <v>2346826</v>
      </c>
      <c r="B926" s="3" t="str">
        <f ca="1"/>
        <v>CZECH NEWS CENTER a. s.</v>
      </c>
      <c r="C926" s="3" t="str">
        <f ca="1">IFERROR(__xludf.DUMMYFUNCTION("""COMPUTED_VALUE"""),"Recepty")</f>
        <v>Recepty</v>
      </c>
      <c r="D926" s="4" t="str">
        <f ca="1">IFERROR(__xludf.DUMMYFUNCTION("""COMPUTED_VALUE"""),"https://recepty.cz")</f>
        <v>https://recepty.cz</v>
      </c>
      <c r="E926" s="3" t="str">
        <f ca="1">IFERROR(__xludf.DUMMYFUNCTION("""COMPUTED_VALUE"""),"celý web")</f>
        <v>celý web</v>
      </c>
      <c r="F926" s="4" t="str">
        <f ca="1">IFERROR(__xludf.DUMMYFUNCTION("""COMPUTED_VALUE"""),"https://recepty.cz")</f>
        <v>https://recepty.cz</v>
      </c>
      <c r="G926" s="3" t="str">
        <f ca="1">IFERROR(__xludf.DUMMYFUNCTION("""COMPUTED_VALUE"""),"branding high season")</f>
        <v>branding high season</v>
      </c>
      <c r="H926" s="3">
        <f ca="1">IFERROR(__xludf.DUMMYFUNCTION("""COMPUTED_VALUE"""),7)</f>
        <v>7</v>
      </c>
      <c r="I926" s="5">
        <f ca="1">IFERROR(__xludf.DUMMYFUNCTION("""COMPUTED_VALUE"""),1000)</f>
        <v>1000</v>
      </c>
      <c r="J926" s="5">
        <f ca="1">IFERROR(__xludf.DUMMYFUNCTION("""COMPUTED_VALUE"""),890)</f>
        <v>890</v>
      </c>
      <c r="K926" s="3"/>
      <c r="L926" s="3" t="str">
        <f ca="1">IFERROR(__xludf.DUMMYFUNCTION("""COMPUTED_VALUE"""),"Cost per period")</f>
        <v>Cost per period</v>
      </c>
      <c r="M926" s="3"/>
      <c r="N926" s="3"/>
      <c r="O926" s="3" t="str">
        <f ca="1">IFERROR(__xludf.DUMMYFUNCTION("""COMPUTED_VALUE"""),"2000")</f>
        <v>2000</v>
      </c>
      <c r="P926" s="3" t="str">
        <f ca="1">IFERROR(__xludf.DUMMYFUNCTION("""COMPUTED_VALUE"""),"1400")</f>
        <v>1400</v>
      </c>
      <c r="Q926" s="3" t="str">
        <f ca="1">IFERROR(__xludf.DUMMYFUNCTION("""COMPUTED_VALUE"""),"2000x1400")</f>
        <v>2000x1400</v>
      </c>
      <c r="R926" s="3"/>
      <c r="S926" s="3" t="str">
        <f ca="1">IFERROR(__xludf.DUMMYFUNCTION("""COMPUTED_VALUE"""),"500 + 200 (600+200 HTML5)")</f>
        <v>500 + 200 (600+200 HTML5)</v>
      </c>
      <c r="T926" s="3"/>
      <c r="U926" s="3" t="str">
        <f ca="1">IFERROR(__xludf.DUMMYFUNCTION("""COMPUTED_VALUE"""),"banner standard")</f>
        <v>banner standard</v>
      </c>
      <c r="V926" s="3"/>
      <c r="W926" s="4" t="str">
        <f ca="1">IFERROR(__xludf.DUMMYFUNCTION("""COMPUTED_VALUE"""),"https://reklama.cncenter.cz/Online/branding")</f>
        <v>https://reklama.cncenter.cz/Online/branding</v>
      </c>
      <c r="X926" s="3"/>
      <c r="Y926" s="3"/>
      <c r="Z926" s="3" t="str">
        <f ca="1">IFERROR(__xludf.DUMMYFUNCTION("""COMPUTED_VALUE"""),"podklady@cncenter.cz")</f>
        <v>podklady@cncenter.cz</v>
      </c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 t="str">
        <f ca="1">IFERROR(__xludf.DUMMYFUNCTION("""COMPUTED_VALUE"""),"desktop")</f>
        <v>desktop</v>
      </c>
      <c r="AO926" s="3"/>
      <c r="AP926" s="3"/>
      <c r="AQ926" s="3"/>
      <c r="AR926" s="3"/>
      <c r="AS926" s="3"/>
      <c r="AT926" s="3"/>
      <c r="AU926" s="3" t="str">
        <f ca="1">IFERROR(__xludf.DUMMYFUNCTION("""COMPUTED_VALUE"""),"branding")</f>
        <v>branding</v>
      </c>
    </row>
    <row r="927" spans="1:47" x14ac:dyDescent="0.3">
      <c r="A927" s="3">
        <f ca="1"/>
        <v>2346826</v>
      </c>
      <c r="B927" s="3" t="str">
        <f ca="1"/>
        <v>CZECH NEWS CENTER a. s.</v>
      </c>
      <c r="C927" s="3" t="str">
        <f ca="1">IFERROR(__xludf.DUMMYFUNCTION("""COMPUTED_VALUE"""),"Recepty")</f>
        <v>Recepty</v>
      </c>
      <c r="D927" s="4" t="str">
        <f ca="1">IFERROR(__xludf.DUMMYFUNCTION("""COMPUTED_VALUE"""),"https://recepty.cz")</f>
        <v>https://recepty.cz</v>
      </c>
      <c r="E927" s="3" t="str">
        <f ca="1">IFERROR(__xludf.DUMMYFUNCTION("""COMPUTED_VALUE"""),"celý web")</f>
        <v>celý web</v>
      </c>
      <c r="F927" s="4" t="str">
        <f ca="1">IFERROR(__xludf.DUMMYFUNCTION("""COMPUTED_VALUE"""),"https://recepty.cz")</f>
        <v>https://recepty.cz</v>
      </c>
      <c r="G927" s="3" t="str">
        <f ca="1">IFERROR(__xludf.DUMMYFUNCTION("""COMPUTED_VALUE"""),"cílený billboard bottom high season")</f>
        <v>cílený billboard bottom high season</v>
      </c>
      <c r="H927" s="3">
        <f ca="1">IFERROR(__xludf.DUMMYFUNCTION("""COMPUTED_VALUE"""),7)</f>
        <v>7</v>
      </c>
      <c r="I927" s="5">
        <f ca="1">IFERROR(__xludf.DUMMYFUNCTION("""COMPUTED_VALUE"""),1000)</f>
        <v>1000</v>
      </c>
      <c r="J927" s="5">
        <f ca="1">IFERROR(__xludf.DUMMYFUNCTION("""COMPUTED_VALUE"""),528)</f>
        <v>528</v>
      </c>
      <c r="K927" s="3"/>
      <c r="L927" s="3" t="str">
        <f ca="1">IFERROR(__xludf.DUMMYFUNCTION("""COMPUTED_VALUE"""),"Cost per period")</f>
        <v>Cost per period</v>
      </c>
      <c r="M927" s="3"/>
      <c r="N927" s="3"/>
      <c r="O927" s="3" t="str">
        <f ca="1">IFERROR(__xludf.DUMMYFUNCTION("""COMPUTED_VALUE"""),"970")</f>
        <v>970</v>
      </c>
      <c r="P927" s="3" t="str">
        <f ca="1">IFERROR(__xludf.DUMMYFUNCTION("""COMPUTED_VALUE"""),"250")</f>
        <v>250</v>
      </c>
      <c r="Q927" s="3" t="str">
        <f ca="1">IFERROR(__xludf.DUMMYFUNCTION("""COMPUTED_VALUE"""),"970x250")</f>
        <v>970x250</v>
      </c>
      <c r="R927" s="3"/>
      <c r="S927" s="3" t="str">
        <f ca="1">IFERROR(__xludf.DUMMYFUNCTION("""COMPUTED_VALUE"""),"100 (200 - HTML5)")</f>
        <v>100 (200 - HTML5)</v>
      </c>
      <c r="T927" s="3"/>
      <c r="U927" s="3" t="str">
        <f ca="1">IFERROR(__xludf.DUMMYFUNCTION("""COMPUTED_VALUE"""),"banner standard")</f>
        <v>banner standard</v>
      </c>
      <c r="V927" s="3"/>
      <c r="W927" s="4" t="str">
        <f ca="1">IFERROR(__xludf.DUMMYFUNCTION("""COMPUTED_VALUE"""),"https://reklama.cncenter.cz/Online/billboard-bottom")</f>
        <v>https://reklama.cncenter.cz/Online/billboard-bottom</v>
      </c>
      <c r="X927" s="3"/>
      <c r="Y927" s="3"/>
      <c r="Z927" s="3" t="str">
        <f ca="1">IFERROR(__xludf.DUMMYFUNCTION("""COMPUTED_VALUE"""),"podklady@cncenter.cz")</f>
        <v>podklady@cncenter.cz</v>
      </c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 t="str">
        <f ca="1">IFERROR(__xludf.DUMMYFUNCTION("""COMPUTED_VALUE"""),"desktop")</f>
        <v>desktop</v>
      </c>
      <c r="AO927" s="3"/>
      <c r="AP927" s="3"/>
      <c r="AQ927" s="3"/>
      <c r="AR927" s="3"/>
      <c r="AS927" s="3"/>
      <c r="AT927" s="3"/>
      <c r="AU927" s="3" t="str">
        <f ca="1">IFERROR(__xludf.DUMMYFUNCTION("""COMPUTED_VALUE"""),"cílený billboard bottom")</f>
        <v>cílený billboard bottom</v>
      </c>
    </row>
    <row r="928" spans="1:47" x14ac:dyDescent="0.3">
      <c r="A928" s="3">
        <f ca="1"/>
        <v>2346826</v>
      </c>
      <c r="B928" s="3" t="str">
        <f ca="1"/>
        <v>CZECH NEWS CENTER a. s.</v>
      </c>
      <c r="C928" s="3" t="str">
        <f ca="1">IFERROR(__xludf.DUMMYFUNCTION("""COMPUTED_VALUE"""),"Recepty")</f>
        <v>Recepty</v>
      </c>
      <c r="D928" s="4" t="str">
        <f ca="1">IFERROR(__xludf.DUMMYFUNCTION("""COMPUTED_VALUE"""),"https://recepty.cz")</f>
        <v>https://recepty.cz</v>
      </c>
      <c r="E928" s="3" t="str">
        <f ca="1">IFERROR(__xludf.DUMMYFUNCTION("""COMPUTED_VALUE"""),"celý web")</f>
        <v>celý web</v>
      </c>
      <c r="F928" s="4" t="str">
        <f ca="1">IFERROR(__xludf.DUMMYFUNCTION("""COMPUTED_VALUE"""),"https://recepty.cz")</f>
        <v>https://recepty.cz</v>
      </c>
      <c r="G928" s="3" t="str">
        <f ca="1">IFERROR(__xludf.DUMMYFUNCTION("""COMPUTED_VALUE"""),"cílený branding cross-device high season")</f>
        <v>cílený branding cross-device high season</v>
      </c>
      <c r="H928" s="3">
        <f ca="1">IFERROR(__xludf.DUMMYFUNCTION("""COMPUTED_VALUE"""),7)</f>
        <v>7</v>
      </c>
      <c r="I928" s="5">
        <f ca="1">IFERROR(__xludf.DUMMYFUNCTION("""COMPUTED_VALUE"""),1000)</f>
        <v>1000</v>
      </c>
      <c r="J928" s="5">
        <f ca="1">IFERROR(__xludf.DUMMYFUNCTION("""COMPUTED_VALUE"""),648)</f>
        <v>648</v>
      </c>
      <c r="K928" s="3"/>
      <c r="L928" s="3" t="str">
        <f ca="1">IFERROR(__xludf.DUMMYFUNCTION("""COMPUTED_VALUE"""),"Cost per period")</f>
        <v>Cost per period</v>
      </c>
      <c r="M928" s="3"/>
      <c r="N928" s="3"/>
      <c r="O928" s="3" t="str">
        <f ca="1">IFERROR(__xludf.DUMMYFUNCTION("""COMPUTED_VALUE"""),"2000")</f>
        <v>2000</v>
      </c>
      <c r="P928" s="3" t="str">
        <f ca="1">IFERROR(__xludf.DUMMYFUNCTION("""COMPUTED_VALUE"""),"1400")</f>
        <v>1400</v>
      </c>
      <c r="Q928" s="3" t="str">
        <f ca="1">IFERROR(__xludf.DUMMYFUNCTION("""COMPUTED_VALUE"""),"2000x1400 + 600x1080")</f>
        <v>2000x1400 + 600x1080</v>
      </c>
      <c r="R928" s="3"/>
      <c r="S928" s="3" t="str">
        <f ca="1">IFERROR(__xludf.DUMMYFUNCTION("""COMPUTED_VALUE"""),"500 (600 - HTLM5)")</f>
        <v>500 (600 - HTLM5)</v>
      </c>
      <c r="T928" s="3"/>
      <c r="U928" s="3" t="str">
        <f ca="1">IFERROR(__xludf.DUMMYFUNCTION("""COMPUTED_VALUE"""),"banner standard")</f>
        <v>banner standard</v>
      </c>
      <c r="V928" s="3"/>
      <c r="W928" s="4" t="str">
        <f ca="1">IFERROR(__xludf.DUMMYFUNCTION("""COMPUTED_VALUE"""),"https://reklama.cncenter.cz/Online/branding-cross-device")</f>
        <v>https://reklama.cncenter.cz/Online/branding-cross-device</v>
      </c>
      <c r="X928" s="3"/>
      <c r="Y928" s="3"/>
      <c r="Z928" s="3" t="str">
        <f ca="1">IFERROR(__xludf.DUMMYFUNCTION("""COMPUTED_VALUE"""),"podklady@cncenter.cz")</f>
        <v>podklady@cncenter.cz</v>
      </c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 t="str">
        <f ca="1">IFERROR(__xludf.DUMMYFUNCTION("""COMPUTED_VALUE"""),"cross-device")</f>
        <v>cross-device</v>
      </c>
      <c r="AO928" s="3"/>
      <c r="AP928" s="3"/>
      <c r="AQ928" s="3"/>
      <c r="AR928" s="3"/>
      <c r="AS928" s="3"/>
      <c r="AT928" s="3"/>
      <c r="AU928" s="3" t="str">
        <f ca="1">IFERROR(__xludf.DUMMYFUNCTION("""COMPUTED_VALUE"""),"cílený branding cross-device")</f>
        <v>cílený branding cross-device</v>
      </c>
    </row>
    <row r="929" spans="1:47" x14ac:dyDescent="0.3">
      <c r="A929" s="3">
        <f ca="1"/>
        <v>2346826</v>
      </c>
      <c r="B929" s="3" t="str">
        <f ca="1"/>
        <v>CZECH NEWS CENTER a. s.</v>
      </c>
      <c r="C929" s="3" t="str">
        <f ca="1">IFERROR(__xludf.DUMMYFUNCTION("""COMPUTED_VALUE"""),"Recepty")</f>
        <v>Recepty</v>
      </c>
      <c r="D929" s="4" t="str">
        <f ca="1">IFERROR(__xludf.DUMMYFUNCTION("""COMPUTED_VALUE"""),"https://recepty.cz")</f>
        <v>https://recepty.cz</v>
      </c>
      <c r="E929" s="3" t="str">
        <f ca="1">IFERROR(__xludf.DUMMYFUNCTION("""COMPUTED_VALUE"""),"celý web")</f>
        <v>celý web</v>
      </c>
      <c r="F929" s="4" t="str">
        <f ca="1">IFERROR(__xludf.DUMMYFUNCTION("""COMPUTED_VALUE"""),"https://recepty.cz")</f>
        <v>https://recepty.cz</v>
      </c>
      <c r="G929" s="3" t="str">
        <f ca="1">IFERROR(__xludf.DUMMYFUNCTION("""COMPUTED_VALUE"""),"cílený branding high season")</f>
        <v>cílený branding high season</v>
      </c>
      <c r="H929" s="3">
        <f ca="1">IFERROR(__xludf.DUMMYFUNCTION("""COMPUTED_VALUE"""),7)</f>
        <v>7</v>
      </c>
      <c r="I929" s="5">
        <f ca="1">IFERROR(__xludf.DUMMYFUNCTION("""COMPUTED_VALUE"""),1000)</f>
        <v>1000</v>
      </c>
      <c r="J929" s="5">
        <f ca="1">IFERROR(__xludf.DUMMYFUNCTION("""COMPUTED_VALUE"""),1068)</f>
        <v>1068</v>
      </c>
      <c r="K929" s="3"/>
      <c r="L929" s="3" t="str">
        <f ca="1">IFERROR(__xludf.DUMMYFUNCTION("""COMPUTED_VALUE"""),"Cost per period")</f>
        <v>Cost per period</v>
      </c>
      <c r="M929" s="3"/>
      <c r="N929" s="3"/>
      <c r="O929" s="3" t="str">
        <f ca="1">IFERROR(__xludf.DUMMYFUNCTION("""COMPUTED_VALUE"""),"2000")</f>
        <v>2000</v>
      </c>
      <c r="P929" s="3" t="str">
        <f ca="1">IFERROR(__xludf.DUMMYFUNCTION("""COMPUTED_VALUE"""),"1400")</f>
        <v>1400</v>
      </c>
      <c r="Q929" s="3" t="str">
        <f ca="1">IFERROR(__xludf.DUMMYFUNCTION("""COMPUTED_VALUE"""),"2000x1400")</f>
        <v>2000x1400</v>
      </c>
      <c r="R929" s="3"/>
      <c r="S929" s="3" t="str">
        <f ca="1">IFERROR(__xludf.DUMMYFUNCTION("""COMPUTED_VALUE"""),"500 + 200 (600+200 HTML5)")</f>
        <v>500 + 200 (600+200 HTML5)</v>
      </c>
      <c r="T929" s="3"/>
      <c r="U929" s="3" t="str">
        <f ca="1">IFERROR(__xludf.DUMMYFUNCTION("""COMPUTED_VALUE"""),"banner standard")</f>
        <v>banner standard</v>
      </c>
      <c r="V929" s="3"/>
      <c r="W929" s="4" t="str">
        <f ca="1">IFERROR(__xludf.DUMMYFUNCTION("""COMPUTED_VALUE"""),"https://reklama.cncenter.cz/Online/branding")</f>
        <v>https://reklama.cncenter.cz/Online/branding</v>
      </c>
      <c r="X929" s="3"/>
      <c r="Y929" s="3"/>
      <c r="Z929" s="3" t="str">
        <f ca="1">IFERROR(__xludf.DUMMYFUNCTION("""COMPUTED_VALUE"""),"podklady@cncenter.cz")</f>
        <v>podklady@cncenter.cz</v>
      </c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 t="str">
        <f ca="1">IFERROR(__xludf.DUMMYFUNCTION("""COMPUTED_VALUE"""),"desktop")</f>
        <v>desktop</v>
      </c>
      <c r="AO929" s="3"/>
      <c r="AP929" s="3"/>
      <c r="AQ929" s="3"/>
      <c r="AR929" s="3"/>
      <c r="AS929" s="3"/>
      <c r="AT929" s="3"/>
      <c r="AU929" s="3" t="str">
        <f ca="1">IFERROR(__xludf.DUMMYFUNCTION("""COMPUTED_VALUE"""),"cílený branding")</f>
        <v>cílený branding</v>
      </c>
    </row>
    <row r="930" spans="1:47" x14ac:dyDescent="0.3">
      <c r="A930" s="3">
        <f ca="1"/>
        <v>2346826</v>
      </c>
      <c r="B930" s="3" t="str">
        <f ca="1"/>
        <v>CZECH NEWS CENTER a. s.</v>
      </c>
      <c r="C930" s="3" t="str">
        <f ca="1">IFERROR(__xludf.DUMMYFUNCTION("""COMPUTED_VALUE"""),"Recepty")</f>
        <v>Recepty</v>
      </c>
      <c r="D930" s="4" t="str">
        <f ca="1">IFERROR(__xludf.DUMMYFUNCTION("""COMPUTED_VALUE"""),"https://recepty.cz")</f>
        <v>https://recepty.cz</v>
      </c>
      <c r="E930" s="3" t="str">
        <f ca="1">IFERROR(__xludf.DUMMYFUNCTION("""COMPUTED_VALUE"""),"celý web")</f>
        <v>celý web</v>
      </c>
      <c r="F930" s="4" t="str">
        <f ca="1">IFERROR(__xludf.DUMMYFUNCTION("""COMPUTED_VALUE"""),"https://recepty.cz")</f>
        <v>https://recepty.cz</v>
      </c>
      <c r="G930" s="3" t="str">
        <f ca="1">IFERROR(__xludf.DUMMYFUNCTION("""COMPUTED_VALUE"""),"cílený double skyscraper high season")</f>
        <v>cílený double skyscraper high season</v>
      </c>
      <c r="H930" s="3">
        <f ca="1">IFERROR(__xludf.DUMMYFUNCTION("""COMPUTED_VALUE"""),7)</f>
        <v>7</v>
      </c>
      <c r="I930" s="5">
        <f ca="1">IFERROR(__xludf.DUMMYFUNCTION("""COMPUTED_VALUE"""),1000)</f>
        <v>1000</v>
      </c>
      <c r="J930" s="5">
        <f ca="1">IFERROR(__xludf.DUMMYFUNCTION("""COMPUTED_VALUE"""),420)</f>
        <v>420</v>
      </c>
      <c r="K930" s="3"/>
      <c r="L930" s="3" t="str">
        <f ca="1">IFERROR(__xludf.DUMMYFUNCTION("""COMPUTED_VALUE"""),"Cost per period")</f>
        <v>Cost per period</v>
      </c>
      <c r="M930" s="3"/>
      <c r="N930" s="3"/>
      <c r="O930" s="3" t="str">
        <f ca="1">IFERROR(__xludf.DUMMYFUNCTION("""COMPUTED_VALUE"""),"300")</f>
        <v>300</v>
      </c>
      <c r="P930" s="3" t="str">
        <f ca="1">IFERROR(__xludf.DUMMYFUNCTION("""COMPUTED_VALUE"""),"600")</f>
        <v>600</v>
      </c>
      <c r="Q930" s="3" t="str">
        <f ca="1">IFERROR(__xludf.DUMMYFUNCTION("""COMPUTED_VALUE"""),"300x600")</f>
        <v>300x600</v>
      </c>
      <c r="R930" s="3"/>
      <c r="S930" s="3" t="str">
        <f ca="1">IFERROR(__xludf.DUMMYFUNCTION("""COMPUTED_VALUE"""),"100 (200 - HTML5)")</f>
        <v>100 (200 - HTML5)</v>
      </c>
      <c r="T930" s="3"/>
      <c r="U930" s="3" t="str">
        <f ca="1">IFERROR(__xludf.DUMMYFUNCTION("""COMPUTED_VALUE"""),"banner standard")</f>
        <v>banner standard</v>
      </c>
      <c r="V930" s="3"/>
      <c r="W930" s="4" t="str">
        <f ca="1">IFERROR(__xludf.DUMMYFUNCTION("""COMPUTED_VALUE"""),"https://reklama.cncenter.cz/Online/double-skyscraper")</f>
        <v>https://reklama.cncenter.cz/Online/double-skyscraper</v>
      </c>
      <c r="X930" s="3"/>
      <c r="Y930" s="3"/>
      <c r="Z930" s="3" t="str">
        <f ca="1">IFERROR(__xludf.DUMMYFUNCTION("""COMPUTED_VALUE"""),"podklady@cncenter.cz")</f>
        <v>podklady@cncenter.cz</v>
      </c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 t="str">
        <f ca="1">IFERROR(__xludf.DUMMYFUNCTION("""COMPUTED_VALUE"""),"desktop")</f>
        <v>desktop</v>
      </c>
      <c r="AO930" s="3"/>
      <c r="AP930" s="3"/>
      <c r="AQ930" s="3"/>
      <c r="AR930" s="3"/>
      <c r="AS930" s="3"/>
      <c r="AT930" s="3"/>
      <c r="AU930" s="3" t="str">
        <f ca="1">IFERROR(__xludf.DUMMYFUNCTION("""COMPUTED_VALUE"""),"cílený double skyscraper")</f>
        <v>cílený double skyscraper</v>
      </c>
    </row>
    <row r="931" spans="1:47" x14ac:dyDescent="0.3">
      <c r="A931" s="3">
        <f ca="1"/>
        <v>2346826</v>
      </c>
      <c r="B931" s="3" t="str">
        <f ca="1"/>
        <v>CZECH NEWS CENTER a. s.</v>
      </c>
      <c r="C931" s="3" t="str">
        <f ca="1">IFERROR(__xludf.DUMMYFUNCTION("""COMPUTED_VALUE"""),"Recepty")</f>
        <v>Recepty</v>
      </c>
      <c r="D931" s="4" t="str">
        <f ca="1">IFERROR(__xludf.DUMMYFUNCTION("""COMPUTED_VALUE"""),"https://recepty.cz")</f>
        <v>https://recepty.cz</v>
      </c>
      <c r="E931" s="3" t="str">
        <f ca="1">IFERROR(__xludf.DUMMYFUNCTION("""COMPUTED_VALUE"""),"celý web")</f>
        <v>celý web</v>
      </c>
      <c r="F931" s="4" t="str">
        <f ca="1">IFERROR(__xludf.DUMMYFUNCTION("""COMPUTED_VALUE"""),"https://recepty.cz")</f>
        <v>https://recepty.cz</v>
      </c>
      <c r="G931" s="3" t="str">
        <f ca="1">IFERROR(__xludf.DUMMYFUNCTION("""COMPUTED_VALUE"""),"cílený mini videospot - max. 30 sec. high season")</f>
        <v>cílený mini videospot - max. 30 sec. high season</v>
      </c>
      <c r="H931" s="3">
        <f ca="1">IFERROR(__xludf.DUMMYFUNCTION("""COMPUTED_VALUE"""),7)</f>
        <v>7</v>
      </c>
      <c r="I931" s="5">
        <f ca="1">IFERROR(__xludf.DUMMYFUNCTION("""COMPUTED_VALUE"""),1000)</f>
        <v>1000</v>
      </c>
      <c r="J931" s="5">
        <f ca="1">IFERROR(__xludf.DUMMYFUNCTION("""COMPUTED_VALUE"""),312)</f>
        <v>312</v>
      </c>
      <c r="K931" s="3"/>
      <c r="L931" s="3" t="str">
        <f ca="1">IFERROR(__xludf.DUMMYFUNCTION("""COMPUTED_VALUE"""),"Cost per period")</f>
        <v>Cost per period</v>
      </c>
      <c r="M931" s="3"/>
      <c r="N931" s="3"/>
      <c r="O931" s="3"/>
      <c r="P931" s="3"/>
      <c r="Q931" s="3" t="str">
        <f ca="1">IFERROR(__xludf.DUMMYFUNCTION("""COMPUTED_VALUE"""),"16:9 / umístění po domluvě dle možností")</f>
        <v>16:9 / umístění po domluvě dle možností</v>
      </c>
      <c r="R931" s="3" t="str">
        <f ca="1">IFERROR(__xludf.DUMMYFUNCTION("""COMPUTED_VALUE"""),"přeskočení po 7 sekundách")</f>
        <v>přeskočení po 7 sekundách</v>
      </c>
      <c r="S931" s="3" t="str">
        <f ca="1">IFERROR(__xludf.DUMMYFUNCTION("""COMPUTED_VALUE"""),"100")</f>
        <v>100</v>
      </c>
      <c r="T931" s="3"/>
      <c r="U931" s="3" t="str">
        <f ca="1">IFERROR(__xludf.DUMMYFUNCTION("""COMPUTED_VALUE"""),"videospot")</f>
        <v>videospot</v>
      </c>
      <c r="V931" s="3"/>
      <c r="W931" s="4" t="str">
        <f ca="1">IFERROR(__xludf.DUMMYFUNCTION("""COMPUTED_VALUE"""),"https://reklama.cncenter.cz/Online/Videospot")</f>
        <v>https://reklama.cncenter.cz/Online/Videospot</v>
      </c>
      <c r="X931" s="3"/>
      <c r="Y931" s="3"/>
      <c r="Z931" s="3" t="str">
        <f ca="1">IFERROR(__xludf.DUMMYFUNCTION("""COMPUTED_VALUE"""),"podklady@cncenter.cz")</f>
        <v>podklady@cncenter.cz</v>
      </c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 t="str">
        <f ca="1">IFERROR(__xludf.DUMMYFUNCTION("""COMPUTED_VALUE"""),"desktop")</f>
        <v>desktop</v>
      </c>
      <c r="AO931" s="3"/>
      <c r="AP931" s="3"/>
      <c r="AQ931" s="3"/>
      <c r="AR931" s="3"/>
      <c r="AS931" s="3"/>
      <c r="AT931" s="3"/>
      <c r="AU931" s="3" t="str">
        <f ca="1">IFERROR(__xludf.DUMMYFUNCTION("""COMPUTED_VALUE"""),"cílený mini videospot - max. 30 sec.")</f>
        <v>cílený mini videospot - max. 30 sec.</v>
      </c>
    </row>
    <row r="932" spans="1:47" x14ac:dyDescent="0.3">
      <c r="A932" s="3">
        <f ca="1"/>
        <v>2346826</v>
      </c>
      <c r="B932" s="3" t="str">
        <f ca="1"/>
        <v>CZECH NEWS CENTER a. s.</v>
      </c>
      <c r="C932" s="3" t="str">
        <f ca="1">IFERROR(__xludf.DUMMYFUNCTION("""COMPUTED_VALUE"""),"Recepty")</f>
        <v>Recepty</v>
      </c>
      <c r="D932" s="4" t="str">
        <f ca="1">IFERROR(__xludf.DUMMYFUNCTION("""COMPUTED_VALUE"""),"https://recepty.cz")</f>
        <v>https://recepty.cz</v>
      </c>
      <c r="E932" s="3" t="str">
        <f ca="1">IFERROR(__xludf.DUMMYFUNCTION("""COMPUTED_VALUE"""),"celý web")</f>
        <v>celý web</v>
      </c>
      <c r="F932" s="4" t="str">
        <f ca="1">IFERROR(__xludf.DUMMYFUNCTION("""COMPUTED_VALUE"""),"https://recepty.cz")</f>
        <v>https://recepty.cz</v>
      </c>
      <c r="G932" s="3" t="str">
        <f ca="1">IFERROR(__xludf.DUMMYFUNCTION("""COMPUTED_VALUE"""),"cílený mobilní interscroller high season")</f>
        <v>cílený mobilní interscroller high season</v>
      </c>
      <c r="H932" s="3">
        <f ca="1">IFERROR(__xludf.DUMMYFUNCTION("""COMPUTED_VALUE"""),7)</f>
        <v>7</v>
      </c>
      <c r="I932" s="5">
        <f ca="1">IFERROR(__xludf.DUMMYFUNCTION("""COMPUTED_VALUE"""),1000)</f>
        <v>1000</v>
      </c>
      <c r="J932" s="5">
        <f ca="1">IFERROR(__xludf.DUMMYFUNCTION("""COMPUTED_VALUE"""),540)</f>
        <v>540</v>
      </c>
      <c r="K932" s="3"/>
      <c r="L932" s="3" t="str">
        <f ca="1">IFERROR(__xludf.DUMMYFUNCTION("""COMPUTED_VALUE"""),"Cost per period")</f>
        <v>Cost per period</v>
      </c>
      <c r="M932" s="3"/>
      <c r="N932" s="3"/>
      <c r="O932" s="3" t="str">
        <f ca="1">IFERROR(__xludf.DUMMYFUNCTION("""COMPUTED_VALUE"""),"600")</f>
        <v>600</v>
      </c>
      <c r="P932" s="3" t="str">
        <f ca="1">IFERROR(__xludf.DUMMYFUNCTION("""COMPUTED_VALUE"""),"1080")</f>
        <v>1080</v>
      </c>
      <c r="Q932" s="3" t="str">
        <f ca="1">IFERROR(__xludf.DUMMYFUNCTION("""COMPUTED_VALUE"""),"600x1080")</f>
        <v>600x1080</v>
      </c>
      <c r="R932" s="3"/>
      <c r="S932" s="3" t="str">
        <f ca="1">IFERROR(__xludf.DUMMYFUNCTION("""COMPUTED_VALUE"""),"200")</f>
        <v>200</v>
      </c>
      <c r="T932" s="3"/>
      <c r="U932" s="3" t="str">
        <f ca="1">IFERROR(__xludf.DUMMYFUNCTION("""COMPUTED_VALUE"""),"banner standard")</f>
        <v>banner standard</v>
      </c>
      <c r="V932" s="3"/>
      <c r="W932" s="4" t="str">
        <f ca="1">IFERROR(__xludf.DUMMYFUNCTION("""COMPUTED_VALUE"""),"https://reklama.cncenter.cz/Online/mobilni-interscroller")</f>
        <v>https://reklama.cncenter.cz/Online/mobilni-interscroller</v>
      </c>
      <c r="X932" s="3"/>
      <c r="Y932" s="3"/>
      <c r="Z932" s="3" t="str">
        <f ca="1">IFERROR(__xludf.DUMMYFUNCTION("""COMPUTED_VALUE"""),"podklady@cncenter.cz")</f>
        <v>podklady@cncenter.cz</v>
      </c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 t="str">
        <f ca="1">IFERROR(__xludf.DUMMYFUNCTION("""COMPUTED_VALUE"""),"mobile")</f>
        <v>mobile</v>
      </c>
      <c r="AO932" s="3"/>
      <c r="AP932" s="3"/>
      <c r="AQ932" s="3"/>
      <c r="AR932" s="3"/>
      <c r="AS932" s="3"/>
      <c r="AT932" s="3"/>
      <c r="AU932" s="3" t="str">
        <f ca="1">IFERROR(__xludf.DUMMYFUNCTION("""COMPUTED_VALUE"""),"cílený mobilní interscroller")</f>
        <v>cílený mobilní interscroller</v>
      </c>
    </row>
    <row r="933" spans="1:47" x14ac:dyDescent="0.3">
      <c r="A933" s="3">
        <f ca="1"/>
        <v>2346826</v>
      </c>
      <c r="B933" s="3" t="str">
        <f ca="1"/>
        <v>CZECH NEWS CENTER a. s.</v>
      </c>
      <c r="C933" s="3" t="str">
        <f ca="1">IFERROR(__xludf.DUMMYFUNCTION("""COMPUTED_VALUE"""),"Recepty")</f>
        <v>Recepty</v>
      </c>
      <c r="D933" s="4" t="str">
        <f ca="1">IFERROR(__xludf.DUMMYFUNCTION("""COMPUTED_VALUE"""),"https://recepty.cz")</f>
        <v>https://recepty.cz</v>
      </c>
      <c r="E933" s="3" t="str">
        <f ca="1">IFERROR(__xludf.DUMMYFUNCTION("""COMPUTED_VALUE"""),"celý web")</f>
        <v>celý web</v>
      </c>
      <c r="F933" s="4" t="str">
        <f ca="1">IFERROR(__xludf.DUMMYFUNCTION("""COMPUTED_VALUE"""),"https://recepty.cz")</f>
        <v>https://recepty.cz</v>
      </c>
      <c r="G933" s="3" t="str">
        <f ca="1">IFERROR(__xludf.DUMMYFUNCTION("""COMPUTED_VALUE"""),"cílený mobilní slide-up high season")</f>
        <v>cílený mobilní slide-up high season</v>
      </c>
      <c r="H933" s="3">
        <f ca="1">IFERROR(__xludf.DUMMYFUNCTION("""COMPUTED_VALUE"""),7)</f>
        <v>7</v>
      </c>
      <c r="I933" s="5">
        <f ca="1">IFERROR(__xludf.DUMMYFUNCTION("""COMPUTED_VALUE"""),1000)</f>
        <v>1000</v>
      </c>
      <c r="J933" s="5">
        <f ca="1">IFERROR(__xludf.DUMMYFUNCTION("""COMPUTED_VALUE"""),1104)</f>
        <v>1104</v>
      </c>
      <c r="K933" s="3"/>
      <c r="L933" s="3" t="str">
        <f ca="1">IFERROR(__xludf.DUMMYFUNCTION("""COMPUTED_VALUE"""),"Cost per period")</f>
        <v>Cost per period</v>
      </c>
      <c r="M933" s="3"/>
      <c r="N933" s="3"/>
      <c r="O933" s="3" t="str">
        <f ca="1">IFERROR(__xludf.DUMMYFUNCTION("""COMPUTED_VALUE"""),"300")</f>
        <v>300</v>
      </c>
      <c r="P933" s="3" t="str">
        <f ca="1">IFERROR(__xludf.DUMMYFUNCTION("""COMPUTED_VALUE"""),"120")</f>
        <v>120</v>
      </c>
      <c r="Q933" s="3" t="str">
        <f ca="1">IFERROR(__xludf.DUMMYFUNCTION("""COMPUTED_VALUE"""),"300x120")</f>
        <v>300x120</v>
      </c>
      <c r="R933" s="3"/>
      <c r="S933" s="3" t="str">
        <f ca="1">IFERROR(__xludf.DUMMYFUNCTION("""COMPUTED_VALUE"""),"100")</f>
        <v>100</v>
      </c>
      <c r="T933" s="3"/>
      <c r="U933" s="3" t="str">
        <f ca="1">IFERROR(__xludf.DUMMYFUNCTION("""COMPUTED_VALUE"""),"banner standard")</f>
        <v>banner standard</v>
      </c>
      <c r="V933" s="3"/>
      <c r="W933" s="4" t="str">
        <f ca="1">IFERROR(__xludf.DUMMYFUNCTION("""COMPUTED_VALUE"""),"https://reklama.cncenter.cz/Online/mobilni-slide-up")</f>
        <v>https://reklama.cncenter.cz/Online/mobilni-slide-up</v>
      </c>
      <c r="X933" s="3"/>
      <c r="Y933" s="3"/>
      <c r="Z933" s="3" t="str">
        <f ca="1">IFERROR(__xludf.DUMMYFUNCTION("""COMPUTED_VALUE"""),"podklady@cncenter.cz")</f>
        <v>podklady@cncenter.cz</v>
      </c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 t="str">
        <f ca="1">IFERROR(__xludf.DUMMYFUNCTION("""COMPUTED_VALUE"""),"mobile")</f>
        <v>mobile</v>
      </c>
      <c r="AO933" s="3"/>
      <c r="AP933" s="3"/>
      <c r="AQ933" s="3"/>
      <c r="AR933" s="3"/>
      <c r="AS933" s="3"/>
      <c r="AT933" s="3"/>
      <c r="AU933" s="3" t="str">
        <f ca="1">IFERROR(__xludf.DUMMYFUNCTION("""COMPUTED_VALUE"""),"cílený mobilní slide-up")</f>
        <v>cílený mobilní slide-up</v>
      </c>
    </row>
    <row r="934" spans="1:47" x14ac:dyDescent="0.3">
      <c r="A934" s="3">
        <f ca="1"/>
        <v>2346826</v>
      </c>
      <c r="B934" s="3" t="str">
        <f ca="1"/>
        <v>CZECH NEWS CENTER a. s.</v>
      </c>
      <c r="C934" s="3" t="str">
        <f ca="1">IFERROR(__xludf.DUMMYFUNCTION("""COMPUTED_VALUE"""),"Recepty")</f>
        <v>Recepty</v>
      </c>
      <c r="D934" s="4" t="str">
        <f ca="1">IFERROR(__xludf.DUMMYFUNCTION("""COMPUTED_VALUE"""),"https://recepty.cz")</f>
        <v>https://recepty.cz</v>
      </c>
      <c r="E934" s="3" t="str">
        <f ca="1">IFERROR(__xludf.DUMMYFUNCTION("""COMPUTED_VALUE"""),"celý web")</f>
        <v>celý web</v>
      </c>
      <c r="F934" s="4" t="str">
        <f ca="1">IFERROR(__xludf.DUMMYFUNCTION("""COMPUTED_VALUE"""),"https://recepty.cz")</f>
        <v>https://recepty.cz</v>
      </c>
      <c r="G934" s="3" t="str">
        <f ca="1">IFERROR(__xludf.DUMMYFUNCTION("""COMPUTED_VALUE"""),"cílený mobilní viněta high season")</f>
        <v>cílený mobilní viněta high season</v>
      </c>
      <c r="H934" s="3">
        <f ca="1">IFERROR(__xludf.DUMMYFUNCTION("""COMPUTED_VALUE"""),7)</f>
        <v>7</v>
      </c>
      <c r="I934" s="5">
        <f ca="1">IFERROR(__xludf.DUMMYFUNCTION("""COMPUTED_VALUE"""),1000)</f>
        <v>1000</v>
      </c>
      <c r="J934" s="5">
        <f ca="1">IFERROR(__xludf.DUMMYFUNCTION("""COMPUTED_VALUE"""),1908)</f>
        <v>1908</v>
      </c>
      <c r="K934" s="3"/>
      <c r="L934" s="3" t="str">
        <f ca="1">IFERROR(__xludf.DUMMYFUNCTION("""COMPUTED_VALUE"""),"Cost per period")</f>
        <v>Cost per period</v>
      </c>
      <c r="M934" s="3"/>
      <c r="N934" s="3"/>
      <c r="O934" s="3" t="str">
        <f ca="1">IFERROR(__xludf.DUMMYFUNCTION("""COMPUTED_VALUE"""),"600")</f>
        <v>600</v>
      </c>
      <c r="P934" s="3" t="str">
        <f ca="1">IFERROR(__xludf.DUMMYFUNCTION("""COMPUTED_VALUE"""),"800")</f>
        <v>800</v>
      </c>
      <c r="Q934" s="3" t="str">
        <f ca="1">IFERROR(__xludf.DUMMYFUNCTION("""COMPUTED_VALUE"""),"300x250 nebo 600x800")</f>
        <v>300x250 nebo 600x800</v>
      </c>
      <c r="R934" s="3"/>
      <c r="S934" s="3" t="str">
        <f ca="1">IFERROR(__xludf.DUMMYFUNCTION("""COMPUTED_VALUE"""),"100")</f>
        <v>100</v>
      </c>
      <c r="T934" s="3"/>
      <c r="U934" s="3" t="str">
        <f ca="1">IFERROR(__xludf.DUMMYFUNCTION("""COMPUTED_VALUE"""),"banner standard")</f>
        <v>banner standard</v>
      </c>
      <c r="V934" s="3"/>
      <c r="W934" s="4" t="str">
        <f ca="1">IFERROR(__xludf.DUMMYFUNCTION("""COMPUTED_VALUE"""),"https://reklama.cncenter.cz/Online/mobilni-vineta")</f>
        <v>https://reklama.cncenter.cz/Online/mobilni-vineta</v>
      </c>
      <c r="X934" s="3"/>
      <c r="Y934" s="3"/>
      <c r="Z934" s="3" t="str">
        <f ca="1">IFERROR(__xludf.DUMMYFUNCTION("""COMPUTED_VALUE"""),"podklady@cncenter.cz")</f>
        <v>podklady@cncenter.cz</v>
      </c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 t="str">
        <f ca="1">IFERROR(__xludf.DUMMYFUNCTION("""COMPUTED_VALUE"""),"mobile")</f>
        <v>mobile</v>
      </c>
      <c r="AO934" s="3"/>
      <c r="AP934" s="3"/>
      <c r="AQ934" s="3"/>
      <c r="AR934" s="3"/>
      <c r="AS934" s="3"/>
      <c r="AT934" s="3"/>
      <c r="AU934" s="3" t="str">
        <f ca="1">IFERROR(__xludf.DUMMYFUNCTION("""COMPUTED_VALUE"""),"cílený mobilní viněta")</f>
        <v>cílený mobilní viněta</v>
      </c>
    </row>
    <row r="935" spans="1:47" x14ac:dyDescent="0.3">
      <c r="A935" s="3">
        <f ca="1"/>
        <v>2346826</v>
      </c>
      <c r="B935" s="3" t="str">
        <f ca="1"/>
        <v>CZECH NEWS CENTER a. s.</v>
      </c>
      <c r="C935" s="3" t="str">
        <f ca="1">IFERROR(__xludf.DUMMYFUNCTION("""COMPUTED_VALUE"""),"Recepty")</f>
        <v>Recepty</v>
      </c>
      <c r="D935" s="4" t="str">
        <f ca="1">IFERROR(__xludf.DUMMYFUNCTION("""COMPUTED_VALUE"""),"https://recepty.cz")</f>
        <v>https://recepty.cz</v>
      </c>
      <c r="E935" s="3" t="str">
        <f ca="1">IFERROR(__xludf.DUMMYFUNCTION("""COMPUTED_VALUE"""),"celý web")</f>
        <v>celý web</v>
      </c>
      <c r="F935" s="4" t="str">
        <f ca="1">IFERROR(__xludf.DUMMYFUNCTION("""COMPUTED_VALUE"""),"https://recepty.cz")</f>
        <v>https://recepty.cz</v>
      </c>
      <c r="G935" s="3" t="str">
        <f ca="1">IFERROR(__xludf.DUMMYFUNCTION("""COMPUTED_VALUE"""),"cílený nativní pr premium high season")</f>
        <v>cílený nativní pr premium high season</v>
      </c>
      <c r="H935" s="3">
        <f ca="1">IFERROR(__xludf.DUMMYFUNCTION("""COMPUTED_VALUE"""),7)</f>
        <v>7</v>
      </c>
      <c r="I935" s="5">
        <f ca="1">IFERROR(__xludf.DUMMYFUNCTION("""COMPUTED_VALUE"""),1000)</f>
        <v>1000</v>
      </c>
      <c r="J935" s="5">
        <f ca="1">IFERROR(__xludf.DUMMYFUNCTION("""COMPUTED_VALUE"""),216)</f>
        <v>216</v>
      </c>
      <c r="K935" s="3"/>
      <c r="L935" s="3" t="str">
        <f ca="1">IFERROR(__xludf.DUMMYFUNCTION("""COMPUTED_VALUE"""),"Cost per period")</f>
        <v>Cost per period</v>
      </c>
      <c r="M935" s="3"/>
      <c r="N935" s="3"/>
      <c r="O935" s="3" t="str">
        <f ca="1">IFERROR(__xludf.DUMMYFUNCTION("""COMPUTED_VALUE"""),"640")</f>
        <v>640</v>
      </c>
      <c r="P935" s="3" t="str">
        <f ca="1">IFERROR(__xludf.DUMMYFUNCTION("""COMPUTED_VALUE"""),"335, 640")</f>
        <v>335, 640</v>
      </c>
      <c r="Q935" s="3" t="str">
        <f ca="1">IFERROR(__xludf.DUMMYFUNCTION("""COMPUTED_VALUE"""),"640x640 a 640x335 + text + logo")</f>
        <v>640x640 a 640x335 + text + logo</v>
      </c>
      <c r="R935" s="3" t="str">
        <f ca="1">IFERROR(__xludf.DUMMYFUNCTION("""COMPUTED_VALUE"""),"detailní specifikace na URL odkaze")</f>
        <v>detailní specifikace na URL odkaze</v>
      </c>
      <c r="S935" s="3" t="str">
        <f ca="1">IFERROR(__xludf.DUMMYFUNCTION("""COMPUTED_VALUE"""),"100")</f>
        <v>100</v>
      </c>
      <c r="T935" s="3"/>
      <c r="U935" s="3" t="str">
        <f ca="1">IFERROR(__xludf.DUMMYFUNCTION("""COMPUTED_VALUE"""),"nativní reklama")</f>
        <v>nativní reklama</v>
      </c>
      <c r="V935" s="3"/>
      <c r="W935" s="4" t="str">
        <f ca="1">IFERROR(__xludf.DUMMYFUNCTION("""COMPUTED_VALUE"""),"https://reklama.cncenter.cz/Online/nativni-PR-premium")</f>
        <v>https://reklama.cncenter.cz/Online/nativni-PR-premium</v>
      </c>
      <c r="X935" s="3"/>
      <c r="Y935" s="3"/>
      <c r="Z935" s="3" t="str">
        <f ca="1">IFERROR(__xludf.DUMMYFUNCTION("""COMPUTED_VALUE"""),"podklady@cncenter.cz")</f>
        <v>podklady@cncenter.cz</v>
      </c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 t="str">
        <f ca="1">IFERROR(__xludf.DUMMYFUNCTION("""COMPUTED_VALUE"""),"cross-device")</f>
        <v>cross-device</v>
      </c>
      <c r="AO935" s="3"/>
      <c r="AP935" s="3"/>
      <c r="AQ935" s="3"/>
      <c r="AR935" s="3"/>
      <c r="AS935" s="3"/>
      <c r="AT935" s="3"/>
      <c r="AU935" s="3" t="str">
        <f ca="1">IFERROR(__xludf.DUMMYFUNCTION("""COMPUTED_VALUE"""),"cílený nativní pr premium")</f>
        <v>cílený nativní pr premium</v>
      </c>
    </row>
    <row r="936" spans="1:47" x14ac:dyDescent="0.3">
      <c r="A936" s="3">
        <f ca="1"/>
        <v>2346826</v>
      </c>
      <c r="B936" s="3" t="str">
        <f ca="1"/>
        <v>CZECH NEWS CENTER a. s.</v>
      </c>
      <c r="C936" s="3" t="str">
        <f ca="1">IFERROR(__xludf.DUMMYFUNCTION("""COMPUTED_VALUE"""),"Recepty")</f>
        <v>Recepty</v>
      </c>
      <c r="D936" s="4" t="str">
        <f ca="1">IFERROR(__xludf.DUMMYFUNCTION("""COMPUTED_VALUE"""),"https://recepty.cz")</f>
        <v>https://recepty.cz</v>
      </c>
      <c r="E936" s="3" t="str">
        <f ca="1">IFERROR(__xludf.DUMMYFUNCTION("""COMPUTED_VALUE"""),"celý web")</f>
        <v>celý web</v>
      </c>
      <c r="F936" s="4" t="str">
        <f ca="1">IFERROR(__xludf.DUMMYFUNCTION("""COMPUTED_VALUE"""),"https://recepty.cz")</f>
        <v>https://recepty.cz</v>
      </c>
      <c r="G936" s="3" t="str">
        <f ca="1">IFERROR(__xludf.DUMMYFUNCTION("""COMPUTED_VALUE"""),"cílený nativní rectangle cross-device high season")</f>
        <v>cílený nativní rectangle cross-device high season</v>
      </c>
      <c r="H936" s="3">
        <f ca="1">IFERROR(__xludf.DUMMYFUNCTION("""COMPUTED_VALUE"""),7)</f>
        <v>7</v>
      </c>
      <c r="I936" s="5">
        <f ca="1">IFERROR(__xludf.DUMMYFUNCTION("""COMPUTED_VALUE"""),1000)</f>
        <v>1000</v>
      </c>
      <c r="J936" s="5">
        <f ca="1">IFERROR(__xludf.DUMMYFUNCTION("""COMPUTED_VALUE"""),432)</f>
        <v>432</v>
      </c>
      <c r="K936" s="3"/>
      <c r="L936" s="3" t="str">
        <f ca="1">IFERROR(__xludf.DUMMYFUNCTION("""COMPUTED_VALUE"""),"Cost per period")</f>
        <v>Cost per period</v>
      </c>
      <c r="M936" s="3"/>
      <c r="N936" s="3"/>
      <c r="O936" s="3" t="str">
        <f ca="1">IFERROR(__xludf.DUMMYFUNCTION("""COMPUTED_VALUE"""),"640")</f>
        <v>640</v>
      </c>
      <c r="P936" s="3" t="str">
        <f ca="1">IFERROR(__xludf.DUMMYFUNCTION("""COMPUTED_VALUE"""),"335, 640")</f>
        <v>335, 640</v>
      </c>
      <c r="Q936" s="3" t="str">
        <f ca="1">IFERROR(__xludf.DUMMYFUNCTION("""COMPUTED_VALUE"""),"640x640 a 640x335 + text + logo")</f>
        <v>640x640 a 640x335 + text + logo</v>
      </c>
      <c r="R936" s="3"/>
      <c r="S936" s="3" t="str">
        <f ca="1">IFERROR(__xludf.DUMMYFUNCTION("""COMPUTED_VALUE"""),"45")</f>
        <v>45</v>
      </c>
      <c r="T936" s="3"/>
      <c r="U936" s="3" t="str">
        <f ca="1">IFERROR(__xludf.DUMMYFUNCTION("""COMPUTED_VALUE"""),"nativní reklama")</f>
        <v>nativní reklama</v>
      </c>
      <c r="V936" s="3"/>
      <c r="W936" s="4" t="str">
        <f ca="1">IFERROR(__xludf.DUMMYFUNCTION("""COMPUTED_VALUE"""),"https://reklama.cncenter.cz/Online/nativni-rectangle-cross-device")</f>
        <v>https://reklama.cncenter.cz/Online/nativni-rectangle-cross-device</v>
      </c>
      <c r="X936" s="3"/>
      <c r="Y936" s="3"/>
      <c r="Z936" s="3" t="str">
        <f ca="1">IFERROR(__xludf.DUMMYFUNCTION("""COMPUTED_VALUE"""),"podklady@cncenter.cz")</f>
        <v>podklady@cncenter.cz</v>
      </c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 t="str">
        <f ca="1">IFERROR(__xludf.DUMMYFUNCTION("""COMPUTED_VALUE"""),"cross-device")</f>
        <v>cross-device</v>
      </c>
      <c r="AO936" s="3"/>
      <c r="AP936" s="3"/>
      <c r="AQ936" s="3"/>
      <c r="AR936" s="3"/>
      <c r="AS936" s="3"/>
      <c r="AT936" s="3"/>
      <c r="AU936" s="3" t="str">
        <f ca="1">IFERROR(__xludf.DUMMYFUNCTION("""COMPUTED_VALUE"""),"cílený nativní rectangle cross-device")</f>
        <v>cílený nativní rectangle cross-device</v>
      </c>
    </row>
    <row r="937" spans="1:47" x14ac:dyDescent="0.3">
      <c r="A937" s="3">
        <f ca="1"/>
        <v>2346826</v>
      </c>
      <c r="B937" s="3" t="str">
        <f ca="1"/>
        <v>CZECH NEWS CENTER a. s.</v>
      </c>
      <c r="C937" s="3" t="str">
        <f ca="1">IFERROR(__xludf.DUMMYFUNCTION("""COMPUTED_VALUE"""),"Recepty")</f>
        <v>Recepty</v>
      </c>
      <c r="D937" s="4" t="str">
        <f ca="1">IFERROR(__xludf.DUMMYFUNCTION("""COMPUTED_VALUE"""),"https://recepty.cz")</f>
        <v>https://recepty.cz</v>
      </c>
      <c r="E937" s="3" t="str">
        <f ca="1">IFERROR(__xludf.DUMMYFUNCTION("""COMPUTED_VALUE"""),"celý web")</f>
        <v>celý web</v>
      </c>
      <c r="F937" s="4" t="str">
        <f ca="1">IFERROR(__xludf.DUMMYFUNCTION("""COMPUTED_VALUE"""),"https://recepty.cz")</f>
        <v>https://recepty.cz</v>
      </c>
      <c r="G937" s="3" t="str">
        <f ca="1">IFERROR(__xludf.DUMMYFUNCTION("""COMPUTED_VALUE"""),"cílený outstream high season")</f>
        <v>cílený outstream high season</v>
      </c>
      <c r="H937" s="3">
        <f ca="1">IFERROR(__xludf.DUMMYFUNCTION("""COMPUTED_VALUE"""),7)</f>
        <v>7</v>
      </c>
      <c r="I937" s="5">
        <f ca="1">IFERROR(__xludf.DUMMYFUNCTION("""COMPUTED_VALUE"""),1000)</f>
        <v>1000</v>
      </c>
      <c r="J937" s="5">
        <f ca="1">IFERROR(__xludf.DUMMYFUNCTION("""COMPUTED_VALUE"""),540)</f>
        <v>540</v>
      </c>
      <c r="K937" s="3"/>
      <c r="L937" s="3" t="str">
        <f ca="1">IFERROR(__xludf.DUMMYFUNCTION("""COMPUTED_VALUE"""),"Cost per period")</f>
        <v>Cost per period</v>
      </c>
      <c r="M937" s="3"/>
      <c r="N937" s="3"/>
      <c r="O937" s="3" t="str">
        <f ca="1">IFERROR(__xludf.DUMMYFUNCTION("""COMPUTED_VALUE"""),"1280")</f>
        <v>1280</v>
      </c>
      <c r="P937" s="3" t="str">
        <f ca="1">IFERROR(__xludf.DUMMYFUNCTION("""COMPUTED_VALUE"""),"720")</f>
        <v>720</v>
      </c>
      <c r="Q937" s="3" t="str">
        <f ca="1">IFERROR(__xludf.DUMMYFUNCTION("""COMPUTED_VALUE"""),"16:9")</f>
        <v>16:9</v>
      </c>
      <c r="R937" s="3"/>
      <c r="S937" s="3" t="str">
        <f ca="1">IFERROR(__xludf.DUMMYFUNCTION("""COMPUTED_VALUE"""),"100")</f>
        <v>100</v>
      </c>
      <c r="T937" s="3"/>
      <c r="U937" s="3" t="str">
        <f ca="1">IFERROR(__xludf.DUMMYFUNCTION("""COMPUTED_VALUE"""),"videospot")</f>
        <v>videospot</v>
      </c>
      <c r="V937" s="3"/>
      <c r="W937" s="4" t="str">
        <f ca="1">IFERROR(__xludf.DUMMYFUNCTION("""COMPUTED_VALUE"""),"https://reklama.cncenter.cz/Online/Outstream")</f>
        <v>https://reklama.cncenter.cz/Online/Outstream</v>
      </c>
      <c r="X937" s="3"/>
      <c r="Y937" s="3"/>
      <c r="Z937" s="3" t="str">
        <f ca="1">IFERROR(__xludf.DUMMYFUNCTION("""COMPUTED_VALUE"""),"podklady@cncenter.cz")</f>
        <v>podklady@cncenter.cz</v>
      </c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 t="str">
        <f ca="1">IFERROR(__xludf.DUMMYFUNCTION("""COMPUTED_VALUE"""),"cross-device")</f>
        <v>cross-device</v>
      </c>
      <c r="AO937" s="3"/>
      <c r="AP937" s="3"/>
      <c r="AQ937" s="3"/>
      <c r="AR937" s="3"/>
      <c r="AS937" s="3"/>
      <c r="AT937" s="3"/>
      <c r="AU937" s="3" t="str">
        <f ca="1">IFERROR(__xludf.DUMMYFUNCTION("""COMPUTED_VALUE"""),"cílený outstream")</f>
        <v>cílený outstream</v>
      </c>
    </row>
    <row r="938" spans="1:47" x14ac:dyDescent="0.3">
      <c r="A938" s="3">
        <f ca="1"/>
        <v>2346826</v>
      </c>
      <c r="B938" s="3" t="str">
        <f ca="1"/>
        <v>CZECH NEWS CENTER a. s.</v>
      </c>
      <c r="C938" s="3" t="str">
        <f ca="1">IFERROR(__xludf.DUMMYFUNCTION("""COMPUTED_VALUE"""),"Recepty")</f>
        <v>Recepty</v>
      </c>
      <c r="D938" s="4" t="str">
        <f ca="1">IFERROR(__xludf.DUMMYFUNCTION("""COMPUTED_VALUE"""),"https://recepty.cz")</f>
        <v>https://recepty.cz</v>
      </c>
      <c r="E938" s="3" t="str">
        <f ca="1">IFERROR(__xludf.DUMMYFUNCTION("""COMPUTED_VALUE"""),"celý web")</f>
        <v>celý web</v>
      </c>
      <c r="F938" s="4" t="str">
        <f ca="1">IFERROR(__xludf.DUMMYFUNCTION("""COMPUTED_VALUE"""),"https://recepty.cz")</f>
        <v>https://recepty.cz</v>
      </c>
      <c r="G938" s="3" t="str">
        <f ca="1">IFERROR(__xludf.DUMMYFUNCTION("""COMPUTED_VALUE"""),"cílený videospot - max. 30 sec. / bumper high season")</f>
        <v>cílený videospot - max. 30 sec. / bumper high season</v>
      </c>
      <c r="H938" s="3">
        <f ca="1">IFERROR(__xludf.DUMMYFUNCTION("""COMPUTED_VALUE"""),7)</f>
        <v>7</v>
      </c>
      <c r="I938" s="5">
        <f ca="1">IFERROR(__xludf.DUMMYFUNCTION("""COMPUTED_VALUE"""),1000)</f>
        <v>1000</v>
      </c>
      <c r="J938" s="5">
        <f ca="1">IFERROR(__xludf.DUMMYFUNCTION("""COMPUTED_VALUE"""),1608)</f>
        <v>1608</v>
      </c>
      <c r="K938" s="3"/>
      <c r="L938" s="3" t="str">
        <f ca="1">IFERROR(__xludf.DUMMYFUNCTION("""COMPUTED_VALUE"""),"Cost per period")</f>
        <v>Cost per period</v>
      </c>
      <c r="M938" s="3"/>
      <c r="N938" s="3"/>
      <c r="O938" s="3" t="str">
        <f ca="1">IFERROR(__xludf.DUMMYFUNCTION("""COMPUTED_VALUE"""),"1280")</f>
        <v>1280</v>
      </c>
      <c r="P938" s="3" t="str">
        <f ca="1">IFERROR(__xludf.DUMMYFUNCTION("""COMPUTED_VALUE"""),"720")</f>
        <v>720</v>
      </c>
      <c r="Q938" s="3" t="str">
        <f ca="1">IFERROR(__xludf.DUMMYFUNCTION("""COMPUTED_VALUE"""),"16:9 / umístění po domluvě dle možností")</f>
        <v>16:9 / umístění po domluvě dle možností</v>
      </c>
      <c r="R938" s="3" t="str">
        <f ca="1">IFERROR(__xludf.DUMMYFUNCTION("""COMPUTED_VALUE"""),"přeskočení po 7 sekundách")</f>
        <v>přeskočení po 7 sekundách</v>
      </c>
      <c r="S938" s="3" t="str">
        <f ca="1">IFERROR(__xludf.DUMMYFUNCTION("""COMPUTED_VALUE"""),"100")</f>
        <v>100</v>
      </c>
      <c r="T938" s="3"/>
      <c r="U938" s="3" t="str">
        <f ca="1">IFERROR(__xludf.DUMMYFUNCTION("""COMPUTED_VALUE"""),"videospot")</f>
        <v>videospot</v>
      </c>
      <c r="V938" s="3"/>
      <c r="W938" s="4" t="str">
        <f ca="1">IFERROR(__xludf.DUMMYFUNCTION("""COMPUTED_VALUE"""),"https://reklama.cncenter.cz/Online/Bumper")</f>
        <v>https://reklama.cncenter.cz/Online/Bumper</v>
      </c>
      <c r="X938" s="3"/>
      <c r="Y938" s="3"/>
      <c r="Z938" s="3" t="str">
        <f ca="1">IFERROR(__xludf.DUMMYFUNCTION("""COMPUTED_VALUE"""),"podklady@cncenter.cz")</f>
        <v>podklady@cncenter.cz</v>
      </c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 t="str">
        <f ca="1">IFERROR(__xludf.DUMMYFUNCTION("""COMPUTED_VALUE"""),"cross-device")</f>
        <v>cross-device</v>
      </c>
      <c r="AO938" s="3"/>
      <c r="AP938" s="3"/>
      <c r="AQ938" s="3"/>
      <c r="AR938" s="3"/>
      <c r="AS938" s="3"/>
      <c r="AT938" s="3"/>
      <c r="AU938" s="3" t="str">
        <f ca="1">IFERROR(__xludf.DUMMYFUNCTION("""COMPUTED_VALUE"""),"cílený videospot - max. 30 sec. / bumper")</f>
        <v>cílený videospot - max. 30 sec. / bumper</v>
      </c>
    </row>
    <row r="939" spans="1:47" x14ac:dyDescent="0.3">
      <c r="A939" s="3">
        <f ca="1"/>
        <v>2346826</v>
      </c>
      <c r="B939" s="3" t="str">
        <f ca="1"/>
        <v>CZECH NEWS CENTER a. s.</v>
      </c>
      <c r="C939" s="3" t="str">
        <f ca="1">IFERROR(__xludf.DUMMYFUNCTION("""COMPUTED_VALUE"""),"Recepty")</f>
        <v>Recepty</v>
      </c>
      <c r="D939" s="4" t="str">
        <f ca="1">IFERROR(__xludf.DUMMYFUNCTION("""COMPUTED_VALUE"""),"https://recepty.cz")</f>
        <v>https://recepty.cz</v>
      </c>
      <c r="E939" s="3" t="str">
        <f ca="1">IFERROR(__xludf.DUMMYFUNCTION("""COMPUTED_VALUE"""),"celý web")</f>
        <v>celý web</v>
      </c>
      <c r="F939" s="4" t="str">
        <f ca="1">IFERROR(__xludf.DUMMYFUNCTION("""COMPUTED_VALUE"""),"https://recepty.cz")</f>
        <v>https://recepty.cz</v>
      </c>
      <c r="G939" s="3" t="str">
        <f ca="1">IFERROR(__xludf.DUMMYFUNCTION("""COMPUTED_VALUE"""),"dokoupení proma o 2 týdny - 10 000 PV *** high season")</f>
        <v>dokoupení proma o 2 týdny - 10 000 PV *** high season</v>
      </c>
      <c r="H939" s="3">
        <f ca="1">IFERROR(__xludf.DUMMYFUNCTION("""COMPUTED_VALUE"""),1)</f>
        <v>1</v>
      </c>
      <c r="I939" s="5">
        <f ca="1">IFERROR(__xludf.DUMMYFUNCTION("""COMPUTED_VALUE"""),1)</f>
        <v>1</v>
      </c>
      <c r="J939" s="5">
        <f ca="1">IFERROR(__xludf.DUMMYFUNCTION("""COMPUTED_VALUE"""),60000)</f>
        <v>60000</v>
      </c>
      <c r="K939" s="3"/>
      <c r="L939" s="3" t="str">
        <f ca="1">IFERROR(__xludf.DUMMYFUNCTION("""COMPUTED_VALUE"""),"Cost per instance")</f>
        <v>Cost per instance</v>
      </c>
      <c r="M939" s="3"/>
      <c r="N939" s="3"/>
      <c r="O939" s="3"/>
      <c r="P939" s="3"/>
      <c r="Q939" s="3"/>
      <c r="R939" s="3"/>
      <c r="S939" s="3" t="str">
        <f ca="1">IFERROR(__xludf.DUMMYFUNCTION("""COMPUTED_VALUE"""),"100")</f>
        <v>100</v>
      </c>
      <c r="T939" s="3"/>
      <c r="U939" s="3" t="str">
        <f ca="1">IFERROR(__xludf.DUMMYFUNCTION("""COMPUTED_VALUE"""),"microsite")</f>
        <v>microsite</v>
      </c>
      <c r="V939" s="3"/>
      <c r="W939" s="3"/>
      <c r="X939" s="3"/>
      <c r="Y939" s="3"/>
      <c r="Z939" s="3" t="str">
        <f ca="1">IFERROR(__xludf.DUMMYFUNCTION("""COMPUTED_VALUE"""),"podklady@cncenter.cz")</f>
        <v>podklady@cncenter.cz</v>
      </c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 t="str">
        <f ca="1">IFERROR(__xludf.DUMMYFUNCTION("""COMPUTED_VALUE"""),"cross-device")</f>
        <v>cross-device</v>
      </c>
      <c r="AO939" s="3"/>
      <c r="AP939" s="3"/>
      <c r="AQ939" s="3"/>
      <c r="AR939" s="3"/>
      <c r="AS939" s="3"/>
      <c r="AT939" s="3"/>
      <c r="AU939" s="3" t="str">
        <f ca="1">IFERROR(__xludf.DUMMYFUNCTION("""COMPUTED_VALUE"""),"dokoupení proma o 2 týdny - 10 000 PV ***")</f>
        <v>dokoupení proma o 2 týdny - 10 000 PV ***</v>
      </c>
    </row>
    <row r="940" spans="1:47" x14ac:dyDescent="0.3">
      <c r="A940" s="3">
        <f ca="1"/>
        <v>2346826</v>
      </c>
      <c r="B940" s="3" t="str">
        <f ca="1"/>
        <v>CZECH NEWS CENTER a. s.</v>
      </c>
      <c r="C940" s="3" t="str">
        <f ca="1">IFERROR(__xludf.DUMMYFUNCTION("""COMPUTED_VALUE"""),"Recepty")</f>
        <v>Recepty</v>
      </c>
      <c r="D940" s="4" t="str">
        <f ca="1">IFERROR(__xludf.DUMMYFUNCTION("""COMPUTED_VALUE"""),"https://recepty.cz")</f>
        <v>https://recepty.cz</v>
      </c>
      <c r="E940" s="3" t="str">
        <f ca="1">IFERROR(__xludf.DUMMYFUNCTION("""COMPUTED_VALUE"""),"celý web")</f>
        <v>celý web</v>
      </c>
      <c r="F940" s="4" t="str">
        <f ca="1">IFERROR(__xludf.DUMMYFUNCTION("""COMPUTED_VALUE"""),"https://recepty.cz")</f>
        <v>https://recepty.cz</v>
      </c>
      <c r="G940" s="3" t="str">
        <f ca="1">IFERROR(__xludf.DUMMYFUNCTION("""COMPUTED_VALUE"""),"double skyscraper high season")</f>
        <v>double skyscraper high season</v>
      </c>
      <c r="H940" s="3">
        <f ca="1">IFERROR(__xludf.DUMMYFUNCTION("""COMPUTED_VALUE"""),7)</f>
        <v>7</v>
      </c>
      <c r="I940" s="5">
        <f ca="1">IFERROR(__xludf.DUMMYFUNCTION("""COMPUTED_VALUE"""),1000)</f>
        <v>1000</v>
      </c>
      <c r="J940" s="5">
        <f ca="1">IFERROR(__xludf.DUMMYFUNCTION("""COMPUTED_VALUE"""),350)</f>
        <v>350</v>
      </c>
      <c r="K940" s="3"/>
      <c r="L940" s="3" t="str">
        <f ca="1">IFERROR(__xludf.DUMMYFUNCTION("""COMPUTED_VALUE"""),"Cost per period")</f>
        <v>Cost per period</v>
      </c>
      <c r="M940" s="3"/>
      <c r="N940" s="3"/>
      <c r="O940" s="3" t="str">
        <f ca="1">IFERROR(__xludf.DUMMYFUNCTION("""COMPUTED_VALUE"""),"300")</f>
        <v>300</v>
      </c>
      <c r="P940" s="3" t="str">
        <f ca="1">IFERROR(__xludf.DUMMYFUNCTION("""COMPUTED_VALUE"""),"600")</f>
        <v>600</v>
      </c>
      <c r="Q940" s="3" t="str">
        <f ca="1">IFERROR(__xludf.DUMMYFUNCTION("""COMPUTED_VALUE"""),"300x600")</f>
        <v>300x600</v>
      </c>
      <c r="R940" s="3"/>
      <c r="S940" s="3" t="str">
        <f ca="1">IFERROR(__xludf.DUMMYFUNCTION("""COMPUTED_VALUE"""),"100 (200 - HTML5)")</f>
        <v>100 (200 - HTML5)</v>
      </c>
      <c r="T940" s="3"/>
      <c r="U940" s="3" t="str">
        <f ca="1">IFERROR(__xludf.DUMMYFUNCTION("""COMPUTED_VALUE"""),"banner standard")</f>
        <v>banner standard</v>
      </c>
      <c r="V940" s="3"/>
      <c r="W940" s="4" t="str">
        <f ca="1">IFERROR(__xludf.DUMMYFUNCTION("""COMPUTED_VALUE"""),"https://reklama.cncenter.cz/Online/double-skyscraper")</f>
        <v>https://reklama.cncenter.cz/Online/double-skyscraper</v>
      </c>
      <c r="X940" s="3"/>
      <c r="Y940" s="3"/>
      <c r="Z940" s="3" t="str">
        <f ca="1">IFERROR(__xludf.DUMMYFUNCTION("""COMPUTED_VALUE"""),"podklady@cncenter.cz")</f>
        <v>podklady@cncenter.cz</v>
      </c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 t="str">
        <f ca="1">IFERROR(__xludf.DUMMYFUNCTION("""COMPUTED_VALUE"""),"desktop")</f>
        <v>desktop</v>
      </c>
      <c r="AO940" s="3"/>
      <c r="AP940" s="3"/>
      <c r="AQ940" s="3"/>
      <c r="AR940" s="3"/>
      <c r="AS940" s="3"/>
      <c r="AT940" s="3"/>
      <c r="AU940" s="3" t="str">
        <f ca="1">IFERROR(__xludf.DUMMYFUNCTION("""COMPUTED_VALUE"""),"double skyscraper")</f>
        <v>double skyscraper</v>
      </c>
    </row>
    <row r="941" spans="1:47" x14ac:dyDescent="0.3">
      <c r="A941" s="3">
        <f ca="1"/>
        <v>2346826</v>
      </c>
      <c r="B941" s="3" t="str">
        <f ca="1"/>
        <v>CZECH NEWS CENTER a. s.</v>
      </c>
      <c r="C941" s="3" t="str">
        <f ca="1">IFERROR(__xludf.DUMMYFUNCTION("""COMPUTED_VALUE"""),"Recepty")</f>
        <v>Recepty</v>
      </c>
      <c r="D941" s="4" t="str">
        <f ca="1">IFERROR(__xludf.DUMMYFUNCTION("""COMPUTED_VALUE"""),"https://recepty.cz")</f>
        <v>https://recepty.cz</v>
      </c>
      <c r="E941" s="3" t="str">
        <f ca="1">IFERROR(__xludf.DUMMYFUNCTION("""COMPUTED_VALUE"""),"celý web")</f>
        <v>celý web</v>
      </c>
      <c r="F941" s="4" t="str">
        <f ca="1">IFERROR(__xludf.DUMMYFUNCTION("""COMPUTED_VALUE"""),"https://recepty.cz")</f>
        <v>https://recepty.cz</v>
      </c>
      <c r="G941" s="3" t="str">
        <f ca="1">IFERROR(__xludf.DUMMYFUNCTION("""COMPUTED_VALUE"""),"mini videospot - max. 30 sec. high season")</f>
        <v>mini videospot - max. 30 sec. high season</v>
      </c>
      <c r="H941" s="3">
        <f ca="1">IFERROR(__xludf.DUMMYFUNCTION("""COMPUTED_VALUE"""),7)</f>
        <v>7</v>
      </c>
      <c r="I941" s="5">
        <f ca="1">IFERROR(__xludf.DUMMYFUNCTION("""COMPUTED_VALUE"""),1000)</f>
        <v>1000</v>
      </c>
      <c r="J941" s="5">
        <f ca="1">IFERROR(__xludf.DUMMYFUNCTION("""COMPUTED_VALUE"""),260)</f>
        <v>260</v>
      </c>
      <c r="K941" s="3"/>
      <c r="L941" s="3" t="str">
        <f ca="1">IFERROR(__xludf.DUMMYFUNCTION("""COMPUTED_VALUE"""),"Cost per period")</f>
        <v>Cost per period</v>
      </c>
      <c r="M941" s="3"/>
      <c r="N941" s="3"/>
      <c r="O941" s="3"/>
      <c r="P941" s="3"/>
      <c r="Q941" s="3" t="str">
        <f ca="1">IFERROR(__xludf.DUMMYFUNCTION("""COMPUTED_VALUE"""),"16:9 / umístění po domluvě dle možností")</f>
        <v>16:9 / umístění po domluvě dle možností</v>
      </c>
      <c r="R941" s="3" t="str">
        <f ca="1">IFERROR(__xludf.DUMMYFUNCTION("""COMPUTED_VALUE"""),"přeskočení po 7 sekundách")</f>
        <v>přeskočení po 7 sekundách</v>
      </c>
      <c r="S941" s="3" t="str">
        <f ca="1">IFERROR(__xludf.DUMMYFUNCTION("""COMPUTED_VALUE"""),"100")</f>
        <v>100</v>
      </c>
      <c r="T941" s="3"/>
      <c r="U941" s="3" t="str">
        <f ca="1">IFERROR(__xludf.DUMMYFUNCTION("""COMPUTED_VALUE"""),"videospot")</f>
        <v>videospot</v>
      </c>
      <c r="V941" s="3"/>
      <c r="W941" s="4" t="str">
        <f ca="1">IFERROR(__xludf.DUMMYFUNCTION("""COMPUTED_VALUE"""),"https://reklama.cncenter.cz/Online/Videospot")</f>
        <v>https://reklama.cncenter.cz/Online/Videospot</v>
      </c>
      <c r="X941" s="3"/>
      <c r="Y941" s="3"/>
      <c r="Z941" s="3" t="str">
        <f ca="1">IFERROR(__xludf.DUMMYFUNCTION("""COMPUTED_VALUE"""),"podklady@cncenter.cz")</f>
        <v>podklady@cncenter.cz</v>
      </c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 t="str">
        <f ca="1">IFERROR(__xludf.DUMMYFUNCTION("""COMPUTED_VALUE"""),"desktop")</f>
        <v>desktop</v>
      </c>
      <c r="AO941" s="3"/>
      <c r="AP941" s="3"/>
      <c r="AQ941" s="3"/>
      <c r="AR941" s="3"/>
      <c r="AS941" s="3"/>
      <c r="AT941" s="3"/>
      <c r="AU941" s="3" t="str">
        <f ca="1">IFERROR(__xludf.DUMMYFUNCTION("""COMPUTED_VALUE"""),"mini videospot - max. 30 sec.")</f>
        <v>mini videospot - max. 30 sec.</v>
      </c>
    </row>
    <row r="942" spans="1:47" x14ac:dyDescent="0.3">
      <c r="A942" s="3">
        <f ca="1"/>
        <v>2346826</v>
      </c>
      <c r="B942" s="3" t="str">
        <f ca="1"/>
        <v>CZECH NEWS CENTER a. s.</v>
      </c>
      <c r="C942" s="3" t="str">
        <f ca="1">IFERROR(__xludf.DUMMYFUNCTION("""COMPUTED_VALUE"""),"Recepty")</f>
        <v>Recepty</v>
      </c>
      <c r="D942" s="4" t="str">
        <f ca="1">IFERROR(__xludf.DUMMYFUNCTION("""COMPUTED_VALUE"""),"https://recepty.cz")</f>
        <v>https://recepty.cz</v>
      </c>
      <c r="E942" s="3" t="str">
        <f ca="1">IFERROR(__xludf.DUMMYFUNCTION("""COMPUTED_VALUE"""),"celý web")</f>
        <v>celý web</v>
      </c>
      <c r="F942" s="4" t="str">
        <f ca="1">IFERROR(__xludf.DUMMYFUNCTION("""COMPUTED_VALUE"""),"https://recepty.cz")</f>
        <v>https://recepty.cz</v>
      </c>
      <c r="G942" s="3" t="str">
        <f ca="1">IFERROR(__xludf.DUMMYFUNCTION("""COMPUTED_VALUE"""),"mobilní interscroller high season")</f>
        <v>mobilní interscroller high season</v>
      </c>
      <c r="H942" s="3">
        <f ca="1">IFERROR(__xludf.DUMMYFUNCTION("""COMPUTED_VALUE"""),7)</f>
        <v>7</v>
      </c>
      <c r="I942" s="5">
        <f ca="1">IFERROR(__xludf.DUMMYFUNCTION("""COMPUTED_VALUE"""),1000)</f>
        <v>1000</v>
      </c>
      <c r="J942" s="5">
        <f ca="1">IFERROR(__xludf.DUMMYFUNCTION("""COMPUTED_VALUE"""),450)</f>
        <v>450</v>
      </c>
      <c r="K942" s="3"/>
      <c r="L942" s="3" t="str">
        <f ca="1">IFERROR(__xludf.DUMMYFUNCTION("""COMPUTED_VALUE"""),"Cost per period")</f>
        <v>Cost per period</v>
      </c>
      <c r="M942" s="3"/>
      <c r="N942" s="3"/>
      <c r="O942" s="3" t="str">
        <f ca="1">IFERROR(__xludf.DUMMYFUNCTION("""COMPUTED_VALUE"""),"600")</f>
        <v>600</v>
      </c>
      <c r="P942" s="3" t="str">
        <f ca="1">IFERROR(__xludf.DUMMYFUNCTION("""COMPUTED_VALUE"""),"1080")</f>
        <v>1080</v>
      </c>
      <c r="Q942" s="3" t="str">
        <f ca="1">IFERROR(__xludf.DUMMYFUNCTION("""COMPUTED_VALUE"""),"600x1080")</f>
        <v>600x1080</v>
      </c>
      <c r="R942" s="3"/>
      <c r="S942" s="3" t="str">
        <f ca="1">IFERROR(__xludf.DUMMYFUNCTION("""COMPUTED_VALUE"""),"200")</f>
        <v>200</v>
      </c>
      <c r="T942" s="3"/>
      <c r="U942" s="3" t="str">
        <f ca="1">IFERROR(__xludf.DUMMYFUNCTION("""COMPUTED_VALUE"""),"banner standard")</f>
        <v>banner standard</v>
      </c>
      <c r="V942" s="3"/>
      <c r="W942" s="4" t="str">
        <f ca="1">IFERROR(__xludf.DUMMYFUNCTION("""COMPUTED_VALUE"""),"https://reklama.cncenter.cz/Online/mobilni-interscroller")</f>
        <v>https://reklama.cncenter.cz/Online/mobilni-interscroller</v>
      </c>
      <c r="X942" s="3"/>
      <c r="Y942" s="3"/>
      <c r="Z942" s="3" t="str">
        <f ca="1">IFERROR(__xludf.DUMMYFUNCTION("""COMPUTED_VALUE"""),"podklady@cncenter.cz")</f>
        <v>podklady@cncenter.cz</v>
      </c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 t="str">
        <f ca="1">IFERROR(__xludf.DUMMYFUNCTION("""COMPUTED_VALUE"""),"mobile")</f>
        <v>mobile</v>
      </c>
      <c r="AO942" s="3"/>
      <c r="AP942" s="3"/>
      <c r="AQ942" s="3"/>
      <c r="AR942" s="3"/>
      <c r="AS942" s="3"/>
      <c r="AT942" s="3"/>
      <c r="AU942" s="3" t="str">
        <f ca="1">IFERROR(__xludf.DUMMYFUNCTION("""COMPUTED_VALUE"""),"mobilní interscroller")</f>
        <v>mobilní interscroller</v>
      </c>
    </row>
    <row r="943" spans="1:47" x14ac:dyDescent="0.3">
      <c r="A943" s="3">
        <f ca="1"/>
        <v>2346826</v>
      </c>
      <c r="B943" s="3" t="str">
        <f ca="1"/>
        <v>CZECH NEWS CENTER a. s.</v>
      </c>
      <c r="C943" s="3" t="str">
        <f ca="1">IFERROR(__xludf.DUMMYFUNCTION("""COMPUTED_VALUE"""),"Recepty")</f>
        <v>Recepty</v>
      </c>
      <c r="D943" s="4" t="str">
        <f ca="1">IFERROR(__xludf.DUMMYFUNCTION("""COMPUTED_VALUE"""),"https://recepty.cz")</f>
        <v>https://recepty.cz</v>
      </c>
      <c r="E943" s="3" t="str">
        <f ca="1">IFERROR(__xludf.DUMMYFUNCTION("""COMPUTED_VALUE"""),"celý web")</f>
        <v>celý web</v>
      </c>
      <c r="F943" s="4" t="str">
        <f ca="1">IFERROR(__xludf.DUMMYFUNCTION("""COMPUTED_VALUE"""),"https://recepty.cz")</f>
        <v>https://recepty.cz</v>
      </c>
      <c r="G943" s="3" t="str">
        <f ca="1">IFERROR(__xludf.DUMMYFUNCTION("""COMPUTED_VALUE"""),"mobilní slide-up high season")</f>
        <v>mobilní slide-up high season</v>
      </c>
      <c r="H943" s="3">
        <f ca="1">IFERROR(__xludf.DUMMYFUNCTION("""COMPUTED_VALUE"""),7)</f>
        <v>7</v>
      </c>
      <c r="I943" s="5">
        <f ca="1">IFERROR(__xludf.DUMMYFUNCTION("""COMPUTED_VALUE"""),1000)</f>
        <v>1000</v>
      </c>
      <c r="J943" s="5">
        <f ca="1">IFERROR(__xludf.DUMMYFUNCTION("""COMPUTED_VALUE"""),920)</f>
        <v>920</v>
      </c>
      <c r="K943" s="3"/>
      <c r="L943" s="3" t="str">
        <f ca="1">IFERROR(__xludf.DUMMYFUNCTION("""COMPUTED_VALUE"""),"Cost per period")</f>
        <v>Cost per period</v>
      </c>
      <c r="M943" s="3"/>
      <c r="N943" s="3"/>
      <c r="O943" s="3" t="str">
        <f ca="1">IFERROR(__xludf.DUMMYFUNCTION("""COMPUTED_VALUE"""),"300")</f>
        <v>300</v>
      </c>
      <c r="P943" s="3" t="str">
        <f ca="1">IFERROR(__xludf.DUMMYFUNCTION("""COMPUTED_VALUE"""),"120")</f>
        <v>120</v>
      </c>
      <c r="Q943" s="3" t="str">
        <f ca="1">IFERROR(__xludf.DUMMYFUNCTION("""COMPUTED_VALUE"""),"300x120")</f>
        <v>300x120</v>
      </c>
      <c r="R943" s="3"/>
      <c r="S943" s="3" t="str">
        <f ca="1">IFERROR(__xludf.DUMMYFUNCTION("""COMPUTED_VALUE"""),"100")</f>
        <v>100</v>
      </c>
      <c r="T943" s="3"/>
      <c r="U943" s="3" t="str">
        <f ca="1">IFERROR(__xludf.DUMMYFUNCTION("""COMPUTED_VALUE"""),"banner standard")</f>
        <v>banner standard</v>
      </c>
      <c r="V943" s="3"/>
      <c r="W943" s="4" t="str">
        <f ca="1">IFERROR(__xludf.DUMMYFUNCTION("""COMPUTED_VALUE"""),"https://reklama.cncenter.cz/Online/mobilni-slide-up")</f>
        <v>https://reklama.cncenter.cz/Online/mobilni-slide-up</v>
      </c>
      <c r="X943" s="3"/>
      <c r="Y943" s="3"/>
      <c r="Z943" s="3" t="str">
        <f ca="1">IFERROR(__xludf.DUMMYFUNCTION("""COMPUTED_VALUE"""),"podklady@cncenter.cz")</f>
        <v>podklady@cncenter.cz</v>
      </c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 t="str">
        <f ca="1">IFERROR(__xludf.DUMMYFUNCTION("""COMPUTED_VALUE"""),"mobile")</f>
        <v>mobile</v>
      </c>
      <c r="AO943" s="3"/>
      <c r="AP943" s="3"/>
      <c r="AQ943" s="3"/>
      <c r="AR943" s="3"/>
      <c r="AS943" s="3"/>
      <c r="AT943" s="3"/>
      <c r="AU943" s="3" t="str">
        <f ca="1">IFERROR(__xludf.DUMMYFUNCTION("""COMPUTED_VALUE"""),"mobilní slide-up")</f>
        <v>mobilní slide-up</v>
      </c>
    </row>
    <row r="944" spans="1:47" x14ac:dyDescent="0.3">
      <c r="A944" s="3">
        <f ca="1"/>
        <v>2346826</v>
      </c>
      <c r="B944" s="3" t="str">
        <f ca="1"/>
        <v>CZECH NEWS CENTER a. s.</v>
      </c>
      <c r="C944" s="3" t="str">
        <f ca="1">IFERROR(__xludf.DUMMYFUNCTION("""COMPUTED_VALUE"""),"Recepty")</f>
        <v>Recepty</v>
      </c>
      <c r="D944" s="4" t="str">
        <f ca="1">IFERROR(__xludf.DUMMYFUNCTION("""COMPUTED_VALUE"""),"https://recepty.cz")</f>
        <v>https://recepty.cz</v>
      </c>
      <c r="E944" s="3" t="str">
        <f ca="1">IFERROR(__xludf.DUMMYFUNCTION("""COMPUTED_VALUE"""),"celý web")</f>
        <v>celý web</v>
      </c>
      <c r="F944" s="4" t="str">
        <f ca="1">IFERROR(__xludf.DUMMYFUNCTION("""COMPUTED_VALUE"""),"https://recepty.cz")</f>
        <v>https://recepty.cz</v>
      </c>
      <c r="G944" s="3" t="str">
        <f ca="1">IFERROR(__xludf.DUMMYFUNCTION("""COMPUTED_VALUE"""),"mobilní viněta high season")</f>
        <v>mobilní viněta high season</v>
      </c>
      <c r="H944" s="3">
        <f ca="1">IFERROR(__xludf.DUMMYFUNCTION("""COMPUTED_VALUE"""),7)</f>
        <v>7</v>
      </c>
      <c r="I944" s="5">
        <f ca="1">IFERROR(__xludf.DUMMYFUNCTION("""COMPUTED_VALUE"""),1000)</f>
        <v>1000</v>
      </c>
      <c r="J944" s="5">
        <f ca="1">IFERROR(__xludf.DUMMYFUNCTION("""COMPUTED_VALUE"""),1590)</f>
        <v>1590</v>
      </c>
      <c r="K944" s="3"/>
      <c r="L944" s="3" t="str">
        <f ca="1">IFERROR(__xludf.DUMMYFUNCTION("""COMPUTED_VALUE"""),"Cost per period")</f>
        <v>Cost per period</v>
      </c>
      <c r="M944" s="3"/>
      <c r="N944" s="3"/>
      <c r="O944" s="3" t="str">
        <f ca="1">IFERROR(__xludf.DUMMYFUNCTION("""COMPUTED_VALUE"""),"600")</f>
        <v>600</v>
      </c>
      <c r="P944" s="3" t="str">
        <f ca="1">IFERROR(__xludf.DUMMYFUNCTION("""COMPUTED_VALUE"""),"800")</f>
        <v>800</v>
      </c>
      <c r="Q944" s="3" t="str">
        <f ca="1">IFERROR(__xludf.DUMMYFUNCTION("""COMPUTED_VALUE"""),"300x250 nebo 600x800")</f>
        <v>300x250 nebo 600x800</v>
      </c>
      <c r="R944" s="3"/>
      <c r="S944" s="3" t="str">
        <f ca="1">IFERROR(__xludf.DUMMYFUNCTION("""COMPUTED_VALUE"""),"100")</f>
        <v>100</v>
      </c>
      <c r="T944" s="3"/>
      <c r="U944" s="3" t="str">
        <f ca="1">IFERROR(__xludf.DUMMYFUNCTION("""COMPUTED_VALUE"""),"banner standard")</f>
        <v>banner standard</v>
      </c>
      <c r="V944" s="3"/>
      <c r="W944" s="4" t="str">
        <f ca="1">IFERROR(__xludf.DUMMYFUNCTION("""COMPUTED_VALUE"""),"https://reklama.cncenter.cz/Online/mobilni-vineta")</f>
        <v>https://reklama.cncenter.cz/Online/mobilni-vineta</v>
      </c>
      <c r="X944" s="3"/>
      <c r="Y944" s="3"/>
      <c r="Z944" s="3" t="str">
        <f ca="1">IFERROR(__xludf.DUMMYFUNCTION("""COMPUTED_VALUE"""),"podklady@cncenter.cz")</f>
        <v>podklady@cncenter.cz</v>
      </c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 t="str">
        <f ca="1">IFERROR(__xludf.DUMMYFUNCTION("""COMPUTED_VALUE"""),"mobile")</f>
        <v>mobile</v>
      </c>
      <c r="AO944" s="3"/>
      <c r="AP944" s="3"/>
      <c r="AQ944" s="3"/>
      <c r="AR944" s="3"/>
      <c r="AS944" s="3"/>
      <c r="AT944" s="3"/>
      <c r="AU944" s="3" t="str">
        <f ca="1">IFERROR(__xludf.DUMMYFUNCTION("""COMPUTED_VALUE"""),"mobilní viněta")</f>
        <v>mobilní viněta</v>
      </c>
    </row>
    <row r="945" spans="1:47" x14ac:dyDescent="0.3">
      <c r="A945" s="3">
        <f ca="1"/>
        <v>2346826</v>
      </c>
      <c r="B945" s="3" t="str">
        <f ca="1"/>
        <v>CZECH NEWS CENTER a. s.</v>
      </c>
      <c r="C945" s="3" t="str">
        <f ca="1">IFERROR(__xludf.DUMMYFUNCTION("""COMPUTED_VALUE"""),"Recepty")</f>
        <v>Recepty</v>
      </c>
      <c r="D945" s="4" t="str">
        <f ca="1">IFERROR(__xludf.DUMMYFUNCTION("""COMPUTED_VALUE"""),"https://recepty.cz")</f>
        <v>https://recepty.cz</v>
      </c>
      <c r="E945" s="3" t="str">
        <f ca="1">IFERROR(__xludf.DUMMYFUNCTION("""COMPUTED_VALUE"""),"celý web")</f>
        <v>celý web</v>
      </c>
      <c r="F945" s="4" t="str">
        <f ca="1">IFERROR(__xludf.DUMMYFUNCTION("""COMPUTED_VALUE"""),"https://recepty.cz")</f>
        <v>https://recepty.cz</v>
      </c>
      <c r="G945" s="3" t="str">
        <f ca="1">IFERROR(__xludf.DUMMYFUNCTION("""COMPUTED_VALUE"""),"Native Standard high season")</f>
        <v>Native Standard high season</v>
      </c>
      <c r="H945" s="3">
        <f ca="1">IFERROR(__xludf.DUMMYFUNCTION("""COMPUTED_VALUE"""),1)</f>
        <v>1</v>
      </c>
      <c r="I945" s="5">
        <f ca="1">IFERROR(__xludf.DUMMYFUNCTION("""COMPUTED_VALUE"""),1)</f>
        <v>1</v>
      </c>
      <c r="J945" s="5">
        <f ca="1">IFERROR(__xludf.DUMMYFUNCTION("""COMPUTED_VALUE"""),330000)</f>
        <v>330000</v>
      </c>
      <c r="K945" s="3"/>
      <c r="L945" s="3" t="str">
        <f ca="1">IFERROR(__xludf.DUMMYFUNCTION("""COMPUTED_VALUE"""),"Cost per instance")</f>
        <v>Cost per instance</v>
      </c>
      <c r="M945" s="3"/>
      <c r="N945" s="3"/>
      <c r="O945" s="3"/>
      <c r="P945" s="3"/>
      <c r="Q945" s="3"/>
      <c r="R945" s="3"/>
      <c r="S945" s="3" t="str">
        <f ca="1">IFERROR(__xludf.DUMMYFUNCTION("""COMPUTED_VALUE"""),"100")</f>
        <v>100</v>
      </c>
      <c r="T945" s="3"/>
      <c r="U945" s="3" t="str">
        <f ca="1">IFERROR(__xludf.DUMMYFUNCTION("""COMPUTED_VALUE"""),"microsite")</f>
        <v>microsite</v>
      </c>
      <c r="V945" s="3"/>
      <c r="W945" s="3"/>
      <c r="X945" s="3"/>
      <c r="Y945" s="3"/>
      <c r="Z945" s="3" t="str">
        <f ca="1">IFERROR(__xludf.DUMMYFUNCTION("""COMPUTED_VALUE"""),"podklady@cncenter.cz")</f>
        <v>podklady@cncenter.cz</v>
      </c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 t="str">
        <f ca="1">IFERROR(__xludf.DUMMYFUNCTION("""COMPUTED_VALUE"""),"cross-device")</f>
        <v>cross-device</v>
      </c>
      <c r="AO945" s="3"/>
      <c r="AP945" s="3"/>
      <c r="AQ945" s="3"/>
      <c r="AR945" s="3"/>
      <c r="AS945" s="3"/>
      <c r="AT945" s="3"/>
      <c r="AU945" s="3" t="str">
        <f ca="1">IFERROR(__xludf.DUMMYFUNCTION("""COMPUTED_VALUE"""),"Native Standard")</f>
        <v>Native Standard</v>
      </c>
    </row>
    <row r="946" spans="1:47" x14ac:dyDescent="0.3">
      <c r="A946" s="3">
        <f ca="1"/>
        <v>2346826</v>
      </c>
      <c r="B946" s="3" t="str">
        <f ca="1"/>
        <v>CZECH NEWS CENTER a. s.</v>
      </c>
      <c r="C946" s="3" t="str">
        <f ca="1">IFERROR(__xludf.DUMMYFUNCTION("""COMPUTED_VALUE"""),"Recepty")</f>
        <v>Recepty</v>
      </c>
      <c r="D946" s="4" t="str">
        <f ca="1">IFERROR(__xludf.DUMMYFUNCTION("""COMPUTED_VALUE"""),"https://recepty.cz")</f>
        <v>https://recepty.cz</v>
      </c>
      <c r="E946" s="3" t="str">
        <f ca="1">IFERROR(__xludf.DUMMYFUNCTION("""COMPUTED_VALUE"""),"celý web")</f>
        <v>celý web</v>
      </c>
      <c r="F946" s="4" t="str">
        <f ca="1">IFERROR(__xludf.DUMMYFUNCTION("""COMPUTED_VALUE"""),"https://recepty.cz")</f>
        <v>https://recepty.cz</v>
      </c>
      <c r="G946" s="3" t="str">
        <f ca="1">IFERROR(__xludf.DUMMYFUNCTION("""COMPUTED_VALUE"""),"nativní pr premium high season")</f>
        <v>nativní pr premium high season</v>
      </c>
      <c r="H946" s="3">
        <f ca="1">IFERROR(__xludf.DUMMYFUNCTION("""COMPUTED_VALUE"""),7)</f>
        <v>7</v>
      </c>
      <c r="I946" s="5">
        <f ca="1">IFERROR(__xludf.DUMMYFUNCTION("""COMPUTED_VALUE"""),1000)</f>
        <v>1000</v>
      </c>
      <c r="J946" s="5">
        <f ca="1">IFERROR(__xludf.DUMMYFUNCTION("""COMPUTED_VALUE"""),180)</f>
        <v>180</v>
      </c>
      <c r="K946" s="3"/>
      <c r="L946" s="3" t="str">
        <f ca="1">IFERROR(__xludf.DUMMYFUNCTION("""COMPUTED_VALUE"""),"Cost per period")</f>
        <v>Cost per period</v>
      </c>
      <c r="M946" s="3"/>
      <c r="N946" s="3"/>
      <c r="O946" s="3" t="str">
        <f ca="1">IFERROR(__xludf.DUMMYFUNCTION("""COMPUTED_VALUE"""),"640")</f>
        <v>640</v>
      </c>
      <c r="P946" s="3" t="str">
        <f ca="1">IFERROR(__xludf.DUMMYFUNCTION("""COMPUTED_VALUE"""),"335, 640")</f>
        <v>335, 640</v>
      </c>
      <c r="Q946" s="3" t="str">
        <f ca="1">IFERROR(__xludf.DUMMYFUNCTION("""COMPUTED_VALUE"""),"640x640 a 640x335 + text + logo")</f>
        <v>640x640 a 640x335 + text + logo</v>
      </c>
      <c r="R946" s="3" t="str">
        <f ca="1">IFERROR(__xludf.DUMMYFUNCTION("""COMPUTED_VALUE"""),"detailní specifikace na URL odkaze")</f>
        <v>detailní specifikace na URL odkaze</v>
      </c>
      <c r="S946" s="3" t="str">
        <f ca="1">IFERROR(__xludf.DUMMYFUNCTION("""COMPUTED_VALUE"""),"100")</f>
        <v>100</v>
      </c>
      <c r="T946" s="3"/>
      <c r="U946" s="3" t="str">
        <f ca="1">IFERROR(__xludf.DUMMYFUNCTION("""COMPUTED_VALUE"""),"nativní reklama")</f>
        <v>nativní reklama</v>
      </c>
      <c r="V946" s="3"/>
      <c r="W946" s="4" t="str">
        <f ca="1">IFERROR(__xludf.DUMMYFUNCTION("""COMPUTED_VALUE"""),"https://reklama.cncenter.cz/Online/nativni-PR-premium")</f>
        <v>https://reklama.cncenter.cz/Online/nativni-PR-premium</v>
      </c>
      <c r="X946" s="3"/>
      <c r="Y946" s="3"/>
      <c r="Z946" s="3" t="str">
        <f ca="1">IFERROR(__xludf.DUMMYFUNCTION("""COMPUTED_VALUE"""),"podklady@cncenter.cz")</f>
        <v>podklady@cncenter.cz</v>
      </c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 t="str">
        <f ca="1">IFERROR(__xludf.DUMMYFUNCTION("""COMPUTED_VALUE"""),"cross-device")</f>
        <v>cross-device</v>
      </c>
      <c r="AO946" s="3"/>
      <c r="AP946" s="3"/>
      <c r="AQ946" s="3"/>
      <c r="AR946" s="3"/>
      <c r="AS946" s="3"/>
      <c r="AT946" s="3"/>
      <c r="AU946" s="3" t="str">
        <f ca="1">IFERROR(__xludf.DUMMYFUNCTION("""COMPUTED_VALUE"""),"nativní pr premium")</f>
        <v>nativní pr premium</v>
      </c>
    </row>
    <row r="947" spans="1:47" x14ac:dyDescent="0.3">
      <c r="A947" s="3">
        <f ca="1"/>
        <v>2346826</v>
      </c>
      <c r="B947" s="3" t="str">
        <f ca="1"/>
        <v>CZECH NEWS CENTER a. s.</v>
      </c>
      <c r="C947" s="3" t="str">
        <f ca="1">IFERROR(__xludf.DUMMYFUNCTION("""COMPUTED_VALUE"""),"Recepty")</f>
        <v>Recepty</v>
      </c>
      <c r="D947" s="4" t="str">
        <f ca="1">IFERROR(__xludf.DUMMYFUNCTION("""COMPUTED_VALUE"""),"https://recepty.cz")</f>
        <v>https://recepty.cz</v>
      </c>
      <c r="E947" s="3" t="str">
        <f ca="1">IFERROR(__xludf.DUMMYFUNCTION("""COMPUTED_VALUE"""),"celý web")</f>
        <v>celý web</v>
      </c>
      <c r="F947" s="4" t="str">
        <f ca="1">IFERROR(__xludf.DUMMYFUNCTION("""COMPUTED_VALUE"""),"https://recepty.cz")</f>
        <v>https://recepty.cz</v>
      </c>
      <c r="G947" s="3" t="str">
        <f ca="1">IFERROR(__xludf.DUMMYFUNCTION("""COMPUTED_VALUE"""),"nativní rectangle cross-device high season")</f>
        <v>nativní rectangle cross-device high season</v>
      </c>
      <c r="H947" s="3">
        <f ca="1">IFERROR(__xludf.DUMMYFUNCTION("""COMPUTED_VALUE"""),7)</f>
        <v>7</v>
      </c>
      <c r="I947" s="5">
        <f ca="1">IFERROR(__xludf.DUMMYFUNCTION("""COMPUTED_VALUE"""),1000)</f>
        <v>1000</v>
      </c>
      <c r="J947" s="5">
        <f ca="1">IFERROR(__xludf.DUMMYFUNCTION("""COMPUTED_VALUE"""),360)</f>
        <v>360</v>
      </c>
      <c r="K947" s="3"/>
      <c r="L947" s="3" t="str">
        <f ca="1">IFERROR(__xludf.DUMMYFUNCTION("""COMPUTED_VALUE"""),"Cost per period")</f>
        <v>Cost per period</v>
      </c>
      <c r="M947" s="3"/>
      <c r="N947" s="3"/>
      <c r="O947" s="3" t="str">
        <f ca="1">IFERROR(__xludf.DUMMYFUNCTION("""COMPUTED_VALUE"""),"640")</f>
        <v>640</v>
      </c>
      <c r="P947" s="3" t="str">
        <f ca="1">IFERROR(__xludf.DUMMYFUNCTION("""COMPUTED_VALUE"""),"335, 640")</f>
        <v>335, 640</v>
      </c>
      <c r="Q947" s="3" t="str">
        <f ca="1">IFERROR(__xludf.DUMMYFUNCTION("""COMPUTED_VALUE"""),"640x640 a 640x335 + text + logo")</f>
        <v>640x640 a 640x335 + text + logo</v>
      </c>
      <c r="R947" s="3"/>
      <c r="S947" s="3" t="str">
        <f ca="1">IFERROR(__xludf.DUMMYFUNCTION("""COMPUTED_VALUE"""),"45")</f>
        <v>45</v>
      </c>
      <c r="T947" s="3"/>
      <c r="U947" s="3" t="str">
        <f ca="1">IFERROR(__xludf.DUMMYFUNCTION("""COMPUTED_VALUE"""),"nativní reklama")</f>
        <v>nativní reklama</v>
      </c>
      <c r="V947" s="3"/>
      <c r="W947" s="4" t="str">
        <f ca="1">IFERROR(__xludf.DUMMYFUNCTION("""COMPUTED_VALUE"""),"https://reklama.cncenter.cz/Online/nativni-rectangle-cross-device")</f>
        <v>https://reklama.cncenter.cz/Online/nativni-rectangle-cross-device</v>
      </c>
      <c r="X947" s="3"/>
      <c r="Y947" s="3"/>
      <c r="Z947" s="3" t="str">
        <f ca="1">IFERROR(__xludf.DUMMYFUNCTION("""COMPUTED_VALUE"""),"podklady@cncenter.cz")</f>
        <v>podklady@cncenter.cz</v>
      </c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 t="str">
        <f ca="1">IFERROR(__xludf.DUMMYFUNCTION("""COMPUTED_VALUE"""),"cross-device")</f>
        <v>cross-device</v>
      </c>
      <c r="AO947" s="3"/>
      <c r="AP947" s="3"/>
      <c r="AQ947" s="3"/>
      <c r="AR947" s="3"/>
      <c r="AS947" s="3"/>
      <c r="AT947" s="3"/>
      <c r="AU947" s="3" t="str">
        <f ca="1">IFERROR(__xludf.DUMMYFUNCTION("""COMPUTED_VALUE"""),"nativní rectangle cross-device")</f>
        <v>nativní rectangle cross-device</v>
      </c>
    </row>
    <row r="948" spans="1:47" x14ac:dyDescent="0.3">
      <c r="A948" s="3">
        <f ca="1"/>
        <v>2346826</v>
      </c>
      <c r="B948" s="3" t="str">
        <f ca="1"/>
        <v>CZECH NEWS CENTER a. s.</v>
      </c>
      <c r="C948" s="3" t="str">
        <f ca="1">IFERROR(__xludf.DUMMYFUNCTION("""COMPUTED_VALUE"""),"Recepty")</f>
        <v>Recepty</v>
      </c>
      <c r="D948" s="4" t="str">
        <f ca="1">IFERROR(__xludf.DUMMYFUNCTION("""COMPUTED_VALUE"""),"https://recepty.cz")</f>
        <v>https://recepty.cz</v>
      </c>
      <c r="E948" s="3" t="str">
        <f ca="1">IFERROR(__xludf.DUMMYFUNCTION("""COMPUTED_VALUE"""),"celý web")</f>
        <v>celý web</v>
      </c>
      <c r="F948" s="4" t="str">
        <f ca="1">IFERROR(__xludf.DUMMYFUNCTION("""COMPUTED_VALUE"""),"https://recepty.cz")</f>
        <v>https://recepty.cz</v>
      </c>
      <c r="G948" s="3" t="str">
        <f ca="1">IFERROR(__xludf.DUMMYFUNCTION("""COMPUTED_VALUE"""),"outstream high season")</f>
        <v>outstream high season</v>
      </c>
      <c r="H948" s="3">
        <f ca="1">IFERROR(__xludf.DUMMYFUNCTION("""COMPUTED_VALUE"""),7)</f>
        <v>7</v>
      </c>
      <c r="I948" s="5">
        <f ca="1">IFERROR(__xludf.DUMMYFUNCTION("""COMPUTED_VALUE"""),1000)</f>
        <v>1000</v>
      </c>
      <c r="J948" s="5">
        <f ca="1">IFERROR(__xludf.DUMMYFUNCTION("""COMPUTED_VALUE"""),450)</f>
        <v>450</v>
      </c>
      <c r="K948" s="3"/>
      <c r="L948" s="3" t="str">
        <f ca="1">IFERROR(__xludf.DUMMYFUNCTION("""COMPUTED_VALUE"""),"Cost per period")</f>
        <v>Cost per period</v>
      </c>
      <c r="M948" s="3"/>
      <c r="N948" s="3"/>
      <c r="O948" s="3" t="str">
        <f ca="1">IFERROR(__xludf.DUMMYFUNCTION("""COMPUTED_VALUE"""),"1280")</f>
        <v>1280</v>
      </c>
      <c r="P948" s="3" t="str">
        <f ca="1">IFERROR(__xludf.DUMMYFUNCTION("""COMPUTED_VALUE"""),"720")</f>
        <v>720</v>
      </c>
      <c r="Q948" s="3" t="str">
        <f ca="1">IFERROR(__xludf.DUMMYFUNCTION("""COMPUTED_VALUE"""),"16:9")</f>
        <v>16:9</v>
      </c>
      <c r="R948" s="3"/>
      <c r="S948" s="3" t="str">
        <f ca="1">IFERROR(__xludf.DUMMYFUNCTION("""COMPUTED_VALUE"""),"100")</f>
        <v>100</v>
      </c>
      <c r="T948" s="3"/>
      <c r="U948" s="3" t="str">
        <f ca="1">IFERROR(__xludf.DUMMYFUNCTION("""COMPUTED_VALUE"""),"videospot")</f>
        <v>videospot</v>
      </c>
      <c r="V948" s="3"/>
      <c r="W948" s="4" t="str">
        <f ca="1">IFERROR(__xludf.DUMMYFUNCTION("""COMPUTED_VALUE"""),"https://reklama.cncenter.cz/Online/Outstream")</f>
        <v>https://reklama.cncenter.cz/Online/Outstream</v>
      </c>
      <c r="X948" s="3"/>
      <c r="Y948" s="3"/>
      <c r="Z948" s="3" t="str">
        <f ca="1">IFERROR(__xludf.DUMMYFUNCTION("""COMPUTED_VALUE"""),"podklady@cncenter.cz")</f>
        <v>podklady@cncenter.cz</v>
      </c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 t="str">
        <f ca="1">IFERROR(__xludf.DUMMYFUNCTION("""COMPUTED_VALUE"""),"cross-device")</f>
        <v>cross-device</v>
      </c>
      <c r="AO948" s="3"/>
      <c r="AP948" s="3"/>
      <c r="AQ948" s="3"/>
      <c r="AR948" s="3"/>
      <c r="AS948" s="3"/>
      <c r="AT948" s="3"/>
      <c r="AU948" s="3" t="str">
        <f ca="1">IFERROR(__xludf.DUMMYFUNCTION("""COMPUTED_VALUE"""),"outstream")</f>
        <v>outstream</v>
      </c>
    </row>
    <row r="949" spans="1:47" x14ac:dyDescent="0.3">
      <c r="A949" s="3">
        <f ca="1"/>
        <v>2346826</v>
      </c>
      <c r="B949" s="3" t="str">
        <f ca="1"/>
        <v>CZECH NEWS CENTER a. s.</v>
      </c>
      <c r="C949" s="3" t="str">
        <f ca="1">IFERROR(__xludf.DUMMYFUNCTION("""COMPUTED_VALUE"""),"Recepty")</f>
        <v>Recepty</v>
      </c>
      <c r="D949" s="4" t="str">
        <f ca="1">IFERROR(__xludf.DUMMYFUNCTION("""COMPUTED_VALUE"""),"https://recepty.cz")</f>
        <v>https://recepty.cz</v>
      </c>
      <c r="E949" s="3" t="str">
        <f ca="1">IFERROR(__xludf.DUMMYFUNCTION("""COMPUTED_VALUE"""),"celý web")</f>
        <v>celý web</v>
      </c>
      <c r="F949" s="4" t="str">
        <f ca="1">IFERROR(__xludf.DUMMYFUNCTION("""COMPUTED_VALUE"""),"https://recepty.cz")</f>
        <v>https://recepty.cz</v>
      </c>
      <c r="G949" s="3" t="str">
        <f ca="1">IFERROR(__xludf.DUMMYFUNCTION("""COMPUTED_VALUE"""),"PR článek high season")</f>
        <v>PR článek high season</v>
      </c>
      <c r="H949" s="3">
        <f ca="1">IFERROR(__xludf.DUMMYFUNCTION("""COMPUTED_VALUE"""),1)</f>
        <v>1</v>
      </c>
      <c r="I949" s="5">
        <f ca="1">IFERROR(__xludf.DUMMYFUNCTION("""COMPUTED_VALUE"""),1)</f>
        <v>1</v>
      </c>
      <c r="J949" s="5">
        <f ca="1">IFERROR(__xludf.DUMMYFUNCTION("""COMPUTED_VALUE"""),30000)</f>
        <v>30000</v>
      </c>
      <c r="K949" s="3"/>
      <c r="L949" s="3" t="str">
        <f ca="1">IFERROR(__xludf.DUMMYFUNCTION("""COMPUTED_VALUE"""),"Cost per instance")</f>
        <v>Cost per instance</v>
      </c>
      <c r="M949" s="3"/>
      <c r="N949" s="3"/>
      <c r="O949" s="3"/>
      <c r="P949" s="3"/>
      <c r="Q949" s="3"/>
      <c r="R949" s="3"/>
      <c r="S949" s="3" t="str">
        <f ca="1">IFERROR(__xludf.DUMMYFUNCTION("""COMPUTED_VALUE"""),"100")</f>
        <v>100</v>
      </c>
      <c r="T949" s="3"/>
      <c r="U949" s="3" t="str">
        <f ca="1">IFERROR(__xludf.DUMMYFUNCTION("""COMPUTED_VALUE"""),"pr článek")</f>
        <v>pr článek</v>
      </c>
      <c r="V949" s="3"/>
      <c r="W949" s="4" t="str">
        <f ca="1">IFERROR(__xludf.DUMMYFUNCTION("""COMPUTED_VALUE"""),"https://reklama.cncenter.cz/?ads=PR%2520%25C4%258Dl%25C3%25A1nky")</f>
        <v>https://reklama.cncenter.cz/?ads=PR%2520%25C4%258Dl%25C3%25A1nky</v>
      </c>
      <c r="X949" s="3"/>
      <c r="Y949" s="3"/>
      <c r="Z949" s="3" t="str">
        <f ca="1">IFERROR(__xludf.DUMMYFUNCTION("""COMPUTED_VALUE"""),"podklady@cncenter.cz")</f>
        <v>podklady@cncenter.cz</v>
      </c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 t="str">
        <f ca="1">IFERROR(__xludf.DUMMYFUNCTION("""COMPUTED_VALUE"""),"cross-device")</f>
        <v>cross-device</v>
      </c>
      <c r="AO949" s="3"/>
      <c r="AP949" s="3"/>
      <c r="AQ949" s="3"/>
      <c r="AR949" s="3"/>
      <c r="AS949" s="3"/>
      <c r="AT949" s="3"/>
      <c r="AU949" s="3" t="str">
        <f ca="1">IFERROR(__xludf.DUMMYFUNCTION("""COMPUTED_VALUE"""),"PR článek")</f>
        <v>PR článek</v>
      </c>
    </row>
    <row r="950" spans="1:47" x14ac:dyDescent="0.3">
      <c r="A950" s="3">
        <f ca="1"/>
        <v>2346826</v>
      </c>
      <c r="B950" s="3" t="str">
        <f ca="1"/>
        <v>CZECH NEWS CENTER a. s.</v>
      </c>
      <c r="C950" s="3" t="str">
        <f ca="1">IFERROR(__xludf.DUMMYFUNCTION("""COMPUTED_VALUE"""),"Recepty")</f>
        <v>Recepty</v>
      </c>
      <c r="D950" s="4" t="str">
        <f ca="1">IFERROR(__xludf.DUMMYFUNCTION("""COMPUTED_VALUE"""),"https://recepty.cz")</f>
        <v>https://recepty.cz</v>
      </c>
      <c r="E950" s="3" t="str">
        <f ca="1">IFERROR(__xludf.DUMMYFUNCTION("""COMPUTED_VALUE"""),"celý web")</f>
        <v>celý web</v>
      </c>
      <c r="F950" s="4" t="str">
        <f ca="1">IFERROR(__xludf.DUMMYFUNCTION("""COMPUTED_VALUE"""),"https://recepty.cz")</f>
        <v>https://recepty.cz</v>
      </c>
      <c r="G950" s="3" t="str">
        <f ca="1">IFERROR(__xludf.DUMMYFUNCTION("""COMPUTED_VALUE"""),"Prodloužení existující microsite, bez úprav high season")</f>
        <v>Prodloužení existující microsite, bez úprav high season</v>
      </c>
      <c r="H950" s="3">
        <f ca="1">IFERROR(__xludf.DUMMYFUNCTION("""COMPUTED_VALUE"""),1)</f>
        <v>1</v>
      </c>
      <c r="I950" s="5">
        <f ca="1">IFERROR(__xludf.DUMMYFUNCTION("""COMPUTED_VALUE"""),1)</f>
        <v>1</v>
      </c>
      <c r="J950" s="5">
        <f ca="1">IFERROR(__xludf.DUMMYFUNCTION("""COMPUTED_VALUE"""),15000)</f>
        <v>15000</v>
      </c>
      <c r="K950" s="3"/>
      <c r="L950" s="3" t="str">
        <f ca="1">IFERROR(__xludf.DUMMYFUNCTION("""COMPUTED_VALUE"""),"Cost per instance")</f>
        <v>Cost per instance</v>
      </c>
      <c r="M950" s="3"/>
      <c r="N950" s="3"/>
      <c r="O950" s="3"/>
      <c r="P950" s="3"/>
      <c r="Q950" s="3"/>
      <c r="R950" s="3"/>
      <c r="S950" s="3" t="str">
        <f ca="1">IFERROR(__xludf.DUMMYFUNCTION("""COMPUTED_VALUE"""),"100")</f>
        <v>100</v>
      </c>
      <c r="T950" s="3"/>
      <c r="U950" s="3" t="str">
        <f ca="1">IFERROR(__xludf.DUMMYFUNCTION("""COMPUTED_VALUE"""),"microsite")</f>
        <v>microsite</v>
      </c>
      <c r="V950" s="3"/>
      <c r="W950" s="3"/>
      <c r="X950" s="3"/>
      <c r="Y950" s="3"/>
      <c r="Z950" s="3" t="str">
        <f ca="1">IFERROR(__xludf.DUMMYFUNCTION("""COMPUTED_VALUE"""),"podklady@cncenter.cz")</f>
        <v>podklady@cncenter.cz</v>
      </c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 t="str">
        <f ca="1">IFERROR(__xludf.DUMMYFUNCTION("""COMPUTED_VALUE"""),"cross-device")</f>
        <v>cross-device</v>
      </c>
      <c r="AO950" s="3"/>
      <c r="AP950" s="3"/>
      <c r="AQ950" s="3"/>
      <c r="AR950" s="3"/>
      <c r="AS950" s="3"/>
      <c r="AT950" s="3"/>
      <c r="AU950" s="3" t="str">
        <f ca="1">IFERROR(__xludf.DUMMYFUNCTION("""COMPUTED_VALUE"""),"Prodloužení existující microsite, bez úprav")</f>
        <v>Prodloužení existující microsite, bez úprav</v>
      </c>
    </row>
    <row r="951" spans="1:47" x14ac:dyDescent="0.3">
      <c r="A951" s="3">
        <f ca="1"/>
        <v>2346826</v>
      </c>
      <c r="B951" s="3" t="str">
        <f ca="1"/>
        <v>CZECH NEWS CENTER a. s.</v>
      </c>
      <c r="C951" s="3" t="str">
        <f ca="1">IFERROR(__xludf.DUMMYFUNCTION("""COMPUTED_VALUE"""),"Recepty")</f>
        <v>Recepty</v>
      </c>
      <c r="D951" s="4" t="str">
        <f ca="1">IFERROR(__xludf.DUMMYFUNCTION("""COMPUTED_VALUE"""),"https://recepty.cz")</f>
        <v>https://recepty.cz</v>
      </c>
      <c r="E951" s="3" t="str">
        <f ca="1">IFERROR(__xludf.DUMMYFUNCTION("""COMPUTED_VALUE"""),"celý web")</f>
        <v>celý web</v>
      </c>
      <c r="F951" s="4" t="str">
        <f ca="1">IFERROR(__xludf.DUMMYFUNCTION("""COMPUTED_VALUE"""),"https://recepty.cz")</f>
        <v>https://recepty.cz</v>
      </c>
      <c r="G951" s="3" t="str">
        <f ca="1">IFERROR(__xludf.DUMMYFUNCTION("""COMPUTED_VALUE"""),"Prodloužení existující microsite, bez úprav high season")</f>
        <v>Prodloužení existující microsite, bez úprav high season</v>
      </c>
      <c r="H951" s="3">
        <f ca="1">IFERROR(__xludf.DUMMYFUNCTION("""COMPUTED_VALUE"""),1)</f>
        <v>1</v>
      </c>
      <c r="I951" s="5">
        <f ca="1">IFERROR(__xludf.DUMMYFUNCTION("""COMPUTED_VALUE"""),1)</f>
        <v>1</v>
      </c>
      <c r="J951" s="5">
        <f ca="1">IFERROR(__xludf.DUMMYFUNCTION("""COMPUTED_VALUE"""),15000)</f>
        <v>15000</v>
      </c>
      <c r="K951" s="3"/>
      <c r="L951" s="3" t="str">
        <f ca="1">IFERROR(__xludf.DUMMYFUNCTION("""COMPUTED_VALUE"""),"Cost per instance")</f>
        <v>Cost per instance</v>
      </c>
      <c r="M951" s="3"/>
      <c r="N951" s="3"/>
      <c r="O951" s="3"/>
      <c r="P951" s="3"/>
      <c r="Q951" s="3"/>
      <c r="R951" s="3"/>
      <c r="S951" s="3" t="str">
        <f ca="1">IFERROR(__xludf.DUMMYFUNCTION("""COMPUTED_VALUE"""),"100")</f>
        <v>100</v>
      </c>
      <c r="T951" s="3"/>
      <c r="U951" s="3" t="str">
        <f ca="1">IFERROR(__xludf.DUMMYFUNCTION("""COMPUTED_VALUE"""),"microsite")</f>
        <v>microsite</v>
      </c>
      <c r="V951" s="3"/>
      <c r="W951" s="3"/>
      <c r="X951" s="3"/>
      <c r="Y951" s="3"/>
      <c r="Z951" s="3" t="str">
        <f ca="1">IFERROR(__xludf.DUMMYFUNCTION("""COMPUTED_VALUE"""),"podklady@cncenter.cz")</f>
        <v>podklady@cncenter.cz</v>
      </c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 t="str">
        <f ca="1">IFERROR(__xludf.DUMMYFUNCTION("""COMPUTED_VALUE"""),"cross-device")</f>
        <v>cross-device</v>
      </c>
      <c r="AO951" s="3"/>
      <c r="AP951" s="3"/>
      <c r="AQ951" s="3"/>
      <c r="AR951" s="3"/>
      <c r="AS951" s="3"/>
      <c r="AT951" s="3"/>
      <c r="AU951" s="3" t="str">
        <f ca="1">IFERROR(__xludf.DUMMYFUNCTION("""COMPUTED_VALUE"""),"Prodloužení existující microsite, bez úprav")</f>
        <v>Prodloužení existující microsite, bez úprav</v>
      </c>
    </row>
    <row r="952" spans="1:47" x14ac:dyDescent="0.3">
      <c r="A952" s="3">
        <f ca="1"/>
        <v>2346826</v>
      </c>
      <c r="B952" s="3" t="str">
        <f ca="1"/>
        <v>CZECH NEWS CENTER a. s.</v>
      </c>
      <c r="C952" s="3" t="str">
        <f ca="1">IFERROR(__xludf.DUMMYFUNCTION("""COMPUTED_VALUE"""),"Recepty")</f>
        <v>Recepty</v>
      </c>
      <c r="D952" s="4" t="str">
        <f ca="1">IFERROR(__xludf.DUMMYFUNCTION("""COMPUTED_VALUE"""),"https://recepty.cz")</f>
        <v>https://recepty.cz</v>
      </c>
      <c r="E952" s="3" t="str">
        <f ca="1">IFERROR(__xludf.DUMMYFUNCTION("""COMPUTED_VALUE"""),"celý web")</f>
        <v>celý web</v>
      </c>
      <c r="F952" s="4" t="str">
        <f ca="1">IFERROR(__xludf.DUMMYFUNCTION("""COMPUTED_VALUE"""),"https://recepty.cz")</f>
        <v>https://recepty.cz</v>
      </c>
      <c r="G952" s="3" t="str">
        <f ca="1">IFERROR(__xludf.DUMMYFUNCTION("""COMPUTED_VALUE"""),"Prodloužení existující microsite, bez úprav high season")</f>
        <v>Prodloužení existující microsite, bez úprav high season</v>
      </c>
      <c r="H952" s="3">
        <f ca="1">IFERROR(__xludf.DUMMYFUNCTION("""COMPUTED_VALUE"""),1)</f>
        <v>1</v>
      </c>
      <c r="I952" s="5">
        <f ca="1">IFERROR(__xludf.DUMMYFUNCTION("""COMPUTED_VALUE"""),1)</f>
        <v>1</v>
      </c>
      <c r="J952" s="5">
        <f ca="1">IFERROR(__xludf.DUMMYFUNCTION("""COMPUTED_VALUE"""),15000)</f>
        <v>15000</v>
      </c>
      <c r="K952" s="3"/>
      <c r="L952" s="3" t="str">
        <f ca="1">IFERROR(__xludf.DUMMYFUNCTION("""COMPUTED_VALUE"""),"Cost per instance")</f>
        <v>Cost per instance</v>
      </c>
      <c r="M952" s="3"/>
      <c r="N952" s="3"/>
      <c r="O952" s="3"/>
      <c r="P952" s="3"/>
      <c r="Q952" s="3"/>
      <c r="R952" s="3"/>
      <c r="S952" s="3" t="str">
        <f ca="1">IFERROR(__xludf.DUMMYFUNCTION("""COMPUTED_VALUE"""),"100")</f>
        <v>100</v>
      </c>
      <c r="T952" s="3"/>
      <c r="U952" s="3" t="str">
        <f ca="1">IFERROR(__xludf.DUMMYFUNCTION("""COMPUTED_VALUE"""),"microsite")</f>
        <v>microsite</v>
      </c>
      <c r="V952" s="3"/>
      <c r="W952" s="3"/>
      <c r="X952" s="3"/>
      <c r="Y952" s="3"/>
      <c r="Z952" s="3" t="str">
        <f ca="1">IFERROR(__xludf.DUMMYFUNCTION("""COMPUTED_VALUE"""),"podklady@cncenter.cz")</f>
        <v>podklady@cncenter.cz</v>
      </c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 t="str">
        <f ca="1">IFERROR(__xludf.DUMMYFUNCTION("""COMPUTED_VALUE"""),"cross-device")</f>
        <v>cross-device</v>
      </c>
      <c r="AO952" s="3"/>
      <c r="AP952" s="3"/>
      <c r="AQ952" s="3"/>
      <c r="AR952" s="3"/>
      <c r="AS952" s="3"/>
      <c r="AT952" s="3"/>
      <c r="AU952" s="3" t="str">
        <f ca="1">IFERROR(__xludf.DUMMYFUNCTION("""COMPUTED_VALUE"""),"Prodloužení existující microsite, bez úprav")</f>
        <v>Prodloužení existující microsite, bez úprav</v>
      </c>
    </row>
    <row r="953" spans="1:47" x14ac:dyDescent="0.3">
      <c r="A953" s="3">
        <f ca="1"/>
        <v>2346826</v>
      </c>
      <c r="B953" s="3" t="str">
        <f ca="1"/>
        <v>CZECH NEWS CENTER a. s.</v>
      </c>
      <c r="C953" s="3" t="str">
        <f ca="1">IFERROR(__xludf.DUMMYFUNCTION("""COMPUTED_VALUE"""),"Recepty")</f>
        <v>Recepty</v>
      </c>
      <c r="D953" s="4" t="str">
        <f ca="1">IFERROR(__xludf.DUMMYFUNCTION("""COMPUTED_VALUE"""),"https://recepty.cz")</f>
        <v>https://recepty.cz</v>
      </c>
      <c r="E953" s="3" t="str">
        <f ca="1">IFERROR(__xludf.DUMMYFUNCTION("""COMPUTED_VALUE"""),"celý web")</f>
        <v>celý web</v>
      </c>
      <c r="F953" s="4" t="str">
        <f ca="1">IFERROR(__xludf.DUMMYFUNCTION("""COMPUTED_VALUE"""),"https://recepty.cz")</f>
        <v>https://recepty.cz</v>
      </c>
      <c r="G953" s="3" t="str">
        <f ca="1">IFERROR(__xludf.DUMMYFUNCTION("""COMPUTED_VALUE"""),"videospot - max. 30 sec. / bumper high season")</f>
        <v>videospot - max. 30 sec. / bumper high season</v>
      </c>
      <c r="H953" s="3">
        <f ca="1">IFERROR(__xludf.DUMMYFUNCTION("""COMPUTED_VALUE"""),7)</f>
        <v>7</v>
      </c>
      <c r="I953" s="5">
        <f ca="1">IFERROR(__xludf.DUMMYFUNCTION("""COMPUTED_VALUE"""),1000)</f>
        <v>1000</v>
      </c>
      <c r="J953" s="5">
        <f ca="1">IFERROR(__xludf.DUMMYFUNCTION("""COMPUTED_VALUE"""),1340)</f>
        <v>1340</v>
      </c>
      <c r="K953" s="3"/>
      <c r="L953" s="3" t="str">
        <f ca="1">IFERROR(__xludf.DUMMYFUNCTION("""COMPUTED_VALUE"""),"Cost per period")</f>
        <v>Cost per period</v>
      </c>
      <c r="M953" s="3"/>
      <c r="N953" s="3"/>
      <c r="O953" s="3" t="str">
        <f ca="1">IFERROR(__xludf.DUMMYFUNCTION("""COMPUTED_VALUE"""),"1280")</f>
        <v>1280</v>
      </c>
      <c r="P953" s="3" t="str">
        <f ca="1">IFERROR(__xludf.DUMMYFUNCTION("""COMPUTED_VALUE"""),"720")</f>
        <v>720</v>
      </c>
      <c r="Q953" s="3" t="str">
        <f ca="1">IFERROR(__xludf.DUMMYFUNCTION("""COMPUTED_VALUE"""),"16:9 / umístění po domluvě dle možností")</f>
        <v>16:9 / umístění po domluvě dle možností</v>
      </c>
      <c r="R953" s="3" t="str">
        <f ca="1">IFERROR(__xludf.DUMMYFUNCTION("""COMPUTED_VALUE"""),"přeskočení po 7 sekundách")</f>
        <v>přeskočení po 7 sekundách</v>
      </c>
      <c r="S953" s="3" t="str">
        <f ca="1">IFERROR(__xludf.DUMMYFUNCTION("""COMPUTED_VALUE"""),"100")</f>
        <v>100</v>
      </c>
      <c r="T953" s="3"/>
      <c r="U953" s="3" t="str">
        <f ca="1">IFERROR(__xludf.DUMMYFUNCTION("""COMPUTED_VALUE"""),"videospot")</f>
        <v>videospot</v>
      </c>
      <c r="V953" s="3"/>
      <c r="W953" s="4" t="str">
        <f ca="1">IFERROR(__xludf.DUMMYFUNCTION("""COMPUTED_VALUE"""),"https://reklama.cncenter.cz/Online/Bumper")</f>
        <v>https://reklama.cncenter.cz/Online/Bumper</v>
      </c>
      <c r="X953" s="3"/>
      <c r="Y953" s="3"/>
      <c r="Z953" s="3" t="str">
        <f ca="1">IFERROR(__xludf.DUMMYFUNCTION("""COMPUTED_VALUE"""),"podklady@cncenter.cz")</f>
        <v>podklady@cncenter.cz</v>
      </c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 t="str">
        <f ca="1">IFERROR(__xludf.DUMMYFUNCTION("""COMPUTED_VALUE"""),"cross-device")</f>
        <v>cross-device</v>
      </c>
      <c r="AO953" s="3"/>
      <c r="AP953" s="3"/>
      <c r="AQ953" s="3"/>
      <c r="AR953" s="3"/>
      <c r="AS953" s="3"/>
      <c r="AT953" s="3"/>
      <c r="AU953" s="3" t="str">
        <f ca="1">IFERROR(__xludf.DUMMYFUNCTION("""COMPUTED_VALUE"""),"videospot - max. 30 sec. / bumper")</f>
        <v>videospot - max. 30 sec. / bumper</v>
      </c>
    </row>
    <row r="954" spans="1:47" x14ac:dyDescent="0.3">
      <c r="A954" s="3">
        <f ca="1"/>
        <v>2346826</v>
      </c>
      <c r="B954" s="3" t="str">
        <f ca="1"/>
        <v>CZECH NEWS CENTER a. s.</v>
      </c>
      <c r="C954" s="3" t="str">
        <f ca="1">IFERROR(__xludf.DUMMYFUNCTION("""COMPUTED_VALUE"""),"Reflex")</f>
        <v>Reflex</v>
      </c>
      <c r="D954" s="4" t="str">
        <f ca="1">IFERROR(__xludf.DUMMYFUNCTION("""COMPUTED_VALUE"""),"https://reflex.cz")</f>
        <v>https://reflex.cz</v>
      </c>
      <c r="E954" s="3" t="str">
        <f ca="1">IFERROR(__xludf.DUMMYFUNCTION("""COMPUTED_VALUE"""),"celý web")</f>
        <v>celý web</v>
      </c>
      <c r="F954" s="4" t="str">
        <f ca="1">IFERROR(__xludf.DUMMYFUNCTION("""COMPUTED_VALUE"""),"https://reflex.cz")</f>
        <v>https://reflex.cz</v>
      </c>
      <c r="G954" s="3" t="str">
        <f ca="1">IFERROR(__xludf.DUMMYFUNCTION("""COMPUTED_VALUE"""),"Advertorial high season")</f>
        <v>Advertorial high season</v>
      </c>
      <c r="H954" s="3">
        <f ca="1">IFERROR(__xludf.DUMMYFUNCTION("""COMPUTED_VALUE"""),1)</f>
        <v>1</v>
      </c>
      <c r="I954" s="5">
        <f ca="1">IFERROR(__xludf.DUMMYFUNCTION("""COMPUTED_VALUE"""),1)</f>
        <v>1</v>
      </c>
      <c r="J954" s="5">
        <f ca="1">IFERROR(__xludf.DUMMYFUNCTION("""COMPUTED_VALUE"""),90000)</f>
        <v>90000</v>
      </c>
      <c r="K954" s="3"/>
      <c r="L954" s="3" t="str">
        <f ca="1">IFERROR(__xludf.DUMMYFUNCTION("""COMPUTED_VALUE"""),"Cost per instance")</f>
        <v>Cost per instance</v>
      </c>
      <c r="M954" s="3"/>
      <c r="N954" s="3"/>
      <c r="O954" s="3"/>
      <c r="P954" s="3"/>
      <c r="Q954" s="3"/>
      <c r="R954" s="3"/>
      <c r="S954" s="3" t="str">
        <f ca="1">IFERROR(__xludf.DUMMYFUNCTION("""COMPUTED_VALUE"""),"100")</f>
        <v>100</v>
      </c>
      <c r="T954" s="3"/>
      <c r="U954" s="3" t="str">
        <f ca="1">IFERROR(__xludf.DUMMYFUNCTION("""COMPUTED_VALUE"""),"pr článek")</f>
        <v>pr článek</v>
      </c>
      <c r="V954" s="3"/>
      <c r="W954" s="3"/>
      <c r="X954" s="3"/>
      <c r="Y954" s="3"/>
      <c r="Z954" s="3" t="str">
        <f ca="1">IFERROR(__xludf.DUMMYFUNCTION("""COMPUTED_VALUE"""),"podklady@cncenter.cz")</f>
        <v>podklady@cncenter.cz</v>
      </c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 t="str">
        <f ca="1">IFERROR(__xludf.DUMMYFUNCTION("""COMPUTED_VALUE"""),"cross-device")</f>
        <v>cross-device</v>
      </c>
      <c r="AO954" s="3"/>
      <c r="AP954" s="3"/>
      <c r="AQ954" s="3"/>
      <c r="AR954" s="3"/>
      <c r="AS954" s="3"/>
      <c r="AT954" s="3"/>
      <c r="AU954" s="3" t="str">
        <f ca="1">IFERROR(__xludf.DUMMYFUNCTION("""COMPUTED_VALUE"""),"Advertorial")</f>
        <v>Advertorial</v>
      </c>
    </row>
    <row r="955" spans="1:47" x14ac:dyDescent="0.3">
      <c r="A955" s="3">
        <f ca="1"/>
        <v>2346826</v>
      </c>
      <c r="B955" s="3" t="str">
        <f ca="1"/>
        <v>CZECH NEWS CENTER a. s.</v>
      </c>
      <c r="C955" s="3" t="str">
        <f ca="1">IFERROR(__xludf.DUMMYFUNCTION("""COMPUTED_VALUE"""),"Reflex")</f>
        <v>Reflex</v>
      </c>
      <c r="D955" s="4" t="str">
        <f ca="1">IFERROR(__xludf.DUMMYFUNCTION("""COMPUTED_VALUE"""),"https://reflex.cz")</f>
        <v>https://reflex.cz</v>
      </c>
      <c r="E955" s="3" t="str">
        <f ca="1">IFERROR(__xludf.DUMMYFUNCTION("""COMPUTED_VALUE"""),"celý web")</f>
        <v>celý web</v>
      </c>
      <c r="F955" s="4" t="str">
        <f ca="1">IFERROR(__xludf.DUMMYFUNCTION("""COMPUTED_VALUE"""),"https://reflex.cz")</f>
        <v>https://reflex.cz</v>
      </c>
      <c r="G955" s="3" t="str">
        <f ca="1">IFERROR(__xludf.DUMMYFUNCTION("""COMPUTED_VALUE"""),"billboard bottom high season")</f>
        <v>billboard bottom high season</v>
      </c>
      <c r="H955" s="3">
        <f ca="1">IFERROR(__xludf.DUMMYFUNCTION("""COMPUTED_VALUE"""),7)</f>
        <v>7</v>
      </c>
      <c r="I955" s="5">
        <f ca="1">IFERROR(__xludf.DUMMYFUNCTION("""COMPUTED_VALUE"""),1000)</f>
        <v>1000</v>
      </c>
      <c r="J955" s="5">
        <f ca="1">IFERROR(__xludf.DUMMYFUNCTION("""COMPUTED_VALUE"""),440)</f>
        <v>440</v>
      </c>
      <c r="K955" s="3"/>
      <c r="L955" s="3" t="str">
        <f ca="1">IFERROR(__xludf.DUMMYFUNCTION("""COMPUTED_VALUE"""),"Cost per period")</f>
        <v>Cost per period</v>
      </c>
      <c r="M955" s="3"/>
      <c r="N955" s="3"/>
      <c r="O955" s="3" t="str">
        <f ca="1">IFERROR(__xludf.DUMMYFUNCTION("""COMPUTED_VALUE"""),"970")</f>
        <v>970</v>
      </c>
      <c r="P955" s="3" t="str">
        <f ca="1">IFERROR(__xludf.DUMMYFUNCTION("""COMPUTED_VALUE"""),"250")</f>
        <v>250</v>
      </c>
      <c r="Q955" s="3" t="str">
        <f ca="1">IFERROR(__xludf.DUMMYFUNCTION("""COMPUTED_VALUE"""),"970x250")</f>
        <v>970x250</v>
      </c>
      <c r="R955" s="3"/>
      <c r="S955" s="3" t="str">
        <f ca="1">IFERROR(__xludf.DUMMYFUNCTION("""COMPUTED_VALUE"""),"100 (200 - HTML5)")</f>
        <v>100 (200 - HTML5)</v>
      </c>
      <c r="T955" s="3"/>
      <c r="U955" s="3" t="str">
        <f ca="1">IFERROR(__xludf.DUMMYFUNCTION("""COMPUTED_VALUE"""),"banner standard")</f>
        <v>banner standard</v>
      </c>
      <c r="V955" s="3"/>
      <c r="W955" s="4" t="str">
        <f ca="1">IFERROR(__xludf.DUMMYFUNCTION("""COMPUTED_VALUE"""),"https://reklama.cncenter.cz/Online/billboard-bottom")</f>
        <v>https://reklama.cncenter.cz/Online/billboard-bottom</v>
      </c>
      <c r="X955" s="3"/>
      <c r="Y955" s="3"/>
      <c r="Z955" s="3" t="str">
        <f ca="1">IFERROR(__xludf.DUMMYFUNCTION("""COMPUTED_VALUE"""),"podklady@cncenter.cz")</f>
        <v>podklady@cncenter.cz</v>
      </c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 t="str">
        <f ca="1">IFERROR(__xludf.DUMMYFUNCTION("""COMPUTED_VALUE"""),"desktop")</f>
        <v>desktop</v>
      </c>
      <c r="AO955" s="3"/>
      <c r="AP955" s="3"/>
      <c r="AQ955" s="3"/>
      <c r="AR955" s="3"/>
      <c r="AS955" s="3"/>
      <c r="AT955" s="3"/>
      <c r="AU955" s="3" t="str">
        <f ca="1">IFERROR(__xludf.DUMMYFUNCTION("""COMPUTED_VALUE"""),"billboard bottom")</f>
        <v>billboard bottom</v>
      </c>
    </row>
    <row r="956" spans="1:47" x14ac:dyDescent="0.3">
      <c r="A956" s="3">
        <f ca="1"/>
        <v>2346826</v>
      </c>
      <c r="B956" s="3" t="str">
        <f ca="1"/>
        <v>CZECH NEWS CENTER a. s.</v>
      </c>
      <c r="C956" s="3" t="str">
        <f ca="1">IFERROR(__xludf.DUMMYFUNCTION("""COMPUTED_VALUE"""),"Reflex")</f>
        <v>Reflex</v>
      </c>
      <c r="D956" s="4" t="str">
        <f ca="1">IFERROR(__xludf.DUMMYFUNCTION("""COMPUTED_VALUE"""),"https://reflex.cz")</f>
        <v>https://reflex.cz</v>
      </c>
      <c r="E956" s="3" t="str">
        <f ca="1">IFERROR(__xludf.DUMMYFUNCTION("""COMPUTED_VALUE"""),"celý web")</f>
        <v>celý web</v>
      </c>
      <c r="F956" s="4" t="str">
        <f ca="1">IFERROR(__xludf.DUMMYFUNCTION("""COMPUTED_VALUE"""),"https://reflex.cz")</f>
        <v>https://reflex.cz</v>
      </c>
      <c r="G956" s="3" t="str">
        <f ca="1">IFERROR(__xludf.DUMMYFUNCTION("""COMPUTED_VALUE"""),"branding cross-device high season")</f>
        <v>branding cross-device high season</v>
      </c>
      <c r="H956" s="3">
        <f ca="1">IFERROR(__xludf.DUMMYFUNCTION("""COMPUTED_VALUE"""),7)</f>
        <v>7</v>
      </c>
      <c r="I956" s="5">
        <f ca="1">IFERROR(__xludf.DUMMYFUNCTION("""COMPUTED_VALUE"""),1000)</f>
        <v>1000</v>
      </c>
      <c r="J956" s="5">
        <f ca="1">IFERROR(__xludf.DUMMYFUNCTION("""COMPUTED_VALUE"""),540)</f>
        <v>540</v>
      </c>
      <c r="K956" s="3"/>
      <c r="L956" s="3" t="str">
        <f ca="1">IFERROR(__xludf.DUMMYFUNCTION("""COMPUTED_VALUE"""),"Cost per period")</f>
        <v>Cost per period</v>
      </c>
      <c r="M956" s="3"/>
      <c r="N956" s="3"/>
      <c r="O956" s="3" t="str">
        <f ca="1">IFERROR(__xludf.DUMMYFUNCTION("""COMPUTED_VALUE"""),"2000")</f>
        <v>2000</v>
      </c>
      <c r="P956" s="3" t="str">
        <f ca="1">IFERROR(__xludf.DUMMYFUNCTION("""COMPUTED_VALUE"""),"1400")</f>
        <v>1400</v>
      </c>
      <c r="Q956" s="3" t="str">
        <f ca="1">IFERROR(__xludf.DUMMYFUNCTION("""COMPUTED_VALUE"""),"2000x1400 + 600x1080")</f>
        <v>2000x1400 + 600x1080</v>
      </c>
      <c r="R956" s="3"/>
      <c r="S956" s="3" t="str">
        <f ca="1">IFERROR(__xludf.DUMMYFUNCTION("""COMPUTED_VALUE"""),"500 (600 - HTLM5)")</f>
        <v>500 (600 - HTLM5)</v>
      </c>
      <c r="T956" s="3"/>
      <c r="U956" s="3" t="str">
        <f ca="1">IFERROR(__xludf.DUMMYFUNCTION("""COMPUTED_VALUE"""),"banner standard")</f>
        <v>banner standard</v>
      </c>
      <c r="V956" s="3"/>
      <c r="W956" s="4" t="str">
        <f ca="1">IFERROR(__xludf.DUMMYFUNCTION("""COMPUTED_VALUE"""),"https://reklama.cncenter.cz/Online/branding-cross-device")</f>
        <v>https://reklama.cncenter.cz/Online/branding-cross-device</v>
      </c>
      <c r="X956" s="3"/>
      <c r="Y956" s="3"/>
      <c r="Z956" s="3" t="str">
        <f ca="1">IFERROR(__xludf.DUMMYFUNCTION("""COMPUTED_VALUE"""),"podklady@cncenter.cz")</f>
        <v>podklady@cncenter.cz</v>
      </c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 t="str">
        <f ca="1">IFERROR(__xludf.DUMMYFUNCTION("""COMPUTED_VALUE"""),"cross-device")</f>
        <v>cross-device</v>
      </c>
      <c r="AO956" s="3"/>
      <c r="AP956" s="3"/>
      <c r="AQ956" s="3"/>
      <c r="AR956" s="3"/>
      <c r="AS956" s="3"/>
      <c r="AT956" s="3"/>
      <c r="AU956" s="3" t="str">
        <f ca="1">IFERROR(__xludf.DUMMYFUNCTION("""COMPUTED_VALUE"""),"branding cross-device")</f>
        <v>branding cross-device</v>
      </c>
    </row>
    <row r="957" spans="1:47" x14ac:dyDescent="0.3">
      <c r="A957" s="3">
        <f ca="1"/>
        <v>2346826</v>
      </c>
      <c r="B957" s="3" t="str">
        <f ca="1"/>
        <v>CZECH NEWS CENTER a. s.</v>
      </c>
      <c r="C957" s="3" t="str">
        <f ca="1">IFERROR(__xludf.DUMMYFUNCTION("""COMPUTED_VALUE"""),"Reflex")</f>
        <v>Reflex</v>
      </c>
      <c r="D957" s="4" t="str">
        <f ca="1">IFERROR(__xludf.DUMMYFUNCTION("""COMPUTED_VALUE"""),"https://reflex.cz")</f>
        <v>https://reflex.cz</v>
      </c>
      <c r="E957" s="3" t="str">
        <f ca="1">IFERROR(__xludf.DUMMYFUNCTION("""COMPUTED_VALUE"""),"celý web")</f>
        <v>celý web</v>
      </c>
      <c r="F957" s="4" t="str">
        <f ca="1">IFERROR(__xludf.DUMMYFUNCTION("""COMPUTED_VALUE"""),"https://reflex.cz")</f>
        <v>https://reflex.cz</v>
      </c>
      <c r="G957" s="3" t="str">
        <f ca="1">IFERROR(__xludf.DUMMYFUNCTION("""COMPUTED_VALUE"""),"branding high season")</f>
        <v>branding high season</v>
      </c>
      <c r="H957" s="3">
        <f ca="1">IFERROR(__xludf.DUMMYFUNCTION("""COMPUTED_VALUE"""),7)</f>
        <v>7</v>
      </c>
      <c r="I957" s="5">
        <f ca="1">IFERROR(__xludf.DUMMYFUNCTION("""COMPUTED_VALUE"""),1000)</f>
        <v>1000</v>
      </c>
      <c r="J957" s="5">
        <f ca="1">IFERROR(__xludf.DUMMYFUNCTION("""COMPUTED_VALUE"""),890)</f>
        <v>890</v>
      </c>
      <c r="K957" s="3"/>
      <c r="L957" s="3" t="str">
        <f ca="1">IFERROR(__xludf.DUMMYFUNCTION("""COMPUTED_VALUE"""),"Cost per period")</f>
        <v>Cost per period</v>
      </c>
      <c r="M957" s="3"/>
      <c r="N957" s="3"/>
      <c r="O957" s="3" t="str">
        <f ca="1">IFERROR(__xludf.DUMMYFUNCTION("""COMPUTED_VALUE"""),"2000")</f>
        <v>2000</v>
      </c>
      <c r="P957" s="3" t="str">
        <f ca="1">IFERROR(__xludf.DUMMYFUNCTION("""COMPUTED_VALUE"""),"1400")</f>
        <v>1400</v>
      </c>
      <c r="Q957" s="3" t="str">
        <f ca="1">IFERROR(__xludf.DUMMYFUNCTION("""COMPUTED_VALUE"""),"2000x1400")</f>
        <v>2000x1400</v>
      </c>
      <c r="R957" s="3"/>
      <c r="S957" s="3" t="str">
        <f ca="1">IFERROR(__xludf.DUMMYFUNCTION("""COMPUTED_VALUE"""),"500 + 200 (600+200 HTML5)")</f>
        <v>500 + 200 (600+200 HTML5)</v>
      </c>
      <c r="T957" s="3"/>
      <c r="U957" s="3" t="str">
        <f ca="1">IFERROR(__xludf.DUMMYFUNCTION("""COMPUTED_VALUE"""),"banner standard")</f>
        <v>banner standard</v>
      </c>
      <c r="V957" s="3"/>
      <c r="W957" s="4" t="str">
        <f ca="1">IFERROR(__xludf.DUMMYFUNCTION("""COMPUTED_VALUE"""),"https://reklama.cncenter.cz/Online/branding")</f>
        <v>https://reklama.cncenter.cz/Online/branding</v>
      </c>
      <c r="X957" s="3"/>
      <c r="Y957" s="3"/>
      <c r="Z957" s="3" t="str">
        <f ca="1">IFERROR(__xludf.DUMMYFUNCTION("""COMPUTED_VALUE"""),"podklady@cncenter.cz")</f>
        <v>podklady@cncenter.cz</v>
      </c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 t="str">
        <f ca="1">IFERROR(__xludf.DUMMYFUNCTION("""COMPUTED_VALUE"""),"desktop")</f>
        <v>desktop</v>
      </c>
      <c r="AO957" s="3"/>
      <c r="AP957" s="3"/>
      <c r="AQ957" s="3"/>
      <c r="AR957" s="3"/>
      <c r="AS957" s="3"/>
      <c r="AT957" s="3"/>
      <c r="AU957" s="3" t="str">
        <f ca="1">IFERROR(__xludf.DUMMYFUNCTION("""COMPUTED_VALUE"""),"branding")</f>
        <v>branding</v>
      </c>
    </row>
    <row r="958" spans="1:47" x14ac:dyDescent="0.3">
      <c r="A958" s="3">
        <f ca="1"/>
        <v>2346826</v>
      </c>
      <c r="B958" s="3" t="str">
        <f ca="1"/>
        <v>CZECH NEWS CENTER a. s.</v>
      </c>
      <c r="C958" s="3" t="str">
        <f ca="1">IFERROR(__xludf.DUMMYFUNCTION("""COMPUTED_VALUE"""),"Reflex")</f>
        <v>Reflex</v>
      </c>
      <c r="D958" s="4" t="str">
        <f ca="1">IFERROR(__xludf.DUMMYFUNCTION("""COMPUTED_VALUE"""),"https://reflex.cz")</f>
        <v>https://reflex.cz</v>
      </c>
      <c r="E958" s="3" t="str">
        <f ca="1">IFERROR(__xludf.DUMMYFUNCTION("""COMPUTED_VALUE"""),"celý web")</f>
        <v>celý web</v>
      </c>
      <c r="F958" s="4" t="str">
        <f ca="1">IFERROR(__xludf.DUMMYFUNCTION("""COMPUTED_VALUE"""),"https://reflex.cz")</f>
        <v>https://reflex.cz</v>
      </c>
      <c r="G958" s="3" t="str">
        <f ca="1">IFERROR(__xludf.DUMMYFUNCTION("""COMPUTED_VALUE"""),"cílený billboard bottom high season")</f>
        <v>cílený billboard bottom high season</v>
      </c>
      <c r="H958" s="3">
        <f ca="1">IFERROR(__xludf.DUMMYFUNCTION("""COMPUTED_VALUE"""),7)</f>
        <v>7</v>
      </c>
      <c r="I958" s="5">
        <f ca="1">IFERROR(__xludf.DUMMYFUNCTION("""COMPUTED_VALUE"""),1000)</f>
        <v>1000</v>
      </c>
      <c r="J958" s="5">
        <f ca="1">IFERROR(__xludf.DUMMYFUNCTION("""COMPUTED_VALUE"""),528)</f>
        <v>528</v>
      </c>
      <c r="K958" s="3"/>
      <c r="L958" s="3" t="str">
        <f ca="1">IFERROR(__xludf.DUMMYFUNCTION("""COMPUTED_VALUE"""),"Cost per period")</f>
        <v>Cost per period</v>
      </c>
      <c r="M958" s="3"/>
      <c r="N958" s="3"/>
      <c r="O958" s="3" t="str">
        <f ca="1">IFERROR(__xludf.DUMMYFUNCTION("""COMPUTED_VALUE"""),"970")</f>
        <v>970</v>
      </c>
      <c r="P958" s="3" t="str">
        <f ca="1">IFERROR(__xludf.DUMMYFUNCTION("""COMPUTED_VALUE"""),"250")</f>
        <v>250</v>
      </c>
      <c r="Q958" s="3" t="str">
        <f ca="1">IFERROR(__xludf.DUMMYFUNCTION("""COMPUTED_VALUE"""),"970x250")</f>
        <v>970x250</v>
      </c>
      <c r="R958" s="3"/>
      <c r="S958" s="3" t="str">
        <f ca="1">IFERROR(__xludf.DUMMYFUNCTION("""COMPUTED_VALUE"""),"100 (200 - HTML5)")</f>
        <v>100 (200 - HTML5)</v>
      </c>
      <c r="T958" s="3"/>
      <c r="U958" s="3" t="str">
        <f ca="1">IFERROR(__xludf.DUMMYFUNCTION("""COMPUTED_VALUE"""),"banner standard")</f>
        <v>banner standard</v>
      </c>
      <c r="V958" s="3"/>
      <c r="W958" s="4" t="str">
        <f ca="1">IFERROR(__xludf.DUMMYFUNCTION("""COMPUTED_VALUE"""),"https://reklama.cncenter.cz/Online/billboard-bottom")</f>
        <v>https://reklama.cncenter.cz/Online/billboard-bottom</v>
      </c>
      <c r="X958" s="3"/>
      <c r="Y958" s="3"/>
      <c r="Z958" s="3" t="str">
        <f ca="1">IFERROR(__xludf.DUMMYFUNCTION("""COMPUTED_VALUE"""),"podklady@cncenter.cz")</f>
        <v>podklady@cncenter.cz</v>
      </c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 t="str">
        <f ca="1">IFERROR(__xludf.DUMMYFUNCTION("""COMPUTED_VALUE"""),"desktop")</f>
        <v>desktop</v>
      </c>
      <c r="AO958" s="3"/>
      <c r="AP958" s="3"/>
      <c r="AQ958" s="3"/>
      <c r="AR958" s="3"/>
      <c r="AS958" s="3"/>
      <c r="AT958" s="3"/>
      <c r="AU958" s="3" t="str">
        <f ca="1">IFERROR(__xludf.DUMMYFUNCTION("""COMPUTED_VALUE"""),"cílený billboard bottom")</f>
        <v>cílený billboard bottom</v>
      </c>
    </row>
    <row r="959" spans="1:47" x14ac:dyDescent="0.3">
      <c r="A959" s="3">
        <f ca="1"/>
        <v>2346826</v>
      </c>
      <c r="B959" s="3" t="str">
        <f ca="1"/>
        <v>CZECH NEWS CENTER a. s.</v>
      </c>
      <c r="C959" s="3" t="str">
        <f ca="1">IFERROR(__xludf.DUMMYFUNCTION("""COMPUTED_VALUE"""),"Reflex")</f>
        <v>Reflex</v>
      </c>
      <c r="D959" s="4" t="str">
        <f ca="1">IFERROR(__xludf.DUMMYFUNCTION("""COMPUTED_VALUE"""),"https://reflex.cz")</f>
        <v>https://reflex.cz</v>
      </c>
      <c r="E959" s="3" t="str">
        <f ca="1">IFERROR(__xludf.DUMMYFUNCTION("""COMPUTED_VALUE"""),"celý web")</f>
        <v>celý web</v>
      </c>
      <c r="F959" s="4" t="str">
        <f ca="1">IFERROR(__xludf.DUMMYFUNCTION("""COMPUTED_VALUE"""),"https://reflex.cz")</f>
        <v>https://reflex.cz</v>
      </c>
      <c r="G959" s="3" t="str">
        <f ca="1">IFERROR(__xludf.DUMMYFUNCTION("""COMPUTED_VALUE"""),"cílený branding cross-device high season")</f>
        <v>cílený branding cross-device high season</v>
      </c>
      <c r="H959" s="3">
        <f ca="1">IFERROR(__xludf.DUMMYFUNCTION("""COMPUTED_VALUE"""),7)</f>
        <v>7</v>
      </c>
      <c r="I959" s="5">
        <f ca="1">IFERROR(__xludf.DUMMYFUNCTION("""COMPUTED_VALUE"""),1000)</f>
        <v>1000</v>
      </c>
      <c r="J959" s="5">
        <f ca="1">IFERROR(__xludf.DUMMYFUNCTION("""COMPUTED_VALUE"""),648)</f>
        <v>648</v>
      </c>
      <c r="K959" s="3"/>
      <c r="L959" s="3" t="str">
        <f ca="1">IFERROR(__xludf.DUMMYFUNCTION("""COMPUTED_VALUE"""),"Cost per period")</f>
        <v>Cost per period</v>
      </c>
      <c r="M959" s="3"/>
      <c r="N959" s="3"/>
      <c r="O959" s="3" t="str">
        <f ca="1">IFERROR(__xludf.DUMMYFUNCTION("""COMPUTED_VALUE"""),"2000")</f>
        <v>2000</v>
      </c>
      <c r="P959" s="3" t="str">
        <f ca="1">IFERROR(__xludf.DUMMYFUNCTION("""COMPUTED_VALUE"""),"1400")</f>
        <v>1400</v>
      </c>
      <c r="Q959" s="3" t="str">
        <f ca="1">IFERROR(__xludf.DUMMYFUNCTION("""COMPUTED_VALUE"""),"2000x1400 + 600x1080")</f>
        <v>2000x1400 + 600x1080</v>
      </c>
      <c r="R959" s="3"/>
      <c r="S959" s="3" t="str">
        <f ca="1">IFERROR(__xludf.DUMMYFUNCTION("""COMPUTED_VALUE"""),"500 (600 - HTLM5)")</f>
        <v>500 (600 - HTLM5)</v>
      </c>
      <c r="T959" s="3"/>
      <c r="U959" s="3" t="str">
        <f ca="1">IFERROR(__xludf.DUMMYFUNCTION("""COMPUTED_VALUE"""),"banner standard")</f>
        <v>banner standard</v>
      </c>
      <c r="V959" s="3"/>
      <c r="W959" s="4" t="str">
        <f ca="1">IFERROR(__xludf.DUMMYFUNCTION("""COMPUTED_VALUE"""),"https://reklama.cncenter.cz/Online/branding-cross-device")</f>
        <v>https://reklama.cncenter.cz/Online/branding-cross-device</v>
      </c>
      <c r="X959" s="3"/>
      <c r="Y959" s="3"/>
      <c r="Z959" s="3" t="str">
        <f ca="1">IFERROR(__xludf.DUMMYFUNCTION("""COMPUTED_VALUE"""),"podklady@cncenter.cz")</f>
        <v>podklady@cncenter.cz</v>
      </c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 t="str">
        <f ca="1">IFERROR(__xludf.DUMMYFUNCTION("""COMPUTED_VALUE"""),"cross-device")</f>
        <v>cross-device</v>
      </c>
      <c r="AO959" s="3"/>
      <c r="AP959" s="3"/>
      <c r="AQ959" s="3"/>
      <c r="AR959" s="3"/>
      <c r="AS959" s="3"/>
      <c r="AT959" s="3"/>
      <c r="AU959" s="3" t="str">
        <f ca="1">IFERROR(__xludf.DUMMYFUNCTION("""COMPUTED_VALUE"""),"cílený branding cross-device")</f>
        <v>cílený branding cross-device</v>
      </c>
    </row>
    <row r="960" spans="1:47" x14ac:dyDescent="0.3">
      <c r="A960" s="3">
        <f ca="1"/>
        <v>2346826</v>
      </c>
      <c r="B960" s="3" t="str">
        <f ca="1"/>
        <v>CZECH NEWS CENTER a. s.</v>
      </c>
      <c r="C960" s="3" t="str">
        <f ca="1">IFERROR(__xludf.DUMMYFUNCTION("""COMPUTED_VALUE"""),"Reflex")</f>
        <v>Reflex</v>
      </c>
      <c r="D960" s="4" t="str">
        <f ca="1">IFERROR(__xludf.DUMMYFUNCTION("""COMPUTED_VALUE"""),"https://reflex.cz")</f>
        <v>https://reflex.cz</v>
      </c>
      <c r="E960" s="3" t="str">
        <f ca="1">IFERROR(__xludf.DUMMYFUNCTION("""COMPUTED_VALUE"""),"celý web")</f>
        <v>celý web</v>
      </c>
      <c r="F960" s="4" t="str">
        <f ca="1">IFERROR(__xludf.DUMMYFUNCTION("""COMPUTED_VALUE"""),"https://reflex.cz")</f>
        <v>https://reflex.cz</v>
      </c>
      <c r="G960" s="3" t="str">
        <f ca="1">IFERROR(__xludf.DUMMYFUNCTION("""COMPUTED_VALUE"""),"cílený branding high season")</f>
        <v>cílený branding high season</v>
      </c>
      <c r="H960" s="3">
        <f ca="1">IFERROR(__xludf.DUMMYFUNCTION("""COMPUTED_VALUE"""),7)</f>
        <v>7</v>
      </c>
      <c r="I960" s="5">
        <f ca="1">IFERROR(__xludf.DUMMYFUNCTION("""COMPUTED_VALUE"""),1000)</f>
        <v>1000</v>
      </c>
      <c r="J960" s="5">
        <f ca="1">IFERROR(__xludf.DUMMYFUNCTION("""COMPUTED_VALUE"""),1068)</f>
        <v>1068</v>
      </c>
      <c r="K960" s="3"/>
      <c r="L960" s="3" t="str">
        <f ca="1">IFERROR(__xludf.DUMMYFUNCTION("""COMPUTED_VALUE"""),"Cost per period")</f>
        <v>Cost per period</v>
      </c>
      <c r="M960" s="3"/>
      <c r="N960" s="3"/>
      <c r="O960" s="3" t="str">
        <f ca="1">IFERROR(__xludf.DUMMYFUNCTION("""COMPUTED_VALUE"""),"2000")</f>
        <v>2000</v>
      </c>
      <c r="P960" s="3" t="str">
        <f ca="1">IFERROR(__xludf.DUMMYFUNCTION("""COMPUTED_VALUE"""),"1400")</f>
        <v>1400</v>
      </c>
      <c r="Q960" s="3" t="str">
        <f ca="1">IFERROR(__xludf.DUMMYFUNCTION("""COMPUTED_VALUE"""),"2000x1400")</f>
        <v>2000x1400</v>
      </c>
      <c r="R960" s="3"/>
      <c r="S960" s="3" t="str">
        <f ca="1">IFERROR(__xludf.DUMMYFUNCTION("""COMPUTED_VALUE"""),"500 + 200 (600+200 HTML5)")</f>
        <v>500 + 200 (600+200 HTML5)</v>
      </c>
      <c r="T960" s="3"/>
      <c r="U960" s="3" t="str">
        <f ca="1">IFERROR(__xludf.DUMMYFUNCTION("""COMPUTED_VALUE"""),"banner standard")</f>
        <v>banner standard</v>
      </c>
      <c r="V960" s="3"/>
      <c r="W960" s="4" t="str">
        <f ca="1">IFERROR(__xludf.DUMMYFUNCTION("""COMPUTED_VALUE"""),"https://reklama.cncenter.cz/Online/branding")</f>
        <v>https://reklama.cncenter.cz/Online/branding</v>
      </c>
      <c r="X960" s="3"/>
      <c r="Y960" s="3"/>
      <c r="Z960" s="3" t="str">
        <f ca="1">IFERROR(__xludf.DUMMYFUNCTION("""COMPUTED_VALUE"""),"podklady@cncenter.cz")</f>
        <v>podklady@cncenter.cz</v>
      </c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 t="str">
        <f ca="1">IFERROR(__xludf.DUMMYFUNCTION("""COMPUTED_VALUE"""),"desktop")</f>
        <v>desktop</v>
      </c>
      <c r="AO960" s="3"/>
      <c r="AP960" s="3"/>
      <c r="AQ960" s="3"/>
      <c r="AR960" s="3"/>
      <c r="AS960" s="3"/>
      <c r="AT960" s="3"/>
      <c r="AU960" s="3" t="str">
        <f ca="1">IFERROR(__xludf.DUMMYFUNCTION("""COMPUTED_VALUE"""),"cílený branding")</f>
        <v>cílený branding</v>
      </c>
    </row>
    <row r="961" spans="1:47" x14ac:dyDescent="0.3">
      <c r="A961" s="3">
        <f ca="1"/>
        <v>2346826</v>
      </c>
      <c r="B961" s="3" t="str">
        <f ca="1"/>
        <v>CZECH NEWS CENTER a. s.</v>
      </c>
      <c r="C961" s="3" t="str">
        <f ca="1">IFERROR(__xludf.DUMMYFUNCTION("""COMPUTED_VALUE"""),"Reflex")</f>
        <v>Reflex</v>
      </c>
      <c r="D961" s="4" t="str">
        <f ca="1">IFERROR(__xludf.DUMMYFUNCTION("""COMPUTED_VALUE"""),"https://reflex.cz")</f>
        <v>https://reflex.cz</v>
      </c>
      <c r="E961" s="3" t="str">
        <f ca="1">IFERROR(__xludf.DUMMYFUNCTION("""COMPUTED_VALUE"""),"celý web")</f>
        <v>celý web</v>
      </c>
      <c r="F961" s="4" t="str">
        <f ca="1">IFERROR(__xludf.DUMMYFUNCTION("""COMPUTED_VALUE"""),"https://reflex.cz")</f>
        <v>https://reflex.cz</v>
      </c>
      <c r="G961" s="3" t="str">
        <f ca="1">IFERROR(__xludf.DUMMYFUNCTION("""COMPUTED_VALUE"""),"cílený double skyscraper high season")</f>
        <v>cílený double skyscraper high season</v>
      </c>
      <c r="H961" s="3">
        <f ca="1">IFERROR(__xludf.DUMMYFUNCTION("""COMPUTED_VALUE"""),7)</f>
        <v>7</v>
      </c>
      <c r="I961" s="5">
        <f ca="1">IFERROR(__xludf.DUMMYFUNCTION("""COMPUTED_VALUE"""),1000)</f>
        <v>1000</v>
      </c>
      <c r="J961" s="5">
        <f ca="1">IFERROR(__xludf.DUMMYFUNCTION("""COMPUTED_VALUE"""),420)</f>
        <v>420</v>
      </c>
      <c r="K961" s="3"/>
      <c r="L961" s="3" t="str">
        <f ca="1">IFERROR(__xludf.DUMMYFUNCTION("""COMPUTED_VALUE"""),"Cost per period")</f>
        <v>Cost per period</v>
      </c>
      <c r="M961" s="3"/>
      <c r="N961" s="3"/>
      <c r="O961" s="3" t="str">
        <f ca="1">IFERROR(__xludf.DUMMYFUNCTION("""COMPUTED_VALUE"""),"300")</f>
        <v>300</v>
      </c>
      <c r="P961" s="3" t="str">
        <f ca="1">IFERROR(__xludf.DUMMYFUNCTION("""COMPUTED_VALUE"""),"600")</f>
        <v>600</v>
      </c>
      <c r="Q961" s="3" t="str">
        <f ca="1">IFERROR(__xludf.DUMMYFUNCTION("""COMPUTED_VALUE"""),"300x600")</f>
        <v>300x600</v>
      </c>
      <c r="R961" s="3"/>
      <c r="S961" s="3" t="str">
        <f ca="1">IFERROR(__xludf.DUMMYFUNCTION("""COMPUTED_VALUE"""),"100 (200 - HTML5)")</f>
        <v>100 (200 - HTML5)</v>
      </c>
      <c r="T961" s="3"/>
      <c r="U961" s="3" t="str">
        <f ca="1">IFERROR(__xludf.DUMMYFUNCTION("""COMPUTED_VALUE"""),"banner standard")</f>
        <v>banner standard</v>
      </c>
      <c r="V961" s="3"/>
      <c r="W961" s="4" t="str">
        <f ca="1">IFERROR(__xludf.DUMMYFUNCTION("""COMPUTED_VALUE"""),"https://reklama.cncenter.cz/Online/double-skyscraper")</f>
        <v>https://reklama.cncenter.cz/Online/double-skyscraper</v>
      </c>
      <c r="X961" s="3"/>
      <c r="Y961" s="3"/>
      <c r="Z961" s="3" t="str">
        <f ca="1">IFERROR(__xludf.DUMMYFUNCTION("""COMPUTED_VALUE"""),"podklady@cncenter.cz")</f>
        <v>podklady@cncenter.cz</v>
      </c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 t="str">
        <f ca="1">IFERROR(__xludf.DUMMYFUNCTION("""COMPUTED_VALUE"""),"desktop")</f>
        <v>desktop</v>
      </c>
      <c r="AO961" s="3"/>
      <c r="AP961" s="3"/>
      <c r="AQ961" s="3"/>
      <c r="AR961" s="3"/>
      <c r="AS961" s="3"/>
      <c r="AT961" s="3"/>
      <c r="AU961" s="3" t="str">
        <f ca="1">IFERROR(__xludf.DUMMYFUNCTION("""COMPUTED_VALUE"""),"cílený double skyscraper")</f>
        <v>cílený double skyscraper</v>
      </c>
    </row>
    <row r="962" spans="1:47" x14ac:dyDescent="0.3">
      <c r="A962" s="3">
        <f ca="1"/>
        <v>2346826</v>
      </c>
      <c r="B962" s="3" t="str">
        <f ca="1"/>
        <v>CZECH NEWS CENTER a. s.</v>
      </c>
      <c r="C962" s="3" t="str">
        <f ca="1">IFERROR(__xludf.DUMMYFUNCTION("""COMPUTED_VALUE"""),"Reflex")</f>
        <v>Reflex</v>
      </c>
      <c r="D962" s="4" t="str">
        <f ca="1">IFERROR(__xludf.DUMMYFUNCTION("""COMPUTED_VALUE"""),"https://reflex.cz")</f>
        <v>https://reflex.cz</v>
      </c>
      <c r="E962" s="3" t="str">
        <f ca="1">IFERROR(__xludf.DUMMYFUNCTION("""COMPUTED_VALUE"""),"celý web")</f>
        <v>celý web</v>
      </c>
      <c r="F962" s="4" t="str">
        <f ca="1">IFERROR(__xludf.DUMMYFUNCTION("""COMPUTED_VALUE"""),"https://reflex.cz")</f>
        <v>https://reflex.cz</v>
      </c>
      <c r="G962" s="3" t="str">
        <f ca="1">IFERROR(__xludf.DUMMYFUNCTION("""COMPUTED_VALUE"""),"cílený mini videospot - max. 30 sec. high season")</f>
        <v>cílený mini videospot - max. 30 sec. high season</v>
      </c>
      <c r="H962" s="3">
        <f ca="1">IFERROR(__xludf.DUMMYFUNCTION("""COMPUTED_VALUE"""),7)</f>
        <v>7</v>
      </c>
      <c r="I962" s="5">
        <f ca="1">IFERROR(__xludf.DUMMYFUNCTION("""COMPUTED_VALUE"""),1000)</f>
        <v>1000</v>
      </c>
      <c r="J962" s="5">
        <f ca="1">IFERROR(__xludf.DUMMYFUNCTION("""COMPUTED_VALUE"""),312)</f>
        <v>312</v>
      </c>
      <c r="K962" s="3"/>
      <c r="L962" s="3" t="str">
        <f ca="1">IFERROR(__xludf.DUMMYFUNCTION("""COMPUTED_VALUE"""),"Cost per period")</f>
        <v>Cost per period</v>
      </c>
      <c r="M962" s="3"/>
      <c r="N962" s="3"/>
      <c r="O962" s="3"/>
      <c r="P962" s="3"/>
      <c r="Q962" s="3" t="str">
        <f ca="1">IFERROR(__xludf.DUMMYFUNCTION("""COMPUTED_VALUE"""),"16:9 / umístění po domluvě dle možností")</f>
        <v>16:9 / umístění po domluvě dle možností</v>
      </c>
      <c r="R962" s="3" t="str">
        <f ca="1">IFERROR(__xludf.DUMMYFUNCTION("""COMPUTED_VALUE"""),"přeskočení po 7 sekundách")</f>
        <v>přeskočení po 7 sekundách</v>
      </c>
      <c r="S962" s="3" t="str">
        <f ca="1">IFERROR(__xludf.DUMMYFUNCTION("""COMPUTED_VALUE"""),"100")</f>
        <v>100</v>
      </c>
      <c r="T962" s="3"/>
      <c r="U962" s="3" t="str">
        <f ca="1">IFERROR(__xludf.DUMMYFUNCTION("""COMPUTED_VALUE"""),"videospot")</f>
        <v>videospot</v>
      </c>
      <c r="V962" s="3"/>
      <c r="W962" s="4" t="str">
        <f ca="1">IFERROR(__xludf.DUMMYFUNCTION("""COMPUTED_VALUE"""),"https://reklama.cncenter.cz/Online/Videospot")</f>
        <v>https://reklama.cncenter.cz/Online/Videospot</v>
      </c>
      <c r="X962" s="3"/>
      <c r="Y962" s="3"/>
      <c r="Z962" s="3" t="str">
        <f ca="1">IFERROR(__xludf.DUMMYFUNCTION("""COMPUTED_VALUE"""),"podklady@cncenter.cz")</f>
        <v>podklady@cncenter.cz</v>
      </c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 t="str">
        <f ca="1">IFERROR(__xludf.DUMMYFUNCTION("""COMPUTED_VALUE"""),"desktop")</f>
        <v>desktop</v>
      </c>
      <c r="AO962" s="3"/>
      <c r="AP962" s="3"/>
      <c r="AQ962" s="3"/>
      <c r="AR962" s="3"/>
      <c r="AS962" s="3"/>
      <c r="AT962" s="3"/>
      <c r="AU962" s="3" t="str">
        <f ca="1">IFERROR(__xludf.DUMMYFUNCTION("""COMPUTED_VALUE"""),"cílený mini videospot - max. 30 sec.")</f>
        <v>cílený mini videospot - max. 30 sec.</v>
      </c>
    </row>
    <row r="963" spans="1:47" x14ac:dyDescent="0.3">
      <c r="A963" s="3">
        <f ca="1"/>
        <v>2346826</v>
      </c>
      <c r="B963" s="3" t="str">
        <f ca="1"/>
        <v>CZECH NEWS CENTER a. s.</v>
      </c>
      <c r="C963" s="3" t="str">
        <f ca="1">IFERROR(__xludf.DUMMYFUNCTION("""COMPUTED_VALUE"""),"Reflex")</f>
        <v>Reflex</v>
      </c>
      <c r="D963" s="4" t="str">
        <f ca="1">IFERROR(__xludf.DUMMYFUNCTION("""COMPUTED_VALUE"""),"https://reflex.cz")</f>
        <v>https://reflex.cz</v>
      </c>
      <c r="E963" s="3" t="str">
        <f ca="1">IFERROR(__xludf.DUMMYFUNCTION("""COMPUTED_VALUE"""),"celý web")</f>
        <v>celý web</v>
      </c>
      <c r="F963" s="4" t="str">
        <f ca="1">IFERROR(__xludf.DUMMYFUNCTION("""COMPUTED_VALUE"""),"https://reflex.cz")</f>
        <v>https://reflex.cz</v>
      </c>
      <c r="G963" s="3" t="str">
        <f ca="1">IFERROR(__xludf.DUMMYFUNCTION("""COMPUTED_VALUE"""),"cílený mobilní interscroller high season")</f>
        <v>cílený mobilní interscroller high season</v>
      </c>
      <c r="H963" s="3">
        <f ca="1">IFERROR(__xludf.DUMMYFUNCTION("""COMPUTED_VALUE"""),7)</f>
        <v>7</v>
      </c>
      <c r="I963" s="5">
        <f ca="1">IFERROR(__xludf.DUMMYFUNCTION("""COMPUTED_VALUE"""),1000)</f>
        <v>1000</v>
      </c>
      <c r="J963" s="5">
        <f ca="1">IFERROR(__xludf.DUMMYFUNCTION("""COMPUTED_VALUE"""),540)</f>
        <v>540</v>
      </c>
      <c r="K963" s="3"/>
      <c r="L963" s="3" t="str">
        <f ca="1">IFERROR(__xludf.DUMMYFUNCTION("""COMPUTED_VALUE"""),"Cost per period")</f>
        <v>Cost per period</v>
      </c>
      <c r="M963" s="3"/>
      <c r="N963" s="3"/>
      <c r="O963" s="3" t="str">
        <f ca="1">IFERROR(__xludf.DUMMYFUNCTION("""COMPUTED_VALUE"""),"600")</f>
        <v>600</v>
      </c>
      <c r="P963" s="3" t="str">
        <f ca="1">IFERROR(__xludf.DUMMYFUNCTION("""COMPUTED_VALUE"""),"1080")</f>
        <v>1080</v>
      </c>
      <c r="Q963" s="3" t="str">
        <f ca="1">IFERROR(__xludf.DUMMYFUNCTION("""COMPUTED_VALUE"""),"600x1080")</f>
        <v>600x1080</v>
      </c>
      <c r="R963" s="3"/>
      <c r="S963" s="3" t="str">
        <f ca="1">IFERROR(__xludf.DUMMYFUNCTION("""COMPUTED_VALUE"""),"200")</f>
        <v>200</v>
      </c>
      <c r="T963" s="3"/>
      <c r="U963" s="3" t="str">
        <f ca="1">IFERROR(__xludf.DUMMYFUNCTION("""COMPUTED_VALUE"""),"banner standard")</f>
        <v>banner standard</v>
      </c>
      <c r="V963" s="3"/>
      <c r="W963" s="4" t="str">
        <f ca="1">IFERROR(__xludf.DUMMYFUNCTION("""COMPUTED_VALUE"""),"https://reklama.cncenter.cz/Online/mobilni-interscroller")</f>
        <v>https://reklama.cncenter.cz/Online/mobilni-interscroller</v>
      </c>
      <c r="X963" s="3"/>
      <c r="Y963" s="3"/>
      <c r="Z963" s="3" t="str">
        <f ca="1">IFERROR(__xludf.DUMMYFUNCTION("""COMPUTED_VALUE"""),"podklady@cncenter.cz")</f>
        <v>podklady@cncenter.cz</v>
      </c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 t="str">
        <f ca="1">IFERROR(__xludf.DUMMYFUNCTION("""COMPUTED_VALUE"""),"mobile")</f>
        <v>mobile</v>
      </c>
      <c r="AO963" s="3"/>
      <c r="AP963" s="3"/>
      <c r="AQ963" s="3"/>
      <c r="AR963" s="3"/>
      <c r="AS963" s="3"/>
      <c r="AT963" s="3"/>
      <c r="AU963" s="3" t="str">
        <f ca="1">IFERROR(__xludf.DUMMYFUNCTION("""COMPUTED_VALUE"""),"cílený mobilní interscroller")</f>
        <v>cílený mobilní interscroller</v>
      </c>
    </row>
    <row r="964" spans="1:47" x14ac:dyDescent="0.3">
      <c r="A964" s="3">
        <f ca="1"/>
        <v>2346826</v>
      </c>
      <c r="B964" s="3" t="str">
        <f ca="1"/>
        <v>CZECH NEWS CENTER a. s.</v>
      </c>
      <c r="C964" s="3" t="str">
        <f ca="1">IFERROR(__xludf.DUMMYFUNCTION("""COMPUTED_VALUE"""),"Reflex")</f>
        <v>Reflex</v>
      </c>
      <c r="D964" s="4" t="str">
        <f ca="1">IFERROR(__xludf.DUMMYFUNCTION("""COMPUTED_VALUE"""),"https://reflex.cz")</f>
        <v>https://reflex.cz</v>
      </c>
      <c r="E964" s="3" t="str">
        <f ca="1">IFERROR(__xludf.DUMMYFUNCTION("""COMPUTED_VALUE"""),"celý web")</f>
        <v>celý web</v>
      </c>
      <c r="F964" s="4" t="str">
        <f ca="1">IFERROR(__xludf.DUMMYFUNCTION("""COMPUTED_VALUE"""),"https://reflex.cz")</f>
        <v>https://reflex.cz</v>
      </c>
      <c r="G964" s="3" t="str">
        <f ca="1">IFERROR(__xludf.DUMMYFUNCTION("""COMPUTED_VALUE"""),"cílený mobilní slide-up high season")</f>
        <v>cílený mobilní slide-up high season</v>
      </c>
      <c r="H964" s="3">
        <f ca="1">IFERROR(__xludf.DUMMYFUNCTION("""COMPUTED_VALUE"""),7)</f>
        <v>7</v>
      </c>
      <c r="I964" s="5">
        <f ca="1">IFERROR(__xludf.DUMMYFUNCTION("""COMPUTED_VALUE"""),1000)</f>
        <v>1000</v>
      </c>
      <c r="J964" s="5">
        <f ca="1">IFERROR(__xludf.DUMMYFUNCTION("""COMPUTED_VALUE"""),1104)</f>
        <v>1104</v>
      </c>
      <c r="K964" s="3"/>
      <c r="L964" s="3" t="str">
        <f ca="1">IFERROR(__xludf.DUMMYFUNCTION("""COMPUTED_VALUE"""),"Cost per period")</f>
        <v>Cost per period</v>
      </c>
      <c r="M964" s="3"/>
      <c r="N964" s="3"/>
      <c r="O964" s="3" t="str">
        <f ca="1">IFERROR(__xludf.DUMMYFUNCTION("""COMPUTED_VALUE"""),"300")</f>
        <v>300</v>
      </c>
      <c r="P964" s="3" t="str">
        <f ca="1">IFERROR(__xludf.DUMMYFUNCTION("""COMPUTED_VALUE"""),"120")</f>
        <v>120</v>
      </c>
      <c r="Q964" s="3" t="str">
        <f ca="1">IFERROR(__xludf.DUMMYFUNCTION("""COMPUTED_VALUE"""),"300x120")</f>
        <v>300x120</v>
      </c>
      <c r="R964" s="3"/>
      <c r="S964" s="3" t="str">
        <f ca="1">IFERROR(__xludf.DUMMYFUNCTION("""COMPUTED_VALUE"""),"100")</f>
        <v>100</v>
      </c>
      <c r="T964" s="3"/>
      <c r="U964" s="3" t="str">
        <f ca="1">IFERROR(__xludf.DUMMYFUNCTION("""COMPUTED_VALUE"""),"banner standard")</f>
        <v>banner standard</v>
      </c>
      <c r="V964" s="3"/>
      <c r="W964" s="4" t="str">
        <f ca="1">IFERROR(__xludf.DUMMYFUNCTION("""COMPUTED_VALUE"""),"https://reklama.cncenter.cz/Online/mobilni-slide-up")</f>
        <v>https://reklama.cncenter.cz/Online/mobilni-slide-up</v>
      </c>
      <c r="X964" s="3"/>
      <c r="Y964" s="3"/>
      <c r="Z964" s="3" t="str">
        <f ca="1">IFERROR(__xludf.DUMMYFUNCTION("""COMPUTED_VALUE"""),"podklady@cncenter.cz")</f>
        <v>podklady@cncenter.cz</v>
      </c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 t="str">
        <f ca="1">IFERROR(__xludf.DUMMYFUNCTION("""COMPUTED_VALUE"""),"mobile")</f>
        <v>mobile</v>
      </c>
      <c r="AO964" s="3"/>
      <c r="AP964" s="3"/>
      <c r="AQ964" s="3"/>
      <c r="AR964" s="3"/>
      <c r="AS964" s="3"/>
      <c r="AT964" s="3"/>
      <c r="AU964" s="3" t="str">
        <f ca="1">IFERROR(__xludf.DUMMYFUNCTION("""COMPUTED_VALUE"""),"cílený mobilní slide-up")</f>
        <v>cílený mobilní slide-up</v>
      </c>
    </row>
    <row r="965" spans="1:47" x14ac:dyDescent="0.3">
      <c r="A965" s="3">
        <f ca="1"/>
        <v>2346826</v>
      </c>
      <c r="B965" s="3" t="str">
        <f ca="1"/>
        <v>CZECH NEWS CENTER a. s.</v>
      </c>
      <c r="C965" s="3" t="str">
        <f ca="1">IFERROR(__xludf.DUMMYFUNCTION("""COMPUTED_VALUE"""),"Reflex")</f>
        <v>Reflex</v>
      </c>
      <c r="D965" s="4" t="str">
        <f ca="1">IFERROR(__xludf.DUMMYFUNCTION("""COMPUTED_VALUE"""),"https://reflex.cz")</f>
        <v>https://reflex.cz</v>
      </c>
      <c r="E965" s="3" t="str">
        <f ca="1">IFERROR(__xludf.DUMMYFUNCTION("""COMPUTED_VALUE"""),"celý web")</f>
        <v>celý web</v>
      </c>
      <c r="F965" s="4" t="str">
        <f ca="1">IFERROR(__xludf.DUMMYFUNCTION("""COMPUTED_VALUE"""),"https://reflex.cz")</f>
        <v>https://reflex.cz</v>
      </c>
      <c r="G965" s="3" t="str">
        <f ca="1">IFERROR(__xludf.DUMMYFUNCTION("""COMPUTED_VALUE"""),"cílený mobilní viněta high season")</f>
        <v>cílený mobilní viněta high season</v>
      </c>
      <c r="H965" s="3">
        <f ca="1">IFERROR(__xludf.DUMMYFUNCTION("""COMPUTED_VALUE"""),7)</f>
        <v>7</v>
      </c>
      <c r="I965" s="5">
        <f ca="1">IFERROR(__xludf.DUMMYFUNCTION("""COMPUTED_VALUE"""),1000)</f>
        <v>1000</v>
      </c>
      <c r="J965" s="5">
        <f ca="1">IFERROR(__xludf.DUMMYFUNCTION("""COMPUTED_VALUE"""),1908)</f>
        <v>1908</v>
      </c>
      <c r="K965" s="3"/>
      <c r="L965" s="3" t="str">
        <f ca="1">IFERROR(__xludf.DUMMYFUNCTION("""COMPUTED_VALUE"""),"Cost per period")</f>
        <v>Cost per period</v>
      </c>
      <c r="M965" s="3"/>
      <c r="N965" s="3"/>
      <c r="O965" s="3" t="str">
        <f ca="1">IFERROR(__xludf.DUMMYFUNCTION("""COMPUTED_VALUE"""),"600")</f>
        <v>600</v>
      </c>
      <c r="P965" s="3" t="str">
        <f ca="1">IFERROR(__xludf.DUMMYFUNCTION("""COMPUTED_VALUE"""),"800")</f>
        <v>800</v>
      </c>
      <c r="Q965" s="3" t="str">
        <f ca="1">IFERROR(__xludf.DUMMYFUNCTION("""COMPUTED_VALUE"""),"300x250 nebo 600x800")</f>
        <v>300x250 nebo 600x800</v>
      </c>
      <c r="R965" s="3"/>
      <c r="S965" s="3" t="str">
        <f ca="1">IFERROR(__xludf.DUMMYFUNCTION("""COMPUTED_VALUE"""),"100")</f>
        <v>100</v>
      </c>
      <c r="T965" s="3"/>
      <c r="U965" s="3" t="str">
        <f ca="1">IFERROR(__xludf.DUMMYFUNCTION("""COMPUTED_VALUE"""),"banner standard")</f>
        <v>banner standard</v>
      </c>
      <c r="V965" s="3"/>
      <c r="W965" s="4" t="str">
        <f ca="1">IFERROR(__xludf.DUMMYFUNCTION("""COMPUTED_VALUE"""),"https://reklama.cncenter.cz/Online/mobilni-vineta")</f>
        <v>https://reklama.cncenter.cz/Online/mobilni-vineta</v>
      </c>
      <c r="X965" s="3"/>
      <c r="Y965" s="3"/>
      <c r="Z965" s="3" t="str">
        <f ca="1">IFERROR(__xludf.DUMMYFUNCTION("""COMPUTED_VALUE"""),"podklady@cncenter.cz")</f>
        <v>podklady@cncenter.cz</v>
      </c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 t="str">
        <f ca="1">IFERROR(__xludf.DUMMYFUNCTION("""COMPUTED_VALUE"""),"mobile")</f>
        <v>mobile</v>
      </c>
      <c r="AO965" s="3"/>
      <c r="AP965" s="3"/>
      <c r="AQ965" s="3"/>
      <c r="AR965" s="3"/>
      <c r="AS965" s="3"/>
      <c r="AT965" s="3"/>
      <c r="AU965" s="3" t="str">
        <f ca="1">IFERROR(__xludf.DUMMYFUNCTION("""COMPUTED_VALUE"""),"cílený mobilní viněta")</f>
        <v>cílený mobilní viněta</v>
      </c>
    </row>
    <row r="966" spans="1:47" x14ac:dyDescent="0.3">
      <c r="A966" s="3">
        <f ca="1"/>
        <v>2346826</v>
      </c>
      <c r="B966" s="3" t="str">
        <f ca="1"/>
        <v>CZECH NEWS CENTER a. s.</v>
      </c>
      <c r="C966" s="3" t="str">
        <f ca="1">IFERROR(__xludf.DUMMYFUNCTION("""COMPUTED_VALUE"""),"Reflex")</f>
        <v>Reflex</v>
      </c>
      <c r="D966" s="4" t="str">
        <f ca="1">IFERROR(__xludf.DUMMYFUNCTION("""COMPUTED_VALUE"""),"https://reflex.cz")</f>
        <v>https://reflex.cz</v>
      </c>
      <c r="E966" s="3" t="str">
        <f ca="1">IFERROR(__xludf.DUMMYFUNCTION("""COMPUTED_VALUE"""),"celý web")</f>
        <v>celý web</v>
      </c>
      <c r="F966" s="4" t="str">
        <f ca="1">IFERROR(__xludf.DUMMYFUNCTION("""COMPUTED_VALUE"""),"https://reflex.cz")</f>
        <v>https://reflex.cz</v>
      </c>
      <c r="G966" s="3" t="str">
        <f ca="1">IFERROR(__xludf.DUMMYFUNCTION("""COMPUTED_VALUE"""),"cílený nativní pr premium high season")</f>
        <v>cílený nativní pr premium high season</v>
      </c>
      <c r="H966" s="3">
        <f ca="1">IFERROR(__xludf.DUMMYFUNCTION("""COMPUTED_VALUE"""),7)</f>
        <v>7</v>
      </c>
      <c r="I966" s="5">
        <f ca="1">IFERROR(__xludf.DUMMYFUNCTION("""COMPUTED_VALUE"""),1000)</f>
        <v>1000</v>
      </c>
      <c r="J966" s="5">
        <f ca="1">IFERROR(__xludf.DUMMYFUNCTION("""COMPUTED_VALUE"""),216)</f>
        <v>216</v>
      </c>
      <c r="K966" s="3"/>
      <c r="L966" s="3" t="str">
        <f ca="1">IFERROR(__xludf.DUMMYFUNCTION("""COMPUTED_VALUE"""),"Cost per period")</f>
        <v>Cost per period</v>
      </c>
      <c r="M966" s="3"/>
      <c r="N966" s="3"/>
      <c r="O966" s="3" t="str">
        <f ca="1">IFERROR(__xludf.DUMMYFUNCTION("""COMPUTED_VALUE"""),"640")</f>
        <v>640</v>
      </c>
      <c r="P966" s="3" t="str">
        <f ca="1">IFERROR(__xludf.DUMMYFUNCTION("""COMPUTED_VALUE"""),"335, 640")</f>
        <v>335, 640</v>
      </c>
      <c r="Q966" s="3" t="str">
        <f ca="1">IFERROR(__xludf.DUMMYFUNCTION("""COMPUTED_VALUE"""),"640x640 a 640x335 + text + logo")</f>
        <v>640x640 a 640x335 + text + logo</v>
      </c>
      <c r="R966" s="3" t="str">
        <f ca="1">IFERROR(__xludf.DUMMYFUNCTION("""COMPUTED_VALUE"""),"detailní specifikace na URL odkaze")</f>
        <v>detailní specifikace na URL odkaze</v>
      </c>
      <c r="S966" s="3" t="str">
        <f ca="1">IFERROR(__xludf.DUMMYFUNCTION("""COMPUTED_VALUE"""),"100")</f>
        <v>100</v>
      </c>
      <c r="T966" s="3"/>
      <c r="U966" s="3" t="str">
        <f ca="1">IFERROR(__xludf.DUMMYFUNCTION("""COMPUTED_VALUE"""),"nativní reklama")</f>
        <v>nativní reklama</v>
      </c>
      <c r="V966" s="3"/>
      <c r="W966" s="4" t="str">
        <f ca="1">IFERROR(__xludf.DUMMYFUNCTION("""COMPUTED_VALUE"""),"https://reklama.cncenter.cz/Online/nativni-PR-premium")</f>
        <v>https://reklama.cncenter.cz/Online/nativni-PR-premium</v>
      </c>
      <c r="X966" s="3"/>
      <c r="Y966" s="3"/>
      <c r="Z966" s="3" t="str">
        <f ca="1">IFERROR(__xludf.DUMMYFUNCTION("""COMPUTED_VALUE"""),"podklady@cncenter.cz")</f>
        <v>podklady@cncenter.cz</v>
      </c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 t="str">
        <f ca="1">IFERROR(__xludf.DUMMYFUNCTION("""COMPUTED_VALUE"""),"cross-device")</f>
        <v>cross-device</v>
      </c>
      <c r="AO966" s="3"/>
      <c r="AP966" s="3"/>
      <c r="AQ966" s="3"/>
      <c r="AR966" s="3"/>
      <c r="AS966" s="3"/>
      <c r="AT966" s="3"/>
      <c r="AU966" s="3" t="str">
        <f ca="1">IFERROR(__xludf.DUMMYFUNCTION("""COMPUTED_VALUE"""),"cílený nativní pr premium")</f>
        <v>cílený nativní pr premium</v>
      </c>
    </row>
    <row r="967" spans="1:47" x14ac:dyDescent="0.3">
      <c r="A967" s="3">
        <f ca="1"/>
        <v>2346826</v>
      </c>
      <c r="B967" s="3" t="str">
        <f ca="1"/>
        <v>CZECH NEWS CENTER a. s.</v>
      </c>
      <c r="C967" s="3" t="str">
        <f ca="1">IFERROR(__xludf.DUMMYFUNCTION("""COMPUTED_VALUE"""),"Reflex")</f>
        <v>Reflex</v>
      </c>
      <c r="D967" s="4" t="str">
        <f ca="1">IFERROR(__xludf.DUMMYFUNCTION("""COMPUTED_VALUE"""),"https://reflex.cz")</f>
        <v>https://reflex.cz</v>
      </c>
      <c r="E967" s="3" t="str">
        <f ca="1">IFERROR(__xludf.DUMMYFUNCTION("""COMPUTED_VALUE"""),"celý web")</f>
        <v>celý web</v>
      </c>
      <c r="F967" s="4" t="str">
        <f ca="1">IFERROR(__xludf.DUMMYFUNCTION("""COMPUTED_VALUE"""),"https://reflex.cz")</f>
        <v>https://reflex.cz</v>
      </c>
      <c r="G967" s="3" t="str">
        <f ca="1">IFERROR(__xludf.DUMMYFUNCTION("""COMPUTED_VALUE"""),"cílený nativní rectangle cross-device high season")</f>
        <v>cílený nativní rectangle cross-device high season</v>
      </c>
      <c r="H967" s="3">
        <f ca="1">IFERROR(__xludf.DUMMYFUNCTION("""COMPUTED_VALUE"""),7)</f>
        <v>7</v>
      </c>
      <c r="I967" s="5">
        <f ca="1">IFERROR(__xludf.DUMMYFUNCTION("""COMPUTED_VALUE"""),1000)</f>
        <v>1000</v>
      </c>
      <c r="J967" s="5">
        <f ca="1">IFERROR(__xludf.DUMMYFUNCTION("""COMPUTED_VALUE"""),432)</f>
        <v>432</v>
      </c>
      <c r="K967" s="3"/>
      <c r="L967" s="3" t="str">
        <f ca="1">IFERROR(__xludf.DUMMYFUNCTION("""COMPUTED_VALUE"""),"Cost per period")</f>
        <v>Cost per period</v>
      </c>
      <c r="M967" s="3"/>
      <c r="N967" s="3"/>
      <c r="O967" s="3" t="str">
        <f ca="1">IFERROR(__xludf.DUMMYFUNCTION("""COMPUTED_VALUE"""),"640")</f>
        <v>640</v>
      </c>
      <c r="P967" s="3" t="str">
        <f ca="1">IFERROR(__xludf.DUMMYFUNCTION("""COMPUTED_VALUE"""),"335, 640")</f>
        <v>335, 640</v>
      </c>
      <c r="Q967" s="3" t="str">
        <f ca="1">IFERROR(__xludf.DUMMYFUNCTION("""COMPUTED_VALUE"""),"640x640 a 640x335 + text + logo")</f>
        <v>640x640 a 640x335 + text + logo</v>
      </c>
      <c r="R967" s="3"/>
      <c r="S967" s="3" t="str">
        <f ca="1">IFERROR(__xludf.DUMMYFUNCTION("""COMPUTED_VALUE"""),"45")</f>
        <v>45</v>
      </c>
      <c r="T967" s="3"/>
      <c r="U967" s="3" t="str">
        <f ca="1">IFERROR(__xludf.DUMMYFUNCTION("""COMPUTED_VALUE"""),"nativní reklama")</f>
        <v>nativní reklama</v>
      </c>
      <c r="V967" s="3"/>
      <c r="W967" s="4" t="str">
        <f ca="1">IFERROR(__xludf.DUMMYFUNCTION("""COMPUTED_VALUE"""),"https://reklama.cncenter.cz/Online/nativni-rectangle-cross-device")</f>
        <v>https://reklama.cncenter.cz/Online/nativni-rectangle-cross-device</v>
      </c>
      <c r="X967" s="3"/>
      <c r="Y967" s="3"/>
      <c r="Z967" s="3" t="str">
        <f ca="1">IFERROR(__xludf.DUMMYFUNCTION("""COMPUTED_VALUE"""),"podklady@cncenter.cz")</f>
        <v>podklady@cncenter.cz</v>
      </c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 t="str">
        <f ca="1">IFERROR(__xludf.DUMMYFUNCTION("""COMPUTED_VALUE"""),"cross-device")</f>
        <v>cross-device</v>
      </c>
      <c r="AO967" s="3"/>
      <c r="AP967" s="3"/>
      <c r="AQ967" s="3"/>
      <c r="AR967" s="3"/>
      <c r="AS967" s="3"/>
      <c r="AT967" s="3"/>
      <c r="AU967" s="3" t="str">
        <f ca="1">IFERROR(__xludf.DUMMYFUNCTION("""COMPUTED_VALUE"""),"cílený nativní rectangle cross-device")</f>
        <v>cílený nativní rectangle cross-device</v>
      </c>
    </row>
    <row r="968" spans="1:47" x14ac:dyDescent="0.3">
      <c r="A968" s="3">
        <f ca="1"/>
        <v>2346826</v>
      </c>
      <c r="B968" s="3" t="str">
        <f ca="1"/>
        <v>CZECH NEWS CENTER a. s.</v>
      </c>
      <c r="C968" s="3" t="str">
        <f ca="1">IFERROR(__xludf.DUMMYFUNCTION("""COMPUTED_VALUE"""),"Reflex")</f>
        <v>Reflex</v>
      </c>
      <c r="D968" s="4" t="str">
        <f ca="1">IFERROR(__xludf.DUMMYFUNCTION("""COMPUTED_VALUE"""),"https://reflex.cz")</f>
        <v>https://reflex.cz</v>
      </c>
      <c r="E968" s="3" t="str">
        <f ca="1">IFERROR(__xludf.DUMMYFUNCTION("""COMPUTED_VALUE"""),"celý web")</f>
        <v>celý web</v>
      </c>
      <c r="F968" s="4" t="str">
        <f ca="1">IFERROR(__xludf.DUMMYFUNCTION("""COMPUTED_VALUE"""),"https://reflex.cz")</f>
        <v>https://reflex.cz</v>
      </c>
      <c r="G968" s="3" t="str">
        <f ca="1">IFERROR(__xludf.DUMMYFUNCTION("""COMPUTED_VALUE"""),"cílený outstream high season")</f>
        <v>cílený outstream high season</v>
      </c>
      <c r="H968" s="3">
        <f ca="1">IFERROR(__xludf.DUMMYFUNCTION("""COMPUTED_VALUE"""),7)</f>
        <v>7</v>
      </c>
      <c r="I968" s="5">
        <f ca="1">IFERROR(__xludf.DUMMYFUNCTION("""COMPUTED_VALUE"""),1000)</f>
        <v>1000</v>
      </c>
      <c r="J968" s="5">
        <f ca="1">IFERROR(__xludf.DUMMYFUNCTION("""COMPUTED_VALUE"""),540)</f>
        <v>540</v>
      </c>
      <c r="K968" s="3"/>
      <c r="L968" s="3" t="str">
        <f ca="1">IFERROR(__xludf.DUMMYFUNCTION("""COMPUTED_VALUE"""),"Cost per period")</f>
        <v>Cost per period</v>
      </c>
      <c r="M968" s="3"/>
      <c r="N968" s="3"/>
      <c r="O968" s="3" t="str">
        <f ca="1">IFERROR(__xludf.DUMMYFUNCTION("""COMPUTED_VALUE"""),"1280")</f>
        <v>1280</v>
      </c>
      <c r="P968" s="3" t="str">
        <f ca="1">IFERROR(__xludf.DUMMYFUNCTION("""COMPUTED_VALUE"""),"720")</f>
        <v>720</v>
      </c>
      <c r="Q968" s="3" t="str">
        <f ca="1">IFERROR(__xludf.DUMMYFUNCTION("""COMPUTED_VALUE"""),"16:9")</f>
        <v>16:9</v>
      </c>
      <c r="R968" s="3"/>
      <c r="S968" s="3" t="str">
        <f ca="1">IFERROR(__xludf.DUMMYFUNCTION("""COMPUTED_VALUE"""),"100")</f>
        <v>100</v>
      </c>
      <c r="T968" s="3"/>
      <c r="U968" s="3" t="str">
        <f ca="1">IFERROR(__xludf.DUMMYFUNCTION("""COMPUTED_VALUE"""),"videospot")</f>
        <v>videospot</v>
      </c>
      <c r="V968" s="3"/>
      <c r="W968" s="4" t="str">
        <f ca="1">IFERROR(__xludf.DUMMYFUNCTION("""COMPUTED_VALUE"""),"https://reklama.cncenter.cz/Online/Outstream")</f>
        <v>https://reklama.cncenter.cz/Online/Outstream</v>
      </c>
      <c r="X968" s="3"/>
      <c r="Y968" s="3"/>
      <c r="Z968" s="3" t="str">
        <f ca="1">IFERROR(__xludf.DUMMYFUNCTION("""COMPUTED_VALUE"""),"podklady@cncenter.cz")</f>
        <v>podklady@cncenter.cz</v>
      </c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 t="str">
        <f ca="1">IFERROR(__xludf.DUMMYFUNCTION("""COMPUTED_VALUE"""),"cross-device")</f>
        <v>cross-device</v>
      </c>
      <c r="AO968" s="3"/>
      <c r="AP968" s="3"/>
      <c r="AQ968" s="3"/>
      <c r="AR968" s="3"/>
      <c r="AS968" s="3"/>
      <c r="AT968" s="3"/>
      <c r="AU968" s="3" t="str">
        <f ca="1">IFERROR(__xludf.DUMMYFUNCTION("""COMPUTED_VALUE"""),"cílený outstream")</f>
        <v>cílený outstream</v>
      </c>
    </row>
    <row r="969" spans="1:47" x14ac:dyDescent="0.3">
      <c r="A969" s="3">
        <f ca="1"/>
        <v>2346826</v>
      </c>
      <c r="B969" s="3" t="str">
        <f ca="1"/>
        <v>CZECH NEWS CENTER a. s.</v>
      </c>
      <c r="C969" s="3" t="str">
        <f ca="1">IFERROR(__xludf.DUMMYFUNCTION("""COMPUTED_VALUE"""),"Reflex")</f>
        <v>Reflex</v>
      </c>
      <c r="D969" s="4" t="str">
        <f ca="1">IFERROR(__xludf.DUMMYFUNCTION("""COMPUTED_VALUE"""),"https://reflex.cz")</f>
        <v>https://reflex.cz</v>
      </c>
      <c r="E969" s="3" t="str">
        <f ca="1">IFERROR(__xludf.DUMMYFUNCTION("""COMPUTED_VALUE"""),"celý web")</f>
        <v>celý web</v>
      </c>
      <c r="F969" s="4" t="str">
        <f ca="1">IFERROR(__xludf.DUMMYFUNCTION("""COMPUTED_VALUE"""),"https://reflex.cz")</f>
        <v>https://reflex.cz</v>
      </c>
      <c r="G969" s="3" t="str">
        <f ca="1">IFERROR(__xludf.DUMMYFUNCTION("""COMPUTED_VALUE"""),"cílený videospot - max. 30 sec. / bumper high season")</f>
        <v>cílený videospot - max. 30 sec. / bumper high season</v>
      </c>
      <c r="H969" s="3">
        <f ca="1">IFERROR(__xludf.DUMMYFUNCTION("""COMPUTED_VALUE"""),7)</f>
        <v>7</v>
      </c>
      <c r="I969" s="5">
        <f ca="1">IFERROR(__xludf.DUMMYFUNCTION("""COMPUTED_VALUE"""),1000)</f>
        <v>1000</v>
      </c>
      <c r="J969" s="5">
        <f ca="1">IFERROR(__xludf.DUMMYFUNCTION("""COMPUTED_VALUE"""),1608)</f>
        <v>1608</v>
      </c>
      <c r="K969" s="3"/>
      <c r="L969" s="3" t="str">
        <f ca="1">IFERROR(__xludf.DUMMYFUNCTION("""COMPUTED_VALUE"""),"Cost per period")</f>
        <v>Cost per period</v>
      </c>
      <c r="M969" s="3"/>
      <c r="N969" s="3"/>
      <c r="O969" s="3" t="str">
        <f ca="1">IFERROR(__xludf.DUMMYFUNCTION("""COMPUTED_VALUE"""),"1280")</f>
        <v>1280</v>
      </c>
      <c r="P969" s="3" t="str">
        <f ca="1">IFERROR(__xludf.DUMMYFUNCTION("""COMPUTED_VALUE"""),"720")</f>
        <v>720</v>
      </c>
      <c r="Q969" s="3" t="str">
        <f ca="1">IFERROR(__xludf.DUMMYFUNCTION("""COMPUTED_VALUE"""),"16:9 / umístění po domluvě dle možností")</f>
        <v>16:9 / umístění po domluvě dle možností</v>
      </c>
      <c r="R969" s="3" t="str">
        <f ca="1">IFERROR(__xludf.DUMMYFUNCTION("""COMPUTED_VALUE"""),"přeskočení po 7 sekundách")</f>
        <v>přeskočení po 7 sekundách</v>
      </c>
      <c r="S969" s="3" t="str">
        <f ca="1">IFERROR(__xludf.DUMMYFUNCTION("""COMPUTED_VALUE"""),"100")</f>
        <v>100</v>
      </c>
      <c r="T969" s="3"/>
      <c r="U969" s="3" t="str">
        <f ca="1">IFERROR(__xludf.DUMMYFUNCTION("""COMPUTED_VALUE"""),"videospot")</f>
        <v>videospot</v>
      </c>
      <c r="V969" s="3"/>
      <c r="W969" s="4" t="str">
        <f ca="1">IFERROR(__xludf.DUMMYFUNCTION("""COMPUTED_VALUE"""),"https://reklama.cncenter.cz/Online/Bumper")</f>
        <v>https://reklama.cncenter.cz/Online/Bumper</v>
      </c>
      <c r="X969" s="3"/>
      <c r="Y969" s="3"/>
      <c r="Z969" s="3" t="str">
        <f ca="1">IFERROR(__xludf.DUMMYFUNCTION("""COMPUTED_VALUE"""),"podklady@cncenter.cz")</f>
        <v>podklady@cncenter.cz</v>
      </c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 t="str">
        <f ca="1">IFERROR(__xludf.DUMMYFUNCTION("""COMPUTED_VALUE"""),"cross-device")</f>
        <v>cross-device</v>
      </c>
      <c r="AO969" s="3"/>
      <c r="AP969" s="3"/>
      <c r="AQ969" s="3"/>
      <c r="AR969" s="3"/>
      <c r="AS969" s="3"/>
      <c r="AT969" s="3"/>
      <c r="AU969" s="3" t="str">
        <f ca="1">IFERROR(__xludf.DUMMYFUNCTION("""COMPUTED_VALUE"""),"cílený videospot - max. 30 sec. / bumper")</f>
        <v>cílený videospot - max. 30 sec. / bumper</v>
      </c>
    </row>
    <row r="970" spans="1:47" x14ac:dyDescent="0.3">
      <c r="A970" s="3">
        <f ca="1"/>
        <v>2346826</v>
      </c>
      <c r="B970" s="3" t="str">
        <f ca="1"/>
        <v>CZECH NEWS CENTER a. s.</v>
      </c>
      <c r="C970" s="3" t="str">
        <f ca="1">IFERROR(__xludf.DUMMYFUNCTION("""COMPUTED_VALUE"""),"Reflex")</f>
        <v>Reflex</v>
      </c>
      <c r="D970" s="4" t="str">
        <f ca="1">IFERROR(__xludf.DUMMYFUNCTION("""COMPUTED_VALUE"""),"https://reflex.cz")</f>
        <v>https://reflex.cz</v>
      </c>
      <c r="E970" s="3" t="str">
        <f ca="1">IFERROR(__xludf.DUMMYFUNCTION("""COMPUTED_VALUE"""),"celý web")</f>
        <v>celý web</v>
      </c>
      <c r="F970" s="4" t="str">
        <f ca="1">IFERROR(__xludf.DUMMYFUNCTION("""COMPUTED_VALUE"""),"https://reflex.cz")</f>
        <v>https://reflex.cz</v>
      </c>
      <c r="G970" s="3" t="str">
        <f ca="1">IFERROR(__xludf.DUMMYFUNCTION("""COMPUTED_VALUE"""),"dokoupení proma o 2 týdny - 10 000 PV *** high season")</f>
        <v>dokoupení proma o 2 týdny - 10 000 PV *** high season</v>
      </c>
      <c r="H970" s="3">
        <f ca="1">IFERROR(__xludf.DUMMYFUNCTION("""COMPUTED_VALUE"""),1)</f>
        <v>1</v>
      </c>
      <c r="I970" s="5">
        <f ca="1">IFERROR(__xludf.DUMMYFUNCTION("""COMPUTED_VALUE"""),1)</f>
        <v>1</v>
      </c>
      <c r="J970" s="5">
        <f ca="1">IFERROR(__xludf.DUMMYFUNCTION("""COMPUTED_VALUE"""),60000)</f>
        <v>60000</v>
      </c>
      <c r="K970" s="3"/>
      <c r="L970" s="3" t="str">
        <f ca="1">IFERROR(__xludf.DUMMYFUNCTION("""COMPUTED_VALUE"""),"Cost per instance")</f>
        <v>Cost per instance</v>
      </c>
      <c r="M970" s="3"/>
      <c r="N970" s="3"/>
      <c r="O970" s="3"/>
      <c r="P970" s="3"/>
      <c r="Q970" s="3"/>
      <c r="R970" s="3"/>
      <c r="S970" s="3" t="str">
        <f ca="1">IFERROR(__xludf.DUMMYFUNCTION("""COMPUTED_VALUE"""),"100")</f>
        <v>100</v>
      </c>
      <c r="T970" s="3"/>
      <c r="U970" s="3" t="str">
        <f ca="1">IFERROR(__xludf.DUMMYFUNCTION("""COMPUTED_VALUE"""),"microsite")</f>
        <v>microsite</v>
      </c>
      <c r="V970" s="3"/>
      <c r="W970" s="3"/>
      <c r="X970" s="3"/>
      <c r="Y970" s="3"/>
      <c r="Z970" s="3" t="str">
        <f ca="1">IFERROR(__xludf.DUMMYFUNCTION("""COMPUTED_VALUE"""),"podklady@cncenter.cz")</f>
        <v>podklady@cncenter.cz</v>
      </c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 t="str">
        <f ca="1">IFERROR(__xludf.DUMMYFUNCTION("""COMPUTED_VALUE"""),"cross-device")</f>
        <v>cross-device</v>
      </c>
      <c r="AO970" s="3"/>
      <c r="AP970" s="3"/>
      <c r="AQ970" s="3"/>
      <c r="AR970" s="3"/>
      <c r="AS970" s="3"/>
      <c r="AT970" s="3"/>
      <c r="AU970" s="3" t="str">
        <f ca="1">IFERROR(__xludf.DUMMYFUNCTION("""COMPUTED_VALUE"""),"dokoupení proma o 2 týdny - 10 000 PV ***")</f>
        <v>dokoupení proma o 2 týdny - 10 000 PV ***</v>
      </c>
    </row>
    <row r="971" spans="1:47" x14ac:dyDescent="0.3">
      <c r="A971" s="3">
        <f ca="1"/>
        <v>2346826</v>
      </c>
      <c r="B971" s="3" t="str">
        <f ca="1"/>
        <v>CZECH NEWS CENTER a. s.</v>
      </c>
      <c r="C971" s="3" t="str">
        <f ca="1">IFERROR(__xludf.DUMMYFUNCTION("""COMPUTED_VALUE"""),"Reflex")</f>
        <v>Reflex</v>
      </c>
      <c r="D971" s="4" t="str">
        <f ca="1">IFERROR(__xludf.DUMMYFUNCTION("""COMPUTED_VALUE"""),"https://reflex.cz")</f>
        <v>https://reflex.cz</v>
      </c>
      <c r="E971" s="3" t="str">
        <f ca="1">IFERROR(__xludf.DUMMYFUNCTION("""COMPUTED_VALUE"""),"celý web")</f>
        <v>celý web</v>
      </c>
      <c r="F971" s="4" t="str">
        <f ca="1">IFERROR(__xludf.DUMMYFUNCTION("""COMPUTED_VALUE"""),"https://reflex.cz")</f>
        <v>https://reflex.cz</v>
      </c>
      <c r="G971" s="3" t="str">
        <f ca="1">IFERROR(__xludf.DUMMYFUNCTION("""COMPUTED_VALUE"""),"double skyscraper high season")</f>
        <v>double skyscraper high season</v>
      </c>
      <c r="H971" s="3">
        <f ca="1">IFERROR(__xludf.DUMMYFUNCTION("""COMPUTED_VALUE"""),7)</f>
        <v>7</v>
      </c>
      <c r="I971" s="5">
        <f ca="1">IFERROR(__xludf.DUMMYFUNCTION("""COMPUTED_VALUE"""),1000)</f>
        <v>1000</v>
      </c>
      <c r="J971" s="5">
        <f ca="1">IFERROR(__xludf.DUMMYFUNCTION("""COMPUTED_VALUE"""),350)</f>
        <v>350</v>
      </c>
      <c r="K971" s="3"/>
      <c r="L971" s="3" t="str">
        <f ca="1">IFERROR(__xludf.DUMMYFUNCTION("""COMPUTED_VALUE"""),"Cost per period")</f>
        <v>Cost per period</v>
      </c>
      <c r="M971" s="3"/>
      <c r="N971" s="3"/>
      <c r="O971" s="3" t="str">
        <f ca="1">IFERROR(__xludf.DUMMYFUNCTION("""COMPUTED_VALUE"""),"300")</f>
        <v>300</v>
      </c>
      <c r="P971" s="3" t="str">
        <f ca="1">IFERROR(__xludf.DUMMYFUNCTION("""COMPUTED_VALUE"""),"600")</f>
        <v>600</v>
      </c>
      <c r="Q971" s="3" t="str">
        <f ca="1">IFERROR(__xludf.DUMMYFUNCTION("""COMPUTED_VALUE"""),"300x600")</f>
        <v>300x600</v>
      </c>
      <c r="R971" s="3"/>
      <c r="S971" s="3" t="str">
        <f ca="1">IFERROR(__xludf.DUMMYFUNCTION("""COMPUTED_VALUE"""),"100 (200 - HTML5)")</f>
        <v>100 (200 - HTML5)</v>
      </c>
      <c r="T971" s="3"/>
      <c r="U971" s="3" t="str">
        <f ca="1">IFERROR(__xludf.DUMMYFUNCTION("""COMPUTED_VALUE"""),"banner standard")</f>
        <v>banner standard</v>
      </c>
      <c r="V971" s="3"/>
      <c r="W971" s="4" t="str">
        <f ca="1">IFERROR(__xludf.DUMMYFUNCTION("""COMPUTED_VALUE"""),"https://reklama.cncenter.cz/Online/double-skyscraper")</f>
        <v>https://reklama.cncenter.cz/Online/double-skyscraper</v>
      </c>
      <c r="X971" s="3"/>
      <c r="Y971" s="3"/>
      <c r="Z971" s="3" t="str">
        <f ca="1">IFERROR(__xludf.DUMMYFUNCTION("""COMPUTED_VALUE"""),"podklady@cncenter.cz")</f>
        <v>podklady@cncenter.cz</v>
      </c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 t="str">
        <f ca="1">IFERROR(__xludf.DUMMYFUNCTION("""COMPUTED_VALUE"""),"desktop")</f>
        <v>desktop</v>
      </c>
      <c r="AO971" s="3"/>
      <c r="AP971" s="3"/>
      <c r="AQ971" s="3"/>
      <c r="AR971" s="3"/>
      <c r="AS971" s="3"/>
      <c r="AT971" s="3"/>
      <c r="AU971" s="3" t="str">
        <f ca="1">IFERROR(__xludf.DUMMYFUNCTION("""COMPUTED_VALUE"""),"double skyscraper")</f>
        <v>double skyscraper</v>
      </c>
    </row>
    <row r="972" spans="1:47" x14ac:dyDescent="0.3">
      <c r="A972" s="3">
        <f ca="1"/>
        <v>2346826</v>
      </c>
      <c r="B972" s="3" t="str">
        <f ca="1"/>
        <v>CZECH NEWS CENTER a. s.</v>
      </c>
      <c r="C972" s="3" t="str">
        <f ca="1">IFERROR(__xludf.DUMMYFUNCTION("""COMPUTED_VALUE"""),"Reflex")</f>
        <v>Reflex</v>
      </c>
      <c r="D972" s="4" t="str">
        <f ca="1">IFERROR(__xludf.DUMMYFUNCTION("""COMPUTED_VALUE"""),"https://reflex.cz")</f>
        <v>https://reflex.cz</v>
      </c>
      <c r="E972" s="3" t="str">
        <f ca="1">IFERROR(__xludf.DUMMYFUNCTION("""COMPUTED_VALUE"""),"celý web")</f>
        <v>celý web</v>
      </c>
      <c r="F972" s="4" t="str">
        <f ca="1">IFERROR(__xludf.DUMMYFUNCTION("""COMPUTED_VALUE"""),"https://reflex.cz")</f>
        <v>https://reflex.cz</v>
      </c>
      <c r="G972" s="3" t="str">
        <f ca="1">IFERROR(__xludf.DUMMYFUNCTION("""COMPUTED_VALUE"""),"mini videospot - max. 30 sec. high season")</f>
        <v>mini videospot - max. 30 sec. high season</v>
      </c>
      <c r="H972" s="3">
        <f ca="1">IFERROR(__xludf.DUMMYFUNCTION("""COMPUTED_VALUE"""),7)</f>
        <v>7</v>
      </c>
      <c r="I972" s="5">
        <f ca="1">IFERROR(__xludf.DUMMYFUNCTION("""COMPUTED_VALUE"""),1000)</f>
        <v>1000</v>
      </c>
      <c r="J972" s="5">
        <f ca="1">IFERROR(__xludf.DUMMYFUNCTION("""COMPUTED_VALUE"""),260)</f>
        <v>260</v>
      </c>
      <c r="K972" s="3"/>
      <c r="L972" s="3" t="str">
        <f ca="1">IFERROR(__xludf.DUMMYFUNCTION("""COMPUTED_VALUE"""),"Cost per period")</f>
        <v>Cost per period</v>
      </c>
      <c r="M972" s="3"/>
      <c r="N972" s="3"/>
      <c r="O972" s="3"/>
      <c r="P972" s="3"/>
      <c r="Q972" s="3" t="str">
        <f ca="1">IFERROR(__xludf.DUMMYFUNCTION("""COMPUTED_VALUE"""),"16:9 / umístění po domluvě dle možností")</f>
        <v>16:9 / umístění po domluvě dle možností</v>
      </c>
      <c r="R972" s="3" t="str">
        <f ca="1">IFERROR(__xludf.DUMMYFUNCTION("""COMPUTED_VALUE"""),"přeskočení po 7 sekundách")</f>
        <v>přeskočení po 7 sekundách</v>
      </c>
      <c r="S972" s="3" t="str">
        <f ca="1">IFERROR(__xludf.DUMMYFUNCTION("""COMPUTED_VALUE"""),"100")</f>
        <v>100</v>
      </c>
      <c r="T972" s="3"/>
      <c r="U972" s="3" t="str">
        <f ca="1">IFERROR(__xludf.DUMMYFUNCTION("""COMPUTED_VALUE"""),"videospot")</f>
        <v>videospot</v>
      </c>
      <c r="V972" s="3"/>
      <c r="W972" s="4" t="str">
        <f ca="1">IFERROR(__xludf.DUMMYFUNCTION("""COMPUTED_VALUE"""),"https://reklama.cncenter.cz/Online/Videospot")</f>
        <v>https://reklama.cncenter.cz/Online/Videospot</v>
      </c>
      <c r="X972" s="3"/>
      <c r="Y972" s="3"/>
      <c r="Z972" s="3" t="str">
        <f ca="1">IFERROR(__xludf.DUMMYFUNCTION("""COMPUTED_VALUE"""),"podklady@cncenter.cz")</f>
        <v>podklady@cncenter.cz</v>
      </c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 t="str">
        <f ca="1">IFERROR(__xludf.DUMMYFUNCTION("""COMPUTED_VALUE"""),"desktop")</f>
        <v>desktop</v>
      </c>
      <c r="AO972" s="3"/>
      <c r="AP972" s="3"/>
      <c r="AQ972" s="3"/>
      <c r="AR972" s="3"/>
      <c r="AS972" s="3"/>
      <c r="AT972" s="3"/>
      <c r="AU972" s="3" t="str">
        <f ca="1">IFERROR(__xludf.DUMMYFUNCTION("""COMPUTED_VALUE"""),"mini videospot - max. 30 sec.")</f>
        <v>mini videospot - max. 30 sec.</v>
      </c>
    </row>
    <row r="973" spans="1:47" x14ac:dyDescent="0.3">
      <c r="A973" s="3">
        <f ca="1"/>
        <v>2346826</v>
      </c>
      <c r="B973" s="3" t="str">
        <f ca="1"/>
        <v>CZECH NEWS CENTER a. s.</v>
      </c>
      <c r="C973" s="3" t="str">
        <f ca="1">IFERROR(__xludf.DUMMYFUNCTION("""COMPUTED_VALUE"""),"Reflex")</f>
        <v>Reflex</v>
      </c>
      <c r="D973" s="4" t="str">
        <f ca="1">IFERROR(__xludf.DUMMYFUNCTION("""COMPUTED_VALUE"""),"https://reflex.cz")</f>
        <v>https://reflex.cz</v>
      </c>
      <c r="E973" s="3" t="str">
        <f ca="1">IFERROR(__xludf.DUMMYFUNCTION("""COMPUTED_VALUE"""),"celý web")</f>
        <v>celý web</v>
      </c>
      <c r="F973" s="4" t="str">
        <f ca="1">IFERROR(__xludf.DUMMYFUNCTION("""COMPUTED_VALUE"""),"https://reflex.cz")</f>
        <v>https://reflex.cz</v>
      </c>
      <c r="G973" s="3" t="str">
        <f ca="1">IFERROR(__xludf.DUMMYFUNCTION("""COMPUTED_VALUE"""),"mobilní interscroller high season")</f>
        <v>mobilní interscroller high season</v>
      </c>
      <c r="H973" s="3">
        <f ca="1">IFERROR(__xludf.DUMMYFUNCTION("""COMPUTED_VALUE"""),7)</f>
        <v>7</v>
      </c>
      <c r="I973" s="5">
        <f ca="1">IFERROR(__xludf.DUMMYFUNCTION("""COMPUTED_VALUE"""),1000)</f>
        <v>1000</v>
      </c>
      <c r="J973" s="5">
        <f ca="1">IFERROR(__xludf.DUMMYFUNCTION("""COMPUTED_VALUE"""),450)</f>
        <v>450</v>
      </c>
      <c r="K973" s="3"/>
      <c r="L973" s="3" t="str">
        <f ca="1">IFERROR(__xludf.DUMMYFUNCTION("""COMPUTED_VALUE"""),"Cost per period")</f>
        <v>Cost per period</v>
      </c>
      <c r="M973" s="3"/>
      <c r="N973" s="3"/>
      <c r="O973" s="3" t="str">
        <f ca="1">IFERROR(__xludf.DUMMYFUNCTION("""COMPUTED_VALUE"""),"600")</f>
        <v>600</v>
      </c>
      <c r="P973" s="3" t="str">
        <f ca="1">IFERROR(__xludf.DUMMYFUNCTION("""COMPUTED_VALUE"""),"1080")</f>
        <v>1080</v>
      </c>
      <c r="Q973" s="3" t="str">
        <f ca="1">IFERROR(__xludf.DUMMYFUNCTION("""COMPUTED_VALUE"""),"600x1080")</f>
        <v>600x1080</v>
      </c>
      <c r="R973" s="3"/>
      <c r="S973" s="3" t="str">
        <f ca="1">IFERROR(__xludf.DUMMYFUNCTION("""COMPUTED_VALUE"""),"200")</f>
        <v>200</v>
      </c>
      <c r="T973" s="3"/>
      <c r="U973" s="3" t="str">
        <f ca="1">IFERROR(__xludf.DUMMYFUNCTION("""COMPUTED_VALUE"""),"banner standard")</f>
        <v>banner standard</v>
      </c>
      <c r="V973" s="3"/>
      <c r="W973" s="4" t="str">
        <f ca="1">IFERROR(__xludf.DUMMYFUNCTION("""COMPUTED_VALUE"""),"https://reklama.cncenter.cz/Online/mobilni-interscroller")</f>
        <v>https://reklama.cncenter.cz/Online/mobilni-interscroller</v>
      </c>
      <c r="X973" s="3"/>
      <c r="Y973" s="3"/>
      <c r="Z973" s="3" t="str">
        <f ca="1">IFERROR(__xludf.DUMMYFUNCTION("""COMPUTED_VALUE"""),"podklady@cncenter.cz")</f>
        <v>podklady@cncenter.cz</v>
      </c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 t="str">
        <f ca="1">IFERROR(__xludf.DUMMYFUNCTION("""COMPUTED_VALUE"""),"mobile")</f>
        <v>mobile</v>
      </c>
      <c r="AO973" s="3"/>
      <c r="AP973" s="3"/>
      <c r="AQ973" s="3"/>
      <c r="AR973" s="3"/>
      <c r="AS973" s="3"/>
      <c r="AT973" s="3"/>
      <c r="AU973" s="3" t="str">
        <f ca="1">IFERROR(__xludf.DUMMYFUNCTION("""COMPUTED_VALUE"""),"mobilní interscroller")</f>
        <v>mobilní interscroller</v>
      </c>
    </row>
    <row r="974" spans="1:47" x14ac:dyDescent="0.3">
      <c r="A974" s="3">
        <f ca="1"/>
        <v>2346826</v>
      </c>
      <c r="B974" s="3" t="str">
        <f ca="1"/>
        <v>CZECH NEWS CENTER a. s.</v>
      </c>
      <c r="C974" s="3" t="str">
        <f ca="1">IFERROR(__xludf.DUMMYFUNCTION("""COMPUTED_VALUE"""),"Reflex")</f>
        <v>Reflex</v>
      </c>
      <c r="D974" s="4" t="str">
        <f ca="1">IFERROR(__xludf.DUMMYFUNCTION("""COMPUTED_VALUE"""),"https://reflex.cz")</f>
        <v>https://reflex.cz</v>
      </c>
      <c r="E974" s="3" t="str">
        <f ca="1">IFERROR(__xludf.DUMMYFUNCTION("""COMPUTED_VALUE"""),"celý web")</f>
        <v>celý web</v>
      </c>
      <c r="F974" s="4" t="str">
        <f ca="1">IFERROR(__xludf.DUMMYFUNCTION("""COMPUTED_VALUE"""),"https://reflex.cz")</f>
        <v>https://reflex.cz</v>
      </c>
      <c r="G974" s="3" t="str">
        <f ca="1">IFERROR(__xludf.DUMMYFUNCTION("""COMPUTED_VALUE"""),"mobilní slide-up high season")</f>
        <v>mobilní slide-up high season</v>
      </c>
      <c r="H974" s="3">
        <f ca="1">IFERROR(__xludf.DUMMYFUNCTION("""COMPUTED_VALUE"""),7)</f>
        <v>7</v>
      </c>
      <c r="I974" s="5">
        <f ca="1">IFERROR(__xludf.DUMMYFUNCTION("""COMPUTED_VALUE"""),1000)</f>
        <v>1000</v>
      </c>
      <c r="J974" s="5">
        <f ca="1">IFERROR(__xludf.DUMMYFUNCTION("""COMPUTED_VALUE"""),920)</f>
        <v>920</v>
      </c>
      <c r="K974" s="3"/>
      <c r="L974" s="3" t="str">
        <f ca="1">IFERROR(__xludf.DUMMYFUNCTION("""COMPUTED_VALUE"""),"Cost per period")</f>
        <v>Cost per period</v>
      </c>
      <c r="M974" s="3"/>
      <c r="N974" s="3"/>
      <c r="O974" s="3" t="str">
        <f ca="1">IFERROR(__xludf.DUMMYFUNCTION("""COMPUTED_VALUE"""),"300")</f>
        <v>300</v>
      </c>
      <c r="P974" s="3" t="str">
        <f ca="1">IFERROR(__xludf.DUMMYFUNCTION("""COMPUTED_VALUE"""),"120")</f>
        <v>120</v>
      </c>
      <c r="Q974" s="3" t="str">
        <f ca="1">IFERROR(__xludf.DUMMYFUNCTION("""COMPUTED_VALUE"""),"300x120")</f>
        <v>300x120</v>
      </c>
      <c r="R974" s="3"/>
      <c r="S974" s="3" t="str">
        <f ca="1">IFERROR(__xludf.DUMMYFUNCTION("""COMPUTED_VALUE"""),"100")</f>
        <v>100</v>
      </c>
      <c r="T974" s="3"/>
      <c r="U974" s="3" t="str">
        <f ca="1">IFERROR(__xludf.DUMMYFUNCTION("""COMPUTED_VALUE"""),"banner standard")</f>
        <v>banner standard</v>
      </c>
      <c r="V974" s="3"/>
      <c r="W974" s="4" t="str">
        <f ca="1">IFERROR(__xludf.DUMMYFUNCTION("""COMPUTED_VALUE"""),"https://reklama.cncenter.cz/Online/mobilni-slide-up")</f>
        <v>https://reklama.cncenter.cz/Online/mobilni-slide-up</v>
      </c>
      <c r="X974" s="3"/>
      <c r="Y974" s="3"/>
      <c r="Z974" s="3" t="str">
        <f ca="1">IFERROR(__xludf.DUMMYFUNCTION("""COMPUTED_VALUE"""),"podklady@cncenter.cz")</f>
        <v>podklady@cncenter.cz</v>
      </c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 t="str">
        <f ca="1">IFERROR(__xludf.DUMMYFUNCTION("""COMPUTED_VALUE"""),"mobile")</f>
        <v>mobile</v>
      </c>
      <c r="AO974" s="3"/>
      <c r="AP974" s="3"/>
      <c r="AQ974" s="3"/>
      <c r="AR974" s="3"/>
      <c r="AS974" s="3"/>
      <c r="AT974" s="3"/>
      <c r="AU974" s="3" t="str">
        <f ca="1">IFERROR(__xludf.DUMMYFUNCTION("""COMPUTED_VALUE"""),"mobilní slide-up")</f>
        <v>mobilní slide-up</v>
      </c>
    </row>
    <row r="975" spans="1:47" x14ac:dyDescent="0.3">
      <c r="A975" s="3">
        <f ca="1"/>
        <v>2346826</v>
      </c>
      <c r="B975" s="3" t="str">
        <f ca="1"/>
        <v>CZECH NEWS CENTER a. s.</v>
      </c>
      <c r="C975" s="3" t="str">
        <f ca="1">IFERROR(__xludf.DUMMYFUNCTION("""COMPUTED_VALUE"""),"Reflex")</f>
        <v>Reflex</v>
      </c>
      <c r="D975" s="4" t="str">
        <f ca="1">IFERROR(__xludf.DUMMYFUNCTION("""COMPUTED_VALUE"""),"https://reflex.cz")</f>
        <v>https://reflex.cz</v>
      </c>
      <c r="E975" s="3" t="str">
        <f ca="1">IFERROR(__xludf.DUMMYFUNCTION("""COMPUTED_VALUE"""),"celý web")</f>
        <v>celý web</v>
      </c>
      <c r="F975" s="4" t="str">
        <f ca="1">IFERROR(__xludf.DUMMYFUNCTION("""COMPUTED_VALUE"""),"https://reflex.cz")</f>
        <v>https://reflex.cz</v>
      </c>
      <c r="G975" s="3" t="str">
        <f ca="1">IFERROR(__xludf.DUMMYFUNCTION("""COMPUTED_VALUE"""),"mobilní viněta high season")</f>
        <v>mobilní viněta high season</v>
      </c>
      <c r="H975" s="3">
        <f ca="1">IFERROR(__xludf.DUMMYFUNCTION("""COMPUTED_VALUE"""),7)</f>
        <v>7</v>
      </c>
      <c r="I975" s="5">
        <f ca="1">IFERROR(__xludf.DUMMYFUNCTION("""COMPUTED_VALUE"""),1000)</f>
        <v>1000</v>
      </c>
      <c r="J975" s="5">
        <f ca="1">IFERROR(__xludf.DUMMYFUNCTION("""COMPUTED_VALUE"""),1590)</f>
        <v>1590</v>
      </c>
      <c r="K975" s="3"/>
      <c r="L975" s="3" t="str">
        <f ca="1">IFERROR(__xludf.DUMMYFUNCTION("""COMPUTED_VALUE"""),"Cost per period")</f>
        <v>Cost per period</v>
      </c>
      <c r="M975" s="3"/>
      <c r="N975" s="3"/>
      <c r="O975" s="3" t="str">
        <f ca="1">IFERROR(__xludf.DUMMYFUNCTION("""COMPUTED_VALUE"""),"600")</f>
        <v>600</v>
      </c>
      <c r="P975" s="3" t="str">
        <f ca="1">IFERROR(__xludf.DUMMYFUNCTION("""COMPUTED_VALUE"""),"800")</f>
        <v>800</v>
      </c>
      <c r="Q975" s="3" t="str">
        <f ca="1">IFERROR(__xludf.DUMMYFUNCTION("""COMPUTED_VALUE"""),"300x250 nebo 600x800")</f>
        <v>300x250 nebo 600x800</v>
      </c>
      <c r="R975" s="3"/>
      <c r="S975" s="3" t="str">
        <f ca="1">IFERROR(__xludf.DUMMYFUNCTION("""COMPUTED_VALUE"""),"100")</f>
        <v>100</v>
      </c>
      <c r="T975" s="3"/>
      <c r="U975" s="3" t="str">
        <f ca="1">IFERROR(__xludf.DUMMYFUNCTION("""COMPUTED_VALUE"""),"banner standard")</f>
        <v>banner standard</v>
      </c>
      <c r="V975" s="3"/>
      <c r="W975" s="4" t="str">
        <f ca="1">IFERROR(__xludf.DUMMYFUNCTION("""COMPUTED_VALUE"""),"https://reklama.cncenter.cz/Online/mobilni-vineta")</f>
        <v>https://reklama.cncenter.cz/Online/mobilni-vineta</v>
      </c>
      <c r="X975" s="3"/>
      <c r="Y975" s="3"/>
      <c r="Z975" s="3" t="str">
        <f ca="1">IFERROR(__xludf.DUMMYFUNCTION("""COMPUTED_VALUE"""),"podklady@cncenter.cz")</f>
        <v>podklady@cncenter.cz</v>
      </c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 t="str">
        <f ca="1">IFERROR(__xludf.DUMMYFUNCTION("""COMPUTED_VALUE"""),"mobile")</f>
        <v>mobile</v>
      </c>
      <c r="AO975" s="3"/>
      <c r="AP975" s="3"/>
      <c r="AQ975" s="3"/>
      <c r="AR975" s="3"/>
      <c r="AS975" s="3"/>
      <c r="AT975" s="3"/>
      <c r="AU975" s="3" t="str">
        <f ca="1">IFERROR(__xludf.DUMMYFUNCTION("""COMPUTED_VALUE"""),"mobilní viněta")</f>
        <v>mobilní viněta</v>
      </c>
    </row>
    <row r="976" spans="1:47" x14ac:dyDescent="0.3">
      <c r="A976" s="3">
        <f ca="1"/>
        <v>2346826</v>
      </c>
      <c r="B976" s="3" t="str">
        <f ca="1"/>
        <v>CZECH NEWS CENTER a. s.</v>
      </c>
      <c r="C976" s="3" t="str">
        <f ca="1">IFERROR(__xludf.DUMMYFUNCTION("""COMPUTED_VALUE"""),"Reflex")</f>
        <v>Reflex</v>
      </c>
      <c r="D976" s="4" t="str">
        <f ca="1">IFERROR(__xludf.DUMMYFUNCTION("""COMPUTED_VALUE"""),"https://reflex.cz")</f>
        <v>https://reflex.cz</v>
      </c>
      <c r="E976" s="3" t="str">
        <f ca="1">IFERROR(__xludf.DUMMYFUNCTION("""COMPUTED_VALUE"""),"celý web")</f>
        <v>celý web</v>
      </c>
      <c r="F976" s="4" t="str">
        <f ca="1">IFERROR(__xludf.DUMMYFUNCTION("""COMPUTED_VALUE"""),"https://reflex.cz")</f>
        <v>https://reflex.cz</v>
      </c>
      <c r="G976" s="3" t="str">
        <f ca="1">IFERROR(__xludf.DUMMYFUNCTION("""COMPUTED_VALUE"""),"Native Standard high season")</f>
        <v>Native Standard high season</v>
      </c>
      <c r="H976" s="3">
        <f ca="1">IFERROR(__xludf.DUMMYFUNCTION("""COMPUTED_VALUE"""),1)</f>
        <v>1</v>
      </c>
      <c r="I976" s="5">
        <f ca="1">IFERROR(__xludf.DUMMYFUNCTION("""COMPUTED_VALUE"""),1)</f>
        <v>1</v>
      </c>
      <c r="J976" s="5">
        <f ca="1">IFERROR(__xludf.DUMMYFUNCTION("""COMPUTED_VALUE"""),330000)</f>
        <v>330000</v>
      </c>
      <c r="K976" s="3"/>
      <c r="L976" s="3" t="str">
        <f ca="1">IFERROR(__xludf.DUMMYFUNCTION("""COMPUTED_VALUE"""),"Cost per instance")</f>
        <v>Cost per instance</v>
      </c>
      <c r="M976" s="3"/>
      <c r="N976" s="3"/>
      <c r="O976" s="3"/>
      <c r="P976" s="3"/>
      <c r="Q976" s="3"/>
      <c r="R976" s="3"/>
      <c r="S976" s="3" t="str">
        <f ca="1">IFERROR(__xludf.DUMMYFUNCTION("""COMPUTED_VALUE"""),"100")</f>
        <v>100</v>
      </c>
      <c r="T976" s="3"/>
      <c r="U976" s="3" t="str">
        <f ca="1">IFERROR(__xludf.DUMMYFUNCTION("""COMPUTED_VALUE"""),"microsite")</f>
        <v>microsite</v>
      </c>
      <c r="V976" s="3"/>
      <c r="W976" s="3"/>
      <c r="X976" s="3"/>
      <c r="Y976" s="3"/>
      <c r="Z976" s="3" t="str">
        <f ca="1">IFERROR(__xludf.DUMMYFUNCTION("""COMPUTED_VALUE"""),"podklady@cncenter.cz")</f>
        <v>podklady@cncenter.cz</v>
      </c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 t="str">
        <f ca="1">IFERROR(__xludf.DUMMYFUNCTION("""COMPUTED_VALUE"""),"cross-device")</f>
        <v>cross-device</v>
      </c>
      <c r="AO976" s="3"/>
      <c r="AP976" s="3"/>
      <c r="AQ976" s="3"/>
      <c r="AR976" s="3"/>
      <c r="AS976" s="3"/>
      <c r="AT976" s="3"/>
      <c r="AU976" s="3" t="str">
        <f ca="1">IFERROR(__xludf.DUMMYFUNCTION("""COMPUTED_VALUE"""),"Native Standard")</f>
        <v>Native Standard</v>
      </c>
    </row>
    <row r="977" spans="1:47" x14ac:dyDescent="0.3">
      <c r="A977" s="3">
        <f ca="1"/>
        <v>2346826</v>
      </c>
      <c r="B977" s="3" t="str">
        <f ca="1"/>
        <v>CZECH NEWS CENTER a. s.</v>
      </c>
      <c r="C977" s="3" t="str">
        <f ca="1">IFERROR(__xludf.DUMMYFUNCTION("""COMPUTED_VALUE"""),"Reflex")</f>
        <v>Reflex</v>
      </c>
      <c r="D977" s="4" t="str">
        <f ca="1">IFERROR(__xludf.DUMMYFUNCTION("""COMPUTED_VALUE"""),"https://reflex.cz")</f>
        <v>https://reflex.cz</v>
      </c>
      <c r="E977" s="3" t="str">
        <f ca="1">IFERROR(__xludf.DUMMYFUNCTION("""COMPUTED_VALUE"""),"celý web")</f>
        <v>celý web</v>
      </c>
      <c r="F977" s="4" t="str">
        <f ca="1">IFERROR(__xludf.DUMMYFUNCTION("""COMPUTED_VALUE"""),"https://reflex.cz")</f>
        <v>https://reflex.cz</v>
      </c>
      <c r="G977" s="3" t="str">
        <f ca="1">IFERROR(__xludf.DUMMYFUNCTION("""COMPUTED_VALUE"""),"nativní pr premium high season")</f>
        <v>nativní pr premium high season</v>
      </c>
      <c r="H977" s="3">
        <f ca="1">IFERROR(__xludf.DUMMYFUNCTION("""COMPUTED_VALUE"""),7)</f>
        <v>7</v>
      </c>
      <c r="I977" s="5">
        <f ca="1">IFERROR(__xludf.DUMMYFUNCTION("""COMPUTED_VALUE"""),1000)</f>
        <v>1000</v>
      </c>
      <c r="J977" s="5">
        <f ca="1">IFERROR(__xludf.DUMMYFUNCTION("""COMPUTED_VALUE"""),180)</f>
        <v>180</v>
      </c>
      <c r="K977" s="3"/>
      <c r="L977" s="3" t="str">
        <f ca="1">IFERROR(__xludf.DUMMYFUNCTION("""COMPUTED_VALUE"""),"Cost per period")</f>
        <v>Cost per period</v>
      </c>
      <c r="M977" s="3"/>
      <c r="N977" s="3"/>
      <c r="O977" s="3" t="str">
        <f ca="1">IFERROR(__xludf.DUMMYFUNCTION("""COMPUTED_VALUE"""),"640")</f>
        <v>640</v>
      </c>
      <c r="P977" s="3" t="str">
        <f ca="1">IFERROR(__xludf.DUMMYFUNCTION("""COMPUTED_VALUE"""),"335, 640")</f>
        <v>335, 640</v>
      </c>
      <c r="Q977" s="3" t="str">
        <f ca="1">IFERROR(__xludf.DUMMYFUNCTION("""COMPUTED_VALUE"""),"640x640 a 640x335 + text + logo")</f>
        <v>640x640 a 640x335 + text + logo</v>
      </c>
      <c r="R977" s="3" t="str">
        <f ca="1">IFERROR(__xludf.DUMMYFUNCTION("""COMPUTED_VALUE"""),"detailní specifikace na URL odkaze")</f>
        <v>detailní specifikace na URL odkaze</v>
      </c>
      <c r="S977" s="3" t="str">
        <f ca="1">IFERROR(__xludf.DUMMYFUNCTION("""COMPUTED_VALUE"""),"100")</f>
        <v>100</v>
      </c>
      <c r="T977" s="3"/>
      <c r="U977" s="3" t="str">
        <f ca="1">IFERROR(__xludf.DUMMYFUNCTION("""COMPUTED_VALUE"""),"nativní reklama")</f>
        <v>nativní reklama</v>
      </c>
      <c r="V977" s="3"/>
      <c r="W977" s="4" t="str">
        <f ca="1">IFERROR(__xludf.DUMMYFUNCTION("""COMPUTED_VALUE"""),"https://reklama.cncenter.cz/Online/nativni-PR-premium")</f>
        <v>https://reklama.cncenter.cz/Online/nativni-PR-premium</v>
      </c>
      <c r="X977" s="3"/>
      <c r="Y977" s="3"/>
      <c r="Z977" s="3" t="str">
        <f ca="1">IFERROR(__xludf.DUMMYFUNCTION("""COMPUTED_VALUE"""),"podklady@cncenter.cz")</f>
        <v>podklady@cncenter.cz</v>
      </c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 t="str">
        <f ca="1">IFERROR(__xludf.DUMMYFUNCTION("""COMPUTED_VALUE"""),"cross-device")</f>
        <v>cross-device</v>
      </c>
      <c r="AO977" s="3"/>
      <c r="AP977" s="3"/>
      <c r="AQ977" s="3"/>
      <c r="AR977" s="3"/>
      <c r="AS977" s="3"/>
      <c r="AT977" s="3"/>
      <c r="AU977" s="3" t="str">
        <f ca="1">IFERROR(__xludf.DUMMYFUNCTION("""COMPUTED_VALUE"""),"nativní pr premium")</f>
        <v>nativní pr premium</v>
      </c>
    </row>
    <row r="978" spans="1:47" x14ac:dyDescent="0.3">
      <c r="A978" s="3">
        <f ca="1"/>
        <v>2346826</v>
      </c>
      <c r="B978" s="3" t="str">
        <f ca="1"/>
        <v>CZECH NEWS CENTER a. s.</v>
      </c>
      <c r="C978" s="3" t="str">
        <f ca="1">IFERROR(__xludf.DUMMYFUNCTION("""COMPUTED_VALUE"""),"Reflex")</f>
        <v>Reflex</v>
      </c>
      <c r="D978" s="4" t="str">
        <f ca="1">IFERROR(__xludf.DUMMYFUNCTION("""COMPUTED_VALUE"""),"https://reflex.cz")</f>
        <v>https://reflex.cz</v>
      </c>
      <c r="E978" s="3" t="str">
        <f ca="1">IFERROR(__xludf.DUMMYFUNCTION("""COMPUTED_VALUE"""),"celý web")</f>
        <v>celý web</v>
      </c>
      <c r="F978" s="4" t="str">
        <f ca="1">IFERROR(__xludf.DUMMYFUNCTION("""COMPUTED_VALUE"""),"https://reflex.cz")</f>
        <v>https://reflex.cz</v>
      </c>
      <c r="G978" s="3" t="str">
        <f ca="1">IFERROR(__xludf.DUMMYFUNCTION("""COMPUTED_VALUE"""),"nativní rectangle cross-device high season")</f>
        <v>nativní rectangle cross-device high season</v>
      </c>
      <c r="H978" s="3">
        <f ca="1">IFERROR(__xludf.DUMMYFUNCTION("""COMPUTED_VALUE"""),7)</f>
        <v>7</v>
      </c>
      <c r="I978" s="5">
        <f ca="1">IFERROR(__xludf.DUMMYFUNCTION("""COMPUTED_VALUE"""),1000)</f>
        <v>1000</v>
      </c>
      <c r="J978" s="5">
        <f ca="1">IFERROR(__xludf.DUMMYFUNCTION("""COMPUTED_VALUE"""),360)</f>
        <v>360</v>
      </c>
      <c r="K978" s="3"/>
      <c r="L978" s="3" t="str">
        <f ca="1">IFERROR(__xludf.DUMMYFUNCTION("""COMPUTED_VALUE"""),"Cost per period")</f>
        <v>Cost per period</v>
      </c>
      <c r="M978" s="3"/>
      <c r="N978" s="3"/>
      <c r="O978" s="3" t="str">
        <f ca="1">IFERROR(__xludf.DUMMYFUNCTION("""COMPUTED_VALUE"""),"640")</f>
        <v>640</v>
      </c>
      <c r="P978" s="3" t="str">
        <f ca="1">IFERROR(__xludf.DUMMYFUNCTION("""COMPUTED_VALUE"""),"335, 640")</f>
        <v>335, 640</v>
      </c>
      <c r="Q978" s="3" t="str">
        <f ca="1">IFERROR(__xludf.DUMMYFUNCTION("""COMPUTED_VALUE"""),"640x640 a 640x335 + text + logo")</f>
        <v>640x640 a 640x335 + text + logo</v>
      </c>
      <c r="R978" s="3"/>
      <c r="S978" s="3" t="str">
        <f ca="1">IFERROR(__xludf.DUMMYFUNCTION("""COMPUTED_VALUE"""),"45")</f>
        <v>45</v>
      </c>
      <c r="T978" s="3"/>
      <c r="U978" s="3" t="str">
        <f ca="1">IFERROR(__xludf.DUMMYFUNCTION("""COMPUTED_VALUE"""),"nativní reklama")</f>
        <v>nativní reklama</v>
      </c>
      <c r="V978" s="3"/>
      <c r="W978" s="4" t="str">
        <f ca="1">IFERROR(__xludf.DUMMYFUNCTION("""COMPUTED_VALUE"""),"https://reklama.cncenter.cz/Online/nativni-rectangle-cross-device")</f>
        <v>https://reklama.cncenter.cz/Online/nativni-rectangle-cross-device</v>
      </c>
      <c r="X978" s="3"/>
      <c r="Y978" s="3"/>
      <c r="Z978" s="3" t="str">
        <f ca="1">IFERROR(__xludf.DUMMYFUNCTION("""COMPUTED_VALUE"""),"podklady@cncenter.cz")</f>
        <v>podklady@cncenter.cz</v>
      </c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 t="str">
        <f ca="1">IFERROR(__xludf.DUMMYFUNCTION("""COMPUTED_VALUE"""),"cross-device")</f>
        <v>cross-device</v>
      </c>
      <c r="AO978" s="3"/>
      <c r="AP978" s="3"/>
      <c r="AQ978" s="3"/>
      <c r="AR978" s="3"/>
      <c r="AS978" s="3"/>
      <c r="AT978" s="3"/>
      <c r="AU978" s="3" t="str">
        <f ca="1">IFERROR(__xludf.DUMMYFUNCTION("""COMPUTED_VALUE"""),"nativní rectangle cross-device")</f>
        <v>nativní rectangle cross-device</v>
      </c>
    </row>
    <row r="979" spans="1:47" x14ac:dyDescent="0.3">
      <c r="A979" s="3">
        <f ca="1"/>
        <v>2346826</v>
      </c>
      <c r="B979" s="3" t="str">
        <f ca="1"/>
        <v>CZECH NEWS CENTER a. s.</v>
      </c>
      <c r="C979" s="3" t="str">
        <f ca="1">IFERROR(__xludf.DUMMYFUNCTION("""COMPUTED_VALUE"""),"Reflex")</f>
        <v>Reflex</v>
      </c>
      <c r="D979" s="4" t="str">
        <f ca="1">IFERROR(__xludf.DUMMYFUNCTION("""COMPUTED_VALUE"""),"https://reflex.cz")</f>
        <v>https://reflex.cz</v>
      </c>
      <c r="E979" s="3" t="str">
        <f ca="1">IFERROR(__xludf.DUMMYFUNCTION("""COMPUTED_VALUE"""),"celý web")</f>
        <v>celý web</v>
      </c>
      <c r="F979" s="4" t="str">
        <f ca="1">IFERROR(__xludf.DUMMYFUNCTION("""COMPUTED_VALUE"""),"https://reflex.cz")</f>
        <v>https://reflex.cz</v>
      </c>
      <c r="G979" s="3" t="str">
        <f ca="1">IFERROR(__xludf.DUMMYFUNCTION("""COMPUTED_VALUE"""),"outstream high season")</f>
        <v>outstream high season</v>
      </c>
      <c r="H979" s="3">
        <f ca="1">IFERROR(__xludf.DUMMYFUNCTION("""COMPUTED_VALUE"""),7)</f>
        <v>7</v>
      </c>
      <c r="I979" s="5">
        <f ca="1">IFERROR(__xludf.DUMMYFUNCTION("""COMPUTED_VALUE"""),1000)</f>
        <v>1000</v>
      </c>
      <c r="J979" s="5">
        <f ca="1">IFERROR(__xludf.DUMMYFUNCTION("""COMPUTED_VALUE"""),450)</f>
        <v>450</v>
      </c>
      <c r="K979" s="3"/>
      <c r="L979" s="3" t="str">
        <f ca="1">IFERROR(__xludf.DUMMYFUNCTION("""COMPUTED_VALUE"""),"Cost per period")</f>
        <v>Cost per period</v>
      </c>
      <c r="M979" s="3"/>
      <c r="N979" s="3"/>
      <c r="O979" s="3" t="str">
        <f ca="1">IFERROR(__xludf.DUMMYFUNCTION("""COMPUTED_VALUE"""),"1280")</f>
        <v>1280</v>
      </c>
      <c r="P979" s="3" t="str">
        <f ca="1">IFERROR(__xludf.DUMMYFUNCTION("""COMPUTED_VALUE"""),"720")</f>
        <v>720</v>
      </c>
      <c r="Q979" s="3" t="str">
        <f ca="1">IFERROR(__xludf.DUMMYFUNCTION("""COMPUTED_VALUE"""),"16:9")</f>
        <v>16:9</v>
      </c>
      <c r="R979" s="3"/>
      <c r="S979" s="3" t="str">
        <f ca="1">IFERROR(__xludf.DUMMYFUNCTION("""COMPUTED_VALUE"""),"100")</f>
        <v>100</v>
      </c>
      <c r="T979" s="3"/>
      <c r="U979" s="3" t="str">
        <f ca="1">IFERROR(__xludf.DUMMYFUNCTION("""COMPUTED_VALUE"""),"videospot")</f>
        <v>videospot</v>
      </c>
      <c r="V979" s="3"/>
      <c r="W979" s="4" t="str">
        <f ca="1">IFERROR(__xludf.DUMMYFUNCTION("""COMPUTED_VALUE"""),"https://reklama.cncenter.cz/Online/Outstream")</f>
        <v>https://reklama.cncenter.cz/Online/Outstream</v>
      </c>
      <c r="X979" s="3"/>
      <c r="Y979" s="3"/>
      <c r="Z979" s="3" t="str">
        <f ca="1">IFERROR(__xludf.DUMMYFUNCTION("""COMPUTED_VALUE"""),"podklady@cncenter.cz")</f>
        <v>podklady@cncenter.cz</v>
      </c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 t="str">
        <f ca="1">IFERROR(__xludf.DUMMYFUNCTION("""COMPUTED_VALUE"""),"cross-device")</f>
        <v>cross-device</v>
      </c>
      <c r="AO979" s="3"/>
      <c r="AP979" s="3"/>
      <c r="AQ979" s="3"/>
      <c r="AR979" s="3"/>
      <c r="AS979" s="3"/>
      <c r="AT979" s="3"/>
      <c r="AU979" s="3" t="str">
        <f ca="1">IFERROR(__xludf.DUMMYFUNCTION("""COMPUTED_VALUE"""),"outstream")</f>
        <v>outstream</v>
      </c>
    </row>
    <row r="980" spans="1:47" x14ac:dyDescent="0.3">
      <c r="A980" s="3">
        <f ca="1"/>
        <v>2346826</v>
      </c>
      <c r="B980" s="3" t="str">
        <f ca="1"/>
        <v>CZECH NEWS CENTER a. s.</v>
      </c>
      <c r="C980" s="3" t="str">
        <f ca="1">IFERROR(__xludf.DUMMYFUNCTION("""COMPUTED_VALUE"""),"Reflex")</f>
        <v>Reflex</v>
      </c>
      <c r="D980" s="4" t="str">
        <f ca="1">IFERROR(__xludf.DUMMYFUNCTION("""COMPUTED_VALUE"""),"https://reflex.cz")</f>
        <v>https://reflex.cz</v>
      </c>
      <c r="E980" s="3" t="str">
        <f ca="1">IFERROR(__xludf.DUMMYFUNCTION("""COMPUTED_VALUE"""),"celý web")</f>
        <v>celý web</v>
      </c>
      <c r="F980" s="4" t="str">
        <f ca="1">IFERROR(__xludf.DUMMYFUNCTION("""COMPUTED_VALUE"""),"https://reflex.cz")</f>
        <v>https://reflex.cz</v>
      </c>
      <c r="G980" s="3" t="str">
        <f ca="1">IFERROR(__xludf.DUMMYFUNCTION("""COMPUTED_VALUE"""),"PR článek high season")</f>
        <v>PR článek high season</v>
      </c>
      <c r="H980" s="3">
        <f ca="1">IFERROR(__xludf.DUMMYFUNCTION("""COMPUTED_VALUE"""),1)</f>
        <v>1</v>
      </c>
      <c r="I980" s="5">
        <f ca="1">IFERROR(__xludf.DUMMYFUNCTION("""COMPUTED_VALUE"""),1)</f>
        <v>1</v>
      </c>
      <c r="J980" s="5">
        <f ca="1">IFERROR(__xludf.DUMMYFUNCTION("""COMPUTED_VALUE"""),30000)</f>
        <v>30000</v>
      </c>
      <c r="K980" s="3"/>
      <c r="L980" s="3" t="str">
        <f ca="1">IFERROR(__xludf.DUMMYFUNCTION("""COMPUTED_VALUE"""),"Cost per instance")</f>
        <v>Cost per instance</v>
      </c>
      <c r="M980" s="3"/>
      <c r="N980" s="3"/>
      <c r="O980" s="3"/>
      <c r="P980" s="3"/>
      <c r="Q980" s="3"/>
      <c r="R980" s="3"/>
      <c r="S980" s="3" t="str">
        <f ca="1">IFERROR(__xludf.DUMMYFUNCTION("""COMPUTED_VALUE"""),"100")</f>
        <v>100</v>
      </c>
      <c r="T980" s="3"/>
      <c r="U980" s="3" t="str">
        <f ca="1">IFERROR(__xludf.DUMMYFUNCTION("""COMPUTED_VALUE"""),"pr článek")</f>
        <v>pr článek</v>
      </c>
      <c r="V980" s="3"/>
      <c r="W980" s="4" t="str">
        <f ca="1">IFERROR(__xludf.DUMMYFUNCTION("""COMPUTED_VALUE"""),"https://reklama.cncenter.cz/?ads=PR%2520%25C4%258Dl%25C3%25A1nky")</f>
        <v>https://reklama.cncenter.cz/?ads=PR%2520%25C4%258Dl%25C3%25A1nky</v>
      </c>
      <c r="X980" s="3"/>
      <c r="Y980" s="3"/>
      <c r="Z980" s="3" t="str">
        <f ca="1">IFERROR(__xludf.DUMMYFUNCTION("""COMPUTED_VALUE"""),"podklady@cncenter.cz")</f>
        <v>podklady@cncenter.cz</v>
      </c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 t="str">
        <f ca="1">IFERROR(__xludf.DUMMYFUNCTION("""COMPUTED_VALUE"""),"cross-device")</f>
        <v>cross-device</v>
      </c>
      <c r="AO980" s="3"/>
      <c r="AP980" s="3"/>
      <c r="AQ980" s="3"/>
      <c r="AR980" s="3"/>
      <c r="AS980" s="3"/>
      <c r="AT980" s="3"/>
      <c r="AU980" s="3" t="str">
        <f ca="1">IFERROR(__xludf.DUMMYFUNCTION("""COMPUTED_VALUE"""),"PR článek")</f>
        <v>PR článek</v>
      </c>
    </row>
    <row r="981" spans="1:47" x14ac:dyDescent="0.3">
      <c r="A981" s="3">
        <f ca="1"/>
        <v>2346826</v>
      </c>
      <c r="B981" s="3" t="str">
        <f ca="1"/>
        <v>CZECH NEWS CENTER a. s.</v>
      </c>
      <c r="C981" s="3" t="str">
        <f ca="1">IFERROR(__xludf.DUMMYFUNCTION("""COMPUTED_VALUE"""),"Reflex")</f>
        <v>Reflex</v>
      </c>
      <c r="D981" s="4" t="str">
        <f ca="1">IFERROR(__xludf.DUMMYFUNCTION("""COMPUTED_VALUE"""),"https://reflex.cz")</f>
        <v>https://reflex.cz</v>
      </c>
      <c r="E981" s="3" t="str">
        <f ca="1">IFERROR(__xludf.DUMMYFUNCTION("""COMPUTED_VALUE"""),"celý web")</f>
        <v>celý web</v>
      </c>
      <c r="F981" s="4" t="str">
        <f ca="1">IFERROR(__xludf.DUMMYFUNCTION("""COMPUTED_VALUE"""),"https://reflex.cz")</f>
        <v>https://reflex.cz</v>
      </c>
      <c r="G981" s="3" t="str">
        <f ca="1">IFERROR(__xludf.DUMMYFUNCTION("""COMPUTED_VALUE"""),"Prodloužení existující microsite, bez úprav high season")</f>
        <v>Prodloužení existující microsite, bez úprav high season</v>
      </c>
      <c r="H981" s="3">
        <f ca="1">IFERROR(__xludf.DUMMYFUNCTION("""COMPUTED_VALUE"""),1)</f>
        <v>1</v>
      </c>
      <c r="I981" s="5">
        <f ca="1">IFERROR(__xludf.DUMMYFUNCTION("""COMPUTED_VALUE"""),1)</f>
        <v>1</v>
      </c>
      <c r="J981" s="5">
        <f ca="1">IFERROR(__xludf.DUMMYFUNCTION("""COMPUTED_VALUE"""),15000)</f>
        <v>15000</v>
      </c>
      <c r="K981" s="3"/>
      <c r="L981" s="3" t="str">
        <f ca="1">IFERROR(__xludf.DUMMYFUNCTION("""COMPUTED_VALUE"""),"Cost per instance")</f>
        <v>Cost per instance</v>
      </c>
      <c r="M981" s="3"/>
      <c r="N981" s="3"/>
      <c r="O981" s="3"/>
      <c r="P981" s="3"/>
      <c r="Q981" s="3"/>
      <c r="R981" s="3"/>
      <c r="S981" s="3" t="str">
        <f ca="1">IFERROR(__xludf.DUMMYFUNCTION("""COMPUTED_VALUE"""),"100")</f>
        <v>100</v>
      </c>
      <c r="T981" s="3"/>
      <c r="U981" s="3" t="str">
        <f ca="1">IFERROR(__xludf.DUMMYFUNCTION("""COMPUTED_VALUE"""),"microsite")</f>
        <v>microsite</v>
      </c>
      <c r="V981" s="3"/>
      <c r="W981" s="3"/>
      <c r="X981" s="3"/>
      <c r="Y981" s="3"/>
      <c r="Z981" s="3" t="str">
        <f ca="1">IFERROR(__xludf.DUMMYFUNCTION("""COMPUTED_VALUE"""),"podklady@cncenter.cz")</f>
        <v>podklady@cncenter.cz</v>
      </c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 t="str">
        <f ca="1">IFERROR(__xludf.DUMMYFUNCTION("""COMPUTED_VALUE"""),"cross-device")</f>
        <v>cross-device</v>
      </c>
      <c r="AO981" s="3"/>
      <c r="AP981" s="3"/>
      <c r="AQ981" s="3"/>
      <c r="AR981" s="3"/>
      <c r="AS981" s="3"/>
      <c r="AT981" s="3"/>
      <c r="AU981" s="3" t="str">
        <f ca="1">IFERROR(__xludf.DUMMYFUNCTION("""COMPUTED_VALUE"""),"Prodloužení existující microsite, bez úprav")</f>
        <v>Prodloužení existující microsite, bez úprav</v>
      </c>
    </row>
    <row r="982" spans="1:47" x14ac:dyDescent="0.3">
      <c r="A982" s="3">
        <f ca="1"/>
        <v>2346826</v>
      </c>
      <c r="B982" s="3" t="str">
        <f ca="1"/>
        <v>CZECH NEWS CENTER a. s.</v>
      </c>
      <c r="C982" s="3" t="str">
        <f ca="1">IFERROR(__xludf.DUMMYFUNCTION("""COMPUTED_VALUE"""),"Reflex")</f>
        <v>Reflex</v>
      </c>
      <c r="D982" s="4" t="str">
        <f ca="1">IFERROR(__xludf.DUMMYFUNCTION("""COMPUTED_VALUE"""),"https://reflex.cz")</f>
        <v>https://reflex.cz</v>
      </c>
      <c r="E982" s="3" t="str">
        <f ca="1">IFERROR(__xludf.DUMMYFUNCTION("""COMPUTED_VALUE"""),"celý web")</f>
        <v>celý web</v>
      </c>
      <c r="F982" s="4" t="str">
        <f ca="1">IFERROR(__xludf.DUMMYFUNCTION("""COMPUTED_VALUE"""),"https://reflex.cz")</f>
        <v>https://reflex.cz</v>
      </c>
      <c r="G982" s="3" t="str">
        <f ca="1">IFERROR(__xludf.DUMMYFUNCTION("""COMPUTED_VALUE"""),"Prodloužení existující microsite, bez úprav high season")</f>
        <v>Prodloužení existující microsite, bez úprav high season</v>
      </c>
      <c r="H982" s="3">
        <f ca="1">IFERROR(__xludf.DUMMYFUNCTION("""COMPUTED_VALUE"""),1)</f>
        <v>1</v>
      </c>
      <c r="I982" s="5">
        <f ca="1">IFERROR(__xludf.DUMMYFUNCTION("""COMPUTED_VALUE"""),1)</f>
        <v>1</v>
      </c>
      <c r="J982" s="5">
        <f ca="1">IFERROR(__xludf.DUMMYFUNCTION("""COMPUTED_VALUE"""),15000)</f>
        <v>15000</v>
      </c>
      <c r="K982" s="3"/>
      <c r="L982" s="3" t="str">
        <f ca="1">IFERROR(__xludf.DUMMYFUNCTION("""COMPUTED_VALUE"""),"Cost per instance")</f>
        <v>Cost per instance</v>
      </c>
      <c r="M982" s="3"/>
      <c r="N982" s="3"/>
      <c r="O982" s="3"/>
      <c r="P982" s="3"/>
      <c r="Q982" s="3"/>
      <c r="R982" s="3"/>
      <c r="S982" s="3" t="str">
        <f ca="1">IFERROR(__xludf.DUMMYFUNCTION("""COMPUTED_VALUE"""),"100")</f>
        <v>100</v>
      </c>
      <c r="T982" s="3"/>
      <c r="U982" s="3" t="str">
        <f ca="1">IFERROR(__xludf.DUMMYFUNCTION("""COMPUTED_VALUE"""),"microsite")</f>
        <v>microsite</v>
      </c>
      <c r="V982" s="3"/>
      <c r="W982" s="3"/>
      <c r="X982" s="3"/>
      <c r="Y982" s="3"/>
      <c r="Z982" s="3" t="str">
        <f ca="1">IFERROR(__xludf.DUMMYFUNCTION("""COMPUTED_VALUE"""),"podklady@cncenter.cz")</f>
        <v>podklady@cncenter.cz</v>
      </c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 t="str">
        <f ca="1">IFERROR(__xludf.DUMMYFUNCTION("""COMPUTED_VALUE"""),"cross-device")</f>
        <v>cross-device</v>
      </c>
      <c r="AO982" s="3"/>
      <c r="AP982" s="3"/>
      <c r="AQ982" s="3"/>
      <c r="AR982" s="3"/>
      <c r="AS982" s="3"/>
      <c r="AT982" s="3"/>
      <c r="AU982" s="3" t="str">
        <f ca="1">IFERROR(__xludf.DUMMYFUNCTION("""COMPUTED_VALUE"""),"Prodloužení existující microsite, bez úprav")</f>
        <v>Prodloužení existující microsite, bez úprav</v>
      </c>
    </row>
    <row r="983" spans="1:47" x14ac:dyDescent="0.3">
      <c r="A983" s="3">
        <f ca="1"/>
        <v>2346826</v>
      </c>
      <c r="B983" s="3" t="str">
        <f ca="1"/>
        <v>CZECH NEWS CENTER a. s.</v>
      </c>
      <c r="C983" s="3" t="str">
        <f ca="1">IFERROR(__xludf.DUMMYFUNCTION("""COMPUTED_VALUE"""),"Reflex")</f>
        <v>Reflex</v>
      </c>
      <c r="D983" s="4" t="str">
        <f ca="1">IFERROR(__xludf.DUMMYFUNCTION("""COMPUTED_VALUE"""),"https://reflex.cz")</f>
        <v>https://reflex.cz</v>
      </c>
      <c r="E983" s="3" t="str">
        <f ca="1">IFERROR(__xludf.DUMMYFUNCTION("""COMPUTED_VALUE"""),"celý web")</f>
        <v>celý web</v>
      </c>
      <c r="F983" s="4" t="str">
        <f ca="1">IFERROR(__xludf.DUMMYFUNCTION("""COMPUTED_VALUE"""),"https://reflex.cz")</f>
        <v>https://reflex.cz</v>
      </c>
      <c r="G983" s="3" t="str">
        <f ca="1">IFERROR(__xludf.DUMMYFUNCTION("""COMPUTED_VALUE"""),"Prodloužení existující microsite, bez úprav high season")</f>
        <v>Prodloužení existující microsite, bez úprav high season</v>
      </c>
      <c r="H983" s="3">
        <f ca="1">IFERROR(__xludf.DUMMYFUNCTION("""COMPUTED_VALUE"""),1)</f>
        <v>1</v>
      </c>
      <c r="I983" s="5">
        <f ca="1">IFERROR(__xludf.DUMMYFUNCTION("""COMPUTED_VALUE"""),1)</f>
        <v>1</v>
      </c>
      <c r="J983" s="5">
        <f ca="1">IFERROR(__xludf.DUMMYFUNCTION("""COMPUTED_VALUE"""),15000)</f>
        <v>15000</v>
      </c>
      <c r="K983" s="3"/>
      <c r="L983" s="3" t="str">
        <f ca="1">IFERROR(__xludf.DUMMYFUNCTION("""COMPUTED_VALUE"""),"Cost per instance")</f>
        <v>Cost per instance</v>
      </c>
      <c r="M983" s="3"/>
      <c r="N983" s="3"/>
      <c r="O983" s="3"/>
      <c r="P983" s="3"/>
      <c r="Q983" s="3"/>
      <c r="R983" s="3"/>
      <c r="S983" s="3" t="str">
        <f ca="1">IFERROR(__xludf.DUMMYFUNCTION("""COMPUTED_VALUE"""),"100")</f>
        <v>100</v>
      </c>
      <c r="T983" s="3"/>
      <c r="U983" s="3" t="str">
        <f ca="1">IFERROR(__xludf.DUMMYFUNCTION("""COMPUTED_VALUE"""),"microsite")</f>
        <v>microsite</v>
      </c>
      <c r="V983" s="3"/>
      <c r="W983" s="3"/>
      <c r="X983" s="3"/>
      <c r="Y983" s="3"/>
      <c r="Z983" s="3" t="str">
        <f ca="1">IFERROR(__xludf.DUMMYFUNCTION("""COMPUTED_VALUE"""),"podklady@cncenter.cz")</f>
        <v>podklady@cncenter.cz</v>
      </c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 t="str">
        <f ca="1">IFERROR(__xludf.DUMMYFUNCTION("""COMPUTED_VALUE"""),"cross-device")</f>
        <v>cross-device</v>
      </c>
      <c r="AO983" s="3"/>
      <c r="AP983" s="3"/>
      <c r="AQ983" s="3"/>
      <c r="AR983" s="3"/>
      <c r="AS983" s="3"/>
      <c r="AT983" s="3"/>
      <c r="AU983" s="3" t="str">
        <f ca="1">IFERROR(__xludf.DUMMYFUNCTION("""COMPUTED_VALUE"""),"Prodloužení existující microsite, bez úprav")</f>
        <v>Prodloužení existující microsite, bez úprav</v>
      </c>
    </row>
    <row r="984" spans="1:47" x14ac:dyDescent="0.3">
      <c r="A984" s="3">
        <f ca="1"/>
        <v>2346826</v>
      </c>
      <c r="B984" s="3" t="str">
        <f ca="1"/>
        <v>CZECH NEWS CENTER a. s.</v>
      </c>
      <c r="C984" s="3" t="str">
        <f ca="1">IFERROR(__xludf.DUMMYFUNCTION("""COMPUTED_VALUE"""),"Reflex")</f>
        <v>Reflex</v>
      </c>
      <c r="D984" s="4" t="str">
        <f ca="1">IFERROR(__xludf.DUMMYFUNCTION("""COMPUTED_VALUE"""),"https://reflex.cz")</f>
        <v>https://reflex.cz</v>
      </c>
      <c r="E984" s="3" t="str">
        <f ca="1">IFERROR(__xludf.DUMMYFUNCTION("""COMPUTED_VALUE"""),"celý web")</f>
        <v>celý web</v>
      </c>
      <c r="F984" s="4" t="str">
        <f ca="1">IFERROR(__xludf.DUMMYFUNCTION("""COMPUTED_VALUE"""),"https://reflex.cz")</f>
        <v>https://reflex.cz</v>
      </c>
      <c r="G984" s="3" t="str">
        <f ca="1">IFERROR(__xludf.DUMMYFUNCTION("""COMPUTED_VALUE"""),"videospot - max. 30 sec. / bumper high season")</f>
        <v>videospot - max. 30 sec. / bumper high season</v>
      </c>
      <c r="H984" s="3">
        <f ca="1">IFERROR(__xludf.DUMMYFUNCTION("""COMPUTED_VALUE"""),7)</f>
        <v>7</v>
      </c>
      <c r="I984" s="5">
        <f ca="1">IFERROR(__xludf.DUMMYFUNCTION("""COMPUTED_VALUE"""),1000)</f>
        <v>1000</v>
      </c>
      <c r="J984" s="5">
        <f ca="1">IFERROR(__xludf.DUMMYFUNCTION("""COMPUTED_VALUE"""),1340)</f>
        <v>1340</v>
      </c>
      <c r="K984" s="3"/>
      <c r="L984" s="3" t="str">
        <f ca="1">IFERROR(__xludf.DUMMYFUNCTION("""COMPUTED_VALUE"""),"Cost per period")</f>
        <v>Cost per period</v>
      </c>
      <c r="M984" s="3"/>
      <c r="N984" s="3"/>
      <c r="O984" s="3" t="str">
        <f ca="1">IFERROR(__xludf.DUMMYFUNCTION("""COMPUTED_VALUE"""),"1280")</f>
        <v>1280</v>
      </c>
      <c r="P984" s="3" t="str">
        <f ca="1">IFERROR(__xludf.DUMMYFUNCTION("""COMPUTED_VALUE"""),"720")</f>
        <v>720</v>
      </c>
      <c r="Q984" s="3" t="str">
        <f ca="1">IFERROR(__xludf.DUMMYFUNCTION("""COMPUTED_VALUE"""),"16:9 / umístění po domluvě dle možností")</f>
        <v>16:9 / umístění po domluvě dle možností</v>
      </c>
      <c r="R984" s="3" t="str">
        <f ca="1">IFERROR(__xludf.DUMMYFUNCTION("""COMPUTED_VALUE"""),"přeskočení po 7 sekundách")</f>
        <v>přeskočení po 7 sekundách</v>
      </c>
      <c r="S984" s="3" t="str">
        <f ca="1">IFERROR(__xludf.DUMMYFUNCTION("""COMPUTED_VALUE"""),"100")</f>
        <v>100</v>
      </c>
      <c r="T984" s="3"/>
      <c r="U984" s="3" t="str">
        <f ca="1">IFERROR(__xludf.DUMMYFUNCTION("""COMPUTED_VALUE"""),"videospot")</f>
        <v>videospot</v>
      </c>
      <c r="V984" s="3"/>
      <c r="W984" s="4" t="str">
        <f ca="1">IFERROR(__xludf.DUMMYFUNCTION("""COMPUTED_VALUE"""),"https://reklama.cncenter.cz/Online/Bumper")</f>
        <v>https://reklama.cncenter.cz/Online/Bumper</v>
      </c>
      <c r="X984" s="3"/>
      <c r="Y984" s="3"/>
      <c r="Z984" s="3" t="str">
        <f ca="1">IFERROR(__xludf.DUMMYFUNCTION("""COMPUTED_VALUE"""),"podklady@cncenter.cz")</f>
        <v>podklady@cncenter.cz</v>
      </c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 t="str">
        <f ca="1">IFERROR(__xludf.DUMMYFUNCTION("""COMPUTED_VALUE"""),"cross-device")</f>
        <v>cross-device</v>
      </c>
      <c r="AO984" s="3"/>
      <c r="AP984" s="3"/>
      <c r="AQ984" s="3"/>
      <c r="AR984" s="3"/>
      <c r="AS984" s="3"/>
      <c r="AT984" s="3"/>
      <c r="AU984" s="3" t="str">
        <f ca="1">IFERROR(__xludf.DUMMYFUNCTION("""COMPUTED_VALUE"""),"videospot - max. 30 sec. / bumper")</f>
        <v>videospot - max. 30 sec. / bumper</v>
      </c>
    </row>
    <row r="985" spans="1:47" x14ac:dyDescent="0.3">
      <c r="A985" s="3">
        <f ca="1"/>
        <v>2346826</v>
      </c>
      <c r="B985" s="3" t="str">
        <f ca="1"/>
        <v>CZECH NEWS CENTER a. s.</v>
      </c>
      <c r="C985" s="3" t="str">
        <f ca="1">IFERROR(__xludf.DUMMYFUNCTION("""COMPUTED_VALUE"""),"SportRevue")</f>
        <v>SportRevue</v>
      </c>
      <c r="D985" s="4" t="str">
        <f ca="1">IFERROR(__xludf.DUMMYFUNCTION("""COMPUTED_VALUE"""),"https://sportrevue.cz")</f>
        <v>https://sportrevue.cz</v>
      </c>
      <c r="E985" s="3" t="str">
        <f ca="1">IFERROR(__xludf.DUMMYFUNCTION("""COMPUTED_VALUE"""),"celý web")</f>
        <v>celý web</v>
      </c>
      <c r="F985" s="4" t="str">
        <f ca="1">IFERROR(__xludf.DUMMYFUNCTION("""COMPUTED_VALUE"""),"https://sportrevue.cz")</f>
        <v>https://sportrevue.cz</v>
      </c>
      <c r="G985" s="3" t="str">
        <f ca="1">IFERROR(__xludf.DUMMYFUNCTION("""COMPUTED_VALUE"""),"Advertorial high season")</f>
        <v>Advertorial high season</v>
      </c>
      <c r="H985" s="3">
        <f ca="1">IFERROR(__xludf.DUMMYFUNCTION("""COMPUTED_VALUE"""),1)</f>
        <v>1</v>
      </c>
      <c r="I985" s="5">
        <f ca="1">IFERROR(__xludf.DUMMYFUNCTION("""COMPUTED_VALUE"""),1)</f>
        <v>1</v>
      </c>
      <c r="J985" s="5">
        <f ca="1">IFERROR(__xludf.DUMMYFUNCTION("""COMPUTED_VALUE"""),90000)</f>
        <v>90000</v>
      </c>
      <c r="K985" s="3"/>
      <c r="L985" s="3" t="str">
        <f ca="1">IFERROR(__xludf.DUMMYFUNCTION("""COMPUTED_VALUE"""),"Cost per instance")</f>
        <v>Cost per instance</v>
      </c>
      <c r="M985" s="3"/>
      <c r="N985" s="3"/>
      <c r="O985" s="3"/>
      <c r="P985" s="3"/>
      <c r="Q985" s="3"/>
      <c r="R985" s="3"/>
      <c r="S985" s="3" t="str">
        <f ca="1">IFERROR(__xludf.DUMMYFUNCTION("""COMPUTED_VALUE"""),"100")</f>
        <v>100</v>
      </c>
      <c r="T985" s="3"/>
      <c r="U985" s="3" t="str">
        <f ca="1">IFERROR(__xludf.DUMMYFUNCTION("""COMPUTED_VALUE"""),"pr článek")</f>
        <v>pr článek</v>
      </c>
      <c r="V985" s="3"/>
      <c r="W985" s="3"/>
      <c r="X985" s="3"/>
      <c r="Y985" s="3"/>
      <c r="Z985" s="3" t="str">
        <f ca="1">IFERROR(__xludf.DUMMYFUNCTION("""COMPUTED_VALUE"""),"podklady@cncenter.cz")</f>
        <v>podklady@cncenter.cz</v>
      </c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 t="str">
        <f ca="1">IFERROR(__xludf.DUMMYFUNCTION("""COMPUTED_VALUE"""),"cross-device")</f>
        <v>cross-device</v>
      </c>
      <c r="AO985" s="3"/>
      <c r="AP985" s="3"/>
      <c r="AQ985" s="3"/>
      <c r="AR985" s="3"/>
      <c r="AS985" s="3"/>
      <c r="AT985" s="3"/>
      <c r="AU985" s="3" t="str">
        <f ca="1">IFERROR(__xludf.DUMMYFUNCTION("""COMPUTED_VALUE"""),"Advertorial")</f>
        <v>Advertorial</v>
      </c>
    </row>
    <row r="986" spans="1:47" x14ac:dyDescent="0.3">
      <c r="A986" s="3">
        <f ca="1"/>
        <v>2346826</v>
      </c>
      <c r="B986" s="3" t="str">
        <f ca="1"/>
        <v>CZECH NEWS CENTER a. s.</v>
      </c>
      <c r="C986" s="3" t="str">
        <f ca="1">IFERROR(__xludf.DUMMYFUNCTION("""COMPUTED_VALUE"""),"SportRevue")</f>
        <v>SportRevue</v>
      </c>
      <c r="D986" s="4" t="str">
        <f ca="1">IFERROR(__xludf.DUMMYFUNCTION("""COMPUTED_VALUE"""),"https://sportrevue.cz")</f>
        <v>https://sportrevue.cz</v>
      </c>
      <c r="E986" s="3" t="str">
        <f ca="1">IFERROR(__xludf.DUMMYFUNCTION("""COMPUTED_VALUE"""),"celý web")</f>
        <v>celý web</v>
      </c>
      <c r="F986" s="4" t="str">
        <f ca="1">IFERROR(__xludf.DUMMYFUNCTION("""COMPUTED_VALUE"""),"https://sportrevue.cz")</f>
        <v>https://sportrevue.cz</v>
      </c>
      <c r="G986" s="3" t="str">
        <f ca="1">IFERROR(__xludf.DUMMYFUNCTION("""COMPUTED_VALUE"""),"dokoupení proma o 2 týdny - 10 000 PV *** high season")</f>
        <v>dokoupení proma o 2 týdny - 10 000 PV *** high season</v>
      </c>
      <c r="H986" s="3">
        <f ca="1">IFERROR(__xludf.DUMMYFUNCTION("""COMPUTED_VALUE"""),1)</f>
        <v>1</v>
      </c>
      <c r="I986" s="5">
        <f ca="1">IFERROR(__xludf.DUMMYFUNCTION("""COMPUTED_VALUE"""),1)</f>
        <v>1</v>
      </c>
      <c r="J986" s="5">
        <f ca="1">IFERROR(__xludf.DUMMYFUNCTION("""COMPUTED_VALUE"""),60000)</f>
        <v>60000</v>
      </c>
      <c r="K986" s="3"/>
      <c r="L986" s="3" t="str">
        <f ca="1">IFERROR(__xludf.DUMMYFUNCTION("""COMPUTED_VALUE"""),"Cost per instance")</f>
        <v>Cost per instance</v>
      </c>
      <c r="M986" s="3"/>
      <c r="N986" s="3"/>
      <c r="O986" s="3"/>
      <c r="P986" s="3"/>
      <c r="Q986" s="3"/>
      <c r="R986" s="3"/>
      <c r="S986" s="3" t="str">
        <f ca="1">IFERROR(__xludf.DUMMYFUNCTION("""COMPUTED_VALUE"""),"100")</f>
        <v>100</v>
      </c>
      <c r="T986" s="3"/>
      <c r="U986" s="3" t="str">
        <f ca="1">IFERROR(__xludf.DUMMYFUNCTION("""COMPUTED_VALUE"""),"microsite")</f>
        <v>microsite</v>
      </c>
      <c r="V986" s="3"/>
      <c r="W986" s="3"/>
      <c r="X986" s="3"/>
      <c r="Y986" s="3"/>
      <c r="Z986" s="3" t="str">
        <f ca="1">IFERROR(__xludf.DUMMYFUNCTION("""COMPUTED_VALUE"""),"podklady@cncenter.cz")</f>
        <v>podklady@cncenter.cz</v>
      </c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 t="str">
        <f ca="1">IFERROR(__xludf.DUMMYFUNCTION("""COMPUTED_VALUE"""),"cross-device")</f>
        <v>cross-device</v>
      </c>
      <c r="AO986" s="3"/>
      <c r="AP986" s="3"/>
      <c r="AQ986" s="3"/>
      <c r="AR986" s="3"/>
      <c r="AS986" s="3"/>
      <c r="AT986" s="3"/>
      <c r="AU986" s="3" t="str">
        <f ca="1">IFERROR(__xludf.DUMMYFUNCTION("""COMPUTED_VALUE"""),"dokoupení proma o 2 týdny - 10 000 PV ***")</f>
        <v>dokoupení proma o 2 týdny - 10 000 PV ***</v>
      </c>
    </row>
    <row r="987" spans="1:47" x14ac:dyDescent="0.3">
      <c r="A987" s="3">
        <f ca="1"/>
        <v>2346826</v>
      </c>
      <c r="B987" s="3" t="str">
        <f ca="1"/>
        <v>CZECH NEWS CENTER a. s.</v>
      </c>
      <c r="C987" s="3" t="str">
        <f ca="1">IFERROR(__xludf.DUMMYFUNCTION("""COMPUTED_VALUE"""),"SportRevue")</f>
        <v>SportRevue</v>
      </c>
      <c r="D987" s="4" t="str">
        <f ca="1">IFERROR(__xludf.DUMMYFUNCTION("""COMPUTED_VALUE"""),"https://sportrevue.cz")</f>
        <v>https://sportrevue.cz</v>
      </c>
      <c r="E987" s="3" t="str">
        <f ca="1">IFERROR(__xludf.DUMMYFUNCTION("""COMPUTED_VALUE"""),"celý web")</f>
        <v>celý web</v>
      </c>
      <c r="F987" s="4" t="str">
        <f ca="1">IFERROR(__xludf.DUMMYFUNCTION("""COMPUTED_VALUE"""),"https://sportrevue.cz")</f>
        <v>https://sportrevue.cz</v>
      </c>
      <c r="G987" s="3" t="str">
        <f ca="1">IFERROR(__xludf.DUMMYFUNCTION("""COMPUTED_VALUE"""),"Native Standard high season")</f>
        <v>Native Standard high season</v>
      </c>
      <c r="H987" s="3">
        <f ca="1">IFERROR(__xludf.DUMMYFUNCTION("""COMPUTED_VALUE"""),1)</f>
        <v>1</v>
      </c>
      <c r="I987" s="5">
        <f ca="1">IFERROR(__xludf.DUMMYFUNCTION("""COMPUTED_VALUE"""),1)</f>
        <v>1</v>
      </c>
      <c r="J987" s="5">
        <f ca="1">IFERROR(__xludf.DUMMYFUNCTION("""COMPUTED_VALUE"""),330000)</f>
        <v>330000</v>
      </c>
      <c r="K987" s="3"/>
      <c r="L987" s="3" t="str">
        <f ca="1">IFERROR(__xludf.DUMMYFUNCTION("""COMPUTED_VALUE"""),"Cost per instance")</f>
        <v>Cost per instance</v>
      </c>
      <c r="M987" s="3"/>
      <c r="N987" s="3"/>
      <c r="O987" s="3"/>
      <c r="P987" s="3"/>
      <c r="Q987" s="3"/>
      <c r="R987" s="3"/>
      <c r="S987" s="3" t="str">
        <f ca="1">IFERROR(__xludf.DUMMYFUNCTION("""COMPUTED_VALUE"""),"100")</f>
        <v>100</v>
      </c>
      <c r="T987" s="3"/>
      <c r="U987" s="3" t="str">
        <f ca="1">IFERROR(__xludf.DUMMYFUNCTION("""COMPUTED_VALUE"""),"microsite")</f>
        <v>microsite</v>
      </c>
      <c r="V987" s="3"/>
      <c r="W987" s="3"/>
      <c r="X987" s="3"/>
      <c r="Y987" s="3"/>
      <c r="Z987" s="3" t="str">
        <f ca="1">IFERROR(__xludf.DUMMYFUNCTION("""COMPUTED_VALUE"""),"podklady@cncenter.cz")</f>
        <v>podklady@cncenter.cz</v>
      </c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 t="str">
        <f ca="1">IFERROR(__xludf.DUMMYFUNCTION("""COMPUTED_VALUE"""),"cross-device")</f>
        <v>cross-device</v>
      </c>
      <c r="AO987" s="3"/>
      <c r="AP987" s="3"/>
      <c r="AQ987" s="3"/>
      <c r="AR987" s="3"/>
      <c r="AS987" s="3"/>
      <c r="AT987" s="3"/>
      <c r="AU987" s="3" t="str">
        <f ca="1">IFERROR(__xludf.DUMMYFUNCTION("""COMPUTED_VALUE"""),"Native Standard")</f>
        <v>Native Standard</v>
      </c>
    </row>
    <row r="988" spans="1:47" x14ac:dyDescent="0.3">
      <c r="A988" s="3">
        <f ca="1"/>
        <v>2346826</v>
      </c>
      <c r="B988" s="3" t="str">
        <f ca="1"/>
        <v>CZECH NEWS CENTER a. s.</v>
      </c>
      <c r="C988" s="3" t="str">
        <f ca="1">IFERROR(__xludf.DUMMYFUNCTION("""COMPUTED_VALUE"""),"SportRevue")</f>
        <v>SportRevue</v>
      </c>
      <c r="D988" s="4" t="str">
        <f ca="1">IFERROR(__xludf.DUMMYFUNCTION("""COMPUTED_VALUE"""),"https://sportrevue.cz")</f>
        <v>https://sportrevue.cz</v>
      </c>
      <c r="E988" s="3" t="str">
        <f ca="1">IFERROR(__xludf.DUMMYFUNCTION("""COMPUTED_VALUE"""),"celý web")</f>
        <v>celý web</v>
      </c>
      <c r="F988" s="4" t="str">
        <f ca="1">IFERROR(__xludf.DUMMYFUNCTION("""COMPUTED_VALUE"""),"https://sportrevue.cz")</f>
        <v>https://sportrevue.cz</v>
      </c>
      <c r="G988" s="3" t="str">
        <f ca="1">IFERROR(__xludf.DUMMYFUNCTION("""COMPUTED_VALUE"""),"PR článek high season")</f>
        <v>PR článek high season</v>
      </c>
      <c r="H988" s="3">
        <f ca="1">IFERROR(__xludf.DUMMYFUNCTION("""COMPUTED_VALUE"""),1)</f>
        <v>1</v>
      </c>
      <c r="I988" s="5">
        <f ca="1">IFERROR(__xludf.DUMMYFUNCTION("""COMPUTED_VALUE"""),1)</f>
        <v>1</v>
      </c>
      <c r="J988" s="5">
        <f ca="1">IFERROR(__xludf.DUMMYFUNCTION("""COMPUTED_VALUE"""),20000)</f>
        <v>20000</v>
      </c>
      <c r="K988" s="3"/>
      <c r="L988" s="3" t="str">
        <f ca="1">IFERROR(__xludf.DUMMYFUNCTION("""COMPUTED_VALUE"""),"Cost per instance")</f>
        <v>Cost per instance</v>
      </c>
      <c r="M988" s="3"/>
      <c r="N988" s="3"/>
      <c r="O988" s="3"/>
      <c r="P988" s="3"/>
      <c r="Q988" s="3"/>
      <c r="R988" s="3"/>
      <c r="S988" s="3" t="str">
        <f ca="1">IFERROR(__xludf.DUMMYFUNCTION("""COMPUTED_VALUE"""),"100")</f>
        <v>100</v>
      </c>
      <c r="T988" s="3"/>
      <c r="U988" s="3" t="str">
        <f ca="1">IFERROR(__xludf.DUMMYFUNCTION("""COMPUTED_VALUE"""),"pr článek")</f>
        <v>pr článek</v>
      </c>
      <c r="V988" s="3"/>
      <c r="W988" s="4" t="str">
        <f ca="1">IFERROR(__xludf.DUMMYFUNCTION("""COMPUTED_VALUE"""),"https://reklama.cncenter.cz/?ads=PR%2520%25C4%258Dl%25C3%25A1nky")</f>
        <v>https://reklama.cncenter.cz/?ads=PR%2520%25C4%258Dl%25C3%25A1nky</v>
      </c>
      <c r="X988" s="3"/>
      <c r="Y988" s="3"/>
      <c r="Z988" s="3" t="str">
        <f ca="1">IFERROR(__xludf.DUMMYFUNCTION("""COMPUTED_VALUE"""),"podklady@cncenter.cz")</f>
        <v>podklady@cncenter.cz</v>
      </c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 t="str">
        <f ca="1">IFERROR(__xludf.DUMMYFUNCTION("""COMPUTED_VALUE"""),"cross-device")</f>
        <v>cross-device</v>
      </c>
      <c r="AO988" s="3"/>
      <c r="AP988" s="3"/>
      <c r="AQ988" s="3"/>
      <c r="AR988" s="3"/>
      <c r="AS988" s="3"/>
      <c r="AT988" s="3"/>
      <c r="AU988" s="3" t="str">
        <f ca="1">IFERROR(__xludf.DUMMYFUNCTION("""COMPUTED_VALUE"""),"PR článek")</f>
        <v>PR článek</v>
      </c>
    </row>
    <row r="989" spans="1:47" x14ac:dyDescent="0.3">
      <c r="A989" s="3">
        <f ca="1"/>
        <v>2346826</v>
      </c>
      <c r="B989" s="3" t="str">
        <f ca="1"/>
        <v>CZECH NEWS CENTER a. s.</v>
      </c>
      <c r="C989" s="3" t="str">
        <f ca="1">IFERROR(__xludf.DUMMYFUNCTION("""COMPUTED_VALUE"""),"SportRevue")</f>
        <v>SportRevue</v>
      </c>
      <c r="D989" s="4" t="str">
        <f ca="1">IFERROR(__xludf.DUMMYFUNCTION("""COMPUTED_VALUE"""),"https://sportrevue.cz")</f>
        <v>https://sportrevue.cz</v>
      </c>
      <c r="E989" s="3" t="str">
        <f ca="1">IFERROR(__xludf.DUMMYFUNCTION("""COMPUTED_VALUE"""),"celý web")</f>
        <v>celý web</v>
      </c>
      <c r="F989" s="4" t="str">
        <f ca="1">IFERROR(__xludf.DUMMYFUNCTION("""COMPUTED_VALUE"""),"https://sportrevue.cz")</f>
        <v>https://sportrevue.cz</v>
      </c>
      <c r="G989" s="3" t="str">
        <f ca="1">IFERROR(__xludf.DUMMYFUNCTION("""COMPUTED_VALUE"""),"Prodloužení existující microsite, bez úprav high season")</f>
        <v>Prodloužení existující microsite, bez úprav high season</v>
      </c>
      <c r="H989" s="3">
        <f ca="1">IFERROR(__xludf.DUMMYFUNCTION("""COMPUTED_VALUE"""),1)</f>
        <v>1</v>
      </c>
      <c r="I989" s="5">
        <f ca="1">IFERROR(__xludf.DUMMYFUNCTION("""COMPUTED_VALUE"""),1)</f>
        <v>1</v>
      </c>
      <c r="J989" s="5">
        <f ca="1">IFERROR(__xludf.DUMMYFUNCTION("""COMPUTED_VALUE"""),15000)</f>
        <v>15000</v>
      </c>
      <c r="K989" s="3"/>
      <c r="L989" s="3" t="str">
        <f ca="1">IFERROR(__xludf.DUMMYFUNCTION("""COMPUTED_VALUE"""),"Cost per instance")</f>
        <v>Cost per instance</v>
      </c>
      <c r="M989" s="3"/>
      <c r="N989" s="3"/>
      <c r="O989" s="3"/>
      <c r="P989" s="3"/>
      <c r="Q989" s="3"/>
      <c r="R989" s="3"/>
      <c r="S989" s="3" t="str">
        <f ca="1">IFERROR(__xludf.DUMMYFUNCTION("""COMPUTED_VALUE"""),"100")</f>
        <v>100</v>
      </c>
      <c r="T989" s="3"/>
      <c r="U989" s="3" t="str">
        <f ca="1">IFERROR(__xludf.DUMMYFUNCTION("""COMPUTED_VALUE"""),"microsite")</f>
        <v>microsite</v>
      </c>
      <c r="V989" s="3"/>
      <c r="W989" s="3"/>
      <c r="X989" s="3"/>
      <c r="Y989" s="3"/>
      <c r="Z989" s="3" t="str">
        <f ca="1">IFERROR(__xludf.DUMMYFUNCTION("""COMPUTED_VALUE"""),"podklady@cncenter.cz")</f>
        <v>podklady@cncenter.cz</v>
      </c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 t="str">
        <f ca="1">IFERROR(__xludf.DUMMYFUNCTION("""COMPUTED_VALUE"""),"cross-device")</f>
        <v>cross-device</v>
      </c>
      <c r="AO989" s="3"/>
      <c r="AP989" s="3"/>
      <c r="AQ989" s="3"/>
      <c r="AR989" s="3"/>
      <c r="AS989" s="3"/>
      <c r="AT989" s="3"/>
      <c r="AU989" s="3" t="str">
        <f ca="1">IFERROR(__xludf.DUMMYFUNCTION("""COMPUTED_VALUE"""),"Prodloužení existující microsite, bez úprav")</f>
        <v>Prodloužení existující microsite, bez úprav</v>
      </c>
    </row>
    <row r="990" spans="1:47" x14ac:dyDescent="0.3">
      <c r="A990" s="3">
        <f ca="1"/>
        <v>2346826</v>
      </c>
      <c r="B990" s="3" t="str">
        <f ca="1"/>
        <v>CZECH NEWS CENTER a. s.</v>
      </c>
      <c r="C990" s="3" t="str">
        <f ca="1">IFERROR(__xludf.DUMMYFUNCTION("""COMPUTED_VALUE"""),"SportRevue")</f>
        <v>SportRevue</v>
      </c>
      <c r="D990" s="4" t="str">
        <f ca="1">IFERROR(__xludf.DUMMYFUNCTION("""COMPUTED_VALUE"""),"https://sportrevue.cz")</f>
        <v>https://sportrevue.cz</v>
      </c>
      <c r="E990" s="3" t="str">
        <f ca="1">IFERROR(__xludf.DUMMYFUNCTION("""COMPUTED_VALUE"""),"celý web")</f>
        <v>celý web</v>
      </c>
      <c r="F990" s="4" t="str">
        <f ca="1">IFERROR(__xludf.DUMMYFUNCTION("""COMPUTED_VALUE"""),"https://sportrevue.cz")</f>
        <v>https://sportrevue.cz</v>
      </c>
      <c r="G990" s="3" t="str">
        <f ca="1">IFERROR(__xludf.DUMMYFUNCTION("""COMPUTED_VALUE"""),"Prodloužení existující microsite, bez úprav high season")</f>
        <v>Prodloužení existující microsite, bez úprav high season</v>
      </c>
      <c r="H990" s="3">
        <f ca="1">IFERROR(__xludf.DUMMYFUNCTION("""COMPUTED_VALUE"""),1)</f>
        <v>1</v>
      </c>
      <c r="I990" s="5">
        <f ca="1">IFERROR(__xludf.DUMMYFUNCTION("""COMPUTED_VALUE"""),1)</f>
        <v>1</v>
      </c>
      <c r="J990" s="5">
        <f ca="1">IFERROR(__xludf.DUMMYFUNCTION("""COMPUTED_VALUE"""),15000)</f>
        <v>15000</v>
      </c>
      <c r="K990" s="3"/>
      <c r="L990" s="3" t="str">
        <f ca="1">IFERROR(__xludf.DUMMYFUNCTION("""COMPUTED_VALUE"""),"Cost per instance")</f>
        <v>Cost per instance</v>
      </c>
      <c r="M990" s="3"/>
      <c r="N990" s="3"/>
      <c r="O990" s="3"/>
      <c r="P990" s="3"/>
      <c r="Q990" s="3"/>
      <c r="R990" s="3"/>
      <c r="S990" s="3" t="str">
        <f ca="1">IFERROR(__xludf.DUMMYFUNCTION("""COMPUTED_VALUE"""),"100")</f>
        <v>100</v>
      </c>
      <c r="T990" s="3"/>
      <c r="U990" s="3" t="str">
        <f ca="1">IFERROR(__xludf.DUMMYFUNCTION("""COMPUTED_VALUE"""),"microsite")</f>
        <v>microsite</v>
      </c>
      <c r="V990" s="3"/>
      <c r="W990" s="3"/>
      <c r="X990" s="3"/>
      <c r="Y990" s="3"/>
      <c r="Z990" s="3" t="str">
        <f ca="1">IFERROR(__xludf.DUMMYFUNCTION("""COMPUTED_VALUE"""),"podklady@cncenter.cz")</f>
        <v>podklady@cncenter.cz</v>
      </c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 t="str">
        <f ca="1">IFERROR(__xludf.DUMMYFUNCTION("""COMPUTED_VALUE"""),"cross-device")</f>
        <v>cross-device</v>
      </c>
      <c r="AO990" s="3"/>
      <c r="AP990" s="3"/>
      <c r="AQ990" s="3"/>
      <c r="AR990" s="3"/>
      <c r="AS990" s="3"/>
      <c r="AT990" s="3"/>
      <c r="AU990" s="3" t="str">
        <f ca="1">IFERROR(__xludf.DUMMYFUNCTION("""COMPUTED_VALUE"""),"Prodloužení existující microsite, bez úprav")</f>
        <v>Prodloužení existující microsite, bez úprav</v>
      </c>
    </row>
    <row r="991" spans="1:47" x14ac:dyDescent="0.3">
      <c r="A991" s="3">
        <f ca="1"/>
        <v>2346826</v>
      </c>
      <c r="B991" s="3" t="str">
        <f ca="1"/>
        <v>CZECH NEWS CENTER a. s.</v>
      </c>
      <c r="C991" s="3" t="str">
        <f ca="1">IFERROR(__xludf.DUMMYFUNCTION("""COMPUTED_VALUE"""),"SportRevue")</f>
        <v>SportRevue</v>
      </c>
      <c r="D991" s="4" t="str">
        <f ca="1">IFERROR(__xludf.DUMMYFUNCTION("""COMPUTED_VALUE"""),"https://sportrevue.cz")</f>
        <v>https://sportrevue.cz</v>
      </c>
      <c r="E991" s="3" t="str">
        <f ca="1">IFERROR(__xludf.DUMMYFUNCTION("""COMPUTED_VALUE"""),"celý web")</f>
        <v>celý web</v>
      </c>
      <c r="F991" s="4" t="str">
        <f ca="1">IFERROR(__xludf.DUMMYFUNCTION("""COMPUTED_VALUE"""),"https://sportrevue.cz")</f>
        <v>https://sportrevue.cz</v>
      </c>
      <c r="G991" s="3" t="str">
        <f ca="1">IFERROR(__xludf.DUMMYFUNCTION("""COMPUTED_VALUE"""),"Prodloužení existující microsite, bez úprav high season")</f>
        <v>Prodloužení existující microsite, bez úprav high season</v>
      </c>
      <c r="H991" s="3">
        <f ca="1">IFERROR(__xludf.DUMMYFUNCTION("""COMPUTED_VALUE"""),1)</f>
        <v>1</v>
      </c>
      <c r="I991" s="5">
        <f ca="1">IFERROR(__xludf.DUMMYFUNCTION("""COMPUTED_VALUE"""),1)</f>
        <v>1</v>
      </c>
      <c r="J991" s="5">
        <f ca="1">IFERROR(__xludf.DUMMYFUNCTION("""COMPUTED_VALUE"""),15000)</f>
        <v>15000</v>
      </c>
      <c r="K991" s="3"/>
      <c r="L991" s="3" t="str">
        <f ca="1">IFERROR(__xludf.DUMMYFUNCTION("""COMPUTED_VALUE"""),"Cost per instance")</f>
        <v>Cost per instance</v>
      </c>
      <c r="M991" s="3"/>
      <c r="N991" s="3"/>
      <c r="O991" s="3"/>
      <c r="P991" s="3"/>
      <c r="Q991" s="3"/>
      <c r="R991" s="3"/>
      <c r="S991" s="3" t="str">
        <f ca="1">IFERROR(__xludf.DUMMYFUNCTION("""COMPUTED_VALUE"""),"100")</f>
        <v>100</v>
      </c>
      <c r="T991" s="3"/>
      <c r="U991" s="3" t="str">
        <f ca="1">IFERROR(__xludf.DUMMYFUNCTION("""COMPUTED_VALUE"""),"microsite")</f>
        <v>microsite</v>
      </c>
      <c r="V991" s="3"/>
      <c r="W991" s="3"/>
      <c r="X991" s="3"/>
      <c r="Y991" s="3"/>
      <c r="Z991" s="3" t="str">
        <f ca="1">IFERROR(__xludf.DUMMYFUNCTION("""COMPUTED_VALUE"""),"podklady@cncenter.cz")</f>
        <v>podklady@cncenter.cz</v>
      </c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 t="str">
        <f ca="1">IFERROR(__xludf.DUMMYFUNCTION("""COMPUTED_VALUE"""),"cross-device")</f>
        <v>cross-device</v>
      </c>
      <c r="AO991" s="3"/>
      <c r="AP991" s="3"/>
      <c r="AQ991" s="3"/>
      <c r="AR991" s="3"/>
      <c r="AS991" s="3"/>
      <c r="AT991" s="3"/>
      <c r="AU991" s="3" t="str">
        <f ca="1">IFERROR(__xludf.DUMMYFUNCTION("""COMPUTED_VALUE"""),"Prodloužení existující microsite, bez úprav")</f>
        <v>Prodloužení existující microsite, bez úprav</v>
      </c>
    </row>
    <row r="992" spans="1:47" x14ac:dyDescent="0.3">
      <c r="A992" s="3">
        <f ca="1"/>
        <v>2346826</v>
      </c>
      <c r="B992" s="3" t="str">
        <f ca="1"/>
        <v>CZECH NEWS CENTER a. s.</v>
      </c>
      <c r="C992" s="3" t="str">
        <f ca="1">IFERROR(__xludf.DUMMYFUNCTION("""COMPUTED_VALUE"""),"Tiktokový profil FOMO")</f>
        <v>Tiktokový profil FOMO</v>
      </c>
      <c r="D992" s="4" t="str">
        <f ca="1">IFERROR(__xludf.DUMMYFUNCTION("""COMPUTED_VALUE"""),"www.tiktok.com")</f>
        <v>www.tiktok.com</v>
      </c>
      <c r="E992" s="3" t="str">
        <f ca="1">IFERROR(__xludf.DUMMYFUNCTION("""COMPUTED_VALUE"""),"TikTok")</f>
        <v>TikTok</v>
      </c>
      <c r="F992" s="4" t="str">
        <f ca="1">IFERROR(__xludf.DUMMYFUNCTION("""COMPUTED_VALUE"""),"www.tiktok.com")</f>
        <v>www.tiktok.com</v>
      </c>
      <c r="G992" s="3" t="str">
        <f ca="1">IFERROR(__xludf.DUMMYFUNCTION("""COMPUTED_VALUE"""),"tiktok post high season")</f>
        <v>tiktok post high season</v>
      </c>
      <c r="H992" s="3">
        <f ca="1">IFERROR(__xludf.DUMMYFUNCTION("""COMPUTED_VALUE"""),1)</f>
        <v>1</v>
      </c>
      <c r="I992" s="5">
        <f ca="1">IFERROR(__xludf.DUMMYFUNCTION("""COMPUTED_VALUE"""),1)</f>
        <v>1</v>
      </c>
      <c r="J992" s="5">
        <f ca="1">IFERROR(__xludf.DUMMYFUNCTION("""COMPUTED_VALUE"""),40000)</f>
        <v>40000</v>
      </c>
      <c r="K992" s="3"/>
      <c r="L992" s="3" t="str">
        <f ca="1">IFERROR(__xludf.DUMMYFUNCTION("""COMPUTED_VALUE"""),"Cost per instance")</f>
        <v>Cost per instance</v>
      </c>
      <c r="M992" s="3"/>
      <c r="N992" s="3"/>
      <c r="O992" s="3"/>
      <c r="P992" s="3"/>
      <c r="Q992" s="3"/>
      <c r="R992" s="3"/>
      <c r="S992" s="3" t="str">
        <f ca="1">IFERROR(__xludf.DUMMYFUNCTION("""COMPUTED_VALUE"""),"100")</f>
        <v>100</v>
      </c>
      <c r="T992" s="3"/>
      <c r="U992" s="3" t="str">
        <f ca="1">IFERROR(__xludf.DUMMYFUNCTION("""COMPUTED_VALUE"""),"SoMe tiktok")</f>
        <v>SoMe tiktok</v>
      </c>
      <c r="V992" s="3"/>
      <c r="W992" s="3"/>
      <c r="X992" s="3"/>
      <c r="Y992" s="3"/>
      <c r="Z992" s="3" t="str">
        <f ca="1">IFERROR(__xludf.DUMMYFUNCTION("""COMPUTED_VALUE"""),"podklady@cncenter.cz")</f>
        <v>podklady@cncenter.cz</v>
      </c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 t="str">
        <f ca="1">IFERROR(__xludf.DUMMYFUNCTION("""COMPUTED_VALUE"""),"cross-device")</f>
        <v>cross-device</v>
      </c>
      <c r="AO992" s="3"/>
      <c r="AP992" s="3"/>
      <c r="AQ992" s="3"/>
      <c r="AR992" s="3"/>
      <c r="AS992" s="3"/>
      <c r="AT992" s="3"/>
      <c r="AU992" s="3" t="str">
        <f ca="1">IFERROR(__xludf.DUMMYFUNCTION("""COMPUTED_VALUE"""),"tiktok post")</f>
        <v>tiktok post</v>
      </c>
    </row>
    <row r="993" spans="1:47" x14ac:dyDescent="0.3">
      <c r="A993" s="3">
        <f ca="1"/>
        <v>2346826</v>
      </c>
      <c r="B993" s="3" t="str">
        <f ca="1"/>
        <v>CZECH NEWS CENTER a. s.</v>
      </c>
      <c r="C993" s="3" t="str">
        <f ca="1">IFERROR(__xludf.DUMMYFUNCTION("""COMPUTED_VALUE"""),"VTM")</f>
        <v>VTM</v>
      </c>
      <c r="D993" s="4" t="str">
        <f ca="1">IFERROR(__xludf.DUMMYFUNCTION("""COMPUTED_VALUE"""),"https://vtm.zive.cz")</f>
        <v>https://vtm.zive.cz</v>
      </c>
      <c r="E993" s="3" t="str">
        <f ca="1">IFERROR(__xludf.DUMMYFUNCTION("""COMPUTED_VALUE"""),"celý web")</f>
        <v>celý web</v>
      </c>
      <c r="F993" s="4" t="str">
        <f ca="1">IFERROR(__xludf.DUMMYFUNCTION("""COMPUTED_VALUE"""),"https://vtm.zive.cz")</f>
        <v>https://vtm.zive.cz</v>
      </c>
      <c r="G993" s="3" t="str">
        <f ca="1">IFERROR(__xludf.DUMMYFUNCTION("""COMPUTED_VALUE"""),"billboard bottom high season")</f>
        <v>billboard bottom high season</v>
      </c>
      <c r="H993" s="3">
        <f ca="1">IFERROR(__xludf.DUMMYFUNCTION("""COMPUTED_VALUE"""),7)</f>
        <v>7</v>
      </c>
      <c r="I993" s="5">
        <f ca="1">IFERROR(__xludf.DUMMYFUNCTION("""COMPUTED_VALUE"""),1000)</f>
        <v>1000</v>
      </c>
      <c r="J993" s="5">
        <f ca="1">IFERROR(__xludf.DUMMYFUNCTION("""COMPUTED_VALUE"""),440)</f>
        <v>440</v>
      </c>
      <c r="K993" s="3"/>
      <c r="L993" s="3" t="str">
        <f ca="1">IFERROR(__xludf.DUMMYFUNCTION("""COMPUTED_VALUE"""),"Cost per period")</f>
        <v>Cost per period</v>
      </c>
      <c r="M993" s="3"/>
      <c r="N993" s="3"/>
      <c r="O993" s="3" t="str">
        <f ca="1">IFERROR(__xludf.DUMMYFUNCTION("""COMPUTED_VALUE"""),"970")</f>
        <v>970</v>
      </c>
      <c r="P993" s="3" t="str">
        <f ca="1">IFERROR(__xludf.DUMMYFUNCTION("""COMPUTED_VALUE"""),"250")</f>
        <v>250</v>
      </c>
      <c r="Q993" s="3" t="str">
        <f ca="1">IFERROR(__xludf.DUMMYFUNCTION("""COMPUTED_VALUE"""),"970x250")</f>
        <v>970x250</v>
      </c>
      <c r="R993" s="3"/>
      <c r="S993" s="3" t="str">
        <f ca="1">IFERROR(__xludf.DUMMYFUNCTION("""COMPUTED_VALUE"""),"100 (200 - HTML5)")</f>
        <v>100 (200 - HTML5)</v>
      </c>
      <c r="T993" s="3"/>
      <c r="U993" s="3" t="str">
        <f ca="1">IFERROR(__xludf.DUMMYFUNCTION("""COMPUTED_VALUE"""),"banner standard")</f>
        <v>banner standard</v>
      </c>
      <c r="V993" s="3"/>
      <c r="W993" s="4" t="str">
        <f ca="1">IFERROR(__xludf.DUMMYFUNCTION("""COMPUTED_VALUE"""),"https://reklama.cncenter.cz/Online/billboard-bottom")</f>
        <v>https://reklama.cncenter.cz/Online/billboard-bottom</v>
      </c>
      <c r="X993" s="3"/>
      <c r="Y993" s="3"/>
      <c r="Z993" s="3" t="str">
        <f ca="1">IFERROR(__xludf.DUMMYFUNCTION("""COMPUTED_VALUE"""),"podklady@cncenter.cz")</f>
        <v>podklady@cncenter.cz</v>
      </c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 t="str">
        <f ca="1">IFERROR(__xludf.DUMMYFUNCTION("""COMPUTED_VALUE"""),"desktop")</f>
        <v>desktop</v>
      </c>
      <c r="AO993" s="3"/>
      <c r="AP993" s="3"/>
      <c r="AQ993" s="3"/>
      <c r="AR993" s="3"/>
      <c r="AS993" s="3"/>
      <c r="AT993" s="3"/>
      <c r="AU993" s="3" t="str">
        <f ca="1">IFERROR(__xludf.DUMMYFUNCTION("""COMPUTED_VALUE"""),"billboard bottom")</f>
        <v>billboard bottom</v>
      </c>
    </row>
    <row r="994" spans="1:47" x14ac:dyDescent="0.3">
      <c r="A994" s="3">
        <f ca="1"/>
        <v>2346826</v>
      </c>
      <c r="B994" s="3" t="str">
        <f ca="1"/>
        <v>CZECH NEWS CENTER a. s.</v>
      </c>
      <c r="C994" s="3" t="str">
        <f ca="1">IFERROR(__xludf.DUMMYFUNCTION("""COMPUTED_VALUE"""),"VTM")</f>
        <v>VTM</v>
      </c>
      <c r="D994" s="4" t="str">
        <f ca="1">IFERROR(__xludf.DUMMYFUNCTION("""COMPUTED_VALUE"""),"https://vtm.zive.cz")</f>
        <v>https://vtm.zive.cz</v>
      </c>
      <c r="E994" s="3" t="str">
        <f ca="1">IFERROR(__xludf.DUMMYFUNCTION("""COMPUTED_VALUE"""),"celý web")</f>
        <v>celý web</v>
      </c>
      <c r="F994" s="4" t="str">
        <f ca="1">IFERROR(__xludf.DUMMYFUNCTION("""COMPUTED_VALUE"""),"https://vtm.zive.cz")</f>
        <v>https://vtm.zive.cz</v>
      </c>
      <c r="G994" s="3" t="str">
        <f ca="1">IFERROR(__xludf.DUMMYFUNCTION("""COMPUTED_VALUE"""),"branding cross-device high season")</f>
        <v>branding cross-device high season</v>
      </c>
      <c r="H994" s="3">
        <f ca="1">IFERROR(__xludf.DUMMYFUNCTION("""COMPUTED_VALUE"""),7)</f>
        <v>7</v>
      </c>
      <c r="I994" s="5">
        <f ca="1">IFERROR(__xludf.DUMMYFUNCTION("""COMPUTED_VALUE"""),1000)</f>
        <v>1000</v>
      </c>
      <c r="J994" s="5">
        <f ca="1">IFERROR(__xludf.DUMMYFUNCTION("""COMPUTED_VALUE"""),540)</f>
        <v>540</v>
      </c>
      <c r="K994" s="3"/>
      <c r="L994" s="3" t="str">
        <f ca="1">IFERROR(__xludf.DUMMYFUNCTION("""COMPUTED_VALUE"""),"Cost per period")</f>
        <v>Cost per period</v>
      </c>
      <c r="M994" s="3"/>
      <c r="N994" s="3"/>
      <c r="O994" s="3" t="str">
        <f ca="1">IFERROR(__xludf.DUMMYFUNCTION("""COMPUTED_VALUE"""),"2000")</f>
        <v>2000</v>
      </c>
      <c r="P994" s="3" t="str">
        <f ca="1">IFERROR(__xludf.DUMMYFUNCTION("""COMPUTED_VALUE"""),"1400")</f>
        <v>1400</v>
      </c>
      <c r="Q994" s="3" t="str">
        <f ca="1">IFERROR(__xludf.DUMMYFUNCTION("""COMPUTED_VALUE"""),"2000x1400 + 600x1080")</f>
        <v>2000x1400 + 600x1080</v>
      </c>
      <c r="R994" s="3"/>
      <c r="S994" s="3" t="str">
        <f ca="1">IFERROR(__xludf.DUMMYFUNCTION("""COMPUTED_VALUE"""),"500 (600 - HTLM5)")</f>
        <v>500 (600 - HTLM5)</v>
      </c>
      <c r="T994" s="3"/>
      <c r="U994" s="3" t="str">
        <f ca="1">IFERROR(__xludf.DUMMYFUNCTION("""COMPUTED_VALUE"""),"banner standard")</f>
        <v>banner standard</v>
      </c>
      <c r="V994" s="3"/>
      <c r="W994" s="4" t="str">
        <f ca="1">IFERROR(__xludf.DUMMYFUNCTION("""COMPUTED_VALUE"""),"https://reklama.cncenter.cz/Online/branding-cross-device")</f>
        <v>https://reklama.cncenter.cz/Online/branding-cross-device</v>
      </c>
      <c r="X994" s="3"/>
      <c r="Y994" s="3"/>
      <c r="Z994" s="3" t="str">
        <f ca="1">IFERROR(__xludf.DUMMYFUNCTION("""COMPUTED_VALUE"""),"podklady@cncenter.cz")</f>
        <v>podklady@cncenter.cz</v>
      </c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 t="str">
        <f ca="1">IFERROR(__xludf.DUMMYFUNCTION("""COMPUTED_VALUE"""),"cross-device")</f>
        <v>cross-device</v>
      </c>
      <c r="AO994" s="3"/>
      <c r="AP994" s="3"/>
      <c r="AQ994" s="3"/>
      <c r="AR994" s="3"/>
      <c r="AS994" s="3"/>
      <c r="AT994" s="3"/>
      <c r="AU994" s="3" t="str">
        <f ca="1">IFERROR(__xludf.DUMMYFUNCTION("""COMPUTED_VALUE"""),"branding cross-device")</f>
        <v>branding cross-device</v>
      </c>
    </row>
    <row r="995" spans="1:47" x14ac:dyDescent="0.3">
      <c r="A995" s="3">
        <f ca="1"/>
        <v>2346826</v>
      </c>
      <c r="B995" s="3" t="str">
        <f ca="1"/>
        <v>CZECH NEWS CENTER a. s.</v>
      </c>
      <c r="C995" s="3" t="str">
        <f ca="1">IFERROR(__xludf.DUMMYFUNCTION("""COMPUTED_VALUE"""),"VTM")</f>
        <v>VTM</v>
      </c>
      <c r="D995" s="4" t="str">
        <f ca="1">IFERROR(__xludf.DUMMYFUNCTION("""COMPUTED_VALUE"""),"https://vtm.zive.cz")</f>
        <v>https://vtm.zive.cz</v>
      </c>
      <c r="E995" s="3" t="str">
        <f ca="1">IFERROR(__xludf.DUMMYFUNCTION("""COMPUTED_VALUE"""),"celý web")</f>
        <v>celý web</v>
      </c>
      <c r="F995" s="4" t="str">
        <f ca="1">IFERROR(__xludf.DUMMYFUNCTION("""COMPUTED_VALUE"""),"https://vtm.zive.cz")</f>
        <v>https://vtm.zive.cz</v>
      </c>
      <c r="G995" s="3" t="str">
        <f ca="1">IFERROR(__xludf.DUMMYFUNCTION("""COMPUTED_VALUE"""),"branding high season")</f>
        <v>branding high season</v>
      </c>
      <c r="H995" s="3">
        <f ca="1">IFERROR(__xludf.DUMMYFUNCTION("""COMPUTED_VALUE"""),7)</f>
        <v>7</v>
      </c>
      <c r="I995" s="5">
        <f ca="1">IFERROR(__xludf.DUMMYFUNCTION("""COMPUTED_VALUE"""),1000)</f>
        <v>1000</v>
      </c>
      <c r="J995" s="5">
        <f ca="1">IFERROR(__xludf.DUMMYFUNCTION("""COMPUTED_VALUE"""),890)</f>
        <v>890</v>
      </c>
      <c r="K995" s="3"/>
      <c r="L995" s="3" t="str">
        <f ca="1">IFERROR(__xludf.DUMMYFUNCTION("""COMPUTED_VALUE"""),"Cost per period")</f>
        <v>Cost per period</v>
      </c>
      <c r="M995" s="3"/>
      <c r="N995" s="3"/>
      <c r="O995" s="3" t="str">
        <f ca="1">IFERROR(__xludf.DUMMYFUNCTION("""COMPUTED_VALUE"""),"2000")</f>
        <v>2000</v>
      </c>
      <c r="P995" s="3" t="str">
        <f ca="1">IFERROR(__xludf.DUMMYFUNCTION("""COMPUTED_VALUE"""),"1400")</f>
        <v>1400</v>
      </c>
      <c r="Q995" s="3" t="str">
        <f ca="1">IFERROR(__xludf.DUMMYFUNCTION("""COMPUTED_VALUE"""),"2000x1400")</f>
        <v>2000x1400</v>
      </c>
      <c r="R995" s="3"/>
      <c r="S995" s="3" t="str">
        <f ca="1">IFERROR(__xludf.DUMMYFUNCTION("""COMPUTED_VALUE"""),"500 + 200 (600+200 HTML5)")</f>
        <v>500 + 200 (600+200 HTML5)</v>
      </c>
      <c r="T995" s="3"/>
      <c r="U995" s="3" t="str">
        <f ca="1">IFERROR(__xludf.DUMMYFUNCTION("""COMPUTED_VALUE"""),"banner standard")</f>
        <v>banner standard</v>
      </c>
      <c r="V995" s="3"/>
      <c r="W995" s="4" t="str">
        <f ca="1">IFERROR(__xludf.DUMMYFUNCTION("""COMPUTED_VALUE"""),"https://reklama.cncenter.cz/Online/branding")</f>
        <v>https://reklama.cncenter.cz/Online/branding</v>
      </c>
      <c r="X995" s="3"/>
      <c r="Y995" s="3"/>
      <c r="Z995" s="3" t="str">
        <f ca="1">IFERROR(__xludf.DUMMYFUNCTION("""COMPUTED_VALUE"""),"podklady@cncenter.cz")</f>
        <v>podklady@cncenter.cz</v>
      </c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 t="str">
        <f ca="1">IFERROR(__xludf.DUMMYFUNCTION("""COMPUTED_VALUE"""),"desktop")</f>
        <v>desktop</v>
      </c>
      <c r="AO995" s="3"/>
      <c r="AP995" s="3"/>
      <c r="AQ995" s="3"/>
      <c r="AR995" s="3"/>
      <c r="AS995" s="3"/>
      <c r="AT995" s="3"/>
      <c r="AU995" s="3" t="str">
        <f ca="1">IFERROR(__xludf.DUMMYFUNCTION("""COMPUTED_VALUE"""),"branding")</f>
        <v>branding</v>
      </c>
    </row>
    <row r="996" spans="1:47" x14ac:dyDescent="0.3">
      <c r="A996" s="3">
        <f ca="1"/>
        <v>2346826</v>
      </c>
      <c r="B996" s="3" t="str">
        <f ca="1"/>
        <v>CZECH NEWS CENTER a. s.</v>
      </c>
      <c r="C996" s="3" t="str">
        <f ca="1">IFERROR(__xludf.DUMMYFUNCTION("""COMPUTED_VALUE"""),"VTM")</f>
        <v>VTM</v>
      </c>
      <c r="D996" s="4" t="str">
        <f ca="1">IFERROR(__xludf.DUMMYFUNCTION("""COMPUTED_VALUE"""),"https://vtm.zive.cz")</f>
        <v>https://vtm.zive.cz</v>
      </c>
      <c r="E996" s="3" t="str">
        <f ca="1">IFERROR(__xludf.DUMMYFUNCTION("""COMPUTED_VALUE"""),"celý web")</f>
        <v>celý web</v>
      </c>
      <c r="F996" s="4" t="str">
        <f ca="1">IFERROR(__xludf.DUMMYFUNCTION("""COMPUTED_VALUE"""),"https://vtm.zive.cz")</f>
        <v>https://vtm.zive.cz</v>
      </c>
      <c r="G996" s="3" t="str">
        <f ca="1">IFERROR(__xludf.DUMMYFUNCTION("""COMPUTED_VALUE"""),"cílený billboard bottom high season")</f>
        <v>cílený billboard bottom high season</v>
      </c>
      <c r="H996" s="3">
        <f ca="1">IFERROR(__xludf.DUMMYFUNCTION("""COMPUTED_VALUE"""),7)</f>
        <v>7</v>
      </c>
      <c r="I996" s="5">
        <f ca="1">IFERROR(__xludf.DUMMYFUNCTION("""COMPUTED_VALUE"""),1000)</f>
        <v>1000</v>
      </c>
      <c r="J996" s="5">
        <f ca="1">IFERROR(__xludf.DUMMYFUNCTION("""COMPUTED_VALUE"""),528)</f>
        <v>528</v>
      </c>
      <c r="K996" s="3"/>
      <c r="L996" s="3" t="str">
        <f ca="1">IFERROR(__xludf.DUMMYFUNCTION("""COMPUTED_VALUE"""),"Cost per period")</f>
        <v>Cost per period</v>
      </c>
      <c r="M996" s="3"/>
      <c r="N996" s="3"/>
      <c r="O996" s="3" t="str">
        <f ca="1">IFERROR(__xludf.DUMMYFUNCTION("""COMPUTED_VALUE"""),"970")</f>
        <v>970</v>
      </c>
      <c r="P996" s="3" t="str">
        <f ca="1">IFERROR(__xludf.DUMMYFUNCTION("""COMPUTED_VALUE"""),"250")</f>
        <v>250</v>
      </c>
      <c r="Q996" s="3" t="str">
        <f ca="1">IFERROR(__xludf.DUMMYFUNCTION("""COMPUTED_VALUE"""),"970x250")</f>
        <v>970x250</v>
      </c>
      <c r="R996" s="3"/>
      <c r="S996" s="3" t="str">
        <f ca="1">IFERROR(__xludf.DUMMYFUNCTION("""COMPUTED_VALUE"""),"100 (200 - HTML5)")</f>
        <v>100 (200 - HTML5)</v>
      </c>
      <c r="T996" s="3"/>
      <c r="U996" s="3" t="str">
        <f ca="1">IFERROR(__xludf.DUMMYFUNCTION("""COMPUTED_VALUE"""),"banner standard")</f>
        <v>banner standard</v>
      </c>
      <c r="V996" s="3"/>
      <c r="W996" s="4" t="str">
        <f ca="1">IFERROR(__xludf.DUMMYFUNCTION("""COMPUTED_VALUE"""),"https://reklama.cncenter.cz/Online/billboard-bottom")</f>
        <v>https://reklama.cncenter.cz/Online/billboard-bottom</v>
      </c>
      <c r="X996" s="3"/>
      <c r="Y996" s="3"/>
      <c r="Z996" s="3" t="str">
        <f ca="1">IFERROR(__xludf.DUMMYFUNCTION("""COMPUTED_VALUE"""),"podklady@cncenter.cz")</f>
        <v>podklady@cncenter.cz</v>
      </c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 t="str">
        <f ca="1">IFERROR(__xludf.DUMMYFUNCTION("""COMPUTED_VALUE"""),"desktop")</f>
        <v>desktop</v>
      </c>
      <c r="AO996" s="3"/>
      <c r="AP996" s="3"/>
      <c r="AQ996" s="3"/>
      <c r="AR996" s="3"/>
      <c r="AS996" s="3"/>
      <c r="AT996" s="3"/>
      <c r="AU996" s="3" t="str">
        <f ca="1">IFERROR(__xludf.DUMMYFUNCTION("""COMPUTED_VALUE"""),"cílený billboard bottom")</f>
        <v>cílený billboard bottom</v>
      </c>
    </row>
    <row r="997" spans="1:47" x14ac:dyDescent="0.3">
      <c r="A997" s="3">
        <f ca="1"/>
        <v>2346826</v>
      </c>
      <c r="B997" s="3" t="str">
        <f ca="1"/>
        <v>CZECH NEWS CENTER a. s.</v>
      </c>
      <c r="C997" s="3" t="str">
        <f ca="1">IFERROR(__xludf.DUMMYFUNCTION("""COMPUTED_VALUE"""),"VTM")</f>
        <v>VTM</v>
      </c>
      <c r="D997" s="4" t="str">
        <f ca="1">IFERROR(__xludf.DUMMYFUNCTION("""COMPUTED_VALUE"""),"https://vtm.zive.cz")</f>
        <v>https://vtm.zive.cz</v>
      </c>
      <c r="E997" s="3" t="str">
        <f ca="1">IFERROR(__xludf.DUMMYFUNCTION("""COMPUTED_VALUE"""),"celý web")</f>
        <v>celý web</v>
      </c>
      <c r="F997" s="4" t="str">
        <f ca="1">IFERROR(__xludf.DUMMYFUNCTION("""COMPUTED_VALUE"""),"https://vtm.zive.cz")</f>
        <v>https://vtm.zive.cz</v>
      </c>
      <c r="G997" s="3" t="str">
        <f ca="1">IFERROR(__xludf.DUMMYFUNCTION("""COMPUTED_VALUE"""),"cílený branding cross-device high season")</f>
        <v>cílený branding cross-device high season</v>
      </c>
      <c r="H997" s="3">
        <f ca="1">IFERROR(__xludf.DUMMYFUNCTION("""COMPUTED_VALUE"""),7)</f>
        <v>7</v>
      </c>
      <c r="I997" s="5">
        <f ca="1">IFERROR(__xludf.DUMMYFUNCTION("""COMPUTED_VALUE"""),1000)</f>
        <v>1000</v>
      </c>
      <c r="J997" s="5">
        <f ca="1">IFERROR(__xludf.DUMMYFUNCTION("""COMPUTED_VALUE"""),648)</f>
        <v>648</v>
      </c>
      <c r="K997" s="3"/>
      <c r="L997" s="3" t="str">
        <f ca="1">IFERROR(__xludf.DUMMYFUNCTION("""COMPUTED_VALUE"""),"Cost per period")</f>
        <v>Cost per period</v>
      </c>
      <c r="M997" s="3"/>
      <c r="N997" s="3"/>
      <c r="O997" s="3" t="str">
        <f ca="1">IFERROR(__xludf.DUMMYFUNCTION("""COMPUTED_VALUE"""),"2000")</f>
        <v>2000</v>
      </c>
      <c r="P997" s="3" t="str">
        <f ca="1">IFERROR(__xludf.DUMMYFUNCTION("""COMPUTED_VALUE"""),"1400")</f>
        <v>1400</v>
      </c>
      <c r="Q997" s="3" t="str">
        <f ca="1">IFERROR(__xludf.DUMMYFUNCTION("""COMPUTED_VALUE"""),"2000x1400 + 600x1080")</f>
        <v>2000x1400 + 600x1080</v>
      </c>
      <c r="R997" s="3"/>
      <c r="S997" s="3" t="str">
        <f ca="1">IFERROR(__xludf.DUMMYFUNCTION("""COMPUTED_VALUE"""),"500 (600 - HTLM5)")</f>
        <v>500 (600 - HTLM5)</v>
      </c>
      <c r="T997" s="3"/>
      <c r="U997" s="3" t="str">
        <f ca="1">IFERROR(__xludf.DUMMYFUNCTION("""COMPUTED_VALUE"""),"banner standard")</f>
        <v>banner standard</v>
      </c>
      <c r="V997" s="3"/>
      <c r="W997" s="4" t="str">
        <f ca="1">IFERROR(__xludf.DUMMYFUNCTION("""COMPUTED_VALUE"""),"https://reklama.cncenter.cz/Online/branding-cross-device")</f>
        <v>https://reklama.cncenter.cz/Online/branding-cross-device</v>
      </c>
      <c r="X997" s="3"/>
      <c r="Y997" s="3"/>
      <c r="Z997" s="3" t="str">
        <f ca="1">IFERROR(__xludf.DUMMYFUNCTION("""COMPUTED_VALUE"""),"podklady@cncenter.cz")</f>
        <v>podklady@cncenter.cz</v>
      </c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 t="str">
        <f ca="1">IFERROR(__xludf.DUMMYFUNCTION("""COMPUTED_VALUE"""),"cross-device")</f>
        <v>cross-device</v>
      </c>
      <c r="AO997" s="3"/>
      <c r="AP997" s="3"/>
      <c r="AQ997" s="3"/>
      <c r="AR997" s="3"/>
      <c r="AS997" s="3"/>
      <c r="AT997" s="3"/>
      <c r="AU997" s="3" t="str">
        <f ca="1">IFERROR(__xludf.DUMMYFUNCTION("""COMPUTED_VALUE"""),"cílený branding cross-device")</f>
        <v>cílený branding cross-device</v>
      </c>
    </row>
    <row r="998" spans="1:47" x14ac:dyDescent="0.3">
      <c r="A998" s="3">
        <f ca="1"/>
        <v>2346826</v>
      </c>
      <c r="B998" s="3" t="str">
        <f ca="1"/>
        <v>CZECH NEWS CENTER a. s.</v>
      </c>
      <c r="C998" s="3" t="str">
        <f ca="1">IFERROR(__xludf.DUMMYFUNCTION("""COMPUTED_VALUE"""),"VTM")</f>
        <v>VTM</v>
      </c>
      <c r="D998" s="4" t="str">
        <f ca="1">IFERROR(__xludf.DUMMYFUNCTION("""COMPUTED_VALUE"""),"https://vtm.zive.cz")</f>
        <v>https://vtm.zive.cz</v>
      </c>
      <c r="E998" s="3" t="str">
        <f ca="1">IFERROR(__xludf.DUMMYFUNCTION("""COMPUTED_VALUE"""),"celý web")</f>
        <v>celý web</v>
      </c>
      <c r="F998" s="4" t="str">
        <f ca="1">IFERROR(__xludf.DUMMYFUNCTION("""COMPUTED_VALUE"""),"https://vtm.zive.cz")</f>
        <v>https://vtm.zive.cz</v>
      </c>
      <c r="G998" s="3" t="str">
        <f ca="1">IFERROR(__xludf.DUMMYFUNCTION("""COMPUTED_VALUE"""),"cílený branding high season")</f>
        <v>cílený branding high season</v>
      </c>
      <c r="H998" s="3">
        <f ca="1">IFERROR(__xludf.DUMMYFUNCTION("""COMPUTED_VALUE"""),7)</f>
        <v>7</v>
      </c>
      <c r="I998" s="5">
        <f ca="1">IFERROR(__xludf.DUMMYFUNCTION("""COMPUTED_VALUE"""),1000)</f>
        <v>1000</v>
      </c>
      <c r="J998" s="5">
        <f ca="1">IFERROR(__xludf.DUMMYFUNCTION("""COMPUTED_VALUE"""),1068)</f>
        <v>1068</v>
      </c>
      <c r="K998" s="3"/>
      <c r="L998" s="3" t="str">
        <f ca="1">IFERROR(__xludf.DUMMYFUNCTION("""COMPUTED_VALUE"""),"Cost per period")</f>
        <v>Cost per period</v>
      </c>
      <c r="M998" s="3"/>
      <c r="N998" s="3"/>
      <c r="O998" s="3" t="str">
        <f ca="1">IFERROR(__xludf.DUMMYFUNCTION("""COMPUTED_VALUE"""),"2000")</f>
        <v>2000</v>
      </c>
      <c r="P998" s="3" t="str">
        <f ca="1">IFERROR(__xludf.DUMMYFUNCTION("""COMPUTED_VALUE"""),"1400")</f>
        <v>1400</v>
      </c>
      <c r="Q998" s="3" t="str">
        <f ca="1">IFERROR(__xludf.DUMMYFUNCTION("""COMPUTED_VALUE"""),"2000x1400")</f>
        <v>2000x1400</v>
      </c>
      <c r="R998" s="3"/>
      <c r="S998" s="3" t="str">
        <f ca="1">IFERROR(__xludf.DUMMYFUNCTION("""COMPUTED_VALUE"""),"500 + 200 (600+200 HTML5)")</f>
        <v>500 + 200 (600+200 HTML5)</v>
      </c>
      <c r="T998" s="3"/>
      <c r="U998" s="3" t="str">
        <f ca="1">IFERROR(__xludf.DUMMYFUNCTION("""COMPUTED_VALUE"""),"banner standard")</f>
        <v>banner standard</v>
      </c>
      <c r="V998" s="3"/>
      <c r="W998" s="4" t="str">
        <f ca="1">IFERROR(__xludf.DUMMYFUNCTION("""COMPUTED_VALUE"""),"https://reklama.cncenter.cz/Online/branding")</f>
        <v>https://reklama.cncenter.cz/Online/branding</v>
      </c>
      <c r="X998" s="3"/>
      <c r="Y998" s="3"/>
      <c r="Z998" s="3" t="str">
        <f ca="1">IFERROR(__xludf.DUMMYFUNCTION("""COMPUTED_VALUE"""),"podklady@cncenter.cz")</f>
        <v>podklady@cncenter.cz</v>
      </c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 t="str">
        <f ca="1">IFERROR(__xludf.DUMMYFUNCTION("""COMPUTED_VALUE"""),"desktop")</f>
        <v>desktop</v>
      </c>
      <c r="AO998" s="3"/>
      <c r="AP998" s="3"/>
      <c r="AQ998" s="3"/>
      <c r="AR998" s="3"/>
      <c r="AS998" s="3"/>
      <c r="AT998" s="3"/>
      <c r="AU998" s="3" t="str">
        <f ca="1">IFERROR(__xludf.DUMMYFUNCTION("""COMPUTED_VALUE"""),"cílený branding")</f>
        <v>cílený branding</v>
      </c>
    </row>
    <row r="999" spans="1:47" x14ac:dyDescent="0.3">
      <c r="A999" s="3">
        <f ca="1"/>
        <v>2346826</v>
      </c>
      <c r="B999" s="3" t="str">
        <f ca="1"/>
        <v>CZECH NEWS CENTER a. s.</v>
      </c>
      <c r="C999" s="3" t="str">
        <f ca="1">IFERROR(__xludf.DUMMYFUNCTION("""COMPUTED_VALUE"""),"VTM")</f>
        <v>VTM</v>
      </c>
      <c r="D999" s="4" t="str">
        <f ca="1">IFERROR(__xludf.DUMMYFUNCTION("""COMPUTED_VALUE"""),"https://vtm.zive.cz")</f>
        <v>https://vtm.zive.cz</v>
      </c>
      <c r="E999" s="3" t="str">
        <f ca="1">IFERROR(__xludf.DUMMYFUNCTION("""COMPUTED_VALUE"""),"celý web")</f>
        <v>celý web</v>
      </c>
      <c r="F999" s="4" t="str">
        <f ca="1">IFERROR(__xludf.DUMMYFUNCTION("""COMPUTED_VALUE"""),"https://vtm.zive.cz")</f>
        <v>https://vtm.zive.cz</v>
      </c>
      <c r="G999" s="3" t="str">
        <f ca="1">IFERROR(__xludf.DUMMYFUNCTION("""COMPUTED_VALUE"""),"cílený double skyscraper high season")</f>
        <v>cílený double skyscraper high season</v>
      </c>
      <c r="H999" s="3">
        <f ca="1">IFERROR(__xludf.DUMMYFUNCTION("""COMPUTED_VALUE"""),7)</f>
        <v>7</v>
      </c>
      <c r="I999" s="5">
        <f ca="1">IFERROR(__xludf.DUMMYFUNCTION("""COMPUTED_VALUE"""),1000)</f>
        <v>1000</v>
      </c>
      <c r="J999" s="5">
        <f ca="1">IFERROR(__xludf.DUMMYFUNCTION("""COMPUTED_VALUE"""),420)</f>
        <v>420</v>
      </c>
      <c r="K999" s="3"/>
      <c r="L999" s="3" t="str">
        <f ca="1">IFERROR(__xludf.DUMMYFUNCTION("""COMPUTED_VALUE"""),"Cost per period")</f>
        <v>Cost per period</v>
      </c>
      <c r="M999" s="3"/>
      <c r="N999" s="3"/>
      <c r="O999" s="3" t="str">
        <f ca="1">IFERROR(__xludf.DUMMYFUNCTION("""COMPUTED_VALUE"""),"300")</f>
        <v>300</v>
      </c>
      <c r="P999" s="3" t="str">
        <f ca="1">IFERROR(__xludf.DUMMYFUNCTION("""COMPUTED_VALUE"""),"600")</f>
        <v>600</v>
      </c>
      <c r="Q999" s="3" t="str">
        <f ca="1">IFERROR(__xludf.DUMMYFUNCTION("""COMPUTED_VALUE"""),"300x600")</f>
        <v>300x600</v>
      </c>
      <c r="R999" s="3"/>
      <c r="S999" s="3" t="str">
        <f ca="1">IFERROR(__xludf.DUMMYFUNCTION("""COMPUTED_VALUE"""),"100 (200 - HTML5)")</f>
        <v>100 (200 - HTML5)</v>
      </c>
      <c r="T999" s="3"/>
      <c r="U999" s="3" t="str">
        <f ca="1">IFERROR(__xludf.DUMMYFUNCTION("""COMPUTED_VALUE"""),"banner standard")</f>
        <v>banner standard</v>
      </c>
      <c r="V999" s="3"/>
      <c r="W999" s="4" t="str">
        <f ca="1">IFERROR(__xludf.DUMMYFUNCTION("""COMPUTED_VALUE"""),"https://reklama.cncenter.cz/Online/double-skyscraper")</f>
        <v>https://reklama.cncenter.cz/Online/double-skyscraper</v>
      </c>
      <c r="X999" s="3"/>
      <c r="Y999" s="3"/>
      <c r="Z999" s="3" t="str">
        <f ca="1">IFERROR(__xludf.DUMMYFUNCTION("""COMPUTED_VALUE"""),"podklady@cncenter.cz")</f>
        <v>podklady@cncenter.cz</v>
      </c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 t="str">
        <f ca="1">IFERROR(__xludf.DUMMYFUNCTION("""COMPUTED_VALUE"""),"desktop")</f>
        <v>desktop</v>
      </c>
      <c r="AO999" s="3"/>
      <c r="AP999" s="3"/>
      <c r="AQ999" s="3"/>
      <c r="AR999" s="3"/>
      <c r="AS999" s="3"/>
      <c r="AT999" s="3"/>
      <c r="AU999" s="3" t="str">
        <f ca="1">IFERROR(__xludf.DUMMYFUNCTION("""COMPUTED_VALUE"""),"cílený double skyscraper")</f>
        <v>cílený double skyscraper</v>
      </c>
    </row>
    <row r="1000" spans="1:47" x14ac:dyDescent="0.3">
      <c r="A1000" s="3">
        <f ca="1"/>
        <v>2346826</v>
      </c>
      <c r="B1000" s="3" t="str">
        <f ca="1"/>
        <v>CZECH NEWS CENTER a. s.</v>
      </c>
      <c r="C1000" s="3" t="str">
        <f ca="1">IFERROR(__xludf.DUMMYFUNCTION("""COMPUTED_VALUE"""),"VTM")</f>
        <v>VTM</v>
      </c>
      <c r="D1000" s="4" t="str">
        <f ca="1">IFERROR(__xludf.DUMMYFUNCTION("""COMPUTED_VALUE"""),"https://vtm.zive.cz")</f>
        <v>https://vtm.zive.cz</v>
      </c>
      <c r="E1000" s="3" t="str">
        <f ca="1">IFERROR(__xludf.DUMMYFUNCTION("""COMPUTED_VALUE"""),"celý web")</f>
        <v>celý web</v>
      </c>
      <c r="F1000" s="4" t="str">
        <f ca="1">IFERROR(__xludf.DUMMYFUNCTION("""COMPUTED_VALUE"""),"https://vtm.zive.cz")</f>
        <v>https://vtm.zive.cz</v>
      </c>
      <c r="G1000" s="3" t="str">
        <f ca="1">IFERROR(__xludf.DUMMYFUNCTION("""COMPUTED_VALUE"""),"cílený mobilní interscroller high season")</f>
        <v>cílený mobilní interscroller high season</v>
      </c>
      <c r="H1000" s="3">
        <f ca="1">IFERROR(__xludf.DUMMYFUNCTION("""COMPUTED_VALUE"""),7)</f>
        <v>7</v>
      </c>
      <c r="I1000" s="5">
        <f ca="1">IFERROR(__xludf.DUMMYFUNCTION("""COMPUTED_VALUE"""),1000)</f>
        <v>1000</v>
      </c>
      <c r="J1000" s="5">
        <f ca="1">IFERROR(__xludf.DUMMYFUNCTION("""COMPUTED_VALUE"""),540)</f>
        <v>540</v>
      </c>
      <c r="K1000" s="3"/>
      <c r="L1000" s="3" t="str">
        <f ca="1">IFERROR(__xludf.DUMMYFUNCTION("""COMPUTED_VALUE"""),"Cost per period")</f>
        <v>Cost per period</v>
      </c>
      <c r="M1000" s="3"/>
      <c r="N1000" s="3"/>
      <c r="O1000" s="3" t="str">
        <f ca="1">IFERROR(__xludf.DUMMYFUNCTION("""COMPUTED_VALUE"""),"600")</f>
        <v>600</v>
      </c>
      <c r="P1000" s="3" t="str">
        <f ca="1">IFERROR(__xludf.DUMMYFUNCTION("""COMPUTED_VALUE"""),"1080")</f>
        <v>1080</v>
      </c>
      <c r="Q1000" s="3" t="str">
        <f ca="1">IFERROR(__xludf.DUMMYFUNCTION("""COMPUTED_VALUE"""),"600x1080")</f>
        <v>600x1080</v>
      </c>
      <c r="R1000" s="3"/>
      <c r="S1000" s="3" t="str">
        <f ca="1">IFERROR(__xludf.DUMMYFUNCTION("""COMPUTED_VALUE"""),"200")</f>
        <v>200</v>
      </c>
      <c r="T1000" s="3"/>
      <c r="U1000" s="3" t="str">
        <f ca="1">IFERROR(__xludf.DUMMYFUNCTION("""COMPUTED_VALUE"""),"banner standard")</f>
        <v>banner standard</v>
      </c>
      <c r="V1000" s="3"/>
      <c r="W1000" s="4" t="str">
        <f ca="1">IFERROR(__xludf.DUMMYFUNCTION("""COMPUTED_VALUE"""),"https://reklama.cncenter.cz/Online/mobilni-interscroller")</f>
        <v>https://reklama.cncenter.cz/Online/mobilni-interscroller</v>
      </c>
      <c r="X1000" s="3"/>
      <c r="Y1000" s="3"/>
      <c r="Z1000" s="3" t="str">
        <f ca="1">IFERROR(__xludf.DUMMYFUNCTION("""COMPUTED_VALUE"""),"podklady@cncenter.cz")</f>
        <v>podklady@cncenter.cz</v>
      </c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 t="str">
        <f ca="1">IFERROR(__xludf.DUMMYFUNCTION("""COMPUTED_VALUE"""),"mobile")</f>
        <v>mobile</v>
      </c>
      <c r="AO1000" s="3"/>
      <c r="AP1000" s="3"/>
      <c r="AQ1000" s="3"/>
      <c r="AR1000" s="3"/>
      <c r="AS1000" s="3"/>
      <c r="AT1000" s="3"/>
      <c r="AU1000" s="3" t="str">
        <f ca="1">IFERROR(__xludf.DUMMYFUNCTION("""COMPUTED_VALUE"""),"cílený mobilní interscroller")</f>
        <v>cílený mobilní interscroller</v>
      </c>
    </row>
    <row r="1001" spans="1:47" x14ac:dyDescent="0.3">
      <c r="A1001" s="3">
        <f ca="1"/>
        <v>2346826</v>
      </c>
      <c r="B1001" s="3" t="str">
        <f ca="1"/>
        <v>CZECH NEWS CENTER a. s.</v>
      </c>
      <c r="C1001" s="3" t="str">
        <f ca="1">IFERROR(__xludf.DUMMYFUNCTION("""COMPUTED_VALUE"""),"VTM")</f>
        <v>VTM</v>
      </c>
      <c r="D1001" s="4" t="str">
        <f ca="1">IFERROR(__xludf.DUMMYFUNCTION("""COMPUTED_VALUE"""),"https://vtm.zive.cz")</f>
        <v>https://vtm.zive.cz</v>
      </c>
      <c r="E1001" s="3" t="str">
        <f ca="1">IFERROR(__xludf.DUMMYFUNCTION("""COMPUTED_VALUE"""),"celý web")</f>
        <v>celý web</v>
      </c>
      <c r="F1001" s="4" t="str">
        <f ca="1">IFERROR(__xludf.DUMMYFUNCTION("""COMPUTED_VALUE"""),"https://vtm.zive.cz")</f>
        <v>https://vtm.zive.cz</v>
      </c>
      <c r="G1001" s="3" t="str">
        <f ca="1">IFERROR(__xludf.DUMMYFUNCTION("""COMPUTED_VALUE"""),"cílený mobilní slide-up high season")</f>
        <v>cílený mobilní slide-up high season</v>
      </c>
      <c r="H1001" s="3">
        <f ca="1">IFERROR(__xludf.DUMMYFUNCTION("""COMPUTED_VALUE"""),7)</f>
        <v>7</v>
      </c>
      <c r="I1001" s="5">
        <f ca="1">IFERROR(__xludf.DUMMYFUNCTION("""COMPUTED_VALUE"""),1000)</f>
        <v>1000</v>
      </c>
      <c r="J1001" s="5">
        <f ca="1">IFERROR(__xludf.DUMMYFUNCTION("""COMPUTED_VALUE"""),1104)</f>
        <v>1104</v>
      </c>
      <c r="K1001" s="3"/>
      <c r="L1001" s="3" t="str">
        <f ca="1">IFERROR(__xludf.DUMMYFUNCTION("""COMPUTED_VALUE"""),"Cost per period")</f>
        <v>Cost per period</v>
      </c>
      <c r="M1001" s="3"/>
      <c r="N1001" s="3"/>
      <c r="O1001" s="3" t="str">
        <f ca="1">IFERROR(__xludf.DUMMYFUNCTION("""COMPUTED_VALUE"""),"300")</f>
        <v>300</v>
      </c>
      <c r="P1001" s="3" t="str">
        <f ca="1">IFERROR(__xludf.DUMMYFUNCTION("""COMPUTED_VALUE"""),"120")</f>
        <v>120</v>
      </c>
      <c r="Q1001" s="3" t="str">
        <f ca="1">IFERROR(__xludf.DUMMYFUNCTION("""COMPUTED_VALUE"""),"300x120")</f>
        <v>300x120</v>
      </c>
      <c r="R1001" s="3"/>
      <c r="S1001" s="3" t="str">
        <f ca="1">IFERROR(__xludf.DUMMYFUNCTION("""COMPUTED_VALUE"""),"100")</f>
        <v>100</v>
      </c>
      <c r="T1001" s="3"/>
      <c r="U1001" s="3" t="str">
        <f ca="1">IFERROR(__xludf.DUMMYFUNCTION("""COMPUTED_VALUE"""),"banner standard")</f>
        <v>banner standard</v>
      </c>
      <c r="V1001" s="3"/>
      <c r="W1001" s="4" t="str">
        <f ca="1">IFERROR(__xludf.DUMMYFUNCTION("""COMPUTED_VALUE"""),"https://reklama.cncenter.cz/Online/mobilni-slide-up")</f>
        <v>https://reklama.cncenter.cz/Online/mobilni-slide-up</v>
      </c>
      <c r="X1001" s="3"/>
      <c r="Y1001" s="3"/>
      <c r="Z1001" s="3" t="str">
        <f ca="1">IFERROR(__xludf.DUMMYFUNCTION("""COMPUTED_VALUE"""),"podklady@cncenter.cz")</f>
        <v>podklady@cncenter.cz</v>
      </c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 t="str">
        <f ca="1">IFERROR(__xludf.DUMMYFUNCTION("""COMPUTED_VALUE"""),"mobile")</f>
        <v>mobile</v>
      </c>
      <c r="AO1001" s="3"/>
      <c r="AP1001" s="3"/>
      <c r="AQ1001" s="3"/>
      <c r="AR1001" s="3"/>
      <c r="AS1001" s="3"/>
      <c r="AT1001" s="3"/>
      <c r="AU1001" s="3" t="str">
        <f ca="1">IFERROR(__xludf.DUMMYFUNCTION("""COMPUTED_VALUE"""),"cílený mobilní slide-up")</f>
        <v>cílený mobilní slide-up</v>
      </c>
    </row>
    <row r="1002" spans="1:47" x14ac:dyDescent="0.3">
      <c r="A1002" s="3">
        <f ca="1"/>
        <v>2346826</v>
      </c>
      <c r="B1002" s="3" t="str">
        <f ca="1"/>
        <v>CZECH NEWS CENTER a. s.</v>
      </c>
      <c r="C1002" s="3" t="str">
        <f ca="1">IFERROR(__xludf.DUMMYFUNCTION("""COMPUTED_VALUE"""),"VTM")</f>
        <v>VTM</v>
      </c>
      <c r="D1002" s="4" t="str">
        <f ca="1">IFERROR(__xludf.DUMMYFUNCTION("""COMPUTED_VALUE"""),"https://vtm.zive.cz")</f>
        <v>https://vtm.zive.cz</v>
      </c>
      <c r="E1002" s="3" t="str">
        <f ca="1">IFERROR(__xludf.DUMMYFUNCTION("""COMPUTED_VALUE"""),"celý web")</f>
        <v>celý web</v>
      </c>
      <c r="F1002" s="4" t="str">
        <f ca="1">IFERROR(__xludf.DUMMYFUNCTION("""COMPUTED_VALUE"""),"https://vtm.zive.cz")</f>
        <v>https://vtm.zive.cz</v>
      </c>
      <c r="G1002" s="3" t="str">
        <f ca="1">IFERROR(__xludf.DUMMYFUNCTION("""COMPUTED_VALUE"""),"cílený mobilní viněta high season")</f>
        <v>cílený mobilní viněta high season</v>
      </c>
      <c r="H1002" s="3">
        <f ca="1">IFERROR(__xludf.DUMMYFUNCTION("""COMPUTED_VALUE"""),7)</f>
        <v>7</v>
      </c>
      <c r="I1002" s="5">
        <f ca="1">IFERROR(__xludf.DUMMYFUNCTION("""COMPUTED_VALUE"""),1000)</f>
        <v>1000</v>
      </c>
      <c r="J1002" s="5">
        <f ca="1">IFERROR(__xludf.DUMMYFUNCTION("""COMPUTED_VALUE"""),1908)</f>
        <v>1908</v>
      </c>
      <c r="K1002" s="3"/>
      <c r="L1002" s="3" t="str">
        <f ca="1">IFERROR(__xludf.DUMMYFUNCTION("""COMPUTED_VALUE"""),"Cost per period")</f>
        <v>Cost per period</v>
      </c>
      <c r="M1002" s="3"/>
      <c r="N1002" s="3"/>
      <c r="O1002" s="3" t="str">
        <f ca="1">IFERROR(__xludf.DUMMYFUNCTION("""COMPUTED_VALUE"""),"600")</f>
        <v>600</v>
      </c>
      <c r="P1002" s="3" t="str">
        <f ca="1">IFERROR(__xludf.DUMMYFUNCTION("""COMPUTED_VALUE"""),"800")</f>
        <v>800</v>
      </c>
      <c r="Q1002" s="3" t="str">
        <f ca="1">IFERROR(__xludf.DUMMYFUNCTION("""COMPUTED_VALUE"""),"300x250 nebo 600x800")</f>
        <v>300x250 nebo 600x800</v>
      </c>
      <c r="R1002" s="3"/>
      <c r="S1002" s="3" t="str">
        <f ca="1">IFERROR(__xludf.DUMMYFUNCTION("""COMPUTED_VALUE"""),"100")</f>
        <v>100</v>
      </c>
      <c r="T1002" s="3"/>
      <c r="U1002" s="3" t="str">
        <f ca="1">IFERROR(__xludf.DUMMYFUNCTION("""COMPUTED_VALUE"""),"banner standard")</f>
        <v>banner standard</v>
      </c>
      <c r="V1002" s="3"/>
      <c r="W1002" s="4" t="str">
        <f ca="1">IFERROR(__xludf.DUMMYFUNCTION("""COMPUTED_VALUE"""),"https://reklama.cncenter.cz/Online/mobilni-vineta")</f>
        <v>https://reklama.cncenter.cz/Online/mobilni-vineta</v>
      </c>
      <c r="X1002" s="3"/>
      <c r="Y1002" s="3"/>
      <c r="Z1002" s="3" t="str">
        <f ca="1">IFERROR(__xludf.DUMMYFUNCTION("""COMPUTED_VALUE"""),"podklady@cncenter.cz")</f>
        <v>podklady@cncenter.cz</v>
      </c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 t="str">
        <f ca="1">IFERROR(__xludf.DUMMYFUNCTION("""COMPUTED_VALUE"""),"mobile")</f>
        <v>mobile</v>
      </c>
      <c r="AO1002" s="3"/>
      <c r="AP1002" s="3"/>
      <c r="AQ1002" s="3"/>
      <c r="AR1002" s="3"/>
      <c r="AS1002" s="3"/>
      <c r="AT1002" s="3"/>
      <c r="AU1002" s="3" t="str">
        <f ca="1">IFERROR(__xludf.DUMMYFUNCTION("""COMPUTED_VALUE"""),"cílený mobilní viněta")</f>
        <v>cílený mobilní viněta</v>
      </c>
    </row>
    <row r="1003" spans="1:47" x14ac:dyDescent="0.3">
      <c r="A1003" s="3">
        <f ca="1"/>
        <v>2346826</v>
      </c>
      <c r="B1003" s="3" t="str">
        <f ca="1"/>
        <v>CZECH NEWS CENTER a. s.</v>
      </c>
      <c r="C1003" s="3" t="str">
        <f ca="1">IFERROR(__xludf.DUMMYFUNCTION("""COMPUTED_VALUE"""),"VTM")</f>
        <v>VTM</v>
      </c>
      <c r="D1003" s="4" t="str">
        <f ca="1">IFERROR(__xludf.DUMMYFUNCTION("""COMPUTED_VALUE"""),"https://vtm.zive.cz")</f>
        <v>https://vtm.zive.cz</v>
      </c>
      <c r="E1003" s="3" t="str">
        <f ca="1">IFERROR(__xludf.DUMMYFUNCTION("""COMPUTED_VALUE"""),"celý web")</f>
        <v>celý web</v>
      </c>
      <c r="F1003" s="4" t="str">
        <f ca="1">IFERROR(__xludf.DUMMYFUNCTION("""COMPUTED_VALUE"""),"https://vtm.zive.cz")</f>
        <v>https://vtm.zive.cz</v>
      </c>
      <c r="G1003" s="3" t="str">
        <f ca="1">IFERROR(__xludf.DUMMYFUNCTION("""COMPUTED_VALUE"""),"cílený nativní rectangle cross-device high season")</f>
        <v>cílený nativní rectangle cross-device high season</v>
      </c>
      <c r="H1003" s="3">
        <f ca="1">IFERROR(__xludf.DUMMYFUNCTION("""COMPUTED_VALUE"""),7)</f>
        <v>7</v>
      </c>
      <c r="I1003" s="5">
        <f ca="1">IFERROR(__xludf.DUMMYFUNCTION("""COMPUTED_VALUE"""),1000)</f>
        <v>1000</v>
      </c>
      <c r="J1003" s="5">
        <f ca="1">IFERROR(__xludf.DUMMYFUNCTION("""COMPUTED_VALUE"""),432)</f>
        <v>432</v>
      </c>
      <c r="K1003" s="3"/>
      <c r="L1003" s="3" t="str">
        <f ca="1">IFERROR(__xludf.DUMMYFUNCTION("""COMPUTED_VALUE"""),"Cost per period")</f>
        <v>Cost per period</v>
      </c>
      <c r="M1003" s="3"/>
      <c r="N1003" s="3"/>
      <c r="O1003" s="3" t="str">
        <f ca="1">IFERROR(__xludf.DUMMYFUNCTION("""COMPUTED_VALUE"""),"640")</f>
        <v>640</v>
      </c>
      <c r="P1003" s="3" t="str">
        <f ca="1">IFERROR(__xludf.DUMMYFUNCTION("""COMPUTED_VALUE"""),"335, 640")</f>
        <v>335, 640</v>
      </c>
      <c r="Q1003" s="3" t="str">
        <f ca="1">IFERROR(__xludf.DUMMYFUNCTION("""COMPUTED_VALUE"""),"640x640 a 640x335 + text + logo")</f>
        <v>640x640 a 640x335 + text + logo</v>
      </c>
      <c r="R1003" s="3"/>
      <c r="S1003" s="3" t="str">
        <f ca="1">IFERROR(__xludf.DUMMYFUNCTION("""COMPUTED_VALUE"""),"45")</f>
        <v>45</v>
      </c>
      <c r="T1003" s="3"/>
      <c r="U1003" s="3" t="str">
        <f ca="1">IFERROR(__xludf.DUMMYFUNCTION("""COMPUTED_VALUE"""),"nativní reklama")</f>
        <v>nativní reklama</v>
      </c>
      <c r="V1003" s="3"/>
      <c r="W1003" s="4" t="str">
        <f ca="1">IFERROR(__xludf.DUMMYFUNCTION("""COMPUTED_VALUE"""),"https://reklama.cncenter.cz/Online/nativni-rectangle-cross-device")</f>
        <v>https://reklama.cncenter.cz/Online/nativni-rectangle-cross-device</v>
      </c>
      <c r="X1003" s="3"/>
      <c r="Y1003" s="3"/>
      <c r="Z1003" s="3" t="str">
        <f ca="1">IFERROR(__xludf.DUMMYFUNCTION("""COMPUTED_VALUE"""),"podklady@cncenter.cz")</f>
        <v>podklady@cncenter.cz</v>
      </c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 t="str">
        <f ca="1">IFERROR(__xludf.DUMMYFUNCTION("""COMPUTED_VALUE"""),"cross-device")</f>
        <v>cross-device</v>
      </c>
      <c r="AO1003" s="3"/>
      <c r="AP1003" s="3"/>
      <c r="AQ1003" s="3"/>
      <c r="AR1003" s="3"/>
      <c r="AS1003" s="3"/>
      <c r="AT1003" s="3"/>
      <c r="AU1003" s="3" t="str">
        <f ca="1">IFERROR(__xludf.DUMMYFUNCTION("""COMPUTED_VALUE"""),"cílený nativní rectangle cross-device")</f>
        <v>cílený nativní rectangle cross-device</v>
      </c>
    </row>
    <row r="1004" spans="1:47" x14ac:dyDescent="0.3">
      <c r="A1004" s="3">
        <f ca="1"/>
        <v>2346826</v>
      </c>
      <c r="B1004" s="3" t="str">
        <f ca="1"/>
        <v>CZECH NEWS CENTER a. s.</v>
      </c>
      <c r="C1004" s="3" t="str">
        <f ca="1">IFERROR(__xludf.DUMMYFUNCTION("""COMPUTED_VALUE"""),"VTM")</f>
        <v>VTM</v>
      </c>
      <c r="D1004" s="4" t="str">
        <f ca="1">IFERROR(__xludf.DUMMYFUNCTION("""COMPUTED_VALUE"""),"https://vtm.zive.cz")</f>
        <v>https://vtm.zive.cz</v>
      </c>
      <c r="E1004" s="3" t="str">
        <f ca="1">IFERROR(__xludf.DUMMYFUNCTION("""COMPUTED_VALUE"""),"celý web")</f>
        <v>celý web</v>
      </c>
      <c r="F1004" s="4" t="str">
        <f ca="1">IFERROR(__xludf.DUMMYFUNCTION("""COMPUTED_VALUE"""),"https://vtm.zive.cz")</f>
        <v>https://vtm.zive.cz</v>
      </c>
      <c r="G1004" s="3" t="str">
        <f ca="1">IFERROR(__xludf.DUMMYFUNCTION("""COMPUTED_VALUE"""),"cílený outstream high season")</f>
        <v>cílený outstream high season</v>
      </c>
      <c r="H1004" s="3">
        <f ca="1">IFERROR(__xludf.DUMMYFUNCTION("""COMPUTED_VALUE"""),7)</f>
        <v>7</v>
      </c>
      <c r="I1004" s="5">
        <f ca="1">IFERROR(__xludf.DUMMYFUNCTION("""COMPUTED_VALUE"""),1000)</f>
        <v>1000</v>
      </c>
      <c r="J1004" s="5">
        <f ca="1">IFERROR(__xludf.DUMMYFUNCTION("""COMPUTED_VALUE"""),540)</f>
        <v>540</v>
      </c>
      <c r="K1004" s="3"/>
      <c r="L1004" s="3" t="str">
        <f ca="1">IFERROR(__xludf.DUMMYFUNCTION("""COMPUTED_VALUE"""),"Cost per period")</f>
        <v>Cost per period</v>
      </c>
      <c r="M1004" s="3"/>
      <c r="N1004" s="3"/>
      <c r="O1004" s="3" t="str">
        <f ca="1">IFERROR(__xludf.DUMMYFUNCTION("""COMPUTED_VALUE"""),"1280")</f>
        <v>1280</v>
      </c>
      <c r="P1004" s="3" t="str">
        <f ca="1">IFERROR(__xludf.DUMMYFUNCTION("""COMPUTED_VALUE"""),"720")</f>
        <v>720</v>
      </c>
      <c r="Q1004" s="3" t="str">
        <f ca="1">IFERROR(__xludf.DUMMYFUNCTION("""COMPUTED_VALUE"""),"16:9")</f>
        <v>16:9</v>
      </c>
      <c r="R1004" s="3"/>
      <c r="S1004" s="3" t="str">
        <f ca="1">IFERROR(__xludf.DUMMYFUNCTION("""COMPUTED_VALUE"""),"100")</f>
        <v>100</v>
      </c>
      <c r="T1004" s="3"/>
      <c r="U1004" s="3" t="str">
        <f ca="1">IFERROR(__xludf.DUMMYFUNCTION("""COMPUTED_VALUE"""),"videospot")</f>
        <v>videospot</v>
      </c>
      <c r="V1004" s="3"/>
      <c r="W1004" s="4" t="str">
        <f ca="1">IFERROR(__xludf.DUMMYFUNCTION("""COMPUTED_VALUE"""),"https://reklama.cncenter.cz/Online/Outstream")</f>
        <v>https://reklama.cncenter.cz/Online/Outstream</v>
      </c>
      <c r="X1004" s="3"/>
      <c r="Y1004" s="3"/>
      <c r="Z1004" s="3" t="str">
        <f ca="1">IFERROR(__xludf.DUMMYFUNCTION("""COMPUTED_VALUE"""),"podklady@cncenter.cz")</f>
        <v>podklady@cncenter.cz</v>
      </c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 t="str">
        <f ca="1">IFERROR(__xludf.DUMMYFUNCTION("""COMPUTED_VALUE"""),"cross-device")</f>
        <v>cross-device</v>
      </c>
      <c r="AO1004" s="3"/>
      <c r="AP1004" s="3"/>
      <c r="AQ1004" s="3"/>
      <c r="AR1004" s="3"/>
      <c r="AS1004" s="3"/>
      <c r="AT1004" s="3"/>
      <c r="AU1004" s="3" t="str">
        <f ca="1">IFERROR(__xludf.DUMMYFUNCTION("""COMPUTED_VALUE"""),"cílený outstream")</f>
        <v>cílený outstream</v>
      </c>
    </row>
    <row r="1005" spans="1:47" x14ac:dyDescent="0.3">
      <c r="A1005" s="3">
        <f ca="1"/>
        <v>2346826</v>
      </c>
      <c r="B1005" s="3" t="str">
        <f ca="1"/>
        <v>CZECH NEWS CENTER a. s.</v>
      </c>
      <c r="C1005" s="3" t="str">
        <f ca="1">IFERROR(__xludf.DUMMYFUNCTION("""COMPUTED_VALUE"""),"VTM")</f>
        <v>VTM</v>
      </c>
      <c r="D1005" s="4" t="str">
        <f ca="1">IFERROR(__xludf.DUMMYFUNCTION("""COMPUTED_VALUE"""),"https://vtm.zive.cz")</f>
        <v>https://vtm.zive.cz</v>
      </c>
      <c r="E1005" s="3" t="str">
        <f ca="1">IFERROR(__xludf.DUMMYFUNCTION("""COMPUTED_VALUE"""),"celý web")</f>
        <v>celý web</v>
      </c>
      <c r="F1005" s="4" t="str">
        <f ca="1">IFERROR(__xludf.DUMMYFUNCTION("""COMPUTED_VALUE"""),"https://vtm.zive.cz")</f>
        <v>https://vtm.zive.cz</v>
      </c>
      <c r="G1005" s="3" t="str">
        <f ca="1">IFERROR(__xludf.DUMMYFUNCTION("""COMPUTED_VALUE"""),"double skyscraper high season")</f>
        <v>double skyscraper high season</v>
      </c>
      <c r="H1005" s="3">
        <f ca="1">IFERROR(__xludf.DUMMYFUNCTION("""COMPUTED_VALUE"""),7)</f>
        <v>7</v>
      </c>
      <c r="I1005" s="5">
        <f ca="1">IFERROR(__xludf.DUMMYFUNCTION("""COMPUTED_VALUE"""),1000)</f>
        <v>1000</v>
      </c>
      <c r="J1005" s="5">
        <f ca="1">IFERROR(__xludf.DUMMYFUNCTION("""COMPUTED_VALUE"""),350)</f>
        <v>350</v>
      </c>
      <c r="K1005" s="3"/>
      <c r="L1005" s="3" t="str">
        <f ca="1">IFERROR(__xludf.DUMMYFUNCTION("""COMPUTED_VALUE"""),"Cost per period")</f>
        <v>Cost per period</v>
      </c>
      <c r="M1005" s="3"/>
      <c r="N1005" s="3"/>
      <c r="O1005" s="3" t="str">
        <f ca="1">IFERROR(__xludf.DUMMYFUNCTION("""COMPUTED_VALUE"""),"300")</f>
        <v>300</v>
      </c>
      <c r="P1005" s="3" t="str">
        <f ca="1">IFERROR(__xludf.DUMMYFUNCTION("""COMPUTED_VALUE"""),"600")</f>
        <v>600</v>
      </c>
      <c r="Q1005" s="3" t="str">
        <f ca="1">IFERROR(__xludf.DUMMYFUNCTION("""COMPUTED_VALUE"""),"300x600")</f>
        <v>300x600</v>
      </c>
      <c r="R1005" s="3"/>
      <c r="S1005" s="3" t="str">
        <f ca="1">IFERROR(__xludf.DUMMYFUNCTION("""COMPUTED_VALUE"""),"100 (200 - HTML5)")</f>
        <v>100 (200 - HTML5)</v>
      </c>
      <c r="T1005" s="3"/>
      <c r="U1005" s="3" t="str">
        <f ca="1">IFERROR(__xludf.DUMMYFUNCTION("""COMPUTED_VALUE"""),"banner standard")</f>
        <v>banner standard</v>
      </c>
      <c r="V1005" s="3"/>
      <c r="W1005" s="4" t="str">
        <f ca="1">IFERROR(__xludf.DUMMYFUNCTION("""COMPUTED_VALUE"""),"https://reklama.cncenter.cz/Online/double-skyscraper")</f>
        <v>https://reklama.cncenter.cz/Online/double-skyscraper</v>
      </c>
      <c r="X1005" s="3"/>
      <c r="Y1005" s="3"/>
      <c r="Z1005" s="3" t="str">
        <f ca="1">IFERROR(__xludf.DUMMYFUNCTION("""COMPUTED_VALUE"""),"podklady@cncenter.cz")</f>
        <v>podklady@cncenter.cz</v>
      </c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 t="str">
        <f ca="1">IFERROR(__xludf.DUMMYFUNCTION("""COMPUTED_VALUE"""),"desktop")</f>
        <v>desktop</v>
      </c>
      <c r="AO1005" s="3"/>
      <c r="AP1005" s="3"/>
      <c r="AQ1005" s="3"/>
      <c r="AR1005" s="3"/>
      <c r="AS1005" s="3"/>
      <c r="AT1005" s="3"/>
      <c r="AU1005" s="3" t="str">
        <f ca="1">IFERROR(__xludf.DUMMYFUNCTION("""COMPUTED_VALUE"""),"double skyscraper")</f>
        <v>double skyscraper</v>
      </c>
    </row>
    <row r="1006" spans="1:47" x14ac:dyDescent="0.3">
      <c r="A1006" s="3">
        <f ca="1"/>
        <v>2346826</v>
      </c>
      <c r="B1006" s="3" t="str">
        <f ca="1"/>
        <v>CZECH NEWS CENTER a. s.</v>
      </c>
      <c r="C1006" s="3" t="str">
        <f ca="1">IFERROR(__xludf.DUMMYFUNCTION("""COMPUTED_VALUE"""),"VTM")</f>
        <v>VTM</v>
      </c>
      <c r="D1006" s="4" t="str">
        <f ca="1">IFERROR(__xludf.DUMMYFUNCTION("""COMPUTED_VALUE"""),"https://vtm.zive.cz")</f>
        <v>https://vtm.zive.cz</v>
      </c>
      <c r="E1006" s="3" t="str">
        <f ca="1">IFERROR(__xludf.DUMMYFUNCTION("""COMPUTED_VALUE"""),"celý web")</f>
        <v>celý web</v>
      </c>
      <c r="F1006" s="4" t="str">
        <f ca="1">IFERROR(__xludf.DUMMYFUNCTION("""COMPUTED_VALUE"""),"https://vtm.zive.cz")</f>
        <v>https://vtm.zive.cz</v>
      </c>
      <c r="G1006" s="3" t="str">
        <f ca="1">IFERROR(__xludf.DUMMYFUNCTION("""COMPUTED_VALUE"""),"mobilní interscroller high season")</f>
        <v>mobilní interscroller high season</v>
      </c>
      <c r="H1006" s="3">
        <f ca="1">IFERROR(__xludf.DUMMYFUNCTION("""COMPUTED_VALUE"""),7)</f>
        <v>7</v>
      </c>
      <c r="I1006" s="5">
        <f ca="1">IFERROR(__xludf.DUMMYFUNCTION("""COMPUTED_VALUE"""),1000)</f>
        <v>1000</v>
      </c>
      <c r="J1006" s="5">
        <f ca="1">IFERROR(__xludf.DUMMYFUNCTION("""COMPUTED_VALUE"""),450)</f>
        <v>450</v>
      </c>
      <c r="K1006" s="3"/>
      <c r="L1006" s="3" t="str">
        <f ca="1">IFERROR(__xludf.DUMMYFUNCTION("""COMPUTED_VALUE"""),"Cost per period")</f>
        <v>Cost per period</v>
      </c>
      <c r="M1006" s="3"/>
      <c r="N1006" s="3"/>
      <c r="O1006" s="3" t="str">
        <f ca="1">IFERROR(__xludf.DUMMYFUNCTION("""COMPUTED_VALUE"""),"600")</f>
        <v>600</v>
      </c>
      <c r="P1006" s="3" t="str">
        <f ca="1">IFERROR(__xludf.DUMMYFUNCTION("""COMPUTED_VALUE"""),"1080")</f>
        <v>1080</v>
      </c>
      <c r="Q1006" s="3" t="str">
        <f ca="1">IFERROR(__xludf.DUMMYFUNCTION("""COMPUTED_VALUE"""),"600x1080")</f>
        <v>600x1080</v>
      </c>
      <c r="R1006" s="3"/>
      <c r="S1006" s="3" t="str">
        <f ca="1">IFERROR(__xludf.DUMMYFUNCTION("""COMPUTED_VALUE"""),"200")</f>
        <v>200</v>
      </c>
      <c r="T1006" s="3"/>
      <c r="U1006" s="3" t="str">
        <f ca="1">IFERROR(__xludf.DUMMYFUNCTION("""COMPUTED_VALUE"""),"banner standard")</f>
        <v>banner standard</v>
      </c>
      <c r="V1006" s="3"/>
      <c r="W1006" s="4" t="str">
        <f ca="1">IFERROR(__xludf.DUMMYFUNCTION("""COMPUTED_VALUE"""),"https://reklama.cncenter.cz/Online/mobilni-interscroller")</f>
        <v>https://reklama.cncenter.cz/Online/mobilni-interscroller</v>
      </c>
      <c r="X1006" s="3"/>
      <c r="Y1006" s="3"/>
      <c r="Z1006" s="3" t="str">
        <f ca="1">IFERROR(__xludf.DUMMYFUNCTION("""COMPUTED_VALUE"""),"podklady@cncenter.cz")</f>
        <v>podklady@cncenter.cz</v>
      </c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 t="str">
        <f ca="1">IFERROR(__xludf.DUMMYFUNCTION("""COMPUTED_VALUE"""),"mobile")</f>
        <v>mobile</v>
      </c>
      <c r="AO1006" s="3"/>
      <c r="AP1006" s="3"/>
      <c r="AQ1006" s="3"/>
      <c r="AR1006" s="3"/>
      <c r="AS1006" s="3"/>
      <c r="AT1006" s="3"/>
      <c r="AU1006" s="3" t="str">
        <f ca="1">IFERROR(__xludf.DUMMYFUNCTION("""COMPUTED_VALUE"""),"mobilní interscroller")</f>
        <v>mobilní interscroller</v>
      </c>
    </row>
    <row r="1007" spans="1:47" x14ac:dyDescent="0.3">
      <c r="A1007" s="3">
        <f ca="1"/>
        <v>2346826</v>
      </c>
      <c r="B1007" s="3" t="str">
        <f ca="1"/>
        <v>CZECH NEWS CENTER a. s.</v>
      </c>
      <c r="C1007" s="3" t="str">
        <f ca="1">IFERROR(__xludf.DUMMYFUNCTION("""COMPUTED_VALUE"""),"VTM")</f>
        <v>VTM</v>
      </c>
      <c r="D1007" s="4" t="str">
        <f ca="1">IFERROR(__xludf.DUMMYFUNCTION("""COMPUTED_VALUE"""),"https://vtm.zive.cz")</f>
        <v>https://vtm.zive.cz</v>
      </c>
      <c r="E1007" s="3" t="str">
        <f ca="1">IFERROR(__xludf.DUMMYFUNCTION("""COMPUTED_VALUE"""),"celý web")</f>
        <v>celý web</v>
      </c>
      <c r="F1007" s="4" t="str">
        <f ca="1">IFERROR(__xludf.DUMMYFUNCTION("""COMPUTED_VALUE"""),"https://vtm.zive.cz")</f>
        <v>https://vtm.zive.cz</v>
      </c>
      <c r="G1007" s="3" t="str">
        <f ca="1">IFERROR(__xludf.DUMMYFUNCTION("""COMPUTED_VALUE"""),"mobilní slide-up high season")</f>
        <v>mobilní slide-up high season</v>
      </c>
      <c r="H1007" s="3">
        <f ca="1">IFERROR(__xludf.DUMMYFUNCTION("""COMPUTED_VALUE"""),7)</f>
        <v>7</v>
      </c>
      <c r="I1007" s="5">
        <f ca="1">IFERROR(__xludf.DUMMYFUNCTION("""COMPUTED_VALUE"""),1000)</f>
        <v>1000</v>
      </c>
      <c r="J1007" s="5">
        <f ca="1">IFERROR(__xludf.DUMMYFUNCTION("""COMPUTED_VALUE"""),920)</f>
        <v>920</v>
      </c>
      <c r="K1007" s="3"/>
      <c r="L1007" s="3" t="str">
        <f ca="1">IFERROR(__xludf.DUMMYFUNCTION("""COMPUTED_VALUE"""),"Cost per period")</f>
        <v>Cost per period</v>
      </c>
      <c r="M1007" s="3"/>
      <c r="N1007" s="3"/>
      <c r="O1007" s="3" t="str">
        <f ca="1">IFERROR(__xludf.DUMMYFUNCTION("""COMPUTED_VALUE"""),"300")</f>
        <v>300</v>
      </c>
      <c r="P1007" s="3" t="str">
        <f ca="1">IFERROR(__xludf.DUMMYFUNCTION("""COMPUTED_VALUE"""),"120")</f>
        <v>120</v>
      </c>
      <c r="Q1007" s="3" t="str">
        <f ca="1">IFERROR(__xludf.DUMMYFUNCTION("""COMPUTED_VALUE"""),"300x120")</f>
        <v>300x120</v>
      </c>
      <c r="R1007" s="3"/>
      <c r="S1007" s="3" t="str">
        <f ca="1">IFERROR(__xludf.DUMMYFUNCTION("""COMPUTED_VALUE"""),"100")</f>
        <v>100</v>
      </c>
      <c r="T1007" s="3"/>
      <c r="U1007" s="3" t="str">
        <f ca="1">IFERROR(__xludf.DUMMYFUNCTION("""COMPUTED_VALUE"""),"banner standard")</f>
        <v>banner standard</v>
      </c>
      <c r="V1007" s="3"/>
      <c r="W1007" s="4" t="str">
        <f ca="1">IFERROR(__xludf.DUMMYFUNCTION("""COMPUTED_VALUE"""),"https://reklama.cncenter.cz/Online/mobilni-slide-up")</f>
        <v>https://reklama.cncenter.cz/Online/mobilni-slide-up</v>
      </c>
      <c r="X1007" s="3"/>
      <c r="Y1007" s="3"/>
      <c r="Z1007" s="3" t="str">
        <f ca="1">IFERROR(__xludf.DUMMYFUNCTION("""COMPUTED_VALUE"""),"podklady@cncenter.cz")</f>
        <v>podklady@cncenter.cz</v>
      </c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 t="str">
        <f ca="1">IFERROR(__xludf.DUMMYFUNCTION("""COMPUTED_VALUE"""),"mobile")</f>
        <v>mobile</v>
      </c>
      <c r="AO1007" s="3"/>
      <c r="AP1007" s="3"/>
      <c r="AQ1007" s="3"/>
      <c r="AR1007" s="3"/>
      <c r="AS1007" s="3"/>
      <c r="AT1007" s="3"/>
      <c r="AU1007" s="3" t="str">
        <f ca="1">IFERROR(__xludf.DUMMYFUNCTION("""COMPUTED_VALUE"""),"mobilní slide-up")</f>
        <v>mobilní slide-up</v>
      </c>
    </row>
    <row r="1008" spans="1:47" x14ac:dyDescent="0.3">
      <c r="A1008" s="3">
        <f ca="1"/>
        <v>2346826</v>
      </c>
      <c r="B1008" s="3" t="str">
        <f ca="1"/>
        <v>CZECH NEWS CENTER a. s.</v>
      </c>
      <c r="C1008" s="3" t="str">
        <f ca="1">IFERROR(__xludf.DUMMYFUNCTION("""COMPUTED_VALUE"""),"VTM")</f>
        <v>VTM</v>
      </c>
      <c r="D1008" s="4" t="str">
        <f ca="1">IFERROR(__xludf.DUMMYFUNCTION("""COMPUTED_VALUE"""),"https://vtm.zive.cz")</f>
        <v>https://vtm.zive.cz</v>
      </c>
      <c r="E1008" s="3" t="str">
        <f ca="1">IFERROR(__xludf.DUMMYFUNCTION("""COMPUTED_VALUE"""),"celý web")</f>
        <v>celý web</v>
      </c>
      <c r="F1008" s="4" t="str">
        <f ca="1">IFERROR(__xludf.DUMMYFUNCTION("""COMPUTED_VALUE"""),"https://vtm.zive.cz")</f>
        <v>https://vtm.zive.cz</v>
      </c>
      <c r="G1008" s="3" t="str">
        <f ca="1">IFERROR(__xludf.DUMMYFUNCTION("""COMPUTED_VALUE"""),"mobilní viněta high season")</f>
        <v>mobilní viněta high season</v>
      </c>
      <c r="H1008" s="3">
        <f ca="1">IFERROR(__xludf.DUMMYFUNCTION("""COMPUTED_VALUE"""),7)</f>
        <v>7</v>
      </c>
      <c r="I1008" s="5">
        <f ca="1">IFERROR(__xludf.DUMMYFUNCTION("""COMPUTED_VALUE"""),1000)</f>
        <v>1000</v>
      </c>
      <c r="J1008" s="5">
        <f ca="1">IFERROR(__xludf.DUMMYFUNCTION("""COMPUTED_VALUE"""),1590)</f>
        <v>1590</v>
      </c>
      <c r="K1008" s="3"/>
      <c r="L1008" s="3" t="str">
        <f ca="1">IFERROR(__xludf.DUMMYFUNCTION("""COMPUTED_VALUE"""),"Cost per period")</f>
        <v>Cost per period</v>
      </c>
      <c r="M1008" s="3"/>
      <c r="N1008" s="3"/>
      <c r="O1008" s="3" t="str">
        <f ca="1">IFERROR(__xludf.DUMMYFUNCTION("""COMPUTED_VALUE"""),"600")</f>
        <v>600</v>
      </c>
      <c r="P1008" s="3" t="str">
        <f ca="1">IFERROR(__xludf.DUMMYFUNCTION("""COMPUTED_VALUE"""),"800")</f>
        <v>800</v>
      </c>
      <c r="Q1008" s="3" t="str">
        <f ca="1">IFERROR(__xludf.DUMMYFUNCTION("""COMPUTED_VALUE"""),"300x250 nebo 600x800")</f>
        <v>300x250 nebo 600x800</v>
      </c>
      <c r="R1008" s="3"/>
      <c r="S1008" s="3" t="str">
        <f ca="1">IFERROR(__xludf.DUMMYFUNCTION("""COMPUTED_VALUE"""),"100")</f>
        <v>100</v>
      </c>
      <c r="T1008" s="3"/>
      <c r="U1008" s="3" t="str">
        <f ca="1">IFERROR(__xludf.DUMMYFUNCTION("""COMPUTED_VALUE"""),"banner standard")</f>
        <v>banner standard</v>
      </c>
      <c r="V1008" s="3"/>
      <c r="W1008" s="4" t="str">
        <f ca="1">IFERROR(__xludf.DUMMYFUNCTION("""COMPUTED_VALUE"""),"https://reklama.cncenter.cz/Online/mobilni-vineta")</f>
        <v>https://reklama.cncenter.cz/Online/mobilni-vineta</v>
      </c>
      <c r="X1008" s="3"/>
      <c r="Y1008" s="3"/>
      <c r="Z1008" s="3" t="str">
        <f ca="1">IFERROR(__xludf.DUMMYFUNCTION("""COMPUTED_VALUE"""),"podklady@cncenter.cz")</f>
        <v>podklady@cncenter.cz</v>
      </c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 t="str">
        <f ca="1">IFERROR(__xludf.DUMMYFUNCTION("""COMPUTED_VALUE"""),"mobile")</f>
        <v>mobile</v>
      </c>
      <c r="AO1008" s="3"/>
      <c r="AP1008" s="3"/>
      <c r="AQ1008" s="3"/>
      <c r="AR1008" s="3"/>
      <c r="AS1008" s="3"/>
      <c r="AT1008" s="3"/>
      <c r="AU1008" s="3" t="str">
        <f ca="1">IFERROR(__xludf.DUMMYFUNCTION("""COMPUTED_VALUE"""),"mobilní viněta")</f>
        <v>mobilní viněta</v>
      </c>
    </row>
    <row r="1009" spans="1:47" x14ac:dyDescent="0.3">
      <c r="A1009" s="3">
        <f ca="1"/>
        <v>2346826</v>
      </c>
      <c r="B1009" s="3" t="str">
        <f ca="1"/>
        <v>CZECH NEWS CENTER a. s.</v>
      </c>
      <c r="C1009" s="3" t="str">
        <f ca="1">IFERROR(__xludf.DUMMYFUNCTION("""COMPUTED_VALUE"""),"VTM")</f>
        <v>VTM</v>
      </c>
      <c r="D1009" s="4" t="str">
        <f ca="1">IFERROR(__xludf.DUMMYFUNCTION("""COMPUTED_VALUE"""),"https://vtm.zive.cz")</f>
        <v>https://vtm.zive.cz</v>
      </c>
      <c r="E1009" s="3" t="str">
        <f ca="1">IFERROR(__xludf.DUMMYFUNCTION("""COMPUTED_VALUE"""),"celý web")</f>
        <v>celý web</v>
      </c>
      <c r="F1009" s="4" t="str">
        <f ca="1">IFERROR(__xludf.DUMMYFUNCTION("""COMPUTED_VALUE"""),"https://vtm.zive.cz")</f>
        <v>https://vtm.zive.cz</v>
      </c>
      <c r="G1009" s="3" t="str">
        <f ca="1">IFERROR(__xludf.DUMMYFUNCTION("""COMPUTED_VALUE"""),"nativní rectangle cross-device high season")</f>
        <v>nativní rectangle cross-device high season</v>
      </c>
      <c r="H1009" s="3">
        <f ca="1">IFERROR(__xludf.DUMMYFUNCTION("""COMPUTED_VALUE"""),7)</f>
        <v>7</v>
      </c>
      <c r="I1009" s="5">
        <f ca="1">IFERROR(__xludf.DUMMYFUNCTION("""COMPUTED_VALUE"""),1000)</f>
        <v>1000</v>
      </c>
      <c r="J1009" s="5">
        <f ca="1">IFERROR(__xludf.DUMMYFUNCTION("""COMPUTED_VALUE"""),360)</f>
        <v>360</v>
      </c>
      <c r="K1009" s="3"/>
      <c r="L1009" s="3" t="str">
        <f ca="1">IFERROR(__xludf.DUMMYFUNCTION("""COMPUTED_VALUE"""),"Cost per period")</f>
        <v>Cost per period</v>
      </c>
      <c r="M1009" s="3"/>
      <c r="N1009" s="3"/>
      <c r="O1009" s="3" t="str">
        <f ca="1">IFERROR(__xludf.DUMMYFUNCTION("""COMPUTED_VALUE"""),"640")</f>
        <v>640</v>
      </c>
      <c r="P1009" s="3" t="str">
        <f ca="1">IFERROR(__xludf.DUMMYFUNCTION("""COMPUTED_VALUE"""),"335, 640")</f>
        <v>335, 640</v>
      </c>
      <c r="Q1009" s="3" t="str">
        <f ca="1">IFERROR(__xludf.DUMMYFUNCTION("""COMPUTED_VALUE"""),"640x640 a 640x335 + text + logo")</f>
        <v>640x640 a 640x335 + text + logo</v>
      </c>
      <c r="R1009" s="3"/>
      <c r="S1009" s="3" t="str">
        <f ca="1">IFERROR(__xludf.DUMMYFUNCTION("""COMPUTED_VALUE"""),"45")</f>
        <v>45</v>
      </c>
      <c r="T1009" s="3"/>
      <c r="U1009" s="3" t="str">
        <f ca="1">IFERROR(__xludf.DUMMYFUNCTION("""COMPUTED_VALUE"""),"nativní reklama")</f>
        <v>nativní reklama</v>
      </c>
      <c r="V1009" s="3"/>
      <c r="W1009" s="4" t="str">
        <f ca="1">IFERROR(__xludf.DUMMYFUNCTION("""COMPUTED_VALUE"""),"https://reklama.cncenter.cz/Online/nativni-rectangle-cross-device")</f>
        <v>https://reklama.cncenter.cz/Online/nativni-rectangle-cross-device</v>
      </c>
      <c r="X1009" s="3"/>
      <c r="Y1009" s="3"/>
      <c r="Z1009" s="3" t="str">
        <f ca="1">IFERROR(__xludf.DUMMYFUNCTION("""COMPUTED_VALUE"""),"podklady@cncenter.cz")</f>
        <v>podklady@cncenter.cz</v>
      </c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 t="str">
        <f ca="1">IFERROR(__xludf.DUMMYFUNCTION("""COMPUTED_VALUE"""),"cross-device")</f>
        <v>cross-device</v>
      </c>
      <c r="AO1009" s="3"/>
      <c r="AP1009" s="3"/>
      <c r="AQ1009" s="3"/>
      <c r="AR1009" s="3"/>
      <c r="AS1009" s="3"/>
      <c r="AT1009" s="3"/>
      <c r="AU1009" s="3" t="str">
        <f ca="1">IFERROR(__xludf.DUMMYFUNCTION("""COMPUTED_VALUE"""),"nativní rectangle cross-device")</f>
        <v>nativní rectangle cross-device</v>
      </c>
    </row>
    <row r="1010" spans="1:47" x14ac:dyDescent="0.3">
      <c r="A1010" s="3">
        <f ca="1"/>
        <v>2346826</v>
      </c>
      <c r="B1010" s="3" t="str">
        <f ca="1"/>
        <v>CZECH NEWS CENTER a. s.</v>
      </c>
      <c r="C1010" s="3" t="str">
        <f ca="1">IFERROR(__xludf.DUMMYFUNCTION("""COMPUTED_VALUE"""),"VTM")</f>
        <v>VTM</v>
      </c>
      <c r="D1010" s="4" t="str">
        <f ca="1">IFERROR(__xludf.DUMMYFUNCTION("""COMPUTED_VALUE"""),"https://vtm.zive.cz")</f>
        <v>https://vtm.zive.cz</v>
      </c>
      <c r="E1010" s="3" t="str">
        <f ca="1">IFERROR(__xludf.DUMMYFUNCTION("""COMPUTED_VALUE"""),"celý web")</f>
        <v>celý web</v>
      </c>
      <c r="F1010" s="4" t="str">
        <f ca="1">IFERROR(__xludf.DUMMYFUNCTION("""COMPUTED_VALUE"""),"https://vtm.zive.cz")</f>
        <v>https://vtm.zive.cz</v>
      </c>
      <c r="G1010" s="3" t="str">
        <f ca="1">IFERROR(__xludf.DUMMYFUNCTION("""COMPUTED_VALUE"""),"outstream high season")</f>
        <v>outstream high season</v>
      </c>
      <c r="H1010" s="3">
        <f ca="1">IFERROR(__xludf.DUMMYFUNCTION("""COMPUTED_VALUE"""),7)</f>
        <v>7</v>
      </c>
      <c r="I1010" s="5">
        <f ca="1">IFERROR(__xludf.DUMMYFUNCTION("""COMPUTED_VALUE"""),1000)</f>
        <v>1000</v>
      </c>
      <c r="J1010" s="5">
        <f ca="1">IFERROR(__xludf.DUMMYFUNCTION("""COMPUTED_VALUE"""),450)</f>
        <v>450</v>
      </c>
      <c r="K1010" s="3"/>
      <c r="L1010" s="3" t="str">
        <f ca="1">IFERROR(__xludf.DUMMYFUNCTION("""COMPUTED_VALUE"""),"Cost per period")</f>
        <v>Cost per period</v>
      </c>
      <c r="M1010" s="3"/>
      <c r="N1010" s="3"/>
      <c r="O1010" s="3" t="str">
        <f ca="1">IFERROR(__xludf.DUMMYFUNCTION("""COMPUTED_VALUE"""),"1280")</f>
        <v>1280</v>
      </c>
      <c r="P1010" s="3" t="str">
        <f ca="1">IFERROR(__xludf.DUMMYFUNCTION("""COMPUTED_VALUE"""),"720")</f>
        <v>720</v>
      </c>
      <c r="Q1010" s="3" t="str">
        <f ca="1">IFERROR(__xludf.DUMMYFUNCTION("""COMPUTED_VALUE"""),"16:9")</f>
        <v>16:9</v>
      </c>
      <c r="R1010" s="3"/>
      <c r="S1010" s="3" t="str">
        <f ca="1">IFERROR(__xludf.DUMMYFUNCTION("""COMPUTED_VALUE"""),"100")</f>
        <v>100</v>
      </c>
      <c r="T1010" s="3"/>
      <c r="U1010" s="3" t="str">
        <f ca="1">IFERROR(__xludf.DUMMYFUNCTION("""COMPUTED_VALUE"""),"videospot")</f>
        <v>videospot</v>
      </c>
      <c r="V1010" s="3"/>
      <c r="W1010" s="4" t="str">
        <f ca="1">IFERROR(__xludf.DUMMYFUNCTION("""COMPUTED_VALUE"""),"https://reklama.cncenter.cz/Online/Outstream")</f>
        <v>https://reklama.cncenter.cz/Online/Outstream</v>
      </c>
      <c r="X1010" s="3"/>
      <c r="Y1010" s="3"/>
      <c r="Z1010" s="3" t="str">
        <f ca="1">IFERROR(__xludf.DUMMYFUNCTION("""COMPUTED_VALUE"""),"podklady@cncenter.cz")</f>
        <v>podklady@cncenter.cz</v>
      </c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 t="str">
        <f ca="1">IFERROR(__xludf.DUMMYFUNCTION("""COMPUTED_VALUE"""),"cross-device")</f>
        <v>cross-device</v>
      </c>
      <c r="AO1010" s="3"/>
      <c r="AP1010" s="3"/>
      <c r="AQ1010" s="3"/>
      <c r="AR1010" s="3"/>
      <c r="AS1010" s="3"/>
      <c r="AT1010" s="3"/>
      <c r="AU1010" s="3" t="str">
        <f ca="1">IFERROR(__xludf.DUMMYFUNCTION("""COMPUTED_VALUE"""),"outstream")</f>
        <v>outstream</v>
      </c>
    </row>
    <row r="1011" spans="1:47" x14ac:dyDescent="0.3">
      <c r="A1011" s="3">
        <f ca="1"/>
        <v>2346826</v>
      </c>
      <c r="B1011" s="3" t="str">
        <f ca="1"/>
        <v>CZECH NEWS CENTER a. s.</v>
      </c>
      <c r="C1011" s="3" t="str">
        <f ca="1">IFERROR(__xludf.DUMMYFUNCTION("""COMPUTED_VALUE"""),"X profil E15")</f>
        <v>X profil E15</v>
      </c>
      <c r="D1011" s="4" t="str">
        <f ca="1">IFERROR(__xludf.DUMMYFUNCTION("""COMPUTED_VALUE"""),"https://x.com")</f>
        <v>https://x.com</v>
      </c>
      <c r="E1011" s="3" t="str">
        <f ca="1">IFERROR(__xludf.DUMMYFUNCTION("""COMPUTED_VALUE"""),"X")</f>
        <v>X</v>
      </c>
      <c r="F1011" s="4" t="str">
        <f ca="1">IFERROR(__xludf.DUMMYFUNCTION("""COMPUTED_VALUE"""),"https://x.com")</f>
        <v>https://x.com</v>
      </c>
      <c r="G1011" s="3" t="str">
        <f ca="1">IFERROR(__xludf.DUMMYFUNCTION("""COMPUTED_VALUE"""),"X post high season")</f>
        <v>X post high season</v>
      </c>
      <c r="H1011" s="3">
        <f ca="1">IFERROR(__xludf.DUMMYFUNCTION("""COMPUTED_VALUE"""),1)</f>
        <v>1</v>
      </c>
      <c r="I1011" s="5">
        <f ca="1">IFERROR(__xludf.DUMMYFUNCTION("""COMPUTED_VALUE"""),1)</f>
        <v>1</v>
      </c>
      <c r="J1011" s="5">
        <f ca="1">IFERROR(__xludf.DUMMYFUNCTION("""COMPUTED_VALUE"""),18000)</f>
        <v>18000</v>
      </c>
      <c r="K1011" s="3"/>
      <c r="L1011" s="3" t="str">
        <f ca="1">IFERROR(__xludf.DUMMYFUNCTION("""COMPUTED_VALUE"""),"Cost per instance")</f>
        <v>Cost per instance</v>
      </c>
      <c r="M1011" s="3"/>
      <c r="N1011" s="3"/>
      <c r="O1011" s="3"/>
      <c r="P1011" s="3"/>
      <c r="Q1011" s="3"/>
      <c r="R1011" s="3"/>
      <c r="S1011" s="3" t="str">
        <f ca="1">IFERROR(__xludf.DUMMYFUNCTION("""COMPUTED_VALUE"""),"100")</f>
        <v>100</v>
      </c>
      <c r="T1011" s="3"/>
      <c r="U1011" s="3" t="str">
        <f ca="1">IFERROR(__xludf.DUMMYFUNCTION("""COMPUTED_VALUE"""),"SoMe X")</f>
        <v>SoMe X</v>
      </c>
      <c r="V1011" s="3"/>
      <c r="W1011" s="3"/>
      <c r="X1011" s="3"/>
      <c r="Y1011" s="3"/>
      <c r="Z1011" s="3" t="str">
        <f ca="1">IFERROR(__xludf.DUMMYFUNCTION("""COMPUTED_VALUE"""),"podklady@cncenter.cz")</f>
        <v>podklady@cncenter.cz</v>
      </c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 t="str">
        <f ca="1">IFERROR(__xludf.DUMMYFUNCTION("""COMPUTED_VALUE"""),"cross-device")</f>
        <v>cross-device</v>
      </c>
      <c r="AO1011" s="3"/>
      <c r="AP1011" s="3"/>
      <c r="AQ1011" s="3"/>
      <c r="AR1011" s="3"/>
      <c r="AS1011" s="3"/>
      <c r="AT1011" s="3"/>
      <c r="AU1011" s="3" t="str">
        <f ca="1">IFERROR(__xludf.DUMMYFUNCTION("""COMPUTED_VALUE"""),"X post")</f>
        <v>X post</v>
      </c>
    </row>
    <row r="1012" spans="1:47" x14ac:dyDescent="0.3">
      <c r="A1012" s="3">
        <f ca="1"/>
        <v>2346826</v>
      </c>
      <c r="B1012" s="3" t="str">
        <f ca="1"/>
        <v>CZECH NEWS CENTER a. s.</v>
      </c>
      <c r="C1012" s="3" t="str">
        <f ca="1">IFERROR(__xludf.DUMMYFUNCTION("""COMPUTED_VALUE"""),"X profil FOMO")</f>
        <v>X profil FOMO</v>
      </c>
      <c r="D1012" s="4" t="str">
        <f ca="1">IFERROR(__xludf.DUMMYFUNCTION("""COMPUTED_VALUE"""),"https://x.com")</f>
        <v>https://x.com</v>
      </c>
      <c r="E1012" s="3" t="str">
        <f ca="1">IFERROR(__xludf.DUMMYFUNCTION("""COMPUTED_VALUE"""),"X")</f>
        <v>X</v>
      </c>
      <c r="F1012" s="4" t="str">
        <f ca="1">IFERROR(__xludf.DUMMYFUNCTION("""COMPUTED_VALUE"""),"https://x.com")</f>
        <v>https://x.com</v>
      </c>
      <c r="G1012" s="3" t="str">
        <f ca="1">IFERROR(__xludf.DUMMYFUNCTION("""COMPUTED_VALUE"""),"X post high season")</f>
        <v>X post high season</v>
      </c>
      <c r="H1012" s="3">
        <f ca="1">IFERROR(__xludf.DUMMYFUNCTION("""COMPUTED_VALUE"""),1)</f>
        <v>1</v>
      </c>
      <c r="I1012" s="5">
        <f ca="1">IFERROR(__xludf.DUMMYFUNCTION("""COMPUTED_VALUE"""),1)</f>
        <v>1</v>
      </c>
      <c r="J1012" s="5">
        <f ca="1">IFERROR(__xludf.DUMMYFUNCTION("""COMPUTED_VALUE"""),15000)</f>
        <v>15000</v>
      </c>
      <c r="K1012" s="3"/>
      <c r="L1012" s="3" t="str">
        <f ca="1">IFERROR(__xludf.DUMMYFUNCTION("""COMPUTED_VALUE"""),"Cost per instance")</f>
        <v>Cost per instance</v>
      </c>
      <c r="M1012" s="3"/>
      <c r="N1012" s="3"/>
      <c r="O1012" s="3"/>
      <c r="P1012" s="3"/>
      <c r="Q1012" s="3"/>
      <c r="R1012" s="3"/>
      <c r="S1012" s="3" t="str">
        <f ca="1">IFERROR(__xludf.DUMMYFUNCTION("""COMPUTED_VALUE"""),"100")</f>
        <v>100</v>
      </c>
      <c r="T1012" s="3"/>
      <c r="U1012" s="3" t="str">
        <f ca="1">IFERROR(__xludf.DUMMYFUNCTION("""COMPUTED_VALUE"""),"SoMe X")</f>
        <v>SoMe X</v>
      </c>
      <c r="V1012" s="3"/>
      <c r="W1012" s="3"/>
      <c r="X1012" s="3"/>
      <c r="Y1012" s="3"/>
      <c r="Z1012" s="3" t="str">
        <f ca="1">IFERROR(__xludf.DUMMYFUNCTION("""COMPUTED_VALUE"""),"podklady@cncenter.cz")</f>
        <v>podklady@cncenter.cz</v>
      </c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 t="str">
        <f ca="1">IFERROR(__xludf.DUMMYFUNCTION("""COMPUTED_VALUE"""),"cross-device")</f>
        <v>cross-device</v>
      </c>
      <c r="AO1012" s="3"/>
      <c r="AP1012" s="3"/>
      <c r="AQ1012" s="3"/>
      <c r="AR1012" s="3"/>
      <c r="AS1012" s="3"/>
      <c r="AT1012" s="3"/>
      <c r="AU1012" s="3" t="str">
        <f ca="1">IFERROR(__xludf.DUMMYFUNCTION("""COMPUTED_VALUE"""),"X post")</f>
        <v>X post</v>
      </c>
    </row>
    <row r="1013" spans="1:47" x14ac:dyDescent="0.3">
      <c r="A1013" s="3">
        <f ca="1"/>
        <v>2346826</v>
      </c>
      <c r="B1013" s="3" t="str">
        <f ca="1"/>
        <v>CZECH NEWS CENTER a. s.</v>
      </c>
      <c r="C1013" s="3" t="str">
        <f ca="1">IFERROR(__xludf.DUMMYFUNCTION("""COMPUTED_VALUE"""),"Youradio")</f>
        <v>Youradio</v>
      </c>
      <c r="D1013" s="4" t="str">
        <f ca="1">IFERROR(__xludf.DUMMYFUNCTION("""COMPUTED_VALUE"""),"https://youradio.cz")</f>
        <v>https://youradio.cz</v>
      </c>
      <c r="E1013" s="3" t="str">
        <f ca="1">IFERROR(__xludf.DUMMYFUNCTION("""COMPUTED_VALUE"""),"celý web")</f>
        <v>celý web</v>
      </c>
      <c r="F1013" s="4" t="str">
        <f ca="1">IFERROR(__xludf.DUMMYFUNCTION("""COMPUTED_VALUE"""),"https://youradio.cz")</f>
        <v>https://youradio.cz</v>
      </c>
      <c r="G1013" s="3" t="str">
        <f ca="1">IFERROR(__xludf.DUMMYFUNCTION("""COMPUTED_VALUE"""),"cílený double skyscraper high season")</f>
        <v>cílený double skyscraper high season</v>
      </c>
      <c r="H1013" s="3">
        <f ca="1">IFERROR(__xludf.DUMMYFUNCTION("""COMPUTED_VALUE"""),7)</f>
        <v>7</v>
      </c>
      <c r="I1013" s="5">
        <f ca="1">IFERROR(__xludf.DUMMYFUNCTION("""COMPUTED_VALUE"""),1000)</f>
        <v>1000</v>
      </c>
      <c r="J1013" s="5">
        <f ca="1">IFERROR(__xludf.DUMMYFUNCTION("""COMPUTED_VALUE"""),420)</f>
        <v>420</v>
      </c>
      <c r="K1013" s="3"/>
      <c r="L1013" s="3" t="str">
        <f ca="1">IFERROR(__xludf.DUMMYFUNCTION("""COMPUTED_VALUE"""),"Cost per period")</f>
        <v>Cost per period</v>
      </c>
      <c r="M1013" s="3"/>
      <c r="N1013" s="3"/>
      <c r="O1013" s="3" t="str">
        <f ca="1">IFERROR(__xludf.DUMMYFUNCTION("""COMPUTED_VALUE"""),"300")</f>
        <v>300</v>
      </c>
      <c r="P1013" s="3" t="str">
        <f ca="1">IFERROR(__xludf.DUMMYFUNCTION("""COMPUTED_VALUE"""),"600")</f>
        <v>600</v>
      </c>
      <c r="Q1013" s="3" t="str">
        <f ca="1">IFERROR(__xludf.DUMMYFUNCTION("""COMPUTED_VALUE"""),"300x600")</f>
        <v>300x600</v>
      </c>
      <c r="R1013" s="3"/>
      <c r="S1013" s="3" t="str">
        <f ca="1">IFERROR(__xludf.DUMMYFUNCTION("""COMPUTED_VALUE"""),"100 (200 - HTML5)")</f>
        <v>100 (200 - HTML5)</v>
      </c>
      <c r="T1013" s="3"/>
      <c r="U1013" s="3" t="str">
        <f ca="1">IFERROR(__xludf.DUMMYFUNCTION("""COMPUTED_VALUE"""),"banner standard")</f>
        <v>banner standard</v>
      </c>
      <c r="V1013" s="3"/>
      <c r="W1013" s="4" t="str">
        <f ca="1">IFERROR(__xludf.DUMMYFUNCTION("""COMPUTED_VALUE"""),"https://reklama.cncenter.cz/Online/double-skyscraper")</f>
        <v>https://reklama.cncenter.cz/Online/double-skyscraper</v>
      </c>
      <c r="X1013" s="3"/>
      <c r="Y1013" s="3"/>
      <c r="Z1013" s="3" t="str">
        <f ca="1">IFERROR(__xludf.DUMMYFUNCTION("""COMPUTED_VALUE"""),"podklady@cncenter.cz")</f>
        <v>podklady@cncenter.cz</v>
      </c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 t="str">
        <f ca="1">IFERROR(__xludf.DUMMYFUNCTION("""COMPUTED_VALUE"""),"desktop")</f>
        <v>desktop</v>
      </c>
      <c r="AO1013" s="3"/>
      <c r="AP1013" s="3"/>
      <c r="AQ1013" s="3"/>
      <c r="AR1013" s="3"/>
      <c r="AS1013" s="3"/>
      <c r="AT1013" s="3"/>
      <c r="AU1013" s="3" t="str">
        <f ca="1">IFERROR(__xludf.DUMMYFUNCTION("""COMPUTED_VALUE"""),"cílený double skyscraper")</f>
        <v>cílený double skyscraper</v>
      </c>
    </row>
    <row r="1014" spans="1:47" x14ac:dyDescent="0.3">
      <c r="A1014" s="3">
        <f ca="1"/>
        <v>2346826</v>
      </c>
      <c r="B1014" s="3" t="str">
        <f ca="1"/>
        <v>CZECH NEWS CENTER a. s.</v>
      </c>
      <c r="C1014" s="3" t="str">
        <f ca="1">IFERROR(__xludf.DUMMYFUNCTION("""COMPUTED_VALUE"""),"Youradio")</f>
        <v>Youradio</v>
      </c>
      <c r="D1014" s="4" t="str">
        <f ca="1">IFERROR(__xludf.DUMMYFUNCTION("""COMPUTED_VALUE"""),"https://youradio.cz")</f>
        <v>https://youradio.cz</v>
      </c>
      <c r="E1014" s="3" t="str">
        <f ca="1">IFERROR(__xludf.DUMMYFUNCTION("""COMPUTED_VALUE"""),"celý web")</f>
        <v>celý web</v>
      </c>
      <c r="F1014" s="4" t="str">
        <f ca="1">IFERROR(__xludf.DUMMYFUNCTION("""COMPUTED_VALUE"""),"https://youradio.cz")</f>
        <v>https://youradio.cz</v>
      </c>
      <c r="G1014" s="3" t="str">
        <f ca="1">IFERROR(__xludf.DUMMYFUNCTION("""COMPUTED_VALUE"""),"double skyscraper high season")</f>
        <v>double skyscraper high season</v>
      </c>
      <c r="H1014" s="3">
        <f ca="1">IFERROR(__xludf.DUMMYFUNCTION("""COMPUTED_VALUE"""),7)</f>
        <v>7</v>
      </c>
      <c r="I1014" s="5">
        <f ca="1">IFERROR(__xludf.DUMMYFUNCTION("""COMPUTED_VALUE"""),1000)</f>
        <v>1000</v>
      </c>
      <c r="J1014" s="5">
        <f ca="1">IFERROR(__xludf.DUMMYFUNCTION("""COMPUTED_VALUE"""),350)</f>
        <v>350</v>
      </c>
      <c r="K1014" s="3"/>
      <c r="L1014" s="3" t="str">
        <f ca="1">IFERROR(__xludf.DUMMYFUNCTION("""COMPUTED_VALUE"""),"Cost per period")</f>
        <v>Cost per period</v>
      </c>
      <c r="M1014" s="3"/>
      <c r="N1014" s="3"/>
      <c r="O1014" s="3" t="str">
        <f ca="1">IFERROR(__xludf.DUMMYFUNCTION("""COMPUTED_VALUE"""),"300")</f>
        <v>300</v>
      </c>
      <c r="P1014" s="3" t="str">
        <f ca="1">IFERROR(__xludf.DUMMYFUNCTION("""COMPUTED_VALUE"""),"600")</f>
        <v>600</v>
      </c>
      <c r="Q1014" s="3" t="str">
        <f ca="1">IFERROR(__xludf.DUMMYFUNCTION("""COMPUTED_VALUE"""),"300x600")</f>
        <v>300x600</v>
      </c>
      <c r="R1014" s="3"/>
      <c r="S1014" s="3" t="str">
        <f ca="1">IFERROR(__xludf.DUMMYFUNCTION("""COMPUTED_VALUE"""),"100 (200 - HTML5)")</f>
        <v>100 (200 - HTML5)</v>
      </c>
      <c r="T1014" s="3"/>
      <c r="U1014" s="3" t="str">
        <f ca="1">IFERROR(__xludf.DUMMYFUNCTION("""COMPUTED_VALUE"""),"banner standard")</f>
        <v>banner standard</v>
      </c>
      <c r="V1014" s="3"/>
      <c r="W1014" s="4" t="str">
        <f ca="1">IFERROR(__xludf.DUMMYFUNCTION("""COMPUTED_VALUE"""),"https://reklama.cncenter.cz/Online/double-skyscraper")</f>
        <v>https://reklama.cncenter.cz/Online/double-skyscraper</v>
      </c>
      <c r="X1014" s="3"/>
      <c r="Y1014" s="3"/>
      <c r="Z1014" s="3" t="str">
        <f ca="1">IFERROR(__xludf.DUMMYFUNCTION("""COMPUTED_VALUE"""),"podklady@cncenter.cz")</f>
        <v>podklady@cncenter.cz</v>
      </c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 t="str">
        <f ca="1">IFERROR(__xludf.DUMMYFUNCTION("""COMPUTED_VALUE"""),"desktop")</f>
        <v>desktop</v>
      </c>
      <c r="AO1014" s="3"/>
      <c r="AP1014" s="3"/>
      <c r="AQ1014" s="3"/>
      <c r="AR1014" s="3"/>
      <c r="AS1014" s="3"/>
      <c r="AT1014" s="3"/>
      <c r="AU1014" s="3" t="str">
        <f ca="1">IFERROR(__xludf.DUMMYFUNCTION("""COMPUTED_VALUE"""),"double skyscraper")</f>
        <v>double skyscraper</v>
      </c>
    </row>
    <row r="1015" spans="1:47" x14ac:dyDescent="0.3">
      <c r="A1015" s="3">
        <f ca="1"/>
        <v>2346826</v>
      </c>
      <c r="B1015" s="3" t="str">
        <f ca="1"/>
        <v>CZECH NEWS CENTER a. s.</v>
      </c>
      <c r="C1015" s="3" t="str">
        <f ca="1">IFERROR(__xludf.DUMMYFUNCTION("""COMPUTED_VALUE"""),"Ženy")</f>
        <v>Ženy</v>
      </c>
      <c r="D1015" s="4" t="str">
        <f ca="1">IFERROR(__xludf.DUMMYFUNCTION("""COMPUTED_VALUE"""),"https://zeny.cz")</f>
        <v>https://zeny.cz</v>
      </c>
      <c r="E1015" s="3" t="str">
        <f ca="1">IFERROR(__xludf.DUMMYFUNCTION("""COMPUTED_VALUE"""),"celý web")</f>
        <v>celý web</v>
      </c>
      <c r="F1015" s="4" t="str">
        <f ca="1">IFERROR(__xludf.DUMMYFUNCTION("""COMPUTED_VALUE"""),"https://zeny.cz")</f>
        <v>https://zeny.cz</v>
      </c>
      <c r="G1015" s="3" t="str">
        <f ca="1">IFERROR(__xludf.DUMMYFUNCTION("""COMPUTED_VALUE"""),"Advertorial high season")</f>
        <v>Advertorial high season</v>
      </c>
      <c r="H1015" s="3">
        <f ca="1">IFERROR(__xludf.DUMMYFUNCTION("""COMPUTED_VALUE"""),1)</f>
        <v>1</v>
      </c>
      <c r="I1015" s="5">
        <f ca="1">IFERROR(__xludf.DUMMYFUNCTION("""COMPUTED_VALUE"""),1)</f>
        <v>1</v>
      </c>
      <c r="J1015" s="5">
        <f ca="1">IFERROR(__xludf.DUMMYFUNCTION("""COMPUTED_VALUE"""),90000)</f>
        <v>90000</v>
      </c>
      <c r="K1015" s="3"/>
      <c r="L1015" s="3" t="str">
        <f ca="1">IFERROR(__xludf.DUMMYFUNCTION("""COMPUTED_VALUE"""),"Cost per instance")</f>
        <v>Cost per instance</v>
      </c>
      <c r="M1015" s="3"/>
      <c r="N1015" s="3"/>
      <c r="O1015" s="3"/>
      <c r="P1015" s="3"/>
      <c r="Q1015" s="3"/>
      <c r="R1015" s="3"/>
      <c r="S1015" s="3" t="str">
        <f ca="1">IFERROR(__xludf.DUMMYFUNCTION("""COMPUTED_VALUE"""),"100")</f>
        <v>100</v>
      </c>
      <c r="T1015" s="3"/>
      <c r="U1015" s="3" t="str">
        <f ca="1">IFERROR(__xludf.DUMMYFUNCTION("""COMPUTED_VALUE"""),"pr článek")</f>
        <v>pr článek</v>
      </c>
      <c r="V1015" s="3"/>
      <c r="W1015" s="3"/>
      <c r="X1015" s="3"/>
      <c r="Y1015" s="3"/>
      <c r="Z1015" s="3" t="str">
        <f ca="1">IFERROR(__xludf.DUMMYFUNCTION("""COMPUTED_VALUE"""),"podklady@cncenter.cz")</f>
        <v>podklady@cncenter.cz</v>
      </c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 t="str">
        <f ca="1">IFERROR(__xludf.DUMMYFUNCTION("""COMPUTED_VALUE"""),"cross-device")</f>
        <v>cross-device</v>
      </c>
      <c r="AO1015" s="3"/>
      <c r="AP1015" s="3"/>
      <c r="AQ1015" s="3"/>
      <c r="AR1015" s="3"/>
      <c r="AS1015" s="3"/>
      <c r="AT1015" s="3"/>
      <c r="AU1015" s="3" t="str">
        <f ca="1">IFERROR(__xludf.DUMMYFUNCTION("""COMPUTED_VALUE"""),"Advertorial")</f>
        <v>Advertorial</v>
      </c>
    </row>
    <row r="1016" spans="1:47" x14ac:dyDescent="0.3">
      <c r="A1016" s="3">
        <f ca="1"/>
        <v>2346826</v>
      </c>
      <c r="B1016" s="3" t="str">
        <f ca="1"/>
        <v>CZECH NEWS CENTER a. s.</v>
      </c>
      <c r="C1016" s="3" t="str">
        <f ca="1">IFERROR(__xludf.DUMMYFUNCTION("""COMPUTED_VALUE"""),"Ženy")</f>
        <v>Ženy</v>
      </c>
      <c r="D1016" s="4" t="str">
        <f ca="1">IFERROR(__xludf.DUMMYFUNCTION("""COMPUTED_VALUE"""),"https://zeny.cz")</f>
        <v>https://zeny.cz</v>
      </c>
      <c r="E1016" s="3" t="str">
        <f ca="1">IFERROR(__xludf.DUMMYFUNCTION("""COMPUTED_VALUE"""),"celý web")</f>
        <v>celý web</v>
      </c>
      <c r="F1016" s="4" t="str">
        <f ca="1">IFERROR(__xludf.DUMMYFUNCTION("""COMPUTED_VALUE"""),"https://zeny.cz")</f>
        <v>https://zeny.cz</v>
      </c>
      <c r="G1016" s="3" t="str">
        <f ca="1">IFERROR(__xludf.DUMMYFUNCTION("""COMPUTED_VALUE"""),"billboard bottom high season")</f>
        <v>billboard bottom high season</v>
      </c>
      <c r="H1016" s="3">
        <f ca="1">IFERROR(__xludf.DUMMYFUNCTION("""COMPUTED_VALUE"""),7)</f>
        <v>7</v>
      </c>
      <c r="I1016" s="5">
        <f ca="1">IFERROR(__xludf.DUMMYFUNCTION("""COMPUTED_VALUE"""),1000)</f>
        <v>1000</v>
      </c>
      <c r="J1016" s="5">
        <f ca="1">IFERROR(__xludf.DUMMYFUNCTION("""COMPUTED_VALUE"""),440)</f>
        <v>440</v>
      </c>
      <c r="K1016" s="3"/>
      <c r="L1016" s="3" t="str">
        <f ca="1">IFERROR(__xludf.DUMMYFUNCTION("""COMPUTED_VALUE"""),"Cost per period")</f>
        <v>Cost per period</v>
      </c>
      <c r="M1016" s="3"/>
      <c r="N1016" s="3"/>
      <c r="O1016" s="3" t="str">
        <f ca="1">IFERROR(__xludf.DUMMYFUNCTION("""COMPUTED_VALUE"""),"970")</f>
        <v>970</v>
      </c>
      <c r="P1016" s="3" t="str">
        <f ca="1">IFERROR(__xludf.DUMMYFUNCTION("""COMPUTED_VALUE"""),"250")</f>
        <v>250</v>
      </c>
      <c r="Q1016" s="3" t="str">
        <f ca="1">IFERROR(__xludf.DUMMYFUNCTION("""COMPUTED_VALUE"""),"970x250")</f>
        <v>970x250</v>
      </c>
      <c r="R1016" s="3"/>
      <c r="S1016" s="3" t="str">
        <f ca="1">IFERROR(__xludf.DUMMYFUNCTION("""COMPUTED_VALUE"""),"100 (200 - HTML5)")</f>
        <v>100 (200 - HTML5)</v>
      </c>
      <c r="T1016" s="3"/>
      <c r="U1016" s="3" t="str">
        <f ca="1">IFERROR(__xludf.DUMMYFUNCTION("""COMPUTED_VALUE"""),"banner standard")</f>
        <v>banner standard</v>
      </c>
      <c r="V1016" s="3"/>
      <c r="W1016" s="4" t="str">
        <f ca="1">IFERROR(__xludf.DUMMYFUNCTION("""COMPUTED_VALUE"""),"https://reklama.cncenter.cz/Online/billboard-bottom")</f>
        <v>https://reklama.cncenter.cz/Online/billboard-bottom</v>
      </c>
      <c r="X1016" s="3"/>
      <c r="Y1016" s="3"/>
      <c r="Z1016" s="3" t="str">
        <f ca="1">IFERROR(__xludf.DUMMYFUNCTION("""COMPUTED_VALUE"""),"podklady@cncenter.cz")</f>
        <v>podklady@cncenter.cz</v>
      </c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 t="str">
        <f ca="1">IFERROR(__xludf.DUMMYFUNCTION("""COMPUTED_VALUE"""),"desktop")</f>
        <v>desktop</v>
      </c>
      <c r="AO1016" s="3"/>
      <c r="AP1016" s="3"/>
      <c r="AQ1016" s="3"/>
      <c r="AR1016" s="3"/>
      <c r="AS1016" s="3"/>
      <c r="AT1016" s="3"/>
      <c r="AU1016" s="3" t="str">
        <f ca="1">IFERROR(__xludf.DUMMYFUNCTION("""COMPUTED_VALUE"""),"billboard bottom")</f>
        <v>billboard bottom</v>
      </c>
    </row>
    <row r="1017" spans="1:47" x14ac:dyDescent="0.3">
      <c r="A1017" s="3">
        <f ca="1"/>
        <v>2346826</v>
      </c>
      <c r="B1017" s="3" t="str">
        <f ca="1"/>
        <v>CZECH NEWS CENTER a. s.</v>
      </c>
      <c r="C1017" s="3" t="str">
        <f ca="1">IFERROR(__xludf.DUMMYFUNCTION("""COMPUTED_VALUE"""),"Ženy")</f>
        <v>Ženy</v>
      </c>
      <c r="D1017" s="4" t="str">
        <f ca="1">IFERROR(__xludf.DUMMYFUNCTION("""COMPUTED_VALUE"""),"https://zeny.cz")</f>
        <v>https://zeny.cz</v>
      </c>
      <c r="E1017" s="3" t="str">
        <f ca="1">IFERROR(__xludf.DUMMYFUNCTION("""COMPUTED_VALUE"""),"celý web")</f>
        <v>celý web</v>
      </c>
      <c r="F1017" s="4" t="str">
        <f ca="1">IFERROR(__xludf.DUMMYFUNCTION("""COMPUTED_VALUE"""),"https://zeny.cz")</f>
        <v>https://zeny.cz</v>
      </c>
      <c r="G1017" s="3" t="str">
        <f ca="1">IFERROR(__xludf.DUMMYFUNCTION("""COMPUTED_VALUE"""),"branding cross-device high season")</f>
        <v>branding cross-device high season</v>
      </c>
      <c r="H1017" s="3">
        <f ca="1">IFERROR(__xludf.DUMMYFUNCTION("""COMPUTED_VALUE"""),7)</f>
        <v>7</v>
      </c>
      <c r="I1017" s="5">
        <f ca="1">IFERROR(__xludf.DUMMYFUNCTION("""COMPUTED_VALUE"""),1000)</f>
        <v>1000</v>
      </c>
      <c r="J1017" s="5">
        <f ca="1">IFERROR(__xludf.DUMMYFUNCTION("""COMPUTED_VALUE"""),540)</f>
        <v>540</v>
      </c>
      <c r="K1017" s="3"/>
      <c r="L1017" s="3" t="str">
        <f ca="1">IFERROR(__xludf.DUMMYFUNCTION("""COMPUTED_VALUE"""),"Cost per period")</f>
        <v>Cost per period</v>
      </c>
      <c r="M1017" s="3"/>
      <c r="N1017" s="3"/>
      <c r="O1017" s="3" t="str">
        <f ca="1">IFERROR(__xludf.DUMMYFUNCTION("""COMPUTED_VALUE"""),"2000")</f>
        <v>2000</v>
      </c>
      <c r="P1017" s="3" t="str">
        <f ca="1">IFERROR(__xludf.DUMMYFUNCTION("""COMPUTED_VALUE"""),"1400")</f>
        <v>1400</v>
      </c>
      <c r="Q1017" s="3" t="str">
        <f ca="1">IFERROR(__xludf.DUMMYFUNCTION("""COMPUTED_VALUE"""),"2000x1400 + 600x1080")</f>
        <v>2000x1400 + 600x1080</v>
      </c>
      <c r="R1017" s="3"/>
      <c r="S1017" s="3" t="str">
        <f ca="1">IFERROR(__xludf.DUMMYFUNCTION("""COMPUTED_VALUE"""),"500 (600 - HTLM5)")</f>
        <v>500 (600 - HTLM5)</v>
      </c>
      <c r="T1017" s="3"/>
      <c r="U1017" s="3" t="str">
        <f ca="1">IFERROR(__xludf.DUMMYFUNCTION("""COMPUTED_VALUE"""),"banner standard")</f>
        <v>banner standard</v>
      </c>
      <c r="V1017" s="3"/>
      <c r="W1017" s="4" t="str">
        <f ca="1">IFERROR(__xludf.DUMMYFUNCTION("""COMPUTED_VALUE"""),"https://reklama.cncenter.cz/Online/branding-cross-device")</f>
        <v>https://reklama.cncenter.cz/Online/branding-cross-device</v>
      </c>
      <c r="X1017" s="3"/>
      <c r="Y1017" s="3"/>
      <c r="Z1017" s="3" t="str">
        <f ca="1">IFERROR(__xludf.DUMMYFUNCTION("""COMPUTED_VALUE"""),"podklady@cncenter.cz")</f>
        <v>podklady@cncenter.cz</v>
      </c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 t="str">
        <f ca="1">IFERROR(__xludf.DUMMYFUNCTION("""COMPUTED_VALUE"""),"cross-device")</f>
        <v>cross-device</v>
      </c>
      <c r="AO1017" s="3"/>
      <c r="AP1017" s="3"/>
      <c r="AQ1017" s="3"/>
      <c r="AR1017" s="3"/>
      <c r="AS1017" s="3"/>
      <c r="AT1017" s="3"/>
      <c r="AU1017" s="3" t="str">
        <f ca="1">IFERROR(__xludf.DUMMYFUNCTION("""COMPUTED_VALUE"""),"branding cross-device")</f>
        <v>branding cross-device</v>
      </c>
    </row>
    <row r="1018" spans="1:47" x14ac:dyDescent="0.3">
      <c r="A1018" s="3">
        <f ca="1"/>
        <v>2346826</v>
      </c>
      <c r="B1018" s="3" t="str">
        <f ca="1"/>
        <v>CZECH NEWS CENTER a. s.</v>
      </c>
      <c r="C1018" s="3" t="str">
        <f ca="1">IFERROR(__xludf.DUMMYFUNCTION("""COMPUTED_VALUE"""),"Ženy")</f>
        <v>Ženy</v>
      </c>
      <c r="D1018" s="4" t="str">
        <f ca="1">IFERROR(__xludf.DUMMYFUNCTION("""COMPUTED_VALUE"""),"https://zeny.cz")</f>
        <v>https://zeny.cz</v>
      </c>
      <c r="E1018" s="3" t="str">
        <f ca="1">IFERROR(__xludf.DUMMYFUNCTION("""COMPUTED_VALUE"""),"celý web")</f>
        <v>celý web</v>
      </c>
      <c r="F1018" s="4" t="str">
        <f ca="1">IFERROR(__xludf.DUMMYFUNCTION("""COMPUTED_VALUE"""),"https://zeny.cz")</f>
        <v>https://zeny.cz</v>
      </c>
      <c r="G1018" s="3" t="str">
        <f ca="1">IFERROR(__xludf.DUMMYFUNCTION("""COMPUTED_VALUE"""),"branding high season")</f>
        <v>branding high season</v>
      </c>
      <c r="H1018" s="3">
        <f ca="1">IFERROR(__xludf.DUMMYFUNCTION("""COMPUTED_VALUE"""),7)</f>
        <v>7</v>
      </c>
      <c r="I1018" s="5">
        <f ca="1">IFERROR(__xludf.DUMMYFUNCTION("""COMPUTED_VALUE"""),1000)</f>
        <v>1000</v>
      </c>
      <c r="J1018" s="5">
        <f ca="1">IFERROR(__xludf.DUMMYFUNCTION("""COMPUTED_VALUE"""),890)</f>
        <v>890</v>
      </c>
      <c r="K1018" s="3"/>
      <c r="L1018" s="3" t="str">
        <f ca="1">IFERROR(__xludf.DUMMYFUNCTION("""COMPUTED_VALUE"""),"Cost per period")</f>
        <v>Cost per period</v>
      </c>
      <c r="M1018" s="3"/>
      <c r="N1018" s="3"/>
      <c r="O1018" s="3" t="str">
        <f ca="1">IFERROR(__xludf.DUMMYFUNCTION("""COMPUTED_VALUE"""),"2000")</f>
        <v>2000</v>
      </c>
      <c r="P1018" s="3" t="str">
        <f ca="1">IFERROR(__xludf.DUMMYFUNCTION("""COMPUTED_VALUE"""),"1400")</f>
        <v>1400</v>
      </c>
      <c r="Q1018" s="3" t="str">
        <f ca="1">IFERROR(__xludf.DUMMYFUNCTION("""COMPUTED_VALUE"""),"2000x1400")</f>
        <v>2000x1400</v>
      </c>
      <c r="R1018" s="3"/>
      <c r="S1018" s="3" t="str">
        <f ca="1">IFERROR(__xludf.DUMMYFUNCTION("""COMPUTED_VALUE"""),"500 + 200 (600+200 HTML5)")</f>
        <v>500 + 200 (600+200 HTML5)</v>
      </c>
      <c r="T1018" s="3"/>
      <c r="U1018" s="3" t="str">
        <f ca="1">IFERROR(__xludf.DUMMYFUNCTION("""COMPUTED_VALUE"""),"banner standard")</f>
        <v>banner standard</v>
      </c>
      <c r="V1018" s="3"/>
      <c r="W1018" s="4" t="str">
        <f ca="1">IFERROR(__xludf.DUMMYFUNCTION("""COMPUTED_VALUE"""),"https://reklama.cncenter.cz/Online/branding")</f>
        <v>https://reklama.cncenter.cz/Online/branding</v>
      </c>
      <c r="X1018" s="3"/>
      <c r="Y1018" s="3"/>
      <c r="Z1018" s="3" t="str">
        <f ca="1">IFERROR(__xludf.DUMMYFUNCTION("""COMPUTED_VALUE"""),"podklady@cncenter.cz")</f>
        <v>podklady@cncenter.cz</v>
      </c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 t="str">
        <f ca="1">IFERROR(__xludf.DUMMYFUNCTION("""COMPUTED_VALUE"""),"desktop")</f>
        <v>desktop</v>
      </c>
      <c r="AO1018" s="3"/>
      <c r="AP1018" s="3"/>
      <c r="AQ1018" s="3"/>
      <c r="AR1018" s="3"/>
      <c r="AS1018" s="3"/>
      <c r="AT1018" s="3"/>
      <c r="AU1018" s="3" t="str">
        <f ca="1">IFERROR(__xludf.DUMMYFUNCTION("""COMPUTED_VALUE"""),"branding")</f>
        <v>branding</v>
      </c>
    </row>
    <row r="1019" spans="1:47" x14ac:dyDescent="0.3">
      <c r="A1019" s="3">
        <f ca="1"/>
        <v>2346826</v>
      </c>
      <c r="B1019" s="3" t="str">
        <f ca="1"/>
        <v>CZECH NEWS CENTER a. s.</v>
      </c>
      <c r="C1019" s="3" t="str">
        <f ca="1">IFERROR(__xludf.DUMMYFUNCTION("""COMPUTED_VALUE"""),"Ženy")</f>
        <v>Ženy</v>
      </c>
      <c r="D1019" s="4" t="str">
        <f ca="1">IFERROR(__xludf.DUMMYFUNCTION("""COMPUTED_VALUE"""),"https://zeny.cz")</f>
        <v>https://zeny.cz</v>
      </c>
      <c r="E1019" s="3" t="str">
        <f ca="1">IFERROR(__xludf.DUMMYFUNCTION("""COMPUTED_VALUE"""),"celý web")</f>
        <v>celý web</v>
      </c>
      <c r="F1019" s="4" t="str">
        <f ca="1">IFERROR(__xludf.DUMMYFUNCTION("""COMPUTED_VALUE"""),"https://zeny.cz")</f>
        <v>https://zeny.cz</v>
      </c>
      <c r="G1019" s="3" t="str">
        <f ca="1">IFERROR(__xludf.DUMMYFUNCTION("""COMPUTED_VALUE"""),"cílený billboard bottom high season")</f>
        <v>cílený billboard bottom high season</v>
      </c>
      <c r="H1019" s="3">
        <f ca="1">IFERROR(__xludf.DUMMYFUNCTION("""COMPUTED_VALUE"""),7)</f>
        <v>7</v>
      </c>
      <c r="I1019" s="5">
        <f ca="1">IFERROR(__xludf.DUMMYFUNCTION("""COMPUTED_VALUE"""),1000)</f>
        <v>1000</v>
      </c>
      <c r="J1019" s="5">
        <f ca="1">IFERROR(__xludf.DUMMYFUNCTION("""COMPUTED_VALUE"""),528)</f>
        <v>528</v>
      </c>
      <c r="K1019" s="3"/>
      <c r="L1019" s="3" t="str">
        <f ca="1">IFERROR(__xludf.DUMMYFUNCTION("""COMPUTED_VALUE"""),"Cost per period")</f>
        <v>Cost per period</v>
      </c>
      <c r="M1019" s="3"/>
      <c r="N1019" s="3"/>
      <c r="O1019" s="3" t="str">
        <f ca="1">IFERROR(__xludf.DUMMYFUNCTION("""COMPUTED_VALUE"""),"970")</f>
        <v>970</v>
      </c>
      <c r="P1019" s="3" t="str">
        <f ca="1">IFERROR(__xludf.DUMMYFUNCTION("""COMPUTED_VALUE"""),"250")</f>
        <v>250</v>
      </c>
      <c r="Q1019" s="3" t="str">
        <f ca="1">IFERROR(__xludf.DUMMYFUNCTION("""COMPUTED_VALUE"""),"970x250")</f>
        <v>970x250</v>
      </c>
      <c r="R1019" s="3"/>
      <c r="S1019" s="3" t="str">
        <f ca="1">IFERROR(__xludf.DUMMYFUNCTION("""COMPUTED_VALUE"""),"100 (200 - HTML5)")</f>
        <v>100 (200 - HTML5)</v>
      </c>
      <c r="T1019" s="3"/>
      <c r="U1019" s="3" t="str">
        <f ca="1">IFERROR(__xludf.DUMMYFUNCTION("""COMPUTED_VALUE"""),"banner standard")</f>
        <v>banner standard</v>
      </c>
      <c r="V1019" s="3"/>
      <c r="W1019" s="4" t="str">
        <f ca="1">IFERROR(__xludf.DUMMYFUNCTION("""COMPUTED_VALUE"""),"https://reklama.cncenter.cz/Online/billboard-bottom")</f>
        <v>https://reklama.cncenter.cz/Online/billboard-bottom</v>
      </c>
      <c r="X1019" s="3"/>
      <c r="Y1019" s="3"/>
      <c r="Z1019" s="3" t="str">
        <f ca="1">IFERROR(__xludf.DUMMYFUNCTION("""COMPUTED_VALUE"""),"podklady@cncenter.cz")</f>
        <v>podklady@cncenter.cz</v>
      </c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 t="str">
        <f ca="1">IFERROR(__xludf.DUMMYFUNCTION("""COMPUTED_VALUE"""),"desktop")</f>
        <v>desktop</v>
      </c>
      <c r="AO1019" s="3"/>
      <c r="AP1019" s="3"/>
      <c r="AQ1019" s="3"/>
      <c r="AR1019" s="3"/>
      <c r="AS1019" s="3"/>
      <c r="AT1019" s="3"/>
      <c r="AU1019" s="3" t="str">
        <f ca="1">IFERROR(__xludf.DUMMYFUNCTION("""COMPUTED_VALUE"""),"cílený billboard bottom")</f>
        <v>cílený billboard bottom</v>
      </c>
    </row>
    <row r="1020" spans="1:47" x14ac:dyDescent="0.3">
      <c r="A1020" s="3">
        <f ca="1"/>
        <v>2346826</v>
      </c>
      <c r="B1020" s="3" t="str">
        <f ca="1"/>
        <v>CZECH NEWS CENTER a. s.</v>
      </c>
      <c r="C1020" s="3" t="str">
        <f ca="1">IFERROR(__xludf.DUMMYFUNCTION("""COMPUTED_VALUE"""),"Ženy")</f>
        <v>Ženy</v>
      </c>
      <c r="D1020" s="4" t="str">
        <f ca="1">IFERROR(__xludf.DUMMYFUNCTION("""COMPUTED_VALUE"""),"https://zeny.cz")</f>
        <v>https://zeny.cz</v>
      </c>
      <c r="E1020" s="3" t="str">
        <f ca="1">IFERROR(__xludf.DUMMYFUNCTION("""COMPUTED_VALUE"""),"celý web")</f>
        <v>celý web</v>
      </c>
      <c r="F1020" s="4" t="str">
        <f ca="1">IFERROR(__xludf.DUMMYFUNCTION("""COMPUTED_VALUE"""),"https://zeny.cz")</f>
        <v>https://zeny.cz</v>
      </c>
      <c r="G1020" s="3" t="str">
        <f ca="1">IFERROR(__xludf.DUMMYFUNCTION("""COMPUTED_VALUE"""),"cílený branding cross-device high season")</f>
        <v>cílený branding cross-device high season</v>
      </c>
      <c r="H1020" s="3">
        <f ca="1">IFERROR(__xludf.DUMMYFUNCTION("""COMPUTED_VALUE"""),7)</f>
        <v>7</v>
      </c>
      <c r="I1020" s="5">
        <f ca="1">IFERROR(__xludf.DUMMYFUNCTION("""COMPUTED_VALUE"""),1000)</f>
        <v>1000</v>
      </c>
      <c r="J1020" s="5">
        <f ca="1">IFERROR(__xludf.DUMMYFUNCTION("""COMPUTED_VALUE"""),648)</f>
        <v>648</v>
      </c>
      <c r="K1020" s="3"/>
      <c r="L1020" s="3" t="str">
        <f ca="1">IFERROR(__xludf.DUMMYFUNCTION("""COMPUTED_VALUE"""),"Cost per period")</f>
        <v>Cost per period</v>
      </c>
      <c r="M1020" s="3"/>
      <c r="N1020" s="3"/>
      <c r="O1020" s="3" t="str">
        <f ca="1">IFERROR(__xludf.DUMMYFUNCTION("""COMPUTED_VALUE"""),"2000")</f>
        <v>2000</v>
      </c>
      <c r="P1020" s="3" t="str">
        <f ca="1">IFERROR(__xludf.DUMMYFUNCTION("""COMPUTED_VALUE"""),"1400")</f>
        <v>1400</v>
      </c>
      <c r="Q1020" s="3" t="str">
        <f ca="1">IFERROR(__xludf.DUMMYFUNCTION("""COMPUTED_VALUE"""),"2000x1400 + 600x1080")</f>
        <v>2000x1400 + 600x1080</v>
      </c>
      <c r="R1020" s="3"/>
      <c r="S1020" s="3" t="str">
        <f ca="1">IFERROR(__xludf.DUMMYFUNCTION("""COMPUTED_VALUE"""),"500 (600 - HTLM5)")</f>
        <v>500 (600 - HTLM5)</v>
      </c>
      <c r="T1020" s="3"/>
      <c r="U1020" s="3" t="str">
        <f ca="1">IFERROR(__xludf.DUMMYFUNCTION("""COMPUTED_VALUE"""),"banner standard")</f>
        <v>banner standard</v>
      </c>
      <c r="V1020" s="3"/>
      <c r="W1020" s="4" t="str">
        <f ca="1">IFERROR(__xludf.DUMMYFUNCTION("""COMPUTED_VALUE"""),"https://reklama.cncenter.cz/Online/branding-cross-device")</f>
        <v>https://reklama.cncenter.cz/Online/branding-cross-device</v>
      </c>
      <c r="X1020" s="3"/>
      <c r="Y1020" s="3"/>
      <c r="Z1020" s="3" t="str">
        <f ca="1">IFERROR(__xludf.DUMMYFUNCTION("""COMPUTED_VALUE"""),"podklady@cncenter.cz")</f>
        <v>podklady@cncenter.cz</v>
      </c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 t="str">
        <f ca="1">IFERROR(__xludf.DUMMYFUNCTION("""COMPUTED_VALUE"""),"cross-device")</f>
        <v>cross-device</v>
      </c>
      <c r="AO1020" s="3"/>
      <c r="AP1020" s="3"/>
      <c r="AQ1020" s="3"/>
      <c r="AR1020" s="3"/>
      <c r="AS1020" s="3"/>
      <c r="AT1020" s="3"/>
      <c r="AU1020" s="3" t="str">
        <f ca="1">IFERROR(__xludf.DUMMYFUNCTION("""COMPUTED_VALUE"""),"cílený branding cross-device")</f>
        <v>cílený branding cross-device</v>
      </c>
    </row>
    <row r="1021" spans="1:47" x14ac:dyDescent="0.3">
      <c r="A1021" s="3">
        <f ca="1"/>
        <v>2346826</v>
      </c>
      <c r="B1021" s="3" t="str">
        <f ca="1"/>
        <v>CZECH NEWS CENTER a. s.</v>
      </c>
      <c r="C1021" s="3" t="str">
        <f ca="1">IFERROR(__xludf.DUMMYFUNCTION("""COMPUTED_VALUE"""),"Ženy")</f>
        <v>Ženy</v>
      </c>
      <c r="D1021" s="4" t="str">
        <f ca="1">IFERROR(__xludf.DUMMYFUNCTION("""COMPUTED_VALUE"""),"https://zeny.cz")</f>
        <v>https://zeny.cz</v>
      </c>
      <c r="E1021" s="3" t="str">
        <f ca="1">IFERROR(__xludf.DUMMYFUNCTION("""COMPUTED_VALUE"""),"celý web")</f>
        <v>celý web</v>
      </c>
      <c r="F1021" s="4" t="str">
        <f ca="1">IFERROR(__xludf.DUMMYFUNCTION("""COMPUTED_VALUE"""),"https://zeny.cz")</f>
        <v>https://zeny.cz</v>
      </c>
      <c r="G1021" s="3" t="str">
        <f ca="1">IFERROR(__xludf.DUMMYFUNCTION("""COMPUTED_VALUE"""),"cílený branding high season")</f>
        <v>cílený branding high season</v>
      </c>
      <c r="H1021" s="3">
        <f ca="1">IFERROR(__xludf.DUMMYFUNCTION("""COMPUTED_VALUE"""),7)</f>
        <v>7</v>
      </c>
      <c r="I1021" s="5">
        <f ca="1">IFERROR(__xludf.DUMMYFUNCTION("""COMPUTED_VALUE"""),1000)</f>
        <v>1000</v>
      </c>
      <c r="J1021" s="5">
        <f ca="1">IFERROR(__xludf.DUMMYFUNCTION("""COMPUTED_VALUE"""),1068)</f>
        <v>1068</v>
      </c>
      <c r="K1021" s="3"/>
      <c r="L1021" s="3" t="str">
        <f ca="1">IFERROR(__xludf.DUMMYFUNCTION("""COMPUTED_VALUE"""),"Cost per period")</f>
        <v>Cost per period</v>
      </c>
      <c r="M1021" s="3"/>
      <c r="N1021" s="3"/>
      <c r="O1021" s="3" t="str">
        <f ca="1">IFERROR(__xludf.DUMMYFUNCTION("""COMPUTED_VALUE"""),"2000")</f>
        <v>2000</v>
      </c>
      <c r="P1021" s="3" t="str">
        <f ca="1">IFERROR(__xludf.DUMMYFUNCTION("""COMPUTED_VALUE"""),"1400")</f>
        <v>1400</v>
      </c>
      <c r="Q1021" s="3" t="str">
        <f ca="1">IFERROR(__xludf.DUMMYFUNCTION("""COMPUTED_VALUE"""),"2000x1400")</f>
        <v>2000x1400</v>
      </c>
      <c r="R1021" s="3"/>
      <c r="S1021" s="3" t="str">
        <f ca="1">IFERROR(__xludf.DUMMYFUNCTION("""COMPUTED_VALUE"""),"500 + 200 (600+200 HTML5)")</f>
        <v>500 + 200 (600+200 HTML5)</v>
      </c>
      <c r="T1021" s="3"/>
      <c r="U1021" s="3" t="str">
        <f ca="1">IFERROR(__xludf.DUMMYFUNCTION("""COMPUTED_VALUE"""),"banner standard")</f>
        <v>banner standard</v>
      </c>
      <c r="V1021" s="3"/>
      <c r="W1021" s="4" t="str">
        <f ca="1">IFERROR(__xludf.DUMMYFUNCTION("""COMPUTED_VALUE"""),"https://reklama.cncenter.cz/Online/branding")</f>
        <v>https://reklama.cncenter.cz/Online/branding</v>
      </c>
      <c r="X1021" s="3"/>
      <c r="Y1021" s="3"/>
      <c r="Z1021" s="3" t="str">
        <f ca="1">IFERROR(__xludf.DUMMYFUNCTION("""COMPUTED_VALUE"""),"podklady@cncenter.cz")</f>
        <v>podklady@cncenter.cz</v>
      </c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 t="str">
        <f ca="1">IFERROR(__xludf.DUMMYFUNCTION("""COMPUTED_VALUE"""),"desktop")</f>
        <v>desktop</v>
      </c>
      <c r="AO1021" s="3"/>
      <c r="AP1021" s="3"/>
      <c r="AQ1021" s="3"/>
      <c r="AR1021" s="3"/>
      <c r="AS1021" s="3"/>
      <c r="AT1021" s="3"/>
      <c r="AU1021" s="3" t="str">
        <f ca="1">IFERROR(__xludf.DUMMYFUNCTION("""COMPUTED_VALUE"""),"cílený branding")</f>
        <v>cílený branding</v>
      </c>
    </row>
    <row r="1022" spans="1:47" x14ac:dyDescent="0.3">
      <c r="A1022" s="3">
        <f ca="1"/>
        <v>2346826</v>
      </c>
      <c r="B1022" s="3" t="str">
        <f ca="1"/>
        <v>CZECH NEWS CENTER a. s.</v>
      </c>
      <c r="C1022" s="3" t="str">
        <f ca="1">IFERROR(__xludf.DUMMYFUNCTION("""COMPUTED_VALUE"""),"Ženy")</f>
        <v>Ženy</v>
      </c>
      <c r="D1022" s="4" t="str">
        <f ca="1">IFERROR(__xludf.DUMMYFUNCTION("""COMPUTED_VALUE"""),"https://zeny.cz")</f>
        <v>https://zeny.cz</v>
      </c>
      <c r="E1022" s="3" t="str">
        <f ca="1">IFERROR(__xludf.DUMMYFUNCTION("""COMPUTED_VALUE"""),"celý web")</f>
        <v>celý web</v>
      </c>
      <c r="F1022" s="4" t="str">
        <f ca="1">IFERROR(__xludf.DUMMYFUNCTION("""COMPUTED_VALUE"""),"https://zeny.cz")</f>
        <v>https://zeny.cz</v>
      </c>
      <c r="G1022" s="3" t="str">
        <f ca="1">IFERROR(__xludf.DUMMYFUNCTION("""COMPUTED_VALUE"""),"cílený double skyscraper high season")</f>
        <v>cílený double skyscraper high season</v>
      </c>
      <c r="H1022" s="3">
        <f ca="1">IFERROR(__xludf.DUMMYFUNCTION("""COMPUTED_VALUE"""),7)</f>
        <v>7</v>
      </c>
      <c r="I1022" s="5">
        <f ca="1">IFERROR(__xludf.DUMMYFUNCTION("""COMPUTED_VALUE"""),1000)</f>
        <v>1000</v>
      </c>
      <c r="J1022" s="5">
        <f ca="1">IFERROR(__xludf.DUMMYFUNCTION("""COMPUTED_VALUE"""),420)</f>
        <v>420</v>
      </c>
      <c r="K1022" s="3"/>
      <c r="L1022" s="3" t="str">
        <f ca="1">IFERROR(__xludf.DUMMYFUNCTION("""COMPUTED_VALUE"""),"Cost per period")</f>
        <v>Cost per period</v>
      </c>
      <c r="M1022" s="3"/>
      <c r="N1022" s="3"/>
      <c r="O1022" s="3" t="str">
        <f ca="1">IFERROR(__xludf.DUMMYFUNCTION("""COMPUTED_VALUE"""),"300")</f>
        <v>300</v>
      </c>
      <c r="P1022" s="3" t="str">
        <f ca="1">IFERROR(__xludf.DUMMYFUNCTION("""COMPUTED_VALUE"""),"600")</f>
        <v>600</v>
      </c>
      <c r="Q1022" s="3" t="str">
        <f ca="1">IFERROR(__xludf.DUMMYFUNCTION("""COMPUTED_VALUE"""),"300x600")</f>
        <v>300x600</v>
      </c>
      <c r="R1022" s="3"/>
      <c r="S1022" s="3" t="str">
        <f ca="1">IFERROR(__xludf.DUMMYFUNCTION("""COMPUTED_VALUE"""),"100 (200 - HTML5)")</f>
        <v>100 (200 - HTML5)</v>
      </c>
      <c r="T1022" s="3"/>
      <c r="U1022" s="3" t="str">
        <f ca="1">IFERROR(__xludf.DUMMYFUNCTION("""COMPUTED_VALUE"""),"banner standard")</f>
        <v>banner standard</v>
      </c>
      <c r="V1022" s="3"/>
      <c r="W1022" s="4" t="str">
        <f ca="1">IFERROR(__xludf.DUMMYFUNCTION("""COMPUTED_VALUE"""),"https://reklama.cncenter.cz/Online/double-skyscraper")</f>
        <v>https://reklama.cncenter.cz/Online/double-skyscraper</v>
      </c>
      <c r="X1022" s="3"/>
      <c r="Y1022" s="3"/>
      <c r="Z1022" s="3" t="str">
        <f ca="1">IFERROR(__xludf.DUMMYFUNCTION("""COMPUTED_VALUE"""),"podklady@cncenter.cz")</f>
        <v>podklady@cncenter.cz</v>
      </c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 t="str">
        <f ca="1">IFERROR(__xludf.DUMMYFUNCTION("""COMPUTED_VALUE"""),"desktop")</f>
        <v>desktop</v>
      </c>
      <c r="AO1022" s="3"/>
      <c r="AP1022" s="3"/>
      <c r="AQ1022" s="3"/>
      <c r="AR1022" s="3"/>
      <c r="AS1022" s="3"/>
      <c r="AT1022" s="3"/>
      <c r="AU1022" s="3" t="str">
        <f ca="1">IFERROR(__xludf.DUMMYFUNCTION("""COMPUTED_VALUE"""),"cílený double skyscraper")</f>
        <v>cílený double skyscraper</v>
      </c>
    </row>
    <row r="1023" spans="1:47" x14ac:dyDescent="0.3">
      <c r="A1023" s="3">
        <f ca="1"/>
        <v>2346826</v>
      </c>
      <c r="B1023" s="3" t="str">
        <f ca="1"/>
        <v>CZECH NEWS CENTER a. s.</v>
      </c>
      <c r="C1023" s="3" t="str">
        <f ca="1">IFERROR(__xludf.DUMMYFUNCTION("""COMPUTED_VALUE"""),"Ženy")</f>
        <v>Ženy</v>
      </c>
      <c r="D1023" s="4" t="str">
        <f ca="1">IFERROR(__xludf.DUMMYFUNCTION("""COMPUTED_VALUE"""),"https://zeny.cz")</f>
        <v>https://zeny.cz</v>
      </c>
      <c r="E1023" s="3" t="str">
        <f ca="1">IFERROR(__xludf.DUMMYFUNCTION("""COMPUTED_VALUE"""),"celý web")</f>
        <v>celý web</v>
      </c>
      <c r="F1023" s="4" t="str">
        <f ca="1">IFERROR(__xludf.DUMMYFUNCTION("""COMPUTED_VALUE"""),"https://zeny.cz")</f>
        <v>https://zeny.cz</v>
      </c>
      <c r="G1023" s="3" t="str">
        <f ca="1">IFERROR(__xludf.DUMMYFUNCTION("""COMPUTED_VALUE"""),"cílený mini videospot - max. 30 sec. high season")</f>
        <v>cílený mini videospot - max. 30 sec. high season</v>
      </c>
      <c r="H1023" s="3">
        <f ca="1">IFERROR(__xludf.DUMMYFUNCTION("""COMPUTED_VALUE"""),7)</f>
        <v>7</v>
      </c>
      <c r="I1023" s="5">
        <f ca="1">IFERROR(__xludf.DUMMYFUNCTION("""COMPUTED_VALUE"""),1000)</f>
        <v>1000</v>
      </c>
      <c r="J1023" s="5">
        <f ca="1">IFERROR(__xludf.DUMMYFUNCTION("""COMPUTED_VALUE"""),312)</f>
        <v>312</v>
      </c>
      <c r="K1023" s="3"/>
      <c r="L1023" s="3" t="str">
        <f ca="1">IFERROR(__xludf.DUMMYFUNCTION("""COMPUTED_VALUE"""),"Cost per period")</f>
        <v>Cost per period</v>
      </c>
      <c r="M1023" s="3"/>
      <c r="N1023" s="3"/>
      <c r="O1023" s="3"/>
      <c r="P1023" s="3"/>
      <c r="Q1023" s="3" t="str">
        <f ca="1">IFERROR(__xludf.DUMMYFUNCTION("""COMPUTED_VALUE"""),"16:9 / umístění po domluvě dle možností")</f>
        <v>16:9 / umístění po domluvě dle možností</v>
      </c>
      <c r="R1023" s="3" t="str">
        <f ca="1">IFERROR(__xludf.DUMMYFUNCTION("""COMPUTED_VALUE"""),"přeskočení po 7 sekundách")</f>
        <v>přeskočení po 7 sekundách</v>
      </c>
      <c r="S1023" s="3" t="str">
        <f ca="1">IFERROR(__xludf.DUMMYFUNCTION("""COMPUTED_VALUE"""),"100")</f>
        <v>100</v>
      </c>
      <c r="T1023" s="3"/>
      <c r="U1023" s="3" t="str">
        <f ca="1">IFERROR(__xludf.DUMMYFUNCTION("""COMPUTED_VALUE"""),"videospot")</f>
        <v>videospot</v>
      </c>
      <c r="V1023" s="3"/>
      <c r="W1023" s="4" t="str">
        <f ca="1">IFERROR(__xludf.DUMMYFUNCTION("""COMPUTED_VALUE"""),"https://reklama.cncenter.cz/Online/Videospot")</f>
        <v>https://reklama.cncenter.cz/Online/Videospot</v>
      </c>
      <c r="X1023" s="3"/>
      <c r="Y1023" s="3"/>
      <c r="Z1023" s="3" t="str">
        <f ca="1">IFERROR(__xludf.DUMMYFUNCTION("""COMPUTED_VALUE"""),"podklady@cncenter.cz")</f>
        <v>podklady@cncenter.cz</v>
      </c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 t="str">
        <f ca="1">IFERROR(__xludf.DUMMYFUNCTION("""COMPUTED_VALUE"""),"desktop")</f>
        <v>desktop</v>
      </c>
      <c r="AO1023" s="3"/>
      <c r="AP1023" s="3"/>
      <c r="AQ1023" s="3"/>
      <c r="AR1023" s="3"/>
      <c r="AS1023" s="3"/>
      <c r="AT1023" s="3"/>
      <c r="AU1023" s="3" t="str">
        <f ca="1">IFERROR(__xludf.DUMMYFUNCTION("""COMPUTED_VALUE"""),"cílený mini videospot - max. 30 sec.")</f>
        <v>cílený mini videospot - max. 30 sec.</v>
      </c>
    </row>
    <row r="1024" spans="1:47" x14ac:dyDescent="0.3">
      <c r="A1024" s="3">
        <f ca="1"/>
        <v>2346826</v>
      </c>
      <c r="B1024" s="3" t="str">
        <f ca="1"/>
        <v>CZECH NEWS CENTER a. s.</v>
      </c>
      <c r="C1024" s="3" t="str">
        <f ca="1">IFERROR(__xludf.DUMMYFUNCTION("""COMPUTED_VALUE"""),"Ženy")</f>
        <v>Ženy</v>
      </c>
      <c r="D1024" s="4" t="str">
        <f ca="1">IFERROR(__xludf.DUMMYFUNCTION("""COMPUTED_VALUE"""),"https://zeny.cz")</f>
        <v>https://zeny.cz</v>
      </c>
      <c r="E1024" s="3" t="str">
        <f ca="1">IFERROR(__xludf.DUMMYFUNCTION("""COMPUTED_VALUE"""),"celý web")</f>
        <v>celý web</v>
      </c>
      <c r="F1024" s="4" t="str">
        <f ca="1">IFERROR(__xludf.DUMMYFUNCTION("""COMPUTED_VALUE"""),"https://zeny.cz")</f>
        <v>https://zeny.cz</v>
      </c>
      <c r="G1024" s="3" t="str">
        <f ca="1">IFERROR(__xludf.DUMMYFUNCTION("""COMPUTED_VALUE"""),"cílený mobilní interscroller high season")</f>
        <v>cílený mobilní interscroller high season</v>
      </c>
      <c r="H1024" s="3">
        <f ca="1">IFERROR(__xludf.DUMMYFUNCTION("""COMPUTED_VALUE"""),7)</f>
        <v>7</v>
      </c>
      <c r="I1024" s="5">
        <f ca="1">IFERROR(__xludf.DUMMYFUNCTION("""COMPUTED_VALUE"""),1000)</f>
        <v>1000</v>
      </c>
      <c r="J1024" s="5">
        <f ca="1">IFERROR(__xludf.DUMMYFUNCTION("""COMPUTED_VALUE"""),540)</f>
        <v>540</v>
      </c>
      <c r="K1024" s="3"/>
      <c r="L1024" s="3" t="str">
        <f ca="1">IFERROR(__xludf.DUMMYFUNCTION("""COMPUTED_VALUE"""),"Cost per period")</f>
        <v>Cost per period</v>
      </c>
      <c r="M1024" s="3"/>
      <c r="N1024" s="3"/>
      <c r="O1024" s="3" t="str">
        <f ca="1">IFERROR(__xludf.DUMMYFUNCTION("""COMPUTED_VALUE"""),"600")</f>
        <v>600</v>
      </c>
      <c r="P1024" s="3" t="str">
        <f ca="1">IFERROR(__xludf.DUMMYFUNCTION("""COMPUTED_VALUE"""),"1080")</f>
        <v>1080</v>
      </c>
      <c r="Q1024" s="3" t="str">
        <f ca="1">IFERROR(__xludf.DUMMYFUNCTION("""COMPUTED_VALUE"""),"600x1080")</f>
        <v>600x1080</v>
      </c>
      <c r="R1024" s="3"/>
      <c r="S1024" s="3" t="str">
        <f ca="1">IFERROR(__xludf.DUMMYFUNCTION("""COMPUTED_VALUE"""),"200")</f>
        <v>200</v>
      </c>
      <c r="T1024" s="3"/>
      <c r="U1024" s="3" t="str">
        <f ca="1">IFERROR(__xludf.DUMMYFUNCTION("""COMPUTED_VALUE"""),"banner standard")</f>
        <v>banner standard</v>
      </c>
      <c r="V1024" s="3"/>
      <c r="W1024" s="4" t="str">
        <f ca="1">IFERROR(__xludf.DUMMYFUNCTION("""COMPUTED_VALUE"""),"https://reklama.cncenter.cz/Online/mobilni-interscroller")</f>
        <v>https://reklama.cncenter.cz/Online/mobilni-interscroller</v>
      </c>
      <c r="X1024" s="3"/>
      <c r="Y1024" s="3"/>
      <c r="Z1024" s="3" t="str">
        <f ca="1">IFERROR(__xludf.DUMMYFUNCTION("""COMPUTED_VALUE"""),"podklady@cncenter.cz")</f>
        <v>podklady@cncenter.cz</v>
      </c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 t="str">
        <f ca="1">IFERROR(__xludf.DUMMYFUNCTION("""COMPUTED_VALUE"""),"mobile")</f>
        <v>mobile</v>
      </c>
      <c r="AO1024" s="3"/>
      <c r="AP1024" s="3"/>
      <c r="AQ1024" s="3"/>
      <c r="AR1024" s="3"/>
      <c r="AS1024" s="3"/>
      <c r="AT1024" s="3"/>
      <c r="AU1024" s="3" t="str">
        <f ca="1">IFERROR(__xludf.DUMMYFUNCTION("""COMPUTED_VALUE"""),"cílený mobilní interscroller")</f>
        <v>cílený mobilní interscroller</v>
      </c>
    </row>
    <row r="1025" spans="1:47" x14ac:dyDescent="0.3">
      <c r="A1025" s="3">
        <f ca="1"/>
        <v>2346826</v>
      </c>
      <c r="B1025" s="3" t="str">
        <f ca="1"/>
        <v>CZECH NEWS CENTER a. s.</v>
      </c>
      <c r="C1025" s="3" t="str">
        <f ca="1">IFERROR(__xludf.DUMMYFUNCTION("""COMPUTED_VALUE"""),"Ženy")</f>
        <v>Ženy</v>
      </c>
      <c r="D1025" s="4" t="str">
        <f ca="1">IFERROR(__xludf.DUMMYFUNCTION("""COMPUTED_VALUE"""),"https://zeny.cz")</f>
        <v>https://zeny.cz</v>
      </c>
      <c r="E1025" s="3" t="str">
        <f ca="1">IFERROR(__xludf.DUMMYFUNCTION("""COMPUTED_VALUE"""),"celý web")</f>
        <v>celý web</v>
      </c>
      <c r="F1025" s="4" t="str">
        <f ca="1">IFERROR(__xludf.DUMMYFUNCTION("""COMPUTED_VALUE"""),"https://zeny.cz")</f>
        <v>https://zeny.cz</v>
      </c>
      <c r="G1025" s="3" t="str">
        <f ca="1">IFERROR(__xludf.DUMMYFUNCTION("""COMPUTED_VALUE"""),"cílený mobilní slide-up high season")</f>
        <v>cílený mobilní slide-up high season</v>
      </c>
      <c r="H1025" s="3">
        <f ca="1">IFERROR(__xludf.DUMMYFUNCTION("""COMPUTED_VALUE"""),7)</f>
        <v>7</v>
      </c>
      <c r="I1025" s="5">
        <f ca="1">IFERROR(__xludf.DUMMYFUNCTION("""COMPUTED_VALUE"""),1000)</f>
        <v>1000</v>
      </c>
      <c r="J1025" s="5">
        <f ca="1">IFERROR(__xludf.DUMMYFUNCTION("""COMPUTED_VALUE"""),1104)</f>
        <v>1104</v>
      </c>
      <c r="K1025" s="3"/>
      <c r="L1025" s="3" t="str">
        <f ca="1">IFERROR(__xludf.DUMMYFUNCTION("""COMPUTED_VALUE"""),"Cost per period")</f>
        <v>Cost per period</v>
      </c>
      <c r="M1025" s="3"/>
      <c r="N1025" s="3"/>
      <c r="O1025" s="3" t="str">
        <f ca="1">IFERROR(__xludf.DUMMYFUNCTION("""COMPUTED_VALUE"""),"300")</f>
        <v>300</v>
      </c>
      <c r="P1025" s="3" t="str">
        <f ca="1">IFERROR(__xludf.DUMMYFUNCTION("""COMPUTED_VALUE"""),"120")</f>
        <v>120</v>
      </c>
      <c r="Q1025" s="3" t="str">
        <f ca="1">IFERROR(__xludf.DUMMYFUNCTION("""COMPUTED_VALUE"""),"300x120")</f>
        <v>300x120</v>
      </c>
      <c r="R1025" s="3"/>
      <c r="S1025" s="3" t="str">
        <f ca="1">IFERROR(__xludf.DUMMYFUNCTION("""COMPUTED_VALUE"""),"100")</f>
        <v>100</v>
      </c>
      <c r="T1025" s="3"/>
      <c r="U1025" s="3" t="str">
        <f ca="1">IFERROR(__xludf.DUMMYFUNCTION("""COMPUTED_VALUE"""),"banner standard")</f>
        <v>banner standard</v>
      </c>
      <c r="V1025" s="3"/>
      <c r="W1025" s="4" t="str">
        <f ca="1">IFERROR(__xludf.DUMMYFUNCTION("""COMPUTED_VALUE"""),"https://reklama.cncenter.cz/Online/mobilni-slide-up")</f>
        <v>https://reklama.cncenter.cz/Online/mobilni-slide-up</v>
      </c>
      <c r="X1025" s="3"/>
      <c r="Y1025" s="3"/>
      <c r="Z1025" s="3" t="str">
        <f ca="1">IFERROR(__xludf.DUMMYFUNCTION("""COMPUTED_VALUE"""),"podklady@cncenter.cz")</f>
        <v>podklady@cncenter.cz</v>
      </c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 t="str">
        <f ca="1">IFERROR(__xludf.DUMMYFUNCTION("""COMPUTED_VALUE"""),"mobile")</f>
        <v>mobile</v>
      </c>
      <c r="AO1025" s="3"/>
      <c r="AP1025" s="3"/>
      <c r="AQ1025" s="3"/>
      <c r="AR1025" s="3"/>
      <c r="AS1025" s="3"/>
      <c r="AT1025" s="3"/>
      <c r="AU1025" s="3" t="str">
        <f ca="1">IFERROR(__xludf.DUMMYFUNCTION("""COMPUTED_VALUE"""),"cílený mobilní slide-up")</f>
        <v>cílený mobilní slide-up</v>
      </c>
    </row>
    <row r="1026" spans="1:47" x14ac:dyDescent="0.3">
      <c r="A1026" s="3">
        <f ca="1"/>
        <v>2346826</v>
      </c>
      <c r="B1026" s="3" t="str">
        <f ca="1"/>
        <v>CZECH NEWS CENTER a. s.</v>
      </c>
      <c r="C1026" s="3" t="str">
        <f ca="1">IFERROR(__xludf.DUMMYFUNCTION("""COMPUTED_VALUE"""),"Ženy")</f>
        <v>Ženy</v>
      </c>
      <c r="D1026" s="4" t="str">
        <f ca="1">IFERROR(__xludf.DUMMYFUNCTION("""COMPUTED_VALUE"""),"https://zeny.cz")</f>
        <v>https://zeny.cz</v>
      </c>
      <c r="E1026" s="3" t="str">
        <f ca="1">IFERROR(__xludf.DUMMYFUNCTION("""COMPUTED_VALUE"""),"celý web")</f>
        <v>celý web</v>
      </c>
      <c r="F1026" s="4" t="str">
        <f ca="1">IFERROR(__xludf.DUMMYFUNCTION("""COMPUTED_VALUE"""),"https://zeny.cz")</f>
        <v>https://zeny.cz</v>
      </c>
      <c r="G1026" s="3" t="str">
        <f ca="1">IFERROR(__xludf.DUMMYFUNCTION("""COMPUTED_VALUE"""),"cílený mobilní viněta high season")</f>
        <v>cílený mobilní viněta high season</v>
      </c>
      <c r="H1026" s="3">
        <f ca="1">IFERROR(__xludf.DUMMYFUNCTION("""COMPUTED_VALUE"""),7)</f>
        <v>7</v>
      </c>
      <c r="I1026" s="5">
        <f ca="1">IFERROR(__xludf.DUMMYFUNCTION("""COMPUTED_VALUE"""),1000)</f>
        <v>1000</v>
      </c>
      <c r="J1026" s="5">
        <f ca="1">IFERROR(__xludf.DUMMYFUNCTION("""COMPUTED_VALUE"""),1908)</f>
        <v>1908</v>
      </c>
      <c r="K1026" s="3"/>
      <c r="L1026" s="3" t="str">
        <f ca="1">IFERROR(__xludf.DUMMYFUNCTION("""COMPUTED_VALUE"""),"Cost per period")</f>
        <v>Cost per period</v>
      </c>
      <c r="M1026" s="3"/>
      <c r="N1026" s="3"/>
      <c r="O1026" s="3" t="str">
        <f ca="1">IFERROR(__xludf.DUMMYFUNCTION("""COMPUTED_VALUE"""),"600")</f>
        <v>600</v>
      </c>
      <c r="P1026" s="3" t="str">
        <f ca="1">IFERROR(__xludf.DUMMYFUNCTION("""COMPUTED_VALUE"""),"800")</f>
        <v>800</v>
      </c>
      <c r="Q1026" s="3" t="str">
        <f ca="1">IFERROR(__xludf.DUMMYFUNCTION("""COMPUTED_VALUE"""),"300x250 nebo 600x800")</f>
        <v>300x250 nebo 600x800</v>
      </c>
      <c r="R1026" s="3"/>
      <c r="S1026" s="3" t="str">
        <f ca="1">IFERROR(__xludf.DUMMYFUNCTION("""COMPUTED_VALUE"""),"100")</f>
        <v>100</v>
      </c>
      <c r="T1026" s="3"/>
      <c r="U1026" s="3" t="str">
        <f ca="1">IFERROR(__xludf.DUMMYFUNCTION("""COMPUTED_VALUE"""),"banner standard")</f>
        <v>banner standard</v>
      </c>
      <c r="V1026" s="3"/>
      <c r="W1026" s="4" t="str">
        <f ca="1">IFERROR(__xludf.DUMMYFUNCTION("""COMPUTED_VALUE"""),"https://reklama.cncenter.cz/Online/mobilni-vineta")</f>
        <v>https://reklama.cncenter.cz/Online/mobilni-vineta</v>
      </c>
      <c r="X1026" s="3"/>
      <c r="Y1026" s="3"/>
      <c r="Z1026" s="3" t="str">
        <f ca="1">IFERROR(__xludf.DUMMYFUNCTION("""COMPUTED_VALUE"""),"podklady@cncenter.cz")</f>
        <v>podklady@cncenter.cz</v>
      </c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 t="str">
        <f ca="1">IFERROR(__xludf.DUMMYFUNCTION("""COMPUTED_VALUE"""),"mobile")</f>
        <v>mobile</v>
      </c>
      <c r="AO1026" s="3"/>
      <c r="AP1026" s="3"/>
      <c r="AQ1026" s="3"/>
      <c r="AR1026" s="3"/>
      <c r="AS1026" s="3"/>
      <c r="AT1026" s="3"/>
      <c r="AU1026" s="3" t="str">
        <f ca="1">IFERROR(__xludf.DUMMYFUNCTION("""COMPUTED_VALUE"""),"cílený mobilní viněta")</f>
        <v>cílený mobilní viněta</v>
      </c>
    </row>
    <row r="1027" spans="1:47" x14ac:dyDescent="0.3">
      <c r="A1027" s="3">
        <f ca="1"/>
        <v>2346826</v>
      </c>
      <c r="B1027" s="3" t="str">
        <f ca="1"/>
        <v>CZECH NEWS CENTER a. s.</v>
      </c>
      <c r="C1027" s="3" t="str">
        <f ca="1">IFERROR(__xludf.DUMMYFUNCTION("""COMPUTED_VALUE"""),"Ženy")</f>
        <v>Ženy</v>
      </c>
      <c r="D1027" s="4" t="str">
        <f ca="1">IFERROR(__xludf.DUMMYFUNCTION("""COMPUTED_VALUE"""),"https://zeny.cz")</f>
        <v>https://zeny.cz</v>
      </c>
      <c r="E1027" s="3" t="str">
        <f ca="1">IFERROR(__xludf.DUMMYFUNCTION("""COMPUTED_VALUE"""),"celý web")</f>
        <v>celý web</v>
      </c>
      <c r="F1027" s="4" t="str">
        <f ca="1">IFERROR(__xludf.DUMMYFUNCTION("""COMPUTED_VALUE"""),"https://zeny.cz")</f>
        <v>https://zeny.cz</v>
      </c>
      <c r="G1027" s="3" t="str">
        <f ca="1">IFERROR(__xludf.DUMMYFUNCTION("""COMPUTED_VALUE"""),"cílený nativní pr premium high season")</f>
        <v>cílený nativní pr premium high season</v>
      </c>
      <c r="H1027" s="3">
        <f ca="1">IFERROR(__xludf.DUMMYFUNCTION("""COMPUTED_VALUE"""),7)</f>
        <v>7</v>
      </c>
      <c r="I1027" s="5">
        <f ca="1">IFERROR(__xludf.DUMMYFUNCTION("""COMPUTED_VALUE"""),1000)</f>
        <v>1000</v>
      </c>
      <c r="J1027" s="5">
        <f ca="1">IFERROR(__xludf.DUMMYFUNCTION("""COMPUTED_VALUE"""),216)</f>
        <v>216</v>
      </c>
      <c r="K1027" s="3"/>
      <c r="L1027" s="3" t="str">
        <f ca="1">IFERROR(__xludf.DUMMYFUNCTION("""COMPUTED_VALUE"""),"Cost per period")</f>
        <v>Cost per period</v>
      </c>
      <c r="M1027" s="3"/>
      <c r="N1027" s="3"/>
      <c r="O1027" s="3" t="str">
        <f ca="1">IFERROR(__xludf.DUMMYFUNCTION("""COMPUTED_VALUE"""),"640")</f>
        <v>640</v>
      </c>
      <c r="P1027" s="3" t="str">
        <f ca="1">IFERROR(__xludf.DUMMYFUNCTION("""COMPUTED_VALUE"""),"335, 640")</f>
        <v>335, 640</v>
      </c>
      <c r="Q1027" s="3" t="str">
        <f ca="1">IFERROR(__xludf.DUMMYFUNCTION("""COMPUTED_VALUE"""),"640x640 a 640x335 + text + logo")</f>
        <v>640x640 a 640x335 + text + logo</v>
      </c>
      <c r="R1027" s="3" t="str">
        <f ca="1">IFERROR(__xludf.DUMMYFUNCTION("""COMPUTED_VALUE"""),"detailní specifikace na URL odkaze")</f>
        <v>detailní specifikace na URL odkaze</v>
      </c>
      <c r="S1027" s="3" t="str">
        <f ca="1">IFERROR(__xludf.DUMMYFUNCTION("""COMPUTED_VALUE"""),"100")</f>
        <v>100</v>
      </c>
      <c r="T1027" s="3"/>
      <c r="U1027" s="3" t="str">
        <f ca="1">IFERROR(__xludf.DUMMYFUNCTION("""COMPUTED_VALUE"""),"nativní reklama")</f>
        <v>nativní reklama</v>
      </c>
      <c r="V1027" s="3"/>
      <c r="W1027" s="4" t="str">
        <f ca="1">IFERROR(__xludf.DUMMYFUNCTION("""COMPUTED_VALUE"""),"https://reklama.cncenter.cz/Online/nativni-PR-premium")</f>
        <v>https://reklama.cncenter.cz/Online/nativni-PR-premium</v>
      </c>
      <c r="X1027" s="3"/>
      <c r="Y1027" s="3"/>
      <c r="Z1027" s="3" t="str">
        <f ca="1">IFERROR(__xludf.DUMMYFUNCTION("""COMPUTED_VALUE"""),"podklady@cncenter.cz")</f>
        <v>podklady@cncenter.cz</v>
      </c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 t="str">
        <f ca="1">IFERROR(__xludf.DUMMYFUNCTION("""COMPUTED_VALUE"""),"cross-device")</f>
        <v>cross-device</v>
      </c>
      <c r="AO1027" s="3"/>
      <c r="AP1027" s="3"/>
      <c r="AQ1027" s="3"/>
      <c r="AR1027" s="3"/>
      <c r="AS1027" s="3"/>
      <c r="AT1027" s="3"/>
      <c r="AU1027" s="3" t="str">
        <f ca="1">IFERROR(__xludf.DUMMYFUNCTION("""COMPUTED_VALUE"""),"cílený nativní pr premium")</f>
        <v>cílený nativní pr premium</v>
      </c>
    </row>
    <row r="1028" spans="1:47" x14ac:dyDescent="0.3">
      <c r="A1028" s="3">
        <f ca="1"/>
        <v>2346826</v>
      </c>
      <c r="B1028" s="3" t="str">
        <f ca="1"/>
        <v>CZECH NEWS CENTER a. s.</v>
      </c>
      <c r="C1028" s="3" t="str">
        <f ca="1">IFERROR(__xludf.DUMMYFUNCTION("""COMPUTED_VALUE"""),"Ženy")</f>
        <v>Ženy</v>
      </c>
      <c r="D1028" s="4" t="str">
        <f ca="1">IFERROR(__xludf.DUMMYFUNCTION("""COMPUTED_VALUE"""),"https://zeny.cz")</f>
        <v>https://zeny.cz</v>
      </c>
      <c r="E1028" s="3" t="str">
        <f ca="1">IFERROR(__xludf.DUMMYFUNCTION("""COMPUTED_VALUE"""),"celý web")</f>
        <v>celý web</v>
      </c>
      <c r="F1028" s="4" t="str">
        <f ca="1">IFERROR(__xludf.DUMMYFUNCTION("""COMPUTED_VALUE"""),"https://zeny.cz")</f>
        <v>https://zeny.cz</v>
      </c>
      <c r="G1028" s="3" t="str">
        <f ca="1">IFERROR(__xludf.DUMMYFUNCTION("""COMPUTED_VALUE"""),"cílený nativní rectangle cross-device high season")</f>
        <v>cílený nativní rectangle cross-device high season</v>
      </c>
      <c r="H1028" s="3">
        <f ca="1">IFERROR(__xludf.DUMMYFUNCTION("""COMPUTED_VALUE"""),7)</f>
        <v>7</v>
      </c>
      <c r="I1028" s="5">
        <f ca="1">IFERROR(__xludf.DUMMYFUNCTION("""COMPUTED_VALUE"""),1000)</f>
        <v>1000</v>
      </c>
      <c r="J1028" s="5">
        <f ca="1">IFERROR(__xludf.DUMMYFUNCTION("""COMPUTED_VALUE"""),432)</f>
        <v>432</v>
      </c>
      <c r="K1028" s="3"/>
      <c r="L1028" s="3" t="str">
        <f ca="1">IFERROR(__xludf.DUMMYFUNCTION("""COMPUTED_VALUE"""),"Cost per period")</f>
        <v>Cost per period</v>
      </c>
      <c r="M1028" s="3"/>
      <c r="N1028" s="3"/>
      <c r="O1028" s="3" t="str">
        <f ca="1">IFERROR(__xludf.DUMMYFUNCTION("""COMPUTED_VALUE"""),"640")</f>
        <v>640</v>
      </c>
      <c r="P1028" s="3" t="str">
        <f ca="1">IFERROR(__xludf.DUMMYFUNCTION("""COMPUTED_VALUE"""),"335, 640")</f>
        <v>335, 640</v>
      </c>
      <c r="Q1028" s="3" t="str">
        <f ca="1">IFERROR(__xludf.DUMMYFUNCTION("""COMPUTED_VALUE"""),"640x640 a 640x335 + text + logo")</f>
        <v>640x640 a 640x335 + text + logo</v>
      </c>
      <c r="R1028" s="3"/>
      <c r="S1028" s="3" t="str">
        <f ca="1">IFERROR(__xludf.DUMMYFUNCTION("""COMPUTED_VALUE"""),"45")</f>
        <v>45</v>
      </c>
      <c r="T1028" s="3"/>
      <c r="U1028" s="3" t="str">
        <f ca="1">IFERROR(__xludf.DUMMYFUNCTION("""COMPUTED_VALUE"""),"nativní reklama")</f>
        <v>nativní reklama</v>
      </c>
      <c r="V1028" s="3"/>
      <c r="W1028" s="4" t="str">
        <f ca="1">IFERROR(__xludf.DUMMYFUNCTION("""COMPUTED_VALUE"""),"https://reklama.cncenter.cz/Online/nativni-rectangle-cross-device")</f>
        <v>https://reklama.cncenter.cz/Online/nativni-rectangle-cross-device</v>
      </c>
      <c r="X1028" s="3"/>
      <c r="Y1028" s="3"/>
      <c r="Z1028" s="3" t="str">
        <f ca="1">IFERROR(__xludf.DUMMYFUNCTION("""COMPUTED_VALUE"""),"podklady@cncenter.cz")</f>
        <v>podklady@cncenter.cz</v>
      </c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 t="str">
        <f ca="1">IFERROR(__xludf.DUMMYFUNCTION("""COMPUTED_VALUE"""),"cross-device")</f>
        <v>cross-device</v>
      </c>
      <c r="AO1028" s="3"/>
      <c r="AP1028" s="3"/>
      <c r="AQ1028" s="3"/>
      <c r="AR1028" s="3"/>
      <c r="AS1028" s="3"/>
      <c r="AT1028" s="3"/>
      <c r="AU1028" s="3" t="str">
        <f ca="1">IFERROR(__xludf.DUMMYFUNCTION("""COMPUTED_VALUE"""),"cílený nativní rectangle cross-device")</f>
        <v>cílený nativní rectangle cross-device</v>
      </c>
    </row>
    <row r="1029" spans="1:47" x14ac:dyDescent="0.3">
      <c r="A1029" s="3">
        <f ca="1"/>
        <v>2346826</v>
      </c>
      <c r="B1029" s="3" t="str">
        <f ca="1"/>
        <v>CZECH NEWS CENTER a. s.</v>
      </c>
      <c r="C1029" s="3" t="str">
        <f ca="1">IFERROR(__xludf.DUMMYFUNCTION("""COMPUTED_VALUE"""),"Ženy")</f>
        <v>Ženy</v>
      </c>
      <c r="D1029" s="4" t="str">
        <f ca="1">IFERROR(__xludf.DUMMYFUNCTION("""COMPUTED_VALUE"""),"https://zeny.cz")</f>
        <v>https://zeny.cz</v>
      </c>
      <c r="E1029" s="3" t="str">
        <f ca="1">IFERROR(__xludf.DUMMYFUNCTION("""COMPUTED_VALUE"""),"celý web")</f>
        <v>celý web</v>
      </c>
      <c r="F1029" s="4" t="str">
        <f ca="1">IFERROR(__xludf.DUMMYFUNCTION("""COMPUTED_VALUE"""),"https://zeny.cz")</f>
        <v>https://zeny.cz</v>
      </c>
      <c r="G1029" s="3" t="str">
        <f ca="1">IFERROR(__xludf.DUMMYFUNCTION("""COMPUTED_VALUE"""),"cílený outstream high season")</f>
        <v>cílený outstream high season</v>
      </c>
      <c r="H1029" s="3">
        <f ca="1">IFERROR(__xludf.DUMMYFUNCTION("""COMPUTED_VALUE"""),7)</f>
        <v>7</v>
      </c>
      <c r="I1029" s="5">
        <f ca="1">IFERROR(__xludf.DUMMYFUNCTION("""COMPUTED_VALUE"""),1000)</f>
        <v>1000</v>
      </c>
      <c r="J1029" s="5">
        <f ca="1">IFERROR(__xludf.DUMMYFUNCTION("""COMPUTED_VALUE"""),540)</f>
        <v>540</v>
      </c>
      <c r="K1029" s="3"/>
      <c r="L1029" s="3" t="str">
        <f ca="1">IFERROR(__xludf.DUMMYFUNCTION("""COMPUTED_VALUE"""),"Cost per period")</f>
        <v>Cost per period</v>
      </c>
      <c r="M1029" s="3"/>
      <c r="N1029" s="3"/>
      <c r="O1029" s="3" t="str">
        <f ca="1">IFERROR(__xludf.DUMMYFUNCTION("""COMPUTED_VALUE"""),"1280")</f>
        <v>1280</v>
      </c>
      <c r="P1029" s="3" t="str">
        <f ca="1">IFERROR(__xludf.DUMMYFUNCTION("""COMPUTED_VALUE"""),"720")</f>
        <v>720</v>
      </c>
      <c r="Q1029" s="3" t="str">
        <f ca="1">IFERROR(__xludf.DUMMYFUNCTION("""COMPUTED_VALUE"""),"16:9")</f>
        <v>16:9</v>
      </c>
      <c r="R1029" s="3"/>
      <c r="S1029" s="3" t="str">
        <f ca="1">IFERROR(__xludf.DUMMYFUNCTION("""COMPUTED_VALUE"""),"100")</f>
        <v>100</v>
      </c>
      <c r="T1029" s="3"/>
      <c r="U1029" s="3" t="str">
        <f ca="1">IFERROR(__xludf.DUMMYFUNCTION("""COMPUTED_VALUE"""),"videospot")</f>
        <v>videospot</v>
      </c>
      <c r="V1029" s="3"/>
      <c r="W1029" s="4" t="str">
        <f ca="1">IFERROR(__xludf.DUMMYFUNCTION("""COMPUTED_VALUE"""),"https://reklama.cncenter.cz/Online/Outstream")</f>
        <v>https://reklama.cncenter.cz/Online/Outstream</v>
      </c>
      <c r="X1029" s="3"/>
      <c r="Y1029" s="3"/>
      <c r="Z1029" s="3" t="str">
        <f ca="1">IFERROR(__xludf.DUMMYFUNCTION("""COMPUTED_VALUE"""),"podklady@cncenter.cz")</f>
        <v>podklady@cncenter.cz</v>
      </c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 t="str">
        <f ca="1">IFERROR(__xludf.DUMMYFUNCTION("""COMPUTED_VALUE"""),"cross-device")</f>
        <v>cross-device</v>
      </c>
      <c r="AO1029" s="3"/>
      <c r="AP1029" s="3"/>
      <c r="AQ1029" s="3"/>
      <c r="AR1029" s="3"/>
      <c r="AS1029" s="3"/>
      <c r="AT1029" s="3"/>
      <c r="AU1029" s="3" t="str">
        <f ca="1">IFERROR(__xludf.DUMMYFUNCTION("""COMPUTED_VALUE"""),"cílený outstream")</f>
        <v>cílený outstream</v>
      </c>
    </row>
    <row r="1030" spans="1:47" x14ac:dyDescent="0.3">
      <c r="A1030" s="3">
        <f ca="1"/>
        <v>2346826</v>
      </c>
      <c r="B1030" s="3" t="str">
        <f ca="1"/>
        <v>CZECH NEWS CENTER a. s.</v>
      </c>
      <c r="C1030" s="3" t="str">
        <f ca="1">IFERROR(__xludf.DUMMYFUNCTION("""COMPUTED_VALUE"""),"Ženy")</f>
        <v>Ženy</v>
      </c>
      <c r="D1030" s="4" t="str">
        <f ca="1">IFERROR(__xludf.DUMMYFUNCTION("""COMPUTED_VALUE"""),"https://zeny.cz")</f>
        <v>https://zeny.cz</v>
      </c>
      <c r="E1030" s="3" t="str">
        <f ca="1">IFERROR(__xludf.DUMMYFUNCTION("""COMPUTED_VALUE"""),"celý web")</f>
        <v>celý web</v>
      </c>
      <c r="F1030" s="4" t="str">
        <f ca="1">IFERROR(__xludf.DUMMYFUNCTION("""COMPUTED_VALUE"""),"https://zeny.cz")</f>
        <v>https://zeny.cz</v>
      </c>
      <c r="G1030" s="3" t="str">
        <f ca="1">IFERROR(__xludf.DUMMYFUNCTION("""COMPUTED_VALUE"""),"cílený videospot - max. 30 sec. / bumper high season")</f>
        <v>cílený videospot - max. 30 sec. / bumper high season</v>
      </c>
      <c r="H1030" s="3">
        <f ca="1">IFERROR(__xludf.DUMMYFUNCTION("""COMPUTED_VALUE"""),7)</f>
        <v>7</v>
      </c>
      <c r="I1030" s="5">
        <f ca="1">IFERROR(__xludf.DUMMYFUNCTION("""COMPUTED_VALUE"""),1000)</f>
        <v>1000</v>
      </c>
      <c r="J1030" s="5">
        <f ca="1">IFERROR(__xludf.DUMMYFUNCTION("""COMPUTED_VALUE"""),1608)</f>
        <v>1608</v>
      </c>
      <c r="K1030" s="3"/>
      <c r="L1030" s="3" t="str">
        <f ca="1">IFERROR(__xludf.DUMMYFUNCTION("""COMPUTED_VALUE"""),"Cost per period")</f>
        <v>Cost per period</v>
      </c>
      <c r="M1030" s="3"/>
      <c r="N1030" s="3"/>
      <c r="O1030" s="3" t="str">
        <f ca="1">IFERROR(__xludf.DUMMYFUNCTION("""COMPUTED_VALUE"""),"1280")</f>
        <v>1280</v>
      </c>
      <c r="P1030" s="3" t="str">
        <f ca="1">IFERROR(__xludf.DUMMYFUNCTION("""COMPUTED_VALUE"""),"720")</f>
        <v>720</v>
      </c>
      <c r="Q1030" s="3" t="str">
        <f ca="1">IFERROR(__xludf.DUMMYFUNCTION("""COMPUTED_VALUE"""),"16:9 / umístění po domluvě dle možností")</f>
        <v>16:9 / umístění po domluvě dle možností</v>
      </c>
      <c r="R1030" s="3" t="str">
        <f ca="1">IFERROR(__xludf.DUMMYFUNCTION("""COMPUTED_VALUE"""),"přeskočení po 7 sekundách")</f>
        <v>přeskočení po 7 sekundách</v>
      </c>
      <c r="S1030" s="3" t="str">
        <f ca="1">IFERROR(__xludf.DUMMYFUNCTION("""COMPUTED_VALUE"""),"100")</f>
        <v>100</v>
      </c>
      <c r="T1030" s="3"/>
      <c r="U1030" s="3" t="str">
        <f ca="1">IFERROR(__xludf.DUMMYFUNCTION("""COMPUTED_VALUE"""),"videospot")</f>
        <v>videospot</v>
      </c>
      <c r="V1030" s="3"/>
      <c r="W1030" s="4" t="str">
        <f ca="1">IFERROR(__xludf.DUMMYFUNCTION("""COMPUTED_VALUE"""),"https://reklama.cncenter.cz/Online/Bumper")</f>
        <v>https://reklama.cncenter.cz/Online/Bumper</v>
      </c>
      <c r="X1030" s="3"/>
      <c r="Y1030" s="3"/>
      <c r="Z1030" s="3" t="str">
        <f ca="1">IFERROR(__xludf.DUMMYFUNCTION("""COMPUTED_VALUE"""),"podklady@cncenter.cz")</f>
        <v>podklady@cncenter.cz</v>
      </c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 t="str">
        <f ca="1">IFERROR(__xludf.DUMMYFUNCTION("""COMPUTED_VALUE"""),"cross-device")</f>
        <v>cross-device</v>
      </c>
      <c r="AO1030" s="3"/>
      <c r="AP1030" s="3"/>
      <c r="AQ1030" s="3"/>
      <c r="AR1030" s="3"/>
      <c r="AS1030" s="3"/>
      <c r="AT1030" s="3"/>
      <c r="AU1030" s="3" t="str">
        <f ca="1">IFERROR(__xludf.DUMMYFUNCTION("""COMPUTED_VALUE"""),"cílený videospot - max. 30 sec. / bumper")</f>
        <v>cílený videospot - max. 30 sec. / bumper</v>
      </c>
    </row>
    <row r="1031" spans="1:47" x14ac:dyDescent="0.3">
      <c r="A1031" s="3">
        <f ca="1"/>
        <v>2346826</v>
      </c>
      <c r="B1031" s="3" t="str">
        <f ca="1"/>
        <v>CZECH NEWS CENTER a. s.</v>
      </c>
      <c r="C1031" s="3" t="str">
        <f ca="1">IFERROR(__xludf.DUMMYFUNCTION("""COMPUTED_VALUE"""),"Ženy")</f>
        <v>Ženy</v>
      </c>
      <c r="D1031" s="4" t="str">
        <f ca="1">IFERROR(__xludf.DUMMYFUNCTION("""COMPUTED_VALUE"""),"https://zeny.cz")</f>
        <v>https://zeny.cz</v>
      </c>
      <c r="E1031" s="3" t="str">
        <f ca="1">IFERROR(__xludf.DUMMYFUNCTION("""COMPUTED_VALUE"""),"celý web")</f>
        <v>celý web</v>
      </c>
      <c r="F1031" s="4" t="str">
        <f ca="1">IFERROR(__xludf.DUMMYFUNCTION("""COMPUTED_VALUE"""),"https://zeny.cz")</f>
        <v>https://zeny.cz</v>
      </c>
      <c r="G1031" s="3" t="str">
        <f ca="1">IFERROR(__xludf.DUMMYFUNCTION("""COMPUTED_VALUE"""),"dokoupení proma o 2 týdny - 10 000 PV *** high season")</f>
        <v>dokoupení proma o 2 týdny - 10 000 PV *** high season</v>
      </c>
      <c r="H1031" s="3">
        <f ca="1">IFERROR(__xludf.DUMMYFUNCTION("""COMPUTED_VALUE"""),1)</f>
        <v>1</v>
      </c>
      <c r="I1031" s="5">
        <f ca="1">IFERROR(__xludf.DUMMYFUNCTION("""COMPUTED_VALUE"""),1)</f>
        <v>1</v>
      </c>
      <c r="J1031" s="5">
        <f ca="1">IFERROR(__xludf.DUMMYFUNCTION("""COMPUTED_VALUE"""),60000)</f>
        <v>60000</v>
      </c>
      <c r="K1031" s="3"/>
      <c r="L1031" s="3" t="str">
        <f ca="1">IFERROR(__xludf.DUMMYFUNCTION("""COMPUTED_VALUE"""),"Cost per instance")</f>
        <v>Cost per instance</v>
      </c>
      <c r="M1031" s="3"/>
      <c r="N1031" s="3"/>
      <c r="O1031" s="3"/>
      <c r="P1031" s="3"/>
      <c r="Q1031" s="3"/>
      <c r="R1031" s="3"/>
      <c r="S1031" s="3" t="str">
        <f ca="1">IFERROR(__xludf.DUMMYFUNCTION("""COMPUTED_VALUE"""),"100")</f>
        <v>100</v>
      </c>
      <c r="T1031" s="3"/>
      <c r="U1031" s="3" t="str">
        <f ca="1">IFERROR(__xludf.DUMMYFUNCTION("""COMPUTED_VALUE"""),"microsite")</f>
        <v>microsite</v>
      </c>
      <c r="V1031" s="3"/>
      <c r="W1031" s="3"/>
      <c r="X1031" s="3"/>
      <c r="Y1031" s="3"/>
      <c r="Z1031" s="3" t="str">
        <f ca="1">IFERROR(__xludf.DUMMYFUNCTION("""COMPUTED_VALUE"""),"podklady@cncenter.cz")</f>
        <v>podklady@cncenter.cz</v>
      </c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 t="str">
        <f ca="1">IFERROR(__xludf.DUMMYFUNCTION("""COMPUTED_VALUE"""),"cross-device")</f>
        <v>cross-device</v>
      </c>
      <c r="AO1031" s="3"/>
      <c r="AP1031" s="3"/>
      <c r="AQ1031" s="3"/>
      <c r="AR1031" s="3"/>
      <c r="AS1031" s="3"/>
      <c r="AT1031" s="3"/>
      <c r="AU1031" s="3" t="str">
        <f ca="1">IFERROR(__xludf.DUMMYFUNCTION("""COMPUTED_VALUE"""),"dokoupení proma o 2 týdny - 10 000 PV ***")</f>
        <v>dokoupení proma o 2 týdny - 10 000 PV ***</v>
      </c>
    </row>
    <row r="1032" spans="1:47" x14ac:dyDescent="0.3">
      <c r="A1032" s="3">
        <f ca="1"/>
        <v>2346826</v>
      </c>
      <c r="B1032" s="3" t="str">
        <f ca="1"/>
        <v>CZECH NEWS CENTER a. s.</v>
      </c>
      <c r="C1032" s="3" t="str">
        <f ca="1">IFERROR(__xludf.DUMMYFUNCTION("""COMPUTED_VALUE"""),"Ženy")</f>
        <v>Ženy</v>
      </c>
      <c r="D1032" s="4" t="str">
        <f ca="1">IFERROR(__xludf.DUMMYFUNCTION("""COMPUTED_VALUE"""),"https://zeny.cz")</f>
        <v>https://zeny.cz</v>
      </c>
      <c r="E1032" s="3" t="str">
        <f ca="1">IFERROR(__xludf.DUMMYFUNCTION("""COMPUTED_VALUE"""),"celý web")</f>
        <v>celý web</v>
      </c>
      <c r="F1032" s="4" t="str">
        <f ca="1">IFERROR(__xludf.DUMMYFUNCTION("""COMPUTED_VALUE"""),"https://zeny.cz")</f>
        <v>https://zeny.cz</v>
      </c>
      <c r="G1032" s="3" t="str">
        <f ca="1">IFERROR(__xludf.DUMMYFUNCTION("""COMPUTED_VALUE"""),"double skyscraper high season")</f>
        <v>double skyscraper high season</v>
      </c>
      <c r="H1032" s="3">
        <f ca="1">IFERROR(__xludf.DUMMYFUNCTION("""COMPUTED_VALUE"""),7)</f>
        <v>7</v>
      </c>
      <c r="I1032" s="5">
        <f ca="1">IFERROR(__xludf.DUMMYFUNCTION("""COMPUTED_VALUE"""),1000)</f>
        <v>1000</v>
      </c>
      <c r="J1032" s="5">
        <f ca="1">IFERROR(__xludf.DUMMYFUNCTION("""COMPUTED_VALUE"""),350)</f>
        <v>350</v>
      </c>
      <c r="K1032" s="3"/>
      <c r="L1032" s="3" t="str">
        <f ca="1">IFERROR(__xludf.DUMMYFUNCTION("""COMPUTED_VALUE"""),"Cost per period")</f>
        <v>Cost per period</v>
      </c>
      <c r="M1032" s="3"/>
      <c r="N1032" s="3"/>
      <c r="O1032" s="3" t="str">
        <f ca="1">IFERROR(__xludf.DUMMYFUNCTION("""COMPUTED_VALUE"""),"300")</f>
        <v>300</v>
      </c>
      <c r="P1032" s="3" t="str">
        <f ca="1">IFERROR(__xludf.DUMMYFUNCTION("""COMPUTED_VALUE"""),"600")</f>
        <v>600</v>
      </c>
      <c r="Q1032" s="3" t="str">
        <f ca="1">IFERROR(__xludf.DUMMYFUNCTION("""COMPUTED_VALUE"""),"300x600")</f>
        <v>300x600</v>
      </c>
      <c r="R1032" s="3"/>
      <c r="S1032" s="3" t="str">
        <f ca="1">IFERROR(__xludf.DUMMYFUNCTION("""COMPUTED_VALUE"""),"100 (200 - HTML5)")</f>
        <v>100 (200 - HTML5)</v>
      </c>
      <c r="T1032" s="3"/>
      <c r="U1032" s="3" t="str">
        <f ca="1">IFERROR(__xludf.DUMMYFUNCTION("""COMPUTED_VALUE"""),"banner standard")</f>
        <v>banner standard</v>
      </c>
      <c r="V1032" s="3"/>
      <c r="W1032" s="4" t="str">
        <f ca="1">IFERROR(__xludf.DUMMYFUNCTION("""COMPUTED_VALUE"""),"https://reklama.cncenter.cz/Online/double-skyscraper")</f>
        <v>https://reklama.cncenter.cz/Online/double-skyscraper</v>
      </c>
      <c r="X1032" s="3"/>
      <c r="Y1032" s="3"/>
      <c r="Z1032" s="3" t="str">
        <f ca="1">IFERROR(__xludf.DUMMYFUNCTION("""COMPUTED_VALUE"""),"podklady@cncenter.cz")</f>
        <v>podklady@cncenter.cz</v>
      </c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 t="str">
        <f ca="1">IFERROR(__xludf.DUMMYFUNCTION("""COMPUTED_VALUE"""),"desktop")</f>
        <v>desktop</v>
      </c>
      <c r="AO1032" s="3"/>
      <c r="AP1032" s="3"/>
      <c r="AQ1032" s="3"/>
      <c r="AR1032" s="3"/>
      <c r="AS1032" s="3"/>
      <c r="AT1032" s="3"/>
      <c r="AU1032" s="3" t="str">
        <f ca="1">IFERROR(__xludf.DUMMYFUNCTION("""COMPUTED_VALUE"""),"double skyscraper")</f>
        <v>double skyscraper</v>
      </c>
    </row>
    <row r="1033" spans="1:47" x14ac:dyDescent="0.3">
      <c r="A1033" s="3">
        <f ca="1"/>
        <v>2346826</v>
      </c>
      <c r="B1033" s="3" t="str">
        <f ca="1"/>
        <v>CZECH NEWS CENTER a. s.</v>
      </c>
      <c r="C1033" s="3" t="str">
        <f ca="1">IFERROR(__xludf.DUMMYFUNCTION("""COMPUTED_VALUE"""),"Ženy")</f>
        <v>Ženy</v>
      </c>
      <c r="D1033" s="4" t="str">
        <f ca="1">IFERROR(__xludf.DUMMYFUNCTION("""COMPUTED_VALUE"""),"https://zeny.cz")</f>
        <v>https://zeny.cz</v>
      </c>
      <c r="E1033" s="3" t="str">
        <f ca="1">IFERROR(__xludf.DUMMYFUNCTION("""COMPUTED_VALUE"""),"celý web")</f>
        <v>celý web</v>
      </c>
      <c r="F1033" s="4" t="str">
        <f ca="1">IFERROR(__xludf.DUMMYFUNCTION("""COMPUTED_VALUE"""),"https://zeny.cz")</f>
        <v>https://zeny.cz</v>
      </c>
      <c r="G1033" s="3" t="str">
        <f ca="1">IFERROR(__xludf.DUMMYFUNCTION("""COMPUTED_VALUE"""),"mini videospot - max. 30 sec. high season")</f>
        <v>mini videospot - max. 30 sec. high season</v>
      </c>
      <c r="H1033" s="3">
        <f ca="1">IFERROR(__xludf.DUMMYFUNCTION("""COMPUTED_VALUE"""),7)</f>
        <v>7</v>
      </c>
      <c r="I1033" s="5">
        <f ca="1">IFERROR(__xludf.DUMMYFUNCTION("""COMPUTED_VALUE"""),1000)</f>
        <v>1000</v>
      </c>
      <c r="J1033" s="5">
        <f ca="1">IFERROR(__xludf.DUMMYFUNCTION("""COMPUTED_VALUE"""),260)</f>
        <v>260</v>
      </c>
      <c r="K1033" s="3"/>
      <c r="L1033" s="3" t="str">
        <f ca="1">IFERROR(__xludf.DUMMYFUNCTION("""COMPUTED_VALUE"""),"Cost per period")</f>
        <v>Cost per period</v>
      </c>
      <c r="M1033" s="3"/>
      <c r="N1033" s="3"/>
      <c r="O1033" s="3"/>
      <c r="P1033" s="3"/>
      <c r="Q1033" s="3" t="str">
        <f ca="1">IFERROR(__xludf.DUMMYFUNCTION("""COMPUTED_VALUE"""),"16:9 / umístění po domluvě dle možností")</f>
        <v>16:9 / umístění po domluvě dle možností</v>
      </c>
      <c r="R1033" s="3" t="str">
        <f ca="1">IFERROR(__xludf.DUMMYFUNCTION("""COMPUTED_VALUE"""),"přeskočení po 7 sekundách")</f>
        <v>přeskočení po 7 sekundách</v>
      </c>
      <c r="S1033" s="3" t="str">
        <f ca="1">IFERROR(__xludf.DUMMYFUNCTION("""COMPUTED_VALUE"""),"100")</f>
        <v>100</v>
      </c>
      <c r="T1033" s="3"/>
      <c r="U1033" s="3" t="str">
        <f ca="1">IFERROR(__xludf.DUMMYFUNCTION("""COMPUTED_VALUE"""),"videospot")</f>
        <v>videospot</v>
      </c>
      <c r="V1033" s="3"/>
      <c r="W1033" s="4" t="str">
        <f ca="1">IFERROR(__xludf.DUMMYFUNCTION("""COMPUTED_VALUE"""),"https://reklama.cncenter.cz/Online/Videospot")</f>
        <v>https://reklama.cncenter.cz/Online/Videospot</v>
      </c>
      <c r="X1033" s="3"/>
      <c r="Y1033" s="3"/>
      <c r="Z1033" s="3" t="str">
        <f ca="1">IFERROR(__xludf.DUMMYFUNCTION("""COMPUTED_VALUE"""),"podklady@cncenter.cz")</f>
        <v>podklady@cncenter.cz</v>
      </c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 t="str">
        <f ca="1">IFERROR(__xludf.DUMMYFUNCTION("""COMPUTED_VALUE"""),"desktop")</f>
        <v>desktop</v>
      </c>
      <c r="AO1033" s="3"/>
      <c r="AP1033" s="3"/>
      <c r="AQ1033" s="3"/>
      <c r="AR1033" s="3"/>
      <c r="AS1033" s="3"/>
      <c r="AT1033" s="3"/>
      <c r="AU1033" s="3" t="str">
        <f ca="1">IFERROR(__xludf.DUMMYFUNCTION("""COMPUTED_VALUE"""),"mini videospot - max. 30 sec.")</f>
        <v>mini videospot - max. 30 sec.</v>
      </c>
    </row>
    <row r="1034" spans="1:47" x14ac:dyDescent="0.3">
      <c r="A1034" s="3">
        <f ca="1"/>
        <v>2346826</v>
      </c>
      <c r="B1034" s="3" t="str">
        <f ca="1"/>
        <v>CZECH NEWS CENTER a. s.</v>
      </c>
      <c r="C1034" s="3" t="str">
        <f ca="1">IFERROR(__xludf.DUMMYFUNCTION("""COMPUTED_VALUE"""),"Ženy")</f>
        <v>Ženy</v>
      </c>
      <c r="D1034" s="4" t="str">
        <f ca="1">IFERROR(__xludf.DUMMYFUNCTION("""COMPUTED_VALUE"""),"https://zeny.cz")</f>
        <v>https://zeny.cz</v>
      </c>
      <c r="E1034" s="3" t="str">
        <f ca="1">IFERROR(__xludf.DUMMYFUNCTION("""COMPUTED_VALUE"""),"celý web")</f>
        <v>celý web</v>
      </c>
      <c r="F1034" s="4" t="str">
        <f ca="1">IFERROR(__xludf.DUMMYFUNCTION("""COMPUTED_VALUE"""),"https://zeny.cz")</f>
        <v>https://zeny.cz</v>
      </c>
      <c r="G1034" s="3" t="str">
        <f ca="1">IFERROR(__xludf.DUMMYFUNCTION("""COMPUTED_VALUE"""),"mobilní interscroller high season")</f>
        <v>mobilní interscroller high season</v>
      </c>
      <c r="H1034" s="3">
        <f ca="1">IFERROR(__xludf.DUMMYFUNCTION("""COMPUTED_VALUE"""),7)</f>
        <v>7</v>
      </c>
      <c r="I1034" s="5">
        <f ca="1">IFERROR(__xludf.DUMMYFUNCTION("""COMPUTED_VALUE"""),1000)</f>
        <v>1000</v>
      </c>
      <c r="J1034" s="5">
        <f ca="1">IFERROR(__xludf.DUMMYFUNCTION("""COMPUTED_VALUE"""),450)</f>
        <v>450</v>
      </c>
      <c r="K1034" s="3"/>
      <c r="L1034" s="3" t="str">
        <f ca="1">IFERROR(__xludf.DUMMYFUNCTION("""COMPUTED_VALUE"""),"Cost per period")</f>
        <v>Cost per period</v>
      </c>
      <c r="M1034" s="3"/>
      <c r="N1034" s="3"/>
      <c r="O1034" s="3" t="str">
        <f ca="1">IFERROR(__xludf.DUMMYFUNCTION("""COMPUTED_VALUE"""),"600")</f>
        <v>600</v>
      </c>
      <c r="P1034" s="3" t="str">
        <f ca="1">IFERROR(__xludf.DUMMYFUNCTION("""COMPUTED_VALUE"""),"1080")</f>
        <v>1080</v>
      </c>
      <c r="Q1034" s="3" t="str">
        <f ca="1">IFERROR(__xludf.DUMMYFUNCTION("""COMPUTED_VALUE"""),"600x1080")</f>
        <v>600x1080</v>
      </c>
      <c r="R1034" s="3"/>
      <c r="S1034" s="3" t="str">
        <f ca="1">IFERROR(__xludf.DUMMYFUNCTION("""COMPUTED_VALUE"""),"200")</f>
        <v>200</v>
      </c>
      <c r="T1034" s="3"/>
      <c r="U1034" s="3" t="str">
        <f ca="1">IFERROR(__xludf.DUMMYFUNCTION("""COMPUTED_VALUE"""),"banner standard")</f>
        <v>banner standard</v>
      </c>
      <c r="V1034" s="3"/>
      <c r="W1034" s="4" t="str">
        <f ca="1">IFERROR(__xludf.DUMMYFUNCTION("""COMPUTED_VALUE"""),"https://reklama.cncenter.cz/Online/mobilni-interscroller")</f>
        <v>https://reklama.cncenter.cz/Online/mobilni-interscroller</v>
      </c>
      <c r="X1034" s="3"/>
      <c r="Y1034" s="3"/>
      <c r="Z1034" s="3" t="str">
        <f ca="1">IFERROR(__xludf.DUMMYFUNCTION("""COMPUTED_VALUE"""),"podklady@cncenter.cz")</f>
        <v>podklady@cncenter.cz</v>
      </c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 t="str">
        <f ca="1">IFERROR(__xludf.DUMMYFUNCTION("""COMPUTED_VALUE"""),"mobile")</f>
        <v>mobile</v>
      </c>
      <c r="AO1034" s="3"/>
      <c r="AP1034" s="3"/>
      <c r="AQ1034" s="3"/>
      <c r="AR1034" s="3"/>
      <c r="AS1034" s="3"/>
      <c r="AT1034" s="3"/>
      <c r="AU1034" s="3" t="str">
        <f ca="1">IFERROR(__xludf.DUMMYFUNCTION("""COMPUTED_VALUE"""),"mobilní interscroller")</f>
        <v>mobilní interscroller</v>
      </c>
    </row>
    <row r="1035" spans="1:47" x14ac:dyDescent="0.3">
      <c r="A1035" s="3">
        <f ca="1"/>
        <v>2346826</v>
      </c>
      <c r="B1035" s="3" t="str">
        <f ca="1"/>
        <v>CZECH NEWS CENTER a. s.</v>
      </c>
      <c r="C1035" s="3" t="str">
        <f ca="1">IFERROR(__xludf.DUMMYFUNCTION("""COMPUTED_VALUE"""),"Ženy")</f>
        <v>Ženy</v>
      </c>
      <c r="D1035" s="4" t="str">
        <f ca="1">IFERROR(__xludf.DUMMYFUNCTION("""COMPUTED_VALUE"""),"https://zeny.cz")</f>
        <v>https://zeny.cz</v>
      </c>
      <c r="E1035" s="3" t="str">
        <f ca="1">IFERROR(__xludf.DUMMYFUNCTION("""COMPUTED_VALUE"""),"celý web")</f>
        <v>celý web</v>
      </c>
      <c r="F1035" s="4" t="str">
        <f ca="1">IFERROR(__xludf.DUMMYFUNCTION("""COMPUTED_VALUE"""),"https://zeny.cz")</f>
        <v>https://zeny.cz</v>
      </c>
      <c r="G1035" s="3" t="str">
        <f ca="1">IFERROR(__xludf.DUMMYFUNCTION("""COMPUTED_VALUE"""),"mobilní slide-up high season")</f>
        <v>mobilní slide-up high season</v>
      </c>
      <c r="H1035" s="3">
        <f ca="1">IFERROR(__xludf.DUMMYFUNCTION("""COMPUTED_VALUE"""),7)</f>
        <v>7</v>
      </c>
      <c r="I1035" s="5">
        <f ca="1">IFERROR(__xludf.DUMMYFUNCTION("""COMPUTED_VALUE"""),1000)</f>
        <v>1000</v>
      </c>
      <c r="J1035" s="5">
        <f ca="1">IFERROR(__xludf.DUMMYFUNCTION("""COMPUTED_VALUE"""),920)</f>
        <v>920</v>
      </c>
      <c r="K1035" s="3"/>
      <c r="L1035" s="3" t="str">
        <f ca="1">IFERROR(__xludf.DUMMYFUNCTION("""COMPUTED_VALUE"""),"Cost per period")</f>
        <v>Cost per period</v>
      </c>
      <c r="M1035" s="3"/>
      <c r="N1035" s="3"/>
      <c r="O1035" s="3" t="str">
        <f ca="1">IFERROR(__xludf.DUMMYFUNCTION("""COMPUTED_VALUE"""),"300")</f>
        <v>300</v>
      </c>
      <c r="P1035" s="3" t="str">
        <f ca="1">IFERROR(__xludf.DUMMYFUNCTION("""COMPUTED_VALUE"""),"120")</f>
        <v>120</v>
      </c>
      <c r="Q1035" s="3" t="str">
        <f ca="1">IFERROR(__xludf.DUMMYFUNCTION("""COMPUTED_VALUE"""),"300x120")</f>
        <v>300x120</v>
      </c>
      <c r="R1035" s="3"/>
      <c r="S1035" s="3" t="str">
        <f ca="1">IFERROR(__xludf.DUMMYFUNCTION("""COMPUTED_VALUE"""),"100")</f>
        <v>100</v>
      </c>
      <c r="T1035" s="3"/>
      <c r="U1035" s="3" t="str">
        <f ca="1">IFERROR(__xludf.DUMMYFUNCTION("""COMPUTED_VALUE"""),"banner standard")</f>
        <v>banner standard</v>
      </c>
      <c r="V1035" s="3"/>
      <c r="W1035" s="4" t="str">
        <f ca="1">IFERROR(__xludf.DUMMYFUNCTION("""COMPUTED_VALUE"""),"https://reklama.cncenter.cz/Online/mobilni-slide-up")</f>
        <v>https://reklama.cncenter.cz/Online/mobilni-slide-up</v>
      </c>
      <c r="X1035" s="3"/>
      <c r="Y1035" s="3"/>
      <c r="Z1035" s="3" t="str">
        <f ca="1">IFERROR(__xludf.DUMMYFUNCTION("""COMPUTED_VALUE"""),"podklady@cncenter.cz")</f>
        <v>podklady@cncenter.cz</v>
      </c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 t="str">
        <f ca="1">IFERROR(__xludf.DUMMYFUNCTION("""COMPUTED_VALUE"""),"mobile")</f>
        <v>mobile</v>
      </c>
      <c r="AO1035" s="3"/>
      <c r="AP1035" s="3"/>
      <c r="AQ1035" s="3"/>
      <c r="AR1035" s="3"/>
      <c r="AS1035" s="3"/>
      <c r="AT1035" s="3"/>
      <c r="AU1035" s="3" t="str">
        <f ca="1">IFERROR(__xludf.DUMMYFUNCTION("""COMPUTED_VALUE"""),"mobilní slide-up")</f>
        <v>mobilní slide-up</v>
      </c>
    </row>
    <row r="1036" spans="1:47" x14ac:dyDescent="0.3">
      <c r="A1036" s="3">
        <f ca="1"/>
        <v>2346826</v>
      </c>
      <c r="B1036" s="3" t="str">
        <f ca="1"/>
        <v>CZECH NEWS CENTER a. s.</v>
      </c>
      <c r="C1036" s="3" t="str">
        <f ca="1">IFERROR(__xludf.DUMMYFUNCTION("""COMPUTED_VALUE"""),"Ženy")</f>
        <v>Ženy</v>
      </c>
      <c r="D1036" s="4" t="str">
        <f ca="1">IFERROR(__xludf.DUMMYFUNCTION("""COMPUTED_VALUE"""),"https://zeny.cz")</f>
        <v>https://zeny.cz</v>
      </c>
      <c r="E1036" s="3" t="str">
        <f ca="1">IFERROR(__xludf.DUMMYFUNCTION("""COMPUTED_VALUE"""),"celý web")</f>
        <v>celý web</v>
      </c>
      <c r="F1036" s="4" t="str">
        <f ca="1">IFERROR(__xludf.DUMMYFUNCTION("""COMPUTED_VALUE"""),"https://zeny.cz")</f>
        <v>https://zeny.cz</v>
      </c>
      <c r="G1036" s="3" t="str">
        <f ca="1">IFERROR(__xludf.DUMMYFUNCTION("""COMPUTED_VALUE"""),"mobilní viněta high season")</f>
        <v>mobilní viněta high season</v>
      </c>
      <c r="H1036" s="3">
        <f ca="1">IFERROR(__xludf.DUMMYFUNCTION("""COMPUTED_VALUE"""),7)</f>
        <v>7</v>
      </c>
      <c r="I1036" s="5">
        <f ca="1">IFERROR(__xludf.DUMMYFUNCTION("""COMPUTED_VALUE"""),1000)</f>
        <v>1000</v>
      </c>
      <c r="J1036" s="5">
        <f ca="1">IFERROR(__xludf.DUMMYFUNCTION("""COMPUTED_VALUE"""),1590)</f>
        <v>1590</v>
      </c>
      <c r="K1036" s="3"/>
      <c r="L1036" s="3" t="str">
        <f ca="1">IFERROR(__xludf.DUMMYFUNCTION("""COMPUTED_VALUE"""),"Cost per period")</f>
        <v>Cost per period</v>
      </c>
      <c r="M1036" s="3"/>
      <c r="N1036" s="3"/>
      <c r="O1036" s="3" t="str">
        <f ca="1">IFERROR(__xludf.DUMMYFUNCTION("""COMPUTED_VALUE"""),"600")</f>
        <v>600</v>
      </c>
      <c r="P1036" s="3" t="str">
        <f ca="1">IFERROR(__xludf.DUMMYFUNCTION("""COMPUTED_VALUE"""),"800")</f>
        <v>800</v>
      </c>
      <c r="Q1036" s="3" t="str">
        <f ca="1">IFERROR(__xludf.DUMMYFUNCTION("""COMPUTED_VALUE"""),"300x250 nebo 600x800")</f>
        <v>300x250 nebo 600x800</v>
      </c>
      <c r="R1036" s="3"/>
      <c r="S1036" s="3" t="str">
        <f ca="1">IFERROR(__xludf.DUMMYFUNCTION("""COMPUTED_VALUE"""),"100")</f>
        <v>100</v>
      </c>
      <c r="T1036" s="3"/>
      <c r="U1036" s="3" t="str">
        <f ca="1">IFERROR(__xludf.DUMMYFUNCTION("""COMPUTED_VALUE"""),"banner standard")</f>
        <v>banner standard</v>
      </c>
      <c r="V1036" s="3"/>
      <c r="W1036" s="4" t="str">
        <f ca="1">IFERROR(__xludf.DUMMYFUNCTION("""COMPUTED_VALUE"""),"https://reklama.cncenter.cz/Online/mobilni-vineta")</f>
        <v>https://reklama.cncenter.cz/Online/mobilni-vineta</v>
      </c>
      <c r="X1036" s="3"/>
      <c r="Y1036" s="3"/>
      <c r="Z1036" s="3" t="str">
        <f ca="1">IFERROR(__xludf.DUMMYFUNCTION("""COMPUTED_VALUE"""),"podklady@cncenter.cz")</f>
        <v>podklady@cncenter.cz</v>
      </c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 t="str">
        <f ca="1">IFERROR(__xludf.DUMMYFUNCTION("""COMPUTED_VALUE"""),"mobile")</f>
        <v>mobile</v>
      </c>
      <c r="AO1036" s="3"/>
      <c r="AP1036" s="3"/>
      <c r="AQ1036" s="3"/>
      <c r="AR1036" s="3"/>
      <c r="AS1036" s="3"/>
      <c r="AT1036" s="3"/>
      <c r="AU1036" s="3" t="str">
        <f ca="1">IFERROR(__xludf.DUMMYFUNCTION("""COMPUTED_VALUE"""),"mobilní viněta")</f>
        <v>mobilní viněta</v>
      </c>
    </row>
    <row r="1037" spans="1:47" x14ac:dyDescent="0.3">
      <c r="A1037" s="3">
        <f ca="1"/>
        <v>2346826</v>
      </c>
      <c r="B1037" s="3" t="str">
        <f ca="1"/>
        <v>CZECH NEWS CENTER a. s.</v>
      </c>
      <c r="C1037" s="3" t="str">
        <f ca="1">IFERROR(__xludf.DUMMYFUNCTION("""COMPUTED_VALUE"""),"Ženy")</f>
        <v>Ženy</v>
      </c>
      <c r="D1037" s="4" t="str">
        <f ca="1">IFERROR(__xludf.DUMMYFUNCTION("""COMPUTED_VALUE"""),"https://zeny.cz")</f>
        <v>https://zeny.cz</v>
      </c>
      <c r="E1037" s="3" t="str">
        <f ca="1">IFERROR(__xludf.DUMMYFUNCTION("""COMPUTED_VALUE"""),"celý web")</f>
        <v>celý web</v>
      </c>
      <c r="F1037" s="4" t="str">
        <f ca="1">IFERROR(__xludf.DUMMYFUNCTION("""COMPUTED_VALUE"""),"https://zeny.cz")</f>
        <v>https://zeny.cz</v>
      </c>
      <c r="G1037" s="3" t="str">
        <f ca="1">IFERROR(__xludf.DUMMYFUNCTION("""COMPUTED_VALUE"""),"Native Standard high season")</f>
        <v>Native Standard high season</v>
      </c>
      <c r="H1037" s="3">
        <f ca="1">IFERROR(__xludf.DUMMYFUNCTION("""COMPUTED_VALUE"""),1)</f>
        <v>1</v>
      </c>
      <c r="I1037" s="5">
        <f ca="1">IFERROR(__xludf.DUMMYFUNCTION("""COMPUTED_VALUE"""),1)</f>
        <v>1</v>
      </c>
      <c r="J1037" s="5">
        <f ca="1">IFERROR(__xludf.DUMMYFUNCTION("""COMPUTED_VALUE"""),330000)</f>
        <v>330000</v>
      </c>
      <c r="K1037" s="3"/>
      <c r="L1037" s="3" t="str">
        <f ca="1">IFERROR(__xludf.DUMMYFUNCTION("""COMPUTED_VALUE"""),"Cost per instance")</f>
        <v>Cost per instance</v>
      </c>
      <c r="M1037" s="3"/>
      <c r="N1037" s="3"/>
      <c r="O1037" s="3"/>
      <c r="P1037" s="3"/>
      <c r="Q1037" s="3"/>
      <c r="R1037" s="3"/>
      <c r="S1037" s="3" t="str">
        <f ca="1">IFERROR(__xludf.DUMMYFUNCTION("""COMPUTED_VALUE"""),"100")</f>
        <v>100</v>
      </c>
      <c r="T1037" s="3"/>
      <c r="U1037" s="3" t="str">
        <f ca="1">IFERROR(__xludf.DUMMYFUNCTION("""COMPUTED_VALUE"""),"microsite")</f>
        <v>microsite</v>
      </c>
      <c r="V1037" s="3"/>
      <c r="W1037" s="3"/>
      <c r="X1037" s="3"/>
      <c r="Y1037" s="3"/>
      <c r="Z1037" s="3" t="str">
        <f ca="1">IFERROR(__xludf.DUMMYFUNCTION("""COMPUTED_VALUE"""),"podklady@cncenter.cz")</f>
        <v>podklady@cncenter.cz</v>
      </c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 t="str">
        <f ca="1">IFERROR(__xludf.DUMMYFUNCTION("""COMPUTED_VALUE"""),"cross-device")</f>
        <v>cross-device</v>
      </c>
      <c r="AO1037" s="3"/>
      <c r="AP1037" s="3"/>
      <c r="AQ1037" s="3"/>
      <c r="AR1037" s="3"/>
      <c r="AS1037" s="3"/>
      <c r="AT1037" s="3"/>
      <c r="AU1037" s="3" t="str">
        <f ca="1">IFERROR(__xludf.DUMMYFUNCTION("""COMPUTED_VALUE"""),"Native Standard")</f>
        <v>Native Standard</v>
      </c>
    </row>
    <row r="1038" spans="1:47" x14ac:dyDescent="0.3">
      <c r="A1038" s="3">
        <f ca="1"/>
        <v>2346826</v>
      </c>
      <c r="B1038" s="3" t="str">
        <f ca="1"/>
        <v>CZECH NEWS CENTER a. s.</v>
      </c>
      <c r="C1038" s="3" t="str">
        <f ca="1">IFERROR(__xludf.DUMMYFUNCTION("""COMPUTED_VALUE"""),"Ženy")</f>
        <v>Ženy</v>
      </c>
      <c r="D1038" s="4" t="str">
        <f ca="1">IFERROR(__xludf.DUMMYFUNCTION("""COMPUTED_VALUE"""),"https://zeny.cz")</f>
        <v>https://zeny.cz</v>
      </c>
      <c r="E1038" s="3" t="str">
        <f ca="1">IFERROR(__xludf.DUMMYFUNCTION("""COMPUTED_VALUE"""),"celý web")</f>
        <v>celý web</v>
      </c>
      <c r="F1038" s="4" t="str">
        <f ca="1">IFERROR(__xludf.DUMMYFUNCTION("""COMPUTED_VALUE"""),"https://zeny.cz")</f>
        <v>https://zeny.cz</v>
      </c>
      <c r="G1038" s="3" t="str">
        <f ca="1">IFERROR(__xludf.DUMMYFUNCTION("""COMPUTED_VALUE"""),"nativní pr premium high season")</f>
        <v>nativní pr premium high season</v>
      </c>
      <c r="H1038" s="3">
        <f ca="1">IFERROR(__xludf.DUMMYFUNCTION("""COMPUTED_VALUE"""),7)</f>
        <v>7</v>
      </c>
      <c r="I1038" s="5">
        <f ca="1">IFERROR(__xludf.DUMMYFUNCTION("""COMPUTED_VALUE"""),1000)</f>
        <v>1000</v>
      </c>
      <c r="J1038" s="5">
        <f ca="1">IFERROR(__xludf.DUMMYFUNCTION("""COMPUTED_VALUE"""),180)</f>
        <v>180</v>
      </c>
      <c r="K1038" s="3"/>
      <c r="L1038" s="3" t="str">
        <f ca="1">IFERROR(__xludf.DUMMYFUNCTION("""COMPUTED_VALUE"""),"Cost per period")</f>
        <v>Cost per period</v>
      </c>
      <c r="M1038" s="3"/>
      <c r="N1038" s="3"/>
      <c r="O1038" s="3" t="str">
        <f ca="1">IFERROR(__xludf.DUMMYFUNCTION("""COMPUTED_VALUE"""),"640")</f>
        <v>640</v>
      </c>
      <c r="P1038" s="3" t="str">
        <f ca="1">IFERROR(__xludf.DUMMYFUNCTION("""COMPUTED_VALUE"""),"335, 640")</f>
        <v>335, 640</v>
      </c>
      <c r="Q1038" s="3" t="str">
        <f ca="1">IFERROR(__xludf.DUMMYFUNCTION("""COMPUTED_VALUE"""),"640x640 a 640x335 + text + logo")</f>
        <v>640x640 a 640x335 + text + logo</v>
      </c>
      <c r="R1038" s="3" t="str">
        <f ca="1">IFERROR(__xludf.DUMMYFUNCTION("""COMPUTED_VALUE"""),"detailní specifikace na URL odkaze")</f>
        <v>detailní specifikace na URL odkaze</v>
      </c>
      <c r="S1038" s="3" t="str">
        <f ca="1">IFERROR(__xludf.DUMMYFUNCTION("""COMPUTED_VALUE"""),"100")</f>
        <v>100</v>
      </c>
      <c r="T1038" s="3"/>
      <c r="U1038" s="3" t="str">
        <f ca="1">IFERROR(__xludf.DUMMYFUNCTION("""COMPUTED_VALUE"""),"nativní reklama")</f>
        <v>nativní reklama</v>
      </c>
      <c r="V1038" s="3"/>
      <c r="W1038" s="4" t="str">
        <f ca="1">IFERROR(__xludf.DUMMYFUNCTION("""COMPUTED_VALUE"""),"https://reklama.cncenter.cz/Online/nativni-PR-premium")</f>
        <v>https://reklama.cncenter.cz/Online/nativni-PR-premium</v>
      </c>
      <c r="X1038" s="3"/>
      <c r="Y1038" s="3"/>
      <c r="Z1038" s="3" t="str">
        <f ca="1">IFERROR(__xludf.DUMMYFUNCTION("""COMPUTED_VALUE"""),"podklady@cncenter.cz")</f>
        <v>podklady@cncenter.cz</v>
      </c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 t="str">
        <f ca="1">IFERROR(__xludf.DUMMYFUNCTION("""COMPUTED_VALUE"""),"cross-device")</f>
        <v>cross-device</v>
      </c>
      <c r="AO1038" s="3"/>
      <c r="AP1038" s="3"/>
      <c r="AQ1038" s="3"/>
      <c r="AR1038" s="3"/>
      <c r="AS1038" s="3"/>
      <c r="AT1038" s="3"/>
      <c r="AU1038" s="3" t="str">
        <f ca="1">IFERROR(__xludf.DUMMYFUNCTION("""COMPUTED_VALUE"""),"nativní pr premium")</f>
        <v>nativní pr premium</v>
      </c>
    </row>
    <row r="1039" spans="1:47" x14ac:dyDescent="0.3">
      <c r="A1039" s="3">
        <f ca="1"/>
        <v>2346826</v>
      </c>
      <c r="B1039" s="3" t="str">
        <f ca="1"/>
        <v>CZECH NEWS CENTER a. s.</v>
      </c>
      <c r="C1039" s="3" t="str">
        <f ca="1">IFERROR(__xludf.DUMMYFUNCTION("""COMPUTED_VALUE"""),"Ženy")</f>
        <v>Ženy</v>
      </c>
      <c r="D1039" s="4" t="str">
        <f ca="1">IFERROR(__xludf.DUMMYFUNCTION("""COMPUTED_VALUE"""),"https://zeny.cz")</f>
        <v>https://zeny.cz</v>
      </c>
      <c r="E1039" s="3" t="str">
        <f ca="1">IFERROR(__xludf.DUMMYFUNCTION("""COMPUTED_VALUE"""),"celý web")</f>
        <v>celý web</v>
      </c>
      <c r="F1039" s="4" t="str">
        <f ca="1">IFERROR(__xludf.DUMMYFUNCTION("""COMPUTED_VALUE"""),"https://zeny.cz")</f>
        <v>https://zeny.cz</v>
      </c>
      <c r="G1039" s="3" t="str">
        <f ca="1">IFERROR(__xludf.DUMMYFUNCTION("""COMPUTED_VALUE"""),"nativní rectangle cross-device high season")</f>
        <v>nativní rectangle cross-device high season</v>
      </c>
      <c r="H1039" s="3">
        <f ca="1">IFERROR(__xludf.DUMMYFUNCTION("""COMPUTED_VALUE"""),7)</f>
        <v>7</v>
      </c>
      <c r="I1039" s="5">
        <f ca="1">IFERROR(__xludf.DUMMYFUNCTION("""COMPUTED_VALUE"""),1000)</f>
        <v>1000</v>
      </c>
      <c r="J1039" s="5">
        <f ca="1">IFERROR(__xludf.DUMMYFUNCTION("""COMPUTED_VALUE"""),360)</f>
        <v>360</v>
      </c>
      <c r="K1039" s="3"/>
      <c r="L1039" s="3" t="str">
        <f ca="1">IFERROR(__xludf.DUMMYFUNCTION("""COMPUTED_VALUE"""),"Cost per period")</f>
        <v>Cost per period</v>
      </c>
      <c r="M1039" s="3"/>
      <c r="N1039" s="3"/>
      <c r="O1039" s="3" t="str">
        <f ca="1">IFERROR(__xludf.DUMMYFUNCTION("""COMPUTED_VALUE"""),"640")</f>
        <v>640</v>
      </c>
      <c r="P1039" s="3" t="str">
        <f ca="1">IFERROR(__xludf.DUMMYFUNCTION("""COMPUTED_VALUE"""),"335, 640")</f>
        <v>335, 640</v>
      </c>
      <c r="Q1039" s="3" t="str">
        <f ca="1">IFERROR(__xludf.DUMMYFUNCTION("""COMPUTED_VALUE"""),"640x640 a 640x335 + text + logo")</f>
        <v>640x640 a 640x335 + text + logo</v>
      </c>
      <c r="R1039" s="3"/>
      <c r="S1039" s="3" t="str">
        <f ca="1">IFERROR(__xludf.DUMMYFUNCTION("""COMPUTED_VALUE"""),"45")</f>
        <v>45</v>
      </c>
      <c r="T1039" s="3"/>
      <c r="U1039" s="3" t="str">
        <f ca="1">IFERROR(__xludf.DUMMYFUNCTION("""COMPUTED_VALUE"""),"nativní reklama")</f>
        <v>nativní reklama</v>
      </c>
      <c r="V1039" s="3"/>
      <c r="W1039" s="4" t="str">
        <f ca="1">IFERROR(__xludf.DUMMYFUNCTION("""COMPUTED_VALUE"""),"https://reklama.cncenter.cz/Online/nativni-rectangle-cross-device")</f>
        <v>https://reklama.cncenter.cz/Online/nativni-rectangle-cross-device</v>
      </c>
      <c r="X1039" s="3"/>
      <c r="Y1039" s="3"/>
      <c r="Z1039" s="3" t="str">
        <f ca="1">IFERROR(__xludf.DUMMYFUNCTION("""COMPUTED_VALUE"""),"podklady@cncenter.cz")</f>
        <v>podklady@cncenter.cz</v>
      </c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 t="str">
        <f ca="1">IFERROR(__xludf.DUMMYFUNCTION("""COMPUTED_VALUE"""),"cross-device")</f>
        <v>cross-device</v>
      </c>
      <c r="AO1039" s="3"/>
      <c r="AP1039" s="3"/>
      <c r="AQ1039" s="3"/>
      <c r="AR1039" s="3"/>
      <c r="AS1039" s="3"/>
      <c r="AT1039" s="3"/>
      <c r="AU1039" s="3" t="str">
        <f ca="1">IFERROR(__xludf.DUMMYFUNCTION("""COMPUTED_VALUE"""),"nativní rectangle cross-device")</f>
        <v>nativní rectangle cross-device</v>
      </c>
    </row>
    <row r="1040" spans="1:47" x14ac:dyDescent="0.3">
      <c r="A1040" s="3">
        <f ca="1"/>
        <v>2346826</v>
      </c>
      <c r="B1040" s="3" t="str">
        <f ca="1"/>
        <v>CZECH NEWS CENTER a. s.</v>
      </c>
      <c r="C1040" s="3" t="str">
        <f ca="1">IFERROR(__xludf.DUMMYFUNCTION("""COMPUTED_VALUE"""),"Ženy")</f>
        <v>Ženy</v>
      </c>
      <c r="D1040" s="4" t="str">
        <f ca="1">IFERROR(__xludf.DUMMYFUNCTION("""COMPUTED_VALUE"""),"https://zeny.cz")</f>
        <v>https://zeny.cz</v>
      </c>
      <c r="E1040" s="3" t="str">
        <f ca="1">IFERROR(__xludf.DUMMYFUNCTION("""COMPUTED_VALUE"""),"celý web")</f>
        <v>celý web</v>
      </c>
      <c r="F1040" s="4" t="str">
        <f ca="1">IFERROR(__xludf.DUMMYFUNCTION("""COMPUTED_VALUE"""),"https://zeny.cz")</f>
        <v>https://zeny.cz</v>
      </c>
      <c r="G1040" s="3" t="str">
        <f ca="1">IFERROR(__xludf.DUMMYFUNCTION("""COMPUTED_VALUE"""),"outstream high season")</f>
        <v>outstream high season</v>
      </c>
      <c r="H1040" s="3">
        <f ca="1">IFERROR(__xludf.DUMMYFUNCTION("""COMPUTED_VALUE"""),7)</f>
        <v>7</v>
      </c>
      <c r="I1040" s="5">
        <f ca="1">IFERROR(__xludf.DUMMYFUNCTION("""COMPUTED_VALUE"""),1000)</f>
        <v>1000</v>
      </c>
      <c r="J1040" s="5">
        <f ca="1">IFERROR(__xludf.DUMMYFUNCTION("""COMPUTED_VALUE"""),450)</f>
        <v>450</v>
      </c>
      <c r="K1040" s="3"/>
      <c r="L1040" s="3" t="str">
        <f ca="1">IFERROR(__xludf.DUMMYFUNCTION("""COMPUTED_VALUE"""),"Cost per period")</f>
        <v>Cost per period</v>
      </c>
      <c r="M1040" s="3"/>
      <c r="N1040" s="3"/>
      <c r="O1040" s="3" t="str">
        <f ca="1">IFERROR(__xludf.DUMMYFUNCTION("""COMPUTED_VALUE"""),"1280")</f>
        <v>1280</v>
      </c>
      <c r="P1040" s="3" t="str">
        <f ca="1">IFERROR(__xludf.DUMMYFUNCTION("""COMPUTED_VALUE"""),"720")</f>
        <v>720</v>
      </c>
      <c r="Q1040" s="3" t="str">
        <f ca="1">IFERROR(__xludf.DUMMYFUNCTION("""COMPUTED_VALUE"""),"16:9")</f>
        <v>16:9</v>
      </c>
      <c r="R1040" s="3"/>
      <c r="S1040" s="3" t="str">
        <f ca="1">IFERROR(__xludf.DUMMYFUNCTION("""COMPUTED_VALUE"""),"100")</f>
        <v>100</v>
      </c>
      <c r="T1040" s="3"/>
      <c r="U1040" s="3" t="str">
        <f ca="1">IFERROR(__xludf.DUMMYFUNCTION("""COMPUTED_VALUE"""),"videospot")</f>
        <v>videospot</v>
      </c>
      <c r="V1040" s="3"/>
      <c r="W1040" s="4" t="str">
        <f ca="1">IFERROR(__xludf.DUMMYFUNCTION("""COMPUTED_VALUE"""),"https://reklama.cncenter.cz/Online/Outstream")</f>
        <v>https://reklama.cncenter.cz/Online/Outstream</v>
      </c>
      <c r="X1040" s="3"/>
      <c r="Y1040" s="3"/>
      <c r="Z1040" s="3" t="str">
        <f ca="1">IFERROR(__xludf.DUMMYFUNCTION("""COMPUTED_VALUE"""),"podklady@cncenter.cz")</f>
        <v>podklady@cncenter.cz</v>
      </c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 t="str">
        <f ca="1">IFERROR(__xludf.DUMMYFUNCTION("""COMPUTED_VALUE"""),"cross-device")</f>
        <v>cross-device</v>
      </c>
      <c r="AO1040" s="3"/>
      <c r="AP1040" s="3"/>
      <c r="AQ1040" s="3"/>
      <c r="AR1040" s="3"/>
      <c r="AS1040" s="3"/>
      <c r="AT1040" s="3"/>
      <c r="AU1040" s="3" t="str">
        <f ca="1">IFERROR(__xludf.DUMMYFUNCTION("""COMPUTED_VALUE"""),"outstream")</f>
        <v>outstream</v>
      </c>
    </row>
    <row r="1041" spans="1:47" x14ac:dyDescent="0.3">
      <c r="A1041" s="3">
        <f ca="1"/>
        <v>2346826</v>
      </c>
      <c r="B1041" s="3" t="str">
        <f ca="1"/>
        <v>CZECH NEWS CENTER a. s.</v>
      </c>
      <c r="C1041" s="3" t="str">
        <f ca="1">IFERROR(__xludf.DUMMYFUNCTION("""COMPUTED_VALUE"""),"Ženy")</f>
        <v>Ženy</v>
      </c>
      <c r="D1041" s="4" t="str">
        <f ca="1">IFERROR(__xludf.DUMMYFUNCTION("""COMPUTED_VALUE"""),"https://zeny.cz")</f>
        <v>https://zeny.cz</v>
      </c>
      <c r="E1041" s="3" t="str">
        <f ca="1">IFERROR(__xludf.DUMMYFUNCTION("""COMPUTED_VALUE"""),"celý web")</f>
        <v>celý web</v>
      </c>
      <c r="F1041" s="4" t="str">
        <f ca="1">IFERROR(__xludf.DUMMYFUNCTION("""COMPUTED_VALUE"""),"https://zeny.cz")</f>
        <v>https://zeny.cz</v>
      </c>
      <c r="G1041" s="3" t="str">
        <f ca="1">IFERROR(__xludf.DUMMYFUNCTION("""COMPUTED_VALUE"""),"PR článek high season")</f>
        <v>PR článek high season</v>
      </c>
      <c r="H1041" s="3">
        <f ca="1">IFERROR(__xludf.DUMMYFUNCTION("""COMPUTED_VALUE"""),1)</f>
        <v>1</v>
      </c>
      <c r="I1041" s="5">
        <f ca="1">IFERROR(__xludf.DUMMYFUNCTION("""COMPUTED_VALUE"""),1)</f>
        <v>1</v>
      </c>
      <c r="J1041" s="5">
        <f ca="1">IFERROR(__xludf.DUMMYFUNCTION("""COMPUTED_VALUE"""),30000)</f>
        <v>30000</v>
      </c>
      <c r="K1041" s="3"/>
      <c r="L1041" s="3" t="str">
        <f ca="1">IFERROR(__xludf.DUMMYFUNCTION("""COMPUTED_VALUE"""),"Cost per instance")</f>
        <v>Cost per instance</v>
      </c>
      <c r="M1041" s="3"/>
      <c r="N1041" s="3"/>
      <c r="O1041" s="3"/>
      <c r="P1041" s="3"/>
      <c r="Q1041" s="3"/>
      <c r="R1041" s="3"/>
      <c r="S1041" s="3" t="str">
        <f ca="1">IFERROR(__xludf.DUMMYFUNCTION("""COMPUTED_VALUE"""),"100")</f>
        <v>100</v>
      </c>
      <c r="T1041" s="3"/>
      <c r="U1041" s="3" t="str">
        <f ca="1">IFERROR(__xludf.DUMMYFUNCTION("""COMPUTED_VALUE"""),"pr článek")</f>
        <v>pr článek</v>
      </c>
      <c r="V1041" s="3"/>
      <c r="W1041" s="4" t="str">
        <f ca="1">IFERROR(__xludf.DUMMYFUNCTION("""COMPUTED_VALUE"""),"https://reklama.cncenter.cz/?ads=PR%2520%25C4%258Dl%25C3%25A1nky")</f>
        <v>https://reklama.cncenter.cz/?ads=PR%2520%25C4%258Dl%25C3%25A1nky</v>
      </c>
      <c r="X1041" s="3"/>
      <c r="Y1041" s="3"/>
      <c r="Z1041" s="3" t="str">
        <f ca="1">IFERROR(__xludf.DUMMYFUNCTION("""COMPUTED_VALUE"""),"podklady@cncenter.cz")</f>
        <v>podklady@cncenter.cz</v>
      </c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 t="str">
        <f ca="1">IFERROR(__xludf.DUMMYFUNCTION("""COMPUTED_VALUE"""),"cross-device")</f>
        <v>cross-device</v>
      </c>
      <c r="AO1041" s="3"/>
      <c r="AP1041" s="3"/>
      <c r="AQ1041" s="3"/>
      <c r="AR1041" s="3"/>
      <c r="AS1041" s="3"/>
      <c r="AT1041" s="3"/>
      <c r="AU1041" s="3" t="str">
        <f ca="1">IFERROR(__xludf.DUMMYFUNCTION("""COMPUTED_VALUE"""),"PR článek")</f>
        <v>PR článek</v>
      </c>
    </row>
    <row r="1042" spans="1:47" x14ac:dyDescent="0.3">
      <c r="A1042" s="3">
        <f ca="1"/>
        <v>2346826</v>
      </c>
      <c r="B1042" s="3" t="str">
        <f ca="1"/>
        <v>CZECH NEWS CENTER a. s.</v>
      </c>
      <c r="C1042" s="3" t="str">
        <f ca="1">IFERROR(__xludf.DUMMYFUNCTION("""COMPUTED_VALUE"""),"Ženy")</f>
        <v>Ženy</v>
      </c>
      <c r="D1042" s="4" t="str">
        <f ca="1">IFERROR(__xludf.DUMMYFUNCTION("""COMPUTED_VALUE"""),"https://zeny.cz")</f>
        <v>https://zeny.cz</v>
      </c>
      <c r="E1042" s="3" t="str">
        <f ca="1">IFERROR(__xludf.DUMMYFUNCTION("""COMPUTED_VALUE"""),"celý web")</f>
        <v>celý web</v>
      </c>
      <c r="F1042" s="4" t="str">
        <f ca="1">IFERROR(__xludf.DUMMYFUNCTION("""COMPUTED_VALUE"""),"https://zeny.cz")</f>
        <v>https://zeny.cz</v>
      </c>
      <c r="G1042" s="3" t="str">
        <f ca="1">IFERROR(__xludf.DUMMYFUNCTION("""COMPUTED_VALUE"""),"Prodloužení existující microsite, bez úprav high season")</f>
        <v>Prodloužení existující microsite, bez úprav high season</v>
      </c>
      <c r="H1042" s="3">
        <f ca="1">IFERROR(__xludf.DUMMYFUNCTION("""COMPUTED_VALUE"""),1)</f>
        <v>1</v>
      </c>
      <c r="I1042" s="5">
        <f ca="1">IFERROR(__xludf.DUMMYFUNCTION("""COMPUTED_VALUE"""),1)</f>
        <v>1</v>
      </c>
      <c r="J1042" s="5">
        <f ca="1">IFERROR(__xludf.DUMMYFUNCTION("""COMPUTED_VALUE"""),15000)</f>
        <v>15000</v>
      </c>
      <c r="K1042" s="3"/>
      <c r="L1042" s="3" t="str">
        <f ca="1">IFERROR(__xludf.DUMMYFUNCTION("""COMPUTED_VALUE"""),"Cost per instance")</f>
        <v>Cost per instance</v>
      </c>
      <c r="M1042" s="3"/>
      <c r="N1042" s="3"/>
      <c r="O1042" s="3"/>
      <c r="P1042" s="3"/>
      <c r="Q1042" s="3"/>
      <c r="R1042" s="3"/>
      <c r="S1042" s="3" t="str">
        <f ca="1">IFERROR(__xludf.DUMMYFUNCTION("""COMPUTED_VALUE"""),"100")</f>
        <v>100</v>
      </c>
      <c r="T1042" s="3"/>
      <c r="U1042" s="3" t="str">
        <f ca="1">IFERROR(__xludf.DUMMYFUNCTION("""COMPUTED_VALUE"""),"microsite")</f>
        <v>microsite</v>
      </c>
      <c r="V1042" s="3"/>
      <c r="W1042" s="3"/>
      <c r="X1042" s="3"/>
      <c r="Y1042" s="3"/>
      <c r="Z1042" s="3" t="str">
        <f ca="1">IFERROR(__xludf.DUMMYFUNCTION("""COMPUTED_VALUE"""),"podklady@cncenter.cz")</f>
        <v>podklady@cncenter.cz</v>
      </c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 t="str">
        <f ca="1">IFERROR(__xludf.DUMMYFUNCTION("""COMPUTED_VALUE"""),"cross-device")</f>
        <v>cross-device</v>
      </c>
      <c r="AO1042" s="3"/>
      <c r="AP1042" s="3"/>
      <c r="AQ1042" s="3"/>
      <c r="AR1042" s="3"/>
      <c r="AS1042" s="3"/>
      <c r="AT1042" s="3"/>
      <c r="AU1042" s="3" t="str">
        <f ca="1">IFERROR(__xludf.DUMMYFUNCTION("""COMPUTED_VALUE"""),"Prodloužení existující microsite, bez úprav")</f>
        <v>Prodloužení existující microsite, bez úprav</v>
      </c>
    </row>
    <row r="1043" spans="1:47" x14ac:dyDescent="0.3">
      <c r="A1043" s="3">
        <f ca="1"/>
        <v>2346826</v>
      </c>
      <c r="B1043" s="3" t="str">
        <f ca="1"/>
        <v>CZECH NEWS CENTER a. s.</v>
      </c>
      <c r="C1043" s="3" t="str">
        <f ca="1">IFERROR(__xludf.DUMMYFUNCTION("""COMPUTED_VALUE"""),"Ženy")</f>
        <v>Ženy</v>
      </c>
      <c r="D1043" s="4" t="str">
        <f ca="1">IFERROR(__xludf.DUMMYFUNCTION("""COMPUTED_VALUE"""),"https://zeny.cz")</f>
        <v>https://zeny.cz</v>
      </c>
      <c r="E1043" s="3" t="str">
        <f ca="1">IFERROR(__xludf.DUMMYFUNCTION("""COMPUTED_VALUE"""),"celý web")</f>
        <v>celý web</v>
      </c>
      <c r="F1043" s="4" t="str">
        <f ca="1">IFERROR(__xludf.DUMMYFUNCTION("""COMPUTED_VALUE"""),"https://zeny.cz")</f>
        <v>https://zeny.cz</v>
      </c>
      <c r="G1043" s="3" t="str">
        <f ca="1">IFERROR(__xludf.DUMMYFUNCTION("""COMPUTED_VALUE"""),"Prodloužení existující microsite, bez úprav high season")</f>
        <v>Prodloužení existující microsite, bez úprav high season</v>
      </c>
      <c r="H1043" s="3">
        <f ca="1">IFERROR(__xludf.DUMMYFUNCTION("""COMPUTED_VALUE"""),1)</f>
        <v>1</v>
      </c>
      <c r="I1043" s="5">
        <f ca="1">IFERROR(__xludf.DUMMYFUNCTION("""COMPUTED_VALUE"""),1)</f>
        <v>1</v>
      </c>
      <c r="J1043" s="5">
        <f ca="1">IFERROR(__xludf.DUMMYFUNCTION("""COMPUTED_VALUE"""),15000)</f>
        <v>15000</v>
      </c>
      <c r="K1043" s="3"/>
      <c r="L1043" s="3" t="str">
        <f ca="1">IFERROR(__xludf.DUMMYFUNCTION("""COMPUTED_VALUE"""),"Cost per instance")</f>
        <v>Cost per instance</v>
      </c>
      <c r="M1043" s="3"/>
      <c r="N1043" s="3"/>
      <c r="O1043" s="3"/>
      <c r="P1043" s="3"/>
      <c r="Q1043" s="3"/>
      <c r="R1043" s="3"/>
      <c r="S1043" s="3" t="str">
        <f ca="1">IFERROR(__xludf.DUMMYFUNCTION("""COMPUTED_VALUE"""),"100")</f>
        <v>100</v>
      </c>
      <c r="T1043" s="3"/>
      <c r="U1043" s="3" t="str">
        <f ca="1">IFERROR(__xludf.DUMMYFUNCTION("""COMPUTED_VALUE"""),"microsite")</f>
        <v>microsite</v>
      </c>
      <c r="V1043" s="3"/>
      <c r="W1043" s="3"/>
      <c r="X1043" s="3"/>
      <c r="Y1043" s="3"/>
      <c r="Z1043" s="3" t="str">
        <f ca="1">IFERROR(__xludf.DUMMYFUNCTION("""COMPUTED_VALUE"""),"podklady@cncenter.cz")</f>
        <v>podklady@cncenter.cz</v>
      </c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 t="str">
        <f ca="1">IFERROR(__xludf.DUMMYFUNCTION("""COMPUTED_VALUE"""),"cross-device")</f>
        <v>cross-device</v>
      </c>
      <c r="AO1043" s="3"/>
      <c r="AP1043" s="3"/>
      <c r="AQ1043" s="3"/>
      <c r="AR1043" s="3"/>
      <c r="AS1043" s="3"/>
      <c r="AT1043" s="3"/>
      <c r="AU1043" s="3" t="str">
        <f ca="1">IFERROR(__xludf.DUMMYFUNCTION("""COMPUTED_VALUE"""),"Prodloužení existující microsite, bez úprav")</f>
        <v>Prodloužení existující microsite, bez úprav</v>
      </c>
    </row>
    <row r="1044" spans="1:47" x14ac:dyDescent="0.3">
      <c r="A1044" s="3">
        <f ca="1"/>
        <v>2346826</v>
      </c>
      <c r="B1044" s="3" t="str">
        <f ca="1"/>
        <v>CZECH NEWS CENTER a. s.</v>
      </c>
      <c r="C1044" s="3" t="str">
        <f ca="1">IFERROR(__xludf.DUMMYFUNCTION("""COMPUTED_VALUE"""),"Ženy")</f>
        <v>Ženy</v>
      </c>
      <c r="D1044" s="4" t="str">
        <f ca="1">IFERROR(__xludf.DUMMYFUNCTION("""COMPUTED_VALUE"""),"https://zeny.cz")</f>
        <v>https://zeny.cz</v>
      </c>
      <c r="E1044" s="3" t="str">
        <f ca="1">IFERROR(__xludf.DUMMYFUNCTION("""COMPUTED_VALUE"""),"celý web")</f>
        <v>celý web</v>
      </c>
      <c r="F1044" s="4" t="str">
        <f ca="1">IFERROR(__xludf.DUMMYFUNCTION("""COMPUTED_VALUE"""),"https://zeny.cz")</f>
        <v>https://zeny.cz</v>
      </c>
      <c r="G1044" s="3" t="str">
        <f ca="1">IFERROR(__xludf.DUMMYFUNCTION("""COMPUTED_VALUE"""),"Prodloužení existující microsite, bez úprav high season")</f>
        <v>Prodloužení existující microsite, bez úprav high season</v>
      </c>
      <c r="H1044" s="3">
        <f ca="1">IFERROR(__xludf.DUMMYFUNCTION("""COMPUTED_VALUE"""),1)</f>
        <v>1</v>
      </c>
      <c r="I1044" s="5">
        <f ca="1">IFERROR(__xludf.DUMMYFUNCTION("""COMPUTED_VALUE"""),1)</f>
        <v>1</v>
      </c>
      <c r="J1044" s="5">
        <f ca="1">IFERROR(__xludf.DUMMYFUNCTION("""COMPUTED_VALUE"""),15000)</f>
        <v>15000</v>
      </c>
      <c r="K1044" s="3"/>
      <c r="L1044" s="3" t="str">
        <f ca="1">IFERROR(__xludf.DUMMYFUNCTION("""COMPUTED_VALUE"""),"Cost per instance")</f>
        <v>Cost per instance</v>
      </c>
      <c r="M1044" s="3"/>
      <c r="N1044" s="3"/>
      <c r="O1044" s="3"/>
      <c r="P1044" s="3"/>
      <c r="Q1044" s="3"/>
      <c r="R1044" s="3"/>
      <c r="S1044" s="3" t="str">
        <f ca="1">IFERROR(__xludf.DUMMYFUNCTION("""COMPUTED_VALUE"""),"100")</f>
        <v>100</v>
      </c>
      <c r="T1044" s="3"/>
      <c r="U1044" s="3" t="str">
        <f ca="1">IFERROR(__xludf.DUMMYFUNCTION("""COMPUTED_VALUE"""),"microsite")</f>
        <v>microsite</v>
      </c>
      <c r="V1044" s="3"/>
      <c r="W1044" s="3"/>
      <c r="X1044" s="3"/>
      <c r="Y1044" s="3"/>
      <c r="Z1044" s="3" t="str">
        <f ca="1">IFERROR(__xludf.DUMMYFUNCTION("""COMPUTED_VALUE"""),"podklady@cncenter.cz")</f>
        <v>podklady@cncenter.cz</v>
      </c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 t="str">
        <f ca="1">IFERROR(__xludf.DUMMYFUNCTION("""COMPUTED_VALUE"""),"cross-device")</f>
        <v>cross-device</v>
      </c>
      <c r="AO1044" s="3"/>
      <c r="AP1044" s="3"/>
      <c r="AQ1044" s="3"/>
      <c r="AR1044" s="3"/>
      <c r="AS1044" s="3"/>
      <c r="AT1044" s="3"/>
      <c r="AU1044" s="3" t="str">
        <f ca="1">IFERROR(__xludf.DUMMYFUNCTION("""COMPUTED_VALUE"""),"Prodloužení existující microsite, bez úprav")</f>
        <v>Prodloužení existující microsite, bez úprav</v>
      </c>
    </row>
    <row r="1045" spans="1:47" x14ac:dyDescent="0.3">
      <c r="A1045" s="3">
        <f ca="1"/>
        <v>2346826</v>
      </c>
      <c r="B1045" s="3" t="str">
        <f ca="1"/>
        <v>CZECH NEWS CENTER a. s.</v>
      </c>
      <c r="C1045" s="3" t="str">
        <f ca="1">IFERROR(__xludf.DUMMYFUNCTION("""COMPUTED_VALUE"""),"Ženy")</f>
        <v>Ženy</v>
      </c>
      <c r="D1045" s="4" t="str">
        <f ca="1">IFERROR(__xludf.DUMMYFUNCTION("""COMPUTED_VALUE"""),"https://zeny.cz")</f>
        <v>https://zeny.cz</v>
      </c>
      <c r="E1045" s="3" t="str">
        <f ca="1">IFERROR(__xludf.DUMMYFUNCTION("""COMPUTED_VALUE"""),"celý web")</f>
        <v>celý web</v>
      </c>
      <c r="F1045" s="4" t="str">
        <f ca="1">IFERROR(__xludf.DUMMYFUNCTION("""COMPUTED_VALUE"""),"https://zeny.cz")</f>
        <v>https://zeny.cz</v>
      </c>
      <c r="G1045" s="3" t="str">
        <f ca="1">IFERROR(__xludf.DUMMYFUNCTION("""COMPUTED_VALUE"""),"videospot - max. 30 sec. / bumper high season")</f>
        <v>videospot - max. 30 sec. / bumper high season</v>
      </c>
      <c r="H1045" s="3">
        <f ca="1">IFERROR(__xludf.DUMMYFUNCTION("""COMPUTED_VALUE"""),7)</f>
        <v>7</v>
      </c>
      <c r="I1045" s="5">
        <f ca="1">IFERROR(__xludf.DUMMYFUNCTION("""COMPUTED_VALUE"""),1000)</f>
        <v>1000</v>
      </c>
      <c r="J1045" s="5">
        <f ca="1">IFERROR(__xludf.DUMMYFUNCTION("""COMPUTED_VALUE"""),1340)</f>
        <v>1340</v>
      </c>
      <c r="K1045" s="3"/>
      <c r="L1045" s="3" t="str">
        <f ca="1">IFERROR(__xludf.DUMMYFUNCTION("""COMPUTED_VALUE"""),"Cost per period")</f>
        <v>Cost per period</v>
      </c>
      <c r="M1045" s="3"/>
      <c r="N1045" s="3"/>
      <c r="O1045" s="3" t="str">
        <f ca="1">IFERROR(__xludf.DUMMYFUNCTION("""COMPUTED_VALUE"""),"1280")</f>
        <v>1280</v>
      </c>
      <c r="P1045" s="3" t="str">
        <f ca="1">IFERROR(__xludf.DUMMYFUNCTION("""COMPUTED_VALUE"""),"720")</f>
        <v>720</v>
      </c>
      <c r="Q1045" s="3" t="str">
        <f ca="1">IFERROR(__xludf.DUMMYFUNCTION("""COMPUTED_VALUE"""),"16:9 / umístění po domluvě dle možností")</f>
        <v>16:9 / umístění po domluvě dle možností</v>
      </c>
      <c r="R1045" s="3" t="str">
        <f ca="1">IFERROR(__xludf.DUMMYFUNCTION("""COMPUTED_VALUE"""),"přeskočení po 7 sekundách")</f>
        <v>přeskočení po 7 sekundách</v>
      </c>
      <c r="S1045" s="3" t="str">
        <f ca="1">IFERROR(__xludf.DUMMYFUNCTION("""COMPUTED_VALUE"""),"100")</f>
        <v>100</v>
      </c>
      <c r="T1045" s="3"/>
      <c r="U1045" s="3" t="str">
        <f ca="1">IFERROR(__xludf.DUMMYFUNCTION("""COMPUTED_VALUE"""),"videospot")</f>
        <v>videospot</v>
      </c>
      <c r="V1045" s="3"/>
      <c r="W1045" s="4" t="str">
        <f ca="1">IFERROR(__xludf.DUMMYFUNCTION("""COMPUTED_VALUE"""),"https://reklama.cncenter.cz/Online/Bumper")</f>
        <v>https://reklama.cncenter.cz/Online/Bumper</v>
      </c>
      <c r="X1045" s="3"/>
      <c r="Y1045" s="3"/>
      <c r="Z1045" s="3" t="str">
        <f ca="1">IFERROR(__xludf.DUMMYFUNCTION("""COMPUTED_VALUE"""),"podklady@cncenter.cz")</f>
        <v>podklady@cncenter.cz</v>
      </c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 t="str">
        <f ca="1">IFERROR(__xludf.DUMMYFUNCTION("""COMPUTED_VALUE"""),"cross-device")</f>
        <v>cross-device</v>
      </c>
      <c r="AO1045" s="3"/>
      <c r="AP1045" s="3"/>
      <c r="AQ1045" s="3"/>
      <c r="AR1045" s="3"/>
      <c r="AS1045" s="3"/>
      <c r="AT1045" s="3"/>
      <c r="AU1045" s="3" t="str">
        <f ca="1">IFERROR(__xludf.DUMMYFUNCTION("""COMPUTED_VALUE"""),"videospot - max. 30 sec. / bumper")</f>
        <v>videospot - max. 30 sec. / bumper</v>
      </c>
    </row>
    <row r="1046" spans="1:47" x14ac:dyDescent="0.3">
      <c r="A1046" s="3">
        <f ca="1"/>
        <v>2346826</v>
      </c>
      <c r="B1046" s="3" t="str">
        <f ca="1"/>
        <v>CZECH NEWS CENTER a. s.</v>
      </c>
      <c r="C1046" s="3" t="str">
        <f ca="1">IFERROR(__xludf.DUMMYFUNCTION("""COMPUTED_VALUE"""),"Živě")</f>
        <v>Živě</v>
      </c>
      <c r="D1046" s="4" t="str">
        <f ca="1">IFERROR(__xludf.DUMMYFUNCTION("""COMPUTED_VALUE"""),"https://zive.cz")</f>
        <v>https://zive.cz</v>
      </c>
      <c r="E1046" s="3" t="str">
        <f ca="1">IFERROR(__xludf.DUMMYFUNCTION("""COMPUTED_VALUE"""),"celý web")</f>
        <v>celý web</v>
      </c>
      <c r="F1046" s="4" t="str">
        <f ca="1">IFERROR(__xludf.DUMMYFUNCTION("""COMPUTED_VALUE"""),"https://zive.cz")</f>
        <v>https://zive.cz</v>
      </c>
      <c r="G1046" s="3" t="str">
        <f ca="1">IFERROR(__xludf.DUMMYFUNCTION("""COMPUTED_VALUE"""),"Advertorial high season")</f>
        <v>Advertorial high season</v>
      </c>
      <c r="H1046" s="3">
        <f ca="1">IFERROR(__xludf.DUMMYFUNCTION("""COMPUTED_VALUE"""),1)</f>
        <v>1</v>
      </c>
      <c r="I1046" s="5">
        <f ca="1">IFERROR(__xludf.DUMMYFUNCTION("""COMPUTED_VALUE"""),1)</f>
        <v>1</v>
      </c>
      <c r="J1046" s="5">
        <f ca="1">IFERROR(__xludf.DUMMYFUNCTION("""COMPUTED_VALUE"""),90000)</f>
        <v>90000</v>
      </c>
      <c r="K1046" s="3"/>
      <c r="L1046" s="3" t="str">
        <f ca="1">IFERROR(__xludf.DUMMYFUNCTION("""COMPUTED_VALUE"""),"Cost per instance")</f>
        <v>Cost per instance</v>
      </c>
      <c r="M1046" s="3"/>
      <c r="N1046" s="3"/>
      <c r="O1046" s="3"/>
      <c r="P1046" s="3"/>
      <c r="Q1046" s="3"/>
      <c r="R1046" s="3"/>
      <c r="S1046" s="3" t="str">
        <f ca="1">IFERROR(__xludf.DUMMYFUNCTION("""COMPUTED_VALUE"""),"100")</f>
        <v>100</v>
      </c>
      <c r="T1046" s="3"/>
      <c r="U1046" s="3" t="str">
        <f ca="1">IFERROR(__xludf.DUMMYFUNCTION("""COMPUTED_VALUE"""),"pr článek")</f>
        <v>pr článek</v>
      </c>
      <c r="V1046" s="3"/>
      <c r="W1046" s="3"/>
      <c r="X1046" s="3"/>
      <c r="Y1046" s="3"/>
      <c r="Z1046" s="3" t="str">
        <f ca="1">IFERROR(__xludf.DUMMYFUNCTION("""COMPUTED_VALUE"""),"podklady@cncenter.cz")</f>
        <v>podklady@cncenter.cz</v>
      </c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 t="str">
        <f ca="1">IFERROR(__xludf.DUMMYFUNCTION("""COMPUTED_VALUE"""),"cross-device")</f>
        <v>cross-device</v>
      </c>
      <c r="AO1046" s="3"/>
      <c r="AP1046" s="3"/>
      <c r="AQ1046" s="3"/>
      <c r="AR1046" s="3"/>
      <c r="AS1046" s="3"/>
      <c r="AT1046" s="3"/>
      <c r="AU1046" s="3" t="str">
        <f ca="1">IFERROR(__xludf.DUMMYFUNCTION("""COMPUTED_VALUE"""),"Advertorial")</f>
        <v>Advertorial</v>
      </c>
    </row>
    <row r="1047" spans="1:47" x14ac:dyDescent="0.3">
      <c r="A1047" s="3">
        <f ca="1"/>
        <v>2346826</v>
      </c>
      <c r="B1047" s="3" t="str">
        <f ca="1"/>
        <v>CZECH NEWS CENTER a. s.</v>
      </c>
      <c r="C1047" s="3" t="str">
        <f ca="1">IFERROR(__xludf.DUMMYFUNCTION("""COMPUTED_VALUE"""),"Živě")</f>
        <v>Živě</v>
      </c>
      <c r="D1047" s="4" t="str">
        <f ca="1">IFERROR(__xludf.DUMMYFUNCTION("""COMPUTED_VALUE"""),"https://zive.cz")</f>
        <v>https://zive.cz</v>
      </c>
      <c r="E1047" s="3" t="str">
        <f ca="1">IFERROR(__xludf.DUMMYFUNCTION("""COMPUTED_VALUE"""),"celý web")</f>
        <v>celý web</v>
      </c>
      <c r="F1047" s="4" t="str">
        <f ca="1">IFERROR(__xludf.DUMMYFUNCTION("""COMPUTED_VALUE"""),"https://zive.cz")</f>
        <v>https://zive.cz</v>
      </c>
      <c r="G1047" s="3" t="str">
        <f ca="1">IFERROR(__xludf.DUMMYFUNCTION("""COMPUTED_VALUE"""),"billboard bottom high season")</f>
        <v>billboard bottom high season</v>
      </c>
      <c r="H1047" s="3">
        <f ca="1">IFERROR(__xludf.DUMMYFUNCTION("""COMPUTED_VALUE"""),7)</f>
        <v>7</v>
      </c>
      <c r="I1047" s="5">
        <f ca="1">IFERROR(__xludf.DUMMYFUNCTION("""COMPUTED_VALUE"""),1000)</f>
        <v>1000</v>
      </c>
      <c r="J1047" s="5">
        <f ca="1">IFERROR(__xludf.DUMMYFUNCTION("""COMPUTED_VALUE"""),440)</f>
        <v>440</v>
      </c>
      <c r="K1047" s="3"/>
      <c r="L1047" s="3" t="str">
        <f ca="1">IFERROR(__xludf.DUMMYFUNCTION("""COMPUTED_VALUE"""),"Cost per period")</f>
        <v>Cost per period</v>
      </c>
      <c r="M1047" s="3"/>
      <c r="N1047" s="3"/>
      <c r="O1047" s="3" t="str">
        <f ca="1">IFERROR(__xludf.DUMMYFUNCTION("""COMPUTED_VALUE"""),"970")</f>
        <v>970</v>
      </c>
      <c r="P1047" s="3" t="str">
        <f ca="1">IFERROR(__xludf.DUMMYFUNCTION("""COMPUTED_VALUE"""),"250")</f>
        <v>250</v>
      </c>
      <c r="Q1047" s="3" t="str">
        <f ca="1">IFERROR(__xludf.DUMMYFUNCTION("""COMPUTED_VALUE"""),"970x250")</f>
        <v>970x250</v>
      </c>
      <c r="R1047" s="3"/>
      <c r="S1047" s="3" t="str">
        <f ca="1">IFERROR(__xludf.DUMMYFUNCTION("""COMPUTED_VALUE"""),"100 (200 - HTML5)")</f>
        <v>100 (200 - HTML5)</v>
      </c>
      <c r="T1047" s="3"/>
      <c r="U1047" s="3" t="str">
        <f ca="1">IFERROR(__xludf.DUMMYFUNCTION("""COMPUTED_VALUE"""),"banner standard")</f>
        <v>banner standard</v>
      </c>
      <c r="V1047" s="3"/>
      <c r="W1047" s="4" t="str">
        <f ca="1">IFERROR(__xludf.DUMMYFUNCTION("""COMPUTED_VALUE"""),"https://reklama.cncenter.cz/Online/billboard-bottom")</f>
        <v>https://reklama.cncenter.cz/Online/billboard-bottom</v>
      </c>
      <c r="X1047" s="3"/>
      <c r="Y1047" s="3"/>
      <c r="Z1047" s="3" t="str">
        <f ca="1">IFERROR(__xludf.DUMMYFUNCTION("""COMPUTED_VALUE"""),"podklady@cncenter.cz")</f>
        <v>podklady@cncenter.cz</v>
      </c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 t="str">
        <f ca="1">IFERROR(__xludf.DUMMYFUNCTION("""COMPUTED_VALUE"""),"desktop")</f>
        <v>desktop</v>
      </c>
      <c r="AO1047" s="3"/>
      <c r="AP1047" s="3"/>
      <c r="AQ1047" s="3"/>
      <c r="AR1047" s="3"/>
      <c r="AS1047" s="3"/>
      <c r="AT1047" s="3"/>
      <c r="AU1047" s="3" t="str">
        <f ca="1">IFERROR(__xludf.DUMMYFUNCTION("""COMPUTED_VALUE"""),"billboard bottom")</f>
        <v>billboard bottom</v>
      </c>
    </row>
    <row r="1048" spans="1:47" x14ac:dyDescent="0.3">
      <c r="A1048" s="3">
        <f ca="1"/>
        <v>2346826</v>
      </c>
      <c r="B1048" s="3" t="str">
        <f ca="1"/>
        <v>CZECH NEWS CENTER a. s.</v>
      </c>
      <c r="C1048" s="3" t="str">
        <f ca="1">IFERROR(__xludf.DUMMYFUNCTION("""COMPUTED_VALUE"""),"Živě")</f>
        <v>Živě</v>
      </c>
      <c r="D1048" s="4" t="str">
        <f ca="1">IFERROR(__xludf.DUMMYFUNCTION("""COMPUTED_VALUE"""),"https://zive.cz")</f>
        <v>https://zive.cz</v>
      </c>
      <c r="E1048" s="3" t="str">
        <f ca="1">IFERROR(__xludf.DUMMYFUNCTION("""COMPUTED_VALUE"""),"celý web")</f>
        <v>celý web</v>
      </c>
      <c r="F1048" s="4" t="str">
        <f ca="1">IFERROR(__xludf.DUMMYFUNCTION("""COMPUTED_VALUE"""),"https://zive.cz")</f>
        <v>https://zive.cz</v>
      </c>
      <c r="G1048" s="3" t="str">
        <f ca="1">IFERROR(__xludf.DUMMYFUNCTION("""COMPUTED_VALUE"""),"branding cross-device high season")</f>
        <v>branding cross-device high season</v>
      </c>
      <c r="H1048" s="3">
        <f ca="1">IFERROR(__xludf.DUMMYFUNCTION("""COMPUTED_VALUE"""),7)</f>
        <v>7</v>
      </c>
      <c r="I1048" s="5">
        <f ca="1">IFERROR(__xludf.DUMMYFUNCTION("""COMPUTED_VALUE"""),1000)</f>
        <v>1000</v>
      </c>
      <c r="J1048" s="5">
        <f ca="1">IFERROR(__xludf.DUMMYFUNCTION("""COMPUTED_VALUE"""),540)</f>
        <v>540</v>
      </c>
      <c r="K1048" s="3"/>
      <c r="L1048" s="3" t="str">
        <f ca="1">IFERROR(__xludf.DUMMYFUNCTION("""COMPUTED_VALUE"""),"Cost per period")</f>
        <v>Cost per period</v>
      </c>
      <c r="M1048" s="3"/>
      <c r="N1048" s="3"/>
      <c r="O1048" s="3" t="str">
        <f ca="1">IFERROR(__xludf.DUMMYFUNCTION("""COMPUTED_VALUE"""),"2000")</f>
        <v>2000</v>
      </c>
      <c r="P1048" s="3" t="str">
        <f ca="1">IFERROR(__xludf.DUMMYFUNCTION("""COMPUTED_VALUE"""),"1400")</f>
        <v>1400</v>
      </c>
      <c r="Q1048" s="3" t="str">
        <f ca="1">IFERROR(__xludf.DUMMYFUNCTION("""COMPUTED_VALUE"""),"2000x1400 + 600x1080")</f>
        <v>2000x1400 + 600x1080</v>
      </c>
      <c r="R1048" s="3"/>
      <c r="S1048" s="3" t="str">
        <f ca="1">IFERROR(__xludf.DUMMYFUNCTION("""COMPUTED_VALUE"""),"500 (600 - HTLM5)")</f>
        <v>500 (600 - HTLM5)</v>
      </c>
      <c r="T1048" s="3"/>
      <c r="U1048" s="3" t="str">
        <f ca="1">IFERROR(__xludf.DUMMYFUNCTION("""COMPUTED_VALUE"""),"banner standard")</f>
        <v>banner standard</v>
      </c>
      <c r="V1048" s="3"/>
      <c r="W1048" s="4" t="str">
        <f ca="1">IFERROR(__xludf.DUMMYFUNCTION("""COMPUTED_VALUE"""),"https://reklama.cncenter.cz/Online/branding-cross-device")</f>
        <v>https://reklama.cncenter.cz/Online/branding-cross-device</v>
      </c>
      <c r="X1048" s="3"/>
      <c r="Y1048" s="3"/>
      <c r="Z1048" s="3" t="str">
        <f ca="1">IFERROR(__xludf.DUMMYFUNCTION("""COMPUTED_VALUE"""),"podklady@cncenter.cz")</f>
        <v>podklady@cncenter.cz</v>
      </c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 t="str">
        <f ca="1">IFERROR(__xludf.DUMMYFUNCTION("""COMPUTED_VALUE"""),"cross-device")</f>
        <v>cross-device</v>
      </c>
      <c r="AO1048" s="3"/>
      <c r="AP1048" s="3"/>
      <c r="AQ1048" s="3"/>
      <c r="AR1048" s="3"/>
      <c r="AS1048" s="3"/>
      <c r="AT1048" s="3"/>
      <c r="AU1048" s="3" t="str">
        <f ca="1">IFERROR(__xludf.DUMMYFUNCTION("""COMPUTED_VALUE"""),"branding cross-device")</f>
        <v>branding cross-device</v>
      </c>
    </row>
    <row r="1049" spans="1:47" x14ac:dyDescent="0.3">
      <c r="A1049" s="3">
        <f ca="1"/>
        <v>2346826</v>
      </c>
      <c r="B1049" s="3" t="str">
        <f ca="1"/>
        <v>CZECH NEWS CENTER a. s.</v>
      </c>
      <c r="C1049" s="3" t="str">
        <f ca="1">IFERROR(__xludf.DUMMYFUNCTION("""COMPUTED_VALUE"""),"Živě")</f>
        <v>Živě</v>
      </c>
      <c r="D1049" s="4" t="str">
        <f ca="1">IFERROR(__xludf.DUMMYFUNCTION("""COMPUTED_VALUE"""),"https://zive.cz")</f>
        <v>https://zive.cz</v>
      </c>
      <c r="E1049" s="3" t="str">
        <f ca="1">IFERROR(__xludf.DUMMYFUNCTION("""COMPUTED_VALUE"""),"celý web")</f>
        <v>celý web</v>
      </c>
      <c r="F1049" s="4" t="str">
        <f ca="1">IFERROR(__xludf.DUMMYFUNCTION("""COMPUTED_VALUE"""),"https://zive.cz")</f>
        <v>https://zive.cz</v>
      </c>
      <c r="G1049" s="3" t="str">
        <f ca="1">IFERROR(__xludf.DUMMYFUNCTION("""COMPUTED_VALUE"""),"branding high season")</f>
        <v>branding high season</v>
      </c>
      <c r="H1049" s="3">
        <f ca="1">IFERROR(__xludf.DUMMYFUNCTION("""COMPUTED_VALUE"""),7)</f>
        <v>7</v>
      </c>
      <c r="I1049" s="5">
        <f ca="1">IFERROR(__xludf.DUMMYFUNCTION("""COMPUTED_VALUE"""),1000)</f>
        <v>1000</v>
      </c>
      <c r="J1049" s="5">
        <f ca="1">IFERROR(__xludf.DUMMYFUNCTION("""COMPUTED_VALUE"""),890)</f>
        <v>890</v>
      </c>
      <c r="K1049" s="3"/>
      <c r="L1049" s="3" t="str">
        <f ca="1">IFERROR(__xludf.DUMMYFUNCTION("""COMPUTED_VALUE"""),"Cost per period")</f>
        <v>Cost per period</v>
      </c>
      <c r="M1049" s="3"/>
      <c r="N1049" s="3"/>
      <c r="O1049" s="3" t="str">
        <f ca="1">IFERROR(__xludf.DUMMYFUNCTION("""COMPUTED_VALUE"""),"2000")</f>
        <v>2000</v>
      </c>
      <c r="P1049" s="3" t="str">
        <f ca="1">IFERROR(__xludf.DUMMYFUNCTION("""COMPUTED_VALUE"""),"1400")</f>
        <v>1400</v>
      </c>
      <c r="Q1049" s="3" t="str">
        <f ca="1">IFERROR(__xludf.DUMMYFUNCTION("""COMPUTED_VALUE"""),"2000x1400")</f>
        <v>2000x1400</v>
      </c>
      <c r="R1049" s="3"/>
      <c r="S1049" s="3" t="str">
        <f ca="1">IFERROR(__xludf.DUMMYFUNCTION("""COMPUTED_VALUE"""),"500 + 200 (600+200 HTML5)")</f>
        <v>500 + 200 (600+200 HTML5)</v>
      </c>
      <c r="T1049" s="3"/>
      <c r="U1049" s="3" t="str">
        <f ca="1">IFERROR(__xludf.DUMMYFUNCTION("""COMPUTED_VALUE"""),"banner standard")</f>
        <v>banner standard</v>
      </c>
      <c r="V1049" s="3"/>
      <c r="W1049" s="4" t="str">
        <f ca="1">IFERROR(__xludf.DUMMYFUNCTION("""COMPUTED_VALUE"""),"https://reklama.cncenter.cz/Online/branding")</f>
        <v>https://reklama.cncenter.cz/Online/branding</v>
      </c>
      <c r="X1049" s="3"/>
      <c r="Y1049" s="3"/>
      <c r="Z1049" s="3" t="str">
        <f ca="1">IFERROR(__xludf.DUMMYFUNCTION("""COMPUTED_VALUE"""),"podklady@cncenter.cz")</f>
        <v>podklady@cncenter.cz</v>
      </c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 t="str">
        <f ca="1">IFERROR(__xludf.DUMMYFUNCTION("""COMPUTED_VALUE"""),"desktop")</f>
        <v>desktop</v>
      </c>
      <c r="AO1049" s="3"/>
      <c r="AP1049" s="3"/>
      <c r="AQ1049" s="3"/>
      <c r="AR1049" s="3"/>
      <c r="AS1049" s="3"/>
      <c r="AT1049" s="3"/>
      <c r="AU1049" s="3" t="str">
        <f ca="1">IFERROR(__xludf.DUMMYFUNCTION("""COMPUTED_VALUE"""),"branding")</f>
        <v>branding</v>
      </c>
    </row>
    <row r="1050" spans="1:47" x14ac:dyDescent="0.3">
      <c r="A1050" s="3">
        <f ca="1"/>
        <v>2346826</v>
      </c>
      <c r="B1050" s="3" t="str">
        <f ca="1"/>
        <v>CZECH NEWS CENTER a. s.</v>
      </c>
      <c r="C1050" s="3" t="str">
        <f ca="1">IFERROR(__xludf.DUMMYFUNCTION("""COMPUTED_VALUE"""),"Živě")</f>
        <v>Živě</v>
      </c>
      <c r="D1050" s="4" t="str">
        <f ca="1">IFERROR(__xludf.DUMMYFUNCTION("""COMPUTED_VALUE"""),"https://zive.cz")</f>
        <v>https://zive.cz</v>
      </c>
      <c r="E1050" s="3" t="str">
        <f ca="1">IFERROR(__xludf.DUMMYFUNCTION("""COMPUTED_VALUE"""),"celý web")</f>
        <v>celý web</v>
      </c>
      <c r="F1050" s="4" t="str">
        <f ca="1">IFERROR(__xludf.DUMMYFUNCTION("""COMPUTED_VALUE"""),"https://zive.cz")</f>
        <v>https://zive.cz</v>
      </c>
      <c r="G1050" s="3" t="str">
        <f ca="1">IFERROR(__xludf.DUMMYFUNCTION("""COMPUTED_VALUE"""),"cílený billboard bottom high season")</f>
        <v>cílený billboard bottom high season</v>
      </c>
      <c r="H1050" s="3">
        <f ca="1">IFERROR(__xludf.DUMMYFUNCTION("""COMPUTED_VALUE"""),7)</f>
        <v>7</v>
      </c>
      <c r="I1050" s="5">
        <f ca="1">IFERROR(__xludf.DUMMYFUNCTION("""COMPUTED_VALUE"""),1000)</f>
        <v>1000</v>
      </c>
      <c r="J1050" s="5">
        <f ca="1">IFERROR(__xludf.DUMMYFUNCTION("""COMPUTED_VALUE"""),528)</f>
        <v>528</v>
      </c>
      <c r="K1050" s="3"/>
      <c r="L1050" s="3" t="str">
        <f ca="1">IFERROR(__xludf.DUMMYFUNCTION("""COMPUTED_VALUE"""),"Cost per period")</f>
        <v>Cost per period</v>
      </c>
      <c r="M1050" s="3"/>
      <c r="N1050" s="3"/>
      <c r="O1050" s="3" t="str">
        <f ca="1">IFERROR(__xludf.DUMMYFUNCTION("""COMPUTED_VALUE"""),"970")</f>
        <v>970</v>
      </c>
      <c r="P1050" s="3" t="str">
        <f ca="1">IFERROR(__xludf.DUMMYFUNCTION("""COMPUTED_VALUE"""),"250")</f>
        <v>250</v>
      </c>
      <c r="Q1050" s="3" t="str">
        <f ca="1">IFERROR(__xludf.DUMMYFUNCTION("""COMPUTED_VALUE"""),"970x250")</f>
        <v>970x250</v>
      </c>
      <c r="R1050" s="3"/>
      <c r="S1050" s="3" t="str">
        <f ca="1">IFERROR(__xludf.DUMMYFUNCTION("""COMPUTED_VALUE"""),"100 (200 - HTML5)")</f>
        <v>100 (200 - HTML5)</v>
      </c>
      <c r="T1050" s="3"/>
      <c r="U1050" s="3" t="str">
        <f ca="1">IFERROR(__xludf.DUMMYFUNCTION("""COMPUTED_VALUE"""),"banner standard")</f>
        <v>banner standard</v>
      </c>
      <c r="V1050" s="3"/>
      <c r="W1050" s="4" t="str">
        <f ca="1">IFERROR(__xludf.DUMMYFUNCTION("""COMPUTED_VALUE"""),"https://reklama.cncenter.cz/Online/billboard-bottom")</f>
        <v>https://reklama.cncenter.cz/Online/billboard-bottom</v>
      </c>
      <c r="X1050" s="3"/>
      <c r="Y1050" s="3"/>
      <c r="Z1050" s="3" t="str">
        <f ca="1">IFERROR(__xludf.DUMMYFUNCTION("""COMPUTED_VALUE"""),"podklady@cncenter.cz")</f>
        <v>podklady@cncenter.cz</v>
      </c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 t="str">
        <f ca="1">IFERROR(__xludf.DUMMYFUNCTION("""COMPUTED_VALUE"""),"desktop")</f>
        <v>desktop</v>
      </c>
      <c r="AO1050" s="3"/>
      <c r="AP1050" s="3"/>
      <c r="AQ1050" s="3"/>
      <c r="AR1050" s="3"/>
      <c r="AS1050" s="3"/>
      <c r="AT1050" s="3"/>
      <c r="AU1050" s="3" t="str">
        <f ca="1">IFERROR(__xludf.DUMMYFUNCTION("""COMPUTED_VALUE"""),"cílený billboard bottom")</f>
        <v>cílený billboard bottom</v>
      </c>
    </row>
    <row r="1051" spans="1:47" x14ac:dyDescent="0.3">
      <c r="A1051" s="3">
        <f ca="1"/>
        <v>2346826</v>
      </c>
      <c r="B1051" s="3" t="str">
        <f ca="1"/>
        <v>CZECH NEWS CENTER a. s.</v>
      </c>
      <c r="C1051" s="3" t="str">
        <f ca="1">IFERROR(__xludf.DUMMYFUNCTION("""COMPUTED_VALUE"""),"Živě")</f>
        <v>Živě</v>
      </c>
      <c r="D1051" s="4" t="str">
        <f ca="1">IFERROR(__xludf.DUMMYFUNCTION("""COMPUTED_VALUE"""),"https://zive.cz")</f>
        <v>https://zive.cz</v>
      </c>
      <c r="E1051" s="3" t="str">
        <f ca="1">IFERROR(__xludf.DUMMYFUNCTION("""COMPUTED_VALUE"""),"celý web")</f>
        <v>celý web</v>
      </c>
      <c r="F1051" s="4" t="str">
        <f ca="1">IFERROR(__xludf.DUMMYFUNCTION("""COMPUTED_VALUE"""),"https://zive.cz")</f>
        <v>https://zive.cz</v>
      </c>
      <c r="G1051" s="3" t="str">
        <f ca="1">IFERROR(__xludf.DUMMYFUNCTION("""COMPUTED_VALUE"""),"cílený branding cross-device high season")</f>
        <v>cílený branding cross-device high season</v>
      </c>
      <c r="H1051" s="3">
        <f ca="1">IFERROR(__xludf.DUMMYFUNCTION("""COMPUTED_VALUE"""),7)</f>
        <v>7</v>
      </c>
      <c r="I1051" s="5">
        <f ca="1">IFERROR(__xludf.DUMMYFUNCTION("""COMPUTED_VALUE"""),1000)</f>
        <v>1000</v>
      </c>
      <c r="J1051" s="5">
        <f ca="1">IFERROR(__xludf.DUMMYFUNCTION("""COMPUTED_VALUE"""),648)</f>
        <v>648</v>
      </c>
      <c r="K1051" s="3"/>
      <c r="L1051" s="3" t="str">
        <f ca="1">IFERROR(__xludf.DUMMYFUNCTION("""COMPUTED_VALUE"""),"Cost per period")</f>
        <v>Cost per period</v>
      </c>
      <c r="M1051" s="3"/>
      <c r="N1051" s="3"/>
      <c r="O1051" s="3" t="str">
        <f ca="1">IFERROR(__xludf.DUMMYFUNCTION("""COMPUTED_VALUE"""),"2000")</f>
        <v>2000</v>
      </c>
      <c r="P1051" s="3" t="str">
        <f ca="1">IFERROR(__xludf.DUMMYFUNCTION("""COMPUTED_VALUE"""),"1400")</f>
        <v>1400</v>
      </c>
      <c r="Q1051" s="3" t="str">
        <f ca="1">IFERROR(__xludf.DUMMYFUNCTION("""COMPUTED_VALUE"""),"2000x1400 + 600x1080")</f>
        <v>2000x1400 + 600x1080</v>
      </c>
      <c r="R1051" s="3"/>
      <c r="S1051" s="3" t="str">
        <f ca="1">IFERROR(__xludf.DUMMYFUNCTION("""COMPUTED_VALUE"""),"500 (600 - HTLM5)")</f>
        <v>500 (600 - HTLM5)</v>
      </c>
      <c r="T1051" s="3"/>
      <c r="U1051" s="3" t="str">
        <f ca="1">IFERROR(__xludf.DUMMYFUNCTION("""COMPUTED_VALUE"""),"banner standard")</f>
        <v>banner standard</v>
      </c>
      <c r="V1051" s="3"/>
      <c r="W1051" s="4" t="str">
        <f ca="1">IFERROR(__xludf.DUMMYFUNCTION("""COMPUTED_VALUE"""),"https://reklama.cncenter.cz/Online/branding-cross-device")</f>
        <v>https://reklama.cncenter.cz/Online/branding-cross-device</v>
      </c>
      <c r="X1051" s="3"/>
      <c r="Y1051" s="3"/>
      <c r="Z1051" s="3" t="str">
        <f ca="1">IFERROR(__xludf.DUMMYFUNCTION("""COMPUTED_VALUE"""),"podklady@cncenter.cz")</f>
        <v>podklady@cncenter.cz</v>
      </c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 t="str">
        <f ca="1">IFERROR(__xludf.DUMMYFUNCTION("""COMPUTED_VALUE"""),"cross-device")</f>
        <v>cross-device</v>
      </c>
      <c r="AO1051" s="3"/>
      <c r="AP1051" s="3"/>
      <c r="AQ1051" s="3"/>
      <c r="AR1051" s="3"/>
      <c r="AS1051" s="3"/>
      <c r="AT1051" s="3"/>
      <c r="AU1051" s="3" t="str">
        <f ca="1">IFERROR(__xludf.DUMMYFUNCTION("""COMPUTED_VALUE"""),"cílený branding cross-device")</f>
        <v>cílený branding cross-device</v>
      </c>
    </row>
    <row r="1052" spans="1:47" x14ac:dyDescent="0.3">
      <c r="A1052" s="3">
        <f ca="1"/>
        <v>2346826</v>
      </c>
      <c r="B1052" s="3" t="str">
        <f ca="1"/>
        <v>CZECH NEWS CENTER a. s.</v>
      </c>
      <c r="C1052" s="3" t="str">
        <f ca="1">IFERROR(__xludf.DUMMYFUNCTION("""COMPUTED_VALUE"""),"Živě")</f>
        <v>Živě</v>
      </c>
      <c r="D1052" s="4" t="str">
        <f ca="1">IFERROR(__xludf.DUMMYFUNCTION("""COMPUTED_VALUE"""),"https://zive.cz")</f>
        <v>https://zive.cz</v>
      </c>
      <c r="E1052" s="3" t="str">
        <f ca="1">IFERROR(__xludf.DUMMYFUNCTION("""COMPUTED_VALUE"""),"celý web")</f>
        <v>celý web</v>
      </c>
      <c r="F1052" s="4" t="str">
        <f ca="1">IFERROR(__xludf.DUMMYFUNCTION("""COMPUTED_VALUE"""),"https://zive.cz")</f>
        <v>https://zive.cz</v>
      </c>
      <c r="G1052" s="3" t="str">
        <f ca="1">IFERROR(__xludf.DUMMYFUNCTION("""COMPUTED_VALUE"""),"cílený branding high season")</f>
        <v>cílený branding high season</v>
      </c>
      <c r="H1052" s="3">
        <f ca="1">IFERROR(__xludf.DUMMYFUNCTION("""COMPUTED_VALUE"""),7)</f>
        <v>7</v>
      </c>
      <c r="I1052" s="5">
        <f ca="1">IFERROR(__xludf.DUMMYFUNCTION("""COMPUTED_VALUE"""),1000)</f>
        <v>1000</v>
      </c>
      <c r="J1052" s="5">
        <f ca="1">IFERROR(__xludf.DUMMYFUNCTION("""COMPUTED_VALUE"""),1068)</f>
        <v>1068</v>
      </c>
      <c r="K1052" s="3"/>
      <c r="L1052" s="3" t="str">
        <f ca="1">IFERROR(__xludf.DUMMYFUNCTION("""COMPUTED_VALUE"""),"Cost per period")</f>
        <v>Cost per period</v>
      </c>
      <c r="M1052" s="3"/>
      <c r="N1052" s="3"/>
      <c r="O1052" s="3" t="str">
        <f ca="1">IFERROR(__xludf.DUMMYFUNCTION("""COMPUTED_VALUE"""),"2000")</f>
        <v>2000</v>
      </c>
      <c r="P1052" s="3" t="str">
        <f ca="1">IFERROR(__xludf.DUMMYFUNCTION("""COMPUTED_VALUE"""),"1400")</f>
        <v>1400</v>
      </c>
      <c r="Q1052" s="3" t="str">
        <f ca="1">IFERROR(__xludf.DUMMYFUNCTION("""COMPUTED_VALUE"""),"2000x1400")</f>
        <v>2000x1400</v>
      </c>
      <c r="R1052" s="3"/>
      <c r="S1052" s="3" t="str">
        <f ca="1">IFERROR(__xludf.DUMMYFUNCTION("""COMPUTED_VALUE"""),"500 + 200 (600+200 HTML5)")</f>
        <v>500 + 200 (600+200 HTML5)</v>
      </c>
      <c r="T1052" s="3"/>
      <c r="U1052" s="3" t="str">
        <f ca="1">IFERROR(__xludf.DUMMYFUNCTION("""COMPUTED_VALUE"""),"banner standard")</f>
        <v>banner standard</v>
      </c>
      <c r="V1052" s="3"/>
      <c r="W1052" s="4" t="str">
        <f ca="1">IFERROR(__xludf.DUMMYFUNCTION("""COMPUTED_VALUE"""),"https://reklama.cncenter.cz/Online/branding")</f>
        <v>https://reklama.cncenter.cz/Online/branding</v>
      </c>
      <c r="X1052" s="3"/>
      <c r="Y1052" s="3"/>
      <c r="Z1052" s="3" t="str">
        <f ca="1">IFERROR(__xludf.DUMMYFUNCTION("""COMPUTED_VALUE"""),"podklady@cncenter.cz")</f>
        <v>podklady@cncenter.cz</v>
      </c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 t="str">
        <f ca="1">IFERROR(__xludf.DUMMYFUNCTION("""COMPUTED_VALUE"""),"desktop")</f>
        <v>desktop</v>
      </c>
      <c r="AO1052" s="3"/>
      <c r="AP1052" s="3"/>
      <c r="AQ1052" s="3"/>
      <c r="AR1052" s="3"/>
      <c r="AS1052" s="3"/>
      <c r="AT1052" s="3"/>
      <c r="AU1052" s="3" t="str">
        <f ca="1">IFERROR(__xludf.DUMMYFUNCTION("""COMPUTED_VALUE"""),"cílený branding")</f>
        <v>cílený branding</v>
      </c>
    </row>
    <row r="1053" spans="1:47" x14ac:dyDescent="0.3">
      <c r="A1053" s="3">
        <f ca="1"/>
        <v>2346826</v>
      </c>
      <c r="B1053" s="3" t="str">
        <f ca="1"/>
        <v>CZECH NEWS CENTER a. s.</v>
      </c>
      <c r="C1053" s="3" t="str">
        <f ca="1">IFERROR(__xludf.DUMMYFUNCTION("""COMPUTED_VALUE"""),"Živě")</f>
        <v>Živě</v>
      </c>
      <c r="D1053" s="4" t="str">
        <f ca="1">IFERROR(__xludf.DUMMYFUNCTION("""COMPUTED_VALUE"""),"https://zive.cz")</f>
        <v>https://zive.cz</v>
      </c>
      <c r="E1053" s="3" t="str">
        <f ca="1">IFERROR(__xludf.DUMMYFUNCTION("""COMPUTED_VALUE"""),"celý web")</f>
        <v>celý web</v>
      </c>
      <c r="F1053" s="4" t="str">
        <f ca="1">IFERROR(__xludf.DUMMYFUNCTION("""COMPUTED_VALUE"""),"https://zive.cz")</f>
        <v>https://zive.cz</v>
      </c>
      <c r="G1053" s="3" t="str">
        <f ca="1">IFERROR(__xludf.DUMMYFUNCTION("""COMPUTED_VALUE"""),"cílený double skyscraper high season")</f>
        <v>cílený double skyscraper high season</v>
      </c>
      <c r="H1053" s="3">
        <f ca="1">IFERROR(__xludf.DUMMYFUNCTION("""COMPUTED_VALUE"""),7)</f>
        <v>7</v>
      </c>
      <c r="I1053" s="5">
        <f ca="1">IFERROR(__xludf.DUMMYFUNCTION("""COMPUTED_VALUE"""),1000)</f>
        <v>1000</v>
      </c>
      <c r="J1053" s="5">
        <f ca="1">IFERROR(__xludf.DUMMYFUNCTION("""COMPUTED_VALUE"""),420)</f>
        <v>420</v>
      </c>
      <c r="K1053" s="3"/>
      <c r="L1053" s="3" t="str">
        <f ca="1">IFERROR(__xludf.DUMMYFUNCTION("""COMPUTED_VALUE"""),"Cost per period")</f>
        <v>Cost per period</v>
      </c>
      <c r="M1053" s="3"/>
      <c r="N1053" s="3"/>
      <c r="O1053" s="3" t="str">
        <f ca="1">IFERROR(__xludf.DUMMYFUNCTION("""COMPUTED_VALUE"""),"300")</f>
        <v>300</v>
      </c>
      <c r="P1053" s="3" t="str">
        <f ca="1">IFERROR(__xludf.DUMMYFUNCTION("""COMPUTED_VALUE"""),"600")</f>
        <v>600</v>
      </c>
      <c r="Q1053" s="3" t="str">
        <f ca="1">IFERROR(__xludf.DUMMYFUNCTION("""COMPUTED_VALUE"""),"300x600")</f>
        <v>300x600</v>
      </c>
      <c r="R1053" s="3"/>
      <c r="S1053" s="3" t="str">
        <f ca="1">IFERROR(__xludf.DUMMYFUNCTION("""COMPUTED_VALUE"""),"100 (200 - HTML5)")</f>
        <v>100 (200 - HTML5)</v>
      </c>
      <c r="T1053" s="3"/>
      <c r="U1053" s="3" t="str">
        <f ca="1">IFERROR(__xludf.DUMMYFUNCTION("""COMPUTED_VALUE"""),"banner standard")</f>
        <v>banner standard</v>
      </c>
      <c r="V1053" s="3"/>
      <c r="W1053" s="4" t="str">
        <f ca="1">IFERROR(__xludf.DUMMYFUNCTION("""COMPUTED_VALUE"""),"https://reklama.cncenter.cz/Online/double-skyscraper")</f>
        <v>https://reklama.cncenter.cz/Online/double-skyscraper</v>
      </c>
      <c r="X1053" s="3"/>
      <c r="Y1053" s="3"/>
      <c r="Z1053" s="3" t="str">
        <f ca="1">IFERROR(__xludf.DUMMYFUNCTION("""COMPUTED_VALUE"""),"podklady@cncenter.cz")</f>
        <v>podklady@cncenter.cz</v>
      </c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 t="str">
        <f ca="1">IFERROR(__xludf.DUMMYFUNCTION("""COMPUTED_VALUE"""),"desktop")</f>
        <v>desktop</v>
      </c>
      <c r="AO1053" s="3"/>
      <c r="AP1053" s="3"/>
      <c r="AQ1053" s="3"/>
      <c r="AR1053" s="3"/>
      <c r="AS1053" s="3"/>
      <c r="AT1053" s="3"/>
      <c r="AU1053" s="3" t="str">
        <f ca="1">IFERROR(__xludf.DUMMYFUNCTION("""COMPUTED_VALUE"""),"cílený double skyscraper")</f>
        <v>cílený double skyscraper</v>
      </c>
    </row>
    <row r="1054" spans="1:47" x14ac:dyDescent="0.3">
      <c r="A1054" s="3">
        <f ca="1"/>
        <v>2346826</v>
      </c>
      <c r="B1054" s="3" t="str">
        <f ca="1"/>
        <v>CZECH NEWS CENTER a. s.</v>
      </c>
      <c r="C1054" s="3" t="str">
        <f ca="1">IFERROR(__xludf.DUMMYFUNCTION("""COMPUTED_VALUE"""),"Živě")</f>
        <v>Živě</v>
      </c>
      <c r="D1054" s="4" t="str">
        <f ca="1">IFERROR(__xludf.DUMMYFUNCTION("""COMPUTED_VALUE"""),"https://zive.cz")</f>
        <v>https://zive.cz</v>
      </c>
      <c r="E1054" s="3" t="str">
        <f ca="1">IFERROR(__xludf.DUMMYFUNCTION("""COMPUTED_VALUE"""),"celý web")</f>
        <v>celý web</v>
      </c>
      <c r="F1054" s="4" t="str">
        <f ca="1">IFERROR(__xludf.DUMMYFUNCTION("""COMPUTED_VALUE"""),"https://zive.cz")</f>
        <v>https://zive.cz</v>
      </c>
      <c r="G1054" s="3" t="str">
        <f ca="1">IFERROR(__xludf.DUMMYFUNCTION("""COMPUTED_VALUE"""),"cílený mobilní interscroller high season")</f>
        <v>cílený mobilní interscroller high season</v>
      </c>
      <c r="H1054" s="3">
        <f ca="1">IFERROR(__xludf.DUMMYFUNCTION("""COMPUTED_VALUE"""),7)</f>
        <v>7</v>
      </c>
      <c r="I1054" s="5">
        <f ca="1">IFERROR(__xludf.DUMMYFUNCTION("""COMPUTED_VALUE"""),1000)</f>
        <v>1000</v>
      </c>
      <c r="J1054" s="5">
        <f ca="1">IFERROR(__xludf.DUMMYFUNCTION("""COMPUTED_VALUE"""),540)</f>
        <v>540</v>
      </c>
      <c r="K1054" s="3"/>
      <c r="L1054" s="3" t="str">
        <f ca="1">IFERROR(__xludf.DUMMYFUNCTION("""COMPUTED_VALUE"""),"Cost per period")</f>
        <v>Cost per period</v>
      </c>
      <c r="M1054" s="3"/>
      <c r="N1054" s="3"/>
      <c r="O1054" s="3" t="str">
        <f ca="1">IFERROR(__xludf.DUMMYFUNCTION("""COMPUTED_VALUE"""),"600")</f>
        <v>600</v>
      </c>
      <c r="P1054" s="3" t="str">
        <f ca="1">IFERROR(__xludf.DUMMYFUNCTION("""COMPUTED_VALUE"""),"1080")</f>
        <v>1080</v>
      </c>
      <c r="Q1054" s="3" t="str">
        <f ca="1">IFERROR(__xludf.DUMMYFUNCTION("""COMPUTED_VALUE"""),"600x1080")</f>
        <v>600x1080</v>
      </c>
      <c r="R1054" s="3"/>
      <c r="S1054" s="3" t="str">
        <f ca="1">IFERROR(__xludf.DUMMYFUNCTION("""COMPUTED_VALUE"""),"200")</f>
        <v>200</v>
      </c>
      <c r="T1054" s="3"/>
      <c r="U1054" s="3" t="str">
        <f ca="1">IFERROR(__xludf.DUMMYFUNCTION("""COMPUTED_VALUE"""),"banner standard")</f>
        <v>banner standard</v>
      </c>
      <c r="V1054" s="3"/>
      <c r="W1054" s="4" t="str">
        <f ca="1">IFERROR(__xludf.DUMMYFUNCTION("""COMPUTED_VALUE"""),"https://reklama.cncenter.cz/Online/mobilni-interscroller")</f>
        <v>https://reklama.cncenter.cz/Online/mobilni-interscroller</v>
      </c>
      <c r="X1054" s="3"/>
      <c r="Y1054" s="3"/>
      <c r="Z1054" s="3" t="str">
        <f ca="1">IFERROR(__xludf.DUMMYFUNCTION("""COMPUTED_VALUE"""),"podklady@cncenter.cz")</f>
        <v>podklady@cncenter.cz</v>
      </c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 t="str">
        <f ca="1">IFERROR(__xludf.DUMMYFUNCTION("""COMPUTED_VALUE"""),"mobile")</f>
        <v>mobile</v>
      </c>
      <c r="AO1054" s="3"/>
      <c r="AP1054" s="3"/>
      <c r="AQ1054" s="3"/>
      <c r="AR1054" s="3"/>
      <c r="AS1054" s="3"/>
      <c r="AT1054" s="3"/>
      <c r="AU1054" s="3" t="str">
        <f ca="1">IFERROR(__xludf.DUMMYFUNCTION("""COMPUTED_VALUE"""),"cílený mobilní interscroller")</f>
        <v>cílený mobilní interscroller</v>
      </c>
    </row>
    <row r="1055" spans="1:47" x14ac:dyDescent="0.3">
      <c r="A1055" s="3">
        <f ca="1"/>
        <v>2346826</v>
      </c>
      <c r="B1055" s="3" t="str">
        <f ca="1"/>
        <v>CZECH NEWS CENTER a. s.</v>
      </c>
      <c r="C1055" s="3" t="str">
        <f ca="1">IFERROR(__xludf.DUMMYFUNCTION("""COMPUTED_VALUE"""),"Živě")</f>
        <v>Živě</v>
      </c>
      <c r="D1055" s="4" t="str">
        <f ca="1">IFERROR(__xludf.DUMMYFUNCTION("""COMPUTED_VALUE"""),"https://zive.cz")</f>
        <v>https://zive.cz</v>
      </c>
      <c r="E1055" s="3" t="str">
        <f ca="1">IFERROR(__xludf.DUMMYFUNCTION("""COMPUTED_VALUE"""),"celý web")</f>
        <v>celý web</v>
      </c>
      <c r="F1055" s="4" t="str">
        <f ca="1">IFERROR(__xludf.DUMMYFUNCTION("""COMPUTED_VALUE"""),"https://zive.cz")</f>
        <v>https://zive.cz</v>
      </c>
      <c r="G1055" s="3" t="str">
        <f ca="1">IFERROR(__xludf.DUMMYFUNCTION("""COMPUTED_VALUE"""),"cílený mobilní slide-up high season")</f>
        <v>cílený mobilní slide-up high season</v>
      </c>
      <c r="H1055" s="3">
        <f ca="1">IFERROR(__xludf.DUMMYFUNCTION("""COMPUTED_VALUE"""),7)</f>
        <v>7</v>
      </c>
      <c r="I1055" s="5">
        <f ca="1">IFERROR(__xludf.DUMMYFUNCTION("""COMPUTED_VALUE"""),1000)</f>
        <v>1000</v>
      </c>
      <c r="J1055" s="5">
        <f ca="1">IFERROR(__xludf.DUMMYFUNCTION("""COMPUTED_VALUE"""),1104)</f>
        <v>1104</v>
      </c>
      <c r="K1055" s="3"/>
      <c r="L1055" s="3" t="str">
        <f ca="1">IFERROR(__xludf.DUMMYFUNCTION("""COMPUTED_VALUE"""),"Cost per period")</f>
        <v>Cost per period</v>
      </c>
      <c r="M1055" s="3"/>
      <c r="N1055" s="3"/>
      <c r="O1055" s="3" t="str">
        <f ca="1">IFERROR(__xludf.DUMMYFUNCTION("""COMPUTED_VALUE"""),"300")</f>
        <v>300</v>
      </c>
      <c r="P1055" s="3" t="str">
        <f ca="1">IFERROR(__xludf.DUMMYFUNCTION("""COMPUTED_VALUE"""),"120")</f>
        <v>120</v>
      </c>
      <c r="Q1055" s="3" t="str">
        <f ca="1">IFERROR(__xludf.DUMMYFUNCTION("""COMPUTED_VALUE"""),"300x120")</f>
        <v>300x120</v>
      </c>
      <c r="R1055" s="3"/>
      <c r="S1055" s="3" t="str">
        <f ca="1">IFERROR(__xludf.DUMMYFUNCTION("""COMPUTED_VALUE"""),"100")</f>
        <v>100</v>
      </c>
      <c r="T1055" s="3"/>
      <c r="U1055" s="3" t="str">
        <f ca="1">IFERROR(__xludf.DUMMYFUNCTION("""COMPUTED_VALUE"""),"banner standard")</f>
        <v>banner standard</v>
      </c>
      <c r="V1055" s="3"/>
      <c r="W1055" s="4" t="str">
        <f ca="1">IFERROR(__xludf.DUMMYFUNCTION("""COMPUTED_VALUE"""),"https://reklama.cncenter.cz/Online/mobilni-slide-up")</f>
        <v>https://reklama.cncenter.cz/Online/mobilni-slide-up</v>
      </c>
      <c r="X1055" s="3"/>
      <c r="Y1055" s="3"/>
      <c r="Z1055" s="3" t="str">
        <f ca="1">IFERROR(__xludf.DUMMYFUNCTION("""COMPUTED_VALUE"""),"podklady@cncenter.cz")</f>
        <v>podklady@cncenter.cz</v>
      </c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 t="str">
        <f ca="1">IFERROR(__xludf.DUMMYFUNCTION("""COMPUTED_VALUE"""),"mobile")</f>
        <v>mobile</v>
      </c>
      <c r="AO1055" s="3"/>
      <c r="AP1055" s="3"/>
      <c r="AQ1055" s="3"/>
      <c r="AR1055" s="3"/>
      <c r="AS1055" s="3"/>
      <c r="AT1055" s="3"/>
      <c r="AU1055" s="3" t="str">
        <f ca="1">IFERROR(__xludf.DUMMYFUNCTION("""COMPUTED_VALUE"""),"cílený mobilní slide-up")</f>
        <v>cílený mobilní slide-up</v>
      </c>
    </row>
    <row r="1056" spans="1:47" x14ac:dyDescent="0.3">
      <c r="A1056" s="3">
        <f ca="1"/>
        <v>2346826</v>
      </c>
      <c r="B1056" s="3" t="str">
        <f ca="1"/>
        <v>CZECH NEWS CENTER a. s.</v>
      </c>
      <c r="C1056" s="3" t="str">
        <f ca="1">IFERROR(__xludf.DUMMYFUNCTION("""COMPUTED_VALUE"""),"Živě")</f>
        <v>Živě</v>
      </c>
      <c r="D1056" s="4" t="str">
        <f ca="1">IFERROR(__xludf.DUMMYFUNCTION("""COMPUTED_VALUE"""),"https://zive.cz")</f>
        <v>https://zive.cz</v>
      </c>
      <c r="E1056" s="3" t="str">
        <f ca="1">IFERROR(__xludf.DUMMYFUNCTION("""COMPUTED_VALUE"""),"celý web")</f>
        <v>celý web</v>
      </c>
      <c r="F1056" s="4" t="str">
        <f ca="1">IFERROR(__xludf.DUMMYFUNCTION("""COMPUTED_VALUE"""),"https://zive.cz")</f>
        <v>https://zive.cz</v>
      </c>
      <c r="G1056" s="3" t="str">
        <f ca="1">IFERROR(__xludf.DUMMYFUNCTION("""COMPUTED_VALUE"""),"cílený mobilní viněta high season")</f>
        <v>cílený mobilní viněta high season</v>
      </c>
      <c r="H1056" s="3">
        <f ca="1">IFERROR(__xludf.DUMMYFUNCTION("""COMPUTED_VALUE"""),7)</f>
        <v>7</v>
      </c>
      <c r="I1056" s="5">
        <f ca="1">IFERROR(__xludf.DUMMYFUNCTION("""COMPUTED_VALUE"""),1000)</f>
        <v>1000</v>
      </c>
      <c r="J1056" s="5">
        <f ca="1">IFERROR(__xludf.DUMMYFUNCTION("""COMPUTED_VALUE"""),1908)</f>
        <v>1908</v>
      </c>
      <c r="K1056" s="3"/>
      <c r="L1056" s="3" t="str">
        <f ca="1">IFERROR(__xludf.DUMMYFUNCTION("""COMPUTED_VALUE"""),"Cost per period")</f>
        <v>Cost per period</v>
      </c>
      <c r="M1056" s="3"/>
      <c r="N1056" s="3"/>
      <c r="O1056" s="3" t="str">
        <f ca="1">IFERROR(__xludf.DUMMYFUNCTION("""COMPUTED_VALUE"""),"600")</f>
        <v>600</v>
      </c>
      <c r="P1056" s="3" t="str">
        <f ca="1">IFERROR(__xludf.DUMMYFUNCTION("""COMPUTED_VALUE"""),"800")</f>
        <v>800</v>
      </c>
      <c r="Q1056" s="3" t="str">
        <f ca="1">IFERROR(__xludf.DUMMYFUNCTION("""COMPUTED_VALUE"""),"300x250 nebo 600x800")</f>
        <v>300x250 nebo 600x800</v>
      </c>
      <c r="R1056" s="3"/>
      <c r="S1056" s="3" t="str">
        <f ca="1">IFERROR(__xludf.DUMMYFUNCTION("""COMPUTED_VALUE"""),"100")</f>
        <v>100</v>
      </c>
      <c r="T1056" s="3"/>
      <c r="U1056" s="3" t="str">
        <f ca="1">IFERROR(__xludf.DUMMYFUNCTION("""COMPUTED_VALUE"""),"banner standard")</f>
        <v>banner standard</v>
      </c>
      <c r="V1056" s="3"/>
      <c r="W1056" s="4" t="str">
        <f ca="1">IFERROR(__xludf.DUMMYFUNCTION("""COMPUTED_VALUE"""),"https://reklama.cncenter.cz/Online/mobilni-vineta")</f>
        <v>https://reklama.cncenter.cz/Online/mobilni-vineta</v>
      </c>
      <c r="X1056" s="3"/>
      <c r="Y1056" s="3"/>
      <c r="Z1056" s="3" t="str">
        <f ca="1">IFERROR(__xludf.DUMMYFUNCTION("""COMPUTED_VALUE"""),"podklady@cncenter.cz")</f>
        <v>podklady@cncenter.cz</v>
      </c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 t="str">
        <f ca="1">IFERROR(__xludf.DUMMYFUNCTION("""COMPUTED_VALUE"""),"mobile")</f>
        <v>mobile</v>
      </c>
      <c r="AO1056" s="3"/>
      <c r="AP1056" s="3"/>
      <c r="AQ1056" s="3"/>
      <c r="AR1056" s="3"/>
      <c r="AS1056" s="3"/>
      <c r="AT1056" s="3"/>
      <c r="AU1056" s="3" t="str">
        <f ca="1">IFERROR(__xludf.DUMMYFUNCTION("""COMPUTED_VALUE"""),"cílený mobilní viněta")</f>
        <v>cílený mobilní viněta</v>
      </c>
    </row>
    <row r="1057" spans="1:47" x14ac:dyDescent="0.3">
      <c r="A1057" s="3">
        <f ca="1"/>
        <v>2346826</v>
      </c>
      <c r="B1057" s="3" t="str">
        <f ca="1"/>
        <v>CZECH NEWS CENTER a. s.</v>
      </c>
      <c r="C1057" s="3" t="str">
        <f ca="1">IFERROR(__xludf.DUMMYFUNCTION("""COMPUTED_VALUE"""),"Živě")</f>
        <v>Živě</v>
      </c>
      <c r="D1057" s="4" t="str">
        <f ca="1">IFERROR(__xludf.DUMMYFUNCTION("""COMPUTED_VALUE"""),"https://zive.cz")</f>
        <v>https://zive.cz</v>
      </c>
      <c r="E1057" s="3" t="str">
        <f ca="1">IFERROR(__xludf.DUMMYFUNCTION("""COMPUTED_VALUE"""),"celý web")</f>
        <v>celý web</v>
      </c>
      <c r="F1057" s="4" t="str">
        <f ca="1">IFERROR(__xludf.DUMMYFUNCTION("""COMPUTED_VALUE"""),"https://zive.cz")</f>
        <v>https://zive.cz</v>
      </c>
      <c r="G1057" s="3" t="str">
        <f ca="1">IFERROR(__xludf.DUMMYFUNCTION("""COMPUTED_VALUE"""),"cílený nativní pr premium high season")</f>
        <v>cílený nativní pr premium high season</v>
      </c>
      <c r="H1057" s="3">
        <f ca="1">IFERROR(__xludf.DUMMYFUNCTION("""COMPUTED_VALUE"""),7)</f>
        <v>7</v>
      </c>
      <c r="I1057" s="5">
        <f ca="1">IFERROR(__xludf.DUMMYFUNCTION("""COMPUTED_VALUE"""),1000)</f>
        <v>1000</v>
      </c>
      <c r="J1057" s="5">
        <f ca="1">IFERROR(__xludf.DUMMYFUNCTION("""COMPUTED_VALUE"""),216)</f>
        <v>216</v>
      </c>
      <c r="K1057" s="3"/>
      <c r="L1057" s="3" t="str">
        <f ca="1">IFERROR(__xludf.DUMMYFUNCTION("""COMPUTED_VALUE"""),"Cost per period")</f>
        <v>Cost per period</v>
      </c>
      <c r="M1057" s="3"/>
      <c r="N1057" s="3"/>
      <c r="O1057" s="3" t="str">
        <f ca="1">IFERROR(__xludf.DUMMYFUNCTION("""COMPUTED_VALUE"""),"640")</f>
        <v>640</v>
      </c>
      <c r="P1057" s="3" t="str">
        <f ca="1">IFERROR(__xludf.DUMMYFUNCTION("""COMPUTED_VALUE"""),"335, 640")</f>
        <v>335, 640</v>
      </c>
      <c r="Q1057" s="3" t="str">
        <f ca="1">IFERROR(__xludf.DUMMYFUNCTION("""COMPUTED_VALUE"""),"640x640 a 640x335 + text + logo")</f>
        <v>640x640 a 640x335 + text + logo</v>
      </c>
      <c r="R1057" s="3" t="str">
        <f ca="1">IFERROR(__xludf.DUMMYFUNCTION("""COMPUTED_VALUE"""),"detailní specifikace na URL odkaze")</f>
        <v>detailní specifikace na URL odkaze</v>
      </c>
      <c r="S1057" s="3" t="str">
        <f ca="1">IFERROR(__xludf.DUMMYFUNCTION("""COMPUTED_VALUE"""),"100")</f>
        <v>100</v>
      </c>
      <c r="T1057" s="3"/>
      <c r="U1057" s="3" t="str">
        <f ca="1">IFERROR(__xludf.DUMMYFUNCTION("""COMPUTED_VALUE"""),"nativní reklama")</f>
        <v>nativní reklama</v>
      </c>
      <c r="V1057" s="3"/>
      <c r="W1057" s="4" t="str">
        <f ca="1">IFERROR(__xludf.DUMMYFUNCTION("""COMPUTED_VALUE"""),"https://reklama.cncenter.cz/Online/nativni-PR-premium")</f>
        <v>https://reklama.cncenter.cz/Online/nativni-PR-premium</v>
      </c>
      <c r="X1057" s="3"/>
      <c r="Y1057" s="3"/>
      <c r="Z1057" s="3" t="str">
        <f ca="1">IFERROR(__xludf.DUMMYFUNCTION("""COMPUTED_VALUE"""),"podklady@cncenter.cz")</f>
        <v>podklady@cncenter.cz</v>
      </c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 t="str">
        <f ca="1">IFERROR(__xludf.DUMMYFUNCTION("""COMPUTED_VALUE"""),"cross-device")</f>
        <v>cross-device</v>
      </c>
      <c r="AO1057" s="3"/>
      <c r="AP1057" s="3"/>
      <c r="AQ1057" s="3"/>
      <c r="AR1057" s="3"/>
      <c r="AS1057" s="3"/>
      <c r="AT1057" s="3"/>
      <c r="AU1057" s="3" t="str">
        <f ca="1">IFERROR(__xludf.DUMMYFUNCTION("""COMPUTED_VALUE"""),"cílený nativní pr premium")</f>
        <v>cílený nativní pr premium</v>
      </c>
    </row>
    <row r="1058" spans="1:47" x14ac:dyDescent="0.3">
      <c r="A1058" s="3">
        <f ca="1"/>
        <v>2346826</v>
      </c>
      <c r="B1058" s="3" t="str">
        <f ca="1"/>
        <v>CZECH NEWS CENTER a. s.</v>
      </c>
      <c r="C1058" s="3" t="str">
        <f ca="1">IFERROR(__xludf.DUMMYFUNCTION("""COMPUTED_VALUE"""),"Živě")</f>
        <v>Živě</v>
      </c>
      <c r="D1058" s="4" t="str">
        <f ca="1">IFERROR(__xludf.DUMMYFUNCTION("""COMPUTED_VALUE"""),"https://zive.cz")</f>
        <v>https://zive.cz</v>
      </c>
      <c r="E1058" s="3" t="str">
        <f ca="1">IFERROR(__xludf.DUMMYFUNCTION("""COMPUTED_VALUE"""),"celý web")</f>
        <v>celý web</v>
      </c>
      <c r="F1058" s="4" t="str">
        <f ca="1">IFERROR(__xludf.DUMMYFUNCTION("""COMPUTED_VALUE"""),"https://zive.cz")</f>
        <v>https://zive.cz</v>
      </c>
      <c r="G1058" s="3" t="str">
        <f ca="1">IFERROR(__xludf.DUMMYFUNCTION("""COMPUTED_VALUE"""),"cílený nativní rectangle cross-device high season")</f>
        <v>cílený nativní rectangle cross-device high season</v>
      </c>
      <c r="H1058" s="3">
        <f ca="1">IFERROR(__xludf.DUMMYFUNCTION("""COMPUTED_VALUE"""),7)</f>
        <v>7</v>
      </c>
      <c r="I1058" s="5">
        <f ca="1">IFERROR(__xludf.DUMMYFUNCTION("""COMPUTED_VALUE"""),1000)</f>
        <v>1000</v>
      </c>
      <c r="J1058" s="5">
        <f ca="1">IFERROR(__xludf.DUMMYFUNCTION("""COMPUTED_VALUE"""),432)</f>
        <v>432</v>
      </c>
      <c r="K1058" s="3"/>
      <c r="L1058" s="3" t="str">
        <f ca="1">IFERROR(__xludf.DUMMYFUNCTION("""COMPUTED_VALUE"""),"Cost per period")</f>
        <v>Cost per period</v>
      </c>
      <c r="M1058" s="3"/>
      <c r="N1058" s="3"/>
      <c r="O1058" s="3" t="str">
        <f ca="1">IFERROR(__xludf.DUMMYFUNCTION("""COMPUTED_VALUE"""),"640")</f>
        <v>640</v>
      </c>
      <c r="P1058" s="3" t="str">
        <f ca="1">IFERROR(__xludf.DUMMYFUNCTION("""COMPUTED_VALUE"""),"335, 640")</f>
        <v>335, 640</v>
      </c>
      <c r="Q1058" s="3" t="str">
        <f ca="1">IFERROR(__xludf.DUMMYFUNCTION("""COMPUTED_VALUE"""),"640x640 a 640x335 + text + logo")</f>
        <v>640x640 a 640x335 + text + logo</v>
      </c>
      <c r="R1058" s="3"/>
      <c r="S1058" s="3" t="str">
        <f ca="1">IFERROR(__xludf.DUMMYFUNCTION("""COMPUTED_VALUE"""),"45")</f>
        <v>45</v>
      </c>
      <c r="T1058" s="3"/>
      <c r="U1058" s="3" t="str">
        <f ca="1">IFERROR(__xludf.DUMMYFUNCTION("""COMPUTED_VALUE"""),"nativní reklama")</f>
        <v>nativní reklama</v>
      </c>
      <c r="V1058" s="3"/>
      <c r="W1058" s="4" t="str">
        <f ca="1">IFERROR(__xludf.DUMMYFUNCTION("""COMPUTED_VALUE"""),"https://reklama.cncenter.cz/Online/nativni-rectangle-cross-device")</f>
        <v>https://reklama.cncenter.cz/Online/nativni-rectangle-cross-device</v>
      </c>
      <c r="X1058" s="3"/>
      <c r="Y1058" s="3"/>
      <c r="Z1058" s="3" t="str">
        <f ca="1">IFERROR(__xludf.DUMMYFUNCTION("""COMPUTED_VALUE"""),"podklady@cncenter.cz")</f>
        <v>podklady@cncenter.cz</v>
      </c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 t="str">
        <f ca="1">IFERROR(__xludf.DUMMYFUNCTION("""COMPUTED_VALUE"""),"cross-device")</f>
        <v>cross-device</v>
      </c>
      <c r="AO1058" s="3"/>
      <c r="AP1058" s="3"/>
      <c r="AQ1058" s="3"/>
      <c r="AR1058" s="3"/>
      <c r="AS1058" s="3"/>
      <c r="AT1058" s="3"/>
      <c r="AU1058" s="3" t="str">
        <f ca="1">IFERROR(__xludf.DUMMYFUNCTION("""COMPUTED_VALUE"""),"cílený nativní rectangle cross-device")</f>
        <v>cílený nativní rectangle cross-device</v>
      </c>
    </row>
    <row r="1059" spans="1:47" x14ac:dyDescent="0.3">
      <c r="A1059" s="3">
        <f ca="1"/>
        <v>2346826</v>
      </c>
      <c r="B1059" s="3" t="str">
        <f ca="1"/>
        <v>CZECH NEWS CENTER a. s.</v>
      </c>
      <c r="C1059" s="3" t="str">
        <f ca="1">IFERROR(__xludf.DUMMYFUNCTION("""COMPUTED_VALUE"""),"Živě")</f>
        <v>Živě</v>
      </c>
      <c r="D1059" s="4" t="str">
        <f ca="1">IFERROR(__xludf.DUMMYFUNCTION("""COMPUTED_VALUE"""),"https://zive.cz")</f>
        <v>https://zive.cz</v>
      </c>
      <c r="E1059" s="3" t="str">
        <f ca="1">IFERROR(__xludf.DUMMYFUNCTION("""COMPUTED_VALUE"""),"celý web")</f>
        <v>celý web</v>
      </c>
      <c r="F1059" s="4" t="str">
        <f ca="1">IFERROR(__xludf.DUMMYFUNCTION("""COMPUTED_VALUE"""),"https://zive.cz")</f>
        <v>https://zive.cz</v>
      </c>
      <c r="G1059" s="3" t="str">
        <f ca="1">IFERROR(__xludf.DUMMYFUNCTION("""COMPUTED_VALUE"""),"cílený outstream high season")</f>
        <v>cílený outstream high season</v>
      </c>
      <c r="H1059" s="3">
        <f ca="1">IFERROR(__xludf.DUMMYFUNCTION("""COMPUTED_VALUE"""),7)</f>
        <v>7</v>
      </c>
      <c r="I1059" s="5">
        <f ca="1">IFERROR(__xludf.DUMMYFUNCTION("""COMPUTED_VALUE"""),1000)</f>
        <v>1000</v>
      </c>
      <c r="J1059" s="5">
        <f ca="1">IFERROR(__xludf.DUMMYFUNCTION("""COMPUTED_VALUE"""),540)</f>
        <v>540</v>
      </c>
      <c r="K1059" s="3"/>
      <c r="L1059" s="3" t="str">
        <f ca="1">IFERROR(__xludf.DUMMYFUNCTION("""COMPUTED_VALUE"""),"Cost per period")</f>
        <v>Cost per period</v>
      </c>
      <c r="M1059" s="3"/>
      <c r="N1059" s="3"/>
      <c r="O1059" s="3" t="str">
        <f ca="1">IFERROR(__xludf.DUMMYFUNCTION("""COMPUTED_VALUE"""),"1280")</f>
        <v>1280</v>
      </c>
      <c r="P1059" s="3" t="str">
        <f ca="1">IFERROR(__xludf.DUMMYFUNCTION("""COMPUTED_VALUE"""),"720")</f>
        <v>720</v>
      </c>
      <c r="Q1059" s="3" t="str">
        <f ca="1">IFERROR(__xludf.DUMMYFUNCTION("""COMPUTED_VALUE"""),"16:9")</f>
        <v>16:9</v>
      </c>
      <c r="R1059" s="3"/>
      <c r="S1059" s="3" t="str">
        <f ca="1">IFERROR(__xludf.DUMMYFUNCTION("""COMPUTED_VALUE"""),"100")</f>
        <v>100</v>
      </c>
      <c r="T1059" s="3"/>
      <c r="U1059" s="3" t="str">
        <f ca="1">IFERROR(__xludf.DUMMYFUNCTION("""COMPUTED_VALUE"""),"videospot")</f>
        <v>videospot</v>
      </c>
      <c r="V1059" s="3"/>
      <c r="W1059" s="4" t="str">
        <f ca="1">IFERROR(__xludf.DUMMYFUNCTION("""COMPUTED_VALUE"""),"https://reklama.cncenter.cz/Online/Outstream")</f>
        <v>https://reklama.cncenter.cz/Online/Outstream</v>
      </c>
      <c r="X1059" s="3"/>
      <c r="Y1059" s="3"/>
      <c r="Z1059" s="3" t="str">
        <f ca="1">IFERROR(__xludf.DUMMYFUNCTION("""COMPUTED_VALUE"""),"podklady@cncenter.cz")</f>
        <v>podklady@cncenter.cz</v>
      </c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 t="str">
        <f ca="1">IFERROR(__xludf.DUMMYFUNCTION("""COMPUTED_VALUE"""),"cross-device")</f>
        <v>cross-device</v>
      </c>
      <c r="AO1059" s="3"/>
      <c r="AP1059" s="3"/>
      <c r="AQ1059" s="3"/>
      <c r="AR1059" s="3"/>
      <c r="AS1059" s="3"/>
      <c r="AT1059" s="3"/>
      <c r="AU1059" s="3" t="str">
        <f ca="1">IFERROR(__xludf.DUMMYFUNCTION("""COMPUTED_VALUE"""),"cílený outstream")</f>
        <v>cílený outstream</v>
      </c>
    </row>
    <row r="1060" spans="1:47" x14ac:dyDescent="0.3">
      <c r="A1060" s="3">
        <f ca="1"/>
        <v>2346826</v>
      </c>
      <c r="B1060" s="3" t="str">
        <f ca="1"/>
        <v>CZECH NEWS CENTER a. s.</v>
      </c>
      <c r="C1060" s="3" t="str">
        <f ca="1">IFERROR(__xludf.DUMMYFUNCTION("""COMPUTED_VALUE"""),"Živě")</f>
        <v>Živě</v>
      </c>
      <c r="D1060" s="4" t="str">
        <f ca="1">IFERROR(__xludf.DUMMYFUNCTION("""COMPUTED_VALUE"""),"https://zive.cz")</f>
        <v>https://zive.cz</v>
      </c>
      <c r="E1060" s="3" t="str">
        <f ca="1">IFERROR(__xludf.DUMMYFUNCTION("""COMPUTED_VALUE"""),"celý web")</f>
        <v>celý web</v>
      </c>
      <c r="F1060" s="4" t="str">
        <f ca="1">IFERROR(__xludf.DUMMYFUNCTION("""COMPUTED_VALUE"""),"https://zive.cz")</f>
        <v>https://zive.cz</v>
      </c>
      <c r="G1060" s="3" t="str">
        <f ca="1">IFERROR(__xludf.DUMMYFUNCTION("""COMPUTED_VALUE"""),"cílený videospot - max. 30 sec. / bumper high season")</f>
        <v>cílený videospot - max. 30 sec. / bumper high season</v>
      </c>
      <c r="H1060" s="3">
        <f ca="1">IFERROR(__xludf.DUMMYFUNCTION("""COMPUTED_VALUE"""),7)</f>
        <v>7</v>
      </c>
      <c r="I1060" s="5">
        <f ca="1">IFERROR(__xludf.DUMMYFUNCTION("""COMPUTED_VALUE"""),1000)</f>
        <v>1000</v>
      </c>
      <c r="J1060" s="5">
        <f ca="1">IFERROR(__xludf.DUMMYFUNCTION("""COMPUTED_VALUE"""),1608)</f>
        <v>1608</v>
      </c>
      <c r="K1060" s="3"/>
      <c r="L1060" s="3" t="str">
        <f ca="1">IFERROR(__xludf.DUMMYFUNCTION("""COMPUTED_VALUE"""),"Cost per period")</f>
        <v>Cost per period</v>
      </c>
      <c r="M1060" s="3"/>
      <c r="N1060" s="3"/>
      <c r="O1060" s="3" t="str">
        <f ca="1">IFERROR(__xludf.DUMMYFUNCTION("""COMPUTED_VALUE"""),"1280")</f>
        <v>1280</v>
      </c>
      <c r="P1060" s="3" t="str">
        <f ca="1">IFERROR(__xludf.DUMMYFUNCTION("""COMPUTED_VALUE"""),"720")</f>
        <v>720</v>
      </c>
      <c r="Q1060" s="3" t="str">
        <f ca="1">IFERROR(__xludf.DUMMYFUNCTION("""COMPUTED_VALUE"""),"16:9 / umístění po domluvě dle možností")</f>
        <v>16:9 / umístění po domluvě dle možností</v>
      </c>
      <c r="R1060" s="3" t="str">
        <f ca="1">IFERROR(__xludf.DUMMYFUNCTION("""COMPUTED_VALUE"""),"přeskočení po 7 sekundách")</f>
        <v>přeskočení po 7 sekundách</v>
      </c>
      <c r="S1060" s="3" t="str">
        <f ca="1">IFERROR(__xludf.DUMMYFUNCTION("""COMPUTED_VALUE"""),"100")</f>
        <v>100</v>
      </c>
      <c r="T1060" s="3"/>
      <c r="U1060" s="3" t="str">
        <f ca="1">IFERROR(__xludf.DUMMYFUNCTION("""COMPUTED_VALUE"""),"videospot")</f>
        <v>videospot</v>
      </c>
      <c r="V1060" s="3"/>
      <c r="W1060" s="4" t="str">
        <f ca="1">IFERROR(__xludf.DUMMYFUNCTION("""COMPUTED_VALUE"""),"https://reklama.cncenter.cz/Online/Bumper")</f>
        <v>https://reklama.cncenter.cz/Online/Bumper</v>
      </c>
      <c r="X1060" s="3"/>
      <c r="Y1060" s="3"/>
      <c r="Z1060" s="3" t="str">
        <f ca="1">IFERROR(__xludf.DUMMYFUNCTION("""COMPUTED_VALUE"""),"podklady@cncenter.cz")</f>
        <v>podklady@cncenter.cz</v>
      </c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 t="str">
        <f ca="1">IFERROR(__xludf.DUMMYFUNCTION("""COMPUTED_VALUE"""),"cross-device")</f>
        <v>cross-device</v>
      </c>
      <c r="AO1060" s="3"/>
      <c r="AP1060" s="3"/>
      <c r="AQ1060" s="3"/>
      <c r="AR1060" s="3"/>
      <c r="AS1060" s="3"/>
      <c r="AT1060" s="3"/>
      <c r="AU1060" s="3" t="str">
        <f ca="1">IFERROR(__xludf.DUMMYFUNCTION("""COMPUTED_VALUE"""),"cílený videospot - max. 30 sec. / bumper")</f>
        <v>cílený videospot - max. 30 sec. / bumper</v>
      </c>
    </row>
    <row r="1061" spans="1:47" x14ac:dyDescent="0.3">
      <c r="A1061" s="3">
        <f ca="1"/>
        <v>2346826</v>
      </c>
      <c r="B1061" s="3" t="str">
        <f ca="1"/>
        <v>CZECH NEWS CENTER a. s.</v>
      </c>
      <c r="C1061" s="3" t="str">
        <f ca="1">IFERROR(__xludf.DUMMYFUNCTION("""COMPUTED_VALUE"""),"Živě")</f>
        <v>Živě</v>
      </c>
      <c r="D1061" s="4" t="str">
        <f ca="1">IFERROR(__xludf.DUMMYFUNCTION("""COMPUTED_VALUE"""),"https://zive.cz")</f>
        <v>https://zive.cz</v>
      </c>
      <c r="E1061" s="3" t="str">
        <f ca="1">IFERROR(__xludf.DUMMYFUNCTION("""COMPUTED_VALUE"""),"celý web")</f>
        <v>celý web</v>
      </c>
      <c r="F1061" s="4" t="str">
        <f ca="1">IFERROR(__xludf.DUMMYFUNCTION("""COMPUTED_VALUE"""),"https://zive.cz")</f>
        <v>https://zive.cz</v>
      </c>
      <c r="G1061" s="3" t="str">
        <f ca="1">IFERROR(__xludf.DUMMYFUNCTION("""COMPUTED_VALUE"""),"dokoupení proma o 2 týdny - 10 000 PV *** high season")</f>
        <v>dokoupení proma o 2 týdny - 10 000 PV *** high season</v>
      </c>
      <c r="H1061" s="3">
        <f ca="1">IFERROR(__xludf.DUMMYFUNCTION("""COMPUTED_VALUE"""),1)</f>
        <v>1</v>
      </c>
      <c r="I1061" s="5">
        <f ca="1">IFERROR(__xludf.DUMMYFUNCTION("""COMPUTED_VALUE"""),1)</f>
        <v>1</v>
      </c>
      <c r="J1061" s="5">
        <f ca="1">IFERROR(__xludf.DUMMYFUNCTION("""COMPUTED_VALUE"""),60000)</f>
        <v>60000</v>
      </c>
      <c r="K1061" s="3"/>
      <c r="L1061" s="3" t="str">
        <f ca="1">IFERROR(__xludf.DUMMYFUNCTION("""COMPUTED_VALUE"""),"Cost per instance")</f>
        <v>Cost per instance</v>
      </c>
      <c r="M1061" s="3"/>
      <c r="N1061" s="3"/>
      <c r="O1061" s="3"/>
      <c r="P1061" s="3"/>
      <c r="Q1061" s="3"/>
      <c r="R1061" s="3"/>
      <c r="S1061" s="3" t="str">
        <f ca="1">IFERROR(__xludf.DUMMYFUNCTION("""COMPUTED_VALUE"""),"100")</f>
        <v>100</v>
      </c>
      <c r="T1061" s="3"/>
      <c r="U1061" s="3" t="str">
        <f ca="1">IFERROR(__xludf.DUMMYFUNCTION("""COMPUTED_VALUE"""),"microsite")</f>
        <v>microsite</v>
      </c>
      <c r="V1061" s="3"/>
      <c r="W1061" s="3"/>
      <c r="X1061" s="3"/>
      <c r="Y1061" s="3"/>
      <c r="Z1061" s="3" t="str">
        <f ca="1">IFERROR(__xludf.DUMMYFUNCTION("""COMPUTED_VALUE"""),"podklady@cncenter.cz")</f>
        <v>podklady@cncenter.cz</v>
      </c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 t="str">
        <f ca="1">IFERROR(__xludf.DUMMYFUNCTION("""COMPUTED_VALUE"""),"cross-device")</f>
        <v>cross-device</v>
      </c>
      <c r="AO1061" s="3"/>
      <c r="AP1061" s="3"/>
      <c r="AQ1061" s="3"/>
      <c r="AR1061" s="3"/>
      <c r="AS1061" s="3"/>
      <c r="AT1061" s="3"/>
      <c r="AU1061" s="3" t="str">
        <f ca="1">IFERROR(__xludf.DUMMYFUNCTION("""COMPUTED_VALUE"""),"dokoupení proma o 2 týdny - 10 000 PV ***")</f>
        <v>dokoupení proma o 2 týdny - 10 000 PV ***</v>
      </c>
    </row>
    <row r="1062" spans="1:47" x14ac:dyDescent="0.3">
      <c r="A1062" s="3">
        <f ca="1"/>
        <v>2346826</v>
      </c>
      <c r="B1062" s="3" t="str">
        <f ca="1"/>
        <v>CZECH NEWS CENTER a. s.</v>
      </c>
      <c r="C1062" s="3" t="str">
        <f ca="1">IFERROR(__xludf.DUMMYFUNCTION("""COMPUTED_VALUE"""),"Živě")</f>
        <v>Živě</v>
      </c>
      <c r="D1062" s="4" t="str">
        <f ca="1">IFERROR(__xludf.DUMMYFUNCTION("""COMPUTED_VALUE"""),"https://zive.cz")</f>
        <v>https://zive.cz</v>
      </c>
      <c r="E1062" s="3" t="str">
        <f ca="1">IFERROR(__xludf.DUMMYFUNCTION("""COMPUTED_VALUE"""),"celý web")</f>
        <v>celý web</v>
      </c>
      <c r="F1062" s="4" t="str">
        <f ca="1">IFERROR(__xludf.DUMMYFUNCTION("""COMPUTED_VALUE"""),"https://zive.cz")</f>
        <v>https://zive.cz</v>
      </c>
      <c r="G1062" s="3" t="str">
        <f ca="1">IFERROR(__xludf.DUMMYFUNCTION("""COMPUTED_VALUE"""),"double skyscraper high season")</f>
        <v>double skyscraper high season</v>
      </c>
      <c r="H1062" s="3">
        <f ca="1">IFERROR(__xludf.DUMMYFUNCTION("""COMPUTED_VALUE"""),7)</f>
        <v>7</v>
      </c>
      <c r="I1062" s="5">
        <f ca="1">IFERROR(__xludf.DUMMYFUNCTION("""COMPUTED_VALUE"""),1000)</f>
        <v>1000</v>
      </c>
      <c r="J1062" s="5">
        <f ca="1">IFERROR(__xludf.DUMMYFUNCTION("""COMPUTED_VALUE"""),350)</f>
        <v>350</v>
      </c>
      <c r="K1062" s="3"/>
      <c r="L1062" s="3" t="str">
        <f ca="1">IFERROR(__xludf.DUMMYFUNCTION("""COMPUTED_VALUE"""),"Cost per period")</f>
        <v>Cost per period</v>
      </c>
      <c r="M1062" s="3"/>
      <c r="N1062" s="3"/>
      <c r="O1062" s="3" t="str">
        <f ca="1">IFERROR(__xludf.DUMMYFUNCTION("""COMPUTED_VALUE"""),"300")</f>
        <v>300</v>
      </c>
      <c r="P1062" s="3" t="str">
        <f ca="1">IFERROR(__xludf.DUMMYFUNCTION("""COMPUTED_VALUE"""),"600")</f>
        <v>600</v>
      </c>
      <c r="Q1062" s="3" t="str">
        <f ca="1">IFERROR(__xludf.DUMMYFUNCTION("""COMPUTED_VALUE"""),"300x600")</f>
        <v>300x600</v>
      </c>
      <c r="R1062" s="3"/>
      <c r="S1062" s="3" t="str">
        <f ca="1">IFERROR(__xludf.DUMMYFUNCTION("""COMPUTED_VALUE"""),"100 (200 - HTML5)")</f>
        <v>100 (200 - HTML5)</v>
      </c>
      <c r="T1062" s="3"/>
      <c r="U1062" s="3" t="str">
        <f ca="1">IFERROR(__xludf.DUMMYFUNCTION("""COMPUTED_VALUE"""),"banner standard")</f>
        <v>banner standard</v>
      </c>
      <c r="V1062" s="3"/>
      <c r="W1062" s="4" t="str">
        <f ca="1">IFERROR(__xludf.DUMMYFUNCTION("""COMPUTED_VALUE"""),"https://reklama.cncenter.cz/Online/double-skyscraper")</f>
        <v>https://reklama.cncenter.cz/Online/double-skyscraper</v>
      </c>
      <c r="X1062" s="3"/>
      <c r="Y1062" s="3"/>
      <c r="Z1062" s="3" t="str">
        <f ca="1">IFERROR(__xludf.DUMMYFUNCTION("""COMPUTED_VALUE"""),"podklady@cncenter.cz")</f>
        <v>podklady@cncenter.cz</v>
      </c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 t="str">
        <f ca="1">IFERROR(__xludf.DUMMYFUNCTION("""COMPUTED_VALUE"""),"desktop")</f>
        <v>desktop</v>
      </c>
      <c r="AO1062" s="3"/>
      <c r="AP1062" s="3"/>
      <c r="AQ1062" s="3"/>
      <c r="AR1062" s="3"/>
      <c r="AS1062" s="3"/>
      <c r="AT1062" s="3"/>
      <c r="AU1062" s="3" t="str">
        <f ca="1">IFERROR(__xludf.DUMMYFUNCTION("""COMPUTED_VALUE"""),"double skyscraper")</f>
        <v>double skyscraper</v>
      </c>
    </row>
    <row r="1063" spans="1:47" x14ac:dyDescent="0.3">
      <c r="A1063" s="3">
        <f ca="1"/>
        <v>2346826</v>
      </c>
      <c r="B1063" s="3" t="str">
        <f ca="1"/>
        <v>CZECH NEWS CENTER a. s.</v>
      </c>
      <c r="C1063" s="3" t="str">
        <f ca="1">IFERROR(__xludf.DUMMYFUNCTION("""COMPUTED_VALUE"""),"Živě")</f>
        <v>Živě</v>
      </c>
      <c r="D1063" s="4" t="str">
        <f ca="1">IFERROR(__xludf.DUMMYFUNCTION("""COMPUTED_VALUE"""),"https://zive.cz")</f>
        <v>https://zive.cz</v>
      </c>
      <c r="E1063" s="3" t="str">
        <f ca="1">IFERROR(__xludf.DUMMYFUNCTION("""COMPUTED_VALUE"""),"celý web")</f>
        <v>celý web</v>
      </c>
      <c r="F1063" s="4" t="str">
        <f ca="1">IFERROR(__xludf.DUMMYFUNCTION("""COMPUTED_VALUE"""),"https://zive.cz")</f>
        <v>https://zive.cz</v>
      </c>
      <c r="G1063" s="3" t="str">
        <f ca="1">IFERROR(__xludf.DUMMYFUNCTION("""COMPUTED_VALUE"""),"mobilní interscroller high season")</f>
        <v>mobilní interscroller high season</v>
      </c>
      <c r="H1063" s="3">
        <f ca="1">IFERROR(__xludf.DUMMYFUNCTION("""COMPUTED_VALUE"""),7)</f>
        <v>7</v>
      </c>
      <c r="I1063" s="5">
        <f ca="1">IFERROR(__xludf.DUMMYFUNCTION("""COMPUTED_VALUE"""),1000)</f>
        <v>1000</v>
      </c>
      <c r="J1063" s="5">
        <f ca="1">IFERROR(__xludf.DUMMYFUNCTION("""COMPUTED_VALUE"""),450)</f>
        <v>450</v>
      </c>
      <c r="K1063" s="3"/>
      <c r="L1063" s="3" t="str">
        <f ca="1">IFERROR(__xludf.DUMMYFUNCTION("""COMPUTED_VALUE"""),"Cost per period")</f>
        <v>Cost per period</v>
      </c>
      <c r="M1063" s="3"/>
      <c r="N1063" s="3"/>
      <c r="O1063" s="3" t="str">
        <f ca="1">IFERROR(__xludf.DUMMYFUNCTION("""COMPUTED_VALUE"""),"600")</f>
        <v>600</v>
      </c>
      <c r="P1063" s="3" t="str">
        <f ca="1">IFERROR(__xludf.DUMMYFUNCTION("""COMPUTED_VALUE"""),"1080")</f>
        <v>1080</v>
      </c>
      <c r="Q1063" s="3" t="str">
        <f ca="1">IFERROR(__xludf.DUMMYFUNCTION("""COMPUTED_VALUE"""),"600x1080")</f>
        <v>600x1080</v>
      </c>
      <c r="R1063" s="3"/>
      <c r="S1063" s="3" t="str">
        <f ca="1">IFERROR(__xludf.DUMMYFUNCTION("""COMPUTED_VALUE"""),"200")</f>
        <v>200</v>
      </c>
      <c r="T1063" s="3"/>
      <c r="U1063" s="3" t="str">
        <f ca="1">IFERROR(__xludf.DUMMYFUNCTION("""COMPUTED_VALUE"""),"banner standard")</f>
        <v>banner standard</v>
      </c>
      <c r="V1063" s="3"/>
      <c r="W1063" s="4" t="str">
        <f ca="1">IFERROR(__xludf.DUMMYFUNCTION("""COMPUTED_VALUE"""),"https://reklama.cncenter.cz/Online/mobilni-interscroller")</f>
        <v>https://reklama.cncenter.cz/Online/mobilni-interscroller</v>
      </c>
      <c r="X1063" s="3"/>
      <c r="Y1063" s="3"/>
      <c r="Z1063" s="3" t="str">
        <f ca="1">IFERROR(__xludf.DUMMYFUNCTION("""COMPUTED_VALUE"""),"podklady@cncenter.cz")</f>
        <v>podklady@cncenter.cz</v>
      </c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 t="str">
        <f ca="1">IFERROR(__xludf.DUMMYFUNCTION("""COMPUTED_VALUE"""),"mobile")</f>
        <v>mobile</v>
      </c>
      <c r="AO1063" s="3"/>
      <c r="AP1063" s="3"/>
      <c r="AQ1063" s="3"/>
      <c r="AR1063" s="3"/>
      <c r="AS1063" s="3"/>
      <c r="AT1063" s="3"/>
      <c r="AU1063" s="3" t="str">
        <f ca="1">IFERROR(__xludf.DUMMYFUNCTION("""COMPUTED_VALUE"""),"mobilní interscroller")</f>
        <v>mobilní interscroller</v>
      </c>
    </row>
    <row r="1064" spans="1:47" x14ac:dyDescent="0.3">
      <c r="A1064" s="3">
        <f ca="1"/>
        <v>2346826</v>
      </c>
      <c r="B1064" s="3" t="str">
        <f ca="1"/>
        <v>CZECH NEWS CENTER a. s.</v>
      </c>
      <c r="C1064" s="3" t="str">
        <f ca="1">IFERROR(__xludf.DUMMYFUNCTION("""COMPUTED_VALUE"""),"Živě")</f>
        <v>Živě</v>
      </c>
      <c r="D1064" s="4" t="str">
        <f ca="1">IFERROR(__xludf.DUMMYFUNCTION("""COMPUTED_VALUE"""),"https://zive.cz")</f>
        <v>https://zive.cz</v>
      </c>
      <c r="E1064" s="3" t="str">
        <f ca="1">IFERROR(__xludf.DUMMYFUNCTION("""COMPUTED_VALUE"""),"celý web")</f>
        <v>celý web</v>
      </c>
      <c r="F1064" s="4" t="str">
        <f ca="1">IFERROR(__xludf.DUMMYFUNCTION("""COMPUTED_VALUE"""),"https://zive.cz")</f>
        <v>https://zive.cz</v>
      </c>
      <c r="G1064" s="3" t="str">
        <f ca="1">IFERROR(__xludf.DUMMYFUNCTION("""COMPUTED_VALUE"""),"mobilní slide-up high season")</f>
        <v>mobilní slide-up high season</v>
      </c>
      <c r="H1064" s="3">
        <f ca="1">IFERROR(__xludf.DUMMYFUNCTION("""COMPUTED_VALUE"""),7)</f>
        <v>7</v>
      </c>
      <c r="I1064" s="5">
        <f ca="1">IFERROR(__xludf.DUMMYFUNCTION("""COMPUTED_VALUE"""),1000)</f>
        <v>1000</v>
      </c>
      <c r="J1064" s="5">
        <f ca="1">IFERROR(__xludf.DUMMYFUNCTION("""COMPUTED_VALUE"""),920)</f>
        <v>920</v>
      </c>
      <c r="K1064" s="3"/>
      <c r="L1064" s="3" t="str">
        <f ca="1">IFERROR(__xludf.DUMMYFUNCTION("""COMPUTED_VALUE"""),"Cost per period")</f>
        <v>Cost per period</v>
      </c>
      <c r="M1064" s="3"/>
      <c r="N1064" s="3"/>
      <c r="O1064" s="3" t="str">
        <f ca="1">IFERROR(__xludf.DUMMYFUNCTION("""COMPUTED_VALUE"""),"300")</f>
        <v>300</v>
      </c>
      <c r="P1064" s="3" t="str">
        <f ca="1">IFERROR(__xludf.DUMMYFUNCTION("""COMPUTED_VALUE"""),"120")</f>
        <v>120</v>
      </c>
      <c r="Q1064" s="3" t="str">
        <f ca="1">IFERROR(__xludf.DUMMYFUNCTION("""COMPUTED_VALUE"""),"300x120")</f>
        <v>300x120</v>
      </c>
      <c r="R1064" s="3"/>
      <c r="S1064" s="3" t="str">
        <f ca="1">IFERROR(__xludf.DUMMYFUNCTION("""COMPUTED_VALUE"""),"100")</f>
        <v>100</v>
      </c>
      <c r="T1064" s="3"/>
      <c r="U1064" s="3" t="str">
        <f ca="1">IFERROR(__xludf.DUMMYFUNCTION("""COMPUTED_VALUE"""),"banner standard")</f>
        <v>banner standard</v>
      </c>
      <c r="V1064" s="3"/>
      <c r="W1064" s="4" t="str">
        <f ca="1">IFERROR(__xludf.DUMMYFUNCTION("""COMPUTED_VALUE"""),"https://reklama.cncenter.cz/Online/mobilni-slide-up")</f>
        <v>https://reklama.cncenter.cz/Online/mobilni-slide-up</v>
      </c>
      <c r="X1064" s="3"/>
      <c r="Y1064" s="3"/>
      <c r="Z1064" s="3" t="str">
        <f ca="1">IFERROR(__xludf.DUMMYFUNCTION("""COMPUTED_VALUE"""),"podklady@cncenter.cz")</f>
        <v>podklady@cncenter.cz</v>
      </c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 t="str">
        <f ca="1">IFERROR(__xludf.DUMMYFUNCTION("""COMPUTED_VALUE"""),"mobile")</f>
        <v>mobile</v>
      </c>
      <c r="AO1064" s="3"/>
      <c r="AP1064" s="3"/>
      <c r="AQ1064" s="3"/>
      <c r="AR1064" s="3"/>
      <c r="AS1064" s="3"/>
      <c r="AT1064" s="3"/>
      <c r="AU1064" s="3" t="str">
        <f ca="1">IFERROR(__xludf.DUMMYFUNCTION("""COMPUTED_VALUE"""),"mobilní slide-up")</f>
        <v>mobilní slide-up</v>
      </c>
    </row>
    <row r="1065" spans="1:47" x14ac:dyDescent="0.3">
      <c r="A1065" s="3">
        <f ca="1"/>
        <v>2346826</v>
      </c>
      <c r="B1065" s="3" t="str">
        <f ca="1"/>
        <v>CZECH NEWS CENTER a. s.</v>
      </c>
      <c r="C1065" s="3" t="str">
        <f ca="1">IFERROR(__xludf.DUMMYFUNCTION("""COMPUTED_VALUE"""),"Živě")</f>
        <v>Živě</v>
      </c>
      <c r="D1065" s="4" t="str">
        <f ca="1">IFERROR(__xludf.DUMMYFUNCTION("""COMPUTED_VALUE"""),"https://zive.cz")</f>
        <v>https://zive.cz</v>
      </c>
      <c r="E1065" s="3" t="str">
        <f ca="1">IFERROR(__xludf.DUMMYFUNCTION("""COMPUTED_VALUE"""),"celý web")</f>
        <v>celý web</v>
      </c>
      <c r="F1065" s="4" t="str">
        <f ca="1">IFERROR(__xludf.DUMMYFUNCTION("""COMPUTED_VALUE"""),"https://zive.cz")</f>
        <v>https://zive.cz</v>
      </c>
      <c r="G1065" s="3" t="str">
        <f ca="1">IFERROR(__xludf.DUMMYFUNCTION("""COMPUTED_VALUE"""),"mobilní viněta high season")</f>
        <v>mobilní viněta high season</v>
      </c>
      <c r="H1065" s="3">
        <f ca="1">IFERROR(__xludf.DUMMYFUNCTION("""COMPUTED_VALUE"""),7)</f>
        <v>7</v>
      </c>
      <c r="I1065" s="5">
        <f ca="1">IFERROR(__xludf.DUMMYFUNCTION("""COMPUTED_VALUE"""),1000)</f>
        <v>1000</v>
      </c>
      <c r="J1065" s="5">
        <f ca="1">IFERROR(__xludf.DUMMYFUNCTION("""COMPUTED_VALUE"""),1590)</f>
        <v>1590</v>
      </c>
      <c r="K1065" s="3"/>
      <c r="L1065" s="3" t="str">
        <f ca="1">IFERROR(__xludf.DUMMYFUNCTION("""COMPUTED_VALUE"""),"Cost per period")</f>
        <v>Cost per period</v>
      </c>
      <c r="M1065" s="3"/>
      <c r="N1065" s="3"/>
      <c r="O1065" s="3" t="str">
        <f ca="1">IFERROR(__xludf.DUMMYFUNCTION("""COMPUTED_VALUE"""),"600")</f>
        <v>600</v>
      </c>
      <c r="P1065" s="3" t="str">
        <f ca="1">IFERROR(__xludf.DUMMYFUNCTION("""COMPUTED_VALUE"""),"800")</f>
        <v>800</v>
      </c>
      <c r="Q1065" s="3" t="str">
        <f ca="1">IFERROR(__xludf.DUMMYFUNCTION("""COMPUTED_VALUE"""),"300x250 nebo 600x800")</f>
        <v>300x250 nebo 600x800</v>
      </c>
      <c r="R1065" s="3"/>
      <c r="S1065" s="3" t="str">
        <f ca="1">IFERROR(__xludf.DUMMYFUNCTION("""COMPUTED_VALUE"""),"100")</f>
        <v>100</v>
      </c>
      <c r="T1065" s="3"/>
      <c r="U1065" s="3" t="str">
        <f ca="1">IFERROR(__xludf.DUMMYFUNCTION("""COMPUTED_VALUE"""),"banner standard")</f>
        <v>banner standard</v>
      </c>
      <c r="V1065" s="3"/>
      <c r="W1065" s="4" t="str">
        <f ca="1">IFERROR(__xludf.DUMMYFUNCTION("""COMPUTED_VALUE"""),"https://reklama.cncenter.cz/Online/mobilni-vineta")</f>
        <v>https://reklama.cncenter.cz/Online/mobilni-vineta</v>
      </c>
      <c r="X1065" s="3"/>
      <c r="Y1065" s="3"/>
      <c r="Z1065" s="3" t="str">
        <f ca="1">IFERROR(__xludf.DUMMYFUNCTION("""COMPUTED_VALUE"""),"podklady@cncenter.cz")</f>
        <v>podklady@cncenter.cz</v>
      </c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 t="str">
        <f ca="1">IFERROR(__xludf.DUMMYFUNCTION("""COMPUTED_VALUE"""),"mobile")</f>
        <v>mobile</v>
      </c>
      <c r="AO1065" s="3"/>
      <c r="AP1065" s="3"/>
      <c r="AQ1065" s="3"/>
      <c r="AR1065" s="3"/>
      <c r="AS1065" s="3"/>
      <c r="AT1065" s="3"/>
      <c r="AU1065" s="3" t="str">
        <f ca="1">IFERROR(__xludf.DUMMYFUNCTION("""COMPUTED_VALUE"""),"mobilní viněta")</f>
        <v>mobilní viněta</v>
      </c>
    </row>
    <row r="1066" spans="1:47" x14ac:dyDescent="0.3">
      <c r="A1066" s="3">
        <f ca="1"/>
        <v>2346826</v>
      </c>
      <c r="B1066" s="3" t="str">
        <f ca="1"/>
        <v>CZECH NEWS CENTER a. s.</v>
      </c>
      <c r="C1066" s="3" t="str">
        <f ca="1">IFERROR(__xludf.DUMMYFUNCTION("""COMPUTED_VALUE"""),"Živě")</f>
        <v>Živě</v>
      </c>
      <c r="D1066" s="4" t="str">
        <f ca="1">IFERROR(__xludf.DUMMYFUNCTION("""COMPUTED_VALUE"""),"https://zive.cz")</f>
        <v>https://zive.cz</v>
      </c>
      <c r="E1066" s="3" t="str">
        <f ca="1">IFERROR(__xludf.DUMMYFUNCTION("""COMPUTED_VALUE"""),"celý web")</f>
        <v>celý web</v>
      </c>
      <c r="F1066" s="4" t="str">
        <f ca="1">IFERROR(__xludf.DUMMYFUNCTION("""COMPUTED_VALUE"""),"https://zive.cz")</f>
        <v>https://zive.cz</v>
      </c>
      <c r="G1066" s="3" t="str">
        <f ca="1">IFERROR(__xludf.DUMMYFUNCTION("""COMPUTED_VALUE"""),"Native Standard high season")</f>
        <v>Native Standard high season</v>
      </c>
      <c r="H1066" s="3">
        <f ca="1">IFERROR(__xludf.DUMMYFUNCTION("""COMPUTED_VALUE"""),1)</f>
        <v>1</v>
      </c>
      <c r="I1066" s="5">
        <f ca="1">IFERROR(__xludf.DUMMYFUNCTION("""COMPUTED_VALUE"""),1)</f>
        <v>1</v>
      </c>
      <c r="J1066" s="5">
        <f ca="1">IFERROR(__xludf.DUMMYFUNCTION("""COMPUTED_VALUE"""),330000)</f>
        <v>330000</v>
      </c>
      <c r="K1066" s="3"/>
      <c r="L1066" s="3" t="str">
        <f ca="1">IFERROR(__xludf.DUMMYFUNCTION("""COMPUTED_VALUE"""),"Cost per instance")</f>
        <v>Cost per instance</v>
      </c>
      <c r="M1066" s="3"/>
      <c r="N1066" s="3"/>
      <c r="O1066" s="3"/>
      <c r="P1066" s="3"/>
      <c r="Q1066" s="3"/>
      <c r="R1066" s="3"/>
      <c r="S1066" s="3" t="str">
        <f ca="1">IFERROR(__xludf.DUMMYFUNCTION("""COMPUTED_VALUE"""),"100")</f>
        <v>100</v>
      </c>
      <c r="T1066" s="3"/>
      <c r="U1066" s="3" t="str">
        <f ca="1">IFERROR(__xludf.DUMMYFUNCTION("""COMPUTED_VALUE"""),"microsite")</f>
        <v>microsite</v>
      </c>
      <c r="V1066" s="3"/>
      <c r="W1066" s="3"/>
      <c r="X1066" s="3"/>
      <c r="Y1066" s="3"/>
      <c r="Z1066" s="3" t="str">
        <f ca="1">IFERROR(__xludf.DUMMYFUNCTION("""COMPUTED_VALUE"""),"podklady@cncenter.cz")</f>
        <v>podklady@cncenter.cz</v>
      </c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 t="str">
        <f ca="1">IFERROR(__xludf.DUMMYFUNCTION("""COMPUTED_VALUE"""),"cross-device")</f>
        <v>cross-device</v>
      </c>
      <c r="AO1066" s="3"/>
      <c r="AP1066" s="3"/>
      <c r="AQ1066" s="3"/>
      <c r="AR1066" s="3"/>
      <c r="AS1066" s="3"/>
      <c r="AT1066" s="3"/>
      <c r="AU1066" s="3" t="str">
        <f ca="1">IFERROR(__xludf.DUMMYFUNCTION("""COMPUTED_VALUE"""),"Native Standard")</f>
        <v>Native Standard</v>
      </c>
    </row>
    <row r="1067" spans="1:47" x14ac:dyDescent="0.3">
      <c r="A1067" s="3">
        <f ca="1"/>
        <v>2346826</v>
      </c>
      <c r="B1067" s="3" t="str">
        <f ca="1"/>
        <v>CZECH NEWS CENTER a. s.</v>
      </c>
      <c r="C1067" s="3" t="str">
        <f ca="1">IFERROR(__xludf.DUMMYFUNCTION("""COMPUTED_VALUE"""),"Živě")</f>
        <v>Živě</v>
      </c>
      <c r="D1067" s="4" t="str">
        <f ca="1">IFERROR(__xludf.DUMMYFUNCTION("""COMPUTED_VALUE"""),"https://zive.cz")</f>
        <v>https://zive.cz</v>
      </c>
      <c r="E1067" s="3" t="str">
        <f ca="1">IFERROR(__xludf.DUMMYFUNCTION("""COMPUTED_VALUE"""),"celý web")</f>
        <v>celý web</v>
      </c>
      <c r="F1067" s="4" t="str">
        <f ca="1">IFERROR(__xludf.DUMMYFUNCTION("""COMPUTED_VALUE"""),"https://zive.cz")</f>
        <v>https://zive.cz</v>
      </c>
      <c r="G1067" s="3" t="str">
        <f ca="1">IFERROR(__xludf.DUMMYFUNCTION("""COMPUTED_VALUE"""),"nativní pr premium high season")</f>
        <v>nativní pr premium high season</v>
      </c>
      <c r="H1067" s="3">
        <f ca="1">IFERROR(__xludf.DUMMYFUNCTION("""COMPUTED_VALUE"""),7)</f>
        <v>7</v>
      </c>
      <c r="I1067" s="5">
        <f ca="1">IFERROR(__xludf.DUMMYFUNCTION("""COMPUTED_VALUE"""),1000)</f>
        <v>1000</v>
      </c>
      <c r="J1067" s="5">
        <f ca="1">IFERROR(__xludf.DUMMYFUNCTION("""COMPUTED_VALUE"""),180)</f>
        <v>180</v>
      </c>
      <c r="K1067" s="3"/>
      <c r="L1067" s="3" t="str">
        <f ca="1">IFERROR(__xludf.DUMMYFUNCTION("""COMPUTED_VALUE"""),"Cost per period")</f>
        <v>Cost per period</v>
      </c>
      <c r="M1067" s="3"/>
      <c r="N1067" s="3"/>
      <c r="O1067" s="3" t="str">
        <f ca="1">IFERROR(__xludf.DUMMYFUNCTION("""COMPUTED_VALUE"""),"640")</f>
        <v>640</v>
      </c>
      <c r="P1067" s="3" t="str">
        <f ca="1">IFERROR(__xludf.DUMMYFUNCTION("""COMPUTED_VALUE"""),"335, 640")</f>
        <v>335, 640</v>
      </c>
      <c r="Q1067" s="3" t="str">
        <f ca="1">IFERROR(__xludf.DUMMYFUNCTION("""COMPUTED_VALUE"""),"640x640 a 640x335 + text + logo")</f>
        <v>640x640 a 640x335 + text + logo</v>
      </c>
      <c r="R1067" s="3" t="str">
        <f ca="1">IFERROR(__xludf.DUMMYFUNCTION("""COMPUTED_VALUE"""),"detailní specifikace na URL odkaze")</f>
        <v>detailní specifikace na URL odkaze</v>
      </c>
      <c r="S1067" s="3" t="str">
        <f ca="1">IFERROR(__xludf.DUMMYFUNCTION("""COMPUTED_VALUE"""),"100")</f>
        <v>100</v>
      </c>
      <c r="T1067" s="3"/>
      <c r="U1067" s="3" t="str">
        <f ca="1">IFERROR(__xludf.DUMMYFUNCTION("""COMPUTED_VALUE"""),"nativní reklama")</f>
        <v>nativní reklama</v>
      </c>
      <c r="V1067" s="3"/>
      <c r="W1067" s="4" t="str">
        <f ca="1">IFERROR(__xludf.DUMMYFUNCTION("""COMPUTED_VALUE"""),"https://reklama.cncenter.cz/Online/nativni-PR-premium")</f>
        <v>https://reklama.cncenter.cz/Online/nativni-PR-premium</v>
      </c>
      <c r="X1067" s="3"/>
      <c r="Y1067" s="3"/>
      <c r="Z1067" s="3" t="str">
        <f ca="1">IFERROR(__xludf.DUMMYFUNCTION("""COMPUTED_VALUE"""),"podklady@cncenter.cz")</f>
        <v>podklady@cncenter.cz</v>
      </c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 t="str">
        <f ca="1">IFERROR(__xludf.DUMMYFUNCTION("""COMPUTED_VALUE"""),"cross-device")</f>
        <v>cross-device</v>
      </c>
      <c r="AO1067" s="3"/>
      <c r="AP1067" s="3"/>
      <c r="AQ1067" s="3"/>
      <c r="AR1067" s="3"/>
      <c r="AS1067" s="3"/>
      <c r="AT1067" s="3"/>
      <c r="AU1067" s="3" t="str">
        <f ca="1">IFERROR(__xludf.DUMMYFUNCTION("""COMPUTED_VALUE"""),"nativní pr premium")</f>
        <v>nativní pr premium</v>
      </c>
    </row>
    <row r="1068" spans="1:47" x14ac:dyDescent="0.3">
      <c r="A1068" s="3">
        <f ca="1"/>
        <v>2346826</v>
      </c>
      <c r="B1068" s="3" t="str">
        <f ca="1"/>
        <v>CZECH NEWS CENTER a. s.</v>
      </c>
      <c r="C1068" s="3" t="str">
        <f ca="1">IFERROR(__xludf.DUMMYFUNCTION("""COMPUTED_VALUE"""),"Živě")</f>
        <v>Živě</v>
      </c>
      <c r="D1068" s="4" t="str">
        <f ca="1">IFERROR(__xludf.DUMMYFUNCTION("""COMPUTED_VALUE"""),"https://zive.cz")</f>
        <v>https://zive.cz</v>
      </c>
      <c r="E1068" s="3" t="str">
        <f ca="1">IFERROR(__xludf.DUMMYFUNCTION("""COMPUTED_VALUE"""),"celý web")</f>
        <v>celý web</v>
      </c>
      <c r="F1068" s="4" t="str">
        <f ca="1">IFERROR(__xludf.DUMMYFUNCTION("""COMPUTED_VALUE"""),"https://zive.cz")</f>
        <v>https://zive.cz</v>
      </c>
      <c r="G1068" s="3" t="str">
        <f ca="1">IFERROR(__xludf.DUMMYFUNCTION("""COMPUTED_VALUE"""),"nativní rectangle cross-device high season")</f>
        <v>nativní rectangle cross-device high season</v>
      </c>
      <c r="H1068" s="3">
        <f ca="1">IFERROR(__xludf.DUMMYFUNCTION("""COMPUTED_VALUE"""),7)</f>
        <v>7</v>
      </c>
      <c r="I1068" s="5">
        <f ca="1">IFERROR(__xludf.DUMMYFUNCTION("""COMPUTED_VALUE"""),1000)</f>
        <v>1000</v>
      </c>
      <c r="J1068" s="5">
        <f ca="1">IFERROR(__xludf.DUMMYFUNCTION("""COMPUTED_VALUE"""),360)</f>
        <v>360</v>
      </c>
      <c r="K1068" s="3"/>
      <c r="L1068" s="3" t="str">
        <f ca="1">IFERROR(__xludf.DUMMYFUNCTION("""COMPUTED_VALUE"""),"Cost per period")</f>
        <v>Cost per period</v>
      </c>
      <c r="M1068" s="3"/>
      <c r="N1068" s="3"/>
      <c r="O1068" s="3" t="str">
        <f ca="1">IFERROR(__xludf.DUMMYFUNCTION("""COMPUTED_VALUE"""),"640")</f>
        <v>640</v>
      </c>
      <c r="P1068" s="3" t="str">
        <f ca="1">IFERROR(__xludf.DUMMYFUNCTION("""COMPUTED_VALUE"""),"335, 640")</f>
        <v>335, 640</v>
      </c>
      <c r="Q1068" s="3" t="str">
        <f ca="1">IFERROR(__xludf.DUMMYFUNCTION("""COMPUTED_VALUE"""),"640x640 a 640x335 + text + logo")</f>
        <v>640x640 a 640x335 + text + logo</v>
      </c>
      <c r="R1068" s="3"/>
      <c r="S1068" s="3" t="str">
        <f ca="1">IFERROR(__xludf.DUMMYFUNCTION("""COMPUTED_VALUE"""),"45")</f>
        <v>45</v>
      </c>
      <c r="T1068" s="3"/>
      <c r="U1068" s="3" t="str">
        <f ca="1">IFERROR(__xludf.DUMMYFUNCTION("""COMPUTED_VALUE"""),"nativní reklama")</f>
        <v>nativní reklama</v>
      </c>
      <c r="V1068" s="3"/>
      <c r="W1068" s="4" t="str">
        <f ca="1">IFERROR(__xludf.DUMMYFUNCTION("""COMPUTED_VALUE"""),"https://reklama.cncenter.cz/Online/nativni-rectangle-cross-device")</f>
        <v>https://reklama.cncenter.cz/Online/nativni-rectangle-cross-device</v>
      </c>
      <c r="X1068" s="3"/>
      <c r="Y1068" s="3"/>
      <c r="Z1068" s="3" t="str">
        <f ca="1">IFERROR(__xludf.DUMMYFUNCTION("""COMPUTED_VALUE"""),"podklady@cncenter.cz")</f>
        <v>podklady@cncenter.cz</v>
      </c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 t="str">
        <f ca="1">IFERROR(__xludf.DUMMYFUNCTION("""COMPUTED_VALUE"""),"cross-device")</f>
        <v>cross-device</v>
      </c>
      <c r="AO1068" s="3"/>
      <c r="AP1068" s="3"/>
      <c r="AQ1068" s="3"/>
      <c r="AR1068" s="3"/>
      <c r="AS1068" s="3"/>
      <c r="AT1068" s="3"/>
      <c r="AU1068" s="3" t="str">
        <f ca="1">IFERROR(__xludf.DUMMYFUNCTION("""COMPUTED_VALUE"""),"nativní rectangle cross-device")</f>
        <v>nativní rectangle cross-device</v>
      </c>
    </row>
    <row r="1069" spans="1:47" x14ac:dyDescent="0.3">
      <c r="A1069" s="3">
        <f ca="1"/>
        <v>2346826</v>
      </c>
      <c r="B1069" s="3" t="str">
        <f ca="1"/>
        <v>CZECH NEWS CENTER a. s.</v>
      </c>
      <c r="C1069" s="3" t="str">
        <f ca="1">IFERROR(__xludf.DUMMYFUNCTION("""COMPUTED_VALUE"""),"Živě")</f>
        <v>Živě</v>
      </c>
      <c r="D1069" s="4" t="str">
        <f ca="1">IFERROR(__xludf.DUMMYFUNCTION("""COMPUTED_VALUE"""),"https://zive.cz")</f>
        <v>https://zive.cz</v>
      </c>
      <c r="E1069" s="3" t="str">
        <f ca="1">IFERROR(__xludf.DUMMYFUNCTION("""COMPUTED_VALUE"""),"celý web")</f>
        <v>celý web</v>
      </c>
      <c r="F1069" s="4" t="str">
        <f ca="1">IFERROR(__xludf.DUMMYFUNCTION("""COMPUTED_VALUE"""),"https://zive.cz")</f>
        <v>https://zive.cz</v>
      </c>
      <c r="G1069" s="3" t="str">
        <f ca="1">IFERROR(__xludf.DUMMYFUNCTION("""COMPUTED_VALUE"""),"outstream high season")</f>
        <v>outstream high season</v>
      </c>
      <c r="H1069" s="3">
        <f ca="1">IFERROR(__xludf.DUMMYFUNCTION("""COMPUTED_VALUE"""),7)</f>
        <v>7</v>
      </c>
      <c r="I1069" s="5">
        <f ca="1">IFERROR(__xludf.DUMMYFUNCTION("""COMPUTED_VALUE"""),1000)</f>
        <v>1000</v>
      </c>
      <c r="J1069" s="5">
        <f ca="1">IFERROR(__xludf.DUMMYFUNCTION("""COMPUTED_VALUE"""),450)</f>
        <v>450</v>
      </c>
      <c r="K1069" s="3"/>
      <c r="L1069" s="3" t="str">
        <f ca="1">IFERROR(__xludf.DUMMYFUNCTION("""COMPUTED_VALUE"""),"Cost per period")</f>
        <v>Cost per period</v>
      </c>
      <c r="M1069" s="3"/>
      <c r="N1069" s="3"/>
      <c r="O1069" s="3" t="str">
        <f ca="1">IFERROR(__xludf.DUMMYFUNCTION("""COMPUTED_VALUE"""),"1280")</f>
        <v>1280</v>
      </c>
      <c r="P1069" s="3" t="str">
        <f ca="1">IFERROR(__xludf.DUMMYFUNCTION("""COMPUTED_VALUE"""),"720")</f>
        <v>720</v>
      </c>
      <c r="Q1069" s="3" t="str">
        <f ca="1">IFERROR(__xludf.DUMMYFUNCTION("""COMPUTED_VALUE"""),"16:9")</f>
        <v>16:9</v>
      </c>
      <c r="R1069" s="3"/>
      <c r="S1069" s="3" t="str">
        <f ca="1">IFERROR(__xludf.DUMMYFUNCTION("""COMPUTED_VALUE"""),"100")</f>
        <v>100</v>
      </c>
      <c r="T1069" s="3"/>
      <c r="U1069" s="3" t="str">
        <f ca="1">IFERROR(__xludf.DUMMYFUNCTION("""COMPUTED_VALUE"""),"videospot")</f>
        <v>videospot</v>
      </c>
      <c r="V1069" s="3"/>
      <c r="W1069" s="4" t="str">
        <f ca="1">IFERROR(__xludf.DUMMYFUNCTION("""COMPUTED_VALUE"""),"https://reklama.cncenter.cz/Online/Outstream")</f>
        <v>https://reklama.cncenter.cz/Online/Outstream</v>
      </c>
      <c r="X1069" s="3"/>
      <c r="Y1069" s="3"/>
      <c r="Z1069" s="3" t="str">
        <f ca="1">IFERROR(__xludf.DUMMYFUNCTION("""COMPUTED_VALUE"""),"podklady@cncenter.cz")</f>
        <v>podklady@cncenter.cz</v>
      </c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 t="str">
        <f ca="1">IFERROR(__xludf.DUMMYFUNCTION("""COMPUTED_VALUE"""),"cross-device")</f>
        <v>cross-device</v>
      </c>
      <c r="AO1069" s="3"/>
      <c r="AP1069" s="3"/>
      <c r="AQ1069" s="3"/>
      <c r="AR1069" s="3"/>
      <c r="AS1069" s="3"/>
      <c r="AT1069" s="3"/>
      <c r="AU1069" s="3" t="str">
        <f ca="1">IFERROR(__xludf.DUMMYFUNCTION("""COMPUTED_VALUE"""),"outstream")</f>
        <v>outstream</v>
      </c>
    </row>
    <row r="1070" spans="1:47" x14ac:dyDescent="0.3">
      <c r="A1070" s="3">
        <f ca="1"/>
        <v>2346826</v>
      </c>
      <c r="B1070" s="3" t="str">
        <f ca="1"/>
        <v>CZECH NEWS CENTER a. s.</v>
      </c>
      <c r="C1070" s="3" t="str">
        <f ca="1">IFERROR(__xludf.DUMMYFUNCTION("""COMPUTED_VALUE"""),"Živě")</f>
        <v>Živě</v>
      </c>
      <c r="D1070" s="4" t="str">
        <f ca="1">IFERROR(__xludf.DUMMYFUNCTION("""COMPUTED_VALUE"""),"https://zive.cz")</f>
        <v>https://zive.cz</v>
      </c>
      <c r="E1070" s="3" t="str">
        <f ca="1">IFERROR(__xludf.DUMMYFUNCTION("""COMPUTED_VALUE"""),"celý web")</f>
        <v>celý web</v>
      </c>
      <c r="F1070" s="4" t="str">
        <f ca="1">IFERROR(__xludf.DUMMYFUNCTION("""COMPUTED_VALUE"""),"https://zive.cz")</f>
        <v>https://zive.cz</v>
      </c>
      <c r="G1070" s="3" t="str">
        <f ca="1">IFERROR(__xludf.DUMMYFUNCTION("""COMPUTED_VALUE"""),"PR článek high season")</f>
        <v>PR článek high season</v>
      </c>
      <c r="H1070" s="3">
        <f ca="1">IFERROR(__xludf.DUMMYFUNCTION("""COMPUTED_VALUE"""),1)</f>
        <v>1</v>
      </c>
      <c r="I1070" s="5">
        <f ca="1">IFERROR(__xludf.DUMMYFUNCTION("""COMPUTED_VALUE"""),1)</f>
        <v>1</v>
      </c>
      <c r="J1070" s="5">
        <f ca="1">IFERROR(__xludf.DUMMYFUNCTION("""COMPUTED_VALUE"""),50000)</f>
        <v>50000</v>
      </c>
      <c r="K1070" s="3"/>
      <c r="L1070" s="3" t="str">
        <f ca="1">IFERROR(__xludf.DUMMYFUNCTION("""COMPUTED_VALUE"""),"Cost per instance")</f>
        <v>Cost per instance</v>
      </c>
      <c r="M1070" s="3"/>
      <c r="N1070" s="3"/>
      <c r="O1070" s="3"/>
      <c r="P1070" s="3"/>
      <c r="Q1070" s="3"/>
      <c r="R1070" s="3"/>
      <c r="S1070" s="3" t="str">
        <f ca="1">IFERROR(__xludf.DUMMYFUNCTION("""COMPUTED_VALUE"""),"100")</f>
        <v>100</v>
      </c>
      <c r="T1070" s="3"/>
      <c r="U1070" s="3" t="str">
        <f ca="1">IFERROR(__xludf.DUMMYFUNCTION("""COMPUTED_VALUE"""),"pr článek")</f>
        <v>pr článek</v>
      </c>
      <c r="V1070" s="3"/>
      <c r="W1070" s="4" t="str">
        <f ca="1">IFERROR(__xludf.DUMMYFUNCTION("""COMPUTED_VALUE"""),"https://reklama.cncenter.cz/?ads=PR%2520%25C4%258Dl%25C3%25A1nky")</f>
        <v>https://reklama.cncenter.cz/?ads=PR%2520%25C4%258Dl%25C3%25A1nky</v>
      </c>
      <c r="X1070" s="3"/>
      <c r="Y1070" s="3"/>
      <c r="Z1070" s="3" t="str">
        <f ca="1">IFERROR(__xludf.DUMMYFUNCTION("""COMPUTED_VALUE"""),"podklady@cncenter.cz")</f>
        <v>podklady@cncenter.cz</v>
      </c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 t="str">
        <f ca="1">IFERROR(__xludf.DUMMYFUNCTION("""COMPUTED_VALUE"""),"cross-device")</f>
        <v>cross-device</v>
      </c>
      <c r="AO1070" s="3"/>
      <c r="AP1070" s="3"/>
      <c r="AQ1070" s="3"/>
      <c r="AR1070" s="3"/>
      <c r="AS1070" s="3"/>
      <c r="AT1070" s="3"/>
      <c r="AU1070" s="3" t="str">
        <f ca="1">IFERROR(__xludf.DUMMYFUNCTION("""COMPUTED_VALUE"""),"PR článek")</f>
        <v>PR článek</v>
      </c>
    </row>
    <row r="1071" spans="1:47" x14ac:dyDescent="0.3">
      <c r="A1071" s="3">
        <f ca="1"/>
        <v>2346826</v>
      </c>
      <c r="B1071" s="3" t="str">
        <f ca="1"/>
        <v>CZECH NEWS CENTER a. s.</v>
      </c>
      <c r="C1071" s="3" t="str">
        <f ca="1">IFERROR(__xludf.DUMMYFUNCTION("""COMPUTED_VALUE"""),"Živě")</f>
        <v>Živě</v>
      </c>
      <c r="D1071" s="4" t="str">
        <f ca="1">IFERROR(__xludf.DUMMYFUNCTION("""COMPUTED_VALUE"""),"https://zive.cz")</f>
        <v>https://zive.cz</v>
      </c>
      <c r="E1071" s="3" t="str">
        <f ca="1">IFERROR(__xludf.DUMMYFUNCTION("""COMPUTED_VALUE"""),"celý web")</f>
        <v>celý web</v>
      </c>
      <c r="F1071" s="4" t="str">
        <f ca="1">IFERROR(__xludf.DUMMYFUNCTION("""COMPUTED_VALUE"""),"https://zive.cz")</f>
        <v>https://zive.cz</v>
      </c>
      <c r="G1071" s="3" t="str">
        <f ca="1">IFERROR(__xludf.DUMMYFUNCTION("""COMPUTED_VALUE"""),"Prodloužení existující microsite, bez úprav high season")</f>
        <v>Prodloužení existující microsite, bez úprav high season</v>
      </c>
      <c r="H1071" s="3">
        <f ca="1">IFERROR(__xludf.DUMMYFUNCTION("""COMPUTED_VALUE"""),1)</f>
        <v>1</v>
      </c>
      <c r="I1071" s="5">
        <f ca="1">IFERROR(__xludf.DUMMYFUNCTION("""COMPUTED_VALUE"""),1)</f>
        <v>1</v>
      </c>
      <c r="J1071" s="5">
        <f ca="1">IFERROR(__xludf.DUMMYFUNCTION("""COMPUTED_VALUE"""),15000)</f>
        <v>15000</v>
      </c>
      <c r="K1071" s="3"/>
      <c r="L1071" s="3" t="str">
        <f ca="1">IFERROR(__xludf.DUMMYFUNCTION("""COMPUTED_VALUE"""),"Cost per instance")</f>
        <v>Cost per instance</v>
      </c>
      <c r="M1071" s="3"/>
      <c r="N1071" s="3"/>
      <c r="O1071" s="3"/>
      <c r="P1071" s="3"/>
      <c r="Q1071" s="3"/>
      <c r="R1071" s="3"/>
      <c r="S1071" s="3" t="str">
        <f ca="1">IFERROR(__xludf.DUMMYFUNCTION("""COMPUTED_VALUE"""),"100")</f>
        <v>100</v>
      </c>
      <c r="T1071" s="3"/>
      <c r="U1071" s="3" t="str">
        <f ca="1">IFERROR(__xludf.DUMMYFUNCTION("""COMPUTED_VALUE"""),"microsite")</f>
        <v>microsite</v>
      </c>
      <c r="V1071" s="3"/>
      <c r="W1071" s="3"/>
      <c r="X1071" s="3"/>
      <c r="Y1071" s="3"/>
      <c r="Z1071" s="3" t="str">
        <f ca="1">IFERROR(__xludf.DUMMYFUNCTION("""COMPUTED_VALUE"""),"podklady@cncenter.cz")</f>
        <v>podklady@cncenter.cz</v>
      </c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 t="str">
        <f ca="1">IFERROR(__xludf.DUMMYFUNCTION("""COMPUTED_VALUE"""),"cross-device")</f>
        <v>cross-device</v>
      </c>
      <c r="AO1071" s="3"/>
      <c r="AP1071" s="3"/>
      <c r="AQ1071" s="3"/>
      <c r="AR1071" s="3"/>
      <c r="AS1071" s="3"/>
      <c r="AT1071" s="3"/>
      <c r="AU1071" s="3" t="str">
        <f ca="1">IFERROR(__xludf.DUMMYFUNCTION("""COMPUTED_VALUE"""),"Prodloužení existující microsite, bez úprav")</f>
        <v>Prodloužení existující microsite, bez úprav</v>
      </c>
    </row>
    <row r="1072" spans="1:47" x14ac:dyDescent="0.3">
      <c r="A1072" s="3">
        <f ca="1"/>
        <v>2346826</v>
      </c>
      <c r="B1072" s="3" t="str">
        <f ca="1"/>
        <v>CZECH NEWS CENTER a. s.</v>
      </c>
      <c r="C1072" s="3" t="str">
        <f ca="1">IFERROR(__xludf.DUMMYFUNCTION("""COMPUTED_VALUE"""),"Živě")</f>
        <v>Živě</v>
      </c>
      <c r="D1072" s="4" t="str">
        <f ca="1">IFERROR(__xludf.DUMMYFUNCTION("""COMPUTED_VALUE"""),"https://zive.cz")</f>
        <v>https://zive.cz</v>
      </c>
      <c r="E1072" s="3" t="str">
        <f ca="1">IFERROR(__xludf.DUMMYFUNCTION("""COMPUTED_VALUE"""),"celý web")</f>
        <v>celý web</v>
      </c>
      <c r="F1072" s="4" t="str">
        <f ca="1">IFERROR(__xludf.DUMMYFUNCTION("""COMPUTED_VALUE"""),"https://zive.cz")</f>
        <v>https://zive.cz</v>
      </c>
      <c r="G1072" s="3" t="str">
        <f ca="1">IFERROR(__xludf.DUMMYFUNCTION("""COMPUTED_VALUE"""),"Prodloužení existující microsite, bez úprav high season")</f>
        <v>Prodloužení existující microsite, bez úprav high season</v>
      </c>
      <c r="H1072" s="3">
        <f ca="1">IFERROR(__xludf.DUMMYFUNCTION("""COMPUTED_VALUE"""),1)</f>
        <v>1</v>
      </c>
      <c r="I1072" s="5">
        <f ca="1">IFERROR(__xludf.DUMMYFUNCTION("""COMPUTED_VALUE"""),1)</f>
        <v>1</v>
      </c>
      <c r="J1072" s="5">
        <f ca="1">IFERROR(__xludf.DUMMYFUNCTION("""COMPUTED_VALUE"""),15000)</f>
        <v>15000</v>
      </c>
      <c r="K1072" s="3"/>
      <c r="L1072" s="3" t="str">
        <f ca="1">IFERROR(__xludf.DUMMYFUNCTION("""COMPUTED_VALUE"""),"Cost per instance")</f>
        <v>Cost per instance</v>
      </c>
      <c r="M1072" s="3"/>
      <c r="N1072" s="3"/>
      <c r="O1072" s="3"/>
      <c r="P1072" s="3"/>
      <c r="Q1072" s="3"/>
      <c r="R1072" s="3"/>
      <c r="S1072" s="3" t="str">
        <f ca="1">IFERROR(__xludf.DUMMYFUNCTION("""COMPUTED_VALUE"""),"100")</f>
        <v>100</v>
      </c>
      <c r="T1072" s="3"/>
      <c r="U1072" s="3" t="str">
        <f ca="1">IFERROR(__xludf.DUMMYFUNCTION("""COMPUTED_VALUE"""),"microsite")</f>
        <v>microsite</v>
      </c>
      <c r="V1072" s="3"/>
      <c r="W1072" s="3"/>
      <c r="X1072" s="3"/>
      <c r="Y1072" s="3"/>
      <c r="Z1072" s="3" t="str">
        <f ca="1">IFERROR(__xludf.DUMMYFUNCTION("""COMPUTED_VALUE"""),"podklady@cncenter.cz")</f>
        <v>podklady@cncenter.cz</v>
      </c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 t="str">
        <f ca="1">IFERROR(__xludf.DUMMYFUNCTION("""COMPUTED_VALUE"""),"cross-device")</f>
        <v>cross-device</v>
      </c>
      <c r="AO1072" s="3"/>
      <c r="AP1072" s="3"/>
      <c r="AQ1072" s="3"/>
      <c r="AR1072" s="3"/>
      <c r="AS1072" s="3"/>
      <c r="AT1072" s="3"/>
      <c r="AU1072" s="3" t="str">
        <f ca="1">IFERROR(__xludf.DUMMYFUNCTION("""COMPUTED_VALUE"""),"Prodloužení existující microsite, bez úprav")</f>
        <v>Prodloužení existující microsite, bez úprav</v>
      </c>
    </row>
    <row r="1073" spans="1:47" x14ac:dyDescent="0.3">
      <c r="A1073" s="3">
        <f ca="1"/>
        <v>2346826</v>
      </c>
      <c r="B1073" s="3" t="str">
        <f ca="1"/>
        <v>CZECH NEWS CENTER a. s.</v>
      </c>
      <c r="C1073" s="3" t="str">
        <f ca="1">IFERROR(__xludf.DUMMYFUNCTION("""COMPUTED_VALUE"""),"Živě")</f>
        <v>Živě</v>
      </c>
      <c r="D1073" s="4" t="str">
        <f ca="1">IFERROR(__xludf.DUMMYFUNCTION("""COMPUTED_VALUE"""),"https://zive.cz")</f>
        <v>https://zive.cz</v>
      </c>
      <c r="E1073" s="3" t="str">
        <f ca="1">IFERROR(__xludf.DUMMYFUNCTION("""COMPUTED_VALUE"""),"celý web")</f>
        <v>celý web</v>
      </c>
      <c r="F1073" s="4" t="str">
        <f ca="1">IFERROR(__xludf.DUMMYFUNCTION("""COMPUTED_VALUE"""),"https://zive.cz")</f>
        <v>https://zive.cz</v>
      </c>
      <c r="G1073" s="3" t="str">
        <f ca="1">IFERROR(__xludf.DUMMYFUNCTION("""COMPUTED_VALUE"""),"Prodloužení existující microsite, bez úprav high season")</f>
        <v>Prodloužení existující microsite, bez úprav high season</v>
      </c>
      <c r="H1073" s="3">
        <f ca="1">IFERROR(__xludf.DUMMYFUNCTION("""COMPUTED_VALUE"""),1)</f>
        <v>1</v>
      </c>
      <c r="I1073" s="5">
        <f ca="1">IFERROR(__xludf.DUMMYFUNCTION("""COMPUTED_VALUE"""),1)</f>
        <v>1</v>
      </c>
      <c r="J1073" s="5">
        <f ca="1">IFERROR(__xludf.DUMMYFUNCTION("""COMPUTED_VALUE"""),15000)</f>
        <v>15000</v>
      </c>
      <c r="K1073" s="3"/>
      <c r="L1073" s="3" t="str">
        <f ca="1">IFERROR(__xludf.DUMMYFUNCTION("""COMPUTED_VALUE"""),"Cost per instance")</f>
        <v>Cost per instance</v>
      </c>
      <c r="M1073" s="3"/>
      <c r="N1073" s="3"/>
      <c r="O1073" s="3"/>
      <c r="P1073" s="3"/>
      <c r="Q1073" s="3"/>
      <c r="R1073" s="3"/>
      <c r="S1073" s="3" t="str">
        <f ca="1">IFERROR(__xludf.DUMMYFUNCTION("""COMPUTED_VALUE"""),"100")</f>
        <v>100</v>
      </c>
      <c r="T1073" s="3"/>
      <c r="U1073" s="3" t="str">
        <f ca="1">IFERROR(__xludf.DUMMYFUNCTION("""COMPUTED_VALUE"""),"microsite")</f>
        <v>microsite</v>
      </c>
      <c r="V1073" s="3"/>
      <c r="W1073" s="3"/>
      <c r="X1073" s="3"/>
      <c r="Y1073" s="3"/>
      <c r="Z1073" s="3" t="str">
        <f ca="1">IFERROR(__xludf.DUMMYFUNCTION("""COMPUTED_VALUE"""),"podklady@cncenter.cz")</f>
        <v>podklady@cncenter.cz</v>
      </c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 t="str">
        <f ca="1">IFERROR(__xludf.DUMMYFUNCTION("""COMPUTED_VALUE"""),"cross-device")</f>
        <v>cross-device</v>
      </c>
      <c r="AO1073" s="3"/>
      <c r="AP1073" s="3"/>
      <c r="AQ1073" s="3"/>
      <c r="AR1073" s="3"/>
      <c r="AS1073" s="3"/>
      <c r="AT1073" s="3"/>
      <c r="AU1073" s="3" t="str">
        <f ca="1">IFERROR(__xludf.DUMMYFUNCTION("""COMPUTED_VALUE"""),"Prodloužení existující microsite, bez úprav")</f>
        <v>Prodloužení existující microsite, bez úprav</v>
      </c>
    </row>
    <row r="1074" spans="1:47" x14ac:dyDescent="0.3">
      <c r="A1074" s="3">
        <f ca="1"/>
        <v>2346826</v>
      </c>
      <c r="B1074" s="3" t="str">
        <f ca="1"/>
        <v>CZECH NEWS CENTER a. s.</v>
      </c>
      <c r="C1074" s="3" t="str">
        <f ca="1">IFERROR(__xludf.DUMMYFUNCTION("""COMPUTED_VALUE"""),"Živě")</f>
        <v>Živě</v>
      </c>
      <c r="D1074" s="4" t="str">
        <f ca="1">IFERROR(__xludf.DUMMYFUNCTION("""COMPUTED_VALUE"""),"https://zive.cz")</f>
        <v>https://zive.cz</v>
      </c>
      <c r="E1074" s="3" t="str">
        <f ca="1">IFERROR(__xludf.DUMMYFUNCTION("""COMPUTED_VALUE"""),"celý web")</f>
        <v>celý web</v>
      </c>
      <c r="F1074" s="4" t="str">
        <f ca="1">IFERROR(__xludf.DUMMYFUNCTION("""COMPUTED_VALUE"""),"https://zive.cz")</f>
        <v>https://zive.cz</v>
      </c>
      <c r="G1074" s="3" t="str">
        <f ca="1">IFERROR(__xludf.DUMMYFUNCTION("""COMPUTED_VALUE"""),"videospot - max. 30 sec. / bumper high season")</f>
        <v>videospot - max. 30 sec. / bumper high season</v>
      </c>
      <c r="H1074" s="3">
        <f ca="1">IFERROR(__xludf.DUMMYFUNCTION("""COMPUTED_VALUE"""),7)</f>
        <v>7</v>
      </c>
      <c r="I1074" s="5">
        <f ca="1">IFERROR(__xludf.DUMMYFUNCTION("""COMPUTED_VALUE"""),1000)</f>
        <v>1000</v>
      </c>
      <c r="J1074" s="5">
        <f ca="1">IFERROR(__xludf.DUMMYFUNCTION("""COMPUTED_VALUE"""),1340)</f>
        <v>1340</v>
      </c>
      <c r="K1074" s="3"/>
      <c r="L1074" s="3" t="str">
        <f ca="1">IFERROR(__xludf.DUMMYFUNCTION("""COMPUTED_VALUE"""),"Cost per period")</f>
        <v>Cost per period</v>
      </c>
      <c r="M1074" s="3"/>
      <c r="N1074" s="3"/>
      <c r="O1074" s="3" t="str">
        <f ca="1">IFERROR(__xludf.DUMMYFUNCTION("""COMPUTED_VALUE"""),"1280")</f>
        <v>1280</v>
      </c>
      <c r="P1074" s="3" t="str">
        <f ca="1">IFERROR(__xludf.DUMMYFUNCTION("""COMPUTED_VALUE"""),"720")</f>
        <v>720</v>
      </c>
      <c r="Q1074" s="3" t="str">
        <f ca="1">IFERROR(__xludf.DUMMYFUNCTION("""COMPUTED_VALUE"""),"16:9 / umístění po domluvě dle možností")</f>
        <v>16:9 / umístění po domluvě dle možností</v>
      </c>
      <c r="R1074" s="3" t="str">
        <f ca="1">IFERROR(__xludf.DUMMYFUNCTION("""COMPUTED_VALUE"""),"přeskočení po 7 sekundách")</f>
        <v>přeskočení po 7 sekundách</v>
      </c>
      <c r="S1074" s="3" t="str">
        <f ca="1">IFERROR(__xludf.DUMMYFUNCTION("""COMPUTED_VALUE"""),"100")</f>
        <v>100</v>
      </c>
      <c r="T1074" s="3"/>
      <c r="U1074" s="3" t="str">
        <f ca="1">IFERROR(__xludf.DUMMYFUNCTION("""COMPUTED_VALUE"""),"videospot")</f>
        <v>videospot</v>
      </c>
      <c r="V1074" s="3"/>
      <c r="W1074" s="4" t="str">
        <f ca="1">IFERROR(__xludf.DUMMYFUNCTION("""COMPUTED_VALUE"""),"https://reklama.cncenter.cz/Online/Bumper")</f>
        <v>https://reklama.cncenter.cz/Online/Bumper</v>
      </c>
      <c r="X1074" s="3"/>
      <c r="Y1074" s="3"/>
      <c r="Z1074" s="3" t="str">
        <f ca="1">IFERROR(__xludf.DUMMYFUNCTION("""COMPUTED_VALUE"""),"podklady@cncenter.cz")</f>
        <v>podklady@cncenter.cz</v>
      </c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 t="str">
        <f ca="1">IFERROR(__xludf.DUMMYFUNCTION("""COMPUTED_VALUE"""),"cross-device")</f>
        <v>cross-device</v>
      </c>
      <c r="AO1074" s="3"/>
      <c r="AP1074" s="3"/>
      <c r="AQ1074" s="3"/>
      <c r="AR1074" s="3"/>
      <c r="AS1074" s="3"/>
      <c r="AT1074" s="3"/>
      <c r="AU1074" s="3" t="str">
        <f ca="1">IFERROR(__xludf.DUMMYFUNCTION("""COMPUTED_VALUE"""),"videospot - max. 30 sec. / bumper")</f>
        <v>videospot - max. 30 sec. / bumper</v>
      </c>
    </row>
  </sheetData>
  <hyperlinks>
    <hyperlink ref="D2" r:id="rId1" display="https://abecedazahrady.dama.cz/"/>
    <hyperlink ref="F2" r:id="rId2" display="https://abecedazahrady.dama.cz/"/>
    <hyperlink ref="D3" r:id="rId3" display="https://abecedazahrady.dama.cz/"/>
    <hyperlink ref="F3" r:id="rId4" display="https://abecedazahrady.dama.cz/"/>
    <hyperlink ref="W3" r:id="rId5" display="https://reklama.cncenter.cz/Online/billboard-bottom"/>
    <hyperlink ref="D4" r:id="rId6" display="https://abecedazahrady.dama.cz/"/>
    <hyperlink ref="F4" r:id="rId7" display="https://abecedazahrady.dama.cz/"/>
    <hyperlink ref="W4" r:id="rId8" display="https://reklama.cncenter.cz/Online/branding-cross-device"/>
    <hyperlink ref="D5" r:id="rId9" display="https://abecedazahrady.dama.cz/"/>
    <hyperlink ref="F5" r:id="rId10" display="https://abecedazahrady.dama.cz/"/>
    <hyperlink ref="W5" r:id="rId11" display="https://reklama.cncenter.cz/Online/branding"/>
    <hyperlink ref="D6" r:id="rId12" display="https://abecedazahrady.dama.cz/"/>
    <hyperlink ref="F6" r:id="rId13" display="https://abecedazahrady.dama.cz/"/>
    <hyperlink ref="W6" r:id="rId14" display="https://reklama.cncenter.cz/Online/billboard-bottom"/>
    <hyperlink ref="D7" r:id="rId15" display="https://abecedazahrady.dama.cz/"/>
    <hyperlink ref="F7" r:id="rId16" display="https://abecedazahrady.dama.cz/"/>
    <hyperlink ref="W7" r:id="rId17" display="https://reklama.cncenter.cz/Online/branding-cross-device"/>
    <hyperlink ref="D8" r:id="rId18" display="https://abecedazahrady.dama.cz/"/>
    <hyperlink ref="F8" r:id="rId19" display="https://abecedazahrady.dama.cz/"/>
    <hyperlink ref="W8" r:id="rId20" display="https://reklama.cncenter.cz/Online/branding"/>
    <hyperlink ref="D9" r:id="rId21" display="https://abecedazahrady.dama.cz/"/>
    <hyperlink ref="F9" r:id="rId22" display="https://abecedazahrady.dama.cz/"/>
    <hyperlink ref="W9" r:id="rId23" display="https://reklama.cncenter.cz/Online/double-skyscraper"/>
    <hyperlink ref="D10" r:id="rId24" display="https://abecedazahrady.dama.cz/"/>
    <hyperlink ref="F10" r:id="rId25" display="https://abecedazahrady.dama.cz/"/>
    <hyperlink ref="W10" r:id="rId26" display="https://reklama.cncenter.cz/Online/mobilni-interscroller"/>
    <hyperlink ref="D11" r:id="rId27" display="https://abecedazahrady.dama.cz/"/>
    <hyperlink ref="F11" r:id="rId28" display="https://abecedazahrady.dama.cz/"/>
    <hyperlink ref="W11" r:id="rId29" display="https://reklama.cncenter.cz/Online/mobilni-slide-up"/>
    <hyperlink ref="D12" r:id="rId30" display="https://abecedazahrady.dama.cz/"/>
    <hyperlink ref="F12" r:id="rId31" display="https://abecedazahrady.dama.cz/"/>
    <hyperlink ref="W12" r:id="rId32" display="https://reklama.cncenter.cz/Online/mobilni-vineta"/>
    <hyperlink ref="D13" r:id="rId33" display="https://abecedazahrady.dama.cz/"/>
    <hyperlink ref="F13" r:id="rId34" display="https://abecedazahrady.dama.cz/"/>
    <hyperlink ref="W13" r:id="rId35" display="https://reklama.cncenter.cz/Online/nativni-rectangle-cross-device"/>
    <hyperlink ref="D14" r:id="rId36" display="https://abecedazahrady.dama.cz/"/>
    <hyperlink ref="F14" r:id="rId37" display="https://abecedazahrady.dama.cz/"/>
    <hyperlink ref="W14" r:id="rId38" display="https://reklama.cncenter.cz/Online/Outstream"/>
    <hyperlink ref="D15" r:id="rId39" display="https://abecedazahrady.dama.cz/"/>
    <hyperlink ref="F15" r:id="rId40" display="https://abecedazahrady.dama.cz/"/>
    <hyperlink ref="D16" r:id="rId41" display="https://abecedazahrady.dama.cz/"/>
    <hyperlink ref="F16" r:id="rId42" display="https://abecedazahrady.dama.cz/"/>
    <hyperlink ref="W16" r:id="rId43" display="https://reklama.cncenter.cz/Online/double-skyscraper"/>
    <hyperlink ref="D17" r:id="rId44" display="https://abecedazahrady.dama.cz/"/>
    <hyperlink ref="F17" r:id="rId45" display="https://abecedazahrady.dama.cz/"/>
    <hyperlink ref="W17" r:id="rId46" display="https://reklama.cncenter.cz/Online/mobilni-interscroller"/>
    <hyperlink ref="D18" r:id="rId47" display="https://abecedazahrady.dama.cz/"/>
    <hyperlink ref="F18" r:id="rId48" display="https://abecedazahrady.dama.cz/"/>
    <hyperlink ref="W18" r:id="rId49" display="https://reklama.cncenter.cz/Online/mobilni-slide-up"/>
    <hyperlink ref="D19" r:id="rId50" display="https://abecedazahrady.dama.cz/"/>
    <hyperlink ref="F19" r:id="rId51" display="https://abecedazahrady.dama.cz/"/>
    <hyperlink ref="W19" r:id="rId52" display="https://reklama.cncenter.cz/Online/mobilni-vineta"/>
    <hyperlink ref="D20" r:id="rId53" display="https://abecedazahrady.dama.cz/"/>
    <hyperlink ref="F20" r:id="rId54" display="https://abecedazahrady.dama.cz/"/>
    <hyperlink ref="D21" r:id="rId55" display="https://abecedazahrady.dama.cz/"/>
    <hyperlink ref="F21" r:id="rId56" display="https://abecedazahrady.dama.cz/"/>
    <hyperlink ref="W21" r:id="rId57" display="https://reklama.cncenter.cz/Online/nativni-rectangle-cross-device"/>
    <hyperlink ref="D22" r:id="rId58" display="https://abecedazahrady.dama.cz/"/>
    <hyperlink ref="F22" r:id="rId59" display="https://abecedazahrady.dama.cz/"/>
    <hyperlink ref="W22" r:id="rId60" display="https://reklama.cncenter.cz/Online/Outstream"/>
    <hyperlink ref="D23" r:id="rId61" display="https://abecedazahrady.dama.cz/"/>
    <hyperlink ref="F23" r:id="rId62" display="https://abecedazahrady.dama.cz/"/>
    <hyperlink ref="W23" r:id="rId63" display="https://reklama.cncenter.cz/?ads=PR%2520%25C4%258Dl%25C3%25A1nky"/>
    <hyperlink ref="D24" r:id="rId64" display="https://abecedazahrady.dama.cz/"/>
    <hyperlink ref="F24" r:id="rId65" display="https://abecedazahrady.dama.cz/"/>
    <hyperlink ref="D25" r:id="rId66" display="https://abecedazahrady.dama.cz/"/>
    <hyperlink ref="F25" r:id="rId67" display="https://abecedazahrady.dama.cz/"/>
    <hyperlink ref="D26" r:id="rId68" display="https://abecedazahrady.dama.cz/"/>
    <hyperlink ref="F26" r:id="rId69" display="https://abecedazahrady.dama.cz/"/>
    <hyperlink ref="D27" r:id="rId70" display="https://abicko.cz/"/>
    <hyperlink ref="F27" r:id="rId71" display="https://abicko.cz/"/>
    <hyperlink ref="D28" r:id="rId72" display="https://abicko.cz/"/>
    <hyperlink ref="F28" r:id="rId73" display="https://abicko.cz/"/>
    <hyperlink ref="W28" r:id="rId74" display="https://reklama.cncenter.cz/Online/billboard-bottom"/>
    <hyperlink ref="D29" r:id="rId75" display="https://abicko.cz/"/>
    <hyperlink ref="F29" r:id="rId76" display="https://abicko.cz/"/>
    <hyperlink ref="W29" r:id="rId77" display="https://reklama.cncenter.cz/Online/branding-cross-device"/>
    <hyperlink ref="D30" r:id="rId78" display="https://abicko.cz/"/>
    <hyperlink ref="F30" r:id="rId79" display="https://abicko.cz/"/>
    <hyperlink ref="W30" r:id="rId80" display="https://reklama.cncenter.cz/Online/branding"/>
    <hyperlink ref="D31" r:id="rId81" display="https://abicko.cz/"/>
    <hyperlink ref="F31" r:id="rId82" display="https://abicko.cz/"/>
    <hyperlink ref="W31" r:id="rId83" display="https://reklama.cncenter.cz/Online/billboard-bottom"/>
    <hyperlink ref="D32" r:id="rId84" display="https://abicko.cz/"/>
    <hyperlink ref="F32" r:id="rId85" display="https://abicko.cz/"/>
    <hyperlink ref="W32" r:id="rId86" display="https://reklama.cncenter.cz/Online/branding-cross-device"/>
    <hyperlink ref="D33" r:id="rId87" display="https://abicko.cz/"/>
    <hyperlink ref="F33" r:id="rId88" display="https://abicko.cz/"/>
    <hyperlink ref="W33" r:id="rId89" display="https://reklama.cncenter.cz/Online/branding"/>
    <hyperlink ref="D34" r:id="rId90" display="https://abicko.cz/"/>
    <hyperlink ref="F34" r:id="rId91" display="https://abicko.cz/"/>
    <hyperlink ref="W34" r:id="rId92" display="https://reklama.cncenter.cz/Online/double-skyscraper"/>
    <hyperlink ref="D35" r:id="rId93" display="https://abicko.cz/"/>
    <hyperlink ref="F35" r:id="rId94" display="https://abicko.cz/"/>
    <hyperlink ref="W35" r:id="rId95" display="https://reklama.cncenter.cz/Online/mobilni-interscroller"/>
    <hyperlink ref="D36" r:id="rId96" display="https://abicko.cz/"/>
    <hyperlink ref="F36" r:id="rId97" display="https://abicko.cz/"/>
    <hyperlink ref="W36" r:id="rId98" display="https://reklama.cncenter.cz/Online/mobilni-slide-up"/>
    <hyperlink ref="D37" r:id="rId99" display="https://abicko.cz/"/>
    <hyperlink ref="F37" r:id="rId100" display="https://abicko.cz/"/>
    <hyperlink ref="W37" r:id="rId101" display="https://reklama.cncenter.cz/Online/mobilni-vineta"/>
    <hyperlink ref="D38" r:id="rId102" display="https://abicko.cz/"/>
    <hyperlink ref="F38" r:id="rId103" display="https://abicko.cz/"/>
    <hyperlink ref="W38" r:id="rId104" display="https://reklama.cncenter.cz/Online/nativni-PR-premium"/>
    <hyperlink ref="D39" r:id="rId105" display="https://abicko.cz/"/>
    <hyperlink ref="F39" r:id="rId106" display="https://abicko.cz/"/>
    <hyperlink ref="W39" r:id="rId107" display="https://reklama.cncenter.cz/Online/nativni-rectangle-cross-device"/>
    <hyperlink ref="D40" r:id="rId108" display="https://abicko.cz/"/>
    <hyperlink ref="F40" r:id="rId109" display="https://abicko.cz/"/>
    <hyperlink ref="W40" r:id="rId110" display="https://reklama.cncenter.cz/Online/Outstream"/>
    <hyperlink ref="D41" r:id="rId111" display="https://abicko.cz/"/>
    <hyperlink ref="F41" r:id="rId112" display="https://abicko.cz/"/>
    <hyperlink ref="W41" r:id="rId113" display="https://reklama.cncenter.cz/Online/Bumper"/>
    <hyperlink ref="D42" r:id="rId114" display="https://abicko.cz/"/>
    <hyperlink ref="F42" r:id="rId115" display="https://abicko.cz/"/>
    <hyperlink ref="D43" r:id="rId116" display="https://abicko.cz/"/>
    <hyperlink ref="F43" r:id="rId117" display="https://abicko.cz/"/>
    <hyperlink ref="W43" r:id="rId118" display="https://reklama.cncenter.cz/Online/double-skyscraper"/>
    <hyperlink ref="D44" r:id="rId119" display="https://abicko.cz/"/>
    <hyperlink ref="F44" r:id="rId120" display="https://abicko.cz/"/>
    <hyperlink ref="W44" r:id="rId121" display="https://reklama.cncenter.cz/Online/mobilni-interscroller"/>
    <hyperlink ref="D45" r:id="rId122" display="https://abicko.cz/"/>
    <hyperlink ref="F45" r:id="rId123" display="https://abicko.cz/"/>
    <hyperlink ref="W45" r:id="rId124" display="https://reklama.cncenter.cz/Online/mobilni-slide-up"/>
    <hyperlink ref="D46" r:id="rId125" display="https://abicko.cz/"/>
    <hyperlink ref="F46" r:id="rId126" display="https://abicko.cz/"/>
    <hyperlink ref="W46" r:id="rId127" display="https://reklama.cncenter.cz/Online/mobilni-vineta"/>
    <hyperlink ref="D47" r:id="rId128" display="https://abicko.cz/"/>
    <hyperlink ref="F47" r:id="rId129" display="https://abicko.cz/"/>
    <hyperlink ref="D48" r:id="rId130" display="https://abicko.cz/"/>
    <hyperlink ref="F48" r:id="rId131" display="https://abicko.cz/"/>
    <hyperlink ref="W48" r:id="rId132" display="https://reklama.cncenter.cz/Online/nativni-PR-premium"/>
    <hyperlink ref="D49" r:id="rId133" display="https://abicko.cz/"/>
    <hyperlink ref="F49" r:id="rId134" display="https://abicko.cz/"/>
    <hyperlink ref="W49" r:id="rId135" display="https://reklama.cncenter.cz/Online/nativni-rectangle-cross-device"/>
    <hyperlink ref="D50" r:id="rId136" display="https://abicko.cz/"/>
    <hyperlink ref="F50" r:id="rId137" display="https://abicko.cz/"/>
    <hyperlink ref="W50" r:id="rId138" display="https://reklama.cncenter.cz/Online/Outstream"/>
    <hyperlink ref="D51" r:id="rId139" display="https://abicko.cz/"/>
    <hyperlink ref="F51" r:id="rId140" display="https://abicko.cz/"/>
    <hyperlink ref="W51" r:id="rId141" display="https://reklama.cncenter.cz/?ads=PR%2520%25C4%258Dl%25C3%25A1nky"/>
    <hyperlink ref="D52" r:id="rId142" display="https://abicko.cz/"/>
    <hyperlink ref="F52" r:id="rId143" display="https://abicko.cz/"/>
    <hyperlink ref="D53" r:id="rId144" display="https://abicko.cz/"/>
    <hyperlink ref="F53" r:id="rId145" display="https://abicko.cz/"/>
    <hyperlink ref="D54" r:id="rId146" display="https://abicko.cz/"/>
    <hyperlink ref="F54" r:id="rId147" display="https://abicko.cz/"/>
    <hyperlink ref="D55" r:id="rId148" display="https://abicko.cz/"/>
    <hyperlink ref="F55" r:id="rId149" display="https://abicko.cz/"/>
    <hyperlink ref="W55" r:id="rId150" display="https://reklama.cncenter.cz/Online/Bumper"/>
    <hyperlink ref="W56" r:id="rId151" display="https://www.activegroup.cz/reklama"/>
    <hyperlink ref="W57" r:id="rId152" display="https://www.activegroup.cz/reklama"/>
    <hyperlink ref="W58" r:id="rId153" display="https://www.activegroup.cz/reklama"/>
    <hyperlink ref="W59" r:id="rId154" display="https://www.activegroup.cz/reklama"/>
    <hyperlink ref="W60" r:id="rId155" display="https://www.activegroup.cz/reklama"/>
    <hyperlink ref="W61" r:id="rId156" display="https://www.activegroup.cz/reklama"/>
    <hyperlink ref="W62" r:id="rId157" display="https://www.activegroup.cz/reklama"/>
    <hyperlink ref="D63" r:id="rId158" display="https://ahaonline.cz/"/>
    <hyperlink ref="F63" r:id="rId159" display="https://ahaonline.cz/"/>
    <hyperlink ref="D64" r:id="rId160" display="https://ahaonline.cz/"/>
    <hyperlink ref="F64" r:id="rId161" display="https://ahaonline.cz/"/>
    <hyperlink ref="W64" r:id="rId162" display="https://reklama.cncenter.cz/Online/billboard-bottom"/>
    <hyperlink ref="D65" r:id="rId163" display="https://ahaonline.cz/"/>
    <hyperlink ref="F65" r:id="rId164" display="https://ahaonline.cz/"/>
    <hyperlink ref="W65" r:id="rId165" display="https://reklama.cncenter.cz/Online/branding-cross-device"/>
    <hyperlink ref="D66" r:id="rId166" display="https://ahaonline.cz/"/>
    <hyperlink ref="F66" r:id="rId167" display="https://ahaonline.cz/"/>
    <hyperlink ref="W66" r:id="rId168" display="https://reklama.cncenter.cz/Online/branding"/>
    <hyperlink ref="D67" r:id="rId169" display="https://ahaonline.cz/"/>
    <hyperlink ref="F67" r:id="rId170" display="https://ahaonline.cz/"/>
    <hyperlink ref="W67" r:id="rId171" display="https://reklama.cncenter.cz/Online/billboard-bottom"/>
    <hyperlink ref="D68" r:id="rId172" display="https://ahaonline.cz/"/>
    <hyperlink ref="F68" r:id="rId173" display="https://ahaonline.cz/"/>
    <hyperlink ref="W68" r:id="rId174" display="https://reklama.cncenter.cz/Online/branding-cross-device"/>
    <hyperlink ref="D69" r:id="rId175" display="https://ahaonline.cz/"/>
    <hyperlink ref="F69" r:id="rId176" display="https://ahaonline.cz/"/>
    <hyperlink ref="W69" r:id="rId177" display="https://reklama.cncenter.cz/Online/branding"/>
    <hyperlink ref="D70" r:id="rId178" display="https://ahaonline.cz/"/>
    <hyperlink ref="F70" r:id="rId179" display="https://ahaonline.cz/"/>
    <hyperlink ref="W70" r:id="rId180" display="https://reklama.cncenter.cz/Online/double-skyscraper"/>
    <hyperlink ref="D71" r:id="rId181" display="https://ahaonline.cz/"/>
    <hyperlink ref="F71" r:id="rId182" display="https://ahaonline.cz/"/>
    <hyperlink ref="W71" r:id="rId183" display="https://reklama.cncenter.cz/Online/mobilni-interscroller"/>
    <hyperlink ref="D72" r:id="rId184" display="https://ahaonline.cz/"/>
    <hyperlink ref="F72" r:id="rId185" display="https://ahaonline.cz/"/>
    <hyperlink ref="W72" r:id="rId186" display="https://reklama.cncenter.cz/Online/mobilni-slide-up"/>
    <hyperlink ref="D73" r:id="rId187" display="https://ahaonline.cz/"/>
    <hyperlink ref="F73" r:id="rId188" display="https://ahaonline.cz/"/>
    <hyperlink ref="W73" r:id="rId189" display="https://reklama.cncenter.cz/Online/mobilni-vineta"/>
    <hyperlink ref="D74" r:id="rId190" display="https://ahaonline.cz/"/>
    <hyperlink ref="F74" r:id="rId191" display="https://ahaonline.cz/"/>
    <hyperlink ref="W74" r:id="rId192" display="https://reklama.cncenter.cz/Online/nativni-PR-premium"/>
    <hyperlink ref="D75" r:id="rId193" display="https://ahaonline.cz/"/>
    <hyperlink ref="F75" r:id="rId194" display="https://ahaonline.cz/"/>
    <hyperlink ref="W75" r:id="rId195" display="https://reklama.cncenter.cz/Online/nativni-rectangle-cross-device"/>
    <hyperlink ref="D76" r:id="rId196" display="https://ahaonline.cz/"/>
    <hyperlink ref="F76" r:id="rId197" display="https://ahaonline.cz/"/>
    <hyperlink ref="W76" r:id="rId198" display="https://reklama.cncenter.cz/Online/Outstream"/>
    <hyperlink ref="D77" r:id="rId199" display="https://ahaonline.cz/"/>
    <hyperlink ref="F77" r:id="rId200" display="https://ahaonline.cz/"/>
    <hyperlink ref="W77" r:id="rId201" display="https://reklama.cncenter.cz/Online/Bumper"/>
    <hyperlink ref="D78" r:id="rId202" display="https://ahaonline.cz/"/>
    <hyperlink ref="F78" r:id="rId203" display="https://ahaonline.cz/"/>
    <hyperlink ref="D79" r:id="rId204" display="https://ahaonline.cz/"/>
    <hyperlink ref="F79" r:id="rId205" display="https://ahaonline.cz/"/>
    <hyperlink ref="W79" r:id="rId206" display="https://reklama.cncenter.cz/Online/double-skyscraper"/>
    <hyperlink ref="D80" r:id="rId207" display="https://ahaonline.cz/"/>
    <hyperlink ref="F80" r:id="rId208" display="https://ahaonline.cz/"/>
    <hyperlink ref="W80" r:id="rId209" display="https://reklama.cncenter.cz/Online/mobilni-interscroller"/>
    <hyperlink ref="D81" r:id="rId210" display="https://ahaonline.cz/"/>
    <hyperlink ref="F81" r:id="rId211" display="https://ahaonline.cz/"/>
    <hyperlink ref="W81" r:id="rId212" display="https://reklama.cncenter.cz/Online/mobilni-slide-up"/>
    <hyperlink ref="D82" r:id="rId213" display="https://ahaonline.cz/"/>
    <hyperlink ref="F82" r:id="rId214" display="https://ahaonline.cz/"/>
    <hyperlink ref="W82" r:id="rId215" display="https://reklama.cncenter.cz/Online/mobilni-vineta"/>
    <hyperlink ref="D83" r:id="rId216" display="https://ahaonline.cz/"/>
    <hyperlink ref="F83" r:id="rId217" display="https://ahaonline.cz/"/>
    <hyperlink ref="D84" r:id="rId218" display="https://ahaonline.cz/"/>
    <hyperlink ref="F84" r:id="rId219" display="https://ahaonline.cz/"/>
    <hyperlink ref="W84" r:id="rId220" display="https://reklama.cncenter.cz/Online/nativni-PR-premium"/>
    <hyperlink ref="D85" r:id="rId221" display="https://ahaonline.cz/"/>
    <hyperlink ref="F85" r:id="rId222" display="https://ahaonline.cz/"/>
    <hyperlink ref="W85" r:id="rId223" display="https://reklama.cncenter.cz/Online/nativni-rectangle-cross-device"/>
    <hyperlink ref="D86" r:id="rId224" display="https://ahaonline.cz/"/>
    <hyperlink ref="F86" r:id="rId225" display="https://ahaonline.cz/"/>
    <hyperlink ref="W86" r:id="rId226" display="https://reklama.cncenter.cz/Online/Outstream"/>
    <hyperlink ref="D87" r:id="rId227" display="https://ahaonline.cz/"/>
    <hyperlink ref="F87" r:id="rId228" display="https://ahaonline.cz/"/>
    <hyperlink ref="W87" r:id="rId229" display="https://reklama.cncenter.cz/?ads=PR%2520%25C4%258Dl%25C3%25A1nky"/>
    <hyperlink ref="D88" r:id="rId230" display="https://ahaonline.cz/"/>
    <hyperlink ref="F88" r:id="rId231" display="https://ahaonline.cz/"/>
    <hyperlink ref="D89" r:id="rId232" display="https://ahaonline.cz/"/>
    <hyperlink ref="F89" r:id="rId233" display="https://ahaonline.cz/"/>
    <hyperlink ref="D90" r:id="rId234" display="https://ahaonline.cz/"/>
    <hyperlink ref="F90" r:id="rId235" display="https://ahaonline.cz/"/>
    <hyperlink ref="D91" r:id="rId236" display="https://ahaonline.cz/"/>
    <hyperlink ref="F91" r:id="rId237" display="https://ahaonline.cz/"/>
    <hyperlink ref="W91" r:id="rId238" display="https://reklama.cncenter.cz/Online/Bumper"/>
    <hyperlink ref="D92" r:id="rId239" display="https://auto.cz/"/>
    <hyperlink ref="F92" r:id="rId240" display="https://auto.cz/"/>
    <hyperlink ref="D93" r:id="rId241" display="https://auto.cz/"/>
    <hyperlink ref="F93" r:id="rId242" display="https://auto.cz/"/>
    <hyperlink ref="W93" r:id="rId243" display="https://reklama.cncenter.cz/Online/billboard-bottom"/>
    <hyperlink ref="D94" r:id="rId244" display="https://auto.cz/"/>
    <hyperlink ref="F94" r:id="rId245" display="https://auto.cz/"/>
    <hyperlink ref="W94" r:id="rId246" display="https://reklama.cncenter.cz/Online/branding-cross-device"/>
    <hyperlink ref="D95" r:id="rId247" display="https://auto.cz/"/>
    <hyperlink ref="F95" r:id="rId248" display="https://auto.cz/"/>
    <hyperlink ref="W95" r:id="rId249" display="https://reklama.cncenter.cz/Online/branding"/>
    <hyperlink ref="D96" r:id="rId250" display="https://auto.cz/"/>
    <hyperlink ref="F96" r:id="rId251" display="https://auto.cz/"/>
    <hyperlink ref="W96" r:id="rId252" display="https://reklama.cncenter.cz/Online/billboard-bottom"/>
    <hyperlink ref="D97" r:id="rId253" display="https://auto.cz/"/>
    <hyperlink ref="F97" r:id="rId254" display="https://auto.cz/"/>
    <hyperlink ref="W97" r:id="rId255" display="https://reklama.cncenter.cz/Online/branding-cross-device"/>
    <hyperlink ref="D98" r:id="rId256" display="https://auto.cz/"/>
    <hyperlink ref="F98" r:id="rId257" display="https://auto.cz/"/>
    <hyperlink ref="W98" r:id="rId258" display="https://reklama.cncenter.cz/Online/branding"/>
    <hyperlink ref="D99" r:id="rId259" display="https://auto.cz/"/>
    <hyperlink ref="F99" r:id="rId260" display="https://auto.cz/"/>
    <hyperlink ref="W99" r:id="rId261" display="https://reklama.cncenter.cz/Online/double-skyscraper"/>
    <hyperlink ref="D100" r:id="rId262" display="https://auto.cz/"/>
    <hyperlink ref="F100" r:id="rId263" display="https://auto.cz/"/>
    <hyperlink ref="W100" r:id="rId264" display="https://reklama.cncenter.cz/Online/Videospot"/>
    <hyperlink ref="D101" r:id="rId265" display="https://auto.cz/"/>
    <hyperlink ref="F101" r:id="rId266" display="https://auto.cz/"/>
    <hyperlink ref="W101" r:id="rId267" display="https://reklama.cncenter.cz/Online/mobilni-interscroller"/>
    <hyperlink ref="D102" r:id="rId268" display="https://auto.cz/"/>
    <hyperlink ref="F102" r:id="rId269" display="https://auto.cz/"/>
    <hyperlink ref="W102" r:id="rId270" display="https://reklama.cncenter.cz/Online/mobilni-slide-up"/>
    <hyperlink ref="D103" r:id="rId271" display="https://auto.cz/"/>
    <hyperlink ref="F103" r:id="rId272" display="https://auto.cz/"/>
    <hyperlink ref="W103" r:id="rId273" display="https://reklama.cncenter.cz/Online/mobilni-vineta"/>
    <hyperlink ref="D104" r:id="rId274" display="https://auto.cz/"/>
    <hyperlink ref="F104" r:id="rId275" display="https://auto.cz/"/>
    <hyperlink ref="W104" r:id="rId276" display="https://reklama.cncenter.cz/Online/nativni-PR-premium"/>
    <hyperlink ref="D105" r:id="rId277" display="https://auto.cz/"/>
    <hyperlink ref="F105" r:id="rId278" display="https://auto.cz/"/>
    <hyperlink ref="W105" r:id="rId279" display="https://reklama.cncenter.cz/Online/nativni-rectangle-cross-device"/>
    <hyperlink ref="D106" r:id="rId280" display="https://auto.cz/"/>
    <hyperlink ref="F106" r:id="rId281" display="https://auto.cz/"/>
    <hyperlink ref="W106" r:id="rId282" display="https://reklama.cncenter.cz/Online/Outstream"/>
    <hyperlink ref="D107" r:id="rId283" display="https://auto.cz/"/>
    <hyperlink ref="F107" r:id="rId284" display="https://auto.cz/"/>
    <hyperlink ref="W107" r:id="rId285" display="https://reklama.cncenter.cz/Online/Bumper"/>
    <hyperlink ref="D108" r:id="rId286" display="https://auto.cz/"/>
    <hyperlink ref="F108" r:id="rId287" display="https://auto.cz/"/>
    <hyperlink ref="D109" r:id="rId288" display="https://auto.cz/"/>
    <hyperlink ref="F109" r:id="rId289" display="https://auto.cz/"/>
    <hyperlink ref="W109" r:id="rId290" display="https://reklama.cncenter.cz/Online/double-skyscraper"/>
    <hyperlink ref="D110" r:id="rId291" display="https://auto.cz/"/>
    <hyperlink ref="F110" r:id="rId292" display="https://auto.cz/"/>
    <hyperlink ref="W110" r:id="rId293" display="https://reklama.cncenter.cz/Online/Videospot"/>
    <hyperlink ref="D111" r:id="rId294" display="https://auto.cz/"/>
    <hyperlink ref="F111" r:id="rId295" display="https://auto.cz/"/>
    <hyperlink ref="W111" r:id="rId296" display="https://reklama.cncenter.cz/Online/mobilni-interscroller"/>
    <hyperlink ref="D112" r:id="rId297" display="https://auto.cz/"/>
    <hyperlink ref="F112" r:id="rId298" display="https://auto.cz/"/>
    <hyperlink ref="W112" r:id="rId299" display="https://reklama.cncenter.cz/Online/mobilni-slide-up"/>
    <hyperlink ref="D113" r:id="rId300" display="https://auto.cz/"/>
    <hyperlink ref="F113" r:id="rId301" display="https://auto.cz/"/>
    <hyperlink ref="W113" r:id="rId302" display="https://reklama.cncenter.cz/Online/mobilni-vineta"/>
    <hyperlink ref="D114" r:id="rId303" display="https://auto.cz/"/>
    <hyperlink ref="F114" r:id="rId304" display="https://auto.cz/"/>
    <hyperlink ref="D115" r:id="rId305" display="https://auto.cz/"/>
    <hyperlink ref="F115" r:id="rId306" display="https://auto.cz/"/>
    <hyperlink ref="W115" r:id="rId307" display="https://reklama.cncenter.cz/Online/nativni-PR-premium"/>
    <hyperlink ref="D116" r:id="rId308" display="https://auto.cz/"/>
    <hyperlink ref="F116" r:id="rId309" display="https://auto.cz/"/>
    <hyperlink ref="W116" r:id="rId310" display="https://reklama.cncenter.cz/Online/nativni-rectangle-cross-device"/>
    <hyperlink ref="D117" r:id="rId311" display="https://auto.cz/"/>
    <hyperlink ref="F117" r:id="rId312" display="https://auto.cz/"/>
    <hyperlink ref="W117" r:id="rId313" display="https://reklama.cncenter.cz/Online/Outstream"/>
    <hyperlink ref="D118" r:id="rId314" display="https://auto.cz/"/>
    <hyperlink ref="F118" r:id="rId315" display="https://auto.cz/"/>
    <hyperlink ref="W118" r:id="rId316" display="https://reklama.cncenter.cz/?ads=PR%2520%25C4%258Dl%25C3%25A1nky"/>
    <hyperlink ref="D119" r:id="rId317" display="https://auto.cz/"/>
    <hyperlink ref="F119" r:id="rId318" display="https://auto.cz/"/>
    <hyperlink ref="D120" r:id="rId319" display="https://auto.cz/"/>
    <hyperlink ref="F120" r:id="rId320" display="https://auto.cz/"/>
    <hyperlink ref="D121" r:id="rId321" display="https://auto.cz/"/>
    <hyperlink ref="F121" r:id="rId322" display="https://auto.cz/"/>
    <hyperlink ref="D122" r:id="rId323" display="https://auto.cz/"/>
    <hyperlink ref="F122" r:id="rId324" display="https://auto.cz/"/>
    <hyperlink ref="W122" r:id="rId325" display="https://reklama.cncenter.cz/Online/Bumper"/>
    <hyperlink ref="D123" r:id="rId326" display="https://autorevue.cz/"/>
    <hyperlink ref="F123" r:id="rId327" display="https://autorevue.cz/"/>
    <hyperlink ref="D124" r:id="rId328" display="https://autorevue.cz/"/>
    <hyperlink ref="F124" r:id="rId329" display="https://autorevue.cz/"/>
    <hyperlink ref="W124" r:id="rId330" display="https://reklama.cncenter.cz/Online/billboard-bottom"/>
    <hyperlink ref="D125" r:id="rId331" display="https://autorevue.cz/"/>
    <hyperlink ref="F125" r:id="rId332" display="https://autorevue.cz/"/>
    <hyperlink ref="W125" r:id="rId333" display="https://reklama.cncenter.cz/Online/branding-cross-device"/>
    <hyperlink ref="D126" r:id="rId334" display="https://autorevue.cz/"/>
    <hyperlink ref="F126" r:id="rId335" display="https://autorevue.cz/"/>
    <hyperlink ref="W126" r:id="rId336" display="https://reklama.cncenter.cz/Online/branding"/>
    <hyperlink ref="D127" r:id="rId337" display="https://autorevue.cz/"/>
    <hyperlink ref="F127" r:id="rId338" display="https://autorevue.cz/"/>
    <hyperlink ref="W127" r:id="rId339" display="https://reklama.cncenter.cz/Online/billboard-bottom"/>
    <hyperlink ref="D128" r:id="rId340" display="https://autorevue.cz/"/>
    <hyperlink ref="F128" r:id="rId341" display="https://autorevue.cz/"/>
    <hyperlink ref="W128" r:id="rId342" display="https://reklama.cncenter.cz/Online/branding-cross-device"/>
    <hyperlink ref="D129" r:id="rId343" display="https://autorevue.cz/"/>
    <hyperlink ref="F129" r:id="rId344" display="https://autorevue.cz/"/>
    <hyperlink ref="W129" r:id="rId345" display="https://reklama.cncenter.cz/Online/branding"/>
    <hyperlink ref="D130" r:id="rId346" display="https://autorevue.cz/"/>
    <hyperlink ref="F130" r:id="rId347" display="https://autorevue.cz/"/>
    <hyperlink ref="W130" r:id="rId348" display="https://reklama.cncenter.cz/Online/double-skyscraper"/>
    <hyperlink ref="D131" r:id="rId349" display="https://autorevue.cz/"/>
    <hyperlink ref="F131" r:id="rId350" display="https://autorevue.cz/"/>
    <hyperlink ref="W131" r:id="rId351" display="https://reklama.cncenter.cz/Online/mobilni-interscroller"/>
    <hyperlink ref="D132" r:id="rId352" display="https://autorevue.cz/"/>
    <hyperlink ref="F132" r:id="rId353" display="https://autorevue.cz/"/>
    <hyperlink ref="W132" r:id="rId354" display="https://reklama.cncenter.cz/Online/mobilni-slide-up"/>
    <hyperlink ref="D133" r:id="rId355" display="https://autorevue.cz/"/>
    <hyperlink ref="F133" r:id="rId356" display="https://autorevue.cz/"/>
    <hyperlink ref="W133" r:id="rId357" display="https://reklama.cncenter.cz/Online/mobilni-vineta"/>
    <hyperlink ref="D134" r:id="rId358" display="https://autorevue.cz/"/>
    <hyperlink ref="F134" r:id="rId359" display="https://autorevue.cz/"/>
    <hyperlink ref="W134" r:id="rId360" display="https://reklama.cncenter.cz/Online/nativni-PR-premium"/>
    <hyperlink ref="D135" r:id="rId361" display="https://autorevue.cz/"/>
    <hyperlink ref="F135" r:id="rId362" display="https://autorevue.cz/"/>
    <hyperlink ref="W135" r:id="rId363" display="https://reklama.cncenter.cz/Online/nativni-rectangle-cross-device"/>
    <hyperlink ref="D136" r:id="rId364" display="https://autorevue.cz/"/>
    <hyperlink ref="F136" r:id="rId365" display="https://autorevue.cz/"/>
    <hyperlink ref="W136" r:id="rId366" display="https://reklama.cncenter.cz/Online/Outstream"/>
    <hyperlink ref="D137" r:id="rId367" display="https://autorevue.cz/"/>
    <hyperlink ref="F137" r:id="rId368" display="https://autorevue.cz/"/>
    <hyperlink ref="W137" r:id="rId369" display="https://reklama.cncenter.cz/Online/Bumper"/>
    <hyperlink ref="D138" r:id="rId370" display="https://autorevue.cz/"/>
    <hyperlink ref="F138" r:id="rId371" display="https://autorevue.cz/"/>
    <hyperlink ref="D139" r:id="rId372" display="https://autorevue.cz/"/>
    <hyperlink ref="F139" r:id="rId373" display="https://autorevue.cz/"/>
    <hyperlink ref="W139" r:id="rId374" display="https://reklama.cncenter.cz/Online/double-skyscraper"/>
    <hyperlink ref="D140" r:id="rId375" display="https://autorevue.cz/"/>
    <hyperlink ref="F140" r:id="rId376" display="https://autorevue.cz/"/>
    <hyperlink ref="W140" r:id="rId377" display="https://reklama.cncenter.cz/Online/mobilni-interscroller"/>
    <hyperlink ref="D141" r:id="rId378" display="https://autorevue.cz/"/>
    <hyperlink ref="F141" r:id="rId379" display="https://autorevue.cz/"/>
    <hyperlink ref="W141" r:id="rId380" display="https://reklama.cncenter.cz/Online/mobilni-slide-up"/>
    <hyperlink ref="D142" r:id="rId381" display="https://autorevue.cz/"/>
    <hyperlink ref="F142" r:id="rId382" display="https://autorevue.cz/"/>
    <hyperlink ref="W142" r:id="rId383" display="https://reklama.cncenter.cz/Online/mobilni-vineta"/>
    <hyperlink ref="D143" r:id="rId384" display="https://autorevue.cz/"/>
    <hyperlink ref="F143" r:id="rId385" display="https://autorevue.cz/"/>
    <hyperlink ref="D144" r:id="rId386" display="https://autorevue.cz/"/>
    <hyperlink ref="F144" r:id="rId387" display="https://autorevue.cz/"/>
    <hyperlink ref="W144" r:id="rId388" display="https://reklama.cncenter.cz/Online/nativni-PR-premium"/>
    <hyperlink ref="D145" r:id="rId389" display="https://autorevue.cz/"/>
    <hyperlink ref="F145" r:id="rId390" display="https://autorevue.cz/"/>
    <hyperlink ref="W145" r:id="rId391" display="https://reklama.cncenter.cz/Online/nativni-rectangle-cross-device"/>
    <hyperlink ref="D146" r:id="rId392" display="https://autorevue.cz/"/>
    <hyperlink ref="F146" r:id="rId393" display="https://autorevue.cz/"/>
    <hyperlink ref="W146" r:id="rId394" display="https://reklama.cncenter.cz/Online/Outstream"/>
    <hyperlink ref="D147" r:id="rId395" display="https://autorevue.cz/"/>
    <hyperlink ref="F147" r:id="rId396" display="https://autorevue.cz/"/>
    <hyperlink ref="W147" r:id="rId397" display="https://reklama.cncenter.cz/?ads=PR%2520%25C4%258Dl%25C3%25A1nky"/>
    <hyperlink ref="D148" r:id="rId398" display="https://autorevue.cz/"/>
    <hyperlink ref="F148" r:id="rId399" display="https://autorevue.cz/"/>
    <hyperlink ref="D149" r:id="rId400" display="https://autorevue.cz/"/>
    <hyperlink ref="F149" r:id="rId401" display="https://autorevue.cz/"/>
    <hyperlink ref="D150" r:id="rId402" display="https://autorevue.cz/"/>
    <hyperlink ref="F150" r:id="rId403" display="https://autorevue.cz/"/>
    <hyperlink ref="D151" r:id="rId404" display="https://autorevue.cz/"/>
    <hyperlink ref="F151" r:id="rId405" display="https://autorevue.cz/"/>
    <hyperlink ref="W151" r:id="rId406" display="https://reklama.cncenter.cz/Online/Bumper"/>
    <hyperlink ref="D152" r:id="rId407" display="https://avmania.zive.cz/"/>
    <hyperlink ref="F152" r:id="rId408" display="https://avmania.zive.cz/"/>
    <hyperlink ref="D153" r:id="rId409" display="https://avmania.zive.cz/"/>
    <hyperlink ref="F153" r:id="rId410" display="https://avmania.zive.cz/"/>
    <hyperlink ref="W153" r:id="rId411" display="https://reklama.cncenter.cz/Online/billboard-bottom"/>
    <hyperlink ref="D154" r:id="rId412" display="https://avmania.zive.cz/"/>
    <hyperlink ref="F154" r:id="rId413" display="https://avmania.zive.cz/"/>
    <hyperlink ref="W154" r:id="rId414" display="https://reklama.cncenter.cz/Online/branding-cross-device"/>
    <hyperlink ref="D155" r:id="rId415" display="https://avmania.zive.cz/"/>
    <hyperlink ref="F155" r:id="rId416" display="https://avmania.zive.cz/"/>
    <hyperlink ref="W155" r:id="rId417" display="https://reklama.cncenter.cz/Online/branding"/>
    <hyperlink ref="D156" r:id="rId418" display="https://avmania.zive.cz/"/>
    <hyperlink ref="F156" r:id="rId419" display="https://avmania.zive.cz/"/>
    <hyperlink ref="W156" r:id="rId420" display="https://reklama.cncenter.cz/Online/billboard-bottom"/>
    <hyperlink ref="D157" r:id="rId421" display="https://avmania.zive.cz/"/>
    <hyperlink ref="F157" r:id="rId422" display="https://avmania.zive.cz/"/>
    <hyperlink ref="W157" r:id="rId423" display="https://reklama.cncenter.cz/Online/branding-cross-device"/>
    <hyperlink ref="D158" r:id="rId424" display="https://avmania.zive.cz/"/>
    <hyperlink ref="F158" r:id="rId425" display="https://avmania.zive.cz/"/>
    <hyperlink ref="W158" r:id="rId426" display="https://reklama.cncenter.cz/Online/branding"/>
    <hyperlink ref="D159" r:id="rId427" display="https://avmania.zive.cz/"/>
    <hyperlink ref="F159" r:id="rId428" display="https://avmania.zive.cz/"/>
    <hyperlink ref="W159" r:id="rId429" display="https://reklama.cncenter.cz/Online/double-skyscraper"/>
    <hyperlink ref="D160" r:id="rId430" display="https://avmania.zive.cz/"/>
    <hyperlink ref="F160" r:id="rId431" display="https://avmania.zive.cz/"/>
    <hyperlink ref="W160" r:id="rId432" display="https://reklama.cncenter.cz/Online/mobilni-interscroller"/>
    <hyperlink ref="D161" r:id="rId433" display="https://avmania.zive.cz/"/>
    <hyperlink ref="F161" r:id="rId434" display="https://avmania.zive.cz/"/>
    <hyperlink ref="W161" r:id="rId435" display="https://reklama.cncenter.cz/Online/mobilni-slide-up"/>
    <hyperlink ref="D162" r:id="rId436" display="https://avmania.zive.cz/"/>
    <hyperlink ref="F162" r:id="rId437" display="https://avmania.zive.cz/"/>
    <hyperlink ref="W162" r:id="rId438" display="https://reklama.cncenter.cz/Online/mobilni-vineta"/>
    <hyperlink ref="D163" r:id="rId439" display="https://avmania.zive.cz/"/>
    <hyperlink ref="F163" r:id="rId440" display="https://avmania.zive.cz/"/>
    <hyperlink ref="W163" r:id="rId441" display="https://reklama.cncenter.cz/Online/nativni-rectangle-cross-device"/>
    <hyperlink ref="D164" r:id="rId442" display="https://avmania.zive.cz/"/>
    <hyperlink ref="F164" r:id="rId443" display="https://avmania.zive.cz/"/>
    <hyperlink ref="W164" r:id="rId444" display="https://reklama.cncenter.cz/Online/Outstream"/>
    <hyperlink ref="D165" r:id="rId445" display="https://avmania.zive.cz/"/>
    <hyperlink ref="F165" r:id="rId446" display="https://avmania.zive.cz/"/>
    <hyperlink ref="D166" r:id="rId447" display="https://avmania.zive.cz/"/>
    <hyperlink ref="F166" r:id="rId448" display="https://avmania.zive.cz/"/>
    <hyperlink ref="W166" r:id="rId449" display="https://reklama.cncenter.cz/Online/double-skyscraper"/>
    <hyperlink ref="D167" r:id="rId450" display="https://avmania.zive.cz/"/>
    <hyperlink ref="F167" r:id="rId451" display="https://avmania.zive.cz/"/>
    <hyperlink ref="W167" r:id="rId452" display="https://reklama.cncenter.cz/Online/mobilni-interscroller"/>
    <hyperlink ref="D168" r:id="rId453" display="https://avmania.zive.cz/"/>
    <hyperlink ref="F168" r:id="rId454" display="https://avmania.zive.cz/"/>
    <hyperlink ref="W168" r:id="rId455" display="https://reklama.cncenter.cz/Online/mobilni-slide-up"/>
    <hyperlink ref="D169" r:id="rId456" display="https://avmania.zive.cz/"/>
    <hyperlink ref="F169" r:id="rId457" display="https://avmania.zive.cz/"/>
    <hyperlink ref="W169" r:id="rId458" display="https://reklama.cncenter.cz/Online/mobilni-vineta"/>
    <hyperlink ref="D170" r:id="rId459" display="https://avmania.zive.cz/"/>
    <hyperlink ref="F170" r:id="rId460" display="https://avmania.zive.cz/"/>
    <hyperlink ref="D171" r:id="rId461" display="https://avmania.zive.cz/"/>
    <hyperlink ref="F171" r:id="rId462" display="https://avmania.zive.cz/"/>
    <hyperlink ref="W171" r:id="rId463" display="https://reklama.cncenter.cz/Online/nativni-rectangle-cross-device"/>
    <hyperlink ref="D172" r:id="rId464" display="https://avmania.zive.cz/"/>
    <hyperlink ref="F172" r:id="rId465" display="https://avmania.zive.cz/"/>
    <hyperlink ref="W172" r:id="rId466" display="https://reklama.cncenter.cz/Online/Outstream"/>
    <hyperlink ref="D173" r:id="rId467" display="https://avmania.zive.cz/"/>
    <hyperlink ref="F173" r:id="rId468" display="https://avmania.zive.cz/"/>
    <hyperlink ref="W173" r:id="rId469" display="https://reklama.cncenter.cz/?ads=PR%2520%25C4%258Dl%25C3%25A1nky"/>
    <hyperlink ref="D174" r:id="rId470" display="https://avmania.zive.cz/"/>
    <hyperlink ref="F174" r:id="rId471" display="https://avmania.zive.cz/"/>
    <hyperlink ref="D175" r:id="rId472" display="https://avmania.zive.cz/"/>
    <hyperlink ref="F175" r:id="rId473" display="https://avmania.zive.cz/"/>
    <hyperlink ref="D176" r:id="rId474" display="https://avmania.zive.cz/"/>
    <hyperlink ref="F176" r:id="rId475" display="https://avmania.zive.cz/"/>
    <hyperlink ref="D177" r:id="rId476" display="https://blesk.cz/"/>
    <hyperlink ref="F177" r:id="rId477" display="https://blesk.cz/"/>
    <hyperlink ref="D178" r:id="rId478" display="https://blesk.cz/"/>
    <hyperlink ref="F178" r:id="rId479" display="https://blesk.cz/"/>
    <hyperlink ref="W178" r:id="rId480" display="https://reklama.cncenter.cz/Online/nativni-rectangle-cross-device"/>
    <hyperlink ref="D179" r:id="rId481" display="https://blesk.cz/"/>
    <hyperlink ref="F179" r:id="rId482" display="https://blesk.cz/"/>
    <hyperlink ref="D180" r:id="rId483" display="https://blesk.cz/"/>
    <hyperlink ref="F180" r:id="rId484" display="https://blesk.cz/"/>
    <hyperlink ref="D181" r:id="rId485" display="https://blesk.cz/"/>
    <hyperlink ref="F181" r:id="rId486" display="https://blesk.cz/"/>
    <hyperlink ref="W181" r:id="rId487" display="https://reklama.cncenter.cz/Online/nativni-rectangle-cross-device"/>
    <hyperlink ref="D182" r:id="rId488" display="https://blesk.cz/"/>
    <hyperlink ref="F182" r:id="rId489" display="https://blesk.cz/"/>
    <hyperlink ref="W182" r:id="rId490" display="https://reklama.cncenter.cz/?ads=PR%2520%25C4%258Dl%25C3%25A1nky"/>
    <hyperlink ref="D183" r:id="rId491" display="https://blesk.cz/"/>
    <hyperlink ref="F183" r:id="rId492" display="https://blesk.cz/"/>
    <hyperlink ref="D184" r:id="rId493" display="https://blesk.cz/"/>
    <hyperlink ref="F184" r:id="rId494" display="https://blesk.cz/"/>
    <hyperlink ref="D185" r:id="rId495" display="https://blesk.cz/"/>
    <hyperlink ref="F185" r:id="rId496" display="https://blesk.cz/"/>
    <hyperlink ref="W186" r:id="rId497" display="https://reklama.cncenter.cz/Online/billboard-bottom"/>
    <hyperlink ref="W187" r:id="rId498" display="https://reklama.cncenter.cz/Online/branding-cross-device"/>
    <hyperlink ref="W188" r:id="rId499" display="https://reklama.cncenter.cz/Online/branding"/>
    <hyperlink ref="W189" r:id="rId500" display="https://reklama.cncenter.cz/Online/billboard-bottom"/>
    <hyperlink ref="W190" r:id="rId501" display="https://reklama.cncenter.cz/Online/branding-cross-device"/>
    <hyperlink ref="W191" r:id="rId502" display="https://reklama.cncenter.cz/Online/branding"/>
    <hyperlink ref="W192" r:id="rId503" display="https://reklama.cncenter.cz/Online/double-skyscraper"/>
    <hyperlink ref="W193" r:id="rId504" display="https://reklama.cncenter.cz/Online/Videospot"/>
    <hyperlink ref="W194" r:id="rId505" display="https://reklama.cncenter.cz/Online/mobilni-interscroller"/>
    <hyperlink ref="W195" r:id="rId506" display="https://reklama.cncenter.cz/Online/mobilni-slide-up"/>
    <hyperlink ref="W196" r:id="rId507" display="https://reklama.cncenter.cz/Online/mobilni-vineta"/>
    <hyperlink ref="W197" r:id="rId508" display="https://reklama.cncenter.cz/Online/nativni-rectangle-cross-device"/>
    <hyperlink ref="W198" r:id="rId509" display="https://reklama.cncenter.cz/Online/Outstream"/>
    <hyperlink ref="W199" r:id="rId510" display="https://reklama.cncenter.cz/Online/Smarticle"/>
    <hyperlink ref="W200" r:id="rId511" display="https://reklama.cncenter.cz/Online/Bumper"/>
    <hyperlink ref="W201" r:id="rId512" display="https://reklama.cncenter.cz/Online/double-skyscraper"/>
    <hyperlink ref="W202" r:id="rId513" display="https://reklama.cncenter.cz/Online/Videospot"/>
    <hyperlink ref="W203" r:id="rId514" display="https://reklama.cncenter.cz/Online/mobilni-interscroller"/>
    <hyperlink ref="W204" r:id="rId515" display="https://reklama.cncenter.cz/Online/mobilni-slide-up"/>
    <hyperlink ref="W205" r:id="rId516" display="https://reklama.cncenter.cz/Online/mobilni-vineta"/>
    <hyperlink ref="W206" r:id="rId517" display="https://reklama.cncenter.cz/Online/nativni-rectangle-cross-device"/>
    <hyperlink ref="W207" r:id="rId518" display="https://reklama.cncenter.cz/Online/Outstream"/>
    <hyperlink ref="W208" r:id="rId519" display="https://reklama.cncenter.cz/Online/Smarticle"/>
    <hyperlink ref="W209" r:id="rId520" display="https://reklama.cncenter.cz/Online/Bumper"/>
    <hyperlink ref="D210" r:id="rId521" display="https://blesk.cz/"/>
    <hyperlink ref="F210" r:id="rId522" display="https://blesk.cz/"/>
    <hyperlink ref="W210" r:id="rId523" display="https://reklama.cncenter.cz/Online/branding-cross-device"/>
    <hyperlink ref="D211" r:id="rId524" display="https://blesk.cz/"/>
    <hyperlink ref="F211" r:id="rId525" display="https://blesk.cz/"/>
    <hyperlink ref="W211" r:id="rId526" display="https://reklama.cncenter.cz/Online/branding"/>
    <hyperlink ref="D212" r:id="rId527" display="https://blesk.cz/"/>
    <hyperlink ref="F212" r:id="rId528" display="https://blesk.cz/"/>
    <hyperlink ref="W212" r:id="rId529" display="https://reklama.cncenter.cz/Online/branding-cross-device"/>
    <hyperlink ref="D213" r:id="rId530" display="https://blesk.cz/"/>
    <hyperlink ref="F213" r:id="rId531" display="https://blesk.cz/"/>
    <hyperlink ref="W213" r:id="rId532" display="https://reklama.cncenter.cz/Online/branding"/>
    <hyperlink ref="D214" r:id="rId533" display="https://blesk.cz/"/>
    <hyperlink ref="F214" r:id="rId534" display="https://blesk.cz/"/>
    <hyperlink ref="W214" r:id="rId535" display="https://reklama.cncenter.cz/Online/mobilni-interscroller"/>
    <hyperlink ref="D215" r:id="rId536" display="https://blesk.cz/"/>
    <hyperlink ref="F215" r:id="rId537" display="https://blesk.cz/"/>
    <hyperlink ref="W215" r:id="rId538" display="https://reklama.cncenter.cz/Online/mobilni-slide-up"/>
    <hyperlink ref="D216" r:id="rId539" display="https://blesk.cz/"/>
    <hyperlink ref="F216" r:id="rId540" display="https://blesk.cz/"/>
    <hyperlink ref="W216" r:id="rId541" display="https://reklama.cncenter.cz/Online/mobilni-interscroller"/>
    <hyperlink ref="D217" r:id="rId542" display="https://blesk.cz/"/>
    <hyperlink ref="F217" r:id="rId543" display="https://blesk.cz/"/>
    <hyperlink ref="W217" r:id="rId544" display="https://reklama.cncenter.cz/Online/mobilni-slide-up"/>
    <hyperlink ref="D218" r:id="rId545" display="https://bleskprozeny.cz/"/>
    <hyperlink ref="F218" r:id="rId546" display="https://bleskprozeny.cz/"/>
    <hyperlink ref="D219" r:id="rId547" display="https://bleskprozeny.cz/"/>
    <hyperlink ref="F219" r:id="rId548" display="https://bleskprozeny.cz/"/>
    <hyperlink ref="W219" r:id="rId549" display="https://reklama.cncenter.cz/Online/billboard-bottom"/>
    <hyperlink ref="D220" r:id="rId550" display="https://bleskprozeny.cz/"/>
    <hyperlink ref="F220" r:id="rId551" display="https://bleskprozeny.cz/"/>
    <hyperlink ref="W220" r:id="rId552" display="https://reklama.cncenter.cz/Online/branding-cross-device"/>
    <hyperlink ref="D221" r:id="rId553" display="https://bleskprozeny.cz/"/>
    <hyperlink ref="F221" r:id="rId554" display="https://bleskprozeny.cz/"/>
    <hyperlink ref="W221" r:id="rId555" display="https://reklama.cncenter.cz/Online/branding"/>
    <hyperlink ref="D222" r:id="rId556" display="https://bleskprozeny.cz/"/>
    <hyperlink ref="F222" r:id="rId557" display="https://bleskprozeny.cz/"/>
    <hyperlink ref="W222" r:id="rId558" display="https://reklama.cncenter.cz/Online/billboard-bottom"/>
    <hyperlink ref="D223" r:id="rId559" display="https://bleskprozeny.cz/"/>
    <hyperlink ref="F223" r:id="rId560" display="https://bleskprozeny.cz/"/>
    <hyperlink ref="W223" r:id="rId561" display="https://reklama.cncenter.cz/Online/branding-cross-device"/>
    <hyperlink ref="D224" r:id="rId562" display="https://bleskprozeny.cz/"/>
    <hyperlink ref="F224" r:id="rId563" display="https://bleskprozeny.cz/"/>
    <hyperlink ref="W224" r:id="rId564" display="https://reklama.cncenter.cz/Online/branding"/>
    <hyperlink ref="D225" r:id="rId565" display="https://bleskprozeny.cz/"/>
    <hyperlink ref="F225" r:id="rId566" display="https://bleskprozeny.cz/"/>
    <hyperlink ref="W225" r:id="rId567" display="https://reklama.cncenter.cz/Online/double-skyscraper"/>
    <hyperlink ref="D226" r:id="rId568" display="https://bleskprozeny.cz/"/>
    <hyperlink ref="F226" r:id="rId569" display="https://bleskprozeny.cz/"/>
    <hyperlink ref="W226" r:id="rId570" display="https://reklama.cncenter.cz/Online/Videospot"/>
    <hyperlink ref="D227" r:id="rId571" display="https://bleskprozeny.cz/"/>
    <hyperlink ref="F227" r:id="rId572" display="https://bleskprozeny.cz/"/>
    <hyperlink ref="W227" r:id="rId573" display="https://reklama.cncenter.cz/Online/mobilni-interscroller"/>
    <hyperlink ref="D228" r:id="rId574" display="https://bleskprozeny.cz/"/>
    <hyperlink ref="F228" r:id="rId575" display="https://bleskprozeny.cz/"/>
    <hyperlink ref="W228" r:id="rId576" display="https://reklama.cncenter.cz/Online/mobilni-slide-up"/>
    <hyperlink ref="D229" r:id="rId577" display="https://bleskprozeny.cz/"/>
    <hyperlink ref="F229" r:id="rId578" display="https://bleskprozeny.cz/"/>
    <hyperlink ref="W229" r:id="rId579" display="https://reklama.cncenter.cz/Online/mobilni-vineta"/>
    <hyperlink ref="D230" r:id="rId580" display="https://bleskprozeny.cz/"/>
    <hyperlink ref="F230" r:id="rId581" display="https://bleskprozeny.cz/"/>
    <hyperlink ref="W230" r:id="rId582" display="https://reklama.cncenter.cz/Online/nativni-PR-premium"/>
    <hyperlink ref="D231" r:id="rId583" display="https://bleskprozeny.cz/"/>
    <hyperlink ref="F231" r:id="rId584" display="https://bleskprozeny.cz/"/>
    <hyperlink ref="W231" r:id="rId585" display="https://reklama.cncenter.cz/Online/nativni-rectangle-cross-device"/>
    <hyperlink ref="D232" r:id="rId586" display="https://bleskprozeny.cz/"/>
    <hyperlink ref="F232" r:id="rId587" display="https://bleskprozeny.cz/"/>
    <hyperlink ref="W232" r:id="rId588" display="https://reklama.cncenter.cz/Online/Outstream"/>
    <hyperlink ref="D233" r:id="rId589" display="https://bleskprozeny.cz/"/>
    <hyperlink ref="F233" r:id="rId590" display="https://bleskprozeny.cz/"/>
    <hyperlink ref="W233" r:id="rId591" display="https://reklama.cncenter.cz/Online/Bumper"/>
    <hyperlink ref="D234" r:id="rId592" display="https://bleskprozeny.cz/"/>
    <hyperlink ref="F234" r:id="rId593" display="https://bleskprozeny.cz/"/>
    <hyperlink ref="D235" r:id="rId594" display="https://bleskprozeny.cz/"/>
    <hyperlink ref="F235" r:id="rId595" display="https://bleskprozeny.cz/"/>
    <hyperlink ref="W235" r:id="rId596" display="https://reklama.cncenter.cz/Online/double-skyscraper"/>
    <hyperlink ref="D236" r:id="rId597" display="https://bleskprozeny.cz/"/>
    <hyperlink ref="F236" r:id="rId598" display="https://bleskprozeny.cz/"/>
    <hyperlink ref="W236" r:id="rId599" display="https://reklama.cncenter.cz/Online/Videospot"/>
    <hyperlink ref="D237" r:id="rId600" display="https://bleskprozeny.cz/"/>
    <hyperlink ref="F237" r:id="rId601" display="https://bleskprozeny.cz/"/>
    <hyperlink ref="W237" r:id="rId602" display="https://reklama.cncenter.cz/Online/mobilni-interscroller"/>
    <hyperlink ref="D238" r:id="rId603" display="https://bleskprozeny.cz/"/>
    <hyperlink ref="F238" r:id="rId604" display="https://bleskprozeny.cz/"/>
    <hyperlink ref="W238" r:id="rId605" display="https://reklama.cncenter.cz/Online/mobilni-slide-up"/>
    <hyperlink ref="D239" r:id="rId606" display="https://bleskprozeny.cz/"/>
    <hyperlink ref="F239" r:id="rId607" display="https://bleskprozeny.cz/"/>
    <hyperlink ref="W239" r:id="rId608" display="https://reklama.cncenter.cz/Online/mobilni-vineta"/>
    <hyperlink ref="D240" r:id="rId609" display="https://bleskprozeny.cz/"/>
    <hyperlink ref="F240" r:id="rId610" display="https://bleskprozeny.cz/"/>
    <hyperlink ref="D241" r:id="rId611" display="https://bleskprozeny.cz/"/>
    <hyperlink ref="F241" r:id="rId612" display="https://bleskprozeny.cz/"/>
    <hyperlink ref="W241" r:id="rId613" display="https://reklama.cncenter.cz/Online/nativni-PR-premium"/>
    <hyperlink ref="D242" r:id="rId614" display="https://bleskprozeny.cz/"/>
    <hyperlink ref="F242" r:id="rId615" display="https://bleskprozeny.cz/"/>
    <hyperlink ref="W242" r:id="rId616" display="https://reklama.cncenter.cz/Online/nativni-rectangle-cross-device"/>
    <hyperlink ref="D243" r:id="rId617" display="https://bleskprozeny.cz/"/>
    <hyperlink ref="F243" r:id="rId618" display="https://bleskprozeny.cz/"/>
    <hyperlink ref="W243" r:id="rId619" display="https://reklama.cncenter.cz/Online/Outstream"/>
    <hyperlink ref="D244" r:id="rId620" display="https://bleskprozeny.cz/"/>
    <hyperlink ref="F244" r:id="rId621" display="https://bleskprozeny.cz/"/>
    <hyperlink ref="W244" r:id="rId622" display="https://reklama.cncenter.cz/?ads=PR%2520%25C4%258Dl%25C3%25A1nky"/>
    <hyperlink ref="D245" r:id="rId623" display="https://bleskprozeny.cz/"/>
    <hyperlink ref="F245" r:id="rId624" display="https://bleskprozeny.cz/"/>
    <hyperlink ref="D246" r:id="rId625" display="https://bleskprozeny.cz/"/>
    <hyperlink ref="F246" r:id="rId626" display="https://bleskprozeny.cz/"/>
    <hyperlink ref="D247" r:id="rId627" display="https://bleskprozeny.cz/"/>
    <hyperlink ref="F247" r:id="rId628" display="https://bleskprozeny.cz/"/>
    <hyperlink ref="D248" r:id="rId629" display="https://bleskprozeny.cz/"/>
    <hyperlink ref="F248" r:id="rId630" display="https://bleskprozeny.cz/"/>
    <hyperlink ref="W248" r:id="rId631" display="https://reklama.cncenter.cz/Online/Bumper"/>
    <hyperlink ref="W249" r:id="rId632" display="https://reklama.cncenter.cz/Online/billboard-bottom"/>
    <hyperlink ref="W250" r:id="rId633" display="https://reklama.cncenter.cz/Online/branding-cross-device"/>
    <hyperlink ref="W251" r:id="rId634" display="https://reklama.cncenter.cz/Online/branding"/>
    <hyperlink ref="W252" r:id="rId635" display="https://reklama.cncenter.cz/Online/billboard-bottom"/>
    <hyperlink ref="W253" r:id="rId636" display="https://reklama.cncenter.cz/Online/branding-cross-device"/>
    <hyperlink ref="W254" r:id="rId637" display="https://reklama.cncenter.cz/Online/branding"/>
    <hyperlink ref="W255" r:id="rId638" display="https://reklama.cncenter.cz/Online/double-skyscraper"/>
    <hyperlink ref="W256" r:id="rId639" display="https://reklama.cncenter.cz/Online/Videospot"/>
    <hyperlink ref="W257" r:id="rId640" display="https://reklama.cncenter.cz/Online/mobilni-interscroller"/>
    <hyperlink ref="W258" r:id="rId641" display="https://reklama.cncenter.cz/Online/mobilni-slide-up"/>
    <hyperlink ref="W259" r:id="rId642" display="https://reklama.cncenter.cz/Online/mobilni-vineta"/>
    <hyperlink ref="W260" r:id="rId643" display="https://reklama.cncenter.cz/Online/nativni-rectangle-cross-device"/>
    <hyperlink ref="W261" r:id="rId644" display="https://reklama.cncenter.cz/Online/Outstream"/>
    <hyperlink ref="W262" r:id="rId645" display="https://reklama.cncenter.cz/Online/Smarticle"/>
    <hyperlink ref="W263" r:id="rId646" display="https://reklama.cncenter.cz/Online/Bumper"/>
    <hyperlink ref="W264" r:id="rId647" display="https://reklama.cncenter.cz/Online/double-skyscraper"/>
    <hyperlink ref="W265" r:id="rId648" display="https://reklama.cncenter.cz/Online/Videospot"/>
    <hyperlink ref="W266" r:id="rId649" display="https://reklama.cncenter.cz/Online/mobilni-interscroller"/>
    <hyperlink ref="W267" r:id="rId650" display="https://reklama.cncenter.cz/Online/mobilni-slide-up"/>
    <hyperlink ref="W268" r:id="rId651" display="https://reklama.cncenter.cz/Online/mobilni-vineta"/>
    <hyperlink ref="W269" r:id="rId652" display="https://reklama.cncenter.cz/Online/nativni-rectangle-cross-device"/>
    <hyperlink ref="W270" r:id="rId653" display="https://reklama.cncenter.cz/Online/Outstream"/>
    <hyperlink ref="W271" r:id="rId654" display="https://reklama.cncenter.cz/Online/Smarticle"/>
    <hyperlink ref="W272" r:id="rId655" display="https://reklama.cncenter.cz/Online/Bumper"/>
    <hyperlink ref="W273" r:id="rId656" display="https://reklama.cncenter.cz/Online/billboard-bottom"/>
    <hyperlink ref="W274" r:id="rId657" display="https://reklama.cncenter.cz/Online/branding-cross-device"/>
    <hyperlink ref="W275" r:id="rId658" display="https://reklama.cncenter.cz/Online/branding"/>
    <hyperlink ref="W276" r:id="rId659" display="https://reklama.cncenter.cz/Online/billboard-bottom"/>
    <hyperlink ref="W277" r:id="rId660" display="https://reklama.cncenter.cz/Online/branding-cross-device"/>
    <hyperlink ref="W278" r:id="rId661" display="https://reklama.cncenter.cz/Online/branding"/>
    <hyperlink ref="W279" r:id="rId662" display="https://reklama.cncenter.cz/Online/double-skyscraper"/>
    <hyperlink ref="W280" r:id="rId663" display="https://reklama.cncenter.cz/Online/Videospot"/>
    <hyperlink ref="W281" r:id="rId664" display="https://reklama.cncenter.cz/Online/mobilni-interscroller"/>
    <hyperlink ref="W282" r:id="rId665" display="https://reklama.cncenter.cz/Online/mobilni-slide-up"/>
    <hyperlink ref="W283" r:id="rId666" display="https://reklama.cncenter.cz/Online/mobilni-vineta"/>
    <hyperlink ref="W284" r:id="rId667" display="https://reklama.cncenter.cz/Online/nativni-rectangle-cross-device"/>
    <hyperlink ref="W285" r:id="rId668" display="https://reklama.cncenter.cz/Online/Outstream"/>
    <hyperlink ref="W286" r:id="rId669" display="https://reklama.cncenter.cz/Online/Smarticle"/>
    <hyperlink ref="W287" r:id="rId670" display="https://reklama.cncenter.cz/Online/Bumper"/>
    <hyperlink ref="W288" r:id="rId671" display="https://reklama.cncenter.cz/Online/double-skyscraper"/>
    <hyperlink ref="W290" r:id="rId672" display="https://reklama.cncenter.cz/Online/Videospot"/>
    <hyperlink ref="W291" r:id="rId673" display="https://reklama.cncenter.cz/Online/mobilni-interscroller"/>
    <hyperlink ref="W292" r:id="rId674" display="https://reklama.cncenter.cz/Online/mobilni-slide-up"/>
    <hyperlink ref="W293" r:id="rId675" display="https://reklama.cncenter.cz/Online/mobilni-vineta"/>
    <hyperlink ref="W294" r:id="rId676" display="https://reklama.cncenter.cz/Online/nativni-rectangle-cross-device"/>
    <hyperlink ref="W295" r:id="rId677" display="https://reklama.cncenter.cz/Online/Outstream"/>
    <hyperlink ref="W297" r:id="rId678" display="https://reklama.cncenter.cz/Online/Smarticle"/>
    <hyperlink ref="W302" r:id="rId679" display="https://reklama.cncenter.cz/Online/Bumper"/>
    <hyperlink ref="W304" r:id="rId680" display="https://reklama.cncenter.cz/Online/billboard-bottom"/>
    <hyperlink ref="W305" r:id="rId681" display="https://reklama.cncenter.cz/Online/branding-cross-device"/>
    <hyperlink ref="W306" r:id="rId682" display="https://reklama.cncenter.cz/Online/branding"/>
    <hyperlink ref="W307" r:id="rId683" display="https://reklama.cncenter.cz/Online/billboard-bottom"/>
    <hyperlink ref="W308" r:id="rId684" display="https://reklama.cncenter.cz/Online/branding-cross-device"/>
    <hyperlink ref="W309" r:id="rId685" display="https://reklama.cncenter.cz/Online/branding"/>
    <hyperlink ref="W310" r:id="rId686" display="https://reklama.cncenter.cz/Online/double-skyscraper"/>
    <hyperlink ref="W311" r:id="rId687" display="https://reklama.cncenter.cz/Online/mobilni-interscroller"/>
    <hyperlink ref="W312" r:id="rId688" display="https://reklama.cncenter.cz/Online/mobilni-slide-up"/>
    <hyperlink ref="W313" r:id="rId689" display="https://reklama.cncenter.cz/Online/mobilni-vineta"/>
    <hyperlink ref="W314" r:id="rId690" display="https://reklama.cncenter.cz/Online/nativni-rectangle-cross-device"/>
    <hyperlink ref="W315" r:id="rId691" display="https://reklama.cncenter.cz/Online/Outstream"/>
    <hyperlink ref="W316" r:id="rId692" display="https://reklama.cncenter.cz/Online/Smarticle"/>
    <hyperlink ref="W317" r:id="rId693" display="https://reklama.cncenter.cz/Online/Bumper"/>
    <hyperlink ref="W318" r:id="rId694" display="https://reklama.cncenter.cz/Online/double-skyscraper"/>
    <hyperlink ref="W319" r:id="rId695" display="https://reklama.cncenter.cz/Online/mobilni-interscroller"/>
    <hyperlink ref="W320" r:id="rId696" display="https://reklama.cncenter.cz/Online/mobilni-slide-up"/>
    <hyperlink ref="W321" r:id="rId697" display="https://reklama.cncenter.cz/Online/mobilni-vineta"/>
    <hyperlink ref="W322" r:id="rId698" display="https://reklama.cncenter.cz/Online/nativni-rectangle-cross-device"/>
    <hyperlink ref="W323" r:id="rId699" display="https://reklama.cncenter.cz/Online/Outstream"/>
    <hyperlink ref="W324" r:id="rId700" display="https://reklama.cncenter.cz/Online/Smarticle"/>
    <hyperlink ref="W325" r:id="rId701" display="https://reklama.cncenter.cz/Online/Bumper"/>
    <hyperlink ref="W326" r:id="rId702" display="https://reklama.cncenter.cz/Online/billboard-bottom"/>
    <hyperlink ref="W327" r:id="rId703" display="https://reklama.cncenter.cz/Online/branding-cross-device"/>
    <hyperlink ref="W328" r:id="rId704" display="https://reklama.cncenter.cz/Online/branding"/>
    <hyperlink ref="W329" r:id="rId705" display="https://reklama.cncenter.cz/Online/billboard-bottom"/>
    <hyperlink ref="W330" r:id="rId706" display="https://reklama.cncenter.cz/Online/branding-cross-device"/>
    <hyperlink ref="W331" r:id="rId707" display="https://reklama.cncenter.cz/Online/branding"/>
    <hyperlink ref="W332" r:id="rId708" display="https://reklama.cncenter.cz/Online/double-skyscraper"/>
    <hyperlink ref="W333" r:id="rId709" display="https://reklama.cncenter.cz/Online/Videospot"/>
    <hyperlink ref="W334" r:id="rId710" display="https://reklama.cncenter.cz/Online/mobilni-interscroller"/>
    <hyperlink ref="W335" r:id="rId711" display="https://reklama.cncenter.cz/Online/mobilni-slide-up"/>
    <hyperlink ref="W336" r:id="rId712" display="https://reklama.cncenter.cz/Online/mobilni-vineta"/>
    <hyperlink ref="W337" r:id="rId713" display="https://reklama.cncenter.cz/Online/nativni-rectangle-cross-device"/>
    <hyperlink ref="W338" r:id="rId714" display="https://reklama.cncenter.cz/Online/Outstream"/>
    <hyperlink ref="W339" r:id="rId715" display="https://reklama.cncenter.cz/Online/Smarticle"/>
    <hyperlink ref="W340" r:id="rId716" display="https://reklama.cncenter.cz/Online/Bumper"/>
    <hyperlink ref="W341" r:id="rId717" display="https://reklama.cncenter.cz/Online/double-skyscraper"/>
    <hyperlink ref="W342" r:id="rId718" display="https://reklama.cncenter.cz/Online/Videospot"/>
    <hyperlink ref="W343" r:id="rId719" display="https://reklama.cncenter.cz/Online/mobilni-interscroller"/>
    <hyperlink ref="W344" r:id="rId720" display="https://reklama.cncenter.cz/Online/mobilni-slide-up"/>
    <hyperlink ref="W345" r:id="rId721" display="https://reklama.cncenter.cz/Online/mobilni-vineta"/>
    <hyperlink ref="W346" r:id="rId722" display="https://reklama.cncenter.cz/Online/nativni-rectangle-cross-device"/>
    <hyperlink ref="W347" r:id="rId723" display="https://reklama.cncenter.cz/Online/Outstream"/>
    <hyperlink ref="W348" r:id="rId724" display="https://reklama.cncenter.cz/Online/Smarticle"/>
    <hyperlink ref="W349" r:id="rId725" display="https://reklama.cncenter.cz/Online/Bumper"/>
    <hyperlink ref="W350" r:id="rId726" display="https://reklama.cncenter.cz/Online/billboard-bottom"/>
    <hyperlink ref="W351" r:id="rId727" display="https://reklama.cncenter.cz/Online/branding-cross-device"/>
    <hyperlink ref="W352" r:id="rId728" display="https://reklama.cncenter.cz/Online/branding"/>
    <hyperlink ref="W353" r:id="rId729" display="https://reklama.cncenter.cz/Online/billboard-bottom"/>
    <hyperlink ref="W354" r:id="rId730" display="https://reklama.cncenter.cz/Online/branding-cross-device"/>
    <hyperlink ref="W355" r:id="rId731" display="https://reklama.cncenter.cz/Online/branding"/>
    <hyperlink ref="W356" r:id="rId732" display="https://reklama.cncenter.cz/Online/double-skyscraper"/>
    <hyperlink ref="W357" r:id="rId733" display="https://reklama.cncenter.cz/Online/Videospot"/>
    <hyperlink ref="W358" r:id="rId734" display="https://reklama.cncenter.cz/Online/mobilni-interscroller"/>
    <hyperlink ref="W359" r:id="rId735" display="https://reklama.cncenter.cz/Online/mobilni-slide-up"/>
    <hyperlink ref="W360" r:id="rId736" display="https://reklama.cncenter.cz/Online/mobilni-vineta"/>
    <hyperlink ref="W361" r:id="rId737" display="https://reklama.cncenter.cz/Online/nativni-rectangle-cross-device"/>
    <hyperlink ref="W362" r:id="rId738" display="https://reklama.cncenter.cz/Online/Outstream"/>
    <hyperlink ref="W363" r:id="rId739" display="https://reklama.cncenter.cz/Online/Smarticle"/>
    <hyperlink ref="W364" r:id="rId740" display="https://reklama.cncenter.cz/Online/Bumper"/>
    <hyperlink ref="W365" r:id="rId741" display="https://reklama.cncenter.cz/Online/double-skyscraper"/>
    <hyperlink ref="W366" r:id="rId742" display="https://reklama.cncenter.cz/Online/Videospot"/>
    <hyperlink ref="W367" r:id="rId743" display="https://reklama.cncenter.cz/Online/mobilni-interscroller"/>
    <hyperlink ref="W368" r:id="rId744" display="https://reklama.cncenter.cz/Online/mobilni-slide-up"/>
    <hyperlink ref="W369" r:id="rId745" display="https://reklama.cncenter.cz/Online/mobilni-vineta"/>
    <hyperlink ref="W370" r:id="rId746" display="https://reklama.cncenter.cz/Online/nativni-rectangle-cross-device"/>
    <hyperlink ref="W371" r:id="rId747" display="https://reklama.cncenter.cz/Online/Outstream"/>
    <hyperlink ref="W372" r:id="rId748" display="https://reklama.cncenter.cz/Online/Smarticle"/>
    <hyperlink ref="W373" r:id="rId749" display="https://reklama.cncenter.cz/Online/Bumper"/>
    <hyperlink ref="W374" r:id="rId750" display="https://reklama.cncenter.cz/Online/billboard-bottom"/>
    <hyperlink ref="W375" r:id="rId751" display="https://reklama.cncenter.cz/Online/branding-cross-device"/>
    <hyperlink ref="W376" r:id="rId752" display="https://reklama.cncenter.cz/Online/branding"/>
    <hyperlink ref="W377" r:id="rId753" display="https://reklama.cncenter.cz/Online/billboard-bottom"/>
    <hyperlink ref="W378" r:id="rId754" display="https://reklama.cncenter.cz/Online/branding-cross-device"/>
    <hyperlink ref="W379" r:id="rId755" display="https://reklama.cncenter.cz/Online/branding"/>
    <hyperlink ref="W380" r:id="rId756" display="https://reklama.cncenter.cz/Online/double-skyscraper"/>
    <hyperlink ref="W381" r:id="rId757" display="https://reklama.cncenter.cz/Online/Videospot"/>
    <hyperlink ref="W382" r:id="rId758" display="https://reklama.cncenter.cz/Online/mobilni-interscroller"/>
    <hyperlink ref="W383" r:id="rId759" display="https://reklama.cncenter.cz/Online/mobilni-slide-up"/>
    <hyperlink ref="W384" r:id="rId760" display="https://reklama.cncenter.cz/Online/mobilni-vineta"/>
    <hyperlink ref="W385" r:id="rId761" display="https://reklama.cncenter.cz/Online/nativni-rectangle-cross-device"/>
    <hyperlink ref="W386" r:id="rId762" display="https://reklama.cncenter.cz/Online/Outstream"/>
    <hyperlink ref="W387" r:id="rId763" display="https://reklama.cncenter.cz/Online/Smarticle"/>
    <hyperlink ref="W388" r:id="rId764" display="https://reklama.cncenter.cz/Online/Bumper"/>
    <hyperlink ref="W389" r:id="rId765" display="https://reklama.cncenter.cz/Online/double-skyscraper"/>
    <hyperlink ref="W390" r:id="rId766" display="https://reklama.cncenter.cz/Online/Videospot"/>
    <hyperlink ref="W391" r:id="rId767" display="https://reklama.cncenter.cz/Online/mobilni-interscroller"/>
    <hyperlink ref="W392" r:id="rId768" display="https://reklama.cncenter.cz/Online/mobilni-slide-up"/>
    <hyperlink ref="W393" r:id="rId769" display="https://reklama.cncenter.cz/Online/mobilni-vineta"/>
    <hyperlink ref="W394" r:id="rId770" display="https://reklama.cncenter.cz/Online/nativni-rectangle-cross-device"/>
    <hyperlink ref="W395" r:id="rId771" display="https://reklama.cncenter.cz/Online/Outstream"/>
    <hyperlink ref="W396" r:id="rId772" display="https://reklama.cncenter.cz/Online/Smarticle"/>
    <hyperlink ref="W397" r:id="rId773" display="https://reklama.cncenter.cz/Online/Bumper"/>
    <hyperlink ref="D398" r:id="rId774" display="https://digiarena.zive.cz/"/>
    <hyperlink ref="F398" r:id="rId775" display="https://digiarena.zive.cz/"/>
    <hyperlink ref="D399" r:id="rId776" display="https://digiarena.zive.cz/"/>
    <hyperlink ref="F399" r:id="rId777" display="https://digiarena.zive.cz/"/>
    <hyperlink ref="W399" r:id="rId778" display="https://reklama.cncenter.cz/Online/billboard-bottom"/>
    <hyperlink ref="D400" r:id="rId779" display="https://digiarena.zive.cz/"/>
    <hyperlink ref="F400" r:id="rId780" display="https://digiarena.zive.cz/"/>
    <hyperlink ref="W400" r:id="rId781" display="https://reklama.cncenter.cz/Online/branding-cross-device"/>
    <hyperlink ref="D401" r:id="rId782" display="https://digiarena.zive.cz/"/>
    <hyperlink ref="F401" r:id="rId783" display="https://digiarena.zive.cz/"/>
    <hyperlink ref="W401" r:id="rId784" display="https://reklama.cncenter.cz/Online/branding"/>
    <hyperlink ref="D402" r:id="rId785" display="https://digiarena.zive.cz/"/>
    <hyperlink ref="F402" r:id="rId786" display="https://digiarena.zive.cz/"/>
    <hyperlink ref="W402" r:id="rId787" display="https://reklama.cncenter.cz/Online/billboard-bottom"/>
    <hyperlink ref="D403" r:id="rId788" display="https://digiarena.zive.cz/"/>
    <hyperlink ref="F403" r:id="rId789" display="https://digiarena.zive.cz/"/>
    <hyperlink ref="W403" r:id="rId790" display="https://reklama.cncenter.cz/Online/branding-cross-device"/>
    <hyperlink ref="D404" r:id="rId791" display="https://digiarena.zive.cz/"/>
    <hyperlink ref="F404" r:id="rId792" display="https://digiarena.zive.cz/"/>
    <hyperlink ref="W404" r:id="rId793" display="https://reklama.cncenter.cz/Online/branding"/>
    <hyperlink ref="D405" r:id="rId794" display="https://digiarena.zive.cz/"/>
    <hyperlink ref="F405" r:id="rId795" display="https://digiarena.zive.cz/"/>
    <hyperlink ref="W405" r:id="rId796" display="https://reklama.cncenter.cz/Online/double-skyscraper"/>
    <hyperlink ref="D406" r:id="rId797" display="https://digiarena.zive.cz/"/>
    <hyperlink ref="F406" r:id="rId798" display="https://digiarena.zive.cz/"/>
    <hyperlink ref="W406" r:id="rId799" display="https://reklama.cncenter.cz/Online/mobilni-interscroller"/>
    <hyperlink ref="D407" r:id="rId800" display="https://digiarena.zive.cz/"/>
    <hyperlink ref="F407" r:id="rId801" display="https://digiarena.zive.cz/"/>
    <hyperlink ref="W407" r:id="rId802" display="https://reklama.cncenter.cz/Online/mobilni-slide-up"/>
    <hyperlink ref="D408" r:id="rId803" display="https://digiarena.zive.cz/"/>
    <hyperlink ref="F408" r:id="rId804" display="https://digiarena.zive.cz/"/>
    <hyperlink ref="W408" r:id="rId805" display="https://reklama.cncenter.cz/Online/mobilni-vineta"/>
    <hyperlink ref="D409" r:id="rId806" display="https://digiarena.zive.cz/"/>
    <hyperlink ref="F409" r:id="rId807" display="https://digiarena.zive.cz/"/>
    <hyperlink ref="W409" r:id="rId808" display="https://reklama.cncenter.cz/Online/nativni-rectangle-cross-device"/>
    <hyperlink ref="D410" r:id="rId809" display="https://digiarena.zive.cz/"/>
    <hyperlink ref="F410" r:id="rId810" display="https://digiarena.zive.cz/"/>
    <hyperlink ref="W410" r:id="rId811" display="https://reklama.cncenter.cz/Online/Outstream"/>
    <hyperlink ref="D411" r:id="rId812" display="https://digiarena.zive.cz/"/>
    <hyperlink ref="F411" r:id="rId813" display="https://digiarena.zive.cz/"/>
    <hyperlink ref="D412" r:id="rId814" display="https://digiarena.zive.cz/"/>
    <hyperlink ref="F412" r:id="rId815" display="https://digiarena.zive.cz/"/>
    <hyperlink ref="W412" r:id="rId816" display="https://reklama.cncenter.cz/Online/double-skyscraper"/>
    <hyperlink ref="D413" r:id="rId817" display="https://digiarena.zive.cz/"/>
    <hyperlink ref="F413" r:id="rId818" display="https://digiarena.zive.cz/"/>
    <hyperlink ref="W413" r:id="rId819" display="https://reklama.cncenter.cz/Online/mobilni-interscroller"/>
    <hyperlink ref="D414" r:id="rId820" display="https://digiarena.zive.cz/"/>
    <hyperlink ref="F414" r:id="rId821" display="https://digiarena.zive.cz/"/>
    <hyperlink ref="W414" r:id="rId822" display="https://reklama.cncenter.cz/Online/mobilni-slide-up"/>
    <hyperlink ref="D415" r:id="rId823" display="https://digiarena.zive.cz/"/>
    <hyperlink ref="F415" r:id="rId824" display="https://digiarena.zive.cz/"/>
    <hyperlink ref="W415" r:id="rId825" display="https://reklama.cncenter.cz/Online/mobilni-vineta"/>
    <hyperlink ref="D416" r:id="rId826" display="https://digiarena.zive.cz/"/>
    <hyperlink ref="F416" r:id="rId827" display="https://digiarena.zive.cz/"/>
    <hyperlink ref="D417" r:id="rId828" display="https://digiarena.zive.cz/"/>
    <hyperlink ref="F417" r:id="rId829" display="https://digiarena.zive.cz/"/>
    <hyperlink ref="W417" r:id="rId830" display="https://reklama.cncenter.cz/Online/nativni-rectangle-cross-device"/>
    <hyperlink ref="D418" r:id="rId831" display="https://digiarena.zive.cz/"/>
    <hyperlink ref="F418" r:id="rId832" display="https://digiarena.zive.cz/"/>
    <hyperlink ref="W418" r:id="rId833" display="https://reklama.cncenter.cz/Online/Outstream"/>
    <hyperlink ref="D419" r:id="rId834" display="https://digiarena.zive.cz/"/>
    <hyperlink ref="F419" r:id="rId835" display="https://digiarena.zive.cz/"/>
    <hyperlink ref="W419" r:id="rId836" display="https://reklama.cncenter.cz/?ads=PR%2520%25C4%258Dl%25C3%25A1nky"/>
    <hyperlink ref="D420" r:id="rId837" display="https://digiarena.zive.cz/"/>
    <hyperlink ref="F420" r:id="rId838" display="https://digiarena.zive.cz/"/>
    <hyperlink ref="D421" r:id="rId839" display="https://digiarena.zive.cz/"/>
    <hyperlink ref="F421" r:id="rId840" display="https://digiarena.zive.cz/"/>
    <hyperlink ref="D422" r:id="rId841" display="https://digiarena.zive.cz/"/>
    <hyperlink ref="F422" r:id="rId842" display="https://digiarena.zive.cz/"/>
    <hyperlink ref="D423" r:id="rId843" display="https://doupe.zive.cz/"/>
    <hyperlink ref="F423" r:id="rId844" display="https://doupe.zive.cz/"/>
    <hyperlink ref="D424" r:id="rId845" display="https://doupe.zive.cz/"/>
    <hyperlink ref="F424" r:id="rId846" display="https://doupe.zive.cz/"/>
    <hyperlink ref="W424" r:id="rId847" display="https://reklama.cncenter.cz/Online/billboard-bottom"/>
    <hyperlink ref="D425" r:id="rId848" display="https://doupe.zive.cz/"/>
    <hyperlink ref="F425" r:id="rId849" display="https://doupe.zive.cz/"/>
    <hyperlink ref="W425" r:id="rId850" display="https://reklama.cncenter.cz/Online/branding-cross-device"/>
    <hyperlink ref="D426" r:id="rId851" display="https://doupe.zive.cz/"/>
    <hyperlink ref="F426" r:id="rId852" display="https://doupe.zive.cz/"/>
    <hyperlink ref="W426" r:id="rId853" display="https://reklama.cncenter.cz/Online/branding"/>
    <hyperlink ref="D427" r:id="rId854" display="https://doupe.zive.cz/"/>
    <hyperlink ref="F427" r:id="rId855" display="https://doupe.zive.cz/"/>
    <hyperlink ref="W427" r:id="rId856" display="https://reklama.cncenter.cz/Online/billboard-bottom"/>
    <hyperlink ref="D428" r:id="rId857" display="https://doupe.zive.cz/"/>
    <hyperlink ref="F428" r:id="rId858" display="https://doupe.zive.cz/"/>
    <hyperlink ref="W428" r:id="rId859" display="https://reklama.cncenter.cz/Online/branding-cross-device"/>
    <hyperlink ref="D429" r:id="rId860" display="https://doupe.zive.cz/"/>
    <hyperlink ref="F429" r:id="rId861" display="https://doupe.zive.cz/"/>
    <hyperlink ref="W429" r:id="rId862" display="https://reklama.cncenter.cz/Online/branding"/>
    <hyperlink ref="D430" r:id="rId863" display="https://doupe.zive.cz/"/>
    <hyperlink ref="F430" r:id="rId864" display="https://doupe.zive.cz/"/>
    <hyperlink ref="W430" r:id="rId865" display="https://reklama.cncenter.cz/Online/double-skyscraper"/>
    <hyperlink ref="D431" r:id="rId866" display="https://doupe.zive.cz/"/>
    <hyperlink ref="F431" r:id="rId867" display="https://doupe.zive.cz/"/>
    <hyperlink ref="W431" r:id="rId868" display="https://reklama.cncenter.cz/Online/mobilni-interscroller"/>
    <hyperlink ref="D432" r:id="rId869" display="https://doupe.zive.cz/"/>
    <hyperlink ref="F432" r:id="rId870" display="https://doupe.zive.cz/"/>
    <hyperlink ref="W432" r:id="rId871" display="https://reklama.cncenter.cz/Online/mobilni-slide-up"/>
    <hyperlink ref="D433" r:id="rId872" display="https://doupe.zive.cz/"/>
    <hyperlink ref="F433" r:id="rId873" display="https://doupe.zive.cz/"/>
    <hyperlink ref="W433" r:id="rId874" display="https://reklama.cncenter.cz/Online/mobilni-vineta"/>
    <hyperlink ref="D434" r:id="rId875" display="https://doupe.zive.cz/"/>
    <hyperlink ref="F434" r:id="rId876" display="https://doupe.zive.cz/"/>
    <hyperlink ref="W434" r:id="rId877" display="https://reklama.cncenter.cz/Online/nativni-rectangle-cross-device"/>
    <hyperlink ref="D435" r:id="rId878" display="https://doupe.zive.cz/"/>
    <hyperlink ref="F435" r:id="rId879" display="https://doupe.zive.cz/"/>
    <hyperlink ref="W435" r:id="rId880" display="https://reklama.cncenter.cz/Online/Outstream"/>
    <hyperlink ref="D436" r:id="rId881" display="https://doupe.zive.cz/"/>
    <hyperlink ref="F436" r:id="rId882" display="https://doupe.zive.cz/"/>
    <hyperlink ref="D437" r:id="rId883" display="https://doupe.zive.cz/"/>
    <hyperlink ref="F437" r:id="rId884" display="https://doupe.zive.cz/"/>
    <hyperlink ref="W437" r:id="rId885" display="https://reklama.cncenter.cz/Online/double-skyscraper"/>
    <hyperlink ref="D438" r:id="rId886" display="https://doupe.zive.cz/"/>
    <hyperlink ref="F438" r:id="rId887" display="https://doupe.zive.cz/"/>
    <hyperlink ref="W438" r:id="rId888" display="https://reklama.cncenter.cz/Online/mobilni-interscroller"/>
    <hyperlink ref="D439" r:id="rId889" display="https://doupe.zive.cz/"/>
    <hyperlink ref="F439" r:id="rId890" display="https://doupe.zive.cz/"/>
    <hyperlink ref="W439" r:id="rId891" display="https://reklama.cncenter.cz/Online/mobilni-slide-up"/>
    <hyperlink ref="D440" r:id="rId892" display="https://doupe.zive.cz/"/>
    <hyperlink ref="F440" r:id="rId893" display="https://doupe.zive.cz/"/>
    <hyperlink ref="W440" r:id="rId894" display="https://reklama.cncenter.cz/Online/mobilni-vineta"/>
    <hyperlink ref="D441" r:id="rId895" display="https://doupe.zive.cz/"/>
    <hyperlink ref="F441" r:id="rId896" display="https://doupe.zive.cz/"/>
    <hyperlink ref="D442" r:id="rId897" display="https://doupe.zive.cz/"/>
    <hyperlink ref="F442" r:id="rId898" display="https://doupe.zive.cz/"/>
    <hyperlink ref="W442" r:id="rId899" display="https://reklama.cncenter.cz/Online/nativni-rectangle-cross-device"/>
    <hyperlink ref="D443" r:id="rId900" display="https://doupe.zive.cz/"/>
    <hyperlink ref="F443" r:id="rId901" display="https://doupe.zive.cz/"/>
    <hyperlink ref="W443" r:id="rId902" display="https://reklama.cncenter.cz/Online/Outstream"/>
    <hyperlink ref="D444" r:id="rId903" display="https://doupe.zive.cz/"/>
    <hyperlink ref="F444" r:id="rId904" display="https://doupe.zive.cz/"/>
    <hyperlink ref="W444" r:id="rId905" display="https://reklama.cncenter.cz/?ads=PR%2520%25C4%258Dl%25C3%25A1nky"/>
    <hyperlink ref="D445" r:id="rId906" display="https://doupe.zive.cz/"/>
    <hyperlink ref="F445" r:id="rId907" display="https://doupe.zive.cz/"/>
    <hyperlink ref="D446" r:id="rId908" display="https://doupe.zive.cz/"/>
    <hyperlink ref="F446" r:id="rId909" display="https://doupe.zive.cz/"/>
    <hyperlink ref="D447" r:id="rId910" display="https://doupe.zive.cz/"/>
    <hyperlink ref="F447" r:id="rId911" display="https://doupe.zive.cz/"/>
    <hyperlink ref="D448" r:id="rId912" display="https://dama.cz/"/>
    <hyperlink ref="F448" r:id="rId913" display="https://dama.cz/"/>
    <hyperlink ref="D449" r:id="rId914" display="https://dama.cz/"/>
    <hyperlink ref="F449" r:id="rId915" display="https://dama.cz/"/>
    <hyperlink ref="W449" r:id="rId916" display="https://reklama.cncenter.cz/Online/billboard-bottom"/>
    <hyperlink ref="D450" r:id="rId917" display="https://dama.cz/"/>
    <hyperlink ref="F450" r:id="rId918" display="https://dama.cz/"/>
    <hyperlink ref="W450" r:id="rId919" display="https://reklama.cncenter.cz/Online/branding-cross-device"/>
    <hyperlink ref="D451" r:id="rId920" display="https://dama.cz/"/>
    <hyperlink ref="F451" r:id="rId921" display="https://dama.cz/"/>
    <hyperlink ref="W451" r:id="rId922" display="https://reklama.cncenter.cz/Online/branding"/>
    <hyperlink ref="D452" r:id="rId923" display="https://dama.cz/"/>
    <hyperlink ref="F452" r:id="rId924" display="https://dama.cz/"/>
    <hyperlink ref="W452" r:id="rId925" display="https://reklama.cncenter.cz/Online/billboard-bottom"/>
    <hyperlink ref="D453" r:id="rId926" display="https://dama.cz/"/>
    <hyperlink ref="F453" r:id="rId927" display="https://dama.cz/"/>
    <hyperlink ref="W453" r:id="rId928" display="https://reklama.cncenter.cz/Online/branding-cross-device"/>
    <hyperlink ref="D454" r:id="rId929" display="https://dama.cz/"/>
    <hyperlink ref="F454" r:id="rId930" display="https://dama.cz/"/>
    <hyperlink ref="W454" r:id="rId931" display="https://reklama.cncenter.cz/Online/branding"/>
    <hyperlink ref="D455" r:id="rId932" display="https://dama.cz/"/>
    <hyperlink ref="F455" r:id="rId933" display="https://dama.cz/"/>
    <hyperlink ref="W455" r:id="rId934" display="https://reklama.cncenter.cz/Online/double-skyscraper"/>
    <hyperlink ref="D456" r:id="rId935" display="https://dama.cz/"/>
    <hyperlink ref="F456" r:id="rId936" display="https://dama.cz/"/>
    <hyperlink ref="W456" r:id="rId937" display="https://reklama.cncenter.cz/Online/Videospot"/>
    <hyperlink ref="D457" r:id="rId938" display="https://dama.cz/"/>
    <hyperlink ref="F457" r:id="rId939" display="https://dama.cz/"/>
    <hyperlink ref="W457" r:id="rId940" display="https://reklama.cncenter.cz/Online/mobilni-interscroller"/>
    <hyperlink ref="D458" r:id="rId941" display="https://dama.cz/"/>
    <hyperlink ref="F458" r:id="rId942" display="https://dama.cz/"/>
    <hyperlink ref="W458" r:id="rId943" display="https://reklama.cncenter.cz/Online/mobilni-slide-up"/>
    <hyperlink ref="D459" r:id="rId944" display="https://dama.cz/"/>
    <hyperlink ref="F459" r:id="rId945" display="https://dama.cz/"/>
    <hyperlink ref="W459" r:id="rId946" display="https://reklama.cncenter.cz/Online/mobilni-vineta"/>
    <hyperlink ref="D460" r:id="rId947" display="https://dama.cz/"/>
    <hyperlink ref="F460" r:id="rId948" display="https://dama.cz/"/>
    <hyperlink ref="W460" r:id="rId949" display="https://reklama.cncenter.cz/Online/nativni-PR-premium"/>
    <hyperlink ref="D461" r:id="rId950" display="https://dama.cz/"/>
    <hyperlink ref="F461" r:id="rId951" display="https://dama.cz/"/>
    <hyperlink ref="W461" r:id="rId952" display="https://reklama.cncenter.cz/Online/nativni-rectangle-cross-device"/>
    <hyperlink ref="D462" r:id="rId953" display="https://dama.cz/"/>
    <hyperlink ref="F462" r:id="rId954" display="https://dama.cz/"/>
    <hyperlink ref="W462" r:id="rId955" display="https://reklama.cncenter.cz/Online/Outstream"/>
    <hyperlink ref="D463" r:id="rId956" display="https://dama.cz/"/>
    <hyperlink ref="F463" r:id="rId957" display="https://dama.cz/"/>
    <hyperlink ref="W463" r:id="rId958" display="https://reklama.cncenter.cz/Online/Bumper"/>
    <hyperlink ref="D464" r:id="rId959" display="https://dama.cz/"/>
    <hyperlink ref="F464" r:id="rId960" display="https://dama.cz/"/>
    <hyperlink ref="D465" r:id="rId961" display="https://dama.cz/"/>
    <hyperlink ref="F465" r:id="rId962" display="https://dama.cz/"/>
    <hyperlink ref="W465" r:id="rId963" display="https://reklama.cncenter.cz/Online/double-skyscraper"/>
    <hyperlink ref="D466" r:id="rId964" display="https://dama.cz/"/>
    <hyperlink ref="F466" r:id="rId965" display="https://dama.cz/"/>
    <hyperlink ref="W466" r:id="rId966" display="https://reklama.cncenter.cz/Online/Videospot"/>
    <hyperlink ref="D467" r:id="rId967" display="https://dama.cz/"/>
    <hyperlink ref="F467" r:id="rId968" display="https://dama.cz/"/>
    <hyperlink ref="W467" r:id="rId969" display="https://reklama.cncenter.cz/Online/mobilni-interscroller"/>
    <hyperlink ref="D468" r:id="rId970" display="https://dama.cz/"/>
    <hyperlink ref="F468" r:id="rId971" display="https://dama.cz/"/>
    <hyperlink ref="W468" r:id="rId972" display="https://reklama.cncenter.cz/Online/mobilni-slide-up"/>
    <hyperlink ref="D469" r:id="rId973" display="https://dama.cz/"/>
    <hyperlink ref="F469" r:id="rId974" display="https://dama.cz/"/>
    <hyperlink ref="W469" r:id="rId975" display="https://reklama.cncenter.cz/Online/mobilni-vineta"/>
    <hyperlink ref="D470" r:id="rId976" display="https://dama.cz/"/>
    <hyperlink ref="F470" r:id="rId977" display="https://dama.cz/"/>
    <hyperlink ref="D471" r:id="rId978" display="https://dama.cz/"/>
    <hyperlink ref="F471" r:id="rId979" display="https://dama.cz/"/>
    <hyperlink ref="W471" r:id="rId980" display="https://reklama.cncenter.cz/Online/nativni-PR-premium"/>
    <hyperlink ref="D472" r:id="rId981" display="https://dama.cz/"/>
    <hyperlink ref="F472" r:id="rId982" display="https://dama.cz/"/>
    <hyperlink ref="W472" r:id="rId983" display="https://reklama.cncenter.cz/Online/nativni-rectangle-cross-device"/>
    <hyperlink ref="D473" r:id="rId984" display="https://dama.cz/"/>
    <hyperlink ref="F473" r:id="rId985" display="https://dama.cz/"/>
    <hyperlink ref="W473" r:id="rId986" display="https://reklama.cncenter.cz/Online/Outstream"/>
    <hyperlink ref="D474" r:id="rId987" display="https://dama.cz/"/>
    <hyperlink ref="F474" r:id="rId988" display="https://dama.cz/"/>
    <hyperlink ref="W474" r:id="rId989" display="https://reklama.cncenter.cz/?ads=PR%2520%25C4%258Dl%25C3%25A1nky"/>
    <hyperlink ref="D475" r:id="rId990" display="https://dama.cz/"/>
    <hyperlink ref="F475" r:id="rId991" display="https://dama.cz/"/>
    <hyperlink ref="D476" r:id="rId992" display="https://dama.cz/"/>
    <hyperlink ref="F476" r:id="rId993" display="https://dama.cz/"/>
    <hyperlink ref="D477" r:id="rId994" display="https://dama.cz/"/>
    <hyperlink ref="F477" r:id="rId995" display="https://dama.cz/"/>
    <hyperlink ref="D478" r:id="rId996" display="https://dama.cz/"/>
    <hyperlink ref="F478" r:id="rId997" display="https://dama.cz/"/>
    <hyperlink ref="W478" r:id="rId998" display="https://reklama.cncenter.cz/Online/Bumper"/>
    <hyperlink ref="W480" r:id="rId999" display="https://reklama.cncenter.cz/Online/billboard-bottom"/>
    <hyperlink ref="W481" r:id="rId1000" display="https://reklama.cncenter.cz/Online/branding-cross-device"/>
    <hyperlink ref="W482" r:id="rId1001" display="https://reklama.cncenter.cz/Online/branding"/>
    <hyperlink ref="W483" r:id="rId1002" display="https://reklama.cncenter.cz/Online/billboard-bottom"/>
    <hyperlink ref="W484" r:id="rId1003" display="https://reklama.cncenter.cz/Online/branding-cross-device"/>
    <hyperlink ref="W485" r:id="rId1004" display="https://reklama.cncenter.cz/Online/branding"/>
    <hyperlink ref="W486" r:id="rId1005" display="https://reklama.cncenter.cz/Online/double-skyscraper"/>
    <hyperlink ref="W487" r:id="rId1006" display="https://reklama.cncenter.cz/Online/Videospot"/>
    <hyperlink ref="W488" r:id="rId1007" display="https://reklama.cncenter.cz/Online/mobilni-interscroller"/>
    <hyperlink ref="W489" r:id="rId1008" display="https://reklama.cncenter.cz/Online/mobilni-slide-up"/>
    <hyperlink ref="W490" r:id="rId1009" display="https://reklama.cncenter.cz/Online/mobilni-vineta"/>
    <hyperlink ref="W491" r:id="rId1010" display="https://reklama.cncenter.cz/Online/nativni-rectangle-cross-device"/>
    <hyperlink ref="W492" r:id="rId1011" display="https://reklama.cncenter.cz/Online/Outstream"/>
    <hyperlink ref="W493" r:id="rId1012" display="https://reklama.cncenter.cz/Online/Bumper"/>
    <hyperlink ref="W495" r:id="rId1013" display="https://reklama.cncenter.cz/Online/double-skyscraper"/>
    <hyperlink ref="W496" r:id="rId1014" display="https://reklama.cncenter.cz/Online/Videospot"/>
    <hyperlink ref="W497" r:id="rId1015" display="https://reklama.cncenter.cz/Online/mobilni-interscroller"/>
    <hyperlink ref="W498" r:id="rId1016" display="https://reklama.cncenter.cz/Online/mobilni-slide-up"/>
    <hyperlink ref="W499" r:id="rId1017" display="https://reklama.cncenter.cz/Online/mobilni-vineta"/>
    <hyperlink ref="W501" r:id="rId1018" display="https://reklama.cncenter.cz/Online/nativni-rectangle-cross-device"/>
    <hyperlink ref="W502" r:id="rId1019" display="https://reklama.cncenter.cz/Online/Outstream"/>
    <hyperlink ref="W504" r:id="rId1020" display="https://reklama.cncenter.cz/?ads=PR%2520%25C4%258Dl%25C3%25A1nky"/>
    <hyperlink ref="W508" r:id="rId1021" display="https://reklama.cncenter.cz/Online/Bumper"/>
    <hyperlink ref="D509" r:id="rId1022" display="https://evropa2.cz/"/>
    <hyperlink ref="F509" r:id="rId1023" display="https://evropa2.cz/"/>
    <hyperlink ref="W509" r:id="rId1024" display="https://reklama.cncenter.cz/Online/branding-cross-device"/>
    <hyperlink ref="D510" r:id="rId1025" display="https://evropa2.cz/"/>
    <hyperlink ref="F510" r:id="rId1026" display="https://evropa2.cz/"/>
    <hyperlink ref="W510" r:id="rId1027" display="https://reklama.cncenter.cz/Online/branding"/>
    <hyperlink ref="D511" r:id="rId1028" display="https://evropa2.cz/"/>
    <hyperlink ref="F511" r:id="rId1029" display="https://evropa2.cz/"/>
    <hyperlink ref="W511" r:id="rId1030" display="https://reklama.cncenter.cz/Online/branding-cross-device"/>
    <hyperlink ref="D512" r:id="rId1031" display="https://evropa2.cz/"/>
    <hyperlink ref="F512" r:id="rId1032" display="https://evropa2.cz/"/>
    <hyperlink ref="W512" r:id="rId1033" display="https://reklama.cncenter.cz/Online/branding"/>
    <hyperlink ref="D513" r:id="rId1034" display="https://evropa2.cz/"/>
    <hyperlink ref="F513" r:id="rId1035" display="https://evropa2.cz/"/>
    <hyperlink ref="W513" r:id="rId1036" display="https://reklama.cncenter.cz/Online/double-skyscraper"/>
    <hyperlink ref="D514" r:id="rId1037" display="https://evropa2.cz/"/>
    <hyperlink ref="F514" r:id="rId1038" display="https://evropa2.cz/"/>
    <hyperlink ref="W514" r:id="rId1039" display="https://reklama.cncenter.cz/Online/Videospot"/>
    <hyperlink ref="D515" r:id="rId1040" display="https://evropa2.cz/"/>
    <hyperlink ref="F515" r:id="rId1041" display="https://evropa2.cz/"/>
    <hyperlink ref="W515" r:id="rId1042" display="https://reklama.cncenter.cz/Online/mobilni-interscroller"/>
    <hyperlink ref="D516" r:id="rId1043" display="https://evropa2.cz/"/>
    <hyperlink ref="F516" r:id="rId1044" display="https://evropa2.cz/"/>
    <hyperlink ref="W516" r:id="rId1045" display="https://reklama.cncenter.cz/Online/mobilni-slide-up"/>
    <hyperlink ref="D517" r:id="rId1046" display="https://evropa2.cz/"/>
    <hyperlink ref="F517" r:id="rId1047" display="https://evropa2.cz/"/>
    <hyperlink ref="W517" r:id="rId1048" display="https://reklama.cncenter.cz/Online/mobilni-vineta"/>
    <hyperlink ref="D518" r:id="rId1049" display="https://evropa2.cz/"/>
    <hyperlink ref="F518" r:id="rId1050" display="https://evropa2.cz/"/>
    <hyperlink ref="W518" r:id="rId1051" display="https://reklama.cncenter.cz/Online/nativni-rectangle-cross-device"/>
    <hyperlink ref="D519" r:id="rId1052" display="https://evropa2.cz/"/>
    <hyperlink ref="F519" r:id="rId1053" display="https://evropa2.cz/"/>
    <hyperlink ref="W519" r:id="rId1054" display="https://reklama.cncenter.cz/Online/Bumper"/>
    <hyperlink ref="D520" r:id="rId1055" display="https://evropa2.cz/"/>
    <hyperlink ref="F520" r:id="rId1056" display="https://evropa2.cz/"/>
    <hyperlink ref="W520" r:id="rId1057" display="https://reklama.cncenter.cz/Online/double-skyscraper"/>
    <hyperlink ref="D521" r:id="rId1058" display="https://evropa2.cz/"/>
    <hyperlink ref="F521" r:id="rId1059" display="https://evropa2.cz/"/>
    <hyperlink ref="W521" r:id="rId1060" display="https://reklama.cncenter.cz/Online/Videospot"/>
    <hyperlink ref="D522" r:id="rId1061" display="https://evropa2.cz/"/>
    <hyperlink ref="F522" r:id="rId1062" display="https://evropa2.cz/"/>
    <hyperlink ref="W522" r:id="rId1063" display="https://reklama.cncenter.cz/Online/mobilni-interscroller"/>
    <hyperlink ref="D523" r:id="rId1064" display="https://evropa2.cz/"/>
    <hyperlink ref="F523" r:id="rId1065" display="https://evropa2.cz/"/>
    <hyperlink ref="W523" r:id="rId1066" display="https://reklama.cncenter.cz/Online/mobilni-slide-up"/>
    <hyperlink ref="D524" r:id="rId1067" display="https://evropa2.cz/"/>
    <hyperlink ref="F524" r:id="rId1068" display="https://evropa2.cz/"/>
    <hyperlink ref="W524" r:id="rId1069" display="https://reklama.cncenter.cz/Online/mobilni-vineta"/>
    <hyperlink ref="D525" r:id="rId1070" display="https://evropa2.cz/"/>
    <hyperlink ref="F525" r:id="rId1071" display="https://evropa2.cz/"/>
    <hyperlink ref="W525" r:id="rId1072" display="https://reklama.cncenter.cz/Online/nativni-rectangle-cross-device"/>
    <hyperlink ref="D526" r:id="rId1073" display="https://evropa2.cz/"/>
    <hyperlink ref="F526" r:id="rId1074" display="https://evropa2.cz/"/>
    <hyperlink ref="W526" r:id="rId1075" display="https://reklama.cncenter.cz/Online/Bumper"/>
    <hyperlink ref="D527" r:id="rId1076" display="https://f1sport.auto.cz/"/>
    <hyperlink ref="F527" r:id="rId1077" display="https://f1sport.auto.cz/"/>
    <hyperlink ref="D528" r:id="rId1078" display="https://f1sport.auto.cz/"/>
    <hyperlink ref="F528" r:id="rId1079" display="https://f1sport.auto.cz/"/>
    <hyperlink ref="W528" r:id="rId1080" display="https://reklama.cncenter.cz/Online/billboard-bottom"/>
    <hyperlink ref="D529" r:id="rId1081" display="https://f1sport.auto.cz/"/>
    <hyperlink ref="F529" r:id="rId1082" display="https://f1sport.auto.cz/"/>
    <hyperlink ref="W529" r:id="rId1083" display="https://reklama.cncenter.cz/Online/branding-cross-device"/>
    <hyperlink ref="D530" r:id="rId1084" display="https://f1sport.auto.cz/"/>
    <hyperlink ref="F530" r:id="rId1085" display="https://f1sport.auto.cz/"/>
    <hyperlink ref="W530" r:id="rId1086" display="https://reklama.cncenter.cz/Online/branding"/>
    <hyperlink ref="D531" r:id="rId1087" display="https://f1sport.auto.cz/"/>
    <hyperlink ref="F531" r:id="rId1088" display="https://f1sport.auto.cz/"/>
    <hyperlink ref="W531" r:id="rId1089" display="https://reklama.cncenter.cz/Online/billboard-bottom"/>
    <hyperlink ref="D532" r:id="rId1090" display="https://f1sport.auto.cz/"/>
    <hyperlink ref="F532" r:id="rId1091" display="https://f1sport.auto.cz/"/>
    <hyperlink ref="W532" r:id="rId1092" display="https://reklama.cncenter.cz/Online/branding-cross-device"/>
    <hyperlink ref="D533" r:id="rId1093" display="https://f1sport.auto.cz/"/>
    <hyperlink ref="F533" r:id="rId1094" display="https://f1sport.auto.cz/"/>
    <hyperlink ref="W533" r:id="rId1095" display="https://reklama.cncenter.cz/Online/branding"/>
    <hyperlink ref="D534" r:id="rId1096" display="https://f1sport.auto.cz/"/>
    <hyperlink ref="F534" r:id="rId1097" display="https://f1sport.auto.cz/"/>
    <hyperlink ref="W534" r:id="rId1098" display="https://reklama.cncenter.cz/Online/double-skyscraper"/>
    <hyperlink ref="D535" r:id="rId1099" display="https://f1sport.auto.cz/"/>
    <hyperlink ref="F535" r:id="rId1100" display="https://f1sport.auto.cz/"/>
    <hyperlink ref="W535" r:id="rId1101" display="https://reklama.cncenter.cz/Online/mobilni-interscroller"/>
    <hyperlink ref="D536" r:id="rId1102" display="https://f1sport.auto.cz/"/>
    <hyperlink ref="F536" r:id="rId1103" display="https://f1sport.auto.cz/"/>
    <hyperlink ref="W536" r:id="rId1104" display="https://reklama.cncenter.cz/Online/mobilni-slide-up"/>
    <hyperlink ref="D537" r:id="rId1105" display="https://f1sport.auto.cz/"/>
    <hyperlink ref="F537" r:id="rId1106" display="https://f1sport.auto.cz/"/>
    <hyperlink ref="W537" r:id="rId1107" display="https://reklama.cncenter.cz/Online/mobilni-vineta"/>
    <hyperlink ref="D538" r:id="rId1108" display="https://f1sport.auto.cz/"/>
    <hyperlink ref="F538" r:id="rId1109" display="https://f1sport.auto.cz/"/>
    <hyperlink ref="W538" r:id="rId1110" display="https://reklama.cncenter.cz/Online/nativni-rectangle-cross-device"/>
    <hyperlink ref="D539" r:id="rId1111" display="https://f1sport.auto.cz/"/>
    <hyperlink ref="F539" r:id="rId1112" display="https://f1sport.auto.cz/"/>
    <hyperlink ref="W539" r:id="rId1113" display="https://reklama.cncenter.cz/Online/Outstream"/>
    <hyperlink ref="D540" r:id="rId1114" display="https://f1sport.auto.cz/"/>
    <hyperlink ref="F540" r:id="rId1115" display="https://f1sport.auto.cz/"/>
    <hyperlink ref="D541" r:id="rId1116" display="https://f1sport.auto.cz/"/>
    <hyperlink ref="F541" r:id="rId1117" display="https://f1sport.auto.cz/"/>
    <hyperlink ref="W541" r:id="rId1118" display="https://reklama.cncenter.cz/Online/double-skyscraper"/>
    <hyperlink ref="D542" r:id="rId1119" display="https://f1sport.auto.cz/"/>
    <hyperlink ref="F542" r:id="rId1120" display="https://f1sport.auto.cz/"/>
    <hyperlink ref="W542" r:id="rId1121" display="https://reklama.cncenter.cz/Online/mobilni-interscroller"/>
    <hyperlink ref="D543" r:id="rId1122" display="https://f1sport.auto.cz/"/>
    <hyperlink ref="F543" r:id="rId1123" display="https://f1sport.auto.cz/"/>
    <hyperlink ref="W543" r:id="rId1124" display="https://reklama.cncenter.cz/Online/mobilni-slide-up"/>
    <hyperlink ref="D544" r:id="rId1125" display="https://f1sport.auto.cz/"/>
    <hyperlink ref="F544" r:id="rId1126" display="https://f1sport.auto.cz/"/>
    <hyperlink ref="W544" r:id="rId1127" display="https://reklama.cncenter.cz/Online/mobilni-vineta"/>
    <hyperlink ref="D545" r:id="rId1128" display="https://f1sport.auto.cz/"/>
    <hyperlink ref="F545" r:id="rId1129" display="https://f1sport.auto.cz/"/>
    <hyperlink ref="D546" r:id="rId1130" display="https://f1sport.auto.cz/"/>
    <hyperlink ref="F546" r:id="rId1131" display="https://f1sport.auto.cz/"/>
    <hyperlink ref="W546" r:id="rId1132" display="https://reklama.cncenter.cz/Online/nativni-rectangle-cross-device"/>
    <hyperlink ref="D547" r:id="rId1133" display="https://f1sport.auto.cz/"/>
    <hyperlink ref="F547" r:id="rId1134" display="https://f1sport.auto.cz/"/>
    <hyperlink ref="W547" r:id="rId1135" display="https://reklama.cncenter.cz/Online/Outstream"/>
    <hyperlink ref="D548" r:id="rId1136" display="https://f1sport.auto.cz/"/>
    <hyperlink ref="F548" r:id="rId1137" display="https://f1sport.auto.cz/"/>
    <hyperlink ref="W548" r:id="rId1138" display="https://reklama.cncenter.cz/?ads=PR%2520%25C4%258Dl%25C3%25A1nky"/>
    <hyperlink ref="D549" r:id="rId1139" display="https://f1sport.auto.cz/"/>
    <hyperlink ref="F549" r:id="rId1140" display="https://f1sport.auto.cz/"/>
    <hyperlink ref="D550" r:id="rId1141" display="https://f1sport.auto.cz/"/>
    <hyperlink ref="F550" r:id="rId1142" display="https://f1sport.auto.cz/"/>
    <hyperlink ref="D551" r:id="rId1143" display="https://f1sport.auto.cz/"/>
    <hyperlink ref="F551" r:id="rId1144" display="https://f1sport.auto.cz/"/>
    <hyperlink ref="D552" r:id="rId1145" display="http://www.facebook.com/"/>
    <hyperlink ref="F552" r:id="rId1146" display="http://www.facebook.com/"/>
    <hyperlink ref="W552" r:id="rId1147" display="https://www.facebook.com/business/ads-guide/image/facebook-feed"/>
    <hyperlink ref="D553" r:id="rId1148" display="http://www.facebook.com/"/>
    <hyperlink ref="F553" r:id="rId1149" display="http://www.facebook.com/"/>
    <hyperlink ref="W553" r:id="rId1150" display="https://www.facebook.com/business/ads-guide/image/facebook-feed"/>
    <hyperlink ref="D554" r:id="rId1151" display="http://www.facebook.com/"/>
    <hyperlink ref="F554" r:id="rId1152" display="http://www.facebook.com/"/>
    <hyperlink ref="W554" r:id="rId1153" display="https://www.facebook.com/business/ads-guide/image/facebook-feed"/>
    <hyperlink ref="D555" r:id="rId1154" display="http://www.facebook.com/"/>
    <hyperlink ref="F555" r:id="rId1155" display="http://www.facebook.com/"/>
    <hyperlink ref="W555" r:id="rId1156" display="https://www.facebook.com/business/ads-guide/image/facebook-feed"/>
    <hyperlink ref="D556" r:id="rId1157" display="http://www.facebook.com/"/>
    <hyperlink ref="F556" r:id="rId1158" display="http://www.facebook.com/"/>
    <hyperlink ref="W556" r:id="rId1159" display="https://www.facebook.com/business/ads-guide/image/facebook-feed"/>
    <hyperlink ref="D557" r:id="rId1160" display="http://www.facebook.com/"/>
    <hyperlink ref="F557" r:id="rId1161" display="http://www.facebook.com/"/>
    <hyperlink ref="W557" r:id="rId1162" display="https://www.facebook.com/business/ads-guide/image/facebook-feed"/>
    <hyperlink ref="D558" r:id="rId1163" display="http://www.facebook.com/"/>
    <hyperlink ref="F558" r:id="rId1164" display="http://www.facebook.com/"/>
    <hyperlink ref="W558" r:id="rId1165" display="https://www.facebook.com/business/ads-guide/image/facebook-feed"/>
    <hyperlink ref="D559" r:id="rId1166" display="http://www.facebook.com/"/>
    <hyperlink ref="F559" r:id="rId1167" display="http://www.facebook.com/"/>
    <hyperlink ref="W559" r:id="rId1168" display="https://www.facebook.com/business/ads-guide/image/facebook-feed"/>
    <hyperlink ref="D560" r:id="rId1169" display="http://www.facebook.com/"/>
    <hyperlink ref="F560" r:id="rId1170" display="http://www.facebook.com/"/>
    <hyperlink ref="W560" r:id="rId1171" display="https://www.facebook.com/business/ads-guide/image/facebook-feed"/>
    <hyperlink ref="D561" r:id="rId1172" display="http://www.facebook.com/"/>
    <hyperlink ref="F561" r:id="rId1173" display="http://www.facebook.com/"/>
    <hyperlink ref="W561" r:id="rId1174" display="https://www.facebook.com/business/ads-guide/image/facebook-feed"/>
    <hyperlink ref="D562" r:id="rId1175" display="http://www.facebook.com/"/>
    <hyperlink ref="F562" r:id="rId1176" display="http://www.facebook.com/"/>
    <hyperlink ref="W562" r:id="rId1177" display="https://www.facebook.com/business/ads-guide/image/facebook-feed"/>
    <hyperlink ref="D563" r:id="rId1178" display="http://www.facebook.com/"/>
    <hyperlink ref="F563" r:id="rId1179" display="http://www.facebook.com/"/>
    <hyperlink ref="W563" r:id="rId1180" display="https://www.facebook.com/business/ads-guide/image/facebook-feed"/>
    <hyperlink ref="D564" r:id="rId1181" display="http://www.facebook.com/"/>
    <hyperlink ref="F564" r:id="rId1182" display="http://www.facebook.com/"/>
    <hyperlink ref="W564" r:id="rId1183" display="https://www.facebook.com/business/ads-guide/image/facebook-feed"/>
    <hyperlink ref="D565" r:id="rId1184" display="http://www.facebook.com/"/>
    <hyperlink ref="F565" r:id="rId1185" display="http://www.facebook.com/"/>
    <hyperlink ref="W565" r:id="rId1186" display="https://www.facebook.com/business/ads-guide/image/facebook-feed"/>
    <hyperlink ref="D566" r:id="rId1187" display="http://www.facebook.com/"/>
    <hyperlink ref="F566" r:id="rId1188" display="http://www.facebook.com/"/>
    <hyperlink ref="W566" r:id="rId1189" display="https://www.facebook.com/business/ads-guide/image/facebook-feed"/>
    <hyperlink ref="D567" r:id="rId1190" display="http://www.facebook.com/"/>
    <hyperlink ref="F567" r:id="rId1191" display="http://www.facebook.com/"/>
    <hyperlink ref="W567" r:id="rId1192" display="https://www.facebook.com/business/ads-guide/image/facebook-feed"/>
    <hyperlink ref="D568" r:id="rId1193" display="http://www.facebook.com/"/>
    <hyperlink ref="F568" r:id="rId1194" display="http://www.facebook.com/"/>
    <hyperlink ref="W568" r:id="rId1195" display="https://www.facebook.com/business/ads-guide/image/facebook-feed"/>
    <hyperlink ref="D569" r:id="rId1196" display="http://www.facebook.com/"/>
    <hyperlink ref="F569" r:id="rId1197" display="http://www.facebook.com/"/>
    <hyperlink ref="W569" r:id="rId1198" display="https://www.facebook.com/business/ads-guide/image/facebook-feed"/>
    <hyperlink ref="D570" r:id="rId1199" display="http://www.facebook.com/"/>
    <hyperlink ref="F570" r:id="rId1200" display="http://www.facebook.com/"/>
    <hyperlink ref="W570" r:id="rId1201" display="https://www.facebook.com/business/ads-guide/image/facebook-feed"/>
    <hyperlink ref="D571" r:id="rId1202" display="http://www.facebook.com/"/>
    <hyperlink ref="F571" r:id="rId1203" display="http://www.facebook.com/"/>
    <hyperlink ref="W571" r:id="rId1204" display="https://www.facebook.com/business/ads-guide/image/facebook-feed"/>
    <hyperlink ref="D572" r:id="rId1205" display="http://www.facebook.com/"/>
    <hyperlink ref="F572" r:id="rId1206" display="http://www.facebook.com/"/>
    <hyperlink ref="W572" r:id="rId1207" display="https://www.facebook.com/business/ads-guide/image/facebook-feed"/>
    <hyperlink ref="D573" r:id="rId1208" display="http://www.facebook.com/"/>
    <hyperlink ref="F573" r:id="rId1209" display="http://www.facebook.com/"/>
    <hyperlink ref="W573" r:id="rId1210" display="https://www.facebook.com/business/ads-guide/image/facebook-feed"/>
    <hyperlink ref="D574" r:id="rId1211" display="http://www.facebook.com/"/>
    <hyperlink ref="F574" r:id="rId1212" display="http://www.facebook.com/"/>
    <hyperlink ref="W574" r:id="rId1213" display="https://www.facebook.com/business/ads-guide/image/facebook-feed"/>
    <hyperlink ref="D575" r:id="rId1214" display="http://www.facebook.com/"/>
    <hyperlink ref="F575" r:id="rId1215" display="http://www.facebook.com/"/>
    <hyperlink ref="W575" r:id="rId1216" display="https://www.facebook.com/business/ads-guide/image/facebook-feed"/>
    <hyperlink ref="D576" r:id="rId1217" display="http://www.facebook.com/"/>
    <hyperlink ref="F576" r:id="rId1218" display="http://www.facebook.com/"/>
    <hyperlink ref="W576" r:id="rId1219" display="https://www.facebook.com/business/ads-guide/image/facebook-feed"/>
    <hyperlink ref="D577" r:id="rId1220" display="https://finexpert.cz/"/>
    <hyperlink ref="F577" r:id="rId1221" display="https://finexpert.cz/"/>
    <hyperlink ref="D578" r:id="rId1222" display="https://finexpert.cz/"/>
    <hyperlink ref="F578" r:id="rId1223" display="https://finexpert.cz/"/>
    <hyperlink ref="D579" r:id="rId1224" display="https://finexpert.cz/"/>
    <hyperlink ref="F579" r:id="rId1225" display="https://finexpert.cz/"/>
    <hyperlink ref="D580" r:id="rId1226" display="https://finexpert.cz/"/>
    <hyperlink ref="F580" r:id="rId1227" display="https://finexpert.cz/"/>
    <hyperlink ref="W580" r:id="rId1228" display="https://reklama.cncenter.cz/?ads=PR%2520%25C4%258Dl%25C3%25A1nky"/>
    <hyperlink ref="D581" r:id="rId1229" display="https://finexpert.cz/"/>
    <hyperlink ref="F581" r:id="rId1230" display="https://finexpert.cz/"/>
    <hyperlink ref="D582" r:id="rId1231" display="https://finexpert.cz/"/>
    <hyperlink ref="F582" r:id="rId1232" display="https://finexpert.cz/"/>
    <hyperlink ref="D583" r:id="rId1233" display="https://finexpert.cz/"/>
    <hyperlink ref="F583" r:id="rId1234" display="https://finexpert.cz/"/>
    <hyperlink ref="D584" r:id="rId1235" display="https://fitweb.cz/"/>
    <hyperlink ref="F584" r:id="rId1236" display="https://fitweb.cz/"/>
    <hyperlink ref="W584" r:id="rId1237" display="https://reklama.cncenter.cz/Online/billboard-bottom"/>
    <hyperlink ref="D585" r:id="rId1238" display="https://fitweb.cz/"/>
    <hyperlink ref="F585" r:id="rId1239" display="https://fitweb.cz/"/>
    <hyperlink ref="W585" r:id="rId1240" display="https://reklama.cncenter.cz/Online/branding-cross-device"/>
    <hyperlink ref="D586" r:id="rId1241" display="https://fitweb.cz/"/>
    <hyperlink ref="F586" r:id="rId1242" display="https://fitweb.cz/"/>
    <hyperlink ref="W586" r:id="rId1243" display="https://reklama.cncenter.cz/Online/branding"/>
    <hyperlink ref="D587" r:id="rId1244" display="https://fitweb.cz/"/>
    <hyperlink ref="F587" r:id="rId1245" display="https://fitweb.cz/"/>
    <hyperlink ref="W587" r:id="rId1246" display="https://reklama.cncenter.cz/Online/billboard-bottom"/>
    <hyperlink ref="D588" r:id="rId1247" display="https://fitweb.cz/"/>
    <hyperlink ref="F588" r:id="rId1248" display="https://fitweb.cz/"/>
    <hyperlink ref="W588" r:id="rId1249" display="https://reklama.cncenter.cz/Online/branding-cross-device"/>
    <hyperlink ref="D589" r:id="rId1250" display="https://fitweb.cz/"/>
    <hyperlink ref="F589" r:id="rId1251" display="https://fitweb.cz/"/>
    <hyperlink ref="W589" r:id="rId1252" display="https://reklama.cncenter.cz/Online/branding"/>
    <hyperlink ref="D590" r:id="rId1253" display="https://fitweb.cz/"/>
    <hyperlink ref="F590" r:id="rId1254" display="https://fitweb.cz/"/>
    <hyperlink ref="W590" r:id="rId1255" display="https://reklama.cncenter.cz/Online/double-skyscraper"/>
    <hyperlink ref="D591" r:id="rId1256" display="https://fitweb.cz/"/>
    <hyperlink ref="F591" r:id="rId1257" display="https://fitweb.cz/"/>
    <hyperlink ref="W591" r:id="rId1258" display="https://reklama.cncenter.cz/Online/mobilni-interscroller"/>
    <hyperlink ref="D592" r:id="rId1259" display="https://fitweb.cz/"/>
    <hyperlink ref="F592" r:id="rId1260" display="https://fitweb.cz/"/>
    <hyperlink ref="W592" r:id="rId1261" display="https://reklama.cncenter.cz/Online/mobilni-slide-up"/>
    <hyperlink ref="D593" r:id="rId1262" display="https://fitweb.cz/"/>
    <hyperlink ref="F593" r:id="rId1263" display="https://fitweb.cz/"/>
    <hyperlink ref="W593" r:id="rId1264" display="https://reklama.cncenter.cz/Online/mobilni-vineta"/>
    <hyperlink ref="D594" r:id="rId1265" display="https://fitweb.cz/"/>
    <hyperlink ref="F594" r:id="rId1266" display="https://fitweb.cz/"/>
    <hyperlink ref="W594" r:id="rId1267" display="https://reklama.cncenter.cz/Online/nativni-rectangle-cross-device"/>
    <hyperlink ref="D595" r:id="rId1268" display="https://fitweb.cz/"/>
    <hyperlink ref="F595" r:id="rId1269" display="https://fitweb.cz/"/>
    <hyperlink ref="W595" r:id="rId1270" display="https://reklama.cncenter.cz/Online/Outstream"/>
    <hyperlink ref="D596" r:id="rId1271" display="https://fitweb.cz/"/>
    <hyperlink ref="F596" r:id="rId1272" display="https://fitweb.cz/"/>
    <hyperlink ref="W596" r:id="rId1273" display="https://reklama.cncenter.cz/Online/double-skyscraper"/>
    <hyperlink ref="D597" r:id="rId1274" display="https://fitweb.cz/"/>
    <hyperlink ref="F597" r:id="rId1275" display="https://fitweb.cz/"/>
    <hyperlink ref="W597" r:id="rId1276" display="https://reklama.cncenter.cz/Online/mobilni-interscroller"/>
    <hyperlink ref="D598" r:id="rId1277" display="https://fitweb.cz/"/>
    <hyperlink ref="F598" r:id="rId1278" display="https://fitweb.cz/"/>
    <hyperlink ref="W598" r:id="rId1279" display="https://reklama.cncenter.cz/Online/mobilni-slide-up"/>
    <hyperlink ref="D599" r:id="rId1280" display="https://fitweb.cz/"/>
    <hyperlink ref="F599" r:id="rId1281" display="https://fitweb.cz/"/>
    <hyperlink ref="W599" r:id="rId1282" display="https://reklama.cncenter.cz/Online/mobilni-vineta"/>
    <hyperlink ref="D600" r:id="rId1283" display="https://fitweb.cz/"/>
    <hyperlink ref="F600" r:id="rId1284" display="https://fitweb.cz/"/>
    <hyperlink ref="W600" r:id="rId1285" display="https://reklama.cncenter.cz/Online/nativni-rectangle-cross-device"/>
    <hyperlink ref="D601" r:id="rId1286" display="https://fitweb.cz/"/>
    <hyperlink ref="F601" r:id="rId1287" display="https://fitweb.cz/"/>
    <hyperlink ref="W601" r:id="rId1288" display="https://reklama.cncenter.cz/Online/Outstream"/>
    <hyperlink ref="D602" r:id="rId1289" display="https://heyfomo.cz/"/>
    <hyperlink ref="F602" r:id="rId1290" display="https://heyfomo.cz/"/>
    <hyperlink ref="D603" r:id="rId1291" display="https://heyfomo.cz/"/>
    <hyperlink ref="F603" r:id="rId1292" display="https://heyfomo.cz/"/>
    <hyperlink ref="D604" r:id="rId1293" display="https://heyfomo.cz/"/>
    <hyperlink ref="F604" r:id="rId1294" display="https://heyfomo.cz/"/>
    <hyperlink ref="D605" r:id="rId1295" display="https://heyfomo.cz/"/>
    <hyperlink ref="F605" r:id="rId1296" display="https://heyfomo.cz/"/>
    <hyperlink ref="W605" r:id="rId1297" display="https://reklama.cncenter.cz/?ads=PR%2520%25C4%258Dl%25C3%25A1nky"/>
    <hyperlink ref="D606" r:id="rId1298" display="https://heyfomo.cz/"/>
    <hyperlink ref="F606" r:id="rId1299" display="https://heyfomo.cz/"/>
    <hyperlink ref="D607" r:id="rId1300" display="https://heyfomo.cz/"/>
    <hyperlink ref="F607" r:id="rId1301" display="https://heyfomo.cz/"/>
    <hyperlink ref="D608" r:id="rId1302" display="https://heyfomo.cz/"/>
    <hyperlink ref="F608" r:id="rId1303" display="https://heyfomo.cz/"/>
    <hyperlink ref="D609" r:id="rId1304" display="https://frekvence1.cz/"/>
    <hyperlink ref="F609" r:id="rId1305" display="https://frekvence1.cz/"/>
    <hyperlink ref="W609" r:id="rId1306" display="https://reklama.cncenter.cz/Online/branding-cross-device"/>
    <hyperlink ref="D610" r:id="rId1307" display="https://frekvence1.cz/"/>
    <hyperlink ref="F610" r:id="rId1308" display="https://frekvence1.cz/"/>
    <hyperlink ref="W610" r:id="rId1309" display="https://reklama.cncenter.cz/Online/branding"/>
    <hyperlink ref="D611" r:id="rId1310" display="https://frekvence1.cz/"/>
    <hyperlink ref="F611" r:id="rId1311" display="https://frekvence1.cz/"/>
    <hyperlink ref="W611" r:id="rId1312" display="https://reklama.cncenter.cz/Online/branding-cross-device"/>
    <hyperlink ref="D612" r:id="rId1313" display="https://frekvence1.cz/"/>
    <hyperlink ref="F612" r:id="rId1314" display="https://frekvence1.cz/"/>
    <hyperlink ref="W612" r:id="rId1315" display="https://reklama.cncenter.cz/Online/branding"/>
    <hyperlink ref="D613" r:id="rId1316" display="https://frekvence1.cz/"/>
    <hyperlink ref="F613" r:id="rId1317" display="https://frekvence1.cz/"/>
    <hyperlink ref="W613" r:id="rId1318" display="https://reklama.cncenter.cz/Online/double-skyscraper"/>
    <hyperlink ref="D614" r:id="rId1319" display="https://frekvence1.cz/"/>
    <hyperlink ref="F614" r:id="rId1320" display="https://frekvence1.cz/"/>
    <hyperlink ref="W614" r:id="rId1321" display="https://reklama.cncenter.cz/Online/mobilni-interscroller"/>
    <hyperlink ref="D615" r:id="rId1322" display="https://frekvence1.cz/"/>
    <hyperlink ref="F615" r:id="rId1323" display="https://frekvence1.cz/"/>
    <hyperlink ref="W615" r:id="rId1324" display="https://reklama.cncenter.cz/Online/mobilni-slide-up"/>
    <hyperlink ref="D616" r:id="rId1325" display="https://frekvence1.cz/"/>
    <hyperlink ref="F616" r:id="rId1326" display="https://frekvence1.cz/"/>
    <hyperlink ref="W616" r:id="rId1327" display="https://reklama.cncenter.cz/Online/mobilni-vineta"/>
    <hyperlink ref="D617" r:id="rId1328" display="https://frekvence1.cz/"/>
    <hyperlink ref="F617" r:id="rId1329" display="https://frekvence1.cz/"/>
    <hyperlink ref="W617" r:id="rId1330" display="https://reklama.cncenter.cz/Online/nativni-rectangle-cross-device"/>
    <hyperlink ref="D618" r:id="rId1331" display="https://frekvence1.cz/"/>
    <hyperlink ref="F618" r:id="rId1332" display="https://frekvence1.cz/"/>
    <hyperlink ref="W618" r:id="rId1333" display="https://reklama.cncenter.cz/Online/Bumper"/>
    <hyperlink ref="D619" r:id="rId1334" display="https://frekvence1.cz/"/>
    <hyperlink ref="F619" r:id="rId1335" display="https://frekvence1.cz/"/>
    <hyperlink ref="W619" r:id="rId1336" display="https://reklama.cncenter.cz/Online/double-skyscraper"/>
    <hyperlink ref="D620" r:id="rId1337" display="https://frekvence1.cz/"/>
    <hyperlink ref="F620" r:id="rId1338" display="https://frekvence1.cz/"/>
    <hyperlink ref="W620" r:id="rId1339" display="https://reklama.cncenter.cz/Online/mobilni-interscroller"/>
    <hyperlink ref="D621" r:id="rId1340" display="https://frekvence1.cz/"/>
    <hyperlink ref="F621" r:id="rId1341" display="https://frekvence1.cz/"/>
    <hyperlink ref="W621" r:id="rId1342" display="https://reklama.cncenter.cz/Online/mobilni-slide-up"/>
    <hyperlink ref="D622" r:id="rId1343" display="https://frekvence1.cz/"/>
    <hyperlink ref="F622" r:id="rId1344" display="https://frekvence1.cz/"/>
    <hyperlink ref="W622" r:id="rId1345" display="https://reklama.cncenter.cz/Online/mobilni-vineta"/>
    <hyperlink ref="D623" r:id="rId1346" display="https://frekvence1.cz/"/>
    <hyperlink ref="F623" r:id="rId1347" display="https://frekvence1.cz/"/>
    <hyperlink ref="W623" r:id="rId1348" display="https://reklama.cncenter.cz/Online/nativni-rectangle-cross-device"/>
    <hyperlink ref="D624" r:id="rId1349" display="https://frekvence1.cz/"/>
    <hyperlink ref="F624" r:id="rId1350" display="https://frekvence1.cz/"/>
    <hyperlink ref="W624" r:id="rId1351" display="https://reklama.cncenter.cz/Online/Bumper"/>
    <hyperlink ref="D625" r:id="rId1352" display="https://www.heureka.cz/"/>
    <hyperlink ref="F625" r:id="rId1353" display="https://www.heureka.cz/"/>
    <hyperlink ref="W625" r:id="rId1354" display="https://reklama.cncenter.cz/Online/heureka-wallpaper"/>
    <hyperlink ref="D626" r:id="rId1355" display="https://hledejceny.cz/"/>
    <hyperlink ref="F626" r:id="rId1356" display="https://hledejceny.cz/"/>
    <hyperlink ref="W626" r:id="rId1357" display="https://reklama.cncenter.cz/Online/billboard-bottom"/>
    <hyperlink ref="D627" r:id="rId1358" display="https://hledejceny.cz/"/>
    <hyperlink ref="F627" r:id="rId1359" display="https://hledejceny.cz/"/>
    <hyperlink ref="W627" r:id="rId1360" display="https://reklama.cncenter.cz/Online/branding-cross-device"/>
    <hyperlink ref="D628" r:id="rId1361" display="https://hledejceny.cz/"/>
    <hyperlink ref="F628" r:id="rId1362" display="https://hledejceny.cz/"/>
    <hyperlink ref="W628" r:id="rId1363" display="https://reklama.cncenter.cz/Online/branding"/>
    <hyperlink ref="D629" r:id="rId1364" display="https://hledejceny.cz/"/>
    <hyperlink ref="F629" r:id="rId1365" display="https://hledejceny.cz/"/>
    <hyperlink ref="W629" r:id="rId1366" display="https://reklama.cncenter.cz/Online/billboard-bottom"/>
    <hyperlink ref="D630" r:id="rId1367" display="https://hledejceny.cz/"/>
    <hyperlink ref="F630" r:id="rId1368" display="https://hledejceny.cz/"/>
    <hyperlink ref="W630" r:id="rId1369" display="https://reklama.cncenter.cz/Online/branding-cross-device"/>
    <hyperlink ref="D631" r:id="rId1370" display="https://hledejceny.cz/"/>
    <hyperlink ref="F631" r:id="rId1371" display="https://hledejceny.cz/"/>
    <hyperlink ref="W631" r:id="rId1372" display="https://reklama.cncenter.cz/Online/branding"/>
    <hyperlink ref="D632" r:id="rId1373" display="https://hledejceny.cz/"/>
    <hyperlink ref="F632" r:id="rId1374" display="https://hledejceny.cz/"/>
    <hyperlink ref="W632" r:id="rId1375" display="https://reklama.cncenter.cz/Online/double-skyscraper"/>
    <hyperlink ref="D633" r:id="rId1376" display="https://hledejceny.cz/"/>
    <hyperlink ref="F633" r:id="rId1377" display="https://hledejceny.cz/"/>
    <hyperlink ref="W633" r:id="rId1378" display="https://reklama.cncenter.cz/Online/double-skyscraper"/>
    <hyperlink ref="D634" r:id="rId1379" display="http://www.instagram.com/"/>
    <hyperlink ref="F634" r:id="rId1380" display="http://www.instagram.com/"/>
    <hyperlink ref="D635" r:id="rId1381" display="http://www.instagram.com/"/>
    <hyperlink ref="F635" r:id="rId1382" display="http://www.instagram.com/"/>
    <hyperlink ref="D636" r:id="rId1383" display="http://www.instagram.com/"/>
    <hyperlink ref="F636" r:id="rId1384" display="http://www.instagram.com/"/>
    <hyperlink ref="D637" r:id="rId1385" display="http://www.instagram.com/"/>
    <hyperlink ref="F637" r:id="rId1386" display="http://www.instagram.com/"/>
    <hyperlink ref="D638" r:id="rId1387" display="http://www.instagram.com/"/>
    <hyperlink ref="F638" r:id="rId1388" display="http://www.instagram.com/"/>
    <hyperlink ref="D639" r:id="rId1389" display="http://www.instagram.com/"/>
    <hyperlink ref="F639" r:id="rId1390" display="http://www.instagram.com/"/>
    <hyperlink ref="D640" r:id="rId1391" display="http://www.instagram.com/"/>
    <hyperlink ref="F640" r:id="rId1392" display="http://www.instagram.com/"/>
    <hyperlink ref="D641" r:id="rId1393" display="http://www.instagram.com/"/>
    <hyperlink ref="F641" r:id="rId1394" display="http://www.instagram.com/"/>
    <hyperlink ref="D642" r:id="rId1395" display="http://www.instagram.com/"/>
    <hyperlink ref="F642" r:id="rId1396" display="http://www.instagram.com/"/>
    <hyperlink ref="D643" r:id="rId1397" display="http://www.instagram.com/"/>
    <hyperlink ref="F643" r:id="rId1398" display="http://www.instagram.com/"/>
    <hyperlink ref="D644" r:id="rId1399" display="http://www.instagram.com/"/>
    <hyperlink ref="F644" r:id="rId1400" display="http://www.instagram.com/"/>
    <hyperlink ref="D645" r:id="rId1401" display="http://www.instagram.com/"/>
    <hyperlink ref="F645" r:id="rId1402" display="http://www.instagram.com/"/>
    <hyperlink ref="D646" r:id="rId1403" display="http://www.instagram.com/"/>
    <hyperlink ref="F646" r:id="rId1404" display="http://www.instagram.com/"/>
    <hyperlink ref="D647" r:id="rId1405" display="http://www.instagram.com/"/>
    <hyperlink ref="F647" r:id="rId1406" display="http://www.instagram.com/"/>
    <hyperlink ref="D648" r:id="rId1407" display="http://www.instagram.com/"/>
    <hyperlink ref="F648" r:id="rId1408" display="http://www.instagram.com/"/>
    <hyperlink ref="D649" r:id="rId1409" display="http://www.instagram.com/"/>
    <hyperlink ref="F649" r:id="rId1410" display="http://www.instagram.com/"/>
    <hyperlink ref="D650" r:id="rId1411" display="http://www.instagram.com/"/>
    <hyperlink ref="F650" r:id="rId1412" display="http://www.instagram.com/"/>
    <hyperlink ref="D651" r:id="rId1413" display="http://www.instagram.com/"/>
    <hyperlink ref="F651" r:id="rId1414" display="http://www.instagram.com/"/>
    <hyperlink ref="D652" r:id="rId1415" display="http://www.instagram.com/"/>
    <hyperlink ref="F652" r:id="rId1416" display="http://www.instagram.com/"/>
    <hyperlink ref="D653" r:id="rId1417" display="http://www.instagram.com/"/>
    <hyperlink ref="F653" r:id="rId1418" display="http://www.instagram.com/"/>
    <hyperlink ref="D654" r:id="rId1419" display="http://www.instagram.com/"/>
    <hyperlink ref="F654" r:id="rId1420" display="http://www.instagram.com/"/>
    <hyperlink ref="D655" r:id="rId1421" display="http://www.instagram.com/"/>
    <hyperlink ref="F655" r:id="rId1422" display="http://www.instagram.com/"/>
    <hyperlink ref="D656" r:id="rId1423" display="http://www.instagram.com/"/>
    <hyperlink ref="F656" r:id="rId1424" display="http://www.instagram.com/"/>
    <hyperlink ref="D657" r:id="rId1425" display="http://www.instagram.com/"/>
    <hyperlink ref="F657" r:id="rId1426" display="http://www.instagram.com/"/>
    <hyperlink ref="D658" r:id="rId1427" display="http://www.instagram.com/"/>
    <hyperlink ref="F658" r:id="rId1428" display="http://www.instagram.com/"/>
    <hyperlink ref="D659" r:id="rId1429" display="http://www.instagram.com/"/>
    <hyperlink ref="F659" r:id="rId1430" display="http://www.instagram.com/"/>
    <hyperlink ref="D660" r:id="rId1431" display="http://www.instagram.com/"/>
    <hyperlink ref="F660" r:id="rId1432" display="http://www.instagram.com/"/>
    <hyperlink ref="D661" r:id="rId1433" display="http://www.instagram.com/"/>
    <hyperlink ref="F661" r:id="rId1434" display="http://www.instagram.com/"/>
    <hyperlink ref="D662" r:id="rId1435" display="http://www.instagram.com/"/>
    <hyperlink ref="F662" r:id="rId1436" display="http://www.instagram.com/"/>
    <hyperlink ref="D663" r:id="rId1437" display="http://www.instagram.com/"/>
    <hyperlink ref="F663" r:id="rId1438" display="http://www.instagram.com/"/>
    <hyperlink ref="D664" r:id="rId1439" display="http://www.instagram.com/"/>
    <hyperlink ref="F664" r:id="rId1440" display="http://www.instagram.com/"/>
    <hyperlink ref="D665" r:id="rId1441" display="http://www.instagram.com/"/>
    <hyperlink ref="F665" r:id="rId1442" display="http://www.instagram.com/"/>
    <hyperlink ref="D666" r:id="rId1443" display="http://www.instagram.com/"/>
    <hyperlink ref="F666" r:id="rId1444" display="http://www.instagram.com/"/>
    <hyperlink ref="D667" r:id="rId1445" display="http://www.instagram.com/"/>
    <hyperlink ref="F667" r:id="rId1446" display="http://www.instagram.com/"/>
    <hyperlink ref="D668" r:id="rId1447" display="http://www.instagram.com/"/>
    <hyperlink ref="F668" r:id="rId1448" display="http://www.instagram.com/"/>
    <hyperlink ref="D669" r:id="rId1449" display="http://www.instagram.com/"/>
    <hyperlink ref="F669" r:id="rId1450" display="http://www.instagram.com/"/>
    <hyperlink ref="D670" r:id="rId1451" display="http://www.instagram.com/"/>
    <hyperlink ref="F670" r:id="rId1452" display="http://www.instagram.com/"/>
    <hyperlink ref="D671" r:id="rId1453" display="http://www.instagram.com/"/>
    <hyperlink ref="F671" r:id="rId1454" display="http://www.instagram.com/"/>
    <hyperlink ref="D672" r:id="rId1455" display="http://www.instagram.com/"/>
    <hyperlink ref="F672" r:id="rId1456" display="http://www.instagram.com/"/>
    <hyperlink ref="D673" r:id="rId1457" display="http://www.instagram.com/"/>
    <hyperlink ref="F673" r:id="rId1458" display="http://www.instagram.com/"/>
    <hyperlink ref="D674" r:id="rId1459" display="http://www.instagram.com/"/>
    <hyperlink ref="F674" r:id="rId1460" display="http://www.instagram.com/"/>
    <hyperlink ref="D675" r:id="rId1461" display="http://www.instagram.com/"/>
    <hyperlink ref="F675" r:id="rId1462" display="http://www.instagram.com/"/>
    <hyperlink ref="D676" r:id="rId1463" display="http://www.instagram.com/"/>
    <hyperlink ref="F676" r:id="rId1464" display="http://www.instagram.com/"/>
    <hyperlink ref="W678" r:id="rId1465" display="https://reklama.cncenter.cz/Online/billboard-bottom"/>
    <hyperlink ref="W679" r:id="rId1466" display="https://reklama.cncenter.cz/Online/branding-cross-device"/>
    <hyperlink ref="W680" r:id="rId1467" display="https://reklama.cncenter.cz/Online/branding"/>
    <hyperlink ref="W681" r:id="rId1468" display="https://reklama.cncenter.cz/Online/billboard-bottom"/>
    <hyperlink ref="W682" r:id="rId1469" display="https://reklama.cncenter.cz/Online/branding-cross-device"/>
    <hyperlink ref="W683" r:id="rId1470" display="https://reklama.cncenter.cz/Online/branding"/>
    <hyperlink ref="W684" r:id="rId1471" display="https://reklama.cncenter.cz/Online/double-skyscraper"/>
    <hyperlink ref="W685" r:id="rId1472" display="https://reklama.cncenter.cz/Online/Videospot"/>
    <hyperlink ref="W686" r:id="rId1473" display="https://reklama.cncenter.cz/Online/mobilni-interscroller"/>
    <hyperlink ref="W687" r:id="rId1474" display="https://reklama.cncenter.cz/Online/mobilni-slide-up"/>
    <hyperlink ref="W688" r:id="rId1475" display="https://reklama.cncenter.cz/Online/mobilni-vineta"/>
    <hyperlink ref="W689" r:id="rId1476" display="https://reklama.cncenter.cz/Online/nativni-rectangle-cross-device"/>
    <hyperlink ref="W690" r:id="rId1477" display="https://reklama.cncenter.cz/Online/Outstream"/>
    <hyperlink ref="W691" r:id="rId1478" display="https://reklama.cncenter.cz/Online/Bumper"/>
    <hyperlink ref="W693" r:id="rId1479" display="https://reklama.cncenter.cz/Online/double-skyscraper"/>
    <hyperlink ref="W694" r:id="rId1480" display="https://reklama.cncenter.cz/Online/Videospot"/>
    <hyperlink ref="W695" r:id="rId1481" display="https://reklama.cncenter.cz/Online/mobilni-interscroller"/>
    <hyperlink ref="W696" r:id="rId1482" display="https://reklama.cncenter.cz/Online/mobilni-slide-up"/>
    <hyperlink ref="W697" r:id="rId1483" display="https://reklama.cncenter.cz/Online/mobilni-vineta"/>
    <hyperlink ref="W699" r:id="rId1484" display="https://reklama.cncenter.cz/Online/nativni-rectangle-cross-device"/>
    <hyperlink ref="W700" r:id="rId1485" display="https://reklama.cncenter.cz/Online/Outstream"/>
    <hyperlink ref="W701" r:id="rId1486" display="https://reklama.cncenter.cz/?ads=PR%2520%25C4%258Dl%25C3%25A1nky"/>
    <hyperlink ref="W705" r:id="rId1487" display="https://reklama.cncenter.cz/Online/Bumper"/>
    <hyperlink ref="D706" r:id="rId1488" display="https://lideazeme.cz/"/>
    <hyperlink ref="F706" r:id="rId1489" display="https://lideazeme.cz/"/>
    <hyperlink ref="D707" r:id="rId1490" display="https://lideazeme.cz/"/>
    <hyperlink ref="F707" r:id="rId1491" display="https://lideazeme.cz/"/>
    <hyperlink ref="W707" r:id="rId1492" display="https://reklama.cncenter.cz/Online/billboard-bottom"/>
    <hyperlink ref="D708" r:id="rId1493" display="https://lideazeme.cz/"/>
    <hyperlink ref="F708" r:id="rId1494" display="https://lideazeme.cz/"/>
    <hyperlink ref="W708" r:id="rId1495" display="https://reklama.cncenter.cz/Online/branding-cross-device"/>
    <hyperlink ref="D709" r:id="rId1496" display="https://lideazeme.cz/"/>
    <hyperlink ref="F709" r:id="rId1497" display="https://lideazeme.cz/"/>
    <hyperlink ref="W709" r:id="rId1498" display="https://reklama.cncenter.cz/Online/branding"/>
    <hyperlink ref="D710" r:id="rId1499" display="https://lideazeme.cz/"/>
    <hyperlink ref="F710" r:id="rId1500" display="https://lideazeme.cz/"/>
    <hyperlink ref="W710" r:id="rId1501" display="https://reklama.cncenter.cz/Online/billboard-bottom"/>
    <hyperlink ref="D711" r:id="rId1502" display="https://lideazeme.cz/"/>
    <hyperlink ref="F711" r:id="rId1503" display="https://lideazeme.cz/"/>
    <hyperlink ref="W711" r:id="rId1504" display="https://reklama.cncenter.cz/Online/branding-cross-device"/>
    <hyperlink ref="D712" r:id="rId1505" display="https://lideazeme.cz/"/>
    <hyperlink ref="F712" r:id="rId1506" display="https://lideazeme.cz/"/>
    <hyperlink ref="W712" r:id="rId1507" display="https://reklama.cncenter.cz/Online/branding"/>
    <hyperlink ref="D713" r:id="rId1508" display="https://lideazeme.cz/"/>
    <hyperlink ref="F713" r:id="rId1509" display="https://lideazeme.cz/"/>
    <hyperlink ref="W713" r:id="rId1510" display="https://reklama.cncenter.cz/Online/double-skyscraper"/>
    <hyperlink ref="D714" r:id="rId1511" display="https://lideazeme.cz/"/>
    <hyperlink ref="F714" r:id="rId1512" display="https://lideazeme.cz/"/>
    <hyperlink ref="W714" r:id="rId1513" display="https://reklama.cncenter.cz/Online/mobilni-interscroller"/>
    <hyperlink ref="D715" r:id="rId1514" display="https://lideazeme.cz/"/>
    <hyperlink ref="F715" r:id="rId1515" display="https://lideazeme.cz/"/>
    <hyperlink ref="W715" r:id="rId1516" display="https://reklama.cncenter.cz/Online/mobilni-slide-up"/>
    <hyperlink ref="D716" r:id="rId1517" display="https://lideazeme.cz/"/>
    <hyperlink ref="F716" r:id="rId1518" display="https://lideazeme.cz/"/>
    <hyperlink ref="W716" r:id="rId1519" display="https://reklama.cncenter.cz/Online/mobilni-vineta"/>
    <hyperlink ref="D717" r:id="rId1520" display="https://lideazeme.cz/"/>
    <hyperlink ref="F717" r:id="rId1521" display="https://lideazeme.cz/"/>
    <hyperlink ref="W717" r:id="rId1522" display="https://reklama.cncenter.cz/Online/nativni-rectangle-cross-device"/>
    <hyperlink ref="D718" r:id="rId1523" display="https://lideazeme.cz/"/>
    <hyperlink ref="F718" r:id="rId1524" display="https://lideazeme.cz/"/>
    <hyperlink ref="W718" r:id="rId1525" display="https://reklama.cncenter.cz/Online/Outstream"/>
    <hyperlink ref="D719" r:id="rId1526" display="https://lideazeme.cz/"/>
    <hyperlink ref="F719" r:id="rId1527" display="https://lideazeme.cz/"/>
    <hyperlink ref="D720" r:id="rId1528" display="https://lideazeme.cz/"/>
    <hyperlink ref="F720" r:id="rId1529" display="https://lideazeme.cz/"/>
    <hyperlink ref="W720" r:id="rId1530" display="https://reklama.cncenter.cz/Online/double-skyscraper"/>
    <hyperlink ref="D721" r:id="rId1531" display="https://lideazeme.cz/"/>
    <hyperlink ref="F721" r:id="rId1532" display="https://lideazeme.cz/"/>
    <hyperlink ref="W721" r:id="rId1533" display="https://reklama.cncenter.cz/Online/mobilni-interscroller"/>
    <hyperlink ref="D722" r:id="rId1534" display="https://lideazeme.cz/"/>
    <hyperlink ref="F722" r:id="rId1535" display="https://lideazeme.cz/"/>
    <hyperlink ref="W722" r:id="rId1536" display="https://reklama.cncenter.cz/Online/mobilni-slide-up"/>
    <hyperlink ref="D723" r:id="rId1537" display="https://lideazeme.cz/"/>
    <hyperlink ref="F723" r:id="rId1538" display="https://lideazeme.cz/"/>
    <hyperlink ref="W723" r:id="rId1539" display="https://reklama.cncenter.cz/Online/mobilni-vineta"/>
    <hyperlink ref="D724" r:id="rId1540" display="https://lideazeme.cz/"/>
    <hyperlink ref="F724" r:id="rId1541" display="https://lideazeme.cz/"/>
    <hyperlink ref="D725" r:id="rId1542" display="https://lideazeme.cz/"/>
    <hyperlink ref="F725" r:id="rId1543" display="https://lideazeme.cz/"/>
    <hyperlink ref="W725" r:id="rId1544" display="https://reklama.cncenter.cz/Online/nativni-rectangle-cross-device"/>
    <hyperlink ref="D726" r:id="rId1545" display="https://lideazeme.cz/"/>
    <hyperlink ref="F726" r:id="rId1546" display="https://lideazeme.cz/"/>
    <hyperlink ref="W726" r:id="rId1547" display="https://reklama.cncenter.cz/Online/Outstream"/>
    <hyperlink ref="D727" r:id="rId1548" display="https://lideazeme.cz/"/>
    <hyperlink ref="F727" r:id="rId1549" display="https://lideazeme.cz/"/>
    <hyperlink ref="W727" r:id="rId1550" display="https://reklama.cncenter.cz/?ads=PR%2520%25C4%258Dl%25C3%25A1nky"/>
    <hyperlink ref="D728" r:id="rId1551" display="https://lideazeme.cz/"/>
    <hyperlink ref="F728" r:id="rId1552" display="https://lideazeme.cz/"/>
    <hyperlink ref="D729" r:id="rId1553" display="https://lideazeme.cz/"/>
    <hyperlink ref="F729" r:id="rId1554" display="https://lideazeme.cz/"/>
    <hyperlink ref="D730" r:id="rId1555" display="https://lideazeme.cz/"/>
    <hyperlink ref="F730" r:id="rId1556" display="https://lideazeme.cz/"/>
    <hyperlink ref="D731" r:id="rId1557" display="https://maminka.cz/"/>
    <hyperlink ref="F731" r:id="rId1558" display="https://maminka.cz/"/>
    <hyperlink ref="D732" r:id="rId1559" display="https://maminka.cz/"/>
    <hyperlink ref="F732" r:id="rId1560" display="https://maminka.cz/"/>
    <hyperlink ref="W732" r:id="rId1561" display="https://reklama.cncenter.cz/Online/billboard-bottom"/>
    <hyperlink ref="D733" r:id="rId1562" display="https://maminka.cz/"/>
    <hyperlink ref="F733" r:id="rId1563" display="https://maminka.cz/"/>
    <hyperlink ref="W733" r:id="rId1564" display="https://reklama.cncenter.cz/Online/branding-cross-device"/>
    <hyperlink ref="D734" r:id="rId1565" display="https://maminka.cz/"/>
    <hyperlink ref="F734" r:id="rId1566" display="https://maminka.cz/"/>
    <hyperlink ref="W734" r:id="rId1567" display="https://reklama.cncenter.cz/Online/branding"/>
    <hyperlink ref="D735" r:id="rId1568" display="https://maminka.cz/"/>
    <hyperlink ref="F735" r:id="rId1569" display="https://maminka.cz/"/>
    <hyperlink ref="W735" r:id="rId1570" display="https://reklama.cncenter.cz/Online/billboard-bottom"/>
    <hyperlink ref="D736" r:id="rId1571" display="https://maminka.cz/"/>
    <hyperlink ref="F736" r:id="rId1572" display="https://maminka.cz/"/>
    <hyperlink ref="W736" r:id="rId1573" display="https://reklama.cncenter.cz/Online/branding-cross-device"/>
    <hyperlink ref="D737" r:id="rId1574" display="https://maminka.cz/"/>
    <hyperlink ref="F737" r:id="rId1575" display="https://maminka.cz/"/>
    <hyperlink ref="W737" r:id="rId1576" display="https://reklama.cncenter.cz/Online/branding"/>
    <hyperlink ref="D738" r:id="rId1577" display="https://maminka.cz/"/>
    <hyperlink ref="F738" r:id="rId1578" display="https://maminka.cz/"/>
    <hyperlink ref="W738" r:id="rId1579" display="https://reklama.cncenter.cz/Online/double-skyscraper"/>
    <hyperlink ref="D739" r:id="rId1580" display="https://maminka.cz/"/>
    <hyperlink ref="F739" r:id="rId1581" display="https://maminka.cz/"/>
    <hyperlink ref="W739" r:id="rId1582" display="https://reklama.cncenter.cz/Online/Videospot"/>
    <hyperlink ref="D740" r:id="rId1583" display="https://maminka.cz/"/>
    <hyperlink ref="F740" r:id="rId1584" display="https://maminka.cz/"/>
    <hyperlink ref="W740" r:id="rId1585" display="https://reklama.cncenter.cz/Online/mobilni-interscroller"/>
    <hyperlink ref="D741" r:id="rId1586" display="https://maminka.cz/"/>
    <hyperlink ref="F741" r:id="rId1587" display="https://maminka.cz/"/>
    <hyperlink ref="W741" r:id="rId1588" display="https://reklama.cncenter.cz/Online/mobilni-slide-up"/>
    <hyperlink ref="D742" r:id="rId1589" display="https://maminka.cz/"/>
    <hyperlink ref="F742" r:id="rId1590" display="https://maminka.cz/"/>
    <hyperlink ref="W742" r:id="rId1591" display="https://reklama.cncenter.cz/Online/mobilni-vineta"/>
    <hyperlink ref="D743" r:id="rId1592" display="https://maminka.cz/"/>
    <hyperlink ref="F743" r:id="rId1593" display="https://maminka.cz/"/>
    <hyperlink ref="W743" r:id="rId1594" display="https://reklama.cncenter.cz/Online/nativni-PR-premium"/>
    <hyperlink ref="D744" r:id="rId1595" display="https://maminka.cz/"/>
    <hyperlink ref="F744" r:id="rId1596" display="https://maminka.cz/"/>
    <hyperlink ref="W744" r:id="rId1597" display="https://reklama.cncenter.cz/Online/nativni-rectangle-cross-device"/>
    <hyperlink ref="D745" r:id="rId1598" display="https://maminka.cz/"/>
    <hyperlink ref="F745" r:id="rId1599" display="https://maminka.cz/"/>
    <hyperlink ref="W745" r:id="rId1600" display="https://reklama.cncenter.cz/Online/Outstream"/>
    <hyperlink ref="D746" r:id="rId1601" display="https://maminka.cz/"/>
    <hyperlink ref="F746" r:id="rId1602" display="https://maminka.cz/"/>
    <hyperlink ref="W746" r:id="rId1603" display="https://reklama.cncenter.cz/Online/Bumper"/>
    <hyperlink ref="D747" r:id="rId1604" display="https://maminka.cz/"/>
    <hyperlink ref="F747" r:id="rId1605" display="https://maminka.cz/"/>
    <hyperlink ref="D748" r:id="rId1606" display="https://maminka.cz/"/>
    <hyperlink ref="F748" r:id="rId1607" display="https://maminka.cz/"/>
    <hyperlink ref="W748" r:id="rId1608" display="https://reklama.cncenter.cz/Online/double-skyscraper"/>
    <hyperlink ref="D749" r:id="rId1609" display="https://maminka.cz/"/>
    <hyperlink ref="F749" r:id="rId1610" display="https://maminka.cz/"/>
    <hyperlink ref="W749" r:id="rId1611" display="https://reklama.cncenter.cz/Online/Videospot"/>
    <hyperlink ref="D750" r:id="rId1612" display="https://maminka.cz/"/>
    <hyperlink ref="F750" r:id="rId1613" display="https://maminka.cz/"/>
    <hyperlink ref="W750" r:id="rId1614" display="https://reklama.cncenter.cz/Online/mobilni-interscroller"/>
    <hyperlink ref="D751" r:id="rId1615" display="https://maminka.cz/"/>
    <hyperlink ref="F751" r:id="rId1616" display="https://maminka.cz/"/>
    <hyperlink ref="W751" r:id="rId1617" display="https://reklama.cncenter.cz/Online/mobilni-slide-up"/>
    <hyperlink ref="D752" r:id="rId1618" display="https://maminka.cz/"/>
    <hyperlink ref="F752" r:id="rId1619" display="https://maminka.cz/"/>
    <hyperlink ref="W752" r:id="rId1620" display="https://reklama.cncenter.cz/Online/mobilni-vineta"/>
    <hyperlink ref="D753" r:id="rId1621" display="https://maminka.cz/"/>
    <hyperlink ref="F753" r:id="rId1622" display="https://maminka.cz/"/>
    <hyperlink ref="D754" r:id="rId1623" display="https://maminka.cz/"/>
    <hyperlink ref="F754" r:id="rId1624" display="https://maminka.cz/"/>
    <hyperlink ref="W754" r:id="rId1625" display="https://reklama.cncenter.cz/Online/nativni-PR-premium"/>
    <hyperlink ref="D755" r:id="rId1626" display="https://maminka.cz/"/>
    <hyperlink ref="F755" r:id="rId1627" display="https://maminka.cz/"/>
    <hyperlink ref="W755" r:id="rId1628" display="https://reklama.cncenter.cz/Online/nativni-rectangle-cross-device"/>
    <hyperlink ref="D756" r:id="rId1629" display="https://maminka.cz/"/>
    <hyperlink ref="F756" r:id="rId1630" display="https://maminka.cz/"/>
    <hyperlink ref="W756" r:id="rId1631" display="https://reklama.cncenter.cz/Online/Outstream"/>
    <hyperlink ref="D757" r:id="rId1632" display="https://maminka.cz/"/>
    <hyperlink ref="F757" r:id="rId1633" display="https://maminka.cz/"/>
    <hyperlink ref="W757" r:id="rId1634" display="https://reklama.cncenter.cz/?ads=PR%2520%25C4%258Dl%25C3%25A1nky"/>
    <hyperlink ref="D758" r:id="rId1635" display="https://maminka.cz/"/>
    <hyperlink ref="F758" r:id="rId1636" display="https://maminka.cz/"/>
    <hyperlink ref="D759" r:id="rId1637" display="https://maminka.cz/"/>
    <hyperlink ref="F759" r:id="rId1638" display="https://maminka.cz/"/>
    <hyperlink ref="D760" r:id="rId1639" display="https://maminka.cz/"/>
    <hyperlink ref="F760" r:id="rId1640" display="https://maminka.cz/"/>
    <hyperlink ref="D761" r:id="rId1641" display="https://maminka.cz/"/>
    <hyperlink ref="F761" r:id="rId1642" display="https://maminka.cz/"/>
    <hyperlink ref="W761" r:id="rId1643" display="https://reklama.cncenter.cz/Online/Bumper"/>
    <hyperlink ref="W763" r:id="rId1644" display="https://reklama.cncenter.cz/Online/billboard-bottom"/>
    <hyperlink ref="W764" r:id="rId1645" display="https://reklama.cncenter.cz/Online/branding-cross-device"/>
    <hyperlink ref="W765" r:id="rId1646" display="https://reklama.cncenter.cz/Online/branding"/>
    <hyperlink ref="W766" r:id="rId1647" display="https://reklama.cncenter.cz/Online/billboard-bottom"/>
    <hyperlink ref="W767" r:id="rId1648" display="https://reklama.cncenter.cz/Online/branding-cross-device"/>
    <hyperlink ref="W768" r:id="rId1649" display="https://reklama.cncenter.cz/Online/branding"/>
    <hyperlink ref="W769" r:id="rId1650" display="https://reklama.cncenter.cz/Online/double-skyscraper"/>
    <hyperlink ref="W770" r:id="rId1651" display="https://reklama.cncenter.cz/Online/mobilni-interscroller"/>
    <hyperlink ref="W771" r:id="rId1652" display="https://reklama.cncenter.cz/Online/mobilni-slide-up"/>
    <hyperlink ref="W772" r:id="rId1653" display="https://reklama.cncenter.cz/Online/mobilni-vineta"/>
    <hyperlink ref="W773" r:id="rId1654" display="https://reklama.cncenter.cz/Online/nativni-rectangle-cross-device"/>
    <hyperlink ref="W774" r:id="rId1655" display="https://reklama.cncenter.cz/Online/Outstream"/>
    <hyperlink ref="W775" r:id="rId1656" display="https://reklama.cncenter.cz/Online/Bumper"/>
    <hyperlink ref="W777" r:id="rId1657" display="https://reklama.cncenter.cz/Online/double-skyscraper"/>
    <hyperlink ref="W778" r:id="rId1658" display="https://reklama.cncenter.cz/Online/mobilni-interscroller"/>
    <hyperlink ref="W779" r:id="rId1659" display="https://reklama.cncenter.cz/Online/mobilni-slide-up"/>
    <hyperlink ref="W780" r:id="rId1660" display="https://reklama.cncenter.cz/Online/mobilni-vineta"/>
    <hyperlink ref="W782" r:id="rId1661" display="https://reklama.cncenter.cz/Online/nativni-rectangle-cross-device"/>
    <hyperlink ref="W783" r:id="rId1662" display="https://reklama.cncenter.cz/Online/Outstream"/>
    <hyperlink ref="W784" r:id="rId1663" display="https://reklama.cncenter.cz/?ads=PR%2520%25C4%258Dl%25C3%25A1nky"/>
    <hyperlink ref="W788" r:id="rId1664" display="https://reklama.cncenter.cz/Online/Bumper"/>
    <hyperlink ref="D789" r:id="rId1665" display="https://mobilmania.cz/"/>
    <hyperlink ref="F789" r:id="rId1666" display="https://mobilmania.cz/"/>
    <hyperlink ref="D790" r:id="rId1667" display="https://mobilmania.cz/"/>
    <hyperlink ref="F790" r:id="rId1668" display="https://mobilmania.cz/"/>
    <hyperlink ref="W790" r:id="rId1669" display="https://reklama.cncenter.cz/Online/billboard-bottom"/>
    <hyperlink ref="D791" r:id="rId1670" display="https://mobilmania.cz/"/>
    <hyperlink ref="F791" r:id="rId1671" display="https://mobilmania.cz/"/>
    <hyperlink ref="W791" r:id="rId1672" display="https://reklama.cncenter.cz/Online/branding-cross-device"/>
    <hyperlink ref="D792" r:id="rId1673" display="https://mobilmania.cz/"/>
    <hyperlink ref="F792" r:id="rId1674" display="https://mobilmania.cz/"/>
    <hyperlink ref="W792" r:id="rId1675" display="https://reklama.cncenter.cz/Online/branding"/>
    <hyperlink ref="D793" r:id="rId1676" display="https://mobilmania.cz/"/>
    <hyperlink ref="F793" r:id="rId1677" display="https://mobilmania.cz/"/>
    <hyperlink ref="W793" r:id="rId1678" display="https://reklama.cncenter.cz/Online/billboard-bottom"/>
    <hyperlink ref="D794" r:id="rId1679" display="https://mobilmania.cz/"/>
    <hyperlink ref="F794" r:id="rId1680" display="https://mobilmania.cz/"/>
    <hyperlink ref="W794" r:id="rId1681" display="https://reklama.cncenter.cz/Online/branding-cross-device"/>
    <hyperlink ref="D795" r:id="rId1682" display="https://mobilmania.cz/"/>
    <hyperlink ref="F795" r:id="rId1683" display="https://mobilmania.cz/"/>
    <hyperlink ref="W795" r:id="rId1684" display="https://reklama.cncenter.cz/Online/branding"/>
    <hyperlink ref="D796" r:id="rId1685" display="https://mobilmania.cz/"/>
    <hyperlink ref="F796" r:id="rId1686" display="https://mobilmania.cz/"/>
    <hyperlink ref="W796" r:id="rId1687" display="https://reklama.cncenter.cz/Online/double-skyscraper"/>
    <hyperlink ref="D797" r:id="rId1688" display="https://mobilmania.cz/"/>
    <hyperlink ref="F797" r:id="rId1689" display="https://mobilmania.cz/"/>
    <hyperlink ref="W797" r:id="rId1690" display="https://reklama.cncenter.cz/Online/mobilni-interscroller"/>
    <hyperlink ref="D798" r:id="rId1691" display="https://mobilmania.cz/"/>
    <hyperlink ref="F798" r:id="rId1692" display="https://mobilmania.cz/"/>
    <hyperlink ref="W798" r:id="rId1693" display="https://reklama.cncenter.cz/Online/mobilni-slide-up"/>
    <hyperlink ref="D799" r:id="rId1694" display="https://mobilmania.cz/"/>
    <hyperlink ref="F799" r:id="rId1695" display="https://mobilmania.cz/"/>
    <hyperlink ref="W799" r:id="rId1696" display="https://reklama.cncenter.cz/Online/mobilni-vineta"/>
    <hyperlink ref="D800" r:id="rId1697" display="https://mobilmania.cz/"/>
    <hyperlink ref="F800" r:id="rId1698" display="https://mobilmania.cz/"/>
    <hyperlink ref="W800" r:id="rId1699" display="https://reklama.cncenter.cz/Online/nativni-PR-premium"/>
    <hyperlink ref="D801" r:id="rId1700" display="https://mobilmania.cz/"/>
    <hyperlink ref="F801" r:id="rId1701" display="https://mobilmania.cz/"/>
    <hyperlink ref="W801" r:id="rId1702" display="https://reklama.cncenter.cz/Online/nativni-rectangle-cross-device"/>
    <hyperlink ref="D802" r:id="rId1703" display="https://mobilmania.cz/"/>
    <hyperlink ref="F802" r:id="rId1704" display="https://mobilmania.cz/"/>
    <hyperlink ref="W802" r:id="rId1705" display="https://reklama.cncenter.cz/Online/Outstream"/>
    <hyperlink ref="D803" r:id="rId1706" display="https://mobilmania.cz/"/>
    <hyperlink ref="F803" r:id="rId1707" display="https://mobilmania.cz/"/>
    <hyperlink ref="W803" r:id="rId1708" display="https://reklama.cncenter.cz/Online/Bumper"/>
    <hyperlink ref="D804" r:id="rId1709" display="https://mobilmania.cz/"/>
    <hyperlink ref="F804" r:id="rId1710" display="https://mobilmania.cz/"/>
    <hyperlink ref="D805" r:id="rId1711" display="https://mobilmania.cz/"/>
    <hyperlink ref="F805" r:id="rId1712" display="https://mobilmania.cz/"/>
    <hyperlink ref="W805" r:id="rId1713" display="https://reklama.cncenter.cz/Online/double-skyscraper"/>
    <hyperlink ref="D806" r:id="rId1714" display="https://mobilmania.cz/"/>
    <hyperlink ref="F806" r:id="rId1715" display="https://mobilmania.cz/"/>
    <hyperlink ref="W806" r:id="rId1716" display="https://reklama.cncenter.cz/Online/mobilni-interscroller"/>
    <hyperlink ref="D807" r:id="rId1717" display="https://mobilmania.cz/"/>
    <hyperlink ref="F807" r:id="rId1718" display="https://mobilmania.cz/"/>
    <hyperlink ref="W807" r:id="rId1719" display="https://reklama.cncenter.cz/Online/mobilni-slide-up"/>
    <hyperlink ref="D808" r:id="rId1720" display="https://mobilmania.cz/"/>
    <hyperlink ref="F808" r:id="rId1721" display="https://mobilmania.cz/"/>
    <hyperlink ref="W808" r:id="rId1722" display="https://reklama.cncenter.cz/Online/mobilni-vineta"/>
    <hyperlink ref="D809" r:id="rId1723" display="https://mobilmania.cz/"/>
    <hyperlink ref="F809" r:id="rId1724" display="https://mobilmania.cz/"/>
    <hyperlink ref="D810" r:id="rId1725" display="https://mobilmania.cz/"/>
    <hyperlink ref="F810" r:id="rId1726" display="https://mobilmania.cz/"/>
    <hyperlink ref="W810" r:id="rId1727" display="https://reklama.cncenter.cz/Online/nativni-PR-premium"/>
    <hyperlink ref="D811" r:id="rId1728" display="https://mobilmania.cz/"/>
    <hyperlink ref="F811" r:id="rId1729" display="https://mobilmania.cz/"/>
    <hyperlink ref="W811" r:id="rId1730" display="https://reklama.cncenter.cz/Online/nativni-rectangle-cross-device"/>
    <hyperlink ref="D812" r:id="rId1731" display="https://mobilmania.cz/"/>
    <hyperlink ref="F812" r:id="rId1732" display="https://mobilmania.cz/"/>
    <hyperlink ref="W812" r:id="rId1733" display="https://reklama.cncenter.cz/Online/Outstream"/>
    <hyperlink ref="D813" r:id="rId1734" display="https://mobilmania.cz/"/>
    <hyperlink ref="F813" r:id="rId1735" display="https://mobilmania.cz/"/>
    <hyperlink ref="W813" r:id="rId1736" display="https://reklama.cncenter.cz/?ads=PR%2520%25C4%258Dl%25C3%25A1nky"/>
    <hyperlink ref="D814" r:id="rId1737" display="https://mobilmania.cz/"/>
    <hyperlink ref="F814" r:id="rId1738" display="https://mobilmania.cz/"/>
    <hyperlink ref="D815" r:id="rId1739" display="https://mobilmania.cz/"/>
    <hyperlink ref="F815" r:id="rId1740" display="https://mobilmania.cz/"/>
    <hyperlink ref="D816" r:id="rId1741" display="https://mobilmania.cz/"/>
    <hyperlink ref="F816" r:id="rId1742" display="https://mobilmania.cz/"/>
    <hyperlink ref="D817" r:id="rId1743" display="https://mobilmania.cz/"/>
    <hyperlink ref="F817" r:id="rId1744" display="https://mobilmania.cz/"/>
    <hyperlink ref="W817" r:id="rId1745" display="https://reklama.cncenter.cz/Online/Bumper"/>
    <hyperlink ref="D818" r:id="rId1746" display="https://mojezdravi.cz/"/>
    <hyperlink ref="F818" r:id="rId1747" display="https://mojezdravi.cz/"/>
    <hyperlink ref="D819" r:id="rId1748" display="https://mojezdravi.cz/"/>
    <hyperlink ref="F819" r:id="rId1749" display="https://mojezdravi.cz/"/>
    <hyperlink ref="W819" r:id="rId1750" display="https://reklama.cncenter.cz/Online/billboard-bottom"/>
    <hyperlink ref="D820" r:id="rId1751" display="https://mojezdravi.cz/"/>
    <hyperlink ref="F820" r:id="rId1752" display="https://mojezdravi.cz/"/>
    <hyperlink ref="W820" r:id="rId1753" display="https://reklama.cncenter.cz/Online/branding-cross-device"/>
    <hyperlink ref="D821" r:id="rId1754" display="https://mojezdravi.cz/"/>
    <hyperlink ref="F821" r:id="rId1755" display="https://mojezdravi.cz/"/>
    <hyperlink ref="W821" r:id="rId1756" display="https://reklama.cncenter.cz/Online/branding"/>
    <hyperlink ref="D822" r:id="rId1757" display="https://mojezdravi.cz/"/>
    <hyperlink ref="F822" r:id="rId1758" display="https://mojezdravi.cz/"/>
    <hyperlink ref="W822" r:id="rId1759" display="https://reklama.cncenter.cz/Online/billboard-bottom"/>
    <hyperlink ref="D823" r:id="rId1760" display="https://mojezdravi.cz/"/>
    <hyperlink ref="F823" r:id="rId1761" display="https://mojezdravi.cz/"/>
    <hyperlink ref="W823" r:id="rId1762" display="https://reklama.cncenter.cz/Online/branding-cross-device"/>
    <hyperlink ref="D824" r:id="rId1763" display="https://mojezdravi.cz/"/>
    <hyperlink ref="F824" r:id="rId1764" display="https://mojezdravi.cz/"/>
    <hyperlink ref="W824" r:id="rId1765" display="https://reklama.cncenter.cz/Online/branding"/>
    <hyperlink ref="D825" r:id="rId1766" display="https://mojezdravi.cz/"/>
    <hyperlink ref="F825" r:id="rId1767" display="https://mojezdravi.cz/"/>
    <hyperlink ref="W825" r:id="rId1768" display="https://reklama.cncenter.cz/Online/double-skyscraper"/>
    <hyperlink ref="D826" r:id="rId1769" display="https://mojezdravi.cz/"/>
    <hyperlink ref="F826" r:id="rId1770" display="https://mojezdravi.cz/"/>
    <hyperlink ref="W826" r:id="rId1771" display="https://reklama.cncenter.cz/Online/Videospot"/>
    <hyperlink ref="D827" r:id="rId1772" display="https://mojezdravi.cz/"/>
    <hyperlink ref="F827" r:id="rId1773" display="https://mojezdravi.cz/"/>
    <hyperlink ref="W827" r:id="rId1774" display="https://reklama.cncenter.cz/Online/mobilni-interscroller"/>
    <hyperlink ref="D828" r:id="rId1775" display="https://mojezdravi.cz/"/>
    <hyperlink ref="F828" r:id="rId1776" display="https://mojezdravi.cz/"/>
    <hyperlink ref="W828" r:id="rId1777" display="https://reklama.cncenter.cz/Online/mobilni-slide-up"/>
    <hyperlink ref="D829" r:id="rId1778" display="https://mojezdravi.cz/"/>
    <hyperlink ref="F829" r:id="rId1779" display="https://mojezdravi.cz/"/>
    <hyperlink ref="W829" r:id="rId1780" display="https://reklama.cncenter.cz/Online/mobilni-vineta"/>
    <hyperlink ref="D830" r:id="rId1781" display="https://mojezdravi.cz/"/>
    <hyperlink ref="F830" r:id="rId1782" display="https://mojezdravi.cz/"/>
    <hyperlink ref="W830" r:id="rId1783" display="https://reklama.cncenter.cz/Online/nativni-rectangle-cross-device"/>
    <hyperlink ref="D831" r:id="rId1784" display="https://mojezdravi.cz/"/>
    <hyperlink ref="F831" r:id="rId1785" display="https://mojezdravi.cz/"/>
    <hyperlink ref="W831" r:id="rId1786" display="https://reklama.cncenter.cz/Online/Outstream"/>
    <hyperlink ref="D832" r:id="rId1787" display="https://mojezdravi.cz/"/>
    <hyperlink ref="F832" r:id="rId1788" display="https://mojezdravi.cz/"/>
    <hyperlink ref="W832" r:id="rId1789" display="https://reklama.cncenter.cz/Online/Bumper"/>
    <hyperlink ref="D833" r:id="rId1790" display="https://mojezdravi.cz/"/>
    <hyperlink ref="F833" r:id="rId1791" display="https://mojezdravi.cz/"/>
    <hyperlink ref="D834" r:id="rId1792" display="https://mojezdravi.cz/"/>
    <hyperlink ref="F834" r:id="rId1793" display="https://mojezdravi.cz/"/>
    <hyperlink ref="W834" r:id="rId1794" display="https://reklama.cncenter.cz/Online/double-skyscraper"/>
    <hyperlink ref="D835" r:id="rId1795" display="https://mojezdravi.cz/"/>
    <hyperlink ref="F835" r:id="rId1796" display="https://mojezdravi.cz/"/>
    <hyperlink ref="W835" r:id="rId1797" display="https://reklama.cncenter.cz/Online/Videospot"/>
    <hyperlink ref="D836" r:id="rId1798" display="https://mojezdravi.cz/"/>
    <hyperlink ref="F836" r:id="rId1799" display="https://mojezdravi.cz/"/>
    <hyperlink ref="W836" r:id="rId1800" display="https://reklama.cncenter.cz/Online/mobilni-interscroller"/>
    <hyperlink ref="D837" r:id="rId1801" display="https://mojezdravi.cz/"/>
    <hyperlink ref="F837" r:id="rId1802" display="https://mojezdravi.cz/"/>
    <hyperlink ref="W837" r:id="rId1803" display="https://reklama.cncenter.cz/Online/mobilni-slide-up"/>
    <hyperlink ref="D838" r:id="rId1804" display="https://mojezdravi.cz/"/>
    <hyperlink ref="F838" r:id="rId1805" display="https://mojezdravi.cz/"/>
    <hyperlink ref="W838" r:id="rId1806" display="https://reklama.cncenter.cz/Online/mobilni-vineta"/>
    <hyperlink ref="D839" r:id="rId1807" display="https://mojezdravi.cz/"/>
    <hyperlink ref="F839" r:id="rId1808" display="https://mojezdravi.cz/"/>
    <hyperlink ref="D840" r:id="rId1809" display="https://mojezdravi.cz/"/>
    <hyperlink ref="F840" r:id="rId1810" display="https://mojezdravi.cz/"/>
    <hyperlink ref="W840" r:id="rId1811" display="https://reklama.cncenter.cz/Online/nativni-rectangle-cross-device"/>
    <hyperlink ref="D841" r:id="rId1812" display="https://mojezdravi.cz/"/>
    <hyperlink ref="F841" r:id="rId1813" display="https://mojezdravi.cz/"/>
    <hyperlink ref="W841" r:id="rId1814" display="https://reklama.cncenter.cz/Online/Outstream"/>
    <hyperlink ref="D842" r:id="rId1815" display="https://mojezdravi.cz/"/>
    <hyperlink ref="F842" r:id="rId1816" display="https://mojezdravi.cz/"/>
    <hyperlink ref="W842" r:id="rId1817" display="https://reklama.cncenter.cz/?ads=PR%2520%25C4%258Dl%25C3%25A1nky"/>
    <hyperlink ref="D843" r:id="rId1818" display="https://mojezdravi.cz/"/>
    <hyperlink ref="F843" r:id="rId1819" display="https://mojezdravi.cz/"/>
    <hyperlink ref="D844" r:id="rId1820" display="https://mojezdravi.cz/"/>
    <hyperlink ref="F844" r:id="rId1821" display="https://mojezdravi.cz/"/>
    <hyperlink ref="D845" r:id="rId1822" display="https://mojezdravi.cz/"/>
    <hyperlink ref="F845" r:id="rId1823" display="https://mojezdravi.cz/"/>
    <hyperlink ref="D846" r:id="rId1824" display="https://mojezdravi.cz/"/>
    <hyperlink ref="F846" r:id="rId1825" display="https://mojezdravi.cz/"/>
    <hyperlink ref="W846" r:id="rId1826" display="https://reklama.cncenter.cz/Online/Bumper"/>
    <hyperlink ref="D847" r:id="rId1827" display="https://motogpsport.cz/"/>
    <hyperlink ref="F847" r:id="rId1828" display="https://motogpsport.cz/"/>
    <hyperlink ref="D848" r:id="rId1829" display="https://motogpsport.cz/"/>
    <hyperlink ref="F848" r:id="rId1830" display="https://motogpsport.cz/"/>
    <hyperlink ref="W848" r:id="rId1831" display="https://reklama.cncenter.cz/Online/billboard-bottom"/>
    <hyperlink ref="D849" r:id="rId1832" display="https://motogpsport.cz/"/>
    <hyperlink ref="F849" r:id="rId1833" display="https://motogpsport.cz/"/>
    <hyperlink ref="W849" r:id="rId1834" display="https://reklama.cncenter.cz/Online/branding-cross-device"/>
    <hyperlink ref="D850" r:id="rId1835" display="https://motogpsport.cz/"/>
    <hyperlink ref="F850" r:id="rId1836" display="https://motogpsport.cz/"/>
    <hyperlink ref="W850" r:id="rId1837" display="https://reklama.cncenter.cz/Online/branding"/>
    <hyperlink ref="D851" r:id="rId1838" display="https://motogpsport.cz/"/>
    <hyperlink ref="F851" r:id="rId1839" display="https://motogpsport.cz/"/>
    <hyperlink ref="W851" r:id="rId1840" display="https://reklama.cncenter.cz/Online/billboard-bottom"/>
    <hyperlink ref="D852" r:id="rId1841" display="https://motogpsport.cz/"/>
    <hyperlink ref="F852" r:id="rId1842" display="https://motogpsport.cz/"/>
    <hyperlink ref="W852" r:id="rId1843" display="https://reklama.cncenter.cz/Online/branding-cross-device"/>
    <hyperlink ref="D853" r:id="rId1844" display="https://motogpsport.cz/"/>
    <hyperlink ref="F853" r:id="rId1845" display="https://motogpsport.cz/"/>
    <hyperlink ref="W853" r:id="rId1846" display="https://reklama.cncenter.cz/Online/branding"/>
    <hyperlink ref="D854" r:id="rId1847" display="https://motogpsport.cz/"/>
    <hyperlink ref="F854" r:id="rId1848" display="https://motogpsport.cz/"/>
    <hyperlink ref="W854" r:id="rId1849" display="https://reklama.cncenter.cz/Online/double-skyscraper"/>
    <hyperlink ref="D855" r:id="rId1850" display="https://motogpsport.cz/"/>
    <hyperlink ref="F855" r:id="rId1851" display="https://motogpsport.cz/"/>
    <hyperlink ref="W855" r:id="rId1852" display="https://reklama.cncenter.cz/Online/mobilni-interscroller"/>
    <hyperlink ref="D856" r:id="rId1853" display="https://motogpsport.cz/"/>
    <hyperlink ref="F856" r:id="rId1854" display="https://motogpsport.cz/"/>
    <hyperlink ref="W856" r:id="rId1855" display="https://reklama.cncenter.cz/Online/mobilni-slide-up"/>
    <hyperlink ref="D857" r:id="rId1856" display="https://motogpsport.cz/"/>
    <hyperlink ref="F857" r:id="rId1857" display="https://motogpsport.cz/"/>
    <hyperlink ref="W857" r:id="rId1858" display="https://reklama.cncenter.cz/Online/mobilni-vineta"/>
    <hyperlink ref="D858" r:id="rId1859" display="https://motogpsport.cz/"/>
    <hyperlink ref="F858" r:id="rId1860" display="https://motogpsport.cz/"/>
    <hyperlink ref="W858" r:id="rId1861" display="https://reklama.cncenter.cz/Online/nativni-rectangle-cross-device"/>
    <hyperlink ref="D859" r:id="rId1862" display="https://motogpsport.cz/"/>
    <hyperlink ref="F859" r:id="rId1863" display="https://motogpsport.cz/"/>
    <hyperlink ref="W859" r:id="rId1864" display="https://reklama.cncenter.cz/Online/Outstream"/>
    <hyperlink ref="D860" r:id="rId1865" display="https://motogpsport.cz/"/>
    <hyperlink ref="F860" r:id="rId1866" display="https://motogpsport.cz/"/>
    <hyperlink ref="D861" r:id="rId1867" display="https://motogpsport.cz/"/>
    <hyperlink ref="F861" r:id="rId1868" display="https://motogpsport.cz/"/>
    <hyperlink ref="W861" r:id="rId1869" display="https://reklama.cncenter.cz/Online/double-skyscraper"/>
    <hyperlink ref="D862" r:id="rId1870" display="https://motogpsport.cz/"/>
    <hyperlink ref="F862" r:id="rId1871" display="https://motogpsport.cz/"/>
    <hyperlink ref="W862" r:id="rId1872" display="https://reklama.cncenter.cz/Online/mobilni-interscroller"/>
    <hyperlink ref="D863" r:id="rId1873" display="https://motogpsport.cz/"/>
    <hyperlink ref="F863" r:id="rId1874" display="https://motogpsport.cz/"/>
    <hyperlink ref="W863" r:id="rId1875" display="https://reklama.cncenter.cz/Online/mobilni-slide-up"/>
    <hyperlink ref="D864" r:id="rId1876" display="https://motogpsport.cz/"/>
    <hyperlink ref="F864" r:id="rId1877" display="https://motogpsport.cz/"/>
    <hyperlink ref="W864" r:id="rId1878" display="https://reklama.cncenter.cz/Online/mobilni-vineta"/>
    <hyperlink ref="D865" r:id="rId1879" display="https://motogpsport.cz/"/>
    <hyperlink ref="F865" r:id="rId1880" display="https://motogpsport.cz/"/>
    <hyperlink ref="D866" r:id="rId1881" display="https://motogpsport.cz/"/>
    <hyperlink ref="F866" r:id="rId1882" display="https://motogpsport.cz/"/>
    <hyperlink ref="W866" r:id="rId1883" display="https://reklama.cncenter.cz/Online/nativni-rectangle-cross-device"/>
    <hyperlink ref="D867" r:id="rId1884" display="https://motogpsport.cz/"/>
    <hyperlink ref="F867" r:id="rId1885" display="https://motogpsport.cz/"/>
    <hyperlink ref="W867" r:id="rId1886" display="https://reklama.cncenter.cz/Online/Outstream"/>
    <hyperlink ref="D868" r:id="rId1887" display="https://motogpsport.cz/"/>
    <hyperlink ref="F868" r:id="rId1888" display="https://motogpsport.cz/"/>
    <hyperlink ref="W868" r:id="rId1889" display="https://reklama.cncenter.cz/?ads=PR%2520%25C4%258Dl%25C3%25A1nky"/>
    <hyperlink ref="D869" r:id="rId1890" display="https://motogpsport.cz/"/>
    <hyperlink ref="F869" r:id="rId1891" display="https://motogpsport.cz/"/>
    <hyperlink ref="D870" r:id="rId1892" display="https://motogpsport.cz/"/>
    <hyperlink ref="F870" r:id="rId1893" display="https://motogpsport.cz/"/>
    <hyperlink ref="D871" r:id="rId1894" display="https://motogpsport.cz/"/>
    <hyperlink ref="F871" r:id="rId1895" display="https://motogpsport.cz/"/>
    <hyperlink ref="C872" r:id="rId1896" display="http://nemovitosti.blesk.cz/"/>
    <hyperlink ref="D872" r:id="rId1897" display="https://nemovitosti.blesk.cz/"/>
    <hyperlink ref="F872" r:id="rId1898" display="https://nemovitosti.blesk.cz/"/>
    <hyperlink ref="C873" r:id="rId1899" display="http://nemovitosti.blesk.cz/"/>
    <hyperlink ref="D873" r:id="rId1900" display="https://nemovitosti.blesk.cz/"/>
    <hyperlink ref="F873" r:id="rId1901" display="https://nemovitosti.blesk.cz/"/>
    <hyperlink ref="W873" r:id="rId1902" display="https://reklama.cncenter.cz/Online/billboard-bottom"/>
    <hyperlink ref="C874" r:id="rId1903" display="http://nemovitosti.blesk.cz/"/>
    <hyperlink ref="D874" r:id="rId1904" display="https://nemovitosti.blesk.cz/"/>
    <hyperlink ref="F874" r:id="rId1905" display="https://nemovitosti.blesk.cz/"/>
    <hyperlink ref="W874" r:id="rId1906" display="https://reklama.cncenter.cz/Online/branding-cross-device"/>
    <hyperlink ref="C875" r:id="rId1907" display="http://nemovitosti.blesk.cz/"/>
    <hyperlink ref="D875" r:id="rId1908" display="https://nemovitosti.blesk.cz/"/>
    <hyperlink ref="F875" r:id="rId1909" display="https://nemovitosti.blesk.cz/"/>
    <hyperlink ref="W875" r:id="rId1910" display="https://reklama.cncenter.cz/Online/branding"/>
    <hyperlink ref="C876" r:id="rId1911" display="http://nemovitosti.blesk.cz/"/>
    <hyperlink ref="D876" r:id="rId1912" display="https://nemovitosti.blesk.cz/"/>
    <hyperlink ref="F876" r:id="rId1913" display="https://nemovitosti.blesk.cz/"/>
    <hyperlink ref="W876" r:id="rId1914" display="https://reklama.cncenter.cz/Online/billboard-bottom"/>
    <hyperlink ref="C877" r:id="rId1915" display="http://nemovitosti.blesk.cz/"/>
    <hyperlink ref="D877" r:id="rId1916" display="https://nemovitosti.blesk.cz/"/>
    <hyperlink ref="F877" r:id="rId1917" display="https://nemovitosti.blesk.cz/"/>
    <hyperlink ref="W877" r:id="rId1918" display="https://reklama.cncenter.cz/Online/branding-cross-device"/>
    <hyperlink ref="C878" r:id="rId1919" display="http://nemovitosti.blesk.cz/"/>
    <hyperlink ref="D878" r:id="rId1920" display="https://nemovitosti.blesk.cz/"/>
    <hyperlink ref="F878" r:id="rId1921" display="https://nemovitosti.blesk.cz/"/>
    <hyperlink ref="W878" r:id="rId1922" display="https://reklama.cncenter.cz/Online/branding"/>
    <hyperlink ref="C879" r:id="rId1923" display="http://nemovitosti.blesk.cz/"/>
    <hyperlink ref="D879" r:id="rId1924" display="https://nemovitosti.blesk.cz/"/>
    <hyperlink ref="F879" r:id="rId1925" display="https://nemovitosti.blesk.cz/"/>
    <hyperlink ref="W879" r:id="rId1926" display="https://reklama.cncenter.cz/Online/double-skyscraper"/>
    <hyperlink ref="C880" r:id="rId1927" display="http://nemovitosti.blesk.cz/"/>
    <hyperlink ref="D880" r:id="rId1928" display="https://nemovitosti.blesk.cz/"/>
    <hyperlink ref="F880" r:id="rId1929" display="https://nemovitosti.blesk.cz/"/>
    <hyperlink ref="W880" r:id="rId1930" display="https://reklama.cncenter.cz/Online/mobilni-interscroller"/>
    <hyperlink ref="C881" r:id="rId1931" display="http://nemovitosti.blesk.cz/"/>
    <hyperlink ref="D881" r:id="rId1932" display="https://nemovitosti.blesk.cz/"/>
    <hyperlink ref="F881" r:id="rId1933" display="https://nemovitosti.blesk.cz/"/>
    <hyperlink ref="W881" r:id="rId1934" display="https://reklama.cncenter.cz/Online/nativni-PR-premium"/>
    <hyperlink ref="C882" r:id="rId1935" display="http://nemovitosti.blesk.cz/"/>
    <hyperlink ref="D882" r:id="rId1936" display="https://nemovitosti.blesk.cz/"/>
    <hyperlink ref="F882" r:id="rId1937" display="https://nemovitosti.blesk.cz/"/>
    <hyperlink ref="W882" r:id="rId1938" display="https://reklama.cncenter.cz/Online/nativni-rectangle-cross-device"/>
    <hyperlink ref="C883" r:id="rId1939" display="http://nemovitosti.blesk.cz/"/>
    <hyperlink ref="D883" r:id="rId1940" display="https://nemovitosti.blesk.cz/"/>
    <hyperlink ref="F883" r:id="rId1941" display="https://nemovitosti.blesk.cz/"/>
    <hyperlink ref="W883" r:id="rId1942" display="https://reklama.cncenter.cz/Online/Outstream"/>
    <hyperlink ref="C884" r:id="rId1943" display="http://nemovitosti.blesk.cz/"/>
    <hyperlink ref="D884" r:id="rId1944" display="https://nemovitosti.blesk.cz/"/>
    <hyperlink ref="F884" r:id="rId1945" display="https://nemovitosti.blesk.cz/"/>
    <hyperlink ref="C885" r:id="rId1946" display="http://nemovitosti.blesk.cz/"/>
    <hyperlink ref="D885" r:id="rId1947" display="https://nemovitosti.blesk.cz/"/>
    <hyperlink ref="F885" r:id="rId1948" display="https://nemovitosti.blesk.cz/"/>
    <hyperlink ref="W885" r:id="rId1949" display="https://reklama.cncenter.cz/Online/double-skyscraper"/>
    <hyperlink ref="C886" r:id="rId1950" display="http://nemovitosti.blesk.cz/"/>
    <hyperlink ref="D886" r:id="rId1951" display="https://nemovitosti.blesk.cz/"/>
    <hyperlink ref="F886" r:id="rId1952" display="https://nemovitosti.blesk.cz/"/>
    <hyperlink ref="W886" r:id="rId1953" display="https://reklama.cncenter.cz/Online/mobilni-interscroller"/>
    <hyperlink ref="C887" r:id="rId1954" display="http://nemovitosti.blesk.cz/"/>
    <hyperlink ref="D887" r:id="rId1955" display="https://nemovitosti.blesk.cz/"/>
    <hyperlink ref="F887" r:id="rId1956" display="https://nemovitosti.blesk.cz/"/>
    <hyperlink ref="C888" r:id="rId1957" display="http://nemovitosti.blesk.cz/"/>
    <hyperlink ref="D888" r:id="rId1958" display="https://nemovitosti.blesk.cz/"/>
    <hyperlink ref="F888" r:id="rId1959" display="https://nemovitosti.blesk.cz/"/>
    <hyperlink ref="C889" r:id="rId1960" display="http://nemovitosti.blesk.cz/"/>
    <hyperlink ref="D889" r:id="rId1961" display="https://nemovitosti.blesk.cz/"/>
    <hyperlink ref="F889" r:id="rId1962" display="https://nemovitosti.blesk.cz/"/>
    <hyperlink ref="C890" r:id="rId1963" display="http://nemovitosti.blesk.cz/"/>
    <hyperlink ref="D890" r:id="rId1964" display="https://nemovitosti.blesk.cz/"/>
    <hyperlink ref="F890" r:id="rId1965" display="https://nemovitosti.blesk.cz/"/>
    <hyperlink ref="W890" r:id="rId1966" display="https://reklama.cncenter.cz/Online/nativni-PR-premium"/>
    <hyperlink ref="C891" r:id="rId1967" display="http://nemovitosti.blesk.cz/"/>
    <hyperlink ref="D891" r:id="rId1968" display="https://nemovitosti.blesk.cz/"/>
    <hyperlink ref="F891" r:id="rId1969" display="https://nemovitosti.blesk.cz/"/>
    <hyperlink ref="W891" r:id="rId1970" display="https://reklama.cncenter.cz/Online/nativni-rectangle-cross-device"/>
    <hyperlink ref="C892" r:id="rId1971" display="http://nemovitosti.blesk.cz/"/>
    <hyperlink ref="D892" r:id="rId1972" display="https://nemovitosti.blesk.cz/"/>
    <hyperlink ref="F892" r:id="rId1973" display="https://nemovitosti.blesk.cz/"/>
    <hyperlink ref="W892" r:id="rId1974" display="https://reklama.cncenter.cz/Online/Outstream"/>
    <hyperlink ref="C893" r:id="rId1975" display="http://nemovitosti.blesk.cz/"/>
    <hyperlink ref="D893" r:id="rId1976" display="https://nemovitosti.blesk.cz/"/>
    <hyperlink ref="F893" r:id="rId1977" display="https://nemovitosti.blesk.cz/"/>
    <hyperlink ref="W893" r:id="rId1978" display="https://reklama.cncenter.cz/?ads=PR%2520%25C4%258Dl%25C3%25A1nky"/>
    <hyperlink ref="C894" r:id="rId1979" display="http://nemovitosti.blesk.cz/"/>
    <hyperlink ref="D894" r:id="rId1980" display="https://nemovitosti.blesk.cz/"/>
    <hyperlink ref="F894" r:id="rId1981" display="https://nemovitosti.blesk.cz/"/>
    <hyperlink ref="C895" r:id="rId1982" display="http://nemovitosti.blesk.cz/"/>
    <hyperlink ref="D895" r:id="rId1983" display="https://nemovitosti.blesk.cz/"/>
    <hyperlink ref="F895" r:id="rId1984" display="https://nemovitosti.blesk.cz/"/>
    <hyperlink ref="C896" r:id="rId1985" display="http://nemovitosti.blesk.cz/"/>
    <hyperlink ref="D896" r:id="rId1986" display="https://nemovitosti.blesk.cz/"/>
    <hyperlink ref="F896" r:id="rId1987" display="https://nemovitosti.blesk.cz/"/>
    <hyperlink ref="D897" r:id="rId1988" display="https://www.poggers.cz/"/>
    <hyperlink ref="F897" r:id="rId1989" display="https://www.poggers.cz/"/>
    <hyperlink ref="W897" r:id="rId1990" display="https://reklama.cncenter.cz/Online/branding-cross-device"/>
    <hyperlink ref="D898" r:id="rId1991" display="https://www.poggers.cz/"/>
    <hyperlink ref="F898" r:id="rId1992" display="https://www.poggers.cz/"/>
    <hyperlink ref="W898" r:id="rId1993" display="https://reklama.cncenter.cz/Online/double-skyscraper"/>
    <hyperlink ref="D899" r:id="rId1994" display="https://www.poggers.cz/"/>
    <hyperlink ref="F899" r:id="rId1995" display="https://www.poggers.cz/"/>
    <hyperlink ref="W899" r:id="rId1996" display="https://reklama.cncenter.cz/Online/nativni-rectangle-cross-device"/>
    <hyperlink ref="D900" r:id="rId1997" display="https://www.realitnitrh.cz/"/>
    <hyperlink ref="F900" r:id="rId1998" display="https://www.realitnitrh.cz/"/>
    <hyperlink ref="D901" r:id="rId1999" display="https://www.realitnitrh.cz/"/>
    <hyperlink ref="F901" r:id="rId2000" display="https://www.realitnitrh.cz/"/>
    <hyperlink ref="W901" r:id="rId2001" display="https://reklama.cncenter.cz/Online/billboard-bottom"/>
    <hyperlink ref="D902" r:id="rId2002" display="https://www.realitnitrh.cz/"/>
    <hyperlink ref="F902" r:id="rId2003" display="https://www.realitnitrh.cz/"/>
    <hyperlink ref="W902" r:id="rId2004" display="https://reklama.cncenter.cz/Online/branding-cross-device"/>
    <hyperlink ref="D903" r:id="rId2005" display="https://www.realitnitrh.cz/"/>
    <hyperlink ref="F903" r:id="rId2006" display="https://www.realitnitrh.cz/"/>
    <hyperlink ref="W903" r:id="rId2007" display="https://reklama.cncenter.cz/Online/branding"/>
    <hyperlink ref="D904" r:id="rId2008" display="https://www.realitnitrh.cz/"/>
    <hyperlink ref="F904" r:id="rId2009" display="https://www.realitnitrh.cz/"/>
    <hyperlink ref="W904" r:id="rId2010" display="https://reklama.cncenter.cz/Online/billboard-bottom"/>
    <hyperlink ref="D905" r:id="rId2011" display="https://www.realitnitrh.cz/"/>
    <hyperlink ref="F905" r:id="rId2012" display="https://www.realitnitrh.cz/"/>
    <hyperlink ref="W905" r:id="rId2013" display="https://reklama.cncenter.cz/Online/branding-cross-device"/>
    <hyperlink ref="D906" r:id="rId2014" display="https://www.realitnitrh.cz/"/>
    <hyperlink ref="F906" r:id="rId2015" display="https://www.realitnitrh.cz/"/>
    <hyperlink ref="W906" r:id="rId2016" display="https://reklama.cncenter.cz/Online/branding"/>
    <hyperlink ref="D907" r:id="rId2017" display="https://www.realitnitrh.cz/"/>
    <hyperlink ref="F907" r:id="rId2018" display="https://www.realitnitrh.cz/"/>
    <hyperlink ref="W907" r:id="rId2019" display="https://reklama.cncenter.cz/Online/double-skyscraper"/>
    <hyperlink ref="D908" r:id="rId2020" display="https://www.realitnitrh.cz/"/>
    <hyperlink ref="F908" r:id="rId2021" display="https://www.realitnitrh.cz/"/>
    <hyperlink ref="W908" r:id="rId2022" display="https://reklama.cncenter.cz/Online/mobilni-interscroller"/>
    <hyperlink ref="D909" r:id="rId2023" display="https://www.realitnitrh.cz/"/>
    <hyperlink ref="F909" r:id="rId2024" display="https://www.realitnitrh.cz/"/>
    <hyperlink ref="W909" r:id="rId2025" display="https://reklama.cncenter.cz/Online/nativni-PR-premium"/>
    <hyperlink ref="D910" r:id="rId2026" display="https://www.realitnitrh.cz/"/>
    <hyperlink ref="F910" r:id="rId2027" display="https://www.realitnitrh.cz/"/>
    <hyperlink ref="W910" r:id="rId2028" display="https://reklama.cncenter.cz/Online/nativni-rectangle-cross-device"/>
    <hyperlink ref="D911" r:id="rId2029" display="https://www.realitnitrh.cz/"/>
    <hyperlink ref="F911" r:id="rId2030" display="https://www.realitnitrh.cz/"/>
    <hyperlink ref="W911" r:id="rId2031" display="https://reklama.cncenter.cz/Online/Outstream"/>
    <hyperlink ref="D912" r:id="rId2032" display="https://www.realitnitrh.cz/"/>
    <hyperlink ref="F912" r:id="rId2033" display="https://www.realitnitrh.cz/"/>
    <hyperlink ref="D913" r:id="rId2034" display="https://www.realitnitrh.cz/"/>
    <hyperlink ref="F913" r:id="rId2035" display="https://www.realitnitrh.cz/"/>
    <hyperlink ref="W913" r:id="rId2036" display="https://reklama.cncenter.cz/Online/double-skyscraper"/>
    <hyperlink ref="D914" r:id="rId2037" display="https://www.realitnitrh.cz/"/>
    <hyperlink ref="F914" r:id="rId2038" display="https://www.realitnitrh.cz/"/>
    <hyperlink ref="W914" r:id="rId2039" display="https://reklama.cncenter.cz/Online/mobilni-interscroller"/>
    <hyperlink ref="D915" r:id="rId2040" display="https://www.realitnitrh.cz/"/>
    <hyperlink ref="F915" r:id="rId2041" display="https://www.realitnitrh.cz/"/>
    <hyperlink ref="D916" r:id="rId2042" display="https://www.realitnitrh.cz/"/>
    <hyperlink ref="F916" r:id="rId2043" display="https://www.realitnitrh.cz/"/>
    <hyperlink ref="W916" r:id="rId2044" display="https://reklama.cncenter.cz/Online/nativni-PR-premium"/>
    <hyperlink ref="D917" r:id="rId2045" display="https://www.realitnitrh.cz/"/>
    <hyperlink ref="F917" r:id="rId2046" display="https://www.realitnitrh.cz/"/>
    <hyperlink ref="W917" r:id="rId2047" display="https://reklama.cncenter.cz/Online/nativni-rectangle-cross-device"/>
    <hyperlink ref="D918" r:id="rId2048" display="https://www.realitnitrh.cz/"/>
    <hyperlink ref="F918" r:id="rId2049" display="https://www.realitnitrh.cz/"/>
    <hyperlink ref="W918" r:id="rId2050" display="https://reklama.cncenter.cz/Online/Outstream"/>
    <hyperlink ref="D919" r:id="rId2051" display="https://www.realitnitrh.cz/"/>
    <hyperlink ref="F919" r:id="rId2052" display="https://www.realitnitrh.cz/"/>
    <hyperlink ref="W919" r:id="rId2053" display="https://reklama.cncenter.cz/?ads=PR%2520%25C4%258Dl%25C3%25A1nky"/>
    <hyperlink ref="D920" r:id="rId2054" display="https://www.realitnitrh.cz/"/>
    <hyperlink ref="F920" r:id="rId2055" display="https://www.realitnitrh.cz/"/>
    <hyperlink ref="D921" r:id="rId2056" display="https://www.realitnitrh.cz/"/>
    <hyperlink ref="F921" r:id="rId2057" display="https://www.realitnitrh.cz/"/>
    <hyperlink ref="D922" r:id="rId2058" display="https://www.realitnitrh.cz/"/>
    <hyperlink ref="F922" r:id="rId2059" display="https://www.realitnitrh.cz/"/>
    <hyperlink ref="D923" r:id="rId2060" display="https://recepty.cz/"/>
    <hyperlink ref="F923" r:id="rId2061" display="https://recepty.cz/"/>
    <hyperlink ref="D924" r:id="rId2062" display="https://recepty.cz/"/>
    <hyperlink ref="F924" r:id="rId2063" display="https://recepty.cz/"/>
    <hyperlink ref="W924" r:id="rId2064" display="https://reklama.cncenter.cz/Online/billboard-bottom"/>
    <hyperlink ref="D925" r:id="rId2065" display="https://recepty.cz/"/>
    <hyperlink ref="F925" r:id="rId2066" display="https://recepty.cz/"/>
    <hyperlink ref="W925" r:id="rId2067" display="https://reklama.cncenter.cz/Online/branding-cross-device"/>
    <hyperlink ref="D926" r:id="rId2068" display="https://recepty.cz/"/>
    <hyperlink ref="F926" r:id="rId2069" display="https://recepty.cz/"/>
    <hyperlink ref="W926" r:id="rId2070" display="https://reklama.cncenter.cz/Online/branding"/>
    <hyperlink ref="D927" r:id="rId2071" display="https://recepty.cz/"/>
    <hyperlink ref="F927" r:id="rId2072" display="https://recepty.cz/"/>
    <hyperlink ref="W927" r:id="rId2073" display="https://reklama.cncenter.cz/Online/billboard-bottom"/>
    <hyperlink ref="D928" r:id="rId2074" display="https://recepty.cz/"/>
    <hyperlink ref="F928" r:id="rId2075" display="https://recepty.cz/"/>
    <hyperlink ref="W928" r:id="rId2076" display="https://reklama.cncenter.cz/Online/branding-cross-device"/>
    <hyperlink ref="D929" r:id="rId2077" display="https://recepty.cz/"/>
    <hyperlink ref="F929" r:id="rId2078" display="https://recepty.cz/"/>
    <hyperlink ref="W929" r:id="rId2079" display="https://reklama.cncenter.cz/Online/branding"/>
    <hyperlink ref="D930" r:id="rId2080" display="https://recepty.cz/"/>
    <hyperlink ref="F930" r:id="rId2081" display="https://recepty.cz/"/>
    <hyperlink ref="W930" r:id="rId2082" display="https://reklama.cncenter.cz/Online/double-skyscraper"/>
    <hyperlink ref="D931" r:id="rId2083" display="https://recepty.cz/"/>
    <hyperlink ref="F931" r:id="rId2084" display="https://recepty.cz/"/>
    <hyperlink ref="W931" r:id="rId2085" display="https://reklama.cncenter.cz/Online/Videospot"/>
    <hyperlink ref="D932" r:id="rId2086" display="https://recepty.cz/"/>
    <hyperlink ref="F932" r:id="rId2087" display="https://recepty.cz/"/>
    <hyperlink ref="W932" r:id="rId2088" display="https://reklama.cncenter.cz/Online/mobilni-interscroller"/>
    <hyperlink ref="D933" r:id="rId2089" display="https://recepty.cz/"/>
    <hyperlink ref="F933" r:id="rId2090" display="https://recepty.cz/"/>
    <hyperlink ref="W933" r:id="rId2091" display="https://reklama.cncenter.cz/Online/mobilni-slide-up"/>
    <hyperlink ref="D934" r:id="rId2092" display="https://recepty.cz/"/>
    <hyperlink ref="F934" r:id="rId2093" display="https://recepty.cz/"/>
    <hyperlink ref="W934" r:id="rId2094" display="https://reklama.cncenter.cz/Online/mobilni-vineta"/>
    <hyperlink ref="D935" r:id="rId2095" display="https://recepty.cz/"/>
    <hyperlink ref="F935" r:id="rId2096" display="https://recepty.cz/"/>
    <hyperlink ref="W935" r:id="rId2097" display="https://reklama.cncenter.cz/Online/nativni-PR-premium"/>
    <hyperlink ref="D936" r:id="rId2098" display="https://recepty.cz/"/>
    <hyperlink ref="F936" r:id="rId2099" display="https://recepty.cz/"/>
    <hyperlink ref="W936" r:id="rId2100" display="https://reklama.cncenter.cz/Online/nativni-rectangle-cross-device"/>
    <hyperlink ref="D937" r:id="rId2101" display="https://recepty.cz/"/>
    <hyperlink ref="F937" r:id="rId2102" display="https://recepty.cz/"/>
    <hyperlink ref="W937" r:id="rId2103" display="https://reklama.cncenter.cz/Online/Outstream"/>
    <hyperlink ref="D938" r:id="rId2104" display="https://recepty.cz/"/>
    <hyperlink ref="F938" r:id="rId2105" display="https://recepty.cz/"/>
    <hyperlink ref="W938" r:id="rId2106" display="https://reklama.cncenter.cz/Online/Bumper"/>
    <hyperlink ref="D939" r:id="rId2107" display="https://recepty.cz/"/>
    <hyperlink ref="F939" r:id="rId2108" display="https://recepty.cz/"/>
    <hyperlink ref="D940" r:id="rId2109" display="https://recepty.cz/"/>
    <hyperlink ref="F940" r:id="rId2110" display="https://recepty.cz/"/>
    <hyperlink ref="W940" r:id="rId2111" display="https://reklama.cncenter.cz/Online/double-skyscraper"/>
    <hyperlink ref="D941" r:id="rId2112" display="https://recepty.cz/"/>
    <hyperlink ref="F941" r:id="rId2113" display="https://recepty.cz/"/>
    <hyperlink ref="W941" r:id="rId2114" display="https://reklama.cncenter.cz/Online/Videospot"/>
    <hyperlink ref="D942" r:id="rId2115" display="https://recepty.cz/"/>
    <hyperlink ref="F942" r:id="rId2116" display="https://recepty.cz/"/>
    <hyperlink ref="W942" r:id="rId2117" display="https://reklama.cncenter.cz/Online/mobilni-interscroller"/>
    <hyperlink ref="D943" r:id="rId2118" display="https://recepty.cz/"/>
    <hyperlink ref="F943" r:id="rId2119" display="https://recepty.cz/"/>
    <hyperlink ref="W943" r:id="rId2120" display="https://reklama.cncenter.cz/Online/mobilni-slide-up"/>
    <hyperlink ref="D944" r:id="rId2121" display="https://recepty.cz/"/>
    <hyperlink ref="F944" r:id="rId2122" display="https://recepty.cz/"/>
    <hyperlink ref="W944" r:id="rId2123" display="https://reklama.cncenter.cz/Online/mobilni-vineta"/>
    <hyperlink ref="D945" r:id="rId2124" display="https://recepty.cz/"/>
    <hyperlink ref="F945" r:id="rId2125" display="https://recepty.cz/"/>
    <hyperlink ref="D946" r:id="rId2126" display="https://recepty.cz/"/>
    <hyperlink ref="F946" r:id="rId2127" display="https://recepty.cz/"/>
    <hyperlink ref="W946" r:id="rId2128" display="https://reklama.cncenter.cz/Online/nativni-PR-premium"/>
    <hyperlink ref="D947" r:id="rId2129" display="https://recepty.cz/"/>
    <hyperlink ref="F947" r:id="rId2130" display="https://recepty.cz/"/>
    <hyperlink ref="W947" r:id="rId2131" display="https://reklama.cncenter.cz/Online/nativni-rectangle-cross-device"/>
    <hyperlink ref="D948" r:id="rId2132" display="https://recepty.cz/"/>
    <hyperlink ref="F948" r:id="rId2133" display="https://recepty.cz/"/>
    <hyperlink ref="W948" r:id="rId2134" display="https://reklama.cncenter.cz/Online/Outstream"/>
    <hyperlink ref="D949" r:id="rId2135" display="https://recepty.cz/"/>
    <hyperlink ref="F949" r:id="rId2136" display="https://recepty.cz/"/>
    <hyperlink ref="W949" r:id="rId2137" display="https://reklama.cncenter.cz/?ads=PR%2520%25C4%258Dl%25C3%25A1nky"/>
    <hyperlink ref="D950" r:id="rId2138" display="https://recepty.cz/"/>
    <hyperlink ref="F950" r:id="rId2139" display="https://recepty.cz/"/>
    <hyperlink ref="D951" r:id="rId2140" display="https://recepty.cz/"/>
    <hyperlink ref="F951" r:id="rId2141" display="https://recepty.cz/"/>
    <hyperlink ref="D952" r:id="rId2142" display="https://recepty.cz/"/>
    <hyperlink ref="F952" r:id="rId2143" display="https://recepty.cz/"/>
    <hyperlink ref="D953" r:id="rId2144" display="https://recepty.cz/"/>
    <hyperlink ref="F953" r:id="rId2145" display="https://recepty.cz/"/>
    <hyperlink ref="W953" r:id="rId2146" display="https://reklama.cncenter.cz/Online/Bumper"/>
    <hyperlink ref="D954" r:id="rId2147" display="https://reflex.cz/"/>
    <hyperlink ref="F954" r:id="rId2148" display="https://reflex.cz/"/>
    <hyperlink ref="D955" r:id="rId2149" display="https://reflex.cz/"/>
    <hyperlink ref="F955" r:id="rId2150" display="https://reflex.cz/"/>
    <hyperlink ref="W955" r:id="rId2151" display="https://reklama.cncenter.cz/Online/billboard-bottom"/>
    <hyperlink ref="D956" r:id="rId2152" display="https://reflex.cz/"/>
    <hyperlink ref="F956" r:id="rId2153" display="https://reflex.cz/"/>
    <hyperlink ref="W956" r:id="rId2154" display="https://reklama.cncenter.cz/Online/branding-cross-device"/>
    <hyperlink ref="D957" r:id="rId2155" display="https://reflex.cz/"/>
    <hyperlink ref="F957" r:id="rId2156" display="https://reflex.cz/"/>
    <hyperlink ref="W957" r:id="rId2157" display="https://reklama.cncenter.cz/Online/branding"/>
    <hyperlink ref="D958" r:id="rId2158" display="https://reflex.cz/"/>
    <hyperlink ref="F958" r:id="rId2159" display="https://reflex.cz/"/>
    <hyperlink ref="W958" r:id="rId2160" display="https://reklama.cncenter.cz/Online/billboard-bottom"/>
    <hyperlink ref="D959" r:id="rId2161" display="https://reflex.cz/"/>
    <hyperlink ref="F959" r:id="rId2162" display="https://reflex.cz/"/>
    <hyperlink ref="W959" r:id="rId2163" display="https://reklama.cncenter.cz/Online/branding-cross-device"/>
    <hyperlink ref="D960" r:id="rId2164" display="https://reflex.cz/"/>
    <hyperlink ref="F960" r:id="rId2165" display="https://reflex.cz/"/>
    <hyperlink ref="W960" r:id="rId2166" display="https://reklama.cncenter.cz/Online/branding"/>
    <hyperlink ref="D961" r:id="rId2167" display="https://reflex.cz/"/>
    <hyperlink ref="F961" r:id="rId2168" display="https://reflex.cz/"/>
    <hyperlink ref="W961" r:id="rId2169" display="https://reklama.cncenter.cz/Online/double-skyscraper"/>
    <hyperlink ref="D962" r:id="rId2170" display="https://reflex.cz/"/>
    <hyperlink ref="F962" r:id="rId2171" display="https://reflex.cz/"/>
    <hyperlink ref="W962" r:id="rId2172" display="https://reklama.cncenter.cz/Online/Videospot"/>
    <hyperlink ref="D963" r:id="rId2173" display="https://reflex.cz/"/>
    <hyperlink ref="F963" r:id="rId2174" display="https://reflex.cz/"/>
    <hyperlink ref="W963" r:id="rId2175" display="https://reklama.cncenter.cz/Online/mobilni-interscroller"/>
    <hyperlink ref="D964" r:id="rId2176" display="https://reflex.cz/"/>
    <hyperlink ref="F964" r:id="rId2177" display="https://reflex.cz/"/>
    <hyperlink ref="W964" r:id="rId2178" display="https://reklama.cncenter.cz/Online/mobilni-slide-up"/>
    <hyperlink ref="D965" r:id="rId2179" display="https://reflex.cz/"/>
    <hyperlink ref="F965" r:id="rId2180" display="https://reflex.cz/"/>
    <hyperlink ref="W965" r:id="rId2181" display="https://reklama.cncenter.cz/Online/mobilni-vineta"/>
    <hyperlink ref="D966" r:id="rId2182" display="https://reflex.cz/"/>
    <hyperlink ref="F966" r:id="rId2183" display="https://reflex.cz/"/>
    <hyperlink ref="W966" r:id="rId2184" display="https://reklama.cncenter.cz/Online/nativni-PR-premium"/>
    <hyperlink ref="D967" r:id="rId2185" display="https://reflex.cz/"/>
    <hyperlink ref="F967" r:id="rId2186" display="https://reflex.cz/"/>
    <hyperlink ref="W967" r:id="rId2187" display="https://reklama.cncenter.cz/Online/nativni-rectangle-cross-device"/>
    <hyperlink ref="D968" r:id="rId2188" display="https://reflex.cz/"/>
    <hyperlink ref="F968" r:id="rId2189" display="https://reflex.cz/"/>
    <hyperlink ref="W968" r:id="rId2190" display="https://reklama.cncenter.cz/Online/Outstream"/>
    <hyperlink ref="D969" r:id="rId2191" display="https://reflex.cz/"/>
    <hyperlink ref="F969" r:id="rId2192" display="https://reflex.cz/"/>
    <hyperlink ref="W969" r:id="rId2193" display="https://reklama.cncenter.cz/Online/Bumper"/>
    <hyperlink ref="D970" r:id="rId2194" display="https://reflex.cz/"/>
    <hyperlink ref="F970" r:id="rId2195" display="https://reflex.cz/"/>
    <hyperlink ref="D971" r:id="rId2196" display="https://reflex.cz/"/>
    <hyperlink ref="F971" r:id="rId2197" display="https://reflex.cz/"/>
    <hyperlink ref="W971" r:id="rId2198" display="https://reklama.cncenter.cz/Online/double-skyscraper"/>
    <hyperlink ref="D972" r:id="rId2199" display="https://reflex.cz/"/>
    <hyperlink ref="F972" r:id="rId2200" display="https://reflex.cz/"/>
    <hyperlink ref="W972" r:id="rId2201" display="https://reklama.cncenter.cz/Online/Videospot"/>
    <hyperlink ref="D973" r:id="rId2202" display="https://reflex.cz/"/>
    <hyperlink ref="F973" r:id="rId2203" display="https://reflex.cz/"/>
    <hyperlink ref="W973" r:id="rId2204" display="https://reklama.cncenter.cz/Online/mobilni-interscroller"/>
    <hyperlink ref="D974" r:id="rId2205" display="https://reflex.cz/"/>
    <hyperlink ref="F974" r:id="rId2206" display="https://reflex.cz/"/>
    <hyperlink ref="W974" r:id="rId2207" display="https://reklama.cncenter.cz/Online/mobilni-slide-up"/>
    <hyperlink ref="D975" r:id="rId2208" display="https://reflex.cz/"/>
    <hyperlink ref="F975" r:id="rId2209" display="https://reflex.cz/"/>
    <hyperlink ref="W975" r:id="rId2210" display="https://reklama.cncenter.cz/Online/mobilni-vineta"/>
    <hyperlink ref="D976" r:id="rId2211" display="https://reflex.cz/"/>
    <hyperlink ref="F976" r:id="rId2212" display="https://reflex.cz/"/>
    <hyperlink ref="D977" r:id="rId2213" display="https://reflex.cz/"/>
    <hyperlink ref="F977" r:id="rId2214" display="https://reflex.cz/"/>
    <hyperlink ref="W977" r:id="rId2215" display="https://reklama.cncenter.cz/Online/nativni-PR-premium"/>
    <hyperlink ref="D978" r:id="rId2216" display="https://reflex.cz/"/>
    <hyperlink ref="F978" r:id="rId2217" display="https://reflex.cz/"/>
    <hyperlink ref="W978" r:id="rId2218" display="https://reklama.cncenter.cz/Online/nativni-rectangle-cross-device"/>
    <hyperlink ref="D979" r:id="rId2219" display="https://reflex.cz/"/>
    <hyperlink ref="F979" r:id="rId2220" display="https://reflex.cz/"/>
    <hyperlink ref="W979" r:id="rId2221" display="https://reklama.cncenter.cz/Online/Outstream"/>
    <hyperlink ref="D980" r:id="rId2222" display="https://reflex.cz/"/>
    <hyperlink ref="F980" r:id="rId2223" display="https://reflex.cz/"/>
    <hyperlink ref="W980" r:id="rId2224" display="https://reklama.cncenter.cz/?ads=PR%2520%25C4%258Dl%25C3%25A1nky"/>
    <hyperlink ref="D981" r:id="rId2225" display="https://reflex.cz/"/>
    <hyperlink ref="F981" r:id="rId2226" display="https://reflex.cz/"/>
    <hyperlink ref="D982" r:id="rId2227" display="https://reflex.cz/"/>
    <hyperlink ref="F982" r:id="rId2228" display="https://reflex.cz/"/>
    <hyperlink ref="D983" r:id="rId2229" display="https://reflex.cz/"/>
    <hyperlink ref="F983" r:id="rId2230" display="https://reflex.cz/"/>
    <hyperlink ref="D984" r:id="rId2231" display="https://reflex.cz/"/>
    <hyperlink ref="F984" r:id="rId2232" display="https://reflex.cz/"/>
    <hyperlink ref="W984" r:id="rId2233" display="https://reklama.cncenter.cz/Online/Bumper"/>
    <hyperlink ref="D985" r:id="rId2234" display="https://sportrevue.cz/"/>
    <hyperlink ref="F985" r:id="rId2235" display="https://sportrevue.cz/"/>
    <hyperlink ref="D986" r:id="rId2236" display="https://sportrevue.cz/"/>
    <hyperlink ref="F986" r:id="rId2237" display="https://sportrevue.cz/"/>
    <hyperlink ref="D987" r:id="rId2238" display="https://sportrevue.cz/"/>
    <hyperlink ref="F987" r:id="rId2239" display="https://sportrevue.cz/"/>
    <hyperlink ref="D988" r:id="rId2240" display="https://sportrevue.cz/"/>
    <hyperlink ref="F988" r:id="rId2241" display="https://sportrevue.cz/"/>
    <hyperlink ref="W988" r:id="rId2242" display="https://reklama.cncenter.cz/?ads=PR%2520%25C4%258Dl%25C3%25A1nky"/>
    <hyperlink ref="D989" r:id="rId2243" display="https://sportrevue.cz/"/>
    <hyperlink ref="F989" r:id="rId2244" display="https://sportrevue.cz/"/>
    <hyperlink ref="D990" r:id="rId2245" display="https://sportrevue.cz/"/>
    <hyperlink ref="F990" r:id="rId2246" display="https://sportrevue.cz/"/>
    <hyperlink ref="D991" r:id="rId2247" display="https://sportrevue.cz/"/>
    <hyperlink ref="F991" r:id="rId2248" display="https://sportrevue.cz/"/>
    <hyperlink ref="D992" r:id="rId2249" display="http://www.tiktok.com/"/>
    <hyperlink ref="F992" r:id="rId2250" display="http://www.tiktok.com/"/>
    <hyperlink ref="D993" r:id="rId2251" display="https://vtm.zive.cz/"/>
    <hyperlink ref="F993" r:id="rId2252" display="https://vtm.zive.cz/"/>
    <hyperlink ref="W993" r:id="rId2253" display="https://reklama.cncenter.cz/Online/billboard-bottom"/>
    <hyperlink ref="D994" r:id="rId2254" display="https://vtm.zive.cz/"/>
    <hyperlink ref="F994" r:id="rId2255" display="https://vtm.zive.cz/"/>
    <hyperlink ref="W994" r:id="rId2256" display="https://reklama.cncenter.cz/Online/branding-cross-device"/>
    <hyperlink ref="D995" r:id="rId2257" display="https://vtm.zive.cz/"/>
    <hyperlink ref="F995" r:id="rId2258" display="https://vtm.zive.cz/"/>
    <hyperlink ref="W995" r:id="rId2259" display="https://reklama.cncenter.cz/Online/branding"/>
    <hyperlink ref="D996" r:id="rId2260" display="https://vtm.zive.cz/"/>
    <hyperlink ref="F996" r:id="rId2261" display="https://vtm.zive.cz/"/>
    <hyperlink ref="W996" r:id="rId2262" display="https://reklama.cncenter.cz/Online/billboard-bottom"/>
    <hyperlink ref="D997" r:id="rId2263" display="https://vtm.zive.cz/"/>
    <hyperlink ref="F997" r:id="rId2264" display="https://vtm.zive.cz/"/>
    <hyperlink ref="W997" r:id="rId2265" display="https://reklama.cncenter.cz/Online/branding-cross-device"/>
    <hyperlink ref="D998" r:id="rId2266" display="https://vtm.zive.cz/"/>
    <hyperlink ref="F998" r:id="rId2267" display="https://vtm.zive.cz/"/>
    <hyperlink ref="W998" r:id="rId2268" display="https://reklama.cncenter.cz/Online/branding"/>
    <hyperlink ref="D999" r:id="rId2269" display="https://vtm.zive.cz/"/>
    <hyperlink ref="F999" r:id="rId2270" display="https://vtm.zive.cz/"/>
    <hyperlink ref="W999" r:id="rId2271" display="https://reklama.cncenter.cz/Online/double-skyscraper"/>
    <hyperlink ref="D1000" r:id="rId2272" display="https://vtm.zive.cz/"/>
    <hyperlink ref="F1000" r:id="rId2273" display="https://vtm.zive.cz/"/>
    <hyperlink ref="W1000" r:id="rId2274" display="https://reklama.cncenter.cz/Online/mobilni-interscroller"/>
    <hyperlink ref="D1001" r:id="rId2275" display="https://vtm.zive.cz/"/>
    <hyperlink ref="F1001" r:id="rId2276" display="https://vtm.zive.cz/"/>
    <hyperlink ref="W1001" r:id="rId2277" display="https://reklama.cncenter.cz/Online/mobilni-slide-up"/>
    <hyperlink ref="D1002" r:id="rId2278" display="https://vtm.zive.cz/"/>
    <hyperlink ref="F1002" r:id="rId2279" display="https://vtm.zive.cz/"/>
    <hyperlink ref="W1002" r:id="rId2280" display="https://reklama.cncenter.cz/Online/mobilni-vineta"/>
    <hyperlink ref="D1003" r:id="rId2281" display="https://vtm.zive.cz/"/>
    <hyperlink ref="F1003" r:id="rId2282" display="https://vtm.zive.cz/"/>
    <hyperlink ref="W1003" r:id="rId2283" display="https://reklama.cncenter.cz/Online/nativni-rectangle-cross-device"/>
    <hyperlink ref="D1004" r:id="rId2284" display="https://vtm.zive.cz/"/>
    <hyperlink ref="F1004" r:id="rId2285" display="https://vtm.zive.cz/"/>
    <hyperlink ref="W1004" r:id="rId2286" display="https://reklama.cncenter.cz/Online/Outstream"/>
    <hyperlink ref="D1005" r:id="rId2287" display="https://vtm.zive.cz/"/>
    <hyperlink ref="F1005" r:id="rId2288" display="https://vtm.zive.cz/"/>
    <hyperlink ref="W1005" r:id="rId2289" display="https://reklama.cncenter.cz/Online/double-skyscraper"/>
    <hyperlink ref="D1006" r:id="rId2290" display="https://vtm.zive.cz/"/>
    <hyperlink ref="F1006" r:id="rId2291" display="https://vtm.zive.cz/"/>
    <hyperlink ref="W1006" r:id="rId2292" display="https://reklama.cncenter.cz/Online/mobilni-interscroller"/>
    <hyperlink ref="D1007" r:id="rId2293" display="https://vtm.zive.cz/"/>
    <hyperlink ref="F1007" r:id="rId2294" display="https://vtm.zive.cz/"/>
    <hyperlink ref="W1007" r:id="rId2295" display="https://reklama.cncenter.cz/Online/mobilni-slide-up"/>
    <hyperlink ref="D1008" r:id="rId2296" display="https://vtm.zive.cz/"/>
    <hyperlink ref="F1008" r:id="rId2297" display="https://vtm.zive.cz/"/>
    <hyperlink ref="W1008" r:id="rId2298" display="https://reklama.cncenter.cz/Online/mobilni-vineta"/>
    <hyperlink ref="D1009" r:id="rId2299" display="https://vtm.zive.cz/"/>
    <hyperlink ref="F1009" r:id="rId2300" display="https://vtm.zive.cz/"/>
    <hyperlink ref="W1009" r:id="rId2301" display="https://reklama.cncenter.cz/Online/nativni-rectangle-cross-device"/>
    <hyperlink ref="D1010" r:id="rId2302" display="https://vtm.zive.cz/"/>
    <hyperlink ref="F1010" r:id="rId2303" display="https://vtm.zive.cz/"/>
    <hyperlink ref="W1010" r:id="rId2304" display="https://reklama.cncenter.cz/Online/Outstream"/>
    <hyperlink ref="D1011" r:id="rId2305" display="https://x.com/"/>
    <hyperlink ref="F1011" r:id="rId2306" display="https://x.com/"/>
    <hyperlink ref="D1012" r:id="rId2307" display="https://x.com/"/>
    <hyperlink ref="F1012" r:id="rId2308" display="https://x.com/"/>
    <hyperlink ref="D1013" r:id="rId2309" display="https://youradio.cz/"/>
    <hyperlink ref="F1013" r:id="rId2310" display="https://youradio.cz/"/>
    <hyperlink ref="W1013" r:id="rId2311" display="https://reklama.cncenter.cz/Online/double-skyscraper"/>
    <hyperlink ref="D1014" r:id="rId2312" display="https://youradio.cz/"/>
    <hyperlink ref="F1014" r:id="rId2313" display="https://youradio.cz/"/>
    <hyperlink ref="W1014" r:id="rId2314" display="https://reklama.cncenter.cz/Online/double-skyscraper"/>
    <hyperlink ref="D1015" r:id="rId2315" display="https://zeny.cz/"/>
    <hyperlink ref="F1015" r:id="rId2316" display="https://zeny.cz/"/>
    <hyperlink ref="D1016" r:id="rId2317" display="https://zeny.cz/"/>
    <hyperlink ref="F1016" r:id="rId2318" display="https://zeny.cz/"/>
    <hyperlink ref="W1016" r:id="rId2319" display="https://reklama.cncenter.cz/Online/billboard-bottom"/>
    <hyperlink ref="D1017" r:id="rId2320" display="https://zeny.cz/"/>
    <hyperlink ref="F1017" r:id="rId2321" display="https://zeny.cz/"/>
    <hyperlink ref="W1017" r:id="rId2322" display="https://reklama.cncenter.cz/Online/branding-cross-device"/>
    <hyperlink ref="D1018" r:id="rId2323" display="https://zeny.cz/"/>
    <hyperlink ref="F1018" r:id="rId2324" display="https://zeny.cz/"/>
    <hyperlink ref="W1018" r:id="rId2325" display="https://reklama.cncenter.cz/Online/branding"/>
    <hyperlink ref="D1019" r:id="rId2326" display="https://zeny.cz/"/>
    <hyperlink ref="F1019" r:id="rId2327" display="https://zeny.cz/"/>
    <hyperlink ref="W1019" r:id="rId2328" display="https://reklama.cncenter.cz/Online/billboard-bottom"/>
    <hyperlink ref="D1020" r:id="rId2329" display="https://zeny.cz/"/>
    <hyperlink ref="F1020" r:id="rId2330" display="https://zeny.cz/"/>
    <hyperlink ref="W1020" r:id="rId2331" display="https://reklama.cncenter.cz/Online/branding-cross-device"/>
    <hyperlink ref="D1021" r:id="rId2332" display="https://zeny.cz/"/>
    <hyperlink ref="F1021" r:id="rId2333" display="https://zeny.cz/"/>
    <hyperlink ref="W1021" r:id="rId2334" display="https://reklama.cncenter.cz/Online/branding"/>
    <hyperlink ref="D1022" r:id="rId2335" display="https://zeny.cz/"/>
    <hyperlink ref="F1022" r:id="rId2336" display="https://zeny.cz/"/>
    <hyperlink ref="W1022" r:id="rId2337" display="https://reklama.cncenter.cz/Online/double-skyscraper"/>
    <hyperlink ref="D1023" r:id="rId2338" display="https://zeny.cz/"/>
    <hyperlink ref="F1023" r:id="rId2339" display="https://zeny.cz/"/>
    <hyperlink ref="W1023" r:id="rId2340" display="https://reklama.cncenter.cz/Online/Videospot"/>
    <hyperlink ref="D1024" r:id="rId2341" display="https://zeny.cz/"/>
    <hyperlink ref="F1024" r:id="rId2342" display="https://zeny.cz/"/>
    <hyperlink ref="W1024" r:id="rId2343" display="https://reklama.cncenter.cz/Online/mobilni-interscroller"/>
    <hyperlink ref="D1025" r:id="rId2344" display="https://zeny.cz/"/>
    <hyperlink ref="F1025" r:id="rId2345" display="https://zeny.cz/"/>
    <hyperlink ref="W1025" r:id="rId2346" display="https://reklama.cncenter.cz/Online/mobilni-slide-up"/>
    <hyperlink ref="D1026" r:id="rId2347" display="https://zeny.cz/"/>
    <hyperlink ref="F1026" r:id="rId2348" display="https://zeny.cz/"/>
    <hyperlink ref="W1026" r:id="rId2349" display="https://reklama.cncenter.cz/Online/mobilni-vineta"/>
    <hyperlink ref="D1027" r:id="rId2350" display="https://zeny.cz/"/>
    <hyperlink ref="F1027" r:id="rId2351" display="https://zeny.cz/"/>
    <hyperlink ref="W1027" r:id="rId2352" display="https://reklama.cncenter.cz/Online/nativni-PR-premium"/>
    <hyperlink ref="D1028" r:id="rId2353" display="https://zeny.cz/"/>
    <hyperlink ref="F1028" r:id="rId2354" display="https://zeny.cz/"/>
    <hyperlink ref="W1028" r:id="rId2355" display="https://reklama.cncenter.cz/Online/nativni-rectangle-cross-device"/>
    <hyperlink ref="D1029" r:id="rId2356" display="https://zeny.cz/"/>
    <hyperlink ref="F1029" r:id="rId2357" display="https://zeny.cz/"/>
    <hyperlink ref="W1029" r:id="rId2358" display="https://reklama.cncenter.cz/Online/Outstream"/>
    <hyperlink ref="D1030" r:id="rId2359" display="https://zeny.cz/"/>
    <hyperlink ref="F1030" r:id="rId2360" display="https://zeny.cz/"/>
    <hyperlink ref="W1030" r:id="rId2361" display="https://reklama.cncenter.cz/Online/Bumper"/>
    <hyperlink ref="D1031" r:id="rId2362" display="https://zeny.cz/"/>
    <hyperlink ref="F1031" r:id="rId2363" display="https://zeny.cz/"/>
    <hyperlink ref="D1032" r:id="rId2364" display="https://zeny.cz/"/>
    <hyperlink ref="F1032" r:id="rId2365" display="https://zeny.cz/"/>
    <hyperlink ref="W1032" r:id="rId2366" display="https://reklama.cncenter.cz/Online/double-skyscraper"/>
    <hyperlink ref="D1033" r:id="rId2367" display="https://zeny.cz/"/>
    <hyperlink ref="F1033" r:id="rId2368" display="https://zeny.cz/"/>
    <hyperlink ref="W1033" r:id="rId2369" display="https://reklama.cncenter.cz/Online/Videospot"/>
    <hyperlink ref="D1034" r:id="rId2370" display="https://zeny.cz/"/>
    <hyperlink ref="F1034" r:id="rId2371" display="https://zeny.cz/"/>
    <hyperlink ref="W1034" r:id="rId2372" display="https://reklama.cncenter.cz/Online/mobilni-interscroller"/>
    <hyperlink ref="D1035" r:id="rId2373" display="https://zeny.cz/"/>
    <hyperlink ref="F1035" r:id="rId2374" display="https://zeny.cz/"/>
    <hyperlink ref="W1035" r:id="rId2375" display="https://reklama.cncenter.cz/Online/mobilni-slide-up"/>
    <hyperlink ref="D1036" r:id="rId2376" display="https://zeny.cz/"/>
    <hyperlink ref="F1036" r:id="rId2377" display="https://zeny.cz/"/>
    <hyperlink ref="W1036" r:id="rId2378" display="https://reklama.cncenter.cz/Online/mobilni-vineta"/>
    <hyperlink ref="D1037" r:id="rId2379" display="https://zeny.cz/"/>
    <hyperlink ref="F1037" r:id="rId2380" display="https://zeny.cz/"/>
    <hyperlink ref="D1038" r:id="rId2381" display="https://zeny.cz/"/>
    <hyperlink ref="F1038" r:id="rId2382" display="https://zeny.cz/"/>
    <hyperlink ref="W1038" r:id="rId2383" display="https://reklama.cncenter.cz/Online/nativni-PR-premium"/>
    <hyperlink ref="D1039" r:id="rId2384" display="https://zeny.cz/"/>
    <hyperlink ref="F1039" r:id="rId2385" display="https://zeny.cz/"/>
    <hyperlink ref="W1039" r:id="rId2386" display="https://reklama.cncenter.cz/Online/nativni-rectangle-cross-device"/>
    <hyperlink ref="D1040" r:id="rId2387" display="https://zeny.cz/"/>
    <hyperlink ref="F1040" r:id="rId2388" display="https://zeny.cz/"/>
    <hyperlink ref="W1040" r:id="rId2389" display="https://reklama.cncenter.cz/Online/Outstream"/>
    <hyperlink ref="D1041" r:id="rId2390" display="https://zeny.cz/"/>
    <hyperlink ref="F1041" r:id="rId2391" display="https://zeny.cz/"/>
    <hyperlink ref="W1041" r:id="rId2392" display="https://reklama.cncenter.cz/?ads=PR%2520%25C4%258Dl%25C3%25A1nky"/>
    <hyperlink ref="D1042" r:id="rId2393" display="https://zeny.cz/"/>
    <hyperlink ref="F1042" r:id="rId2394" display="https://zeny.cz/"/>
    <hyperlink ref="D1043" r:id="rId2395" display="https://zeny.cz/"/>
    <hyperlink ref="F1043" r:id="rId2396" display="https://zeny.cz/"/>
    <hyperlink ref="D1044" r:id="rId2397" display="https://zeny.cz/"/>
    <hyperlink ref="F1044" r:id="rId2398" display="https://zeny.cz/"/>
    <hyperlink ref="D1045" r:id="rId2399" display="https://zeny.cz/"/>
    <hyperlink ref="F1045" r:id="rId2400" display="https://zeny.cz/"/>
    <hyperlink ref="W1045" r:id="rId2401" display="https://reklama.cncenter.cz/Online/Bumper"/>
    <hyperlink ref="D1046" r:id="rId2402" display="https://zive.cz/"/>
    <hyperlink ref="F1046" r:id="rId2403" display="https://zive.cz/"/>
    <hyperlink ref="D1047" r:id="rId2404" display="https://zive.cz/"/>
    <hyperlink ref="F1047" r:id="rId2405" display="https://zive.cz/"/>
    <hyperlink ref="W1047" r:id="rId2406" display="https://reklama.cncenter.cz/Online/billboard-bottom"/>
    <hyperlink ref="D1048" r:id="rId2407" display="https://zive.cz/"/>
    <hyperlink ref="F1048" r:id="rId2408" display="https://zive.cz/"/>
    <hyperlink ref="W1048" r:id="rId2409" display="https://reklama.cncenter.cz/Online/branding-cross-device"/>
    <hyperlink ref="D1049" r:id="rId2410" display="https://zive.cz/"/>
    <hyperlink ref="F1049" r:id="rId2411" display="https://zive.cz/"/>
    <hyperlink ref="W1049" r:id="rId2412" display="https://reklama.cncenter.cz/Online/branding"/>
    <hyperlink ref="D1050" r:id="rId2413" display="https://zive.cz/"/>
    <hyperlink ref="F1050" r:id="rId2414" display="https://zive.cz/"/>
    <hyperlink ref="W1050" r:id="rId2415" display="https://reklama.cncenter.cz/Online/billboard-bottom"/>
    <hyperlink ref="D1051" r:id="rId2416" display="https://zive.cz/"/>
    <hyperlink ref="F1051" r:id="rId2417" display="https://zive.cz/"/>
    <hyperlink ref="W1051" r:id="rId2418" display="https://reklama.cncenter.cz/Online/branding-cross-device"/>
    <hyperlink ref="D1052" r:id="rId2419" display="https://zive.cz/"/>
    <hyperlink ref="F1052" r:id="rId2420" display="https://zive.cz/"/>
    <hyperlink ref="W1052" r:id="rId2421" display="https://reklama.cncenter.cz/Online/branding"/>
    <hyperlink ref="D1053" r:id="rId2422" display="https://zive.cz/"/>
    <hyperlink ref="F1053" r:id="rId2423" display="https://zive.cz/"/>
    <hyperlink ref="W1053" r:id="rId2424" display="https://reklama.cncenter.cz/Online/double-skyscraper"/>
    <hyperlink ref="D1054" r:id="rId2425" display="https://zive.cz/"/>
    <hyperlink ref="F1054" r:id="rId2426" display="https://zive.cz/"/>
    <hyperlink ref="W1054" r:id="rId2427" display="https://reklama.cncenter.cz/Online/mobilni-interscroller"/>
    <hyperlink ref="D1055" r:id="rId2428" display="https://zive.cz/"/>
    <hyperlink ref="F1055" r:id="rId2429" display="https://zive.cz/"/>
    <hyperlink ref="W1055" r:id="rId2430" display="https://reklama.cncenter.cz/Online/mobilni-slide-up"/>
    <hyperlink ref="D1056" r:id="rId2431" display="https://zive.cz/"/>
    <hyperlink ref="F1056" r:id="rId2432" display="https://zive.cz/"/>
    <hyperlink ref="W1056" r:id="rId2433" display="https://reklama.cncenter.cz/Online/mobilni-vineta"/>
    <hyperlink ref="D1057" r:id="rId2434" display="https://zive.cz/"/>
    <hyperlink ref="F1057" r:id="rId2435" display="https://zive.cz/"/>
    <hyperlink ref="W1057" r:id="rId2436" display="https://reklama.cncenter.cz/Online/nativni-PR-premium"/>
    <hyperlink ref="D1058" r:id="rId2437" display="https://zive.cz/"/>
    <hyperlink ref="F1058" r:id="rId2438" display="https://zive.cz/"/>
    <hyperlink ref="W1058" r:id="rId2439" display="https://reklama.cncenter.cz/Online/nativni-rectangle-cross-device"/>
    <hyperlink ref="D1059" r:id="rId2440" display="https://zive.cz/"/>
    <hyperlink ref="F1059" r:id="rId2441" display="https://zive.cz/"/>
    <hyperlink ref="W1059" r:id="rId2442" display="https://reklama.cncenter.cz/Online/Outstream"/>
    <hyperlink ref="D1060" r:id="rId2443" display="https://zive.cz/"/>
    <hyperlink ref="F1060" r:id="rId2444" display="https://zive.cz/"/>
    <hyperlink ref="W1060" r:id="rId2445" display="https://reklama.cncenter.cz/Online/Bumper"/>
    <hyperlink ref="D1061" r:id="rId2446" display="https://zive.cz/"/>
    <hyperlink ref="F1061" r:id="rId2447" display="https://zive.cz/"/>
    <hyperlink ref="D1062" r:id="rId2448" display="https://zive.cz/"/>
    <hyperlink ref="F1062" r:id="rId2449" display="https://zive.cz/"/>
    <hyperlink ref="W1062" r:id="rId2450" display="https://reklama.cncenter.cz/Online/double-skyscraper"/>
    <hyperlink ref="D1063" r:id="rId2451" display="https://zive.cz/"/>
    <hyperlink ref="F1063" r:id="rId2452" display="https://zive.cz/"/>
    <hyperlink ref="W1063" r:id="rId2453" display="https://reklama.cncenter.cz/Online/mobilni-interscroller"/>
    <hyperlink ref="D1064" r:id="rId2454" display="https://zive.cz/"/>
    <hyperlink ref="F1064" r:id="rId2455" display="https://zive.cz/"/>
    <hyperlink ref="W1064" r:id="rId2456" display="https://reklama.cncenter.cz/Online/mobilni-slide-up"/>
    <hyperlink ref="D1065" r:id="rId2457" display="https://zive.cz/"/>
    <hyperlink ref="F1065" r:id="rId2458" display="https://zive.cz/"/>
    <hyperlink ref="W1065" r:id="rId2459" display="https://reklama.cncenter.cz/Online/mobilni-vineta"/>
    <hyperlink ref="D1066" r:id="rId2460" display="https://zive.cz/"/>
    <hyperlink ref="F1066" r:id="rId2461" display="https://zive.cz/"/>
    <hyperlink ref="D1067" r:id="rId2462" display="https://zive.cz/"/>
    <hyperlink ref="F1067" r:id="rId2463" display="https://zive.cz/"/>
    <hyperlink ref="W1067" r:id="rId2464" display="https://reklama.cncenter.cz/Online/nativni-PR-premium"/>
    <hyperlink ref="D1068" r:id="rId2465" display="https://zive.cz/"/>
    <hyperlink ref="F1068" r:id="rId2466" display="https://zive.cz/"/>
    <hyperlink ref="W1068" r:id="rId2467" display="https://reklama.cncenter.cz/Online/nativni-rectangle-cross-device"/>
    <hyperlink ref="D1069" r:id="rId2468" display="https://zive.cz/"/>
    <hyperlink ref="F1069" r:id="rId2469" display="https://zive.cz/"/>
    <hyperlink ref="W1069" r:id="rId2470" display="https://reklama.cncenter.cz/Online/Outstream"/>
    <hyperlink ref="D1070" r:id="rId2471" display="https://zive.cz/"/>
    <hyperlink ref="F1070" r:id="rId2472" display="https://zive.cz/"/>
    <hyperlink ref="W1070" r:id="rId2473" display="https://reklama.cncenter.cz/?ads=PR%2520%25C4%258Dl%25C3%25A1nky"/>
    <hyperlink ref="D1071" r:id="rId2474" display="https://zive.cz/"/>
    <hyperlink ref="F1071" r:id="rId2475" display="https://zive.cz/"/>
    <hyperlink ref="D1072" r:id="rId2476" display="https://zive.cz/"/>
    <hyperlink ref="F1072" r:id="rId2477" display="https://zive.cz/"/>
    <hyperlink ref="D1073" r:id="rId2478" display="https://zive.cz/"/>
    <hyperlink ref="F1073" r:id="rId2479" display="https://zive.cz/"/>
    <hyperlink ref="D1074" r:id="rId2480" display="https://zive.cz/"/>
    <hyperlink ref="F1074" r:id="rId2481" display="https://zive.cz/"/>
    <hyperlink ref="W1074" r:id="rId2482" display="https://reklama.cncenter.cz/Online/Bumper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LOW</vt:lpstr>
      <vt:lpstr>MID</vt:lpstr>
      <vt:lpstr>HIGH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Barbora Oppolzerová</dc:creator>
  <cp:lastModifiedBy>Barbora Oppolzerová</cp:lastModifiedBy>
  <dcterms:created xsi:type="dcterms:W3CDTF">2025-11-28T08:27:55Z</dcterms:created>
  <dcterms:modified xsi:type="dcterms:W3CDTF">2025-11-28T08:30:32Z</dcterms:modified>
</cp:coreProperties>
</file>